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2235" windowWidth="14820" windowHeight="6585" tabRatio="894" activeTab="13"/>
  </bookViews>
  <sheets>
    <sheet name="CDPS" sheetId="15" r:id="rId1"/>
    <sheet name="TH" sheetId="34" r:id="rId2"/>
    <sheet name="NKC" sheetId="73" r:id="rId3"/>
    <sheet name="CTTK" sheetId="47" r:id="rId4"/>
    <sheet name="111" sheetId="42" r:id="rId5"/>
    <sheet name="IN-TC" sheetId="39" r:id="rId6"/>
    <sheet name="112" sheetId="43" r:id="rId7"/>
    <sheet name="131" sheetId="70" r:id="rId8"/>
    <sheet name="131-CT" sheetId="71" r:id="rId9"/>
    <sheet name="331" sheetId="12" r:id="rId10"/>
    <sheet name="331-CT" sheetId="14" r:id="rId11"/>
    <sheet name="411" sheetId="54" r:id="rId12"/>
    <sheet name="NXT" sheetId="55" r:id="rId13"/>
    <sheet name="IN-NX" sheetId="56" r:id="rId14"/>
    <sheet name="152-CT" sheetId="57" r:id="rId15"/>
    <sheet name="TK" sheetId="58" r:id="rId16"/>
    <sheet name="BTGT" sheetId="60" r:id="rId17"/>
    <sheet name="THEGT" sheetId="61" r:id="rId18"/>
    <sheet name="BK-MV" sheetId="82" r:id="rId19"/>
    <sheet name="SO-TS" sheetId="64" r:id="rId20"/>
    <sheet name="THE-TS" sheetId="68" r:id="rId21"/>
    <sheet name="154" sheetId="74" r:id="rId22"/>
    <sheet name="632" sheetId="75" r:id="rId23"/>
    <sheet name="642" sheetId="77" r:id="rId24"/>
    <sheet name="641" sheetId="78" r:id="rId25"/>
    <sheet name="Sheet2" sheetId="81"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_Nd1">#REF!</definedName>
    <definedName name="__NEW2">[1]!OK_thke_thuchi_toan_bo_2_cap</definedName>
    <definedName name="_C111">TH!$Q$10:$Q$2123</definedName>
    <definedName name="_C112">TH!$T$10:$T$2123</definedName>
    <definedName name="_Fill" localSheetId="6" hidden="1">#REF!</definedName>
    <definedName name="_Fill" localSheetId="11" hidden="1">#REF!</definedName>
    <definedName name="_Fill" localSheetId="24" hidden="1">#REF!</definedName>
    <definedName name="_Fill" localSheetId="18" hidden="1">#REF!</definedName>
    <definedName name="_Fill" localSheetId="3" hidden="1">#REF!</definedName>
    <definedName name="_Fill" hidden="1">#REF!</definedName>
    <definedName name="_xlnm._FilterDatabase" localSheetId="4" hidden="1">'111'!$A$12:$J$145</definedName>
    <definedName name="_xlnm._FilterDatabase" localSheetId="6" hidden="1">'112'!$A$10:$K$91</definedName>
    <definedName name="_xlnm._FilterDatabase" localSheetId="8" hidden="1">'131-CT'!$A$12:$J$25</definedName>
    <definedName name="_xlnm._FilterDatabase" localSheetId="10" hidden="1">'331-CT'!$A$12:$J$21</definedName>
    <definedName name="_xlnm._FilterDatabase" localSheetId="16" hidden="1">BTGT!$A$93:$R$132</definedName>
    <definedName name="_xlnm._FilterDatabase" localSheetId="3" hidden="1">CTTK!$A$13:$J$15</definedName>
    <definedName name="_xlnm._FilterDatabase" localSheetId="12" hidden="1">NXT!$A$11:$N$469</definedName>
    <definedName name="_xlnm._FilterDatabase" localSheetId="25" hidden="1">Sheet2!$A$127:$P$245</definedName>
    <definedName name="_xlnm._FilterDatabase" localSheetId="1" hidden="1">TH!$A$9:$AD$2002</definedName>
    <definedName name="_xlnm._FilterDatabase" localSheetId="15" hidden="1">TK!$A$1:$J$1</definedName>
    <definedName name="_M">TH!$B$10:$B$2123</definedName>
    <definedName name="_N111">TH!$P$10:$P$2123</definedName>
    <definedName name="_N112">TH!$S$10:$S$2123</definedName>
    <definedName name="_Nd1">#REF!</definedName>
    <definedName name="_NEW2">[1]!OK_thke_thuchi_toan_bo_2_cap</definedName>
    <definedName name="_TM1">IF('IN-TC'!$S$4=1,1,IF('IN-TC'!$S$4=2,4,IF('IN-TC'!$S$4=3,7,10)))</definedName>
    <definedName name="_TM2">IF('IN-TC'!$S$4=1,3,IF('IN-TC'!$S$4=2,6,IF('IN-TC'!$S$4=3,9,12)))</definedName>
    <definedName name="a">[2]!OK_thke_CHI_toan_bo_2_cap</definedName>
    <definedName name="Bke" localSheetId="18">[3]ds!#REF!</definedName>
    <definedName name="Bke">[3]ds!#REF!</definedName>
    <definedName name="BKHDDV2SSCT" localSheetId="18">#REF!</definedName>
    <definedName name="BKHDDV2SSCT">#REF!</definedName>
    <definedName name="Bt_add1_Chso">[4]!Bt_add1_Chso</definedName>
    <definedName name="Btkc" localSheetId="18">#REF!</definedName>
    <definedName name="Btkc">#REF!</definedName>
    <definedName name="Bust" localSheetId="18">#REF!</definedName>
    <definedName name="Bust">#REF!</definedName>
    <definedName name="Button_Doi_nhom_chtu">[5]!Button_Doi_nhom_chtu</definedName>
    <definedName name="CgNo" localSheetId="18">#REF!</definedName>
    <definedName name="CgNo">#REF!</definedName>
    <definedName name="Change_ten_thuong_dung">[6]!Change_ten_thuong_dung</definedName>
    <definedName name="chi">[7]Sqt02!#REF!</definedName>
    <definedName name="Chk_tieu_de_thke">[8]!Chk_tieu_de_thke</definedName>
    <definedName name="Chk_Tieude_thke">[5]!Chk_Tieude_thke</definedName>
    <definedName name="Chso" localSheetId="18">#REF!</definedName>
    <definedName name="Chso">#REF!</definedName>
    <definedName name="Chtu" localSheetId="18">#REF!</definedName>
    <definedName name="Chtu">#REF!</definedName>
    <definedName name="Continue" localSheetId="18">#REF!</definedName>
    <definedName name="Continue">#REF!</definedName>
    <definedName name="D_THU">[9]BANRA!$I$9:$I$25</definedName>
    <definedName name="DC">'[10]Danh muc'!$A$3</definedName>
    <definedName name="DG">TH!$J$10:$J$2123</definedName>
    <definedName name="Dieãn_giaûi">[7]Sqt02!#REF!</definedName>
    <definedName name="DOANH_SO" localSheetId="18">#REF!</definedName>
    <definedName name="DOANH_SO">#REF!</definedName>
    <definedName name="DOANHSO_BAN" localSheetId="18">#REF!</definedName>
    <definedName name="DOANHSO_BAN">#REF!</definedName>
    <definedName name="DOANHSO_MUA" localSheetId="18">#REF!</definedName>
    <definedName name="DOANHSO_MUA">#REF!</definedName>
    <definedName name="Document_array" localSheetId="18">{"cuc2.xls","Sheet1"}</definedName>
    <definedName name="Document_array">{"cuc2.xls","Sheet1"}</definedName>
    <definedName name="Documents_array">#REF!</definedName>
    <definedName name="Dong">IF([0]!Loai="331",ROW([0]!Loai)-1,"")</definedName>
    <definedName name="Dong1">IF(!Loai1="x",ROW(Loai1)-1,"")</definedName>
    <definedName name="Dong10">IF(!Loai7="x",ROW(Loai7)-1,"")</definedName>
    <definedName name="Dong11">IF(!Loai8="x",ROW(Loai8)-1,"")</definedName>
    <definedName name="Dong12">IF(!Loai9="x",ROW(Loai9)-1,"")</definedName>
    <definedName name="Dong13">IF(Loai4='641'!$M$5,ROW(Loai4)-1,"")</definedName>
    <definedName name="Dong14">IF(!Loai="131",ROW([0]!Loai)-1,"")</definedName>
    <definedName name="Dong2">IF(!Loai2="x",ROW(Loai2)-1,"")</definedName>
    <definedName name="Dong3">IF(!Loai3="x",ROW(Loai3)-1,"")</definedName>
    <definedName name="Dong4">IF(!Loai4="x",ROW(Loai4)-1,"")</definedName>
    <definedName name="Dong5">IF(!Loai5="x",ROW(Loai5)-1,"")</definedName>
    <definedName name="Dong6">IF(!Loai6="x",ROW(Loai6)-1,"")</definedName>
    <definedName name="Dong7">IF(Loai4='642'!$M$5,ROW(Loai4)-1,"")</definedName>
    <definedName name="Dong8">IF(Loai4='632'!$K$5,ROW(Loai4)-1,"")</definedName>
    <definedName name="Dong9">IF(Loai4='154'!$N$5,ROW(Loai4)-1,"")</definedName>
    <definedName name="Donvi">#REF!</definedName>
    <definedName name="Dr_Co_TK">[11]!Dr_Co_TK</definedName>
    <definedName name="Dr_Cot_lon">[5]!Dr_Cot_lon</definedName>
    <definedName name="Dr_Cot_nho">[5]!Dr_Cot_nho</definedName>
    <definedName name="Dr_Field_R1">[5]!Dr_Field_R1</definedName>
    <definedName name="Dr_Field_R2">[5]!Dr_Field_R2</definedName>
    <definedName name="Dr_mau_thke">[8]!Dr_mau_thke</definedName>
    <definedName name="Dr_Mau_trich">[5]!Dr_Mau_trich</definedName>
    <definedName name="Dr_Mauthke">[5]!Dr_Mauthke</definedName>
    <definedName name="Dr_Nd1_Chtu">[12]!Dr_Nd1_Chtu</definedName>
    <definedName name="Dr_nhom_chtu">[5]!Dr_nhom_chtu</definedName>
    <definedName name="Dr_Nhom_chung_tu">[13]!Dr_Nhom_chung_tu</definedName>
    <definedName name="Dr_No_TK">[11]!Dr_No_TK</definedName>
    <definedName name="Dr_Taikh_Co">[13]!Dr_Taikh_Co</definedName>
    <definedName name="Dr_Taikh_No">[13]!Dr_Taikh_No</definedName>
    <definedName name="Dr_trang">[5]!Dr_trang</definedName>
    <definedName name="Dr_trang_Chon">[5]!Dr_trang_Chon</definedName>
    <definedName name="DS_131">'131'!$B$6:$B$36</definedName>
    <definedName name="DSGT1">BTGT!$B$7:$B$27</definedName>
    <definedName name="DSGT2">BTGT!$B$36:$B$74</definedName>
    <definedName name="DSGT3">BTGT!$B$83:$B$87</definedName>
    <definedName name="DSGT4">BTGT!$B$94:$B$133</definedName>
    <definedName name="DSKH">'331'!$B$6:$B$19</definedName>
    <definedName name="DSKHusd">'[14]131'!$B$5:$B$15</definedName>
    <definedName name="DSSP1">BTGT!$B$7:$I$27</definedName>
    <definedName name="DSSP2">BTGT!$B$36:$I$74</definedName>
    <definedName name="DSSP3">BTGT!$B$83:$I$87</definedName>
    <definedName name="DSSP4">BTGT!$B$94:$I$133</definedName>
    <definedName name="DSTK">CDPS!$A$10:$D$48</definedName>
    <definedName name="DSTS1">'SO-TS'!$D$14:$D$17</definedName>
    <definedName name="duc" localSheetId="18">#REF!</definedName>
    <definedName name="duc">#REF!</definedName>
    <definedName name="DUCKY_CO_CD" localSheetId="18">#REF!</definedName>
    <definedName name="DUCKY_CO_CD">#REF!</definedName>
    <definedName name="DUCKY_NO_CD" localSheetId="18">#REF!</definedName>
    <definedName name="DUCKY_NO_CD">#REF!</definedName>
    <definedName name="DUDKY_CO_CD">#REF!</definedName>
    <definedName name="DUDKY_NO_CD">#REF!</definedName>
    <definedName name="Field">#REF!</definedName>
    <definedName name="Field_C2_Change">[15]!Field_C2_Change</definedName>
    <definedName name="Field_Chon_Change">[15]!Field_Chon_Change</definedName>
    <definedName name="Field_Cotlon_change">[15]!Field_Cotlon_change</definedName>
    <definedName name="GTGT_BAN" localSheetId="18">#REF!</definedName>
    <definedName name="GTGT_BAN">#REF!</definedName>
    <definedName name="GTGT_MUA" localSheetId="18">#REF!</definedName>
    <definedName name="GTGT_MUA">#REF!</definedName>
    <definedName name="Hello" localSheetId="18">#REF!</definedName>
    <definedName name="Hello">#REF!</definedName>
    <definedName name="Hoten">#REF!</definedName>
    <definedName name="KH">TH!$H$10:$H$2123</definedName>
    <definedName name="KHC">TH!$M$10:$M$2123</definedName>
    <definedName name="KHN">TH!$L$10:$L$2123</definedName>
    <definedName name="Leâ_Coâng_Minh">#REF!</definedName>
    <definedName name="List_nguon">[16]!List_nguon</definedName>
    <definedName name="List_trich_lay">[5]!List_trich_lay</definedName>
    <definedName name="List_trich_xoa">[5]!List_trich_xoa</definedName>
    <definedName name="Lke">[17]ds!#REF!</definedName>
    <definedName name="Loai">OFFSET(TH!$N$5,,,COUNTA(TH!$N$5:$N$40433))</definedName>
    <definedName name="LOAI_BM" localSheetId="18">#REF!</definedName>
    <definedName name="LOAI_BM">#REF!</definedName>
    <definedName name="Loai_Chtu_change">[15]!Loai_Chtu_change</definedName>
    <definedName name="LOAI_MB" localSheetId="18">#REF!</definedName>
    <definedName name="LOAI_MB">#REF!</definedName>
    <definedName name="Loai_ngte_change">[18]!Loai_ngte_change</definedName>
    <definedName name="Loai1">OFFSET(TH!$O$5,,,COUNTA(TH!$O$5:$O$40433))</definedName>
    <definedName name="Loai2">OFFSET(TH!$R$5,,,COUNTA(TH!$R$5:$R$40433))</definedName>
    <definedName name="Loai3">OFFSET('SO-TS'!$P$14,,,COUNTA('SO-TS'!$P$14:$P$3889))</definedName>
    <definedName name="Loai4">OFFSET(TH!$U$5,,,COUNTA(TH!$U$5:$U$40433))</definedName>
    <definedName name="Loai5">OFFSET(TH!$V$5,,,COUNTA(TH!$V$5:$V$40433))</definedName>
    <definedName name="Loai6">OFFSET(TH!$Z$5,,,COUNTA(TH!$Z$5:$Z$40433))</definedName>
    <definedName name="Loai7">OFFSET(TH!$W$5,,,COUNTA(TH!$W$5:$W$40433))</definedName>
    <definedName name="Loai8">OFFSET(TH!$X$5,,,COUNTA(TH!$X$5:$X$40433))</definedName>
    <definedName name="Loai9">OFFSET(TH!$Y$5,,,COUNTA(TH!$Y$5:$Y$40433))</definedName>
    <definedName name="LoaiPh" localSheetId="18">#REF!</definedName>
    <definedName name="LoaiPh">#REF!</definedName>
    <definedName name="Loc" localSheetId="18">#REF!</definedName>
    <definedName name="Loc">#REF!</definedName>
    <definedName name="Luu_thke">[8]!Luu_thke</definedName>
    <definedName name="MATK_CD" localSheetId="18">#REF!</definedName>
    <definedName name="MATK_CD">#REF!</definedName>
    <definedName name="MATK_M">[19]MATK!$A$6:$C$292</definedName>
    <definedName name="MH">TH!$F$10:$F$2123</definedName>
    <definedName name="ModM.Field_C2_Change">[18]!ModM.Field_C2_Change</definedName>
    <definedName name="ModM.Field_Chon_Change">[18]!ModM.Field_Chon_Change</definedName>
    <definedName name="ModM.Field_Cotlon_change">[18]!ModM.Field_Cotlon_change</definedName>
    <definedName name="ModM.Muc_change">[18]!ModM.Muc_change</definedName>
    <definedName name="ModM.OK_Khung_chon_thke">[18]!ModM.OK_Khung_chon_thke</definedName>
    <definedName name="ModM.OK_Thong_bao_chtu_cuoi">[18]!ModM.OK_Thong_bao_chtu_cuoi</definedName>
    <definedName name="ModP.Loai_Chtu_change">[18]!ModP.Loai_Chtu_change</definedName>
    <definedName name="ModP.OK_Loc_Ctgs">[18]!ModP.OK_Loc_Ctgs</definedName>
    <definedName name="ModP.OK_nhap_chtu_goc">[18]!ModP.OK_nhap_chtu_goc</definedName>
    <definedName name="ModP.OK_Trich_1tk_1dv">[18]!ModP.OK_Trich_1tk_1dv</definedName>
    <definedName name="ModP.OK_Trich_chtu_1_Don_vi">[18]!ModP.OK_Trich_chtu_1_Don_vi</definedName>
    <definedName name="ModP.Taikh_Co_change">[18]!ModP.Taikh_Co_change</definedName>
    <definedName name="ModP.Taikh_No_change">[18]!ModP.Taikh_No_change</definedName>
    <definedName name="ModP.Xoa_dg_cuoi_chtu_ghi_so">[18]!ModP.Xoa_dg_cuoi_chtu_ghi_so</definedName>
    <definedName name="Muc_change">[15]!Muc_change</definedName>
    <definedName name="NEW">[1]!OK_thke_thuchi_toan_bo_2_cap</definedName>
    <definedName name="NGAYCTU_B" localSheetId="18">#REF!</definedName>
    <definedName name="NGAYCTU_B">#REF!</definedName>
    <definedName name="NoiDung_1_change">[15]!NoiDung_1_change</definedName>
    <definedName name="NXT">NXT!$A$12:$A$791</definedName>
    <definedName name="OK_Chitiet_VNÑ_1_tieukh_co_Ngte_chua_DCTG">[18]!OK_Chitiet_VNÑ_1_tieukh_co_Ngte_chua_DCTG</definedName>
    <definedName name="OK_Chtu_goc">[13]!OK_Chtu_goc</definedName>
    <definedName name="OK_Dialog3Dr">[20]!OK_Dialog3Dr</definedName>
    <definedName name="OK_Dlg3Dr">[21]!OK_Dlg3Dr</definedName>
    <definedName name="OK_Khung_chon_thke">[15]!OK_Khung_chon_thke</definedName>
    <definedName name="OK_Loc_1Tk_1Dv">[22]!OK_Loc_1Tk_1Dv</definedName>
    <definedName name="OK_loc_chon">[5]!OK_loc_chon</definedName>
    <definedName name="OK_Loc_Ctgs">[15]!OK_Loc_Ctgs</definedName>
    <definedName name="OK_Mo_chtu_th_dung">[6]!OK_Mo_chtu_th_dung</definedName>
    <definedName name="OK_nhap_chtu">[5]!OK_nhap_chtu</definedName>
    <definedName name="OK_nhap_chtu_goc">[15]!OK_nhap_chtu_goc</definedName>
    <definedName name="OK_thke_CHI_toan_bo_2_cap">[23]!OK_thke_CHI_toan_bo_2_cap</definedName>
    <definedName name="OK_Thke_chon_lua">[5]!OK_Thke_chon_lua</definedName>
    <definedName name="OK_thke_THU_toan_bo_2_cap">[23]!OK_thke_THU_toan_bo_2_cap</definedName>
    <definedName name="OK_thke_thuchi_toan_bo_2_cap">[23]!OK_thke_thuchi_toan_bo_2_cap</definedName>
    <definedName name="OK_Thong_bao_chtu_cuoi">[15]!OK_Thong_bao_chtu_cuoi</definedName>
    <definedName name="OK_Trich_1_Don_vi">[22]!OK_Trich_1_Don_vi</definedName>
    <definedName name="OK_Trich_1tk_1dv">[24]!OK_Trich_1tk_1dv</definedName>
    <definedName name="OK_Trich_chtu_1_Don_vi">[15]!OK_Trich_chtu_1_Don_vi</definedName>
    <definedName name="P_TC">[10]Data!$B$5:$C$92</definedName>
    <definedName name="_xlnm.Print_Area" localSheetId="4">'111'!$A$1:$J$158</definedName>
    <definedName name="_xlnm.Print_Area" localSheetId="6">'112'!$A$1:$I$99</definedName>
    <definedName name="_xlnm.Print_Area" localSheetId="7">'131'!$A$1:$H$44</definedName>
    <definedName name="_xlnm.Print_Area" localSheetId="8">'131-CT'!$A$1:$J$106</definedName>
    <definedName name="_xlnm.Print_Area" localSheetId="14">'152-CT'!$B$2:$M$79</definedName>
    <definedName name="_xlnm.Print_Area" localSheetId="21">'154'!$A$2:$M$43</definedName>
    <definedName name="_xlnm.Print_Area" localSheetId="9">'331'!$A$1:$H$28</definedName>
    <definedName name="_xlnm.Print_Area" localSheetId="10">'331-CT'!$A$1:$J$173</definedName>
    <definedName name="_xlnm.Print_Area" localSheetId="22">'632'!$A$2:$J$30</definedName>
    <definedName name="_xlnm.Print_Area" localSheetId="24">'641'!$A$2:$L$35</definedName>
    <definedName name="_xlnm.Print_Area" localSheetId="23">'642'!$A$2:$L$40</definedName>
    <definedName name="_xlnm.Print_Area" localSheetId="16">BTGT!$A$31:$I$75</definedName>
    <definedName name="_xlnm.Print_Area" localSheetId="3">CTTK!$A$2:$I$46</definedName>
    <definedName name="_xlnm.Print_Area" localSheetId="13">'IN-NX'!$A$1:$I$40</definedName>
    <definedName name="_xlnm.Print_Area" localSheetId="5">'IN-TC'!$B$1:$O$28</definedName>
    <definedName name="_xlnm.Print_Area" localSheetId="2">NKC!$A$1:$I$58</definedName>
    <definedName name="_xlnm.Print_Area" localSheetId="12">NXT!$B$1:$L$474</definedName>
    <definedName name="_xlnm.Print_Area" localSheetId="19">'SO-TS'!$A$1:$O$33</definedName>
    <definedName name="_xlnm.Print_Area" localSheetId="20">'THE-TS'!$A$2:$H$45</definedName>
    <definedName name="_xlnm.Print_Area" localSheetId="15">TK!$A$1:$J$38</definedName>
    <definedName name="_xlnm.Print_Titles" localSheetId="4">'111'!$10:$12</definedName>
    <definedName name="_xlnm.Print_Titles" localSheetId="6">'112'!$8:$10</definedName>
    <definedName name="_xlnm.Print_Titles" localSheetId="8">'131-CT'!$10:$12</definedName>
    <definedName name="_xlnm.Print_Titles" localSheetId="21">'154'!$11:$14</definedName>
    <definedName name="_xlnm.Print_Titles" localSheetId="10">'331-CT'!$10:$12</definedName>
    <definedName name="_xlnm.Print_Titles" localSheetId="24">'641'!$11:$14</definedName>
    <definedName name="_xlnm.Print_Titles" localSheetId="23">'642'!$11:$14</definedName>
    <definedName name="_xlnm.Print_Titles" localSheetId="18">'BK-MV'!$11:$13</definedName>
    <definedName name="_xlnm.Print_Titles" localSheetId="16">BTGT!$35:$35</definedName>
    <definedName name="_xlnm.Print_Titles" localSheetId="3">CTTK!$11:$13</definedName>
    <definedName name="_xlnm.Print_Titles" localSheetId="2">NKC!$8:$9</definedName>
    <definedName name="_xlnm.Print_Titles" localSheetId="12">NXT!$8:$11</definedName>
    <definedName name="_xlnm.Print_Titles" localSheetId="19">'SO-TS'!$9:$12</definedName>
    <definedName name="_xlnm.Print_Titles">#N/A</definedName>
    <definedName name="PS">[10]Data!$B$5:$AI$92</definedName>
    <definedName name="PSCO_CD" localSheetId="18">#REF!</definedName>
    <definedName name="PSCO_CD">#REF!</definedName>
    <definedName name="PSNO_CD" localSheetId="18">#REF!</definedName>
    <definedName name="PSNO_CD">#REF!</definedName>
    <definedName name="SCCR" localSheetId="18">#REF!</definedName>
    <definedName name="SCCR">#REF!</definedName>
    <definedName name="SCDT">#REF!</definedName>
    <definedName name="SCT">[7]Sqt02!#REF!</definedName>
    <definedName name="SL">TH!$I$10:$I$2123</definedName>
    <definedName name="SoCai" localSheetId="18">#REF!</definedName>
    <definedName name="SoCai">#REF!</definedName>
    <definedName name="SOCTU_B" localSheetId="18">#REF!</definedName>
    <definedName name="SOCTU_B">#REF!</definedName>
    <definedName name="SOCTU_NK" localSheetId="18">#REF!</definedName>
    <definedName name="SOCTU_NK">#REF!</definedName>
    <definedName name="SOCTU_NK_BH">#REF!</definedName>
    <definedName name="Sodu">#REF!</definedName>
    <definedName name="SOTIEN_B">#REF!</definedName>
    <definedName name="SOTIEN_CO_NK">[19]NHATKY!$H$7:$H$125</definedName>
    <definedName name="SOTIEN_NO_NK">[19]NHATKY!$G$7:$G$125</definedName>
    <definedName name="STT_CT">#REF!</definedName>
    <definedName name="STT_NC">#REF!</definedName>
    <definedName name="STT_NCT">#REF!</definedName>
    <definedName name="STT_PH">#REF!</definedName>
    <definedName name="T">[9]CTGS!$P$6:$P$598</definedName>
    <definedName name="Taikh">#REF!</definedName>
    <definedName name="Taikh_Co_change">[15]!Taikh_Co_change</definedName>
    <definedName name="Taikh_Co_Drop">[5]!Taikh_Co_Drop</definedName>
    <definedName name="Taikh_No_change">[15]!Taikh_No_change</definedName>
    <definedName name="Taikh_No_Drop">[5]!Taikh_No_Drop</definedName>
    <definedName name="TEN">'[10]Danh muc'!$A$1</definedName>
    <definedName name="TH">TH!$K$10:$K$2123</definedName>
    <definedName name="Thke" localSheetId="18">#REF!</definedName>
    <definedName name="Thke">#REF!</definedName>
    <definedName name="thu" localSheetId="18">[7]Sqt02!#REF!</definedName>
    <definedName name="thu">[7]Sqt02!#REF!</definedName>
    <definedName name="THUE_BRA">[9]BANRA!$J$9:$J$25</definedName>
    <definedName name="THUE_GTGT" localSheetId="18">#REF!</definedName>
    <definedName name="THUE_GTGT">#REF!</definedName>
    <definedName name="TK">[10]CDPS!$C$10:$C$150</definedName>
    <definedName name="TKCO_NK">[19]NHATKY!$F$7:$F$125</definedName>
    <definedName name="TKdu">[7]Sqt02!#REF!</definedName>
    <definedName name="TKNO_NK">[19]NHATKY!$E$7:$E$125</definedName>
    <definedName name="TM">TH!$A$10:$M$2123</definedName>
    <definedName name="Toàn">[7]Sqt02!#REF!</definedName>
    <definedName name="TrTkDv" localSheetId="18">#REF!</definedName>
    <definedName name="TrTkDv">#REF!</definedName>
    <definedName name="TSUAT_BAN">[9]BANRA!$L$9:$L$25</definedName>
    <definedName name="ttt">[9]CTGS!$Q$6:$Q$598</definedName>
    <definedName name="Txt_Hdon">[12]!Txt_Hdon</definedName>
    <definedName name="Txt_tieu_de_thke">[8]!Txt_tieu_de_thke</definedName>
    <definedName name="Txt_Tieude_thke">[5]!Txt_Tieude_thke</definedName>
    <definedName name="Tygia" localSheetId="18">#REF!</definedName>
    <definedName name="Tygia">#REF!</definedName>
    <definedName name="Xoa_dg_cuoi">[5]!Xoa_dg_cuoi</definedName>
    <definedName name="Xoa_dg_cuoi_chtu_ghi_so">[15]!Xoa_dg_cuoi_chtu_ghi_so</definedName>
    <definedName name="Xoa_dong_cuoi">[13]!Xoa_dong_cuoi</definedName>
    <definedName name="Xoa_mau_thke">[5]!Xoa_mau_thke</definedName>
  </definedNames>
  <calcPr calcId="144525"/>
</workbook>
</file>

<file path=xl/calcChain.xml><?xml version="1.0" encoding="utf-8"?>
<calcChain xmlns="http://schemas.openxmlformats.org/spreadsheetml/2006/main">
  <c r="L2" i="39" l="1"/>
  <c r="N13" i="34"/>
  <c r="R13" i="34"/>
  <c r="S13" i="34"/>
  <c r="T13" i="34"/>
  <c r="V13" i="34"/>
  <c r="X13" i="34"/>
  <c r="Y13" i="34"/>
  <c r="N14" i="34"/>
  <c r="R14" i="34"/>
  <c r="S14" i="34"/>
  <c r="T14" i="34"/>
  <c r="V14" i="34"/>
  <c r="X14" i="34"/>
  <c r="Y14" i="34"/>
  <c r="N15" i="34"/>
  <c r="R15" i="34"/>
  <c r="S15" i="34"/>
  <c r="T15" i="34"/>
  <c r="V15" i="34"/>
  <c r="X15" i="34"/>
  <c r="Y15" i="34"/>
  <c r="N16" i="34"/>
  <c r="R16" i="34"/>
  <c r="S16" i="34"/>
  <c r="T16" i="34"/>
  <c r="V16" i="34"/>
  <c r="X16" i="34"/>
  <c r="Y16" i="34"/>
  <c r="N17" i="34"/>
  <c r="R17" i="34"/>
  <c r="S17" i="34"/>
  <c r="T17" i="34"/>
  <c r="V17" i="34"/>
  <c r="X17" i="34"/>
  <c r="Y17" i="34"/>
  <c r="N18" i="34"/>
  <c r="R18" i="34"/>
  <c r="S18" i="34"/>
  <c r="T18" i="34"/>
  <c r="V18" i="34"/>
  <c r="X18" i="34"/>
  <c r="Y18" i="34"/>
  <c r="N19" i="34"/>
  <c r="R19" i="34"/>
  <c r="S19" i="34"/>
  <c r="T19" i="34"/>
  <c r="V19" i="34"/>
  <c r="X19" i="34"/>
  <c r="Y19" i="34"/>
  <c r="N20" i="34"/>
  <c r="R20" i="34"/>
  <c r="S20" i="34"/>
  <c r="T20" i="34"/>
  <c r="V20" i="34"/>
  <c r="X20" i="34"/>
  <c r="Y20" i="34"/>
  <c r="N21" i="34"/>
  <c r="R21" i="34"/>
  <c r="S21" i="34"/>
  <c r="T21" i="34"/>
  <c r="V21" i="34"/>
  <c r="X21" i="34"/>
  <c r="Y21" i="34"/>
  <c r="N22" i="34"/>
  <c r="R22" i="34"/>
  <c r="S22" i="34"/>
  <c r="T22" i="34"/>
  <c r="V22" i="34"/>
  <c r="X22" i="34"/>
  <c r="Y22" i="34"/>
  <c r="N23" i="34"/>
  <c r="R23" i="34"/>
  <c r="S23" i="34"/>
  <c r="T23" i="34"/>
  <c r="V23" i="34"/>
  <c r="X23" i="34"/>
  <c r="Y23" i="34"/>
  <c r="N24" i="34"/>
  <c r="R24" i="34"/>
  <c r="S24" i="34"/>
  <c r="T24" i="34"/>
  <c r="V24" i="34"/>
  <c r="X24" i="34"/>
  <c r="Y24" i="34"/>
  <c r="N25" i="34"/>
  <c r="R25" i="34"/>
  <c r="S25" i="34"/>
  <c r="T25" i="34"/>
  <c r="V25" i="34"/>
  <c r="X25" i="34"/>
  <c r="Y25" i="34"/>
  <c r="N26" i="34"/>
  <c r="R26" i="34"/>
  <c r="S26" i="34"/>
  <c r="T26" i="34"/>
  <c r="V26" i="34"/>
  <c r="X26" i="34"/>
  <c r="Y26" i="34"/>
  <c r="N27" i="34"/>
  <c r="R27" i="34"/>
  <c r="S27" i="34"/>
  <c r="T27" i="34"/>
  <c r="V27" i="34"/>
  <c r="X27" i="34"/>
  <c r="Y27" i="34"/>
  <c r="N28" i="34"/>
  <c r="R28" i="34"/>
  <c r="S28" i="34"/>
  <c r="T28" i="34"/>
  <c r="V28" i="34"/>
  <c r="X28" i="34"/>
  <c r="Y28" i="34"/>
  <c r="N29" i="34"/>
  <c r="R29" i="34"/>
  <c r="S29" i="34"/>
  <c r="T29" i="34"/>
  <c r="V29" i="34"/>
  <c r="X29" i="34"/>
  <c r="Y29" i="34"/>
  <c r="N30" i="34"/>
  <c r="R30" i="34"/>
  <c r="S30" i="34"/>
  <c r="T30" i="34"/>
  <c r="V30" i="34"/>
  <c r="X30" i="34"/>
  <c r="Y30" i="34"/>
  <c r="N31" i="34"/>
  <c r="R31" i="34"/>
  <c r="S31" i="34"/>
  <c r="T31" i="34"/>
  <c r="V31" i="34"/>
  <c r="X31" i="34"/>
  <c r="Y31" i="34"/>
  <c r="N32" i="34"/>
  <c r="R32" i="34"/>
  <c r="S32" i="34"/>
  <c r="T32" i="34"/>
  <c r="V32" i="34"/>
  <c r="X32" i="34"/>
  <c r="Y32" i="34"/>
  <c r="N33" i="34"/>
  <c r="R33" i="34"/>
  <c r="S33" i="34"/>
  <c r="T33" i="34"/>
  <c r="V33" i="34"/>
  <c r="X33" i="34"/>
  <c r="Y33" i="34"/>
  <c r="N34" i="34"/>
  <c r="R34" i="34"/>
  <c r="S34" i="34"/>
  <c r="T34" i="34"/>
  <c r="V34" i="34"/>
  <c r="X34" i="34"/>
  <c r="Y34" i="34"/>
  <c r="N35" i="34"/>
  <c r="R35" i="34"/>
  <c r="S35" i="34"/>
  <c r="T35" i="34"/>
  <c r="V35" i="34"/>
  <c r="X35" i="34"/>
  <c r="Y35" i="34"/>
  <c r="N36" i="34"/>
  <c r="R36" i="34"/>
  <c r="S36" i="34"/>
  <c r="T36" i="34"/>
  <c r="V36" i="34"/>
  <c r="X36" i="34"/>
  <c r="Y36" i="34"/>
  <c r="N37" i="34"/>
  <c r="R37" i="34"/>
  <c r="S37" i="34"/>
  <c r="T37" i="34"/>
  <c r="V37" i="34"/>
  <c r="X37" i="34"/>
  <c r="Y37" i="34"/>
  <c r="N38" i="34"/>
  <c r="R38" i="34"/>
  <c r="S38" i="34"/>
  <c r="T38" i="34"/>
  <c r="V38" i="34"/>
  <c r="X38" i="34"/>
  <c r="Y38" i="34"/>
  <c r="N39" i="34"/>
  <c r="R39" i="34"/>
  <c r="S39" i="34"/>
  <c r="T39" i="34"/>
  <c r="V39" i="34"/>
  <c r="X39" i="34"/>
  <c r="Y39" i="34"/>
  <c r="N40" i="34"/>
  <c r="R40" i="34"/>
  <c r="S40" i="34"/>
  <c r="T40" i="34"/>
  <c r="V40" i="34"/>
  <c r="X40" i="34"/>
  <c r="Y40" i="34"/>
  <c r="N41" i="34"/>
  <c r="R41" i="34"/>
  <c r="S41" i="34"/>
  <c r="T41" i="34"/>
  <c r="V41" i="34"/>
  <c r="X41" i="34"/>
  <c r="Y41" i="34"/>
  <c r="N42" i="34"/>
  <c r="V42" i="34"/>
  <c r="X42" i="34"/>
  <c r="Y42" i="34"/>
  <c r="N43" i="34"/>
  <c r="R43" i="34"/>
  <c r="S43" i="34"/>
  <c r="T43" i="34"/>
  <c r="V43" i="34"/>
  <c r="X43" i="34"/>
  <c r="Y43" i="34"/>
  <c r="N44" i="34"/>
  <c r="R44" i="34"/>
  <c r="S44" i="34"/>
  <c r="T44" i="34"/>
  <c r="V44" i="34"/>
  <c r="X44" i="34"/>
  <c r="Y44" i="34"/>
  <c r="N45" i="34"/>
  <c r="R45" i="34"/>
  <c r="S45" i="34"/>
  <c r="T45" i="34"/>
  <c r="V45" i="34"/>
  <c r="X45" i="34"/>
  <c r="Y45" i="34"/>
  <c r="N46" i="34"/>
  <c r="R46" i="34"/>
  <c r="S46" i="34"/>
  <c r="T46" i="34"/>
  <c r="V46" i="34"/>
  <c r="X46" i="34"/>
  <c r="Y46" i="34"/>
  <c r="N47" i="34"/>
  <c r="R47" i="34"/>
  <c r="S47" i="34"/>
  <c r="T47" i="34"/>
  <c r="V47" i="34"/>
  <c r="X47" i="34"/>
  <c r="Y47" i="34"/>
  <c r="N48" i="34"/>
  <c r="R48" i="34"/>
  <c r="S48" i="34"/>
  <c r="T48" i="34"/>
  <c r="V48" i="34"/>
  <c r="X48" i="34"/>
  <c r="Y48" i="34"/>
  <c r="N49" i="34"/>
  <c r="R49" i="34"/>
  <c r="S49" i="34"/>
  <c r="T49" i="34"/>
  <c r="V49" i="34"/>
  <c r="X49" i="34"/>
  <c r="Y49" i="34"/>
  <c r="N50" i="34"/>
  <c r="R50" i="34"/>
  <c r="S50" i="34"/>
  <c r="T50" i="34"/>
  <c r="V50" i="34"/>
  <c r="X50" i="34"/>
  <c r="Y50" i="34"/>
  <c r="N51" i="34"/>
  <c r="R51" i="34"/>
  <c r="S51" i="34"/>
  <c r="T51" i="34"/>
  <c r="V51" i="34"/>
  <c r="X51" i="34"/>
  <c r="Y51" i="34"/>
  <c r="N52" i="34"/>
  <c r="R52" i="34"/>
  <c r="S52" i="34"/>
  <c r="T52" i="34"/>
  <c r="V52" i="34"/>
  <c r="X52" i="34"/>
  <c r="Y52" i="34"/>
  <c r="N53" i="34"/>
  <c r="R53" i="34"/>
  <c r="S53" i="34"/>
  <c r="T53" i="34"/>
  <c r="V53" i="34"/>
  <c r="X53" i="34"/>
  <c r="Y53" i="34"/>
  <c r="N54" i="34"/>
  <c r="R54" i="34"/>
  <c r="S54" i="34"/>
  <c r="T54" i="34"/>
  <c r="V54" i="34"/>
  <c r="X54" i="34"/>
  <c r="Y54" i="34"/>
  <c r="N55" i="34"/>
  <c r="R55" i="34"/>
  <c r="S55" i="34"/>
  <c r="T55" i="34"/>
  <c r="V55" i="34"/>
  <c r="X55" i="34"/>
  <c r="Y55" i="34"/>
  <c r="N56" i="34"/>
  <c r="R56" i="34"/>
  <c r="S56" i="34"/>
  <c r="T56" i="34"/>
  <c r="V56" i="34"/>
  <c r="X56" i="34"/>
  <c r="Y56" i="34"/>
  <c r="N57" i="34"/>
  <c r="R57" i="34"/>
  <c r="S57" i="34"/>
  <c r="T57" i="34"/>
  <c r="V57" i="34"/>
  <c r="X57" i="34"/>
  <c r="Y57" i="34"/>
  <c r="N58" i="34"/>
  <c r="R58" i="34"/>
  <c r="S58" i="34"/>
  <c r="T58" i="34"/>
  <c r="V58" i="34"/>
  <c r="X58" i="34"/>
  <c r="Y58" i="34"/>
  <c r="N59" i="34"/>
  <c r="R59" i="34"/>
  <c r="S59" i="34"/>
  <c r="T59" i="34"/>
  <c r="V59" i="34"/>
  <c r="X59" i="34"/>
  <c r="Y59" i="34"/>
  <c r="N60" i="34"/>
  <c r="V60" i="34"/>
  <c r="X60" i="34"/>
  <c r="Y60" i="34"/>
  <c r="N61" i="34"/>
  <c r="R61" i="34"/>
  <c r="S61" i="34"/>
  <c r="T61" i="34"/>
  <c r="V61" i="34"/>
  <c r="X61" i="34"/>
  <c r="Y61" i="34"/>
  <c r="N62" i="34"/>
  <c r="R62" i="34"/>
  <c r="S62" i="34"/>
  <c r="T62" i="34"/>
  <c r="V62" i="34"/>
  <c r="X62" i="34"/>
  <c r="Y62" i="34"/>
  <c r="N63" i="34"/>
  <c r="R63" i="34"/>
  <c r="S63" i="34"/>
  <c r="T63" i="34"/>
  <c r="V63" i="34"/>
  <c r="X63" i="34"/>
  <c r="Y63" i="34"/>
  <c r="N64" i="34"/>
  <c r="R64" i="34"/>
  <c r="S64" i="34"/>
  <c r="T64" i="34"/>
  <c r="V64" i="34"/>
  <c r="X64" i="34"/>
  <c r="Y64" i="34"/>
  <c r="N65" i="34"/>
  <c r="R65" i="34"/>
  <c r="S65" i="34"/>
  <c r="T65" i="34"/>
  <c r="V65" i="34"/>
  <c r="X65" i="34"/>
  <c r="Y65" i="34"/>
  <c r="N66" i="34"/>
  <c r="R66" i="34"/>
  <c r="S66" i="34"/>
  <c r="T66" i="34"/>
  <c r="V66" i="34"/>
  <c r="X66" i="34"/>
  <c r="Y66" i="34"/>
  <c r="N67" i="34"/>
  <c r="R67" i="34"/>
  <c r="S67" i="34"/>
  <c r="T67" i="34"/>
  <c r="V67" i="34"/>
  <c r="X67" i="34"/>
  <c r="Y67" i="34"/>
  <c r="N68" i="34"/>
  <c r="R68" i="34"/>
  <c r="S68" i="34"/>
  <c r="T68" i="34"/>
  <c r="V68" i="34"/>
  <c r="X68" i="34"/>
  <c r="Y68" i="34"/>
  <c r="N69" i="34"/>
  <c r="R69" i="34"/>
  <c r="S69" i="34"/>
  <c r="T69" i="34"/>
  <c r="V69" i="34"/>
  <c r="X69" i="34"/>
  <c r="Y69" i="34"/>
  <c r="N70" i="34"/>
  <c r="R70" i="34"/>
  <c r="S70" i="34"/>
  <c r="T70" i="34"/>
  <c r="V70" i="34"/>
  <c r="X70" i="34"/>
  <c r="Y70" i="34"/>
  <c r="N71" i="34"/>
  <c r="R71" i="34"/>
  <c r="S71" i="34"/>
  <c r="T71" i="34"/>
  <c r="V71" i="34"/>
  <c r="X71" i="34"/>
  <c r="Y71" i="34"/>
  <c r="N72" i="34"/>
  <c r="R72" i="34"/>
  <c r="S72" i="34"/>
  <c r="T72" i="34"/>
  <c r="V72" i="34"/>
  <c r="X72" i="34"/>
  <c r="Y72" i="34"/>
  <c r="N73" i="34"/>
  <c r="V73" i="34"/>
  <c r="X73" i="34"/>
  <c r="Y73" i="34"/>
  <c r="N74" i="34"/>
  <c r="V74" i="34"/>
  <c r="X74" i="34"/>
  <c r="Y74" i="34"/>
  <c r="N75" i="34"/>
  <c r="R75" i="34"/>
  <c r="S75" i="34"/>
  <c r="T75" i="34"/>
  <c r="V75" i="34"/>
  <c r="X75" i="34"/>
  <c r="Y75" i="34"/>
  <c r="N76" i="34"/>
  <c r="R76" i="34"/>
  <c r="S76" i="34"/>
  <c r="T76" i="34"/>
  <c r="V76" i="34"/>
  <c r="X76" i="34"/>
  <c r="Y76" i="34"/>
  <c r="N77" i="34"/>
  <c r="R77" i="34"/>
  <c r="S77" i="34"/>
  <c r="T77" i="34"/>
  <c r="V77" i="34"/>
  <c r="X77" i="34"/>
  <c r="Y77" i="34"/>
  <c r="N78" i="34"/>
  <c r="R78" i="34"/>
  <c r="S78" i="34"/>
  <c r="T78" i="34"/>
  <c r="V78" i="34"/>
  <c r="X78" i="34"/>
  <c r="Y78" i="34"/>
  <c r="N79" i="34"/>
  <c r="R79" i="34"/>
  <c r="S79" i="34"/>
  <c r="T79" i="34"/>
  <c r="V79" i="34"/>
  <c r="X79" i="34"/>
  <c r="Y79" i="34"/>
  <c r="N80" i="34"/>
  <c r="R80" i="34"/>
  <c r="S80" i="34"/>
  <c r="T80" i="34"/>
  <c r="V80" i="34"/>
  <c r="X80" i="34"/>
  <c r="Y80" i="34"/>
  <c r="N81" i="34"/>
  <c r="R81" i="34"/>
  <c r="S81" i="34"/>
  <c r="T81" i="34"/>
  <c r="V81" i="34"/>
  <c r="X81" i="34"/>
  <c r="Y81" i="34"/>
  <c r="N82" i="34"/>
  <c r="R82" i="34"/>
  <c r="S82" i="34"/>
  <c r="T82" i="34"/>
  <c r="V82" i="34"/>
  <c r="X82" i="34"/>
  <c r="Y82" i="34"/>
  <c r="N83" i="34"/>
  <c r="R83" i="34"/>
  <c r="S83" i="34"/>
  <c r="T83" i="34"/>
  <c r="V83" i="34"/>
  <c r="X83" i="34"/>
  <c r="Y83" i="34"/>
  <c r="N84" i="34"/>
  <c r="R84" i="34"/>
  <c r="S84" i="34"/>
  <c r="T84" i="34"/>
  <c r="V84" i="34"/>
  <c r="X84" i="34"/>
  <c r="Y84" i="34"/>
  <c r="N85" i="34"/>
  <c r="R85" i="34"/>
  <c r="S85" i="34"/>
  <c r="T85" i="34"/>
  <c r="V85" i="34"/>
  <c r="X85" i="34"/>
  <c r="Y85" i="34"/>
  <c r="N86" i="34"/>
  <c r="R86" i="34"/>
  <c r="S86" i="34"/>
  <c r="T86" i="34"/>
  <c r="V86" i="34"/>
  <c r="X86" i="34"/>
  <c r="Y86" i="34"/>
  <c r="N87" i="34"/>
  <c r="R87" i="34"/>
  <c r="S87" i="34"/>
  <c r="T87" i="34"/>
  <c r="V87" i="34"/>
  <c r="X87" i="34"/>
  <c r="Y87" i="34"/>
  <c r="N88" i="34"/>
  <c r="R88" i="34"/>
  <c r="S88" i="34"/>
  <c r="T88" i="34"/>
  <c r="V88" i="34"/>
  <c r="X88" i="34"/>
  <c r="Y88" i="34"/>
  <c r="N89" i="34"/>
  <c r="R89" i="34"/>
  <c r="S89" i="34"/>
  <c r="T89" i="34"/>
  <c r="V89" i="34"/>
  <c r="X89" i="34"/>
  <c r="Y89" i="34"/>
  <c r="N90" i="34"/>
  <c r="R90" i="34"/>
  <c r="S90" i="34"/>
  <c r="T90" i="34"/>
  <c r="V90" i="34"/>
  <c r="X90" i="34"/>
  <c r="Y90" i="34"/>
  <c r="N91" i="34"/>
  <c r="R91" i="34"/>
  <c r="S91" i="34"/>
  <c r="T91" i="34"/>
  <c r="V91" i="34"/>
  <c r="X91" i="34"/>
  <c r="Y91" i="34"/>
  <c r="N92" i="34"/>
  <c r="R92" i="34"/>
  <c r="S92" i="34"/>
  <c r="T92" i="34"/>
  <c r="V92" i="34"/>
  <c r="X92" i="34"/>
  <c r="Y92" i="34"/>
  <c r="N93" i="34"/>
  <c r="R93" i="34"/>
  <c r="S93" i="34"/>
  <c r="T93" i="34"/>
  <c r="V93" i="34"/>
  <c r="X93" i="34"/>
  <c r="Y93" i="34"/>
  <c r="N94" i="34"/>
  <c r="R94" i="34"/>
  <c r="S94" i="34"/>
  <c r="T94" i="34"/>
  <c r="V94" i="34"/>
  <c r="X94" i="34"/>
  <c r="Y94" i="34"/>
  <c r="N95" i="34"/>
  <c r="V95" i="34"/>
  <c r="X95" i="34"/>
  <c r="Y95" i="34"/>
  <c r="N96" i="34"/>
  <c r="V96" i="34"/>
  <c r="X96" i="34"/>
  <c r="Y96" i="34"/>
  <c r="N97" i="34"/>
  <c r="V97" i="34"/>
  <c r="X97" i="34"/>
  <c r="Y97" i="34"/>
  <c r="N98" i="34"/>
  <c r="R98" i="34"/>
  <c r="S98" i="34"/>
  <c r="T98" i="34"/>
  <c r="V98" i="34"/>
  <c r="X98" i="34"/>
  <c r="Y98" i="34"/>
  <c r="N99" i="34"/>
  <c r="R99" i="34"/>
  <c r="S99" i="34"/>
  <c r="T99" i="34"/>
  <c r="V99" i="34"/>
  <c r="X99" i="34"/>
  <c r="Y99" i="34"/>
  <c r="N100" i="34"/>
  <c r="V100" i="34"/>
  <c r="X100" i="34"/>
  <c r="Y100" i="34"/>
  <c r="N101" i="34"/>
  <c r="R101" i="34"/>
  <c r="S101" i="34"/>
  <c r="T101" i="34"/>
  <c r="V101" i="34"/>
  <c r="X101" i="34"/>
  <c r="Y101" i="34"/>
  <c r="N102" i="34"/>
  <c r="R102" i="34"/>
  <c r="S102" i="34"/>
  <c r="T102" i="34"/>
  <c r="V102" i="34"/>
  <c r="X102" i="34"/>
  <c r="Y102" i="34"/>
  <c r="N103" i="34"/>
  <c r="R103" i="34"/>
  <c r="S103" i="34"/>
  <c r="T103" i="34"/>
  <c r="V103" i="34"/>
  <c r="X103" i="34"/>
  <c r="Y103" i="34"/>
  <c r="N104" i="34"/>
  <c r="R104" i="34"/>
  <c r="S104" i="34"/>
  <c r="T104" i="34"/>
  <c r="V104" i="34"/>
  <c r="X104" i="34"/>
  <c r="Y104" i="34"/>
  <c r="N105" i="34"/>
  <c r="R105" i="34"/>
  <c r="S105" i="34"/>
  <c r="T105" i="34"/>
  <c r="V105" i="34"/>
  <c r="X105" i="34"/>
  <c r="Y105" i="34"/>
  <c r="N106" i="34"/>
  <c r="R106" i="34"/>
  <c r="S106" i="34"/>
  <c r="T106" i="34"/>
  <c r="V106" i="34"/>
  <c r="X106" i="34"/>
  <c r="Y106" i="34"/>
  <c r="N107" i="34"/>
  <c r="R107" i="34"/>
  <c r="S107" i="34"/>
  <c r="T107" i="34"/>
  <c r="V107" i="34"/>
  <c r="X107" i="34"/>
  <c r="Y107" i="34"/>
  <c r="N108" i="34"/>
  <c r="R108" i="34"/>
  <c r="S108" i="34"/>
  <c r="T108" i="34"/>
  <c r="V108" i="34"/>
  <c r="X108" i="34"/>
  <c r="Y108" i="34"/>
  <c r="N109" i="34"/>
  <c r="R109" i="34"/>
  <c r="S109" i="34"/>
  <c r="T109" i="34"/>
  <c r="V109" i="34"/>
  <c r="X109" i="34"/>
  <c r="Y109" i="34"/>
  <c r="N110" i="34"/>
  <c r="R110" i="34"/>
  <c r="S110" i="34"/>
  <c r="T110" i="34"/>
  <c r="V110" i="34"/>
  <c r="X110" i="34"/>
  <c r="Y110" i="34"/>
  <c r="N111" i="34"/>
  <c r="R111" i="34"/>
  <c r="S111" i="34"/>
  <c r="T111" i="34"/>
  <c r="V111" i="34"/>
  <c r="X111" i="34"/>
  <c r="Y111" i="34"/>
  <c r="N112" i="34"/>
  <c r="R112" i="34"/>
  <c r="S112" i="34"/>
  <c r="T112" i="34"/>
  <c r="V112" i="34"/>
  <c r="X112" i="34"/>
  <c r="Y112" i="34"/>
  <c r="N113" i="34"/>
  <c r="R113" i="34"/>
  <c r="S113" i="34"/>
  <c r="T113" i="34"/>
  <c r="V113" i="34"/>
  <c r="X113" i="34"/>
  <c r="Y113" i="34"/>
  <c r="N114" i="34"/>
  <c r="R114" i="34"/>
  <c r="S114" i="34"/>
  <c r="T114" i="34"/>
  <c r="V114" i="34"/>
  <c r="X114" i="34"/>
  <c r="Y114" i="34"/>
  <c r="N115" i="34"/>
  <c r="R115" i="34"/>
  <c r="S115" i="34"/>
  <c r="T115" i="34"/>
  <c r="V115" i="34"/>
  <c r="X115" i="34"/>
  <c r="Y115" i="34"/>
  <c r="N116" i="34"/>
  <c r="R116" i="34"/>
  <c r="S116" i="34"/>
  <c r="T116" i="34"/>
  <c r="V116" i="34"/>
  <c r="X116" i="34"/>
  <c r="Y116" i="34"/>
  <c r="N117" i="34"/>
  <c r="R117" i="34"/>
  <c r="S117" i="34"/>
  <c r="T117" i="34"/>
  <c r="V117" i="34"/>
  <c r="X117" i="34"/>
  <c r="Y117" i="34"/>
  <c r="N118" i="34"/>
  <c r="R118" i="34"/>
  <c r="S118" i="34"/>
  <c r="T118" i="34"/>
  <c r="V118" i="34"/>
  <c r="X118" i="34"/>
  <c r="Y118" i="34"/>
  <c r="N119" i="34"/>
  <c r="R119" i="34"/>
  <c r="S119" i="34"/>
  <c r="T119" i="34"/>
  <c r="V119" i="34"/>
  <c r="X119" i="34"/>
  <c r="Y119" i="34"/>
  <c r="N120" i="34"/>
  <c r="R120" i="34"/>
  <c r="S120" i="34"/>
  <c r="T120" i="34"/>
  <c r="V120" i="34"/>
  <c r="X120" i="34"/>
  <c r="Y120" i="34"/>
  <c r="N121" i="34"/>
  <c r="R121" i="34"/>
  <c r="S121" i="34"/>
  <c r="T121" i="34"/>
  <c r="V121" i="34"/>
  <c r="X121" i="34"/>
  <c r="Y121" i="34"/>
  <c r="N122" i="34"/>
  <c r="R122" i="34"/>
  <c r="S122" i="34"/>
  <c r="T122" i="34"/>
  <c r="V122" i="34"/>
  <c r="X122" i="34"/>
  <c r="Y122" i="34"/>
  <c r="N123" i="34"/>
  <c r="V123" i="34"/>
  <c r="X123" i="34"/>
  <c r="Y123" i="34"/>
  <c r="N124" i="34"/>
  <c r="V124" i="34"/>
  <c r="X124" i="34"/>
  <c r="Y124" i="34"/>
  <c r="N125" i="34"/>
  <c r="V125" i="34"/>
  <c r="X125" i="34"/>
  <c r="Y125" i="34"/>
  <c r="N126" i="34"/>
  <c r="V126" i="34"/>
  <c r="X126" i="34"/>
  <c r="Y126" i="34"/>
  <c r="N127" i="34"/>
  <c r="R127" i="34"/>
  <c r="S127" i="34"/>
  <c r="T127" i="34"/>
  <c r="V127" i="34"/>
  <c r="X127" i="34"/>
  <c r="Y127" i="34"/>
  <c r="N128" i="34"/>
  <c r="R128" i="34"/>
  <c r="S128" i="34"/>
  <c r="T128" i="34"/>
  <c r="V128" i="34"/>
  <c r="X128" i="34"/>
  <c r="Y128" i="34"/>
  <c r="N129" i="34"/>
  <c r="R129" i="34"/>
  <c r="S129" i="34"/>
  <c r="T129" i="34"/>
  <c r="V129" i="34"/>
  <c r="X129" i="34"/>
  <c r="Y129" i="34"/>
  <c r="N130" i="34"/>
  <c r="R130" i="34"/>
  <c r="S130" i="34"/>
  <c r="T130" i="34"/>
  <c r="V130" i="34"/>
  <c r="X130" i="34"/>
  <c r="Y130" i="34"/>
  <c r="N131" i="34"/>
  <c r="R131" i="34"/>
  <c r="S131" i="34"/>
  <c r="T131" i="34"/>
  <c r="V131" i="34"/>
  <c r="X131" i="34"/>
  <c r="Y131" i="34"/>
  <c r="N132" i="34"/>
  <c r="R132" i="34"/>
  <c r="S132" i="34"/>
  <c r="T132" i="34"/>
  <c r="V132" i="34"/>
  <c r="X132" i="34"/>
  <c r="Y132" i="34"/>
  <c r="N133" i="34"/>
  <c r="R133" i="34"/>
  <c r="S133" i="34"/>
  <c r="T133" i="34"/>
  <c r="V133" i="34"/>
  <c r="X133" i="34"/>
  <c r="Y133" i="34"/>
  <c r="N134" i="34"/>
  <c r="R134" i="34"/>
  <c r="S134" i="34"/>
  <c r="T134" i="34"/>
  <c r="V134" i="34"/>
  <c r="X134" i="34"/>
  <c r="Y134" i="34"/>
  <c r="N135" i="34"/>
  <c r="R135" i="34"/>
  <c r="S135" i="34"/>
  <c r="T135" i="34"/>
  <c r="V135" i="34"/>
  <c r="X135" i="34"/>
  <c r="Y135" i="34"/>
  <c r="N136" i="34"/>
  <c r="R136" i="34"/>
  <c r="S136" i="34"/>
  <c r="T136" i="34"/>
  <c r="V136" i="34"/>
  <c r="X136" i="34"/>
  <c r="Y136" i="34"/>
  <c r="N137" i="34"/>
  <c r="R137" i="34"/>
  <c r="S137" i="34"/>
  <c r="T137" i="34"/>
  <c r="V137" i="34"/>
  <c r="X137" i="34"/>
  <c r="Y137" i="34"/>
  <c r="N138" i="34"/>
  <c r="R138" i="34"/>
  <c r="S138" i="34"/>
  <c r="T138" i="34"/>
  <c r="V138" i="34"/>
  <c r="X138" i="34"/>
  <c r="Y138" i="34"/>
  <c r="N139" i="34"/>
  <c r="R139" i="34"/>
  <c r="S139" i="34"/>
  <c r="T139" i="34"/>
  <c r="V139" i="34"/>
  <c r="X139" i="34"/>
  <c r="Y139" i="34"/>
  <c r="N140" i="34"/>
  <c r="R140" i="34"/>
  <c r="S140" i="34"/>
  <c r="T140" i="34"/>
  <c r="V140" i="34"/>
  <c r="X140" i="34"/>
  <c r="Y140" i="34"/>
  <c r="N141" i="34"/>
  <c r="R141" i="34"/>
  <c r="S141" i="34"/>
  <c r="T141" i="34"/>
  <c r="V141" i="34"/>
  <c r="X141" i="34"/>
  <c r="Y141" i="34"/>
  <c r="N142" i="34"/>
  <c r="R142" i="34"/>
  <c r="S142" i="34"/>
  <c r="T142" i="34"/>
  <c r="V142" i="34"/>
  <c r="X142" i="34"/>
  <c r="Y142" i="34"/>
  <c r="N143" i="34"/>
  <c r="R143" i="34"/>
  <c r="S143" i="34"/>
  <c r="T143" i="34"/>
  <c r="V143" i="34"/>
  <c r="X143" i="34"/>
  <c r="Y143" i="34"/>
  <c r="N144" i="34"/>
  <c r="R144" i="34"/>
  <c r="S144" i="34"/>
  <c r="T144" i="34"/>
  <c r="V144" i="34"/>
  <c r="X144" i="34"/>
  <c r="Y144" i="34"/>
  <c r="N145" i="34"/>
  <c r="R145" i="34"/>
  <c r="S145" i="34"/>
  <c r="T145" i="34"/>
  <c r="V145" i="34"/>
  <c r="X145" i="34"/>
  <c r="Y145" i="34"/>
  <c r="N146" i="34"/>
  <c r="R146" i="34"/>
  <c r="S146" i="34"/>
  <c r="T146" i="34"/>
  <c r="V146" i="34"/>
  <c r="X146" i="34"/>
  <c r="Y146" i="34"/>
  <c r="N147" i="34"/>
  <c r="V147" i="34"/>
  <c r="X147" i="34"/>
  <c r="Y147" i="34"/>
  <c r="N148" i="34"/>
  <c r="V148" i="34"/>
  <c r="X148" i="34"/>
  <c r="Y148" i="34"/>
  <c r="N149" i="34"/>
  <c r="R149" i="34"/>
  <c r="S149" i="34"/>
  <c r="T149" i="34"/>
  <c r="V149" i="34"/>
  <c r="X149" i="34"/>
  <c r="Y149" i="34"/>
  <c r="N150" i="34"/>
  <c r="R150" i="34"/>
  <c r="S150" i="34"/>
  <c r="T150" i="34"/>
  <c r="V150" i="34"/>
  <c r="X150" i="34"/>
  <c r="Y150" i="34"/>
  <c r="N151" i="34"/>
  <c r="R151" i="34"/>
  <c r="S151" i="34"/>
  <c r="T151" i="34"/>
  <c r="V151" i="34"/>
  <c r="X151" i="34"/>
  <c r="Y151" i="34"/>
  <c r="N152" i="34"/>
  <c r="V152" i="34"/>
  <c r="X152" i="34"/>
  <c r="Y152" i="34"/>
  <c r="N153" i="34"/>
  <c r="V153" i="34"/>
  <c r="X153" i="34"/>
  <c r="Y153" i="34"/>
  <c r="N154" i="34"/>
  <c r="V154" i="34"/>
  <c r="X154" i="34"/>
  <c r="Y154" i="34"/>
  <c r="N155" i="34"/>
  <c r="V155" i="34"/>
  <c r="X155" i="34"/>
  <c r="Y155" i="34"/>
  <c r="N156" i="34"/>
  <c r="V156" i="34"/>
  <c r="X156" i="34"/>
  <c r="Y156" i="34"/>
  <c r="N157" i="34"/>
  <c r="V157" i="34"/>
  <c r="X157" i="34"/>
  <c r="Y157" i="34"/>
  <c r="N158" i="34"/>
  <c r="R158" i="34"/>
  <c r="S158" i="34"/>
  <c r="T158" i="34"/>
  <c r="V158" i="34"/>
  <c r="X158" i="34"/>
  <c r="Y158" i="34"/>
  <c r="N159" i="34"/>
  <c r="R159" i="34"/>
  <c r="S159" i="34"/>
  <c r="T159" i="34"/>
  <c r="V159" i="34"/>
  <c r="X159" i="34"/>
  <c r="Y159" i="34"/>
  <c r="N160" i="34"/>
  <c r="R160" i="34"/>
  <c r="S160" i="34"/>
  <c r="T160" i="34"/>
  <c r="V160" i="34"/>
  <c r="X160" i="34"/>
  <c r="Y160" i="34"/>
  <c r="N161" i="34"/>
  <c r="R161" i="34"/>
  <c r="S161" i="34"/>
  <c r="T161" i="34"/>
  <c r="V161" i="34"/>
  <c r="X161" i="34"/>
  <c r="Y161" i="34"/>
  <c r="N162" i="34"/>
  <c r="R162" i="34"/>
  <c r="S162" i="34"/>
  <c r="T162" i="34"/>
  <c r="V162" i="34"/>
  <c r="X162" i="34"/>
  <c r="Y162" i="34"/>
  <c r="N163" i="34"/>
  <c r="R163" i="34"/>
  <c r="S163" i="34"/>
  <c r="T163" i="34"/>
  <c r="V163" i="34"/>
  <c r="X163" i="34"/>
  <c r="Y163" i="34"/>
  <c r="N164" i="34"/>
  <c r="R164" i="34"/>
  <c r="S164" i="34"/>
  <c r="T164" i="34"/>
  <c r="V164" i="34"/>
  <c r="X164" i="34"/>
  <c r="Y164" i="34"/>
  <c r="N165" i="34"/>
  <c r="R165" i="34"/>
  <c r="S165" i="34"/>
  <c r="T165" i="34"/>
  <c r="V165" i="34"/>
  <c r="X165" i="34"/>
  <c r="Y165" i="34"/>
  <c r="N166" i="34"/>
  <c r="R166" i="34"/>
  <c r="S166" i="34"/>
  <c r="T166" i="34"/>
  <c r="V166" i="34"/>
  <c r="X166" i="34"/>
  <c r="Y166" i="34"/>
  <c r="N167" i="34"/>
  <c r="R167" i="34"/>
  <c r="S167" i="34"/>
  <c r="T167" i="34"/>
  <c r="V167" i="34"/>
  <c r="X167" i="34"/>
  <c r="Y167" i="34"/>
  <c r="N168" i="34"/>
  <c r="R168" i="34"/>
  <c r="S168" i="34"/>
  <c r="T168" i="34"/>
  <c r="V168" i="34"/>
  <c r="X168" i="34"/>
  <c r="Y168" i="34"/>
  <c r="N169" i="34"/>
  <c r="R169" i="34"/>
  <c r="S169" i="34"/>
  <c r="T169" i="34"/>
  <c r="V169" i="34"/>
  <c r="X169" i="34"/>
  <c r="Y169" i="34"/>
  <c r="N170" i="34"/>
  <c r="R170" i="34"/>
  <c r="S170" i="34"/>
  <c r="T170" i="34"/>
  <c r="V170" i="34"/>
  <c r="X170" i="34"/>
  <c r="Y170" i="34"/>
  <c r="N171" i="34"/>
  <c r="R171" i="34"/>
  <c r="S171" i="34"/>
  <c r="T171" i="34"/>
  <c r="V171" i="34"/>
  <c r="X171" i="34"/>
  <c r="Y171" i="34"/>
  <c r="N172" i="34"/>
  <c r="R172" i="34"/>
  <c r="S172" i="34"/>
  <c r="T172" i="34"/>
  <c r="V172" i="34"/>
  <c r="X172" i="34"/>
  <c r="Y172" i="34"/>
  <c r="N173" i="34"/>
  <c r="R173" i="34"/>
  <c r="S173" i="34"/>
  <c r="T173" i="34"/>
  <c r="V173" i="34"/>
  <c r="X173" i="34"/>
  <c r="Y173" i="34"/>
  <c r="N174" i="34"/>
  <c r="R174" i="34"/>
  <c r="S174" i="34"/>
  <c r="T174" i="34"/>
  <c r="V174" i="34"/>
  <c r="X174" i="34"/>
  <c r="Y174" i="34"/>
  <c r="N175" i="34"/>
  <c r="R175" i="34"/>
  <c r="S175" i="34"/>
  <c r="T175" i="34"/>
  <c r="V175" i="34"/>
  <c r="X175" i="34"/>
  <c r="Y175" i="34"/>
  <c r="N176" i="34"/>
  <c r="R176" i="34"/>
  <c r="S176" i="34"/>
  <c r="T176" i="34"/>
  <c r="V176" i="34"/>
  <c r="X176" i="34"/>
  <c r="Y176" i="34"/>
  <c r="N177" i="34"/>
  <c r="R177" i="34"/>
  <c r="S177" i="34"/>
  <c r="T177" i="34"/>
  <c r="V177" i="34"/>
  <c r="X177" i="34"/>
  <c r="Y177" i="34"/>
  <c r="N178" i="34"/>
  <c r="R178" i="34"/>
  <c r="S178" i="34"/>
  <c r="T178" i="34"/>
  <c r="V178" i="34"/>
  <c r="X178" i="34"/>
  <c r="Y178" i="34"/>
  <c r="N179" i="34"/>
  <c r="R179" i="34"/>
  <c r="S179" i="34"/>
  <c r="T179" i="34"/>
  <c r="V179" i="34"/>
  <c r="X179" i="34"/>
  <c r="Y179" i="34"/>
  <c r="N180" i="34"/>
  <c r="R180" i="34"/>
  <c r="S180" i="34"/>
  <c r="T180" i="34"/>
  <c r="V180" i="34"/>
  <c r="X180" i="34"/>
  <c r="Y180" i="34"/>
  <c r="N181" i="34"/>
  <c r="R181" i="34"/>
  <c r="S181" i="34"/>
  <c r="T181" i="34"/>
  <c r="V181" i="34"/>
  <c r="X181" i="34"/>
  <c r="Y181" i="34"/>
  <c r="N182" i="34"/>
  <c r="V182" i="34"/>
  <c r="X182" i="34"/>
  <c r="Y182" i="34"/>
  <c r="N183" i="34"/>
  <c r="R183" i="34"/>
  <c r="S183" i="34"/>
  <c r="T183" i="34"/>
  <c r="V183" i="34"/>
  <c r="X183" i="34"/>
  <c r="Y183" i="34"/>
  <c r="N184" i="34"/>
  <c r="R184" i="34"/>
  <c r="S184" i="34"/>
  <c r="T184" i="34"/>
  <c r="V184" i="34"/>
  <c r="X184" i="34"/>
  <c r="Y184" i="34"/>
  <c r="N185" i="34"/>
  <c r="R185" i="34"/>
  <c r="S185" i="34"/>
  <c r="T185" i="34"/>
  <c r="V185" i="34"/>
  <c r="X185" i="34"/>
  <c r="Y185" i="34"/>
  <c r="N186" i="34"/>
  <c r="R186" i="34"/>
  <c r="S186" i="34"/>
  <c r="T186" i="34"/>
  <c r="V186" i="34"/>
  <c r="X186" i="34"/>
  <c r="Y186" i="34"/>
  <c r="N187" i="34"/>
  <c r="V187" i="34"/>
  <c r="X187" i="34"/>
  <c r="Y187" i="34"/>
  <c r="N188" i="34"/>
  <c r="V188" i="34"/>
  <c r="X188" i="34"/>
  <c r="Y188" i="34"/>
  <c r="N189" i="34"/>
  <c r="R189" i="34"/>
  <c r="S189" i="34"/>
  <c r="T189" i="34"/>
  <c r="V189" i="34"/>
  <c r="X189" i="34"/>
  <c r="Y189" i="34"/>
  <c r="N190" i="34"/>
  <c r="R190" i="34"/>
  <c r="S190" i="34"/>
  <c r="T190" i="34"/>
  <c r="V190" i="34"/>
  <c r="X190" i="34"/>
  <c r="Y190" i="34"/>
  <c r="N191" i="34"/>
  <c r="R191" i="34"/>
  <c r="S191" i="34"/>
  <c r="T191" i="34"/>
  <c r="V191" i="34"/>
  <c r="X191" i="34"/>
  <c r="Y191" i="34"/>
  <c r="N192" i="34"/>
  <c r="R192" i="34"/>
  <c r="S192" i="34"/>
  <c r="T192" i="34"/>
  <c r="V192" i="34"/>
  <c r="X192" i="34"/>
  <c r="Y192" i="34"/>
  <c r="N193" i="34"/>
  <c r="R193" i="34"/>
  <c r="S193" i="34"/>
  <c r="T193" i="34"/>
  <c r="V193" i="34"/>
  <c r="X193" i="34"/>
  <c r="Y193" i="34"/>
  <c r="N194" i="34"/>
  <c r="R194" i="34"/>
  <c r="S194" i="34"/>
  <c r="T194" i="34"/>
  <c r="V194" i="34"/>
  <c r="X194" i="34"/>
  <c r="Y194" i="34"/>
  <c r="N195" i="34"/>
  <c r="V195" i="34"/>
  <c r="X195" i="34"/>
  <c r="Y195" i="34"/>
  <c r="N196" i="34"/>
  <c r="V196" i="34"/>
  <c r="X196" i="34"/>
  <c r="Y196" i="34"/>
  <c r="N197" i="34"/>
  <c r="V197" i="34"/>
  <c r="X197" i="34"/>
  <c r="Y197" i="34"/>
  <c r="N198" i="34"/>
  <c r="V198" i="34"/>
  <c r="X198" i="34"/>
  <c r="Y198" i="34"/>
  <c r="N199" i="34"/>
  <c r="V199" i="34"/>
  <c r="X199" i="34"/>
  <c r="Y199" i="34"/>
  <c r="N200" i="34"/>
  <c r="R200" i="34"/>
  <c r="S200" i="34"/>
  <c r="T200" i="34"/>
  <c r="V200" i="34"/>
  <c r="X200" i="34"/>
  <c r="Y200" i="34"/>
  <c r="N201" i="34"/>
  <c r="R201" i="34"/>
  <c r="S201" i="34"/>
  <c r="T201" i="34"/>
  <c r="V201" i="34"/>
  <c r="X201" i="34"/>
  <c r="Y201" i="34"/>
  <c r="N202" i="34"/>
  <c r="R202" i="34"/>
  <c r="S202" i="34"/>
  <c r="T202" i="34"/>
  <c r="V202" i="34"/>
  <c r="X202" i="34"/>
  <c r="Y202" i="34"/>
  <c r="N203" i="34"/>
  <c r="R203" i="34"/>
  <c r="S203" i="34"/>
  <c r="T203" i="34"/>
  <c r="V203" i="34"/>
  <c r="X203" i="34"/>
  <c r="Y203" i="34"/>
  <c r="N204" i="34"/>
  <c r="V204" i="34"/>
  <c r="X204" i="34"/>
  <c r="Y204" i="34"/>
  <c r="N205" i="34"/>
  <c r="V205" i="34"/>
  <c r="X205" i="34"/>
  <c r="Y205" i="34"/>
  <c r="N206" i="34"/>
  <c r="V206" i="34"/>
  <c r="X206" i="34"/>
  <c r="Y206" i="34"/>
  <c r="N207" i="34"/>
  <c r="R207" i="34"/>
  <c r="S207" i="34"/>
  <c r="T207" i="34"/>
  <c r="V207" i="34"/>
  <c r="X207" i="34"/>
  <c r="Y207" i="34"/>
  <c r="N208" i="34"/>
  <c r="R208" i="34"/>
  <c r="S208" i="34"/>
  <c r="T208" i="34"/>
  <c r="V208" i="34"/>
  <c r="X208" i="34"/>
  <c r="Y208" i="34"/>
  <c r="N209" i="34"/>
  <c r="R209" i="34"/>
  <c r="S209" i="34"/>
  <c r="T209" i="34"/>
  <c r="V209" i="34"/>
  <c r="X209" i="34"/>
  <c r="Y209" i="34"/>
  <c r="N210" i="34"/>
  <c r="R210" i="34"/>
  <c r="S210" i="34"/>
  <c r="T210" i="34"/>
  <c r="V210" i="34"/>
  <c r="X210" i="34"/>
  <c r="Y210" i="34"/>
  <c r="N211" i="34"/>
  <c r="R211" i="34"/>
  <c r="S211" i="34"/>
  <c r="T211" i="34"/>
  <c r="V211" i="34"/>
  <c r="X211" i="34"/>
  <c r="Y211" i="34"/>
  <c r="N212" i="34"/>
  <c r="R212" i="34"/>
  <c r="S212" i="34"/>
  <c r="T212" i="34"/>
  <c r="V212" i="34"/>
  <c r="X212" i="34"/>
  <c r="Y212" i="34"/>
  <c r="N213" i="34"/>
  <c r="R213" i="34"/>
  <c r="S213" i="34"/>
  <c r="T213" i="34"/>
  <c r="V213" i="34"/>
  <c r="X213" i="34"/>
  <c r="Y213" i="34"/>
  <c r="N214" i="34"/>
  <c r="R214" i="34"/>
  <c r="S214" i="34"/>
  <c r="T214" i="34"/>
  <c r="V214" i="34"/>
  <c r="X214" i="34"/>
  <c r="Y214" i="34"/>
  <c r="N215" i="34"/>
  <c r="R215" i="34"/>
  <c r="S215" i="34"/>
  <c r="T215" i="34"/>
  <c r="V215" i="34"/>
  <c r="X215" i="34"/>
  <c r="Y215" i="34"/>
  <c r="N216" i="34"/>
  <c r="R216" i="34"/>
  <c r="S216" i="34"/>
  <c r="T216" i="34"/>
  <c r="V216" i="34"/>
  <c r="X216" i="34"/>
  <c r="Y216" i="34"/>
  <c r="N217" i="34"/>
  <c r="R217" i="34"/>
  <c r="S217" i="34"/>
  <c r="T217" i="34"/>
  <c r="V217" i="34"/>
  <c r="X217" i="34"/>
  <c r="Y217" i="34"/>
  <c r="N218" i="34"/>
  <c r="R218" i="34"/>
  <c r="S218" i="34"/>
  <c r="T218" i="34"/>
  <c r="V218" i="34"/>
  <c r="X218" i="34"/>
  <c r="Y218" i="34"/>
  <c r="N219" i="34"/>
  <c r="R219" i="34"/>
  <c r="S219" i="34"/>
  <c r="T219" i="34"/>
  <c r="V219" i="34"/>
  <c r="X219" i="34"/>
  <c r="Y219" i="34"/>
  <c r="N220" i="34"/>
  <c r="R220" i="34"/>
  <c r="S220" i="34"/>
  <c r="T220" i="34"/>
  <c r="V220" i="34"/>
  <c r="X220" i="34"/>
  <c r="Y220" i="34"/>
  <c r="N221" i="34"/>
  <c r="R221" i="34"/>
  <c r="S221" i="34"/>
  <c r="T221" i="34"/>
  <c r="V221" i="34"/>
  <c r="X221" i="34"/>
  <c r="Y221" i="34"/>
  <c r="N222" i="34"/>
  <c r="V222" i="34"/>
  <c r="X222" i="34"/>
  <c r="Y222" i="34"/>
  <c r="N223" i="34"/>
  <c r="V223" i="34"/>
  <c r="X223" i="34"/>
  <c r="Y223" i="34"/>
  <c r="N224" i="34"/>
  <c r="V224" i="34"/>
  <c r="X224" i="34"/>
  <c r="Y224" i="34"/>
  <c r="N225" i="34"/>
  <c r="R225" i="34"/>
  <c r="S225" i="34"/>
  <c r="T225" i="34"/>
  <c r="V225" i="34"/>
  <c r="X225" i="34"/>
  <c r="Y225" i="34"/>
  <c r="N226" i="34"/>
  <c r="R226" i="34"/>
  <c r="S226" i="34"/>
  <c r="T226" i="34"/>
  <c r="V226" i="34"/>
  <c r="X226" i="34"/>
  <c r="Y226" i="34"/>
  <c r="N227" i="34"/>
  <c r="R227" i="34"/>
  <c r="S227" i="34"/>
  <c r="T227" i="34"/>
  <c r="V227" i="34"/>
  <c r="X227" i="34"/>
  <c r="Y227" i="34"/>
  <c r="N228" i="34"/>
  <c r="R228" i="34"/>
  <c r="S228" i="34"/>
  <c r="T228" i="34"/>
  <c r="V228" i="34"/>
  <c r="X228" i="34"/>
  <c r="Y228" i="34"/>
  <c r="N229" i="34"/>
  <c r="R229" i="34"/>
  <c r="S229" i="34"/>
  <c r="T229" i="34"/>
  <c r="V229" i="34"/>
  <c r="X229" i="34"/>
  <c r="Y229" i="34"/>
  <c r="N230" i="34"/>
  <c r="R230" i="34"/>
  <c r="S230" i="34"/>
  <c r="T230" i="34"/>
  <c r="V230" i="34"/>
  <c r="X230" i="34"/>
  <c r="Y230" i="34"/>
  <c r="N231" i="34"/>
  <c r="R231" i="34"/>
  <c r="S231" i="34"/>
  <c r="T231" i="34"/>
  <c r="V231" i="34"/>
  <c r="X231" i="34"/>
  <c r="Y231" i="34"/>
  <c r="N232" i="34"/>
  <c r="R232" i="34"/>
  <c r="S232" i="34"/>
  <c r="T232" i="34"/>
  <c r="V232" i="34"/>
  <c r="X232" i="34"/>
  <c r="Y232" i="34"/>
  <c r="N233" i="34"/>
  <c r="R233" i="34"/>
  <c r="S233" i="34"/>
  <c r="T233" i="34"/>
  <c r="V233" i="34"/>
  <c r="X233" i="34"/>
  <c r="Y233" i="34"/>
  <c r="N234" i="34"/>
  <c r="R234" i="34"/>
  <c r="S234" i="34"/>
  <c r="T234" i="34"/>
  <c r="V234" i="34"/>
  <c r="X234" i="34"/>
  <c r="Y234" i="34"/>
  <c r="N235" i="34"/>
  <c r="V235" i="34"/>
  <c r="X235" i="34"/>
  <c r="Y235" i="34"/>
  <c r="N236" i="34"/>
  <c r="V236" i="34"/>
  <c r="X236" i="34"/>
  <c r="Y236" i="34"/>
  <c r="N237" i="34"/>
  <c r="V237" i="34"/>
  <c r="X237" i="34"/>
  <c r="Y237" i="34"/>
  <c r="N238" i="34"/>
  <c r="V238" i="34"/>
  <c r="X238" i="34"/>
  <c r="Y238" i="34"/>
  <c r="N239" i="34"/>
  <c r="V239" i="34"/>
  <c r="X239" i="34"/>
  <c r="Y239" i="34"/>
  <c r="N240" i="34"/>
  <c r="R240" i="34"/>
  <c r="S240" i="34"/>
  <c r="T240" i="34"/>
  <c r="V240" i="34"/>
  <c r="X240" i="34"/>
  <c r="Y240" i="34"/>
  <c r="N241" i="34"/>
  <c r="R241" i="34"/>
  <c r="S241" i="34"/>
  <c r="T241" i="34"/>
  <c r="V241" i="34"/>
  <c r="X241" i="34"/>
  <c r="Y241" i="34"/>
  <c r="N242" i="34"/>
  <c r="V242" i="34"/>
  <c r="X242" i="34"/>
  <c r="Y242" i="34"/>
  <c r="N243" i="34"/>
  <c r="V243" i="34"/>
  <c r="X243" i="34"/>
  <c r="Y243" i="34"/>
  <c r="N244" i="34"/>
  <c r="R244" i="34"/>
  <c r="S244" i="34"/>
  <c r="T244" i="34"/>
  <c r="V244" i="34"/>
  <c r="X244" i="34"/>
  <c r="Y244" i="34"/>
  <c r="N245" i="34"/>
  <c r="R245" i="34"/>
  <c r="S245" i="34"/>
  <c r="T245" i="34"/>
  <c r="V245" i="34"/>
  <c r="X245" i="34"/>
  <c r="Y245" i="34"/>
  <c r="N246" i="34"/>
  <c r="V246" i="34"/>
  <c r="X246" i="34"/>
  <c r="Y246" i="34"/>
  <c r="N247" i="34"/>
  <c r="V247" i="34"/>
  <c r="X247" i="34"/>
  <c r="Y247" i="34"/>
  <c r="N248" i="34"/>
  <c r="R248" i="34"/>
  <c r="S248" i="34"/>
  <c r="T248" i="34"/>
  <c r="V248" i="34"/>
  <c r="X248" i="34"/>
  <c r="Y248" i="34"/>
  <c r="N249" i="34"/>
  <c r="R249" i="34"/>
  <c r="S249" i="34"/>
  <c r="T249" i="34"/>
  <c r="V249" i="34"/>
  <c r="X249" i="34"/>
  <c r="Y249" i="34"/>
  <c r="N250" i="34"/>
  <c r="R250" i="34"/>
  <c r="S250" i="34"/>
  <c r="T250" i="34"/>
  <c r="V250" i="34"/>
  <c r="X250" i="34"/>
  <c r="Y250" i="34"/>
  <c r="N251" i="34"/>
  <c r="R251" i="34"/>
  <c r="S251" i="34"/>
  <c r="T251" i="34"/>
  <c r="V251" i="34"/>
  <c r="X251" i="34"/>
  <c r="Y251" i="34"/>
  <c r="N252" i="34"/>
  <c r="R252" i="34"/>
  <c r="S252" i="34"/>
  <c r="T252" i="34"/>
  <c r="V252" i="34"/>
  <c r="X252" i="34"/>
  <c r="Y252" i="34"/>
  <c r="N253" i="34"/>
  <c r="R253" i="34"/>
  <c r="S253" i="34"/>
  <c r="T253" i="34"/>
  <c r="V253" i="34"/>
  <c r="X253" i="34"/>
  <c r="Y253" i="34"/>
  <c r="N254" i="34"/>
  <c r="R254" i="34"/>
  <c r="S254" i="34"/>
  <c r="T254" i="34"/>
  <c r="V254" i="34"/>
  <c r="X254" i="34"/>
  <c r="Y254" i="34"/>
  <c r="N255" i="34"/>
  <c r="R255" i="34"/>
  <c r="S255" i="34"/>
  <c r="T255" i="34"/>
  <c r="V255" i="34"/>
  <c r="X255" i="34"/>
  <c r="Y255" i="34"/>
  <c r="N256" i="34"/>
  <c r="R256" i="34"/>
  <c r="S256" i="34"/>
  <c r="T256" i="34"/>
  <c r="V256" i="34"/>
  <c r="X256" i="34"/>
  <c r="Y256" i="34"/>
  <c r="N257" i="34"/>
  <c r="R257" i="34"/>
  <c r="S257" i="34"/>
  <c r="T257" i="34"/>
  <c r="V257" i="34"/>
  <c r="X257" i="34"/>
  <c r="Y257" i="34"/>
  <c r="N258" i="34"/>
  <c r="R258" i="34"/>
  <c r="S258" i="34"/>
  <c r="T258" i="34"/>
  <c r="V258" i="34"/>
  <c r="X258" i="34"/>
  <c r="Y258" i="34"/>
  <c r="N259" i="34"/>
  <c r="R259" i="34"/>
  <c r="S259" i="34"/>
  <c r="T259" i="34"/>
  <c r="V259" i="34"/>
  <c r="X259" i="34"/>
  <c r="Y259" i="34"/>
  <c r="N260" i="34"/>
  <c r="R260" i="34"/>
  <c r="S260" i="34"/>
  <c r="T260" i="34"/>
  <c r="V260" i="34"/>
  <c r="X260" i="34"/>
  <c r="Y260" i="34"/>
  <c r="N261" i="34"/>
  <c r="R261" i="34"/>
  <c r="S261" i="34"/>
  <c r="T261" i="34"/>
  <c r="V261" i="34"/>
  <c r="X261" i="34"/>
  <c r="Y261" i="34"/>
  <c r="N262" i="34"/>
  <c r="R262" i="34"/>
  <c r="S262" i="34"/>
  <c r="T262" i="34"/>
  <c r="V262" i="34"/>
  <c r="X262" i="34"/>
  <c r="Y262" i="34"/>
  <c r="N263" i="34"/>
  <c r="R263" i="34"/>
  <c r="S263" i="34"/>
  <c r="T263" i="34"/>
  <c r="V263" i="34"/>
  <c r="X263" i="34"/>
  <c r="Y263" i="34"/>
  <c r="N264" i="34"/>
  <c r="R264" i="34"/>
  <c r="S264" i="34"/>
  <c r="T264" i="34"/>
  <c r="V264" i="34"/>
  <c r="X264" i="34"/>
  <c r="Y264" i="34"/>
  <c r="N265" i="34"/>
  <c r="R265" i="34"/>
  <c r="S265" i="34"/>
  <c r="T265" i="34"/>
  <c r="V265" i="34"/>
  <c r="X265" i="34"/>
  <c r="Y265" i="34"/>
  <c r="N266" i="34"/>
  <c r="R266" i="34"/>
  <c r="S266" i="34"/>
  <c r="T266" i="34"/>
  <c r="V266" i="34"/>
  <c r="X266" i="34"/>
  <c r="Y266" i="34"/>
  <c r="N267" i="34"/>
  <c r="R267" i="34"/>
  <c r="S267" i="34"/>
  <c r="T267" i="34"/>
  <c r="V267" i="34"/>
  <c r="X267" i="34"/>
  <c r="Y267" i="34"/>
  <c r="N268" i="34"/>
  <c r="R268" i="34"/>
  <c r="S268" i="34"/>
  <c r="T268" i="34"/>
  <c r="V268" i="34"/>
  <c r="X268" i="34"/>
  <c r="Y268" i="34"/>
  <c r="N269" i="34"/>
  <c r="R269" i="34"/>
  <c r="S269" i="34"/>
  <c r="T269" i="34"/>
  <c r="V269" i="34"/>
  <c r="X269" i="34"/>
  <c r="Y269" i="34"/>
  <c r="N270" i="34"/>
  <c r="V270" i="34"/>
  <c r="X270" i="34"/>
  <c r="Y270" i="34"/>
  <c r="N271" i="34"/>
  <c r="R271" i="34"/>
  <c r="S271" i="34"/>
  <c r="T271" i="34"/>
  <c r="V271" i="34"/>
  <c r="X271" i="34"/>
  <c r="Y271" i="34"/>
  <c r="N272" i="34"/>
  <c r="R272" i="34"/>
  <c r="S272" i="34"/>
  <c r="T272" i="34"/>
  <c r="V272" i="34"/>
  <c r="X272" i="34"/>
  <c r="Y272" i="34"/>
  <c r="N273" i="34"/>
  <c r="R273" i="34"/>
  <c r="S273" i="34"/>
  <c r="T273" i="34"/>
  <c r="V273" i="34"/>
  <c r="X273" i="34"/>
  <c r="Y273" i="34"/>
  <c r="N274" i="34"/>
  <c r="R274" i="34"/>
  <c r="S274" i="34"/>
  <c r="T274" i="34"/>
  <c r="V274" i="34"/>
  <c r="X274" i="34"/>
  <c r="Y274" i="34"/>
  <c r="N275" i="34"/>
  <c r="R275" i="34"/>
  <c r="S275" i="34"/>
  <c r="T275" i="34"/>
  <c r="V275" i="34"/>
  <c r="X275" i="34"/>
  <c r="Y275" i="34"/>
  <c r="N276" i="34"/>
  <c r="V276" i="34"/>
  <c r="X276" i="34"/>
  <c r="Y276" i="34"/>
  <c r="N277" i="34"/>
  <c r="V277" i="34"/>
  <c r="X277" i="34"/>
  <c r="Y277" i="34"/>
  <c r="N278" i="34"/>
  <c r="V278" i="34"/>
  <c r="X278" i="34"/>
  <c r="Y278" i="34"/>
  <c r="N279" i="34"/>
  <c r="V279" i="34"/>
  <c r="X279" i="34"/>
  <c r="Y279" i="34"/>
  <c r="N280" i="34"/>
  <c r="V280" i="34"/>
  <c r="X280" i="34"/>
  <c r="Y280" i="34"/>
  <c r="N281" i="34"/>
  <c r="V281" i="34"/>
  <c r="X281" i="34"/>
  <c r="Y281" i="34"/>
  <c r="N282" i="34"/>
  <c r="V282" i="34"/>
  <c r="X282" i="34"/>
  <c r="Y282" i="34"/>
  <c r="N283" i="34"/>
  <c r="V283" i="34"/>
  <c r="X283" i="34"/>
  <c r="Y283" i="34"/>
  <c r="N284" i="34"/>
  <c r="V284" i="34"/>
  <c r="X284" i="34"/>
  <c r="Y284" i="34"/>
  <c r="N285" i="34"/>
  <c r="V285" i="34"/>
  <c r="X285" i="34"/>
  <c r="Y285" i="34"/>
  <c r="N286" i="34"/>
  <c r="R286" i="34"/>
  <c r="S286" i="34"/>
  <c r="T286" i="34"/>
  <c r="V286" i="34"/>
  <c r="X286" i="34"/>
  <c r="Y286" i="34"/>
  <c r="N287" i="34"/>
  <c r="R287" i="34"/>
  <c r="S287" i="34"/>
  <c r="T287" i="34"/>
  <c r="V287" i="34"/>
  <c r="X287" i="34"/>
  <c r="Y287" i="34"/>
  <c r="N288" i="34"/>
  <c r="R288" i="34"/>
  <c r="S288" i="34"/>
  <c r="T288" i="34"/>
  <c r="V288" i="34"/>
  <c r="X288" i="34"/>
  <c r="Y288" i="34"/>
  <c r="N289" i="34"/>
  <c r="R289" i="34"/>
  <c r="S289" i="34"/>
  <c r="T289" i="34"/>
  <c r="V289" i="34"/>
  <c r="X289" i="34"/>
  <c r="Y289" i="34"/>
  <c r="N290" i="34"/>
  <c r="V290" i="34"/>
  <c r="X290" i="34"/>
  <c r="Y290" i="34"/>
  <c r="N291" i="34"/>
  <c r="V291" i="34"/>
  <c r="X291" i="34"/>
  <c r="Y291" i="34"/>
  <c r="N292" i="34"/>
  <c r="R292" i="34"/>
  <c r="S292" i="34"/>
  <c r="T292" i="34"/>
  <c r="V292" i="34"/>
  <c r="X292" i="34"/>
  <c r="Y292" i="34"/>
  <c r="N293" i="34"/>
  <c r="R293" i="34"/>
  <c r="S293" i="34"/>
  <c r="T293" i="34"/>
  <c r="V293" i="34"/>
  <c r="X293" i="34"/>
  <c r="Y293" i="34"/>
  <c r="N294" i="34"/>
  <c r="V294" i="34"/>
  <c r="X294" i="34"/>
  <c r="Y294" i="34"/>
  <c r="N295" i="34"/>
  <c r="V295" i="34"/>
  <c r="X295" i="34"/>
  <c r="Y295" i="34"/>
  <c r="N296" i="34"/>
  <c r="V296" i="34"/>
  <c r="X296" i="34"/>
  <c r="Y296" i="34"/>
  <c r="N297" i="34"/>
  <c r="V297" i="34"/>
  <c r="X297" i="34"/>
  <c r="Y297" i="34"/>
  <c r="N298" i="34"/>
  <c r="V298" i="34"/>
  <c r="X298" i="34"/>
  <c r="Y298" i="34"/>
  <c r="N299" i="34"/>
  <c r="V299" i="34"/>
  <c r="X299" i="34"/>
  <c r="Y299" i="34"/>
  <c r="N300" i="34"/>
  <c r="R300" i="34"/>
  <c r="S300" i="34"/>
  <c r="T300" i="34"/>
  <c r="V300" i="34"/>
  <c r="X300" i="34"/>
  <c r="Y300" i="34"/>
  <c r="N301" i="34"/>
  <c r="R301" i="34"/>
  <c r="S301" i="34"/>
  <c r="T301" i="34"/>
  <c r="V301" i="34"/>
  <c r="X301" i="34"/>
  <c r="Y301" i="34"/>
  <c r="N302" i="34"/>
  <c r="R302" i="34"/>
  <c r="S302" i="34"/>
  <c r="T302" i="34"/>
  <c r="V302" i="34"/>
  <c r="X302" i="34"/>
  <c r="Y302" i="34"/>
  <c r="N303" i="34"/>
  <c r="R303" i="34"/>
  <c r="S303" i="34"/>
  <c r="T303" i="34"/>
  <c r="V303" i="34"/>
  <c r="X303" i="34"/>
  <c r="Y303" i="34"/>
  <c r="N304" i="34"/>
  <c r="R304" i="34"/>
  <c r="S304" i="34"/>
  <c r="T304" i="34"/>
  <c r="V304" i="34"/>
  <c r="X304" i="34"/>
  <c r="Y304" i="34"/>
  <c r="N305" i="34"/>
  <c r="R305" i="34"/>
  <c r="S305" i="34"/>
  <c r="T305" i="34"/>
  <c r="V305" i="34"/>
  <c r="X305" i="34"/>
  <c r="Y305" i="34"/>
  <c r="N306" i="34"/>
  <c r="R306" i="34"/>
  <c r="S306" i="34"/>
  <c r="T306" i="34"/>
  <c r="V306" i="34"/>
  <c r="X306" i="34"/>
  <c r="Y306" i="34"/>
  <c r="N307" i="34"/>
  <c r="R307" i="34"/>
  <c r="S307" i="34"/>
  <c r="T307" i="34"/>
  <c r="V307" i="34"/>
  <c r="X307" i="34"/>
  <c r="Y307" i="34"/>
  <c r="N308" i="34"/>
  <c r="R308" i="34"/>
  <c r="S308" i="34"/>
  <c r="T308" i="34"/>
  <c r="V308" i="34"/>
  <c r="X308" i="34"/>
  <c r="Y308" i="34"/>
  <c r="N309" i="34"/>
  <c r="R309" i="34"/>
  <c r="S309" i="34"/>
  <c r="T309" i="34"/>
  <c r="V309" i="34"/>
  <c r="X309" i="34"/>
  <c r="Y309" i="34"/>
  <c r="N310" i="34"/>
  <c r="R310" i="34"/>
  <c r="S310" i="34"/>
  <c r="T310" i="34"/>
  <c r="V310" i="34"/>
  <c r="X310" i="34"/>
  <c r="Y310" i="34"/>
  <c r="N311" i="34"/>
  <c r="R311" i="34"/>
  <c r="S311" i="34"/>
  <c r="T311" i="34"/>
  <c r="V311" i="34"/>
  <c r="X311" i="34"/>
  <c r="Y311" i="34"/>
  <c r="N312" i="34"/>
  <c r="R312" i="34"/>
  <c r="S312" i="34"/>
  <c r="T312" i="34"/>
  <c r="V312" i="34"/>
  <c r="X312" i="34"/>
  <c r="Y312" i="34"/>
  <c r="N313" i="34"/>
  <c r="R313" i="34"/>
  <c r="S313" i="34"/>
  <c r="T313" i="34"/>
  <c r="V313" i="34"/>
  <c r="X313" i="34"/>
  <c r="Y313" i="34"/>
  <c r="N314" i="34"/>
  <c r="R314" i="34"/>
  <c r="S314" i="34"/>
  <c r="T314" i="34"/>
  <c r="V314" i="34"/>
  <c r="X314" i="34"/>
  <c r="Y314" i="34"/>
  <c r="N315" i="34"/>
  <c r="R315" i="34"/>
  <c r="S315" i="34"/>
  <c r="T315" i="34"/>
  <c r="V315" i="34"/>
  <c r="X315" i="34"/>
  <c r="Y315" i="34"/>
  <c r="N316" i="34"/>
  <c r="R316" i="34"/>
  <c r="S316" i="34"/>
  <c r="T316" i="34"/>
  <c r="V316" i="34"/>
  <c r="X316" i="34"/>
  <c r="Y316" i="34"/>
  <c r="N317" i="34"/>
  <c r="R317" i="34"/>
  <c r="S317" i="34"/>
  <c r="T317" i="34"/>
  <c r="V317" i="34"/>
  <c r="X317" i="34"/>
  <c r="Y317" i="34"/>
  <c r="N318" i="34"/>
  <c r="R318" i="34"/>
  <c r="S318" i="34"/>
  <c r="T318" i="34"/>
  <c r="V318" i="34"/>
  <c r="X318" i="34"/>
  <c r="Y318" i="34"/>
  <c r="N319" i="34"/>
  <c r="R319" i="34"/>
  <c r="S319" i="34"/>
  <c r="T319" i="34"/>
  <c r="V319" i="34"/>
  <c r="X319" i="34"/>
  <c r="Y319" i="34"/>
  <c r="N320" i="34"/>
  <c r="R320" i="34"/>
  <c r="S320" i="34"/>
  <c r="T320" i="34"/>
  <c r="V320" i="34"/>
  <c r="X320" i="34"/>
  <c r="Y320" i="34"/>
  <c r="N321" i="34"/>
  <c r="R321" i="34"/>
  <c r="S321" i="34"/>
  <c r="T321" i="34"/>
  <c r="V321" i="34"/>
  <c r="X321" i="34"/>
  <c r="Y321" i="34"/>
  <c r="N322" i="34"/>
  <c r="R322" i="34"/>
  <c r="S322" i="34"/>
  <c r="T322" i="34"/>
  <c r="V322" i="34"/>
  <c r="X322" i="34"/>
  <c r="Y322" i="34"/>
  <c r="N323" i="34"/>
  <c r="R323" i="34"/>
  <c r="S323" i="34"/>
  <c r="T323" i="34"/>
  <c r="V323" i="34"/>
  <c r="X323" i="34"/>
  <c r="Y323" i="34"/>
  <c r="N324" i="34"/>
  <c r="R324" i="34"/>
  <c r="S324" i="34"/>
  <c r="T324" i="34"/>
  <c r="V324" i="34"/>
  <c r="X324" i="34"/>
  <c r="Y324" i="34"/>
  <c r="N325" i="34"/>
  <c r="R325" i="34"/>
  <c r="S325" i="34"/>
  <c r="T325" i="34"/>
  <c r="V325" i="34"/>
  <c r="X325" i="34"/>
  <c r="Y325" i="34"/>
  <c r="N326" i="34"/>
  <c r="R326" i="34"/>
  <c r="S326" i="34"/>
  <c r="T326" i="34"/>
  <c r="V326" i="34"/>
  <c r="X326" i="34"/>
  <c r="Y326" i="34"/>
  <c r="N327" i="34"/>
  <c r="R327" i="34"/>
  <c r="S327" i="34"/>
  <c r="T327" i="34"/>
  <c r="V327" i="34"/>
  <c r="X327" i="34"/>
  <c r="Y327" i="34"/>
  <c r="N328" i="34"/>
  <c r="R328" i="34"/>
  <c r="S328" i="34"/>
  <c r="T328" i="34"/>
  <c r="V328" i="34"/>
  <c r="X328" i="34"/>
  <c r="Y328" i="34"/>
  <c r="N329" i="34"/>
  <c r="R329" i="34"/>
  <c r="S329" i="34"/>
  <c r="T329" i="34"/>
  <c r="V329" i="34"/>
  <c r="X329" i="34"/>
  <c r="Y329" i="34"/>
  <c r="N330" i="34"/>
  <c r="V330" i="34"/>
  <c r="X330" i="34"/>
  <c r="Y330" i="34"/>
  <c r="N331" i="34"/>
  <c r="R331" i="34"/>
  <c r="S331" i="34"/>
  <c r="T331" i="34"/>
  <c r="V331" i="34"/>
  <c r="X331" i="34"/>
  <c r="Y331" i="34"/>
  <c r="N332" i="34"/>
  <c r="R332" i="34"/>
  <c r="S332" i="34"/>
  <c r="T332" i="34"/>
  <c r="V332" i="34"/>
  <c r="X332" i="34"/>
  <c r="Y332" i="34"/>
  <c r="N333" i="34"/>
  <c r="R333" i="34"/>
  <c r="S333" i="34"/>
  <c r="T333" i="34"/>
  <c r="V333" i="34"/>
  <c r="X333" i="34"/>
  <c r="Y333" i="34"/>
  <c r="N334" i="34"/>
  <c r="V334" i="34"/>
  <c r="X334" i="34"/>
  <c r="Y334" i="34"/>
  <c r="N335" i="34"/>
  <c r="V335" i="34"/>
  <c r="X335" i="34"/>
  <c r="Y335" i="34"/>
  <c r="N336" i="34"/>
  <c r="V336" i="34"/>
  <c r="X336" i="34"/>
  <c r="Y336" i="34"/>
  <c r="N337" i="34"/>
  <c r="V337" i="34"/>
  <c r="X337" i="34"/>
  <c r="Y337" i="34"/>
  <c r="N338" i="34"/>
  <c r="R338" i="34"/>
  <c r="S338" i="34"/>
  <c r="T338" i="34"/>
  <c r="V338" i="34"/>
  <c r="X338" i="34"/>
  <c r="Y338" i="34"/>
  <c r="N339" i="34"/>
  <c r="R339" i="34"/>
  <c r="S339" i="34"/>
  <c r="T339" i="34"/>
  <c r="V339" i="34"/>
  <c r="X339" i="34"/>
  <c r="Y339" i="34"/>
  <c r="N340" i="34"/>
  <c r="R340" i="34"/>
  <c r="S340" i="34"/>
  <c r="T340" i="34"/>
  <c r="V340" i="34"/>
  <c r="X340" i="34"/>
  <c r="Y340" i="34"/>
  <c r="N341" i="34"/>
  <c r="R341" i="34"/>
  <c r="S341" i="34"/>
  <c r="T341" i="34"/>
  <c r="V341" i="34"/>
  <c r="X341" i="34"/>
  <c r="Y341" i="34"/>
  <c r="N342" i="34"/>
  <c r="R342" i="34"/>
  <c r="S342" i="34"/>
  <c r="T342" i="34"/>
  <c r="V342" i="34"/>
  <c r="X342" i="34"/>
  <c r="Y342" i="34"/>
  <c r="N343" i="34"/>
  <c r="R343" i="34"/>
  <c r="S343" i="34"/>
  <c r="T343" i="34"/>
  <c r="V343" i="34"/>
  <c r="X343" i="34"/>
  <c r="Y343" i="34"/>
  <c r="N344" i="34"/>
  <c r="R344" i="34"/>
  <c r="S344" i="34"/>
  <c r="T344" i="34"/>
  <c r="V344" i="34"/>
  <c r="X344" i="34"/>
  <c r="Y344" i="34"/>
  <c r="N345" i="34"/>
  <c r="R345" i="34"/>
  <c r="S345" i="34"/>
  <c r="T345" i="34"/>
  <c r="V345" i="34"/>
  <c r="X345" i="34"/>
  <c r="Y345" i="34"/>
  <c r="N346" i="34"/>
  <c r="R346" i="34"/>
  <c r="S346" i="34"/>
  <c r="T346" i="34"/>
  <c r="V346" i="34"/>
  <c r="X346" i="34"/>
  <c r="Y346" i="34"/>
  <c r="N347" i="34"/>
  <c r="R347" i="34"/>
  <c r="S347" i="34"/>
  <c r="T347" i="34"/>
  <c r="V347" i="34"/>
  <c r="X347" i="34"/>
  <c r="Y347" i="34"/>
  <c r="N348" i="34"/>
  <c r="R348" i="34"/>
  <c r="S348" i="34"/>
  <c r="T348" i="34"/>
  <c r="V348" i="34"/>
  <c r="X348" i="34"/>
  <c r="Y348" i="34"/>
  <c r="N349" i="34"/>
  <c r="R349" i="34"/>
  <c r="S349" i="34"/>
  <c r="T349" i="34"/>
  <c r="V349" i="34"/>
  <c r="X349" i="34"/>
  <c r="Y349" i="34"/>
  <c r="N350" i="34"/>
  <c r="R350" i="34"/>
  <c r="S350" i="34"/>
  <c r="T350" i="34"/>
  <c r="V350" i="34"/>
  <c r="X350" i="34"/>
  <c r="Y350" i="34"/>
  <c r="N351" i="34"/>
  <c r="R351" i="34"/>
  <c r="S351" i="34"/>
  <c r="T351" i="34"/>
  <c r="V351" i="34"/>
  <c r="X351" i="34"/>
  <c r="Y351" i="34"/>
  <c r="N352" i="34"/>
  <c r="R352" i="34"/>
  <c r="S352" i="34"/>
  <c r="T352" i="34"/>
  <c r="V352" i="34"/>
  <c r="X352" i="34"/>
  <c r="Y352" i="34"/>
  <c r="N353" i="34"/>
  <c r="R353" i="34"/>
  <c r="S353" i="34"/>
  <c r="T353" i="34"/>
  <c r="V353" i="34"/>
  <c r="X353" i="34"/>
  <c r="Y353" i="34"/>
  <c r="N354" i="34"/>
  <c r="R354" i="34"/>
  <c r="S354" i="34"/>
  <c r="T354" i="34"/>
  <c r="V354" i="34"/>
  <c r="X354" i="34"/>
  <c r="Y354" i="34"/>
  <c r="N355" i="34"/>
  <c r="R355" i="34"/>
  <c r="S355" i="34"/>
  <c r="T355" i="34"/>
  <c r="V355" i="34"/>
  <c r="X355" i="34"/>
  <c r="Y355" i="34"/>
  <c r="N356" i="34"/>
  <c r="R356" i="34"/>
  <c r="S356" i="34"/>
  <c r="T356" i="34"/>
  <c r="V356" i="34"/>
  <c r="X356" i="34"/>
  <c r="Y356" i="34"/>
  <c r="N357" i="34"/>
  <c r="R357" i="34"/>
  <c r="S357" i="34"/>
  <c r="T357" i="34"/>
  <c r="V357" i="34"/>
  <c r="X357" i="34"/>
  <c r="Y357" i="34"/>
  <c r="N358" i="34"/>
  <c r="R358" i="34"/>
  <c r="S358" i="34"/>
  <c r="T358" i="34"/>
  <c r="V358" i="34"/>
  <c r="X358" i="34"/>
  <c r="Y358" i="34"/>
  <c r="N359" i="34"/>
  <c r="R359" i="34"/>
  <c r="S359" i="34"/>
  <c r="T359" i="34"/>
  <c r="V359" i="34"/>
  <c r="X359" i="34"/>
  <c r="Y359" i="34"/>
  <c r="N360" i="34"/>
  <c r="R360" i="34"/>
  <c r="S360" i="34"/>
  <c r="T360" i="34"/>
  <c r="V360" i="34"/>
  <c r="X360" i="34"/>
  <c r="Y360" i="34"/>
  <c r="N361" i="34"/>
  <c r="R361" i="34"/>
  <c r="S361" i="34"/>
  <c r="T361" i="34"/>
  <c r="V361" i="34"/>
  <c r="X361" i="34"/>
  <c r="Y361" i="34"/>
  <c r="N362" i="34"/>
  <c r="R362" i="34"/>
  <c r="S362" i="34"/>
  <c r="T362" i="34"/>
  <c r="V362" i="34"/>
  <c r="X362" i="34"/>
  <c r="Y362" i="34"/>
  <c r="N363" i="34"/>
  <c r="R363" i="34"/>
  <c r="S363" i="34"/>
  <c r="T363" i="34"/>
  <c r="V363" i="34"/>
  <c r="X363" i="34"/>
  <c r="Y363" i="34"/>
  <c r="N364" i="34"/>
  <c r="R364" i="34"/>
  <c r="S364" i="34"/>
  <c r="T364" i="34"/>
  <c r="V364" i="34"/>
  <c r="X364" i="34"/>
  <c r="Y364" i="34"/>
  <c r="N365" i="34"/>
  <c r="R365" i="34"/>
  <c r="S365" i="34"/>
  <c r="T365" i="34"/>
  <c r="V365" i="34"/>
  <c r="X365" i="34"/>
  <c r="Y365" i="34"/>
  <c r="N366" i="34"/>
  <c r="R366" i="34"/>
  <c r="S366" i="34"/>
  <c r="T366" i="34"/>
  <c r="V366" i="34"/>
  <c r="X366" i="34"/>
  <c r="Y366" i="34"/>
  <c r="N367" i="34"/>
  <c r="R367" i="34"/>
  <c r="S367" i="34"/>
  <c r="T367" i="34"/>
  <c r="V367" i="34"/>
  <c r="X367" i="34"/>
  <c r="Y367" i="34"/>
  <c r="N368" i="34"/>
  <c r="R368" i="34"/>
  <c r="S368" i="34"/>
  <c r="T368" i="34"/>
  <c r="V368" i="34"/>
  <c r="X368" i="34"/>
  <c r="Y368" i="34"/>
  <c r="N369" i="34"/>
  <c r="R369" i="34"/>
  <c r="S369" i="34"/>
  <c r="T369" i="34"/>
  <c r="V369" i="34"/>
  <c r="X369" i="34"/>
  <c r="Y369" i="34"/>
  <c r="N370" i="34"/>
  <c r="V370" i="34"/>
  <c r="X370" i="34"/>
  <c r="Y370" i="34"/>
  <c r="N371" i="34"/>
  <c r="R371" i="34"/>
  <c r="S371" i="34"/>
  <c r="T371" i="34"/>
  <c r="V371" i="34"/>
  <c r="X371" i="34"/>
  <c r="Y371" i="34"/>
  <c r="N372" i="34"/>
  <c r="R372" i="34"/>
  <c r="S372" i="34"/>
  <c r="T372" i="34"/>
  <c r="V372" i="34"/>
  <c r="X372" i="34"/>
  <c r="Y372" i="34"/>
  <c r="N373" i="34"/>
  <c r="R373" i="34"/>
  <c r="S373" i="34"/>
  <c r="T373" i="34"/>
  <c r="V373" i="34"/>
  <c r="X373" i="34"/>
  <c r="Y373" i="34"/>
  <c r="N374" i="34"/>
  <c r="R374" i="34"/>
  <c r="S374" i="34"/>
  <c r="T374" i="34"/>
  <c r="V374" i="34"/>
  <c r="X374" i="34"/>
  <c r="Y374" i="34"/>
  <c r="N375" i="34"/>
  <c r="R375" i="34"/>
  <c r="S375" i="34"/>
  <c r="T375" i="34"/>
  <c r="V375" i="34"/>
  <c r="X375" i="34"/>
  <c r="Y375" i="34"/>
  <c r="N376" i="34"/>
  <c r="R376" i="34"/>
  <c r="S376" i="34"/>
  <c r="T376" i="34"/>
  <c r="V376" i="34"/>
  <c r="X376" i="34"/>
  <c r="Y376" i="34"/>
  <c r="N377" i="34"/>
  <c r="R377" i="34"/>
  <c r="S377" i="34"/>
  <c r="T377" i="34"/>
  <c r="V377" i="34"/>
  <c r="X377" i="34"/>
  <c r="Y377" i="34"/>
  <c r="N378" i="34"/>
  <c r="R378" i="34"/>
  <c r="S378" i="34"/>
  <c r="T378" i="34"/>
  <c r="V378" i="34"/>
  <c r="X378" i="34"/>
  <c r="Y378" i="34"/>
  <c r="N379" i="34"/>
  <c r="R379" i="34"/>
  <c r="S379" i="34"/>
  <c r="T379" i="34"/>
  <c r="V379" i="34"/>
  <c r="X379" i="34"/>
  <c r="Y379" i="34"/>
  <c r="N380" i="34"/>
  <c r="R380" i="34"/>
  <c r="S380" i="34"/>
  <c r="T380" i="34"/>
  <c r="V380" i="34"/>
  <c r="X380" i="34"/>
  <c r="Y380" i="34"/>
  <c r="N381" i="34"/>
  <c r="R381" i="34"/>
  <c r="S381" i="34"/>
  <c r="T381" i="34"/>
  <c r="V381" i="34"/>
  <c r="X381" i="34"/>
  <c r="Y381" i="34"/>
  <c r="N382" i="34"/>
  <c r="R382" i="34"/>
  <c r="S382" i="34"/>
  <c r="T382" i="34"/>
  <c r="V382" i="34"/>
  <c r="X382" i="34"/>
  <c r="Y382" i="34"/>
  <c r="N383" i="34"/>
  <c r="R383" i="34"/>
  <c r="S383" i="34"/>
  <c r="T383" i="34"/>
  <c r="V383" i="34"/>
  <c r="X383" i="34"/>
  <c r="Y383" i="34"/>
  <c r="N384" i="34"/>
  <c r="R384" i="34"/>
  <c r="S384" i="34"/>
  <c r="T384" i="34"/>
  <c r="V384" i="34"/>
  <c r="X384" i="34"/>
  <c r="Y384" i="34"/>
  <c r="N385" i="34"/>
  <c r="R385" i="34"/>
  <c r="S385" i="34"/>
  <c r="T385" i="34"/>
  <c r="V385" i="34"/>
  <c r="X385" i="34"/>
  <c r="Y385" i="34"/>
  <c r="N386" i="34"/>
  <c r="R386" i="34"/>
  <c r="S386" i="34"/>
  <c r="T386" i="34"/>
  <c r="V386" i="34"/>
  <c r="X386" i="34"/>
  <c r="Y386" i="34"/>
  <c r="N387" i="34"/>
  <c r="R387" i="34"/>
  <c r="S387" i="34"/>
  <c r="T387" i="34"/>
  <c r="V387" i="34"/>
  <c r="X387" i="34"/>
  <c r="Y387" i="34"/>
  <c r="N388" i="34"/>
  <c r="R388" i="34"/>
  <c r="S388" i="34"/>
  <c r="T388" i="34"/>
  <c r="V388" i="34"/>
  <c r="X388" i="34"/>
  <c r="Y388" i="34"/>
  <c r="N389" i="34"/>
  <c r="R389" i="34"/>
  <c r="S389" i="34"/>
  <c r="T389" i="34"/>
  <c r="V389" i="34"/>
  <c r="X389" i="34"/>
  <c r="Y389" i="34"/>
  <c r="N390" i="34"/>
  <c r="R390" i="34"/>
  <c r="S390" i="34"/>
  <c r="T390" i="34"/>
  <c r="V390" i="34"/>
  <c r="X390" i="34"/>
  <c r="Y390" i="34"/>
  <c r="N391" i="34"/>
  <c r="R391" i="34"/>
  <c r="S391" i="34"/>
  <c r="T391" i="34"/>
  <c r="V391" i="34"/>
  <c r="X391" i="34"/>
  <c r="Y391" i="34"/>
  <c r="N392" i="34"/>
  <c r="R392" i="34"/>
  <c r="S392" i="34"/>
  <c r="T392" i="34"/>
  <c r="V392" i="34"/>
  <c r="X392" i="34"/>
  <c r="Y392" i="34"/>
  <c r="N393" i="34"/>
  <c r="R393" i="34"/>
  <c r="S393" i="34"/>
  <c r="T393" i="34"/>
  <c r="V393" i="34"/>
  <c r="X393" i="34"/>
  <c r="Y393" i="34"/>
  <c r="N394" i="34"/>
  <c r="R394" i="34"/>
  <c r="S394" i="34"/>
  <c r="T394" i="34"/>
  <c r="V394" i="34"/>
  <c r="X394" i="34"/>
  <c r="Y394" i="34"/>
  <c r="N395" i="34"/>
  <c r="R395" i="34"/>
  <c r="S395" i="34"/>
  <c r="T395" i="34"/>
  <c r="V395" i="34"/>
  <c r="X395" i="34"/>
  <c r="Y395" i="34"/>
  <c r="N396" i="34"/>
  <c r="R396" i="34"/>
  <c r="S396" i="34"/>
  <c r="T396" i="34"/>
  <c r="V396" i="34"/>
  <c r="X396" i="34"/>
  <c r="Y396" i="34"/>
  <c r="N397" i="34"/>
  <c r="R397" i="34"/>
  <c r="S397" i="34"/>
  <c r="T397" i="34"/>
  <c r="V397" i="34"/>
  <c r="X397" i="34"/>
  <c r="Y397" i="34"/>
  <c r="N398" i="34"/>
  <c r="R398" i="34"/>
  <c r="S398" i="34"/>
  <c r="T398" i="34"/>
  <c r="V398" i="34"/>
  <c r="X398" i="34"/>
  <c r="Y398" i="34"/>
  <c r="N399" i="34"/>
  <c r="R399" i="34"/>
  <c r="S399" i="34"/>
  <c r="T399" i="34"/>
  <c r="V399" i="34"/>
  <c r="X399" i="34"/>
  <c r="Y399" i="34"/>
  <c r="N400" i="34"/>
  <c r="R400" i="34"/>
  <c r="S400" i="34"/>
  <c r="T400" i="34"/>
  <c r="V400" i="34"/>
  <c r="X400" i="34"/>
  <c r="Y400" i="34"/>
  <c r="N401" i="34"/>
  <c r="R401" i="34"/>
  <c r="S401" i="34"/>
  <c r="T401" i="34"/>
  <c r="V401" i="34"/>
  <c r="X401" i="34"/>
  <c r="Y401" i="34"/>
  <c r="N402" i="34"/>
  <c r="R402" i="34"/>
  <c r="S402" i="34"/>
  <c r="T402" i="34"/>
  <c r="V402" i="34"/>
  <c r="X402" i="34"/>
  <c r="Y402" i="34"/>
  <c r="N403" i="34"/>
  <c r="R403" i="34"/>
  <c r="S403" i="34"/>
  <c r="T403" i="34"/>
  <c r="V403" i="34"/>
  <c r="X403" i="34"/>
  <c r="Y403" i="34"/>
  <c r="N404" i="34"/>
  <c r="R404" i="34"/>
  <c r="S404" i="34"/>
  <c r="T404" i="34"/>
  <c r="V404" i="34"/>
  <c r="X404" i="34"/>
  <c r="Y404" i="34"/>
  <c r="N405" i="34"/>
  <c r="R405" i="34"/>
  <c r="S405" i="34"/>
  <c r="T405" i="34"/>
  <c r="V405" i="34"/>
  <c r="X405" i="34"/>
  <c r="Y405" i="34"/>
  <c r="N406" i="34"/>
  <c r="R406" i="34"/>
  <c r="S406" i="34"/>
  <c r="T406" i="34"/>
  <c r="V406" i="34"/>
  <c r="X406" i="34"/>
  <c r="Y406" i="34"/>
  <c r="N407" i="34"/>
  <c r="R407" i="34"/>
  <c r="S407" i="34"/>
  <c r="T407" i="34"/>
  <c r="V407" i="34"/>
  <c r="X407" i="34"/>
  <c r="Y407" i="34"/>
  <c r="N408" i="34"/>
  <c r="R408" i="34"/>
  <c r="S408" i="34"/>
  <c r="T408" i="34"/>
  <c r="V408" i="34"/>
  <c r="X408" i="34"/>
  <c r="Y408" i="34"/>
  <c r="N409" i="34"/>
  <c r="R409" i="34"/>
  <c r="S409" i="34"/>
  <c r="T409" i="34"/>
  <c r="V409" i="34"/>
  <c r="X409" i="34"/>
  <c r="Y409" i="34"/>
  <c r="N410" i="34"/>
  <c r="R410" i="34"/>
  <c r="S410" i="34"/>
  <c r="T410" i="34"/>
  <c r="V410" i="34"/>
  <c r="X410" i="34"/>
  <c r="Y410" i="34"/>
  <c r="N411" i="34"/>
  <c r="R411" i="34"/>
  <c r="S411" i="34"/>
  <c r="T411" i="34"/>
  <c r="V411" i="34"/>
  <c r="X411" i="34"/>
  <c r="Y411" i="34"/>
  <c r="N412" i="34"/>
  <c r="V412" i="34"/>
  <c r="X412" i="34"/>
  <c r="Y412" i="34"/>
  <c r="N413" i="34"/>
  <c r="V413" i="34"/>
  <c r="X413" i="34"/>
  <c r="Y413" i="34"/>
  <c r="N414" i="34"/>
  <c r="R414" i="34"/>
  <c r="S414" i="34"/>
  <c r="T414" i="34"/>
  <c r="V414" i="34"/>
  <c r="X414" i="34"/>
  <c r="Y414" i="34"/>
  <c r="N415" i="34"/>
  <c r="R415" i="34"/>
  <c r="S415" i="34"/>
  <c r="T415" i="34"/>
  <c r="V415" i="34"/>
  <c r="X415" i="34"/>
  <c r="Y415" i="34"/>
  <c r="N416" i="34"/>
  <c r="V416" i="34"/>
  <c r="X416" i="34"/>
  <c r="Y416" i="34"/>
  <c r="N417" i="34"/>
  <c r="R417" i="34"/>
  <c r="S417" i="34"/>
  <c r="T417" i="34"/>
  <c r="V417" i="34"/>
  <c r="X417" i="34"/>
  <c r="Y417" i="34"/>
  <c r="N418" i="34"/>
  <c r="R418" i="34"/>
  <c r="S418" i="34"/>
  <c r="T418" i="34"/>
  <c r="V418" i="34"/>
  <c r="X418" i="34"/>
  <c r="Y418" i="34"/>
  <c r="N419" i="34"/>
  <c r="V419" i="34"/>
  <c r="X419" i="34"/>
  <c r="Y419" i="34"/>
  <c r="N420" i="34"/>
  <c r="V420" i="34"/>
  <c r="X420" i="34"/>
  <c r="Y420" i="34"/>
  <c r="N421" i="34"/>
  <c r="V421" i="34"/>
  <c r="X421" i="34"/>
  <c r="Y421" i="34"/>
  <c r="N422" i="34"/>
  <c r="V422" i="34"/>
  <c r="X422" i="34"/>
  <c r="Y422" i="34"/>
  <c r="N423" i="34"/>
  <c r="V423" i="34"/>
  <c r="X423" i="34"/>
  <c r="Y423" i="34"/>
  <c r="N424" i="34"/>
  <c r="V424" i="34"/>
  <c r="X424" i="34"/>
  <c r="Y424" i="34"/>
  <c r="N425" i="34"/>
  <c r="V425" i="34"/>
  <c r="X425" i="34"/>
  <c r="Y425" i="34"/>
  <c r="N426" i="34"/>
  <c r="R426" i="34"/>
  <c r="S426" i="34"/>
  <c r="T426" i="34"/>
  <c r="V426" i="34"/>
  <c r="X426" i="34"/>
  <c r="Y426" i="34"/>
  <c r="N427" i="34"/>
  <c r="R427" i="34"/>
  <c r="S427" i="34"/>
  <c r="T427" i="34"/>
  <c r="V427" i="34"/>
  <c r="X427" i="34"/>
  <c r="Y427" i="34"/>
  <c r="N428" i="34"/>
  <c r="V428" i="34"/>
  <c r="X428" i="34"/>
  <c r="Y428" i="34"/>
  <c r="N429" i="34"/>
  <c r="V429" i="34"/>
  <c r="X429" i="34"/>
  <c r="Y429" i="34"/>
  <c r="N430" i="34"/>
  <c r="V430" i="34"/>
  <c r="X430" i="34"/>
  <c r="Y430" i="34"/>
  <c r="N431" i="34"/>
  <c r="R431" i="34"/>
  <c r="S431" i="34"/>
  <c r="T431" i="34"/>
  <c r="V431" i="34"/>
  <c r="X431" i="34"/>
  <c r="Y431" i="34"/>
  <c r="N432" i="34"/>
  <c r="R432" i="34"/>
  <c r="S432" i="34"/>
  <c r="T432" i="34"/>
  <c r="V432" i="34"/>
  <c r="X432" i="34"/>
  <c r="Y432" i="34"/>
  <c r="N433" i="34"/>
  <c r="R433" i="34"/>
  <c r="S433" i="34"/>
  <c r="T433" i="34"/>
  <c r="V433" i="34"/>
  <c r="X433" i="34"/>
  <c r="Y433" i="34"/>
  <c r="N434" i="34"/>
  <c r="V434" i="34"/>
  <c r="X434" i="34"/>
  <c r="Y434" i="34"/>
  <c r="N435" i="34"/>
  <c r="V435" i="34"/>
  <c r="X435" i="34"/>
  <c r="Y435" i="34"/>
  <c r="N436" i="34"/>
  <c r="V436" i="34"/>
  <c r="X436" i="34"/>
  <c r="Y436" i="34"/>
  <c r="N437" i="34"/>
  <c r="R437" i="34"/>
  <c r="S437" i="34"/>
  <c r="T437" i="34"/>
  <c r="V437" i="34"/>
  <c r="X437" i="34"/>
  <c r="Y437" i="34"/>
  <c r="N438" i="34"/>
  <c r="R438" i="34"/>
  <c r="S438" i="34"/>
  <c r="T438" i="34"/>
  <c r="V438" i="34"/>
  <c r="X438" i="34"/>
  <c r="Y438" i="34"/>
  <c r="N439" i="34"/>
  <c r="V439" i="34"/>
  <c r="X439" i="34"/>
  <c r="Y439" i="34"/>
  <c r="N440" i="34"/>
  <c r="V440" i="34"/>
  <c r="X440" i="34"/>
  <c r="Y440" i="34"/>
  <c r="N441" i="34"/>
  <c r="V441" i="34"/>
  <c r="X441" i="34"/>
  <c r="Y441" i="34"/>
  <c r="N442" i="34"/>
  <c r="V442" i="34"/>
  <c r="X442" i="34"/>
  <c r="Y442" i="34"/>
  <c r="N443" i="34"/>
  <c r="V443" i="34"/>
  <c r="X443" i="34"/>
  <c r="Y443" i="34"/>
  <c r="N444" i="34"/>
  <c r="R444" i="34"/>
  <c r="S444" i="34"/>
  <c r="T444" i="34"/>
  <c r="V444" i="34"/>
  <c r="X444" i="34"/>
  <c r="Y444" i="34"/>
  <c r="N445" i="34"/>
  <c r="R445" i="34"/>
  <c r="S445" i="34"/>
  <c r="T445" i="34"/>
  <c r="V445" i="34"/>
  <c r="X445" i="34"/>
  <c r="Y445" i="34"/>
  <c r="N446" i="34"/>
  <c r="R446" i="34"/>
  <c r="S446" i="34"/>
  <c r="T446" i="34"/>
  <c r="V446" i="34"/>
  <c r="X446" i="34"/>
  <c r="Y446" i="34"/>
  <c r="N447" i="34"/>
  <c r="R447" i="34"/>
  <c r="S447" i="34"/>
  <c r="T447" i="34"/>
  <c r="V447" i="34"/>
  <c r="X447" i="34"/>
  <c r="Y447" i="34"/>
  <c r="N448" i="34"/>
  <c r="R448" i="34"/>
  <c r="S448" i="34"/>
  <c r="T448" i="34"/>
  <c r="V448" i="34"/>
  <c r="X448" i="34"/>
  <c r="Y448" i="34"/>
  <c r="N449" i="34"/>
  <c r="R449" i="34"/>
  <c r="S449" i="34"/>
  <c r="T449" i="34"/>
  <c r="V449" i="34"/>
  <c r="X449" i="34"/>
  <c r="Y449" i="34"/>
  <c r="N450" i="34"/>
  <c r="R450" i="34"/>
  <c r="S450" i="34"/>
  <c r="T450" i="34"/>
  <c r="V450" i="34"/>
  <c r="X450" i="34"/>
  <c r="Y450" i="34"/>
  <c r="N451" i="34"/>
  <c r="R451" i="34"/>
  <c r="S451" i="34"/>
  <c r="T451" i="34"/>
  <c r="V451" i="34"/>
  <c r="X451" i="34"/>
  <c r="Y451" i="34"/>
  <c r="N452" i="34"/>
  <c r="V452" i="34"/>
  <c r="X452" i="34"/>
  <c r="Y452" i="34"/>
  <c r="N453" i="34"/>
  <c r="V453" i="34"/>
  <c r="X453" i="34"/>
  <c r="Y453" i="34"/>
  <c r="N454" i="34"/>
  <c r="R454" i="34"/>
  <c r="S454" i="34"/>
  <c r="T454" i="34"/>
  <c r="V454" i="34"/>
  <c r="X454" i="34"/>
  <c r="Y454" i="34"/>
  <c r="N455" i="34"/>
  <c r="R455" i="34"/>
  <c r="S455" i="34"/>
  <c r="T455" i="34"/>
  <c r="V455" i="34"/>
  <c r="X455" i="34"/>
  <c r="Y455" i="34"/>
  <c r="N456" i="34"/>
  <c r="R456" i="34"/>
  <c r="S456" i="34"/>
  <c r="T456" i="34"/>
  <c r="V456" i="34"/>
  <c r="X456" i="34"/>
  <c r="Y456" i="34"/>
  <c r="N457" i="34"/>
  <c r="R457" i="34"/>
  <c r="S457" i="34"/>
  <c r="T457" i="34"/>
  <c r="V457" i="34"/>
  <c r="X457" i="34"/>
  <c r="Y457" i="34"/>
  <c r="N458" i="34"/>
  <c r="R458" i="34"/>
  <c r="S458" i="34"/>
  <c r="T458" i="34"/>
  <c r="V458" i="34"/>
  <c r="X458" i="34"/>
  <c r="Y458" i="34"/>
  <c r="N459" i="34"/>
  <c r="R459" i="34"/>
  <c r="S459" i="34"/>
  <c r="T459" i="34"/>
  <c r="V459" i="34"/>
  <c r="X459" i="34"/>
  <c r="Y459" i="34"/>
  <c r="N460" i="34"/>
  <c r="R460" i="34"/>
  <c r="S460" i="34"/>
  <c r="T460" i="34"/>
  <c r="V460" i="34"/>
  <c r="X460" i="34"/>
  <c r="Y460" i="34"/>
  <c r="N461" i="34"/>
  <c r="R461" i="34"/>
  <c r="S461" i="34"/>
  <c r="T461" i="34"/>
  <c r="V461" i="34"/>
  <c r="X461" i="34"/>
  <c r="Y461" i="34"/>
  <c r="N462" i="34"/>
  <c r="R462" i="34"/>
  <c r="S462" i="34"/>
  <c r="T462" i="34"/>
  <c r="V462" i="34"/>
  <c r="X462" i="34"/>
  <c r="Y462" i="34"/>
  <c r="N463" i="34"/>
  <c r="V463" i="34"/>
  <c r="X463" i="34"/>
  <c r="Y463" i="34"/>
  <c r="N464" i="34"/>
  <c r="R464" i="34"/>
  <c r="S464" i="34"/>
  <c r="T464" i="34"/>
  <c r="V464" i="34"/>
  <c r="X464" i="34"/>
  <c r="Y464" i="34"/>
  <c r="N465" i="34"/>
  <c r="R465" i="34"/>
  <c r="S465" i="34"/>
  <c r="T465" i="34"/>
  <c r="V465" i="34"/>
  <c r="X465" i="34"/>
  <c r="Y465" i="34"/>
  <c r="N466" i="34"/>
  <c r="V466" i="34"/>
  <c r="X466" i="34"/>
  <c r="Y466" i="34"/>
  <c r="N467" i="34"/>
  <c r="R467" i="34"/>
  <c r="S467" i="34"/>
  <c r="T467" i="34"/>
  <c r="V467" i="34"/>
  <c r="X467" i="34"/>
  <c r="Y467" i="34"/>
  <c r="N468" i="34"/>
  <c r="R468" i="34"/>
  <c r="S468" i="34"/>
  <c r="T468" i="34"/>
  <c r="V468" i="34"/>
  <c r="X468" i="34"/>
  <c r="Y468" i="34"/>
  <c r="N469" i="34"/>
  <c r="V469" i="34"/>
  <c r="X469" i="34"/>
  <c r="Y469" i="34"/>
  <c r="N470" i="34"/>
  <c r="R470" i="34"/>
  <c r="S470" i="34"/>
  <c r="T470" i="34"/>
  <c r="V470" i="34"/>
  <c r="X470" i="34"/>
  <c r="Y470" i="34"/>
  <c r="N471" i="34"/>
  <c r="R471" i="34"/>
  <c r="S471" i="34"/>
  <c r="T471" i="34"/>
  <c r="V471" i="34"/>
  <c r="X471" i="34"/>
  <c r="Y471" i="34"/>
  <c r="N472" i="34"/>
  <c r="V472" i="34"/>
  <c r="X472" i="34"/>
  <c r="Y472" i="34"/>
  <c r="N473" i="34"/>
  <c r="V473" i="34"/>
  <c r="X473" i="34"/>
  <c r="Y473" i="34"/>
  <c r="N474" i="34"/>
  <c r="V474" i="34"/>
  <c r="X474" i="34"/>
  <c r="Y474" i="34"/>
  <c r="N475" i="34"/>
  <c r="R475" i="34"/>
  <c r="S475" i="34"/>
  <c r="T475" i="34"/>
  <c r="V475" i="34"/>
  <c r="X475" i="34"/>
  <c r="Y475" i="34"/>
  <c r="N476" i="34"/>
  <c r="R476" i="34"/>
  <c r="S476" i="34"/>
  <c r="T476" i="34"/>
  <c r="V476" i="34"/>
  <c r="X476" i="34"/>
  <c r="Y476" i="34"/>
  <c r="N477" i="34"/>
  <c r="R477" i="34"/>
  <c r="S477" i="34"/>
  <c r="T477" i="34"/>
  <c r="V477" i="34"/>
  <c r="X477" i="34"/>
  <c r="Y477" i="34"/>
  <c r="N478" i="34"/>
  <c r="R478" i="34"/>
  <c r="S478" i="34"/>
  <c r="T478" i="34"/>
  <c r="V478" i="34"/>
  <c r="X478" i="34"/>
  <c r="Y478" i="34"/>
  <c r="N479" i="34"/>
  <c r="R479" i="34"/>
  <c r="S479" i="34"/>
  <c r="T479" i="34"/>
  <c r="V479" i="34"/>
  <c r="X479" i="34"/>
  <c r="Y479" i="34"/>
  <c r="N480" i="34"/>
  <c r="R480" i="34"/>
  <c r="S480" i="34"/>
  <c r="T480" i="34"/>
  <c r="V480" i="34"/>
  <c r="X480" i="34"/>
  <c r="Y480" i="34"/>
  <c r="N481" i="34"/>
  <c r="R481" i="34"/>
  <c r="S481" i="34"/>
  <c r="T481" i="34"/>
  <c r="V481" i="34"/>
  <c r="X481" i="34"/>
  <c r="Y481" i="34"/>
  <c r="N482" i="34"/>
  <c r="R482" i="34"/>
  <c r="S482" i="34"/>
  <c r="T482" i="34"/>
  <c r="V482" i="34"/>
  <c r="X482" i="34"/>
  <c r="Y482" i="34"/>
  <c r="N483" i="34"/>
  <c r="R483" i="34"/>
  <c r="S483" i="34"/>
  <c r="T483" i="34"/>
  <c r="V483" i="34"/>
  <c r="X483" i="34"/>
  <c r="Y483" i="34"/>
  <c r="N484" i="34"/>
  <c r="R484" i="34"/>
  <c r="S484" i="34"/>
  <c r="T484" i="34"/>
  <c r="V484" i="34"/>
  <c r="X484" i="34"/>
  <c r="Y484" i="34"/>
  <c r="N485" i="34"/>
  <c r="R485" i="34"/>
  <c r="S485" i="34"/>
  <c r="T485" i="34"/>
  <c r="V485" i="34"/>
  <c r="X485" i="34"/>
  <c r="Y485" i="34"/>
  <c r="N486" i="34"/>
  <c r="R486" i="34"/>
  <c r="S486" i="34"/>
  <c r="T486" i="34"/>
  <c r="V486" i="34"/>
  <c r="X486" i="34"/>
  <c r="Y486" i="34"/>
  <c r="N487" i="34"/>
  <c r="R487" i="34"/>
  <c r="S487" i="34"/>
  <c r="T487" i="34"/>
  <c r="V487" i="34"/>
  <c r="X487" i="34"/>
  <c r="Y487" i="34"/>
  <c r="N488" i="34"/>
  <c r="R488" i="34"/>
  <c r="S488" i="34"/>
  <c r="T488" i="34"/>
  <c r="V488" i="34"/>
  <c r="X488" i="34"/>
  <c r="Y488" i="34"/>
  <c r="N489" i="34"/>
  <c r="V489" i="34"/>
  <c r="X489" i="34"/>
  <c r="Y489" i="34"/>
  <c r="N490" i="34"/>
  <c r="R490" i="34"/>
  <c r="S490" i="34"/>
  <c r="T490" i="34"/>
  <c r="V490" i="34"/>
  <c r="X490" i="34"/>
  <c r="Y490" i="34"/>
  <c r="N491" i="34"/>
  <c r="R491" i="34"/>
  <c r="S491" i="34"/>
  <c r="T491" i="34"/>
  <c r="V491" i="34"/>
  <c r="X491" i="34"/>
  <c r="Y491" i="34"/>
  <c r="N492" i="34"/>
  <c r="R492" i="34"/>
  <c r="S492" i="34"/>
  <c r="T492" i="34"/>
  <c r="V492" i="34"/>
  <c r="X492" i="34"/>
  <c r="Y492" i="34"/>
  <c r="N493" i="34"/>
  <c r="V493" i="34"/>
  <c r="X493" i="34"/>
  <c r="Y493" i="34"/>
  <c r="N494" i="34"/>
  <c r="V494" i="34"/>
  <c r="X494" i="34"/>
  <c r="Y494" i="34"/>
  <c r="N495" i="34"/>
  <c r="R495" i="34"/>
  <c r="S495" i="34"/>
  <c r="T495" i="34"/>
  <c r="V495" i="34"/>
  <c r="X495" i="34"/>
  <c r="Y495" i="34"/>
  <c r="N496" i="34"/>
  <c r="R496" i="34"/>
  <c r="S496" i="34"/>
  <c r="T496" i="34"/>
  <c r="V496" i="34"/>
  <c r="X496" i="34"/>
  <c r="Y496" i="34"/>
  <c r="N497" i="34"/>
  <c r="R497" i="34"/>
  <c r="S497" i="34"/>
  <c r="T497" i="34"/>
  <c r="V497" i="34"/>
  <c r="X497" i="34"/>
  <c r="Y497" i="34"/>
  <c r="N498" i="34"/>
  <c r="V498" i="34"/>
  <c r="X498" i="34"/>
  <c r="Y498" i="34"/>
  <c r="N499" i="34"/>
  <c r="V499" i="34"/>
  <c r="X499" i="34"/>
  <c r="Y499" i="34"/>
  <c r="N500" i="34"/>
  <c r="V500" i="34"/>
  <c r="X500" i="34"/>
  <c r="Y500" i="34"/>
  <c r="N501" i="34"/>
  <c r="R501" i="34"/>
  <c r="S501" i="34"/>
  <c r="T501" i="34"/>
  <c r="V501" i="34"/>
  <c r="X501" i="34"/>
  <c r="Y501" i="34"/>
  <c r="N502" i="34"/>
  <c r="R502" i="34"/>
  <c r="S502" i="34"/>
  <c r="T502" i="34"/>
  <c r="V502" i="34"/>
  <c r="X502" i="34"/>
  <c r="Y502" i="34"/>
  <c r="N503" i="34"/>
  <c r="R503" i="34"/>
  <c r="S503" i="34"/>
  <c r="T503" i="34"/>
  <c r="V503" i="34"/>
  <c r="X503" i="34"/>
  <c r="Y503" i="34"/>
  <c r="N504" i="34"/>
  <c r="V504" i="34"/>
  <c r="X504" i="34"/>
  <c r="Y504" i="34"/>
  <c r="N505" i="34"/>
  <c r="R505" i="34"/>
  <c r="S505" i="34"/>
  <c r="T505" i="34"/>
  <c r="V505" i="34"/>
  <c r="X505" i="34"/>
  <c r="Y505" i="34"/>
  <c r="N506" i="34"/>
  <c r="R506" i="34"/>
  <c r="S506" i="34"/>
  <c r="T506" i="34"/>
  <c r="V506" i="34"/>
  <c r="X506" i="34"/>
  <c r="Y506" i="34"/>
  <c r="N507" i="34"/>
  <c r="R507" i="34"/>
  <c r="S507" i="34"/>
  <c r="T507" i="34"/>
  <c r="V507" i="34"/>
  <c r="X507" i="34"/>
  <c r="Y507" i="34"/>
  <c r="N508" i="34"/>
  <c r="R508" i="34"/>
  <c r="S508" i="34"/>
  <c r="T508" i="34"/>
  <c r="V508" i="34"/>
  <c r="X508" i="34"/>
  <c r="Y508" i="34"/>
  <c r="N509" i="34"/>
  <c r="R509" i="34"/>
  <c r="S509" i="34"/>
  <c r="T509" i="34"/>
  <c r="V509" i="34"/>
  <c r="X509" i="34"/>
  <c r="Y509" i="34"/>
  <c r="N510" i="34"/>
  <c r="R510" i="34"/>
  <c r="S510" i="34"/>
  <c r="T510" i="34"/>
  <c r="V510" i="34"/>
  <c r="X510" i="34"/>
  <c r="Y510" i="34"/>
  <c r="N511" i="34"/>
  <c r="R511" i="34"/>
  <c r="S511" i="34"/>
  <c r="T511" i="34"/>
  <c r="V511" i="34"/>
  <c r="X511" i="34"/>
  <c r="Y511" i="34"/>
  <c r="N512" i="34"/>
  <c r="V512" i="34"/>
  <c r="X512" i="34"/>
  <c r="Y512" i="34"/>
  <c r="N513" i="34"/>
  <c r="V513" i="34"/>
  <c r="X513" i="34"/>
  <c r="Y513" i="34"/>
  <c r="N514" i="34"/>
  <c r="V514" i="34"/>
  <c r="X514" i="34"/>
  <c r="Y514" i="34"/>
  <c r="N515" i="34"/>
  <c r="R515" i="34"/>
  <c r="S515" i="34"/>
  <c r="T515" i="34"/>
  <c r="V515" i="34"/>
  <c r="X515" i="34"/>
  <c r="Y515" i="34"/>
  <c r="N516" i="34"/>
  <c r="R516" i="34"/>
  <c r="S516" i="34"/>
  <c r="T516" i="34"/>
  <c r="V516" i="34"/>
  <c r="X516" i="34"/>
  <c r="Y516" i="34"/>
  <c r="N517" i="34"/>
  <c r="R517" i="34"/>
  <c r="S517" i="34"/>
  <c r="T517" i="34"/>
  <c r="V517" i="34"/>
  <c r="X517" i="34"/>
  <c r="Y517" i="34"/>
  <c r="N518" i="34"/>
  <c r="R518" i="34"/>
  <c r="S518" i="34"/>
  <c r="T518" i="34"/>
  <c r="V518" i="34"/>
  <c r="X518" i="34"/>
  <c r="Y518" i="34"/>
  <c r="N519" i="34"/>
  <c r="R519" i="34"/>
  <c r="S519" i="34"/>
  <c r="T519" i="34"/>
  <c r="V519" i="34"/>
  <c r="X519" i="34"/>
  <c r="Y519" i="34"/>
  <c r="N520" i="34"/>
  <c r="R520" i="34"/>
  <c r="S520" i="34"/>
  <c r="T520" i="34"/>
  <c r="V520" i="34"/>
  <c r="X520" i="34"/>
  <c r="Y520" i="34"/>
  <c r="N521" i="34"/>
  <c r="R521" i="34"/>
  <c r="S521" i="34"/>
  <c r="T521" i="34"/>
  <c r="V521" i="34"/>
  <c r="X521" i="34"/>
  <c r="Y521" i="34"/>
  <c r="N522" i="34"/>
  <c r="R522" i="34"/>
  <c r="S522" i="34"/>
  <c r="T522" i="34"/>
  <c r="V522" i="34"/>
  <c r="X522" i="34"/>
  <c r="Y522" i="34"/>
  <c r="N523" i="34"/>
  <c r="R523" i="34"/>
  <c r="S523" i="34"/>
  <c r="T523" i="34"/>
  <c r="V523" i="34"/>
  <c r="X523" i="34"/>
  <c r="Y523" i="34"/>
  <c r="N524" i="34"/>
  <c r="R524" i="34"/>
  <c r="S524" i="34"/>
  <c r="T524" i="34"/>
  <c r="V524" i="34"/>
  <c r="X524" i="34"/>
  <c r="Y524" i="34"/>
  <c r="N525" i="34"/>
  <c r="R525" i="34"/>
  <c r="S525" i="34"/>
  <c r="T525" i="34"/>
  <c r="V525" i="34"/>
  <c r="X525" i="34"/>
  <c r="Y525" i="34"/>
  <c r="N526" i="34"/>
  <c r="V526" i="34"/>
  <c r="X526" i="34"/>
  <c r="Y526" i="34"/>
  <c r="N527" i="34"/>
  <c r="V527" i="34"/>
  <c r="X527" i="34"/>
  <c r="Y527" i="34"/>
  <c r="N528" i="34"/>
  <c r="V528" i="34"/>
  <c r="X528" i="34"/>
  <c r="Y528" i="34"/>
  <c r="N529" i="34"/>
  <c r="R529" i="34"/>
  <c r="S529" i="34"/>
  <c r="T529" i="34"/>
  <c r="V529" i="34"/>
  <c r="X529" i="34"/>
  <c r="Y529" i="34"/>
  <c r="N530" i="34"/>
  <c r="R530" i="34"/>
  <c r="S530" i="34"/>
  <c r="T530" i="34"/>
  <c r="V530" i="34"/>
  <c r="X530" i="34"/>
  <c r="Y530" i="34"/>
  <c r="N531" i="34"/>
  <c r="R531" i="34"/>
  <c r="S531" i="34"/>
  <c r="T531" i="34"/>
  <c r="V531" i="34"/>
  <c r="X531" i="34"/>
  <c r="Y531" i="34"/>
  <c r="N532" i="34"/>
  <c r="R532" i="34"/>
  <c r="S532" i="34"/>
  <c r="T532" i="34"/>
  <c r="V532" i="34"/>
  <c r="X532" i="34"/>
  <c r="Y532" i="34"/>
  <c r="N533" i="34"/>
  <c r="V533" i="34"/>
  <c r="X533" i="34"/>
  <c r="Y533" i="34"/>
  <c r="N534" i="34"/>
  <c r="V534" i="34"/>
  <c r="X534" i="34"/>
  <c r="Y534" i="34"/>
  <c r="N535" i="34"/>
  <c r="V535" i="34"/>
  <c r="X535" i="34"/>
  <c r="Y535" i="34"/>
  <c r="N536" i="34"/>
  <c r="R536" i="34"/>
  <c r="S536" i="34"/>
  <c r="T536" i="34"/>
  <c r="V536" i="34"/>
  <c r="X536" i="34"/>
  <c r="Y536" i="34"/>
  <c r="N537" i="34"/>
  <c r="R537" i="34"/>
  <c r="S537" i="34"/>
  <c r="T537" i="34"/>
  <c r="V537" i="34"/>
  <c r="X537" i="34"/>
  <c r="Y537" i="34"/>
  <c r="N538" i="34"/>
  <c r="R538" i="34"/>
  <c r="S538" i="34"/>
  <c r="T538" i="34"/>
  <c r="V538" i="34"/>
  <c r="X538" i="34"/>
  <c r="Y538" i="34"/>
  <c r="N539" i="34"/>
  <c r="R539" i="34"/>
  <c r="S539" i="34"/>
  <c r="T539" i="34"/>
  <c r="V539" i="34"/>
  <c r="X539" i="34"/>
  <c r="Y539" i="34"/>
  <c r="N540" i="34"/>
  <c r="R540" i="34"/>
  <c r="S540" i="34"/>
  <c r="T540" i="34"/>
  <c r="V540" i="34"/>
  <c r="X540" i="34"/>
  <c r="Y540" i="34"/>
  <c r="N541" i="34"/>
  <c r="R541" i="34"/>
  <c r="S541" i="34"/>
  <c r="T541" i="34"/>
  <c r="V541" i="34"/>
  <c r="X541" i="34"/>
  <c r="Y541" i="34"/>
  <c r="N542" i="34"/>
  <c r="R542" i="34"/>
  <c r="S542" i="34"/>
  <c r="T542" i="34"/>
  <c r="V542" i="34"/>
  <c r="X542" i="34"/>
  <c r="Y542" i="34"/>
  <c r="N543" i="34"/>
  <c r="R543" i="34"/>
  <c r="S543" i="34"/>
  <c r="T543" i="34"/>
  <c r="V543" i="34"/>
  <c r="X543" i="34"/>
  <c r="Y543" i="34"/>
  <c r="N544" i="34"/>
  <c r="V544" i="34"/>
  <c r="X544" i="34"/>
  <c r="Y544" i="34"/>
  <c r="N545" i="34"/>
  <c r="V545" i="34"/>
  <c r="X545" i="34"/>
  <c r="Y545" i="34"/>
  <c r="N546" i="34"/>
  <c r="R546" i="34"/>
  <c r="S546" i="34"/>
  <c r="T546" i="34"/>
  <c r="V546" i="34"/>
  <c r="X546" i="34"/>
  <c r="Y546" i="34"/>
  <c r="N547" i="34"/>
  <c r="R547" i="34"/>
  <c r="S547" i="34"/>
  <c r="T547" i="34"/>
  <c r="V547" i="34"/>
  <c r="X547" i="34"/>
  <c r="Y547" i="34"/>
  <c r="N548" i="34"/>
  <c r="R548" i="34"/>
  <c r="S548" i="34"/>
  <c r="T548" i="34"/>
  <c r="V548" i="34"/>
  <c r="X548" i="34"/>
  <c r="Y548" i="34"/>
  <c r="N549" i="34"/>
  <c r="R549" i="34"/>
  <c r="S549" i="34"/>
  <c r="T549" i="34"/>
  <c r="V549" i="34"/>
  <c r="X549" i="34"/>
  <c r="Y549" i="34"/>
  <c r="N550" i="34"/>
  <c r="R550" i="34"/>
  <c r="S550" i="34"/>
  <c r="T550" i="34"/>
  <c r="V550" i="34"/>
  <c r="X550" i="34"/>
  <c r="Y550" i="34"/>
  <c r="N551" i="34"/>
  <c r="R551" i="34"/>
  <c r="S551" i="34"/>
  <c r="T551" i="34"/>
  <c r="V551" i="34"/>
  <c r="X551" i="34"/>
  <c r="Y551" i="34"/>
  <c r="N552" i="34"/>
  <c r="R552" i="34"/>
  <c r="S552" i="34"/>
  <c r="T552" i="34"/>
  <c r="V552" i="34"/>
  <c r="X552" i="34"/>
  <c r="Y552" i="34"/>
  <c r="N553" i="34"/>
  <c r="R553" i="34"/>
  <c r="S553" i="34"/>
  <c r="T553" i="34"/>
  <c r="V553" i="34"/>
  <c r="X553" i="34"/>
  <c r="Y553" i="34"/>
  <c r="N554" i="34"/>
  <c r="R554" i="34"/>
  <c r="S554" i="34"/>
  <c r="T554" i="34"/>
  <c r="V554" i="34"/>
  <c r="X554" i="34"/>
  <c r="Y554" i="34"/>
  <c r="N555" i="34"/>
  <c r="R555" i="34"/>
  <c r="S555" i="34"/>
  <c r="T555" i="34"/>
  <c r="V555" i="34"/>
  <c r="X555" i="34"/>
  <c r="Y555" i="34"/>
  <c r="N556" i="34"/>
  <c r="R556" i="34"/>
  <c r="S556" i="34"/>
  <c r="T556" i="34"/>
  <c r="V556" i="34"/>
  <c r="X556" i="34"/>
  <c r="Y556" i="34"/>
  <c r="N557" i="34"/>
  <c r="R557" i="34"/>
  <c r="S557" i="34"/>
  <c r="T557" i="34"/>
  <c r="V557" i="34"/>
  <c r="X557" i="34"/>
  <c r="Y557" i="34"/>
  <c r="N558" i="34"/>
  <c r="R558" i="34"/>
  <c r="S558" i="34"/>
  <c r="T558" i="34"/>
  <c r="V558" i="34"/>
  <c r="X558" i="34"/>
  <c r="Y558" i="34"/>
  <c r="N559" i="34"/>
  <c r="R559" i="34"/>
  <c r="S559" i="34"/>
  <c r="T559" i="34"/>
  <c r="V559" i="34"/>
  <c r="X559" i="34"/>
  <c r="Y559" i="34"/>
  <c r="N560" i="34"/>
  <c r="R560" i="34"/>
  <c r="S560" i="34"/>
  <c r="T560" i="34"/>
  <c r="V560" i="34"/>
  <c r="X560" i="34"/>
  <c r="Y560" i="34"/>
  <c r="N561" i="34"/>
  <c r="R561" i="34"/>
  <c r="S561" i="34"/>
  <c r="T561" i="34"/>
  <c r="V561" i="34"/>
  <c r="X561" i="34"/>
  <c r="Y561" i="34"/>
  <c r="N562" i="34"/>
  <c r="R562" i="34"/>
  <c r="S562" i="34"/>
  <c r="T562" i="34"/>
  <c r="V562" i="34"/>
  <c r="X562" i="34"/>
  <c r="Y562" i="34"/>
  <c r="N563" i="34"/>
  <c r="R563" i="34"/>
  <c r="S563" i="34"/>
  <c r="T563" i="34"/>
  <c r="V563" i="34"/>
  <c r="X563" i="34"/>
  <c r="Y563" i="34"/>
  <c r="N564" i="34"/>
  <c r="R564" i="34"/>
  <c r="S564" i="34"/>
  <c r="T564" i="34"/>
  <c r="V564" i="34"/>
  <c r="X564" i="34"/>
  <c r="Y564" i="34"/>
  <c r="N565" i="34"/>
  <c r="R565" i="34"/>
  <c r="S565" i="34"/>
  <c r="T565" i="34"/>
  <c r="V565" i="34"/>
  <c r="X565" i="34"/>
  <c r="Y565" i="34"/>
  <c r="N566" i="34"/>
  <c r="R566" i="34"/>
  <c r="S566" i="34"/>
  <c r="T566" i="34"/>
  <c r="V566" i="34"/>
  <c r="X566" i="34"/>
  <c r="Y566" i="34"/>
  <c r="N567" i="34"/>
  <c r="R567" i="34"/>
  <c r="S567" i="34"/>
  <c r="T567" i="34"/>
  <c r="V567" i="34"/>
  <c r="X567" i="34"/>
  <c r="Y567" i="34"/>
  <c r="N568" i="34"/>
  <c r="R568" i="34"/>
  <c r="S568" i="34"/>
  <c r="T568" i="34"/>
  <c r="V568" i="34"/>
  <c r="X568" i="34"/>
  <c r="Y568" i="34"/>
  <c r="N569" i="34"/>
  <c r="R569" i="34"/>
  <c r="S569" i="34"/>
  <c r="T569" i="34"/>
  <c r="V569" i="34"/>
  <c r="X569" i="34"/>
  <c r="Y569" i="34"/>
  <c r="N570" i="34"/>
  <c r="R570" i="34"/>
  <c r="S570" i="34"/>
  <c r="T570" i="34"/>
  <c r="V570" i="34"/>
  <c r="X570" i="34"/>
  <c r="Y570" i="34"/>
  <c r="N571" i="34"/>
  <c r="R571" i="34"/>
  <c r="S571" i="34"/>
  <c r="T571" i="34"/>
  <c r="V571" i="34"/>
  <c r="X571" i="34"/>
  <c r="Y571" i="34"/>
  <c r="N572" i="34"/>
  <c r="R572" i="34"/>
  <c r="S572" i="34"/>
  <c r="T572" i="34"/>
  <c r="V572" i="34"/>
  <c r="X572" i="34"/>
  <c r="Y572" i="34"/>
  <c r="N573" i="34"/>
  <c r="R573" i="34"/>
  <c r="S573" i="34"/>
  <c r="T573" i="34"/>
  <c r="V573" i="34"/>
  <c r="X573" i="34"/>
  <c r="Y573" i="34"/>
  <c r="N574" i="34"/>
  <c r="R574" i="34"/>
  <c r="S574" i="34"/>
  <c r="T574" i="34"/>
  <c r="V574" i="34"/>
  <c r="X574" i="34"/>
  <c r="Y574" i="34"/>
  <c r="N575" i="34"/>
  <c r="R575" i="34"/>
  <c r="S575" i="34"/>
  <c r="T575" i="34"/>
  <c r="V575" i="34"/>
  <c r="X575" i="34"/>
  <c r="Y575" i="34"/>
  <c r="N576" i="34"/>
  <c r="R576" i="34"/>
  <c r="S576" i="34"/>
  <c r="T576" i="34"/>
  <c r="V576" i="34"/>
  <c r="X576" i="34"/>
  <c r="Y576" i="34"/>
  <c r="N577" i="34"/>
  <c r="R577" i="34"/>
  <c r="S577" i="34"/>
  <c r="T577" i="34"/>
  <c r="V577" i="34"/>
  <c r="X577" i="34"/>
  <c r="Y577" i="34"/>
  <c r="N578" i="34"/>
  <c r="R578" i="34"/>
  <c r="S578" i="34"/>
  <c r="T578" i="34"/>
  <c r="V578" i="34"/>
  <c r="X578" i="34"/>
  <c r="Y578" i="34"/>
  <c r="N579" i="34"/>
  <c r="R579" i="34"/>
  <c r="S579" i="34"/>
  <c r="T579" i="34"/>
  <c r="V579" i="34"/>
  <c r="X579" i="34"/>
  <c r="Y579" i="34"/>
  <c r="N580" i="34"/>
  <c r="R580" i="34"/>
  <c r="S580" i="34"/>
  <c r="T580" i="34"/>
  <c r="V580" i="34"/>
  <c r="X580" i="34"/>
  <c r="Y580" i="34"/>
  <c r="N581" i="34"/>
  <c r="R581" i="34"/>
  <c r="S581" i="34"/>
  <c r="T581" i="34"/>
  <c r="V581" i="34"/>
  <c r="X581" i="34"/>
  <c r="Y581" i="34"/>
  <c r="N582" i="34"/>
  <c r="R582" i="34"/>
  <c r="S582" i="34"/>
  <c r="T582" i="34"/>
  <c r="V582" i="34"/>
  <c r="X582" i="34"/>
  <c r="Y582" i="34"/>
  <c r="N583" i="34"/>
  <c r="R583" i="34"/>
  <c r="S583" i="34"/>
  <c r="T583" i="34"/>
  <c r="V583" i="34"/>
  <c r="X583" i="34"/>
  <c r="Y583" i="34"/>
  <c r="N584" i="34"/>
  <c r="R584" i="34"/>
  <c r="S584" i="34"/>
  <c r="T584" i="34"/>
  <c r="V584" i="34"/>
  <c r="X584" i="34"/>
  <c r="Y584" i="34"/>
  <c r="N585" i="34"/>
  <c r="R585" i="34"/>
  <c r="S585" i="34"/>
  <c r="T585" i="34"/>
  <c r="V585" i="34"/>
  <c r="X585" i="34"/>
  <c r="Y585" i="34"/>
  <c r="N586" i="34"/>
  <c r="R586" i="34"/>
  <c r="S586" i="34"/>
  <c r="T586" i="34"/>
  <c r="V586" i="34"/>
  <c r="X586" i="34"/>
  <c r="Y586" i="34"/>
  <c r="N587" i="34"/>
  <c r="R587" i="34"/>
  <c r="S587" i="34"/>
  <c r="T587" i="34"/>
  <c r="V587" i="34"/>
  <c r="X587" i="34"/>
  <c r="Y587" i="34"/>
  <c r="N588" i="34"/>
  <c r="R588" i="34"/>
  <c r="S588" i="34"/>
  <c r="T588" i="34"/>
  <c r="V588" i="34"/>
  <c r="X588" i="34"/>
  <c r="Y588" i="34"/>
  <c r="N589" i="34"/>
  <c r="R589" i="34"/>
  <c r="S589" i="34"/>
  <c r="T589" i="34"/>
  <c r="V589" i="34"/>
  <c r="X589" i="34"/>
  <c r="Y589" i="34"/>
  <c r="N590" i="34"/>
  <c r="R590" i="34"/>
  <c r="S590" i="34"/>
  <c r="T590" i="34"/>
  <c r="V590" i="34"/>
  <c r="X590" i="34"/>
  <c r="Y590" i="34"/>
  <c r="N591" i="34"/>
  <c r="R591" i="34"/>
  <c r="S591" i="34"/>
  <c r="T591" i="34"/>
  <c r="V591" i="34"/>
  <c r="X591" i="34"/>
  <c r="Y591" i="34"/>
  <c r="N592" i="34"/>
  <c r="R592" i="34"/>
  <c r="S592" i="34"/>
  <c r="T592" i="34"/>
  <c r="V592" i="34"/>
  <c r="X592" i="34"/>
  <c r="Y592" i="34"/>
  <c r="N593" i="34"/>
  <c r="R593" i="34"/>
  <c r="S593" i="34"/>
  <c r="T593" i="34"/>
  <c r="V593" i="34"/>
  <c r="X593" i="34"/>
  <c r="Y593" i="34"/>
  <c r="N594" i="34"/>
  <c r="R594" i="34"/>
  <c r="S594" i="34"/>
  <c r="T594" i="34"/>
  <c r="V594" i="34"/>
  <c r="X594" i="34"/>
  <c r="Y594" i="34"/>
  <c r="N595" i="34"/>
  <c r="R595" i="34"/>
  <c r="S595" i="34"/>
  <c r="T595" i="34"/>
  <c r="V595" i="34"/>
  <c r="X595" i="34"/>
  <c r="Y595" i="34"/>
  <c r="N596" i="34"/>
  <c r="R596" i="34"/>
  <c r="S596" i="34"/>
  <c r="T596" i="34"/>
  <c r="V596" i="34"/>
  <c r="X596" i="34"/>
  <c r="Y596" i="34"/>
  <c r="N597" i="34"/>
  <c r="R597" i="34"/>
  <c r="S597" i="34"/>
  <c r="T597" i="34"/>
  <c r="V597" i="34"/>
  <c r="X597" i="34"/>
  <c r="Y597" i="34"/>
  <c r="N598" i="34"/>
  <c r="R598" i="34"/>
  <c r="S598" i="34"/>
  <c r="T598" i="34"/>
  <c r="V598" i="34"/>
  <c r="X598" i="34"/>
  <c r="Y598" i="34"/>
  <c r="N599" i="34"/>
  <c r="R599" i="34"/>
  <c r="S599" i="34"/>
  <c r="T599" i="34"/>
  <c r="V599" i="34"/>
  <c r="X599" i="34"/>
  <c r="Y599" i="34"/>
  <c r="N600" i="34"/>
  <c r="R600" i="34"/>
  <c r="S600" i="34"/>
  <c r="T600" i="34"/>
  <c r="V600" i="34"/>
  <c r="X600" i="34"/>
  <c r="Y600" i="34"/>
  <c r="N601" i="34"/>
  <c r="R601" i="34"/>
  <c r="S601" i="34"/>
  <c r="T601" i="34"/>
  <c r="V601" i="34"/>
  <c r="X601" i="34"/>
  <c r="Y601" i="34"/>
  <c r="N602" i="34"/>
  <c r="R602" i="34"/>
  <c r="S602" i="34"/>
  <c r="T602" i="34"/>
  <c r="V602" i="34"/>
  <c r="X602" i="34"/>
  <c r="Y602" i="34"/>
  <c r="N603" i="34"/>
  <c r="R603" i="34"/>
  <c r="S603" i="34"/>
  <c r="T603" i="34"/>
  <c r="V603" i="34"/>
  <c r="X603" i="34"/>
  <c r="Y603" i="34"/>
  <c r="N604" i="34"/>
  <c r="R604" i="34"/>
  <c r="S604" i="34"/>
  <c r="T604" i="34"/>
  <c r="V604" i="34"/>
  <c r="X604" i="34"/>
  <c r="Y604" i="34"/>
  <c r="N605" i="34"/>
  <c r="R605" i="34"/>
  <c r="S605" i="34"/>
  <c r="T605" i="34"/>
  <c r="V605" i="34"/>
  <c r="X605" i="34"/>
  <c r="Y605" i="34"/>
  <c r="N606" i="34"/>
  <c r="R606" i="34"/>
  <c r="S606" i="34"/>
  <c r="T606" i="34"/>
  <c r="V606" i="34"/>
  <c r="X606" i="34"/>
  <c r="Y606" i="34"/>
  <c r="N607" i="34"/>
  <c r="R607" i="34"/>
  <c r="S607" i="34"/>
  <c r="T607" i="34"/>
  <c r="V607" i="34"/>
  <c r="X607" i="34"/>
  <c r="Y607" i="34"/>
  <c r="N608" i="34"/>
  <c r="R608" i="34"/>
  <c r="S608" i="34"/>
  <c r="T608" i="34"/>
  <c r="V608" i="34"/>
  <c r="X608" i="34"/>
  <c r="Y608" i="34"/>
  <c r="N609" i="34"/>
  <c r="R609" i="34"/>
  <c r="S609" i="34"/>
  <c r="T609" i="34"/>
  <c r="V609" i="34"/>
  <c r="X609" i="34"/>
  <c r="Y609" i="34"/>
  <c r="N610" i="34"/>
  <c r="R610" i="34"/>
  <c r="S610" i="34"/>
  <c r="T610" i="34"/>
  <c r="V610" i="34"/>
  <c r="X610" i="34"/>
  <c r="Y610" i="34"/>
  <c r="N611" i="34"/>
  <c r="R611" i="34"/>
  <c r="S611" i="34"/>
  <c r="T611" i="34"/>
  <c r="V611" i="34"/>
  <c r="X611" i="34"/>
  <c r="Y611" i="34"/>
  <c r="N612" i="34"/>
  <c r="R612" i="34"/>
  <c r="S612" i="34"/>
  <c r="T612" i="34"/>
  <c r="V612" i="34"/>
  <c r="X612" i="34"/>
  <c r="Y612" i="34"/>
  <c r="N613" i="34"/>
  <c r="R613" i="34"/>
  <c r="S613" i="34"/>
  <c r="T613" i="34"/>
  <c r="V613" i="34"/>
  <c r="X613" i="34"/>
  <c r="Y613" i="34"/>
  <c r="N614" i="34"/>
  <c r="R614" i="34"/>
  <c r="S614" i="34"/>
  <c r="T614" i="34"/>
  <c r="V614" i="34"/>
  <c r="X614" i="34"/>
  <c r="Y614" i="34"/>
  <c r="N615" i="34"/>
  <c r="R615" i="34"/>
  <c r="S615" i="34"/>
  <c r="T615" i="34"/>
  <c r="V615" i="34"/>
  <c r="X615" i="34"/>
  <c r="Y615" i="34"/>
  <c r="N616" i="34"/>
  <c r="R616" i="34"/>
  <c r="S616" i="34"/>
  <c r="T616" i="34"/>
  <c r="V616" i="34"/>
  <c r="X616" i="34"/>
  <c r="Y616" i="34"/>
  <c r="N617" i="34"/>
  <c r="R617" i="34"/>
  <c r="S617" i="34"/>
  <c r="T617" i="34"/>
  <c r="V617" i="34"/>
  <c r="X617" i="34"/>
  <c r="Y617" i="34"/>
  <c r="N618" i="34"/>
  <c r="R618" i="34"/>
  <c r="S618" i="34"/>
  <c r="T618" i="34"/>
  <c r="V618" i="34"/>
  <c r="X618" i="34"/>
  <c r="Y618" i="34"/>
  <c r="N619" i="34"/>
  <c r="R619" i="34"/>
  <c r="S619" i="34"/>
  <c r="T619" i="34"/>
  <c r="V619" i="34"/>
  <c r="X619" i="34"/>
  <c r="Y619" i="34"/>
  <c r="N620" i="34"/>
  <c r="R620" i="34"/>
  <c r="S620" i="34"/>
  <c r="T620" i="34"/>
  <c r="V620" i="34"/>
  <c r="X620" i="34"/>
  <c r="Y620" i="34"/>
  <c r="N621" i="34"/>
  <c r="R621" i="34"/>
  <c r="S621" i="34"/>
  <c r="T621" i="34"/>
  <c r="V621" i="34"/>
  <c r="X621" i="34"/>
  <c r="Y621" i="34"/>
  <c r="N622" i="34"/>
  <c r="R622" i="34"/>
  <c r="S622" i="34"/>
  <c r="T622" i="34"/>
  <c r="V622" i="34"/>
  <c r="X622" i="34"/>
  <c r="Y622" i="34"/>
  <c r="N623" i="34"/>
  <c r="R623" i="34"/>
  <c r="S623" i="34"/>
  <c r="T623" i="34"/>
  <c r="V623" i="34"/>
  <c r="X623" i="34"/>
  <c r="Y623" i="34"/>
  <c r="N624" i="34"/>
  <c r="R624" i="34"/>
  <c r="S624" i="34"/>
  <c r="T624" i="34"/>
  <c r="V624" i="34"/>
  <c r="X624" i="34"/>
  <c r="Y624" i="34"/>
  <c r="N625" i="34"/>
  <c r="R625" i="34"/>
  <c r="S625" i="34"/>
  <c r="T625" i="34"/>
  <c r="V625" i="34"/>
  <c r="X625" i="34"/>
  <c r="Y625" i="34"/>
  <c r="N626" i="34"/>
  <c r="R626" i="34"/>
  <c r="S626" i="34"/>
  <c r="T626" i="34"/>
  <c r="V626" i="34"/>
  <c r="X626" i="34"/>
  <c r="Y626" i="34"/>
  <c r="N627" i="34"/>
  <c r="R627" i="34"/>
  <c r="S627" i="34"/>
  <c r="T627" i="34"/>
  <c r="V627" i="34"/>
  <c r="X627" i="34"/>
  <c r="Y627" i="34"/>
  <c r="N628" i="34"/>
  <c r="R628" i="34"/>
  <c r="S628" i="34"/>
  <c r="T628" i="34"/>
  <c r="V628" i="34"/>
  <c r="X628" i="34"/>
  <c r="Y628" i="34"/>
  <c r="N629" i="34"/>
  <c r="R629" i="34"/>
  <c r="S629" i="34"/>
  <c r="T629" i="34"/>
  <c r="V629" i="34"/>
  <c r="X629" i="34"/>
  <c r="Y629" i="34"/>
  <c r="N630" i="34"/>
  <c r="R630" i="34"/>
  <c r="S630" i="34"/>
  <c r="T630" i="34"/>
  <c r="V630" i="34"/>
  <c r="X630" i="34"/>
  <c r="Y630" i="34"/>
  <c r="N631" i="34"/>
  <c r="R631" i="34"/>
  <c r="S631" i="34"/>
  <c r="T631" i="34"/>
  <c r="V631" i="34"/>
  <c r="X631" i="34"/>
  <c r="Y631" i="34"/>
  <c r="N632" i="34"/>
  <c r="R632" i="34"/>
  <c r="S632" i="34"/>
  <c r="T632" i="34"/>
  <c r="V632" i="34"/>
  <c r="X632" i="34"/>
  <c r="Y632" i="34"/>
  <c r="N633" i="34"/>
  <c r="R633" i="34"/>
  <c r="S633" i="34"/>
  <c r="T633" i="34"/>
  <c r="V633" i="34"/>
  <c r="X633" i="34"/>
  <c r="Y633" i="34"/>
  <c r="N634" i="34"/>
  <c r="R634" i="34"/>
  <c r="S634" i="34"/>
  <c r="T634" i="34"/>
  <c r="V634" i="34"/>
  <c r="X634" i="34"/>
  <c r="Y634" i="34"/>
  <c r="N635" i="34"/>
  <c r="R635" i="34"/>
  <c r="S635" i="34"/>
  <c r="T635" i="34"/>
  <c r="V635" i="34"/>
  <c r="X635" i="34"/>
  <c r="Y635" i="34"/>
  <c r="N636" i="34"/>
  <c r="R636" i="34"/>
  <c r="S636" i="34"/>
  <c r="T636" i="34"/>
  <c r="V636" i="34"/>
  <c r="X636" i="34"/>
  <c r="Y636" i="34"/>
  <c r="N637" i="34"/>
  <c r="R637" i="34"/>
  <c r="S637" i="34"/>
  <c r="T637" i="34"/>
  <c r="V637" i="34"/>
  <c r="X637" i="34"/>
  <c r="Y637" i="34"/>
  <c r="N638" i="34"/>
  <c r="R638" i="34"/>
  <c r="S638" i="34"/>
  <c r="T638" i="34"/>
  <c r="V638" i="34"/>
  <c r="X638" i="34"/>
  <c r="Y638" i="34"/>
  <c r="N639" i="34"/>
  <c r="R639" i="34"/>
  <c r="S639" i="34"/>
  <c r="T639" i="34"/>
  <c r="V639" i="34"/>
  <c r="X639" i="34"/>
  <c r="Y639" i="34"/>
  <c r="N640" i="34"/>
  <c r="R640" i="34"/>
  <c r="S640" i="34"/>
  <c r="T640" i="34"/>
  <c r="V640" i="34"/>
  <c r="X640" i="34"/>
  <c r="Y640" i="34"/>
  <c r="N641" i="34"/>
  <c r="R641" i="34"/>
  <c r="S641" i="34"/>
  <c r="T641" i="34"/>
  <c r="V641" i="34"/>
  <c r="X641" i="34"/>
  <c r="Y641" i="34"/>
  <c r="N642" i="34"/>
  <c r="R642" i="34"/>
  <c r="S642" i="34"/>
  <c r="T642" i="34"/>
  <c r="V642" i="34"/>
  <c r="X642" i="34"/>
  <c r="Y642" i="34"/>
  <c r="N643" i="34"/>
  <c r="R643" i="34"/>
  <c r="S643" i="34"/>
  <c r="T643" i="34"/>
  <c r="V643" i="34"/>
  <c r="X643" i="34"/>
  <c r="Y643" i="34"/>
  <c r="N644" i="34"/>
  <c r="R644" i="34"/>
  <c r="S644" i="34"/>
  <c r="T644" i="34"/>
  <c r="V644" i="34"/>
  <c r="X644" i="34"/>
  <c r="Y644" i="34"/>
  <c r="N645" i="34"/>
  <c r="V645" i="34"/>
  <c r="X645" i="34"/>
  <c r="Y645" i="34"/>
  <c r="N646" i="34"/>
  <c r="R646" i="34"/>
  <c r="S646" i="34"/>
  <c r="T646" i="34"/>
  <c r="V646" i="34"/>
  <c r="X646" i="34"/>
  <c r="Y646" i="34"/>
  <c r="N647" i="34"/>
  <c r="R647" i="34"/>
  <c r="S647" i="34"/>
  <c r="T647" i="34"/>
  <c r="V647" i="34"/>
  <c r="X647" i="34"/>
  <c r="Y647" i="34"/>
  <c r="N648" i="34"/>
  <c r="R648" i="34"/>
  <c r="S648" i="34"/>
  <c r="T648" i="34"/>
  <c r="V648" i="34"/>
  <c r="X648" i="34"/>
  <c r="Y648" i="34"/>
  <c r="N649" i="34"/>
  <c r="R649" i="34"/>
  <c r="S649" i="34"/>
  <c r="T649" i="34"/>
  <c r="V649" i="34"/>
  <c r="X649" i="34"/>
  <c r="Y649" i="34"/>
  <c r="N650" i="34"/>
  <c r="R650" i="34"/>
  <c r="S650" i="34"/>
  <c r="T650" i="34"/>
  <c r="V650" i="34"/>
  <c r="X650" i="34"/>
  <c r="Y650" i="34"/>
  <c r="N651" i="34"/>
  <c r="R651" i="34"/>
  <c r="S651" i="34"/>
  <c r="T651" i="34"/>
  <c r="V651" i="34"/>
  <c r="X651" i="34"/>
  <c r="Y651" i="34"/>
  <c r="N652" i="34"/>
  <c r="R652" i="34"/>
  <c r="S652" i="34"/>
  <c r="T652" i="34"/>
  <c r="V652" i="34"/>
  <c r="X652" i="34"/>
  <c r="Y652" i="34"/>
  <c r="N653" i="34"/>
  <c r="R653" i="34"/>
  <c r="S653" i="34"/>
  <c r="T653" i="34"/>
  <c r="V653" i="34"/>
  <c r="X653" i="34"/>
  <c r="Y653" i="34"/>
  <c r="N654" i="34"/>
  <c r="R654" i="34"/>
  <c r="S654" i="34"/>
  <c r="T654" i="34"/>
  <c r="V654" i="34"/>
  <c r="X654" i="34"/>
  <c r="Y654" i="34"/>
  <c r="N655" i="34"/>
  <c r="V655" i="34"/>
  <c r="X655" i="34"/>
  <c r="Y655" i="34"/>
  <c r="N656" i="34"/>
  <c r="V656" i="34"/>
  <c r="X656" i="34"/>
  <c r="Y656" i="34"/>
  <c r="N657" i="34"/>
  <c r="V657" i="34"/>
  <c r="X657" i="34"/>
  <c r="Y657" i="34"/>
  <c r="N658" i="34"/>
  <c r="R658" i="34"/>
  <c r="S658" i="34"/>
  <c r="T658" i="34"/>
  <c r="V658" i="34"/>
  <c r="X658" i="34"/>
  <c r="Y658" i="34"/>
  <c r="N659" i="34"/>
  <c r="R659" i="34"/>
  <c r="S659" i="34"/>
  <c r="T659" i="34"/>
  <c r="V659" i="34"/>
  <c r="X659" i="34"/>
  <c r="Y659" i="34"/>
  <c r="N660" i="34"/>
  <c r="R660" i="34"/>
  <c r="S660" i="34"/>
  <c r="T660" i="34"/>
  <c r="V660" i="34"/>
  <c r="X660" i="34"/>
  <c r="Y660" i="34"/>
  <c r="N661" i="34"/>
  <c r="R661" i="34"/>
  <c r="S661" i="34"/>
  <c r="T661" i="34"/>
  <c r="V661" i="34"/>
  <c r="X661" i="34"/>
  <c r="Y661" i="34"/>
  <c r="N662" i="34"/>
  <c r="R662" i="34"/>
  <c r="S662" i="34"/>
  <c r="T662" i="34"/>
  <c r="V662" i="34"/>
  <c r="X662" i="34"/>
  <c r="Y662" i="34"/>
  <c r="N663" i="34"/>
  <c r="R663" i="34"/>
  <c r="S663" i="34"/>
  <c r="T663" i="34"/>
  <c r="V663" i="34"/>
  <c r="X663" i="34"/>
  <c r="Y663" i="34"/>
  <c r="N664" i="34"/>
  <c r="R664" i="34"/>
  <c r="S664" i="34"/>
  <c r="T664" i="34"/>
  <c r="V664" i="34"/>
  <c r="X664" i="34"/>
  <c r="Y664" i="34"/>
  <c r="N665" i="34"/>
  <c r="R665" i="34"/>
  <c r="S665" i="34"/>
  <c r="T665" i="34"/>
  <c r="V665" i="34"/>
  <c r="X665" i="34"/>
  <c r="Y665" i="34"/>
  <c r="N666" i="34"/>
  <c r="R666" i="34"/>
  <c r="S666" i="34"/>
  <c r="T666" i="34"/>
  <c r="V666" i="34"/>
  <c r="X666" i="34"/>
  <c r="Y666" i="34"/>
  <c r="N667" i="34"/>
  <c r="R667" i="34"/>
  <c r="S667" i="34"/>
  <c r="T667" i="34"/>
  <c r="V667" i="34"/>
  <c r="X667" i="34"/>
  <c r="Y667" i="34"/>
  <c r="N668" i="34"/>
  <c r="R668" i="34"/>
  <c r="S668" i="34"/>
  <c r="T668" i="34"/>
  <c r="V668" i="34"/>
  <c r="X668" i="34"/>
  <c r="Y668" i="34"/>
  <c r="N669" i="34"/>
  <c r="R669" i="34"/>
  <c r="S669" i="34"/>
  <c r="T669" i="34"/>
  <c r="V669" i="34"/>
  <c r="X669" i="34"/>
  <c r="Y669" i="34"/>
  <c r="N670" i="34"/>
  <c r="R670" i="34"/>
  <c r="S670" i="34"/>
  <c r="T670" i="34"/>
  <c r="V670" i="34"/>
  <c r="X670" i="34"/>
  <c r="Y670" i="34"/>
  <c r="N671" i="34"/>
  <c r="R671" i="34"/>
  <c r="S671" i="34"/>
  <c r="T671" i="34"/>
  <c r="V671" i="34"/>
  <c r="X671" i="34"/>
  <c r="Y671" i="34"/>
  <c r="N672" i="34"/>
  <c r="R672" i="34"/>
  <c r="S672" i="34"/>
  <c r="T672" i="34"/>
  <c r="V672" i="34"/>
  <c r="X672" i="34"/>
  <c r="Y672" i="34"/>
  <c r="N673" i="34"/>
  <c r="R673" i="34"/>
  <c r="S673" i="34"/>
  <c r="T673" i="34"/>
  <c r="V673" i="34"/>
  <c r="X673" i="34"/>
  <c r="Y673" i="34"/>
  <c r="N674" i="34"/>
  <c r="R674" i="34"/>
  <c r="S674" i="34"/>
  <c r="T674" i="34"/>
  <c r="V674" i="34"/>
  <c r="X674" i="34"/>
  <c r="Y674" i="34"/>
  <c r="N675" i="34"/>
  <c r="R675" i="34"/>
  <c r="S675" i="34"/>
  <c r="T675" i="34"/>
  <c r="V675" i="34"/>
  <c r="X675" i="34"/>
  <c r="Y675" i="34"/>
  <c r="N676" i="34"/>
  <c r="R676" i="34"/>
  <c r="S676" i="34"/>
  <c r="T676" i="34"/>
  <c r="V676" i="34"/>
  <c r="X676" i="34"/>
  <c r="Y676" i="34"/>
  <c r="N677" i="34"/>
  <c r="R677" i="34"/>
  <c r="S677" i="34"/>
  <c r="T677" i="34"/>
  <c r="V677" i="34"/>
  <c r="X677" i="34"/>
  <c r="Y677" i="34"/>
  <c r="N678" i="34"/>
  <c r="R678" i="34"/>
  <c r="S678" i="34"/>
  <c r="T678" i="34"/>
  <c r="V678" i="34"/>
  <c r="X678" i="34"/>
  <c r="Y678" i="34"/>
  <c r="N679" i="34"/>
  <c r="R679" i="34"/>
  <c r="S679" i="34"/>
  <c r="T679" i="34"/>
  <c r="V679" i="34"/>
  <c r="X679" i="34"/>
  <c r="Y679" i="34"/>
  <c r="N680" i="34"/>
  <c r="R680" i="34"/>
  <c r="S680" i="34"/>
  <c r="T680" i="34"/>
  <c r="V680" i="34"/>
  <c r="X680" i="34"/>
  <c r="Y680" i="34"/>
  <c r="N681" i="34"/>
  <c r="R681" i="34"/>
  <c r="S681" i="34"/>
  <c r="T681" i="34"/>
  <c r="V681" i="34"/>
  <c r="X681" i="34"/>
  <c r="Y681" i="34"/>
  <c r="N682" i="34"/>
  <c r="R682" i="34"/>
  <c r="S682" i="34"/>
  <c r="T682" i="34"/>
  <c r="V682" i="34"/>
  <c r="X682" i="34"/>
  <c r="Y682" i="34"/>
  <c r="N683" i="34"/>
  <c r="R683" i="34"/>
  <c r="S683" i="34"/>
  <c r="T683" i="34"/>
  <c r="V683" i="34"/>
  <c r="X683" i="34"/>
  <c r="Y683" i="34"/>
  <c r="N684" i="34"/>
  <c r="R684" i="34"/>
  <c r="S684" i="34"/>
  <c r="T684" i="34"/>
  <c r="V684" i="34"/>
  <c r="X684" i="34"/>
  <c r="Y684" i="34"/>
  <c r="N685" i="34"/>
  <c r="R685" i="34"/>
  <c r="S685" i="34"/>
  <c r="T685" i="34"/>
  <c r="V685" i="34"/>
  <c r="X685" i="34"/>
  <c r="Y685" i="34"/>
  <c r="N686" i="34"/>
  <c r="R686" i="34"/>
  <c r="S686" i="34"/>
  <c r="T686" i="34"/>
  <c r="V686" i="34"/>
  <c r="X686" i="34"/>
  <c r="Y686" i="34"/>
  <c r="N687" i="34"/>
  <c r="R687" i="34"/>
  <c r="S687" i="34"/>
  <c r="T687" i="34"/>
  <c r="V687" i="34"/>
  <c r="X687" i="34"/>
  <c r="Y687" i="34"/>
  <c r="N688" i="34"/>
  <c r="R688" i="34"/>
  <c r="S688" i="34"/>
  <c r="T688" i="34"/>
  <c r="V688" i="34"/>
  <c r="X688" i="34"/>
  <c r="Y688" i="34"/>
  <c r="N689" i="34"/>
  <c r="R689" i="34"/>
  <c r="S689" i="34"/>
  <c r="T689" i="34"/>
  <c r="V689" i="34"/>
  <c r="X689" i="34"/>
  <c r="Y689" i="34"/>
  <c r="N690" i="34"/>
  <c r="R690" i="34"/>
  <c r="S690" i="34"/>
  <c r="T690" i="34"/>
  <c r="V690" i="34"/>
  <c r="X690" i="34"/>
  <c r="Y690" i="34"/>
  <c r="N691" i="34"/>
  <c r="R691" i="34"/>
  <c r="S691" i="34"/>
  <c r="T691" i="34"/>
  <c r="V691" i="34"/>
  <c r="X691" i="34"/>
  <c r="Y691" i="34"/>
  <c r="N692" i="34"/>
  <c r="R692" i="34"/>
  <c r="S692" i="34"/>
  <c r="T692" i="34"/>
  <c r="V692" i="34"/>
  <c r="X692" i="34"/>
  <c r="Y692" i="34"/>
  <c r="N693" i="34"/>
  <c r="R693" i="34"/>
  <c r="S693" i="34"/>
  <c r="T693" i="34"/>
  <c r="V693" i="34"/>
  <c r="X693" i="34"/>
  <c r="Y693" i="34"/>
  <c r="N694" i="34"/>
  <c r="V694" i="34"/>
  <c r="X694" i="34"/>
  <c r="Y694" i="34"/>
  <c r="N695" i="34"/>
  <c r="V695" i="34"/>
  <c r="X695" i="34"/>
  <c r="Y695" i="34"/>
  <c r="N696" i="34"/>
  <c r="R696" i="34"/>
  <c r="S696" i="34"/>
  <c r="T696" i="34"/>
  <c r="V696" i="34"/>
  <c r="X696" i="34"/>
  <c r="Y696" i="34"/>
  <c r="N697" i="34"/>
  <c r="R697" i="34"/>
  <c r="S697" i="34"/>
  <c r="T697" i="34"/>
  <c r="V697" i="34"/>
  <c r="X697" i="34"/>
  <c r="Y697" i="34"/>
  <c r="N698" i="34"/>
  <c r="R698" i="34"/>
  <c r="S698" i="34"/>
  <c r="T698" i="34"/>
  <c r="V698" i="34"/>
  <c r="X698" i="34"/>
  <c r="Y698" i="34"/>
  <c r="N699" i="34"/>
  <c r="R699" i="34"/>
  <c r="S699" i="34"/>
  <c r="T699" i="34"/>
  <c r="V699" i="34"/>
  <c r="X699" i="34"/>
  <c r="Y699" i="34"/>
  <c r="N700" i="34"/>
  <c r="R700" i="34"/>
  <c r="S700" i="34"/>
  <c r="T700" i="34"/>
  <c r="V700" i="34"/>
  <c r="X700" i="34"/>
  <c r="Y700" i="34"/>
  <c r="N701" i="34"/>
  <c r="R701" i="34"/>
  <c r="S701" i="34"/>
  <c r="T701" i="34"/>
  <c r="V701" i="34"/>
  <c r="X701" i="34"/>
  <c r="Y701" i="34"/>
  <c r="N702" i="34"/>
  <c r="R702" i="34"/>
  <c r="S702" i="34"/>
  <c r="T702" i="34"/>
  <c r="V702" i="34"/>
  <c r="X702" i="34"/>
  <c r="Y702" i="34"/>
  <c r="N703" i="34"/>
  <c r="R703" i="34"/>
  <c r="S703" i="34"/>
  <c r="T703" i="34"/>
  <c r="V703" i="34"/>
  <c r="X703" i="34"/>
  <c r="Y703" i="34"/>
  <c r="N704" i="34"/>
  <c r="R704" i="34"/>
  <c r="S704" i="34"/>
  <c r="T704" i="34"/>
  <c r="V704" i="34"/>
  <c r="X704" i="34"/>
  <c r="Y704" i="34"/>
  <c r="N705" i="34"/>
  <c r="R705" i="34"/>
  <c r="S705" i="34"/>
  <c r="T705" i="34"/>
  <c r="V705" i="34"/>
  <c r="X705" i="34"/>
  <c r="Y705" i="34"/>
  <c r="N706" i="34"/>
  <c r="R706" i="34"/>
  <c r="S706" i="34"/>
  <c r="T706" i="34"/>
  <c r="V706" i="34"/>
  <c r="X706" i="34"/>
  <c r="Y706" i="34"/>
  <c r="N707" i="34"/>
  <c r="R707" i="34"/>
  <c r="S707" i="34"/>
  <c r="T707" i="34"/>
  <c r="V707" i="34"/>
  <c r="X707" i="34"/>
  <c r="Y707" i="34"/>
  <c r="N708" i="34"/>
  <c r="R708" i="34"/>
  <c r="S708" i="34"/>
  <c r="T708" i="34"/>
  <c r="V708" i="34"/>
  <c r="X708" i="34"/>
  <c r="Y708" i="34"/>
  <c r="N709" i="34"/>
  <c r="R709" i="34"/>
  <c r="S709" i="34"/>
  <c r="T709" i="34"/>
  <c r="V709" i="34"/>
  <c r="X709" i="34"/>
  <c r="Y709" i="34"/>
  <c r="N710" i="34"/>
  <c r="V710" i="34"/>
  <c r="X710" i="34"/>
  <c r="Y710" i="34"/>
  <c r="N711" i="34"/>
  <c r="V711" i="34"/>
  <c r="X711" i="34"/>
  <c r="Y711" i="34"/>
  <c r="N712" i="34"/>
  <c r="V712" i="34"/>
  <c r="X712" i="34"/>
  <c r="Y712" i="34"/>
  <c r="N713" i="34"/>
  <c r="V713" i="34"/>
  <c r="X713" i="34"/>
  <c r="Y713" i="34"/>
  <c r="N714" i="34"/>
  <c r="V714" i="34"/>
  <c r="X714" i="34"/>
  <c r="Y714" i="34"/>
  <c r="N715" i="34"/>
  <c r="R715" i="34"/>
  <c r="S715" i="34"/>
  <c r="T715" i="34"/>
  <c r="V715" i="34"/>
  <c r="X715" i="34"/>
  <c r="Y715" i="34"/>
  <c r="N716" i="34"/>
  <c r="R716" i="34"/>
  <c r="S716" i="34"/>
  <c r="T716" i="34"/>
  <c r="V716" i="34"/>
  <c r="X716" i="34"/>
  <c r="Y716" i="34"/>
  <c r="N717" i="34"/>
  <c r="R717" i="34"/>
  <c r="S717" i="34"/>
  <c r="T717" i="34"/>
  <c r="V717" i="34"/>
  <c r="X717" i="34"/>
  <c r="Y717" i="34"/>
  <c r="N718" i="34"/>
  <c r="R718" i="34"/>
  <c r="S718" i="34"/>
  <c r="T718" i="34"/>
  <c r="V718" i="34"/>
  <c r="X718" i="34"/>
  <c r="Y718" i="34"/>
  <c r="N719" i="34"/>
  <c r="R719" i="34"/>
  <c r="S719" i="34"/>
  <c r="T719" i="34"/>
  <c r="V719" i="34"/>
  <c r="X719" i="34"/>
  <c r="Y719" i="34"/>
  <c r="N720" i="34"/>
  <c r="R720" i="34"/>
  <c r="S720" i="34"/>
  <c r="T720" i="34"/>
  <c r="V720" i="34"/>
  <c r="X720" i="34"/>
  <c r="Y720" i="34"/>
  <c r="N721" i="34"/>
  <c r="R721" i="34"/>
  <c r="S721" i="34"/>
  <c r="T721" i="34"/>
  <c r="V721" i="34"/>
  <c r="X721" i="34"/>
  <c r="Y721" i="34"/>
  <c r="N722" i="34"/>
  <c r="R722" i="34"/>
  <c r="S722" i="34"/>
  <c r="T722" i="34"/>
  <c r="V722" i="34"/>
  <c r="X722" i="34"/>
  <c r="Y722" i="34"/>
  <c r="N723" i="34"/>
  <c r="R723" i="34"/>
  <c r="S723" i="34"/>
  <c r="T723" i="34"/>
  <c r="V723" i="34"/>
  <c r="X723" i="34"/>
  <c r="Y723" i="34"/>
  <c r="N724" i="34"/>
  <c r="R724" i="34"/>
  <c r="S724" i="34"/>
  <c r="T724" i="34"/>
  <c r="V724" i="34"/>
  <c r="X724" i="34"/>
  <c r="Y724" i="34"/>
  <c r="N725" i="34"/>
  <c r="R725" i="34"/>
  <c r="S725" i="34"/>
  <c r="T725" i="34"/>
  <c r="V725" i="34"/>
  <c r="X725" i="34"/>
  <c r="Y725" i="34"/>
  <c r="N726" i="34"/>
  <c r="R726" i="34"/>
  <c r="S726" i="34"/>
  <c r="T726" i="34"/>
  <c r="V726" i="34"/>
  <c r="X726" i="34"/>
  <c r="Y726" i="34"/>
  <c r="N727" i="34"/>
  <c r="R727" i="34"/>
  <c r="S727" i="34"/>
  <c r="T727" i="34"/>
  <c r="V727" i="34"/>
  <c r="X727" i="34"/>
  <c r="Y727" i="34"/>
  <c r="N728" i="34"/>
  <c r="R728" i="34"/>
  <c r="S728" i="34"/>
  <c r="T728" i="34"/>
  <c r="V728" i="34"/>
  <c r="X728" i="34"/>
  <c r="Y728" i="34"/>
  <c r="N729" i="34"/>
  <c r="R729" i="34"/>
  <c r="S729" i="34"/>
  <c r="T729" i="34"/>
  <c r="V729" i="34"/>
  <c r="X729" i="34"/>
  <c r="Y729" i="34"/>
  <c r="N730" i="34"/>
  <c r="R730" i="34"/>
  <c r="S730" i="34"/>
  <c r="T730" i="34"/>
  <c r="V730" i="34"/>
  <c r="X730" i="34"/>
  <c r="Y730" i="34"/>
  <c r="N731" i="34"/>
  <c r="R731" i="34"/>
  <c r="S731" i="34"/>
  <c r="T731" i="34"/>
  <c r="V731" i="34"/>
  <c r="X731" i="34"/>
  <c r="Y731" i="34"/>
  <c r="N732" i="34"/>
  <c r="R732" i="34"/>
  <c r="S732" i="34"/>
  <c r="T732" i="34"/>
  <c r="V732" i="34"/>
  <c r="X732" i="34"/>
  <c r="Y732" i="34"/>
  <c r="N733" i="34"/>
  <c r="R733" i="34"/>
  <c r="S733" i="34"/>
  <c r="T733" i="34"/>
  <c r="V733" i="34"/>
  <c r="X733" i="34"/>
  <c r="Y733" i="34"/>
  <c r="N734" i="34"/>
  <c r="R734" i="34"/>
  <c r="S734" i="34"/>
  <c r="T734" i="34"/>
  <c r="V734" i="34"/>
  <c r="X734" i="34"/>
  <c r="Y734" i="34"/>
  <c r="N735" i="34"/>
  <c r="R735" i="34"/>
  <c r="S735" i="34"/>
  <c r="T735" i="34"/>
  <c r="V735" i="34"/>
  <c r="X735" i="34"/>
  <c r="Y735" i="34"/>
  <c r="N736" i="34"/>
  <c r="R736" i="34"/>
  <c r="S736" i="34"/>
  <c r="T736" i="34"/>
  <c r="V736" i="34"/>
  <c r="X736" i="34"/>
  <c r="Y736" i="34"/>
  <c r="N737" i="34"/>
  <c r="R737" i="34"/>
  <c r="S737" i="34"/>
  <c r="T737" i="34"/>
  <c r="V737" i="34"/>
  <c r="X737" i="34"/>
  <c r="Y737" i="34"/>
  <c r="N738" i="34"/>
  <c r="R738" i="34"/>
  <c r="S738" i="34"/>
  <c r="T738" i="34"/>
  <c r="V738" i="34"/>
  <c r="X738" i="34"/>
  <c r="Y738" i="34"/>
  <c r="N739" i="34"/>
  <c r="R739" i="34"/>
  <c r="S739" i="34"/>
  <c r="T739" i="34"/>
  <c r="V739" i="34"/>
  <c r="X739" i="34"/>
  <c r="Y739" i="34"/>
  <c r="N740" i="34"/>
  <c r="R740" i="34"/>
  <c r="S740" i="34"/>
  <c r="T740" i="34"/>
  <c r="V740" i="34"/>
  <c r="X740" i="34"/>
  <c r="Y740" i="34"/>
  <c r="N741" i="34"/>
  <c r="R741" i="34"/>
  <c r="S741" i="34"/>
  <c r="T741" i="34"/>
  <c r="V741" i="34"/>
  <c r="X741" i="34"/>
  <c r="Y741" i="34"/>
  <c r="N742" i="34"/>
  <c r="R742" i="34"/>
  <c r="S742" i="34"/>
  <c r="T742" i="34"/>
  <c r="V742" i="34"/>
  <c r="X742" i="34"/>
  <c r="Y742" i="34"/>
  <c r="N743" i="34"/>
  <c r="R743" i="34"/>
  <c r="S743" i="34"/>
  <c r="T743" i="34"/>
  <c r="V743" i="34"/>
  <c r="X743" i="34"/>
  <c r="Y743" i="34"/>
  <c r="N744" i="34"/>
  <c r="R744" i="34"/>
  <c r="S744" i="34"/>
  <c r="T744" i="34"/>
  <c r="V744" i="34"/>
  <c r="X744" i="34"/>
  <c r="Y744" i="34"/>
  <c r="N745" i="34"/>
  <c r="R745" i="34"/>
  <c r="S745" i="34"/>
  <c r="T745" i="34"/>
  <c r="V745" i="34"/>
  <c r="X745" i="34"/>
  <c r="Y745" i="34"/>
  <c r="N746" i="34"/>
  <c r="R746" i="34"/>
  <c r="S746" i="34"/>
  <c r="T746" i="34"/>
  <c r="V746" i="34"/>
  <c r="X746" i="34"/>
  <c r="Y746" i="34"/>
  <c r="N747" i="34"/>
  <c r="V747" i="34"/>
  <c r="X747" i="34"/>
  <c r="Y747" i="34"/>
  <c r="N748" i="34"/>
  <c r="R748" i="34"/>
  <c r="S748" i="34"/>
  <c r="T748" i="34"/>
  <c r="V748" i="34"/>
  <c r="X748" i="34"/>
  <c r="Y748" i="34"/>
  <c r="N749" i="34"/>
  <c r="R749" i="34"/>
  <c r="S749" i="34"/>
  <c r="T749" i="34"/>
  <c r="V749" i="34"/>
  <c r="X749" i="34"/>
  <c r="Y749" i="34"/>
  <c r="N750" i="34"/>
  <c r="R750" i="34"/>
  <c r="S750" i="34"/>
  <c r="T750" i="34"/>
  <c r="V750" i="34"/>
  <c r="X750" i="34"/>
  <c r="Y750" i="34"/>
  <c r="N751" i="34"/>
  <c r="V751" i="34"/>
  <c r="X751" i="34"/>
  <c r="Y751" i="34"/>
  <c r="N752" i="34"/>
  <c r="V752" i="34"/>
  <c r="X752" i="34"/>
  <c r="Y752" i="34"/>
  <c r="N753" i="34"/>
  <c r="V753" i="34"/>
  <c r="X753" i="34"/>
  <c r="Y753" i="34"/>
  <c r="N754" i="34"/>
  <c r="R754" i="34"/>
  <c r="S754" i="34"/>
  <c r="T754" i="34"/>
  <c r="V754" i="34"/>
  <c r="X754" i="34"/>
  <c r="Y754" i="34"/>
  <c r="N755" i="34"/>
  <c r="R755" i="34"/>
  <c r="S755" i="34"/>
  <c r="T755" i="34"/>
  <c r="V755" i="34"/>
  <c r="X755" i="34"/>
  <c r="Y755" i="34"/>
  <c r="N756" i="34"/>
  <c r="R756" i="34"/>
  <c r="S756" i="34"/>
  <c r="T756" i="34"/>
  <c r="V756" i="34"/>
  <c r="X756" i="34"/>
  <c r="Y756" i="34"/>
  <c r="N757" i="34"/>
  <c r="R757" i="34"/>
  <c r="S757" i="34"/>
  <c r="T757" i="34"/>
  <c r="V757" i="34"/>
  <c r="X757" i="34"/>
  <c r="Y757" i="34"/>
  <c r="N758" i="34"/>
  <c r="R758" i="34"/>
  <c r="S758" i="34"/>
  <c r="T758" i="34"/>
  <c r="V758" i="34"/>
  <c r="X758" i="34"/>
  <c r="Y758" i="34"/>
  <c r="N759" i="34"/>
  <c r="R759" i="34"/>
  <c r="S759" i="34"/>
  <c r="T759" i="34"/>
  <c r="V759" i="34"/>
  <c r="X759" i="34"/>
  <c r="Y759" i="34"/>
  <c r="N760" i="34"/>
  <c r="V760" i="34"/>
  <c r="X760" i="34"/>
  <c r="Y760" i="34"/>
  <c r="N761" i="34"/>
  <c r="R761" i="34"/>
  <c r="S761" i="34"/>
  <c r="T761" i="34"/>
  <c r="V761" i="34"/>
  <c r="X761" i="34"/>
  <c r="Y761" i="34"/>
  <c r="N762" i="34"/>
  <c r="R762" i="34"/>
  <c r="S762" i="34"/>
  <c r="T762" i="34"/>
  <c r="V762" i="34"/>
  <c r="X762" i="34"/>
  <c r="Y762" i="34"/>
  <c r="N763" i="34"/>
  <c r="R763" i="34"/>
  <c r="S763" i="34"/>
  <c r="T763" i="34"/>
  <c r="V763" i="34"/>
  <c r="X763" i="34"/>
  <c r="Y763" i="34"/>
  <c r="N764" i="34"/>
  <c r="R764" i="34"/>
  <c r="S764" i="34"/>
  <c r="T764" i="34"/>
  <c r="V764" i="34"/>
  <c r="X764" i="34"/>
  <c r="Y764" i="34"/>
  <c r="N765" i="34"/>
  <c r="R765" i="34"/>
  <c r="S765" i="34"/>
  <c r="T765" i="34"/>
  <c r="V765" i="34"/>
  <c r="X765" i="34"/>
  <c r="Y765" i="34"/>
  <c r="N766" i="34"/>
  <c r="R766" i="34"/>
  <c r="S766" i="34"/>
  <c r="T766" i="34"/>
  <c r="V766" i="34"/>
  <c r="X766" i="34"/>
  <c r="Y766" i="34"/>
  <c r="N767" i="34"/>
  <c r="R767" i="34"/>
  <c r="S767" i="34"/>
  <c r="T767" i="34"/>
  <c r="V767" i="34"/>
  <c r="X767" i="34"/>
  <c r="Y767" i="34"/>
  <c r="N768" i="34"/>
  <c r="R768" i="34"/>
  <c r="S768" i="34"/>
  <c r="T768" i="34"/>
  <c r="V768" i="34"/>
  <c r="X768" i="34"/>
  <c r="Y768" i="34"/>
  <c r="N769" i="34"/>
  <c r="R769" i="34"/>
  <c r="S769" i="34"/>
  <c r="T769" i="34"/>
  <c r="V769" i="34"/>
  <c r="X769" i="34"/>
  <c r="Y769" i="34"/>
  <c r="N770" i="34"/>
  <c r="R770" i="34"/>
  <c r="S770" i="34"/>
  <c r="T770" i="34"/>
  <c r="V770" i="34"/>
  <c r="X770" i="34"/>
  <c r="Y770" i="34"/>
  <c r="N771" i="34"/>
  <c r="R771" i="34"/>
  <c r="S771" i="34"/>
  <c r="T771" i="34"/>
  <c r="V771" i="34"/>
  <c r="X771" i="34"/>
  <c r="Y771" i="34"/>
  <c r="N772" i="34"/>
  <c r="V772" i="34"/>
  <c r="X772" i="34"/>
  <c r="Y772" i="34"/>
  <c r="N773" i="34"/>
  <c r="R773" i="34"/>
  <c r="S773" i="34"/>
  <c r="T773" i="34"/>
  <c r="V773" i="34"/>
  <c r="X773" i="34"/>
  <c r="Y773" i="34"/>
  <c r="N774" i="34"/>
  <c r="R774" i="34"/>
  <c r="S774" i="34"/>
  <c r="T774" i="34"/>
  <c r="V774" i="34"/>
  <c r="X774" i="34"/>
  <c r="Y774" i="34"/>
  <c r="N775" i="34"/>
  <c r="R775" i="34"/>
  <c r="S775" i="34"/>
  <c r="T775" i="34"/>
  <c r="V775" i="34"/>
  <c r="X775" i="34"/>
  <c r="Y775" i="34"/>
  <c r="N776" i="34"/>
  <c r="R776" i="34"/>
  <c r="S776" i="34"/>
  <c r="T776" i="34"/>
  <c r="V776" i="34"/>
  <c r="X776" i="34"/>
  <c r="Y776" i="34"/>
  <c r="N777" i="34"/>
  <c r="R777" i="34"/>
  <c r="S777" i="34"/>
  <c r="T777" i="34"/>
  <c r="V777" i="34"/>
  <c r="X777" i="34"/>
  <c r="Y777" i="34"/>
  <c r="N778" i="34"/>
  <c r="R778" i="34"/>
  <c r="S778" i="34"/>
  <c r="T778" i="34"/>
  <c r="V778" i="34"/>
  <c r="X778" i="34"/>
  <c r="Y778" i="34"/>
  <c r="N779" i="34"/>
  <c r="R779" i="34"/>
  <c r="S779" i="34"/>
  <c r="T779" i="34"/>
  <c r="V779" i="34"/>
  <c r="X779" i="34"/>
  <c r="Y779" i="34"/>
  <c r="N780" i="34"/>
  <c r="R780" i="34"/>
  <c r="S780" i="34"/>
  <c r="T780" i="34"/>
  <c r="V780" i="34"/>
  <c r="X780" i="34"/>
  <c r="Y780" i="34"/>
  <c r="N781" i="34"/>
  <c r="R781" i="34"/>
  <c r="S781" i="34"/>
  <c r="T781" i="34"/>
  <c r="V781" i="34"/>
  <c r="X781" i="34"/>
  <c r="Y781" i="34"/>
  <c r="N782" i="34"/>
  <c r="V782" i="34"/>
  <c r="X782" i="34"/>
  <c r="Y782" i="34"/>
  <c r="N783" i="34"/>
  <c r="V783" i="34"/>
  <c r="X783" i="34"/>
  <c r="Y783" i="34"/>
  <c r="N784" i="34"/>
  <c r="R784" i="34"/>
  <c r="S784" i="34"/>
  <c r="T784" i="34"/>
  <c r="V784" i="34"/>
  <c r="X784" i="34"/>
  <c r="Y784" i="34"/>
  <c r="N785" i="34"/>
  <c r="R785" i="34"/>
  <c r="S785" i="34"/>
  <c r="T785" i="34"/>
  <c r="V785" i="34"/>
  <c r="X785" i="34"/>
  <c r="Y785" i="34"/>
  <c r="N786" i="34"/>
  <c r="R786" i="34"/>
  <c r="S786" i="34"/>
  <c r="T786" i="34"/>
  <c r="V786" i="34"/>
  <c r="X786" i="34"/>
  <c r="Y786" i="34"/>
  <c r="N787" i="34"/>
  <c r="R787" i="34"/>
  <c r="S787" i="34"/>
  <c r="T787" i="34"/>
  <c r="V787" i="34"/>
  <c r="X787" i="34"/>
  <c r="Y787" i="34"/>
  <c r="N788" i="34"/>
  <c r="R788" i="34"/>
  <c r="S788" i="34"/>
  <c r="T788" i="34"/>
  <c r="V788" i="34"/>
  <c r="X788" i="34"/>
  <c r="Y788" i="34"/>
  <c r="N789" i="34"/>
  <c r="R789" i="34"/>
  <c r="S789" i="34"/>
  <c r="T789" i="34"/>
  <c r="V789" i="34"/>
  <c r="X789" i="34"/>
  <c r="Y789" i="34"/>
  <c r="N790" i="34"/>
  <c r="R790" i="34"/>
  <c r="S790" i="34"/>
  <c r="T790" i="34"/>
  <c r="V790" i="34"/>
  <c r="X790" i="34"/>
  <c r="Y790" i="34"/>
  <c r="N791" i="34"/>
  <c r="R791" i="34"/>
  <c r="S791" i="34"/>
  <c r="T791" i="34"/>
  <c r="V791" i="34"/>
  <c r="X791" i="34"/>
  <c r="Y791" i="34"/>
  <c r="N792" i="34"/>
  <c r="R792" i="34"/>
  <c r="S792" i="34"/>
  <c r="T792" i="34"/>
  <c r="V792" i="34"/>
  <c r="X792" i="34"/>
  <c r="Y792" i="34"/>
  <c r="N793" i="34"/>
  <c r="R793" i="34"/>
  <c r="S793" i="34"/>
  <c r="T793" i="34"/>
  <c r="V793" i="34"/>
  <c r="X793" i="34"/>
  <c r="Y793" i="34"/>
  <c r="N794" i="34"/>
  <c r="R794" i="34"/>
  <c r="S794" i="34"/>
  <c r="T794" i="34"/>
  <c r="V794" i="34"/>
  <c r="X794" i="34"/>
  <c r="Y794" i="34"/>
  <c r="N795" i="34"/>
  <c r="R795" i="34"/>
  <c r="S795" i="34"/>
  <c r="T795" i="34"/>
  <c r="V795" i="34"/>
  <c r="X795" i="34"/>
  <c r="Y795" i="34"/>
  <c r="N796" i="34"/>
  <c r="R796" i="34"/>
  <c r="S796" i="34"/>
  <c r="T796" i="34"/>
  <c r="V796" i="34"/>
  <c r="X796" i="34"/>
  <c r="Y796" i="34"/>
  <c r="N797" i="34"/>
  <c r="R797" i="34"/>
  <c r="S797" i="34"/>
  <c r="T797" i="34"/>
  <c r="V797" i="34"/>
  <c r="X797" i="34"/>
  <c r="Y797" i="34"/>
  <c r="N798" i="34"/>
  <c r="R798" i="34"/>
  <c r="S798" i="34"/>
  <c r="T798" i="34"/>
  <c r="V798" i="34"/>
  <c r="X798" i="34"/>
  <c r="Y798" i="34"/>
  <c r="N799" i="34"/>
  <c r="R799" i="34"/>
  <c r="S799" i="34"/>
  <c r="T799" i="34"/>
  <c r="V799" i="34"/>
  <c r="X799" i="34"/>
  <c r="Y799" i="34"/>
  <c r="N800" i="34"/>
  <c r="R800" i="34"/>
  <c r="S800" i="34"/>
  <c r="T800" i="34"/>
  <c r="V800" i="34"/>
  <c r="X800" i="34"/>
  <c r="Y800" i="34"/>
  <c r="N801" i="34"/>
  <c r="R801" i="34"/>
  <c r="S801" i="34"/>
  <c r="T801" i="34"/>
  <c r="V801" i="34"/>
  <c r="X801" i="34"/>
  <c r="Y801" i="34"/>
  <c r="N802" i="34"/>
  <c r="R802" i="34"/>
  <c r="S802" i="34"/>
  <c r="T802" i="34"/>
  <c r="V802" i="34"/>
  <c r="X802" i="34"/>
  <c r="Y802" i="34"/>
  <c r="N803" i="34"/>
  <c r="R803" i="34"/>
  <c r="S803" i="34"/>
  <c r="T803" i="34"/>
  <c r="V803" i="34"/>
  <c r="X803" i="34"/>
  <c r="Y803" i="34"/>
  <c r="N804" i="34"/>
  <c r="R804" i="34"/>
  <c r="S804" i="34"/>
  <c r="T804" i="34"/>
  <c r="V804" i="34"/>
  <c r="X804" i="34"/>
  <c r="Y804" i="34"/>
  <c r="N805" i="34"/>
  <c r="R805" i="34"/>
  <c r="S805" i="34"/>
  <c r="T805" i="34"/>
  <c r="V805" i="34"/>
  <c r="X805" i="34"/>
  <c r="Y805" i="34"/>
  <c r="N806" i="34"/>
  <c r="R806" i="34"/>
  <c r="S806" i="34"/>
  <c r="T806" i="34"/>
  <c r="V806" i="34"/>
  <c r="X806" i="34"/>
  <c r="Y806" i="34"/>
  <c r="N807" i="34"/>
  <c r="R807" i="34"/>
  <c r="S807" i="34"/>
  <c r="T807" i="34"/>
  <c r="V807" i="34"/>
  <c r="X807" i="34"/>
  <c r="Y807" i="34"/>
  <c r="N808" i="34"/>
  <c r="R808" i="34"/>
  <c r="S808" i="34"/>
  <c r="T808" i="34"/>
  <c r="V808" i="34"/>
  <c r="X808" i="34"/>
  <c r="Y808" i="34"/>
  <c r="N809" i="34"/>
  <c r="R809" i="34"/>
  <c r="S809" i="34"/>
  <c r="T809" i="34"/>
  <c r="V809" i="34"/>
  <c r="X809" i="34"/>
  <c r="Y809" i="34"/>
  <c r="N810" i="34"/>
  <c r="R810" i="34"/>
  <c r="S810" i="34"/>
  <c r="T810" i="34"/>
  <c r="V810" i="34"/>
  <c r="X810" i="34"/>
  <c r="Y810" i="34"/>
  <c r="N811" i="34"/>
  <c r="R811" i="34"/>
  <c r="S811" i="34"/>
  <c r="T811" i="34"/>
  <c r="V811" i="34"/>
  <c r="X811" i="34"/>
  <c r="Y811" i="34"/>
  <c r="N812" i="34"/>
  <c r="R812" i="34"/>
  <c r="S812" i="34"/>
  <c r="T812" i="34"/>
  <c r="V812" i="34"/>
  <c r="X812" i="34"/>
  <c r="Y812" i="34"/>
  <c r="N813" i="34"/>
  <c r="R813" i="34"/>
  <c r="S813" i="34"/>
  <c r="T813" i="34"/>
  <c r="V813" i="34"/>
  <c r="X813" i="34"/>
  <c r="Y813" i="34"/>
  <c r="N814" i="34"/>
  <c r="R814" i="34"/>
  <c r="S814" i="34"/>
  <c r="T814" i="34"/>
  <c r="V814" i="34"/>
  <c r="X814" i="34"/>
  <c r="Y814" i="34"/>
  <c r="N815" i="34"/>
  <c r="R815" i="34"/>
  <c r="S815" i="34"/>
  <c r="T815" i="34"/>
  <c r="V815" i="34"/>
  <c r="X815" i="34"/>
  <c r="Y815" i="34"/>
  <c r="N816" i="34"/>
  <c r="R816" i="34"/>
  <c r="S816" i="34"/>
  <c r="T816" i="34"/>
  <c r="V816" i="34"/>
  <c r="X816" i="34"/>
  <c r="Y816" i="34"/>
  <c r="N817" i="34"/>
  <c r="R817" i="34"/>
  <c r="S817" i="34"/>
  <c r="T817" i="34"/>
  <c r="V817" i="34"/>
  <c r="X817" i="34"/>
  <c r="Y817" i="34"/>
  <c r="N818" i="34"/>
  <c r="R818" i="34"/>
  <c r="S818" i="34"/>
  <c r="T818" i="34"/>
  <c r="V818" i="34"/>
  <c r="X818" i="34"/>
  <c r="Y818" i="34"/>
  <c r="N819" i="34"/>
  <c r="R819" i="34"/>
  <c r="S819" i="34"/>
  <c r="T819" i="34"/>
  <c r="V819" i="34"/>
  <c r="X819" i="34"/>
  <c r="Y819" i="34"/>
  <c r="N820" i="34"/>
  <c r="R820" i="34"/>
  <c r="S820" i="34"/>
  <c r="T820" i="34"/>
  <c r="V820" i="34"/>
  <c r="X820" i="34"/>
  <c r="Y820" i="34"/>
  <c r="N821" i="34"/>
  <c r="R821" i="34"/>
  <c r="S821" i="34"/>
  <c r="T821" i="34"/>
  <c r="V821" i="34"/>
  <c r="X821" i="34"/>
  <c r="Y821" i="34"/>
  <c r="N822" i="34"/>
  <c r="R822" i="34"/>
  <c r="S822" i="34"/>
  <c r="T822" i="34"/>
  <c r="V822" i="34"/>
  <c r="X822" i="34"/>
  <c r="Y822" i="34"/>
  <c r="N823" i="34"/>
  <c r="R823" i="34"/>
  <c r="S823" i="34"/>
  <c r="T823" i="34"/>
  <c r="V823" i="34"/>
  <c r="X823" i="34"/>
  <c r="Y823" i="34"/>
  <c r="N824" i="34"/>
  <c r="R824" i="34"/>
  <c r="S824" i="34"/>
  <c r="T824" i="34"/>
  <c r="V824" i="34"/>
  <c r="X824" i="34"/>
  <c r="Y824" i="34"/>
  <c r="N825" i="34"/>
  <c r="R825" i="34"/>
  <c r="S825" i="34"/>
  <c r="T825" i="34"/>
  <c r="V825" i="34"/>
  <c r="X825" i="34"/>
  <c r="Y825" i="34"/>
  <c r="N826" i="34"/>
  <c r="R826" i="34"/>
  <c r="S826" i="34"/>
  <c r="T826" i="34"/>
  <c r="V826" i="34"/>
  <c r="X826" i="34"/>
  <c r="Y826" i="34"/>
  <c r="N827" i="34"/>
  <c r="R827" i="34"/>
  <c r="S827" i="34"/>
  <c r="T827" i="34"/>
  <c r="V827" i="34"/>
  <c r="X827" i="34"/>
  <c r="Y827" i="34"/>
  <c r="N828" i="34"/>
  <c r="R828" i="34"/>
  <c r="S828" i="34"/>
  <c r="T828" i="34"/>
  <c r="V828" i="34"/>
  <c r="X828" i="34"/>
  <c r="Y828" i="34"/>
  <c r="N829" i="34"/>
  <c r="R829" i="34"/>
  <c r="S829" i="34"/>
  <c r="T829" i="34"/>
  <c r="V829" i="34"/>
  <c r="X829" i="34"/>
  <c r="Y829" i="34"/>
  <c r="N830" i="34"/>
  <c r="R830" i="34"/>
  <c r="S830" i="34"/>
  <c r="T830" i="34"/>
  <c r="V830" i="34"/>
  <c r="X830" i="34"/>
  <c r="Y830" i="34"/>
  <c r="N831" i="34"/>
  <c r="R831" i="34"/>
  <c r="S831" i="34"/>
  <c r="T831" i="34"/>
  <c r="V831" i="34"/>
  <c r="X831" i="34"/>
  <c r="Y831" i="34"/>
  <c r="N832" i="34"/>
  <c r="R832" i="34"/>
  <c r="S832" i="34"/>
  <c r="T832" i="34"/>
  <c r="V832" i="34"/>
  <c r="X832" i="34"/>
  <c r="Y832" i="34"/>
  <c r="N833" i="34"/>
  <c r="R833" i="34"/>
  <c r="S833" i="34"/>
  <c r="T833" i="34"/>
  <c r="V833" i="34"/>
  <c r="X833" i="34"/>
  <c r="Y833" i="34"/>
  <c r="N834" i="34"/>
  <c r="R834" i="34"/>
  <c r="S834" i="34"/>
  <c r="T834" i="34"/>
  <c r="V834" i="34"/>
  <c r="X834" i="34"/>
  <c r="Y834" i="34"/>
  <c r="N835" i="34"/>
  <c r="R835" i="34"/>
  <c r="S835" i="34"/>
  <c r="T835" i="34"/>
  <c r="V835" i="34"/>
  <c r="X835" i="34"/>
  <c r="Y835" i="34"/>
  <c r="N836" i="34"/>
  <c r="R836" i="34"/>
  <c r="S836" i="34"/>
  <c r="T836" i="34"/>
  <c r="V836" i="34"/>
  <c r="X836" i="34"/>
  <c r="Y836" i="34"/>
  <c r="N837" i="34"/>
  <c r="R837" i="34"/>
  <c r="S837" i="34"/>
  <c r="T837" i="34"/>
  <c r="V837" i="34"/>
  <c r="X837" i="34"/>
  <c r="Y837" i="34"/>
  <c r="N838" i="34"/>
  <c r="R838" i="34"/>
  <c r="S838" i="34"/>
  <c r="T838" i="34"/>
  <c r="V838" i="34"/>
  <c r="X838" i="34"/>
  <c r="Y838" i="34"/>
  <c r="N839" i="34"/>
  <c r="R839" i="34"/>
  <c r="S839" i="34"/>
  <c r="T839" i="34"/>
  <c r="V839" i="34"/>
  <c r="X839" i="34"/>
  <c r="Y839" i="34"/>
  <c r="N840" i="34"/>
  <c r="R840" i="34"/>
  <c r="S840" i="34"/>
  <c r="T840" i="34"/>
  <c r="V840" i="34"/>
  <c r="X840" i="34"/>
  <c r="Y840" i="34"/>
  <c r="N841" i="34"/>
  <c r="R841" i="34"/>
  <c r="S841" i="34"/>
  <c r="T841" i="34"/>
  <c r="V841" i="34"/>
  <c r="X841" i="34"/>
  <c r="Y841" i="34"/>
  <c r="N842" i="34"/>
  <c r="R842" i="34"/>
  <c r="S842" i="34"/>
  <c r="T842" i="34"/>
  <c r="V842" i="34"/>
  <c r="X842" i="34"/>
  <c r="Y842" i="34"/>
  <c r="N843" i="34"/>
  <c r="R843" i="34"/>
  <c r="S843" i="34"/>
  <c r="T843" i="34"/>
  <c r="V843" i="34"/>
  <c r="X843" i="34"/>
  <c r="Y843" i="34"/>
  <c r="N844" i="34"/>
  <c r="R844" i="34"/>
  <c r="S844" i="34"/>
  <c r="T844" i="34"/>
  <c r="V844" i="34"/>
  <c r="X844" i="34"/>
  <c r="Y844" i="34"/>
  <c r="N845" i="34"/>
  <c r="V845" i="34"/>
  <c r="X845" i="34"/>
  <c r="Y845" i="34"/>
  <c r="N846" i="34"/>
  <c r="R846" i="34"/>
  <c r="S846" i="34"/>
  <c r="T846" i="34"/>
  <c r="V846" i="34"/>
  <c r="X846" i="34"/>
  <c r="Y846" i="34"/>
  <c r="N847" i="34"/>
  <c r="R847" i="34"/>
  <c r="S847" i="34"/>
  <c r="T847" i="34"/>
  <c r="V847" i="34"/>
  <c r="X847" i="34"/>
  <c r="Y847" i="34"/>
  <c r="N848" i="34"/>
  <c r="R848" i="34"/>
  <c r="S848" i="34"/>
  <c r="T848" i="34"/>
  <c r="V848" i="34"/>
  <c r="X848" i="34"/>
  <c r="Y848" i="34"/>
  <c r="N849" i="34"/>
  <c r="R849" i="34"/>
  <c r="S849" i="34"/>
  <c r="T849" i="34"/>
  <c r="V849" i="34"/>
  <c r="X849" i="34"/>
  <c r="Y849" i="34"/>
  <c r="N850" i="34"/>
  <c r="R850" i="34"/>
  <c r="S850" i="34"/>
  <c r="T850" i="34"/>
  <c r="V850" i="34"/>
  <c r="X850" i="34"/>
  <c r="Y850" i="34"/>
  <c r="N851" i="34"/>
  <c r="R851" i="34"/>
  <c r="S851" i="34"/>
  <c r="T851" i="34"/>
  <c r="V851" i="34"/>
  <c r="X851" i="34"/>
  <c r="Y851" i="34"/>
  <c r="N852" i="34"/>
  <c r="R852" i="34"/>
  <c r="S852" i="34"/>
  <c r="T852" i="34"/>
  <c r="V852" i="34"/>
  <c r="X852" i="34"/>
  <c r="Y852" i="34"/>
  <c r="N853" i="34"/>
  <c r="R853" i="34"/>
  <c r="S853" i="34"/>
  <c r="T853" i="34"/>
  <c r="V853" i="34"/>
  <c r="X853" i="34"/>
  <c r="Y853" i="34"/>
  <c r="N854" i="34"/>
  <c r="R854" i="34"/>
  <c r="S854" i="34"/>
  <c r="T854" i="34"/>
  <c r="V854" i="34"/>
  <c r="X854" i="34"/>
  <c r="Y854" i="34"/>
  <c r="N855" i="34"/>
  <c r="R855" i="34"/>
  <c r="S855" i="34"/>
  <c r="T855" i="34"/>
  <c r="V855" i="34"/>
  <c r="X855" i="34"/>
  <c r="Y855" i="34"/>
  <c r="N856" i="34"/>
  <c r="R856" i="34"/>
  <c r="S856" i="34"/>
  <c r="T856" i="34"/>
  <c r="V856" i="34"/>
  <c r="X856" i="34"/>
  <c r="Y856" i="34"/>
  <c r="N857" i="34"/>
  <c r="R857" i="34"/>
  <c r="S857" i="34"/>
  <c r="T857" i="34"/>
  <c r="V857" i="34"/>
  <c r="X857" i="34"/>
  <c r="Y857" i="34"/>
  <c r="N858" i="34"/>
  <c r="R858" i="34"/>
  <c r="S858" i="34"/>
  <c r="T858" i="34"/>
  <c r="V858" i="34"/>
  <c r="X858" i="34"/>
  <c r="Y858" i="34"/>
  <c r="N859" i="34"/>
  <c r="R859" i="34"/>
  <c r="S859" i="34"/>
  <c r="T859" i="34"/>
  <c r="V859" i="34"/>
  <c r="X859" i="34"/>
  <c r="Y859" i="34"/>
  <c r="N860" i="34"/>
  <c r="R860" i="34"/>
  <c r="S860" i="34"/>
  <c r="T860" i="34"/>
  <c r="V860" i="34"/>
  <c r="X860" i="34"/>
  <c r="Y860" i="34"/>
  <c r="N861" i="34"/>
  <c r="R861" i="34"/>
  <c r="S861" i="34"/>
  <c r="T861" i="34"/>
  <c r="V861" i="34"/>
  <c r="X861" i="34"/>
  <c r="Y861" i="34"/>
  <c r="N862" i="34"/>
  <c r="R862" i="34"/>
  <c r="S862" i="34"/>
  <c r="T862" i="34"/>
  <c r="V862" i="34"/>
  <c r="X862" i="34"/>
  <c r="Y862" i="34"/>
  <c r="N863" i="34"/>
  <c r="R863" i="34"/>
  <c r="S863" i="34"/>
  <c r="T863" i="34"/>
  <c r="V863" i="34"/>
  <c r="X863" i="34"/>
  <c r="Y863" i="34"/>
  <c r="N864" i="34"/>
  <c r="R864" i="34"/>
  <c r="S864" i="34"/>
  <c r="T864" i="34"/>
  <c r="V864" i="34"/>
  <c r="X864" i="34"/>
  <c r="Y864" i="34"/>
  <c r="N865" i="34"/>
  <c r="R865" i="34"/>
  <c r="S865" i="34"/>
  <c r="T865" i="34"/>
  <c r="V865" i="34"/>
  <c r="X865" i="34"/>
  <c r="Y865" i="34"/>
  <c r="N866" i="34"/>
  <c r="R866" i="34"/>
  <c r="S866" i="34"/>
  <c r="T866" i="34"/>
  <c r="V866" i="34"/>
  <c r="X866" i="34"/>
  <c r="Y866" i="34"/>
  <c r="N867" i="34"/>
  <c r="R867" i="34"/>
  <c r="S867" i="34"/>
  <c r="T867" i="34"/>
  <c r="V867" i="34"/>
  <c r="X867" i="34"/>
  <c r="Y867" i="34"/>
  <c r="N868" i="34"/>
  <c r="R868" i="34"/>
  <c r="S868" i="34"/>
  <c r="T868" i="34"/>
  <c r="V868" i="34"/>
  <c r="X868" i="34"/>
  <c r="Y868" i="34"/>
  <c r="N869" i="34"/>
  <c r="R869" i="34"/>
  <c r="S869" i="34"/>
  <c r="T869" i="34"/>
  <c r="V869" i="34"/>
  <c r="X869" i="34"/>
  <c r="Y869" i="34"/>
  <c r="N870" i="34"/>
  <c r="R870" i="34"/>
  <c r="S870" i="34"/>
  <c r="T870" i="34"/>
  <c r="V870" i="34"/>
  <c r="X870" i="34"/>
  <c r="Y870" i="34"/>
  <c r="N871" i="34"/>
  <c r="R871" i="34"/>
  <c r="S871" i="34"/>
  <c r="T871" i="34"/>
  <c r="V871" i="34"/>
  <c r="X871" i="34"/>
  <c r="Y871" i="34"/>
  <c r="N872" i="34"/>
  <c r="R872" i="34"/>
  <c r="S872" i="34"/>
  <c r="T872" i="34"/>
  <c r="V872" i="34"/>
  <c r="X872" i="34"/>
  <c r="Y872" i="34"/>
  <c r="N873" i="34"/>
  <c r="R873" i="34"/>
  <c r="S873" i="34"/>
  <c r="T873" i="34"/>
  <c r="V873" i="34"/>
  <c r="X873" i="34"/>
  <c r="Y873" i="34"/>
  <c r="N874" i="34"/>
  <c r="R874" i="34"/>
  <c r="S874" i="34"/>
  <c r="T874" i="34"/>
  <c r="V874" i="34"/>
  <c r="X874" i="34"/>
  <c r="Y874" i="34"/>
  <c r="N875" i="34"/>
  <c r="R875" i="34"/>
  <c r="S875" i="34"/>
  <c r="T875" i="34"/>
  <c r="V875" i="34"/>
  <c r="X875" i="34"/>
  <c r="Y875" i="34"/>
  <c r="N876" i="34"/>
  <c r="R876" i="34"/>
  <c r="S876" i="34"/>
  <c r="T876" i="34"/>
  <c r="V876" i="34"/>
  <c r="X876" i="34"/>
  <c r="Y876" i="34"/>
  <c r="N877" i="34"/>
  <c r="R877" i="34"/>
  <c r="S877" i="34"/>
  <c r="T877" i="34"/>
  <c r="V877" i="34"/>
  <c r="X877" i="34"/>
  <c r="Y877" i="34"/>
  <c r="N878" i="34"/>
  <c r="R878" i="34"/>
  <c r="S878" i="34"/>
  <c r="T878" i="34"/>
  <c r="V878" i="34"/>
  <c r="X878" i="34"/>
  <c r="Y878" i="34"/>
  <c r="N879" i="34"/>
  <c r="R879" i="34"/>
  <c r="S879" i="34"/>
  <c r="T879" i="34"/>
  <c r="V879" i="34"/>
  <c r="X879" i="34"/>
  <c r="Y879" i="34"/>
  <c r="N880" i="34"/>
  <c r="R880" i="34"/>
  <c r="S880" i="34"/>
  <c r="T880" i="34"/>
  <c r="V880" i="34"/>
  <c r="X880" i="34"/>
  <c r="Y880" i="34"/>
  <c r="N881" i="34"/>
  <c r="V881" i="34"/>
  <c r="X881" i="34"/>
  <c r="Y881" i="34"/>
  <c r="N882" i="34"/>
  <c r="V882" i="34"/>
  <c r="X882" i="34"/>
  <c r="Y882" i="34"/>
  <c r="N883" i="34"/>
  <c r="R883" i="34"/>
  <c r="S883" i="34"/>
  <c r="T883" i="34"/>
  <c r="V883" i="34"/>
  <c r="X883" i="34"/>
  <c r="Y883" i="34"/>
  <c r="N884" i="34"/>
  <c r="R884" i="34"/>
  <c r="S884" i="34"/>
  <c r="T884" i="34"/>
  <c r="V884" i="34"/>
  <c r="X884" i="34"/>
  <c r="Y884" i="34"/>
  <c r="N885" i="34"/>
  <c r="R885" i="34"/>
  <c r="S885" i="34"/>
  <c r="T885" i="34"/>
  <c r="V885" i="34"/>
  <c r="X885" i="34"/>
  <c r="Y885" i="34"/>
  <c r="N886" i="34"/>
  <c r="V886" i="34"/>
  <c r="X886" i="34"/>
  <c r="Y886" i="34"/>
  <c r="N887" i="34"/>
  <c r="R887" i="34"/>
  <c r="S887" i="34"/>
  <c r="T887" i="34"/>
  <c r="V887" i="34"/>
  <c r="X887" i="34"/>
  <c r="Y887" i="34"/>
  <c r="N888" i="34"/>
  <c r="R888" i="34"/>
  <c r="S888" i="34"/>
  <c r="T888" i="34"/>
  <c r="V888" i="34"/>
  <c r="X888" i="34"/>
  <c r="Y888" i="34"/>
  <c r="N889" i="34"/>
  <c r="R889" i="34"/>
  <c r="S889" i="34"/>
  <c r="T889" i="34"/>
  <c r="V889" i="34"/>
  <c r="X889" i="34"/>
  <c r="Y889" i="34"/>
  <c r="N890" i="34"/>
  <c r="R890" i="34"/>
  <c r="S890" i="34"/>
  <c r="T890" i="34"/>
  <c r="V890" i="34"/>
  <c r="X890" i="34"/>
  <c r="Y890" i="34"/>
  <c r="N891" i="34"/>
  <c r="R891" i="34"/>
  <c r="S891" i="34"/>
  <c r="T891" i="34"/>
  <c r="V891" i="34"/>
  <c r="X891" i="34"/>
  <c r="Y891" i="34"/>
  <c r="N892" i="34"/>
  <c r="R892" i="34"/>
  <c r="S892" i="34"/>
  <c r="T892" i="34"/>
  <c r="V892" i="34"/>
  <c r="X892" i="34"/>
  <c r="Y892" i="34"/>
  <c r="N893" i="34"/>
  <c r="R893" i="34"/>
  <c r="S893" i="34"/>
  <c r="T893" i="34"/>
  <c r="V893" i="34"/>
  <c r="X893" i="34"/>
  <c r="Y893" i="34"/>
  <c r="N894" i="34"/>
  <c r="R894" i="34"/>
  <c r="S894" i="34"/>
  <c r="T894" i="34"/>
  <c r="V894" i="34"/>
  <c r="X894" i="34"/>
  <c r="Y894" i="34"/>
  <c r="N895" i="34"/>
  <c r="R895" i="34"/>
  <c r="S895" i="34"/>
  <c r="T895" i="34"/>
  <c r="V895" i="34"/>
  <c r="X895" i="34"/>
  <c r="Y895" i="34"/>
  <c r="N896" i="34"/>
  <c r="R896" i="34"/>
  <c r="S896" i="34"/>
  <c r="T896" i="34"/>
  <c r="V896" i="34"/>
  <c r="X896" i="34"/>
  <c r="Y896" i="34"/>
  <c r="N897" i="34"/>
  <c r="R897" i="34"/>
  <c r="S897" i="34"/>
  <c r="T897" i="34"/>
  <c r="V897" i="34"/>
  <c r="X897" i="34"/>
  <c r="Y897" i="34"/>
  <c r="N898" i="34"/>
  <c r="R898" i="34"/>
  <c r="S898" i="34"/>
  <c r="T898" i="34"/>
  <c r="V898" i="34"/>
  <c r="X898" i="34"/>
  <c r="Y898" i="34"/>
  <c r="N899" i="34"/>
  <c r="R899" i="34"/>
  <c r="S899" i="34"/>
  <c r="T899" i="34"/>
  <c r="V899" i="34"/>
  <c r="X899" i="34"/>
  <c r="Y899" i="34"/>
  <c r="N900" i="34"/>
  <c r="R900" i="34"/>
  <c r="S900" i="34"/>
  <c r="T900" i="34"/>
  <c r="V900" i="34"/>
  <c r="X900" i="34"/>
  <c r="Y900" i="34"/>
  <c r="N901" i="34"/>
  <c r="R901" i="34"/>
  <c r="S901" i="34"/>
  <c r="T901" i="34"/>
  <c r="V901" i="34"/>
  <c r="X901" i="34"/>
  <c r="Y901" i="34"/>
  <c r="N902" i="34"/>
  <c r="R902" i="34"/>
  <c r="S902" i="34"/>
  <c r="T902" i="34"/>
  <c r="V902" i="34"/>
  <c r="X902" i="34"/>
  <c r="Y902" i="34"/>
  <c r="N903" i="34"/>
  <c r="R903" i="34"/>
  <c r="S903" i="34"/>
  <c r="T903" i="34"/>
  <c r="V903" i="34"/>
  <c r="X903" i="34"/>
  <c r="Y903" i="34"/>
  <c r="N904" i="34"/>
  <c r="R904" i="34"/>
  <c r="S904" i="34"/>
  <c r="T904" i="34"/>
  <c r="V904" i="34"/>
  <c r="X904" i="34"/>
  <c r="Y904" i="34"/>
  <c r="N905" i="34"/>
  <c r="R905" i="34"/>
  <c r="S905" i="34"/>
  <c r="T905" i="34"/>
  <c r="V905" i="34"/>
  <c r="X905" i="34"/>
  <c r="Y905" i="34"/>
  <c r="N906" i="34"/>
  <c r="R906" i="34"/>
  <c r="S906" i="34"/>
  <c r="T906" i="34"/>
  <c r="V906" i="34"/>
  <c r="X906" i="34"/>
  <c r="Y906" i="34"/>
  <c r="N907" i="34"/>
  <c r="R907" i="34"/>
  <c r="S907" i="34"/>
  <c r="T907" i="34"/>
  <c r="V907" i="34"/>
  <c r="X907" i="34"/>
  <c r="Y907" i="34"/>
  <c r="N908" i="34"/>
  <c r="R908" i="34"/>
  <c r="S908" i="34"/>
  <c r="T908" i="34"/>
  <c r="V908" i="34"/>
  <c r="X908" i="34"/>
  <c r="Y908" i="34"/>
  <c r="N909" i="34"/>
  <c r="R909" i="34"/>
  <c r="S909" i="34"/>
  <c r="T909" i="34"/>
  <c r="V909" i="34"/>
  <c r="X909" i="34"/>
  <c r="Y909" i="34"/>
  <c r="N910" i="34"/>
  <c r="R910" i="34"/>
  <c r="S910" i="34"/>
  <c r="T910" i="34"/>
  <c r="V910" i="34"/>
  <c r="X910" i="34"/>
  <c r="Y910" i="34"/>
  <c r="N911" i="34"/>
  <c r="R911" i="34"/>
  <c r="S911" i="34"/>
  <c r="T911" i="34"/>
  <c r="V911" i="34"/>
  <c r="X911" i="34"/>
  <c r="Y911" i="34"/>
  <c r="N912" i="34"/>
  <c r="R912" i="34"/>
  <c r="S912" i="34"/>
  <c r="T912" i="34"/>
  <c r="V912" i="34"/>
  <c r="X912" i="34"/>
  <c r="Y912" i="34"/>
  <c r="N913" i="34"/>
  <c r="R913" i="34"/>
  <c r="S913" i="34"/>
  <c r="T913" i="34"/>
  <c r="V913" i="34"/>
  <c r="X913" i="34"/>
  <c r="Y913" i="34"/>
  <c r="N914" i="34"/>
  <c r="R914" i="34"/>
  <c r="S914" i="34"/>
  <c r="T914" i="34"/>
  <c r="V914" i="34"/>
  <c r="X914" i="34"/>
  <c r="Y914" i="34"/>
  <c r="N915" i="34"/>
  <c r="R915" i="34"/>
  <c r="S915" i="34"/>
  <c r="T915" i="34"/>
  <c r="V915" i="34"/>
  <c r="X915" i="34"/>
  <c r="Y915" i="34"/>
  <c r="N916" i="34"/>
  <c r="R916" i="34"/>
  <c r="S916" i="34"/>
  <c r="T916" i="34"/>
  <c r="V916" i="34"/>
  <c r="X916" i="34"/>
  <c r="Y916" i="34"/>
  <c r="N917" i="34"/>
  <c r="R917" i="34"/>
  <c r="S917" i="34"/>
  <c r="T917" i="34"/>
  <c r="V917" i="34"/>
  <c r="X917" i="34"/>
  <c r="Y917" i="34"/>
  <c r="N918" i="34"/>
  <c r="R918" i="34"/>
  <c r="S918" i="34"/>
  <c r="T918" i="34"/>
  <c r="V918" i="34"/>
  <c r="X918" i="34"/>
  <c r="Y918" i="34"/>
  <c r="N919" i="34"/>
  <c r="V919" i="34"/>
  <c r="X919" i="34"/>
  <c r="Y919" i="34"/>
  <c r="N920" i="34"/>
  <c r="V920" i="34"/>
  <c r="X920" i="34"/>
  <c r="Y920" i="34"/>
  <c r="N921" i="34"/>
  <c r="V921" i="34"/>
  <c r="X921" i="34"/>
  <c r="Y921" i="34"/>
  <c r="N922" i="34"/>
  <c r="R922" i="34"/>
  <c r="S922" i="34"/>
  <c r="T922" i="34"/>
  <c r="V922" i="34"/>
  <c r="X922" i="34"/>
  <c r="Y922" i="34"/>
  <c r="N923" i="34"/>
  <c r="R923" i="34"/>
  <c r="S923" i="34"/>
  <c r="T923" i="34"/>
  <c r="V923" i="34"/>
  <c r="X923" i="34"/>
  <c r="Y923" i="34"/>
  <c r="N924" i="34"/>
  <c r="V924" i="34"/>
  <c r="X924" i="34"/>
  <c r="Y924" i="34"/>
  <c r="N925" i="34"/>
  <c r="R925" i="34"/>
  <c r="S925" i="34"/>
  <c r="T925" i="34"/>
  <c r="V925" i="34"/>
  <c r="X925" i="34"/>
  <c r="Y925" i="34"/>
  <c r="N926" i="34"/>
  <c r="R926" i="34"/>
  <c r="S926" i="34"/>
  <c r="T926" i="34"/>
  <c r="V926" i="34"/>
  <c r="X926" i="34"/>
  <c r="Y926" i="34"/>
  <c r="N927" i="34"/>
  <c r="R927" i="34"/>
  <c r="S927" i="34"/>
  <c r="T927" i="34"/>
  <c r="V927" i="34"/>
  <c r="X927" i="34"/>
  <c r="Y927" i="34"/>
  <c r="N928" i="34"/>
  <c r="R928" i="34"/>
  <c r="S928" i="34"/>
  <c r="T928" i="34"/>
  <c r="V928" i="34"/>
  <c r="X928" i="34"/>
  <c r="Y928" i="34"/>
  <c r="N929" i="34"/>
  <c r="R929" i="34"/>
  <c r="S929" i="34"/>
  <c r="T929" i="34"/>
  <c r="V929" i="34"/>
  <c r="X929" i="34"/>
  <c r="Y929" i="34"/>
  <c r="N930" i="34"/>
  <c r="R930" i="34"/>
  <c r="S930" i="34"/>
  <c r="T930" i="34"/>
  <c r="V930" i="34"/>
  <c r="X930" i="34"/>
  <c r="Y930" i="34"/>
  <c r="N931" i="34"/>
  <c r="R931" i="34"/>
  <c r="S931" i="34"/>
  <c r="T931" i="34"/>
  <c r="V931" i="34"/>
  <c r="X931" i="34"/>
  <c r="Y931" i="34"/>
  <c r="N932" i="34"/>
  <c r="R932" i="34"/>
  <c r="S932" i="34"/>
  <c r="T932" i="34"/>
  <c r="V932" i="34"/>
  <c r="X932" i="34"/>
  <c r="Y932" i="34"/>
  <c r="N933" i="34"/>
  <c r="R933" i="34"/>
  <c r="S933" i="34"/>
  <c r="T933" i="34"/>
  <c r="V933" i="34"/>
  <c r="X933" i="34"/>
  <c r="Y933" i="34"/>
  <c r="N934" i="34"/>
  <c r="R934" i="34"/>
  <c r="S934" i="34"/>
  <c r="T934" i="34"/>
  <c r="V934" i="34"/>
  <c r="X934" i="34"/>
  <c r="Y934" i="34"/>
  <c r="N935" i="34"/>
  <c r="R935" i="34"/>
  <c r="S935" i="34"/>
  <c r="T935" i="34"/>
  <c r="V935" i="34"/>
  <c r="X935" i="34"/>
  <c r="Y935" i="34"/>
  <c r="N936" i="34"/>
  <c r="R936" i="34"/>
  <c r="S936" i="34"/>
  <c r="T936" i="34"/>
  <c r="V936" i="34"/>
  <c r="X936" i="34"/>
  <c r="Y936" i="34"/>
  <c r="N937" i="34"/>
  <c r="R937" i="34"/>
  <c r="S937" i="34"/>
  <c r="T937" i="34"/>
  <c r="V937" i="34"/>
  <c r="X937" i="34"/>
  <c r="Y937" i="34"/>
  <c r="N938" i="34"/>
  <c r="R938" i="34"/>
  <c r="S938" i="34"/>
  <c r="T938" i="34"/>
  <c r="V938" i="34"/>
  <c r="X938" i="34"/>
  <c r="Y938" i="34"/>
  <c r="N939" i="34"/>
  <c r="R939" i="34"/>
  <c r="S939" i="34"/>
  <c r="T939" i="34"/>
  <c r="V939" i="34"/>
  <c r="X939" i="34"/>
  <c r="Y939" i="34"/>
  <c r="N940" i="34"/>
  <c r="R940" i="34"/>
  <c r="S940" i="34"/>
  <c r="T940" i="34"/>
  <c r="V940" i="34"/>
  <c r="X940" i="34"/>
  <c r="Y940" i="34"/>
  <c r="N941" i="34"/>
  <c r="R941" i="34"/>
  <c r="S941" i="34"/>
  <c r="T941" i="34"/>
  <c r="V941" i="34"/>
  <c r="X941" i="34"/>
  <c r="Y941" i="34"/>
  <c r="N942" i="34"/>
  <c r="R942" i="34"/>
  <c r="S942" i="34"/>
  <c r="T942" i="34"/>
  <c r="V942" i="34"/>
  <c r="X942" i="34"/>
  <c r="Y942" i="34"/>
  <c r="N943" i="34"/>
  <c r="R943" i="34"/>
  <c r="S943" i="34"/>
  <c r="T943" i="34"/>
  <c r="V943" i="34"/>
  <c r="X943" i="34"/>
  <c r="Y943" i="34"/>
  <c r="N944" i="34"/>
  <c r="R944" i="34"/>
  <c r="S944" i="34"/>
  <c r="T944" i="34"/>
  <c r="V944" i="34"/>
  <c r="X944" i="34"/>
  <c r="Y944" i="34"/>
  <c r="N945" i="34"/>
  <c r="R945" i="34"/>
  <c r="S945" i="34"/>
  <c r="T945" i="34"/>
  <c r="V945" i="34"/>
  <c r="X945" i="34"/>
  <c r="Y945" i="34"/>
  <c r="N946" i="34"/>
  <c r="R946" i="34"/>
  <c r="S946" i="34"/>
  <c r="T946" i="34"/>
  <c r="V946" i="34"/>
  <c r="X946" i="34"/>
  <c r="Y946" i="34"/>
  <c r="N947" i="34"/>
  <c r="R947" i="34"/>
  <c r="S947" i="34"/>
  <c r="T947" i="34"/>
  <c r="V947" i="34"/>
  <c r="X947" i="34"/>
  <c r="Y947" i="34"/>
  <c r="N948" i="34"/>
  <c r="R948" i="34"/>
  <c r="S948" i="34"/>
  <c r="T948" i="34"/>
  <c r="V948" i="34"/>
  <c r="X948" i="34"/>
  <c r="Y948" i="34"/>
  <c r="N949" i="34"/>
  <c r="V949" i="34"/>
  <c r="X949" i="34"/>
  <c r="Y949" i="34"/>
  <c r="N950" i="34"/>
  <c r="R950" i="34"/>
  <c r="S950" i="34"/>
  <c r="T950" i="34"/>
  <c r="V950" i="34"/>
  <c r="X950" i="34"/>
  <c r="Y950" i="34"/>
  <c r="N951" i="34"/>
  <c r="R951" i="34"/>
  <c r="S951" i="34"/>
  <c r="T951" i="34"/>
  <c r="V951" i="34"/>
  <c r="X951" i="34"/>
  <c r="Y951" i="34"/>
  <c r="N952" i="34"/>
  <c r="R952" i="34"/>
  <c r="S952" i="34"/>
  <c r="T952" i="34"/>
  <c r="V952" i="34"/>
  <c r="X952" i="34"/>
  <c r="Y952" i="34"/>
  <c r="N953" i="34"/>
  <c r="R953" i="34"/>
  <c r="S953" i="34"/>
  <c r="T953" i="34"/>
  <c r="V953" i="34"/>
  <c r="X953" i="34"/>
  <c r="Y953" i="34"/>
  <c r="N954" i="34"/>
  <c r="R954" i="34"/>
  <c r="S954" i="34"/>
  <c r="T954" i="34"/>
  <c r="V954" i="34"/>
  <c r="X954" i="34"/>
  <c r="Y954" i="34"/>
  <c r="N955" i="34"/>
  <c r="R955" i="34"/>
  <c r="S955" i="34"/>
  <c r="T955" i="34"/>
  <c r="V955" i="34"/>
  <c r="X955" i="34"/>
  <c r="Y955" i="34"/>
  <c r="N956" i="34"/>
  <c r="R956" i="34"/>
  <c r="S956" i="34"/>
  <c r="T956" i="34"/>
  <c r="V956" i="34"/>
  <c r="X956" i="34"/>
  <c r="Y956" i="34"/>
  <c r="N957" i="34"/>
  <c r="R957" i="34"/>
  <c r="S957" i="34"/>
  <c r="T957" i="34"/>
  <c r="V957" i="34"/>
  <c r="X957" i="34"/>
  <c r="Y957" i="34"/>
  <c r="N958" i="34"/>
  <c r="R958" i="34"/>
  <c r="S958" i="34"/>
  <c r="T958" i="34"/>
  <c r="V958" i="34"/>
  <c r="X958" i="34"/>
  <c r="Y958" i="34"/>
  <c r="N959" i="34"/>
  <c r="R959" i="34"/>
  <c r="S959" i="34"/>
  <c r="T959" i="34"/>
  <c r="V959" i="34"/>
  <c r="X959" i="34"/>
  <c r="Y959" i="34"/>
  <c r="N960" i="34"/>
  <c r="R960" i="34"/>
  <c r="S960" i="34"/>
  <c r="T960" i="34"/>
  <c r="V960" i="34"/>
  <c r="X960" i="34"/>
  <c r="Y960" i="34"/>
  <c r="N961" i="34"/>
  <c r="R961" i="34"/>
  <c r="S961" i="34"/>
  <c r="T961" i="34"/>
  <c r="V961" i="34"/>
  <c r="X961" i="34"/>
  <c r="Y961" i="34"/>
  <c r="N962" i="34"/>
  <c r="R962" i="34"/>
  <c r="S962" i="34"/>
  <c r="T962" i="34"/>
  <c r="V962" i="34"/>
  <c r="X962" i="34"/>
  <c r="Y962" i="34"/>
  <c r="N963" i="34"/>
  <c r="R963" i="34"/>
  <c r="S963" i="34"/>
  <c r="T963" i="34"/>
  <c r="V963" i="34"/>
  <c r="X963" i="34"/>
  <c r="Y963" i="34"/>
  <c r="N964" i="34"/>
  <c r="R964" i="34"/>
  <c r="S964" i="34"/>
  <c r="T964" i="34"/>
  <c r="V964" i="34"/>
  <c r="X964" i="34"/>
  <c r="Y964" i="34"/>
  <c r="N965" i="34"/>
  <c r="R965" i="34"/>
  <c r="S965" i="34"/>
  <c r="T965" i="34"/>
  <c r="V965" i="34"/>
  <c r="X965" i="34"/>
  <c r="Y965" i="34"/>
  <c r="N966" i="34"/>
  <c r="R966" i="34"/>
  <c r="S966" i="34"/>
  <c r="T966" i="34"/>
  <c r="V966" i="34"/>
  <c r="X966" i="34"/>
  <c r="Y966" i="34"/>
  <c r="N967" i="34"/>
  <c r="R967" i="34"/>
  <c r="S967" i="34"/>
  <c r="T967" i="34"/>
  <c r="V967" i="34"/>
  <c r="X967" i="34"/>
  <c r="Y967" i="34"/>
  <c r="N968" i="34"/>
  <c r="R968" i="34"/>
  <c r="S968" i="34"/>
  <c r="T968" i="34"/>
  <c r="V968" i="34"/>
  <c r="X968" i="34"/>
  <c r="Y968" i="34"/>
  <c r="N969" i="34"/>
  <c r="R969" i="34"/>
  <c r="S969" i="34"/>
  <c r="T969" i="34"/>
  <c r="V969" i="34"/>
  <c r="X969" i="34"/>
  <c r="Y969" i="34"/>
  <c r="N970" i="34"/>
  <c r="R970" i="34"/>
  <c r="S970" i="34"/>
  <c r="T970" i="34"/>
  <c r="V970" i="34"/>
  <c r="X970" i="34"/>
  <c r="Y970" i="34"/>
  <c r="N971" i="34"/>
  <c r="R971" i="34"/>
  <c r="S971" i="34"/>
  <c r="T971" i="34"/>
  <c r="V971" i="34"/>
  <c r="X971" i="34"/>
  <c r="Y971" i="34"/>
  <c r="N972" i="34"/>
  <c r="V972" i="34"/>
  <c r="X972" i="34"/>
  <c r="Y972" i="34"/>
  <c r="N973" i="34"/>
  <c r="V973" i="34"/>
  <c r="X973" i="34"/>
  <c r="Y973" i="34"/>
  <c r="N974" i="34"/>
  <c r="V974" i="34"/>
  <c r="X974" i="34"/>
  <c r="Y974" i="34"/>
  <c r="N975" i="34"/>
  <c r="V975" i="34"/>
  <c r="X975" i="34"/>
  <c r="Y975" i="34"/>
  <c r="N976" i="34"/>
  <c r="V976" i="34"/>
  <c r="X976" i="34"/>
  <c r="Y976" i="34"/>
  <c r="N977" i="34"/>
  <c r="R977" i="34"/>
  <c r="S977" i="34"/>
  <c r="T977" i="34"/>
  <c r="V977" i="34"/>
  <c r="X977" i="34"/>
  <c r="Y977" i="34"/>
  <c r="N978" i="34"/>
  <c r="R978" i="34"/>
  <c r="S978" i="34"/>
  <c r="T978" i="34"/>
  <c r="V978" i="34"/>
  <c r="X978" i="34"/>
  <c r="Y978" i="34"/>
  <c r="N979" i="34"/>
  <c r="R979" i="34"/>
  <c r="S979" i="34"/>
  <c r="T979" i="34"/>
  <c r="V979" i="34"/>
  <c r="X979" i="34"/>
  <c r="Y979" i="34"/>
  <c r="N980" i="34"/>
  <c r="R980" i="34"/>
  <c r="S980" i="34"/>
  <c r="T980" i="34"/>
  <c r="V980" i="34"/>
  <c r="X980" i="34"/>
  <c r="Y980" i="34"/>
  <c r="N981" i="34"/>
  <c r="R981" i="34"/>
  <c r="S981" i="34"/>
  <c r="T981" i="34"/>
  <c r="V981" i="34"/>
  <c r="X981" i="34"/>
  <c r="Y981" i="34"/>
  <c r="N982" i="34"/>
  <c r="R982" i="34"/>
  <c r="S982" i="34"/>
  <c r="T982" i="34"/>
  <c r="V982" i="34"/>
  <c r="X982" i="34"/>
  <c r="Y982" i="34"/>
  <c r="N983" i="34"/>
  <c r="R983" i="34"/>
  <c r="S983" i="34"/>
  <c r="T983" i="34"/>
  <c r="V983" i="34"/>
  <c r="X983" i="34"/>
  <c r="Y983" i="34"/>
  <c r="N984" i="34"/>
  <c r="R984" i="34"/>
  <c r="S984" i="34"/>
  <c r="T984" i="34"/>
  <c r="V984" i="34"/>
  <c r="X984" i="34"/>
  <c r="Y984" i="34"/>
  <c r="N985" i="34"/>
  <c r="R985" i="34"/>
  <c r="S985" i="34"/>
  <c r="T985" i="34"/>
  <c r="V985" i="34"/>
  <c r="X985" i="34"/>
  <c r="Y985" i="34"/>
  <c r="N986" i="34"/>
  <c r="R986" i="34"/>
  <c r="S986" i="34"/>
  <c r="T986" i="34"/>
  <c r="V986" i="34"/>
  <c r="X986" i="34"/>
  <c r="Y986" i="34"/>
  <c r="N987" i="34"/>
  <c r="R987" i="34"/>
  <c r="S987" i="34"/>
  <c r="T987" i="34"/>
  <c r="V987" i="34"/>
  <c r="X987" i="34"/>
  <c r="Y987" i="34"/>
  <c r="N988" i="34"/>
  <c r="R988" i="34"/>
  <c r="S988" i="34"/>
  <c r="T988" i="34"/>
  <c r="V988" i="34"/>
  <c r="X988" i="34"/>
  <c r="Y988" i="34"/>
  <c r="N989" i="34"/>
  <c r="R989" i="34"/>
  <c r="S989" i="34"/>
  <c r="T989" i="34"/>
  <c r="V989" i="34"/>
  <c r="X989" i="34"/>
  <c r="Y989" i="34"/>
  <c r="N990" i="34"/>
  <c r="R990" i="34"/>
  <c r="S990" i="34"/>
  <c r="T990" i="34"/>
  <c r="V990" i="34"/>
  <c r="X990" i="34"/>
  <c r="Y990" i="34"/>
  <c r="N991" i="34"/>
  <c r="R991" i="34"/>
  <c r="S991" i="34"/>
  <c r="T991" i="34"/>
  <c r="V991" i="34"/>
  <c r="X991" i="34"/>
  <c r="Y991" i="34"/>
  <c r="N992" i="34"/>
  <c r="R992" i="34"/>
  <c r="S992" i="34"/>
  <c r="T992" i="34"/>
  <c r="V992" i="34"/>
  <c r="X992" i="34"/>
  <c r="Y992" i="34"/>
  <c r="N993" i="34"/>
  <c r="R993" i="34"/>
  <c r="S993" i="34"/>
  <c r="T993" i="34"/>
  <c r="V993" i="34"/>
  <c r="X993" i="34"/>
  <c r="Y993" i="34"/>
  <c r="N994" i="34"/>
  <c r="R994" i="34"/>
  <c r="S994" i="34"/>
  <c r="T994" i="34"/>
  <c r="V994" i="34"/>
  <c r="X994" i="34"/>
  <c r="Y994" i="34"/>
  <c r="N995" i="34"/>
  <c r="R995" i="34"/>
  <c r="S995" i="34"/>
  <c r="T995" i="34"/>
  <c r="V995" i="34"/>
  <c r="X995" i="34"/>
  <c r="Y995" i="34"/>
  <c r="N996" i="34"/>
  <c r="R996" i="34"/>
  <c r="S996" i="34"/>
  <c r="T996" i="34"/>
  <c r="V996" i="34"/>
  <c r="X996" i="34"/>
  <c r="Y996" i="34"/>
  <c r="N997" i="34"/>
  <c r="R997" i="34"/>
  <c r="S997" i="34"/>
  <c r="T997" i="34"/>
  <c r="V997" i="34"/>
  <c r="X997" i="34"/>
  <c r="Y997" i="34"/>
  <c r="N998" i="34"/>
  <c r="R998" i="34"/>
  <c r="S998" i="34"/>
  <c r="T998" i="34"/>
  <c r="V998" i="34"/>
  <c r="X998" i="34"/>
  <c r="Y998" i="34"/>
  <c r="N999" i="34"/>
  <c r="R999" i="34"/>
  <c r="S999" i="34"/>
  <c r="T999" i="34"/>
  <c r="V999" i="34"/>
  <c r="X999" i="34"/>
  <c r="Y999" i="34"/>
  <c r="N1000" i="34"/>
  <c r="R1000" i="34"/>
  <c r="S1000" i="34"/>
  <c r="T1000" i="34"/>
  <c r="V1000" i="34"/>
  <c r="X1000" i="34"/>
  <c r="Y1000" i="34"/>
  <c r="N1001" i="34"/>
  <c r="R1001" i="34"/>
  <c r="S1001" i="34"/>
  <c r="T1001" i="34"/>
  <c r="V1001" i="34"/>
  <c r="X1001" i="34"/>
  <c r="Y1001" i="34"/>
  <c r="N1002" i="34"/>
  <c r="R1002" i="34"/>
  <c r="S1002" i="34"/>
  <c r="T1002" i="34"/>
  <c r="V1002" i="34"/>
  <c r="X1002" i="34"/>
  <c r="Y1002" i="34"/>
  <c r="N1003" i="34"/>
  <c r="R1003" i="34"/>
  <c r="S1003" i="34"/>
  <c r="T1003" i="34"/>
  <c r="V1003" i="34"/>
  <c r="X1003" i="34"/>
  <c r="Y1003" i="34"/>
  <c r="N1004" i="34"/>
  <c r="R1004" i="34"/>
  <c r="S1004" i="34"/>
  <c r="T1004" i="34"/>
  <c r="V1004" i="34"/>
  <c r="X1004" i="34"/>
  <c r="Y1004" i="34"/>
  <c r="N1005" i="34"/>
  <c r="R1005" i="34"/>
  <c r="S1005" i="34"/>
  <c r="T1005" i="34"/>
  <c r="V1005" i="34"/>
  <c r="X1005" i="34"/>
  <c r="Y1005" i="34"/>
  <c r="N1006" i="34"/>
  <c r="R1006" i="34"/>
  <c r="S1006" i="34"/>
  <c r="T1006" i="34"/>
  <c r="V1006" i="34"/>
  <c r="X1006" i="34"/>
  <c r="Y1006" i="34"/>
  <c r="N1007" i="34"/>
  <c r="R1007" i="34"/>
  <c r="S1007" i="34"/>
  <c r="T1007" i="34"/>
  <c r="V1007" i="34"/>
  <c r="X1007" i="34"/>
  <c r="Y1007" i="34"/>
  <c r="N1008" i="34"/>
  <c r="R1008" i="34"/>
  <c r="S1008" i="34"/>
  <c r="T1008" i="34"/>
  <c r="V1008" i="34"/>
  <c r="X1008" i="34"/>
  <c r="Y1008" i="34"/>
  <c r="N1009" i="34"/>
  <c r="R1009" i="34"/>
  <c r="S1009" i="34"/>
  <c r="T1009" i="34"/>
  <c r="V1009" i="34"/>
  <c r="X1009" i="34"/>
  <c r="Y1009" i="34"/>
  <c r="N1010" i="34"/>
  <c r="R1010" i="34"/>
  <c r="S1010" i="34"/>
  <c r="T1010" i="34"/>
  <c r="V1010" i="34"/>
  <c r="X1010" i="34"/>
  <c r="Y1010" i="34"/>
  <c r="N1011" i="34"/>
  <c r="R1011" i="34"/>
  <c r="S1011" i="34"/>
  <c r="T1011" i="34"/>
  <c r="V1011" i="34"/>
  <c r="X1011" i="34"/>
  <c r="Y1011" i="34"/>
  <c r="N1012" i="34"/>
  <c r="R1012" i="34"/>
  <c r="S1012" i="34"/>
  <c r="T1012" i="34"/>
  <c r="V1012" i="34"/>
  <c r="X1012" i="34"/>
  <c r="Y1012" i="34"/>
  <c r="N1013" i="34"/>
  <c r="V1013" i="34"/>
  <c r="X1013" i="34"/>
  <c r="Y1013" i="34"/>
  <c r="N1014" i="34"/>
  <c r="R1014" i="34"/>
  <c r="S1014" i="34"/>
  <c r="T1014" i="34"/>
  <c r="V1014" i="34"/>
  <c r="X1014" i="34"/>
  <c r="Y1014" i="34"/>
  <c r="N1015" i="34"/>
  <c r="V1015" i="34"/>
  <c r="X1015" i="34"/>
  <c r="Y1015" i="34"/>
  <c r="N1016" i="34"/>
  <c r="V1016" i="34"/>
  <c r="X1016" i="34"/>
  <c r="Y1016" i="34"/>
  <c r="N1017" i="34"/>
  <c r="R1017" i="34"/>
  <c r="S1017" i="34"/>
  <c r="T1017" i="34"/>
  <c r="V1017" i="34"/>
  <c r="X1017" i="34"/>
  <c r="Y1017" i="34"/>
  <c r="N1018" i="34"/>
  <c r="R1018" i="34"/>
  <c r="S1018" i="34"/>
  <c r="T1018" i="34"/>
  <c r="V1018" i="34"/>
  <c r="X1018" i="34"/>
  <c r="Y1018" i="34"/>
  <c r="N1019" i="34"/>
  <c r="R1019" i="34"/>
  <c r="S1019" i="34"/>
  <c r="T1019" i="34"/>
  <c r="V1019" i="34"/>
  <c r="X1019" i="34"/>
  <c r="Y1019" i="34"/>
  <c r="N1020" i="34"/>
  <c r="R1020" i="34"/>
  <c r="S1020" i="34"/>
  <c r="T1020" i="34"/>
  <c r="V1020" i="34"/>
  <c r="X1020" i="34"/>
  <c r="Y1020" i="34"/>
  <c r="N1021" i="34"/>
  <c r="V1021" i="34"/>
  <c r="X1021" i="34"/>
  <c r="Y1021" i="34"/>
  <c r="N1022" i="34"/>
  <c r="V1022" i="34"/>
  <c r="X1022" i="34"/>
  <c r="Y1022" i="34"/>
  <c r="N1023" i="34"/>
  <c r="R1023" i="34"/>
  <c r="S1023" i="34"/>
  <c r="T1023" i="34"/>
  <c r="V1023" i="34"/>
  <c r="X1023" i="34"/>
  <c r="Y1023" i="34"/>
  <c r="N1024" i="34"/>
  <c r="R1024" i="34"/>
  <c r="S1024" i="34"/>
  <c r="T1024" i="34"/>
  <c r="V1024" i="34"/>
  <c r="X1024" i="34"/>
  <c r="Y1024" i="34"/>
  <c r="N1025" i="34"/>
  <c r="R1025" i="34"/>
  <c r="S1025" i="34"/>
  <c r="T1025" i="34"/>
  <c r="V1025" i="34"/>
  <c r="X1025" i="34"/>
  <c r="Y1025" i="34"/>
  <c r="N1026" i="34"/>
  <c r="R1026" i="34"/>
  <c r="S1026" i="34"/>
  <c r="T1026" i="34"/>
  <c r="V1026" i="34"/>
  <c r="X1026" i="34"/>
  <c r="Y1026" i="34"/>
  <c r="N1027" i="34"/>
  <c r="R1027" i="34"/>
  <c r="S1027" i="34"/>
  <c r="T1027" i="34"/>
  <c r="V1027" i="34"/>
  <c r="X1027" i="34"/>
  <c r="Y1027" i="34"/>
  <c r="N1028" i="34"/>
  <c r="R1028" i="34"/>
  <c r="S1028" i="34"/>
  <c r="T1028" i="34"/>
  <c r="V1028" i="34"/>
  <c r="X1028" i="34"/>
  <c r="Y1028" i="34"/>
  <c r="N1029" i="34"/>
  <c r="R1029" i="34"/>
  <c r="S1029" i="34"/>
  <c r="T1029" i="34"/>
  <c r="V1029" i="34"/>
  <c r="X1029" i="34"/>
  <c r="Y1029" i="34"/>
  <c r="N1030" i="34"/>
  <c r="R1030" i="34"/>
  <c r="S1030" i="34"/>
  <c r="T1030" i="34"/>
  <c r="V1030" i="34"/>
  <c r="X1030" i="34"/>
  <c r="Y1030" i="34"/>
  <c r="N1031" i="34"/>
  <c r="R1031" i="34"/>
  <c r="S1031" i="34"/>
  <c r="T1031" i="34"/>
  <c r="V1031" i="34"/>
  <c r="X1031" i="34"/>
  <c r="Y1031" i="34"/>
  <c r="N1032" i="34"/>
  <c r="R1032" i="34"/>
  <c r="S1032" i="34"/>
  <c r="T1032" i="34"/>
  <c r="V1032" i="34"/>
  <c r="X1032" i="34"/>
  <c r="Y1032" i="34"/>
  <c r="N1033" i="34"/>
  <c r="R1033" i="34"/>
  <c r="S1033" i="34"/>
  <c r="T1033" i="34"/>
  <c r="V1033" i="34"/>
  <c r="X1033" i="34"/>
  <c r="Y1033" i="34"/>
  <c r="N1034" i="34"/>
  <c r="R1034" i="34"/>
  <c r="S1034" i="34"/>
  <c r="T1034" i="34"/>
  <c r="V1034" i="34"/>
  <c r="X1034" i="34"/>
  <c r="Y1034" i="34"/>
  <c r="N1035" i="34"/>
  <c r="R1035" i="34"/>
  <c r="S1035" i="34"/>
  <c r="T1035" i="34"/>
  <c r="V1035" i="34"/>
  <c r="X1035" i="34"/>
  <c r="Y1035" i="34"/>
  <c r="N1036" i="34"/>
  <c r="R1036" i="34"/>
  <c r="S1036" i="34"/>
  <c r="T1036" i="34"/>
  <c r="V1036" i="34"/>
  <c r="X1036" i="34"/>
  <c r="Y1036" i="34"/>
  <c r="N1037" i="34"/>
  <c r="R1037" i="34"/>
  <c r="S1037" i="34"/>
  <c r="T1037" i="34"/>
  <c r="V1037" i="34"/>
  <c r="X1037" i="34"/>
  <c r="Y1037" i="34"/>
  <c r="N1038" i="34"/>
  <c r="R1038" i="34"/>
  <c r="S1038" i="34"/>
  <c r="T1038" i="34"/>
  <c r="V1038" i="34"/>
  <c r="X1038" i="34"/>
  <c r="Y1038" i="34"/>
  <c r="N1039" i="34"/>
  <c r="R1039" i="34"/>
  <c r="S1039" i="34"/>
  <c r="T1039" i="34"/>
  <c r="V1039" i="34"/>
  <c r="X1039" i="34"/>
  <c r="Y1039" i="34"/>
  <c r="N1040" i="34"/>
  <c r="R1040" i="34"/>
  <c r="S1040" i="34"/>
  <c r="T1040" i="34"/>
  <c r="V1040" i="34"/>
  <c r="X1040" i="34"/>
  <c r="Y1040" i="34"/>
  <c r="N1041" i="34"/>
  <c r="R1041" i="34"/>
  <c r="S1041" i="34"/>
  <c r="T1041" i="34"/>
  <c r="V1041" i="34"/>
  <c r="X1041" i="34"/>
  <c r="Y1041" i="34"/>
  <c r="N1042" i="34"/>
  <c r="R1042" i="34"/>
  <c r="S1042" i="34"/>
  <c r="T1042" i="34"/>
  <c r="V1042" i="34"/>
  <c r="X1042" i="34"/>
  <c r="Y1042" i="34"/>
  <c r="N1043" i="34"/>
  <c r="R1043" i="34"/>
  <c r="S1043" i="34"/>
  <c r="T1043" i="34"/>
  <c r="V1043" i="34"/>
  <c r="X1043" i="34"/>
  <c r="Y1043" i="34"/>
  <c r="N1044" i="34"/>
  <c r="R1044" i="34"/>
  <c r="S1044" i="34"/>
  <c r="T1044" i="34"/>
  <c r="V1044" i="34"/>
  <c r="X1044" i="34"/>
  <c r="Y1044" i="34"/>
  <c r="N1045" i="34"/>
  <c r="R1045" i="34"/>
  <c r="S1045" i="34"/>
  <c r="T1045" i="34"/>
  <c r="V1045" i="34"/>
  <c r="X1045" i="34"/>
  <c r="Y1045" i="34"/>
  <c r="N1046" i="34"/>
  <c r="R1046" i="34"/>
  <c r="S1046" i="34"/>
  <c r="T1046" i="34"/>
  <c r="V1046" i="34"/>
  <c r="X1046" i="34"/>
  <c r="Y1046" i="34"/>
  <c r="N1047" i="34"/>
  <c r="R1047" i="34"/>
  <c r="S1047" i="34"/>
  <c r="T1047" i="34"/>
  <c r="V1047" i="34"/>
  <c r="X1047" i="34"/>
  <c r="Y1047" i="34"/>
  <c r="N1048" i="34"/>
  <c r="R1048" i="34"/>
  <c r="S1048" i="34"/>
  <c r="T1048" i="34"/>
  <c r="V1048" i="34"/>
  <c r="X1048" i="34"/>
  <c r="Y1048" i="34"/>
  <c r="N1049" i="34"/>
  <c r="R1049" i="34"/>
  <c r="S1049" i="34"/>
  <c r="T1049" i="34"/>
  <c r="V1049" i="34"/>
  <c r="X1049" i="34"/>
  <c r="Y1049" i="34"/>
  <c r="N1050" i="34"/>
  <c r="R1050" i="34"/>
  <c r="S1050" i="34"/>
  <c r="T1050" i="34"/>
  <c r="V1050" i="34"/>
  <c r="X1050" i="34"/>
  <c r="Y1050" i="34"/>
  <c r="N1051" i="34"/>
  <c r="R1051" i="34"/>
  <c r="S1051" i="34"/>
  <c r="T1051" i="34"/>
  <c r="V1051" i="34"/>
  <c r="X1051" i="34"/>
  <c r="Y1051" i="34"/>
  <c r="N1052" i="34"/>
  <c r="R1052" i="34"/>
  <c r="S1052" i="34"/>
  <c r="T1052" i="34"/>
  <c r="V1052" i="34"/>
  <c r="X1052" i="34"/>
  <c r="Y1052" i="34"/>
  <c r="N1053" i="34"/>
  <c r="R1053" i="34"/>
  <c r="S1053" i="34"/>
  <c r="T1053" i="34"/>
  <c r="V1053" i="34"/>
  <c r="X1053" i="34"/>
  <c r="Y1053" i="34"/>
  <c r="N1054" i="34"/>
  <c r="R1054" i="34"/>
  <c r="S1054" i="34"/>
  <c r="T1054" i="34"/>
  <c r="V1054" i="34"/>
  <c r="X1054" i="34"/>
  <c r="Y1054" i="34"/>
  <c r="N1055" i="34"/>
  <c r="R1055" i="34"/>
  <c r="S1055" i="34"/>
  <c r="T1055" i="34"/>
  <c r="V1055" i="34"/>
  <c r="X1055" i="34"/>
  <c r="Y1055" i="34"/>
  <c r="N1056" i="34"/>
  <c r="R1056" i="34"/>
  <c r="S1056" i="34"/>
  <c r="T1056" i="34"/>
  <c r="V1056" i="34"/>
  <c r="X1056" i="34"/>
  <c r="Y1056" i="34"/>
  <c r="N1057" i="34"/>
  <c r="R1057" i="34"/>
  <c r="S1057" i="34"/>
  <c r="T1057" i="34"/>
  <c r="V1057" i="34"/>
  <c r="X1057" i="34"/>
  <c r="Y1057" i="34"/>
  <c r="N1058" i="34"/>
  <c r="R1058" i="34"/>
  <c r="S1058" i="34"/>
  <c r="T1058" i="34"/>
  <c r="V1058" i="34"/>
  <c r="X1058" i="34"/>
  <c r="Y1058" i="34"/>
  <c r="N1059" i="34"/>
  <c r="R1059" i="34"/>
  <c r="S1059" i="34"/>
  <c r="T1059" i="34"/>
  <c r="V1059" i="34"/>
  <c r="X1059" i="34"/>
  <c r="Y1059" i="34"/>
  <c r="N1060" i="34"/>
  <c r="R1060" i="34"/>
  <c r="S1060" i="34"/>
  <c r="T1060" i="34"/>
  <c r="V1060" i="34"/>
  <c r="X1060" i="34"/>
  <c r="Y1060" i="34"/>
  <c r="N1061" i="34"/>
  <c r="R1061" i="34"/>
  <c r="S1061" i="34"/>
  <c r="T1061" i="34"/>
  <c r="V1061" i="34"/>
  <c r="X1061" i="34"/>
  <c r="Y1061" i="34"/>
  <c r="N1062" i="34"/>
  <c r="R1062" i="34"/>
  <c r="S1062" i="34"/>
  <c r="T1062" i="34"/>
  <c r="V1062" i="34"/>
  <c r="X1062" i="34"/>
  <c r="Y1062" i="34"/>
  <c r="N1063" i="34"/>
  <c r="R1063" i="34"/>
  <c r="S1063" i="34"/>
  <c r="T1063" i="34"/>
  <c r="V1063" i="34"/>
  <c r="X1063" i="34"/>
  <c r="Y1063" i="34"/>
  <c r="N1064" i="34"/>
  <c r="R1064" i="34"/>
  <c r="S1064" i="34"/>
  <c r="T1064" i="34"/>
  <c r="V1064" i="34"/>
  <c r="X1064" i="34"/>
  <c r="Y1064" i="34"/>
  <c r="N1065" i="34"/>
  <c r="V1065" i="34"/>
  <c r="X1065" i="34"/>
  <c r="Y1065" i="34"/>
  <c r="N1066" i="34"/>
  <c r="V1066" i="34"/>
  <c r="X1066" i="34"/>
  <c r="Y1066" i="34"/>
  <c r="N1067" i="34"/>
  <c r="R1067" i="34"/>
  <c r="S1067" i="34"/>
  <c r="T1067" i="34"/>
  <c r="V1067" i="34"/>
  <c r="X1067" i="34"/>
  <c r="Y1067" i="34"/>
  <c r="N1068" i="34"/>
  <c r="R1068" i="34"/>
  <c r="S1068" i="34"/>
  <c r="T1068" i="34"/>
  <c r="V1068" i="34"/>
  <c r="X1068" i="34"/>
  <c r="Y1068" i="34"/>
  <c r="N1069" i="34"/>
  <c r="R1069" i="34"/>
  <c r="S1069" i="34"/>
  <c r="T1069" i="34"/>
  <c r="V1069" i="34"/>
  <c r="X1069" i="34"/>
  <c r="Y1069" i="34"/>
  <c r="N1070" i="34"/>
  <c r="R1070" i="34"/>
  <c r="S1070" i="34"/>
  <c r="T1070" i="34"/>
  <c r="V1070" i="34"/>
  <c r="X1070" i="34"/>
  <c r="Y1070" i="34"/>
  <c r="N1071" i="34"/>
  <c r="R1071" i="34"/>
  <c r="S1071" i="34"/>
  <c r="T1071" i="34"/>
  <c r="V1071" i="34"/>
  <c r="X1071" i="34"/>
  <c r="Y1071" i="34"/>
  <c r="N1072" i="34"/>
  <c r="R1072" i="34"/>
  <c r="S1072" i="34"/>
  <c r="T1072" i="34"/>
  <c r="V1072" i="34"/>
  <c r="X1072" i="34"/>
  <c r="Y1072" i="34"/>
  <c r="N1073" i="34"/>
  <c r="R1073" i="34"/>
  <c r="S1073" i="34"/>
  <c r="T1073" i="34"/>
  <c r="V1073" i="34"/>
  <c r="X1073" i="34"/>
  <c r="Y1073" i="34"/>
  <c r="N1074" i="34"/>
  <c r="R1074" i="34"/>
  <c r="S1074" i="34"/>
  <c r="T1074" i="34"/>
  <c r="V1074" i="34"/>
  <c r="X1074" i="34"/>
  <c r="Y1074" i="34"/>
  <c r="N1075" i="34"/>
  <c r="R1075" i="34"/>
  <c r="S1075" i="34"/>
  <c r="T1075" i="34"/>
  <c r="V1075" i="34"/>
  <c r="X1075" i="34"/>
  <c r="Y1075" i="34"/>
  <c r="N1076" i="34"/>
  <c r="R1076" i="34"/>
  <c r="S1076" i="34"/>
  <c r="T1076" i="34"/>
  <c r="V1076" i="34"/>
  <c r="X1076" i="34"/>
  <c r="Y1076" i="34"/>
  <c r="N1077" i="34"/>
  <c r="R1077" i="34"/>
  <c r="S1077" i="34"/>
  <c r="T1077" i="34"/>
  <c r="V1077" i="34"/>
  <c r="X1077" i="34"/>
  <c r="Y1077" i="34"/>
  <c r="N1078" i="34"/>
  <c r="R1078" i="34"/>
  <c r="S1078" i="34"/>
  <c r="T1078" i="34"/>
  <c r="V1078" i="34"/>
  <c r="X1078" i="34"/>
  <c r="Y1078" i="34"/>
  <c r="N1079" i="34"/>
  <c r="R1079" i="34"/>
  <c r="S1079" i="34"/>
  <c r="T1079" i="34"/>
  <c r="V1079" i="34"/>
  <c r="X1079" i="34"/>
  <c r="Y1079" i="34"/>
  <c r="N1080" i="34"/>
  <c r="R1080" i="34"/>
  <c r="S1080" i="34"/>
  <c r="T1080" i="34"/>
  <c r="V1080" i="34"/>
  <c r="X1080" i="34"/>
  <c r="Y1080" i="34"/>
  <c r="N1081" i="34"/>
  <c r="R1081" i="34"/>
  <c r="S1081" i="34"/>
  <c r="T1081" i="34"/>
  <c r="V1081" i="34"/>
  <c r="X1081" i="34"/>
  <c r="Y1081" i="34"/>
  <c r="N1082" i="34"/>
  <c r="R1082" i="34"/>
  <c r="S1082" i="34"/>
  <c r="T1082" i="34"/>
  <c r="V1082" i="34"/>
  <c r="X1082" i="34"/>
  <c r="Y1082" i="34"/>
  <c r="N1083" i="34"/>
  <c r="R1083" i="34"/>
  <c r="S1083" i="34"/>
  <c r="T1083" i="34"/>
  <c r="V1083" i="34"/>
  <c r="X1083" i="34"/>
  <c r="Y1083" i="34"/>
  <c r="N1084" i="34"/>
  <c r="R1084" i="34"/>
  <c r="S1084" i="34"/>
  <c r="T1084" i="34"/>
  <c r="V1084" i="34"/>
  <c r="X1084" i="34"/>
  <c r="Y1084" i="34"/>
  <c r="N1085" i="34"/>
  <c r="R1085" i="34"/>
  <c r="S1085" i="34"/>
  <c r="T1085" i="34"/>
  <c r="V1085" i="34"/>
  <c r="X1085" i="34"/>
  <c r="Y1085" i="34"/>
  <c r="N1086" i="34"/>
  <c r="R1086" i="34"/>
  <c r="S1086" i="34"/>
  <c r="T1086" i="34"/>
  <c r="V1086" i="34"/>
  <c r="X1086" i="34"/>
  <c r="Y1086" i="34"/>
  <c r="N1087" i="34"/>
  <c r="R1087" i="34"/>
  <c r="S1087" i="34"/>
  <c r="T1087" i="34"/>
  <c r="V1087" i="34"/>
  <c r="X1087" i="34"/>
  <c r="Y1087" i="34"/>
  <c r="N1088" i="34"/>
  <c r="R1088" i="34"/>
  <c r="S1088" i="34"/>
  <c r="T1088" i="34"/>
  <c r="V1088" i="34"/>
  <c r="X1088" i="34"/>
  <c r="Y1088" i="34"/>
  <c r="N1089" i="34"/>
  <c r="R1089" i="34"/>
  <c r="S1089" i="34"/>
  <c r="T1089" i="34"/>
  <c r="V1089" i="34"/>
  <c r="X1089" i="34"/>
  <c r="Y1089" i="34"/>
  <c r="N1090" i="34"/>
  <c r="R1090" i="34"/>
  <c r="S1090" i="34"/>
  <c r="T1090" i="34"/>
  <c r="V1090" i="34"/>
  <c r="X1090" i="34"/>
  <c r="Y1090" i="34"/>
  <c r="N1091" i="34"/>
  <c r="R1091" i="34"/>
  <c r="S1091" i="34"/>
  <c r="T1091" i="34"/>
  <c r="V1091" i="34"/>
  <c r="X1091" i="34"/>
  <c r="Y1091" i="34"/>
  <c r="N1092" i="34"/>
  <c r="R1092" i="34"/>
  <c r="S1092" i="34"/>
  <c r="T1092" i="34"/>
  <c r="V1092" i="34"/>
  <c r="X1092" i="34"/>
  <c r="Y1092" i="34"/>
  <c r="N1093" i="34"/>
  <c r="R1093" i="34"/>
  <c r="S1093" i="34"/>
  <c r="T1093" i="34"/>
  <c r="V1093" i="34"/>
  <c r="X1093" i="34"/>
  <c r="Y1093" i="34"/>
  <c r="N1094" i="34"/>
  <c r="V1094" i="34"/>
  <c r="X1094" i="34"/>
  <c r="Y1094" i="34"/>
  <c r="N1095" i="34"/>
  <c r="V1095" i="34"/>
  <c r="X1095" i="34"/>
  <c r="Y1095" i="34"/>
  <c r="N1096" i="34"/>
  <c r="V1096" i="34"/>
  <c r="X1096" i="34"/>
  <c r="Y1096" i="34"/>
  <c r="N1097" i="34"/>
  <c r="R1097" i="34"/>
  <c r="S1097" i="34"/>
  <c r="T1097" i="34"/>
  <c r="V1097" i="34"/>
  <c r="X1097" i="34"/>
  <c r="Y1097" i="34"/>
  <c r="N1098" i="34"/>
  <c r="R1098" i="34"/>
  <c r="S1098" i="34"/>
  <c r="T1098" i="34"/>
  <c r="V1098" i="34"/>
  <c r="X1098" i="34"/>
  <c r="Y1098" i="34"/>
  <c r="N1099" i="34"/>
  <c r="R1099" i="34"/>
  <c r="S1099" i="34"/>
  <c r="T1099" i="34"/>
  <c r="V1099" i="34"/>
  <c r="X1099" i="34"/>
  <c r="Y1099" i="34"/>
  <c r="N1100" i="34"/>
  <c r="R1100" i="34"/>
  <c r="S1100" i="34"/>
  <c r="T1100" i="34"/>
  <c r="V1100" i="34"/>
  <c r="X1100" i="34"/>
  <c r="Y1100" i="34"/>
  <c r="N1101" i="34"/>
  <c r="R1101" i="34"/>
  <c r="S1101" i="34"/>
  <c r="T1101" i="34"/>
  <c r="V1101" i="34"/>
  <c r="X1101" i="34"/>
  <c r="Y1101" i="34"/>
  <c r="N1102" i="34"/>
  <c r="R1102" i="34"/>
  <c r="S1102" i="34"/>
  <c r="T1102" i="34"/>
  <c r="V1102" i="34"/>
  <c r="X1102" i="34"/>
  <c r="Y1102" i="34"/>
  <c r="N1103" i="34"/>
  <c r="R1103" i="34"/>
  <c r="S1103" i="34"/>
  <c r="T1103" i="34"/>
  <c r="V1103" i="34"/>
  <c r="X1103" i="34"/>
  <c r="Y1103" i="34"/>
  <c r="N1104" i="34"/>
  <c r="R1104" i="34"/>
  <c r="S1104" i="34"/>
  <c r="T1104" i="34"/>
  <c r="V1104" i="34"/>
  <c r="X1104" i="34"/>
  <c r="Y1104" i="34"/>
  <c r="N1105" i="34"/>
  <c r="R1105" i="34"/>
  <c r="S1105" i="34"/>
  <c r="T1105" i="34"/>
  <c r="V1105" i="34"/>
  <c r="X1105" i="34"/>
  <c r="Y1105" i="34"/>
  <c r="N1106" i="34"/>
  <c r="R1106" i="34"/>
  <c r="S1106" i="34"/>
  <c r="T1106" i="34"/>
  <c r="V1106" i="34"/>
  <c r="X1106" i="34"/>
  <c r="Y1106" i="34"/>
  <c r="N1107" i="34"/>
  <c r="R1107" i="34"/>
  <c r="S1107" i="34"/>
  <c r="T1107" i="34"/>
  <c r="V1107" i="34"/>
  <c r="X1107" i="34"/>
  <c r="Y1107" i="34"/>
  <c r="N1108" i="34"/>
  <c r="R1108" i="34"/>
  <c r="S1108" i="34"/>
  <c r="T1108" i="34"/>
  <c r="V1108" i="34"/>
  <c r="X1108" i="34"/>
  <c r="Y1108" i="34"/>
  <c r="N1109" i="34"/>
  <c r="R1109" i="34"/>
  <c r="S1109" i="34"/>
  <c r="T1109" i="34"/>
  <c r="V1109" i="34"/>
  <c r="X1109" i="34"/>
  <c r="Y1109" i="34"/>
  <c r="N1110" i="34"/>
  <c r="R1110" i="34"/>
  <c r="S1110" i="34"/>
  <c r="T1110" i="34"/>
  <c r="V1110" i="34"/>
  <c r="X1110" i="34"/>
  <c r="Y1110" i="34"/>
  <c r="N1111" i="34"/>
  <c r="R1111" i="34"/>
  <c r="S1111" i="34"/>
  <c r="T1111" i="34"/>
  <c r="V1111" i="34"/>
  <c r="X1111" i="34"/>
  <c r="Y1111" i="34"/>
  <c r="N1112" i="34"/>
  <c r="R1112" i="34"/>
  <c r="S1112" i="34"/>
  <c r="T1112" i="34"/>
  <c r="V1112" i="34"/>
  <c r="X1112" i="34"/>
  <c r="Y1112" i="34"/>
  <c r="N1113" i="34"/>
  <c r="R1113" i="34"/>
  <c r="S1113" i="34"/>
  <c r="T1113" i="34"/>
  <c r="V1113" i="34"/>
  <c r="X1113" i="34"/>
  <c r="Y1113" i="34"/>
  <c r="N1114" i="34"/>
  <c r="R1114" i="34"/>
  <c r="S1114" i="34"/>
  <c r="T1114" i="34"/>
  <c r="V1114" i="34"/>
  <c r="X1114" i="34"/>
  <c r="Y1114" i="34"/>
  <c r="N1115" i="34"/>
  <c r="R1115" i="34"/>
  <c r="S1115" i="34"/>
  <c r="T1115" i="34"/>
  <c r="V1115" i="34"/>
  <c r="X1115" i="34"/>
  <c r="Y1115" i="34"/>
  <c r="N1116" i="34"/>
  <c r="R1116" i="34"/>
  <c r="S1116" i="34"/>
  <c r="T1116" i="34"/>
  <c r="V1116" i="34"/>
  <c r="X1116" i="34"/>
  <c r="Y1116" i="34"/>
  <c r="N1117" i="34"/>
  <c r="R1117" i="34"/>
  <c r="S1117" i="34"/>
  <c r="T1117" i="34"/>
  <c r="V1117" i="34"/>
  <c r="X1117" i="34"/>
  <c r="Y1117" i="34"/>
  <c r="N1118" i="34"/>
  <c r="R1118" i="34"/>
  <c r="S1118" i="34"/>
  <c r="T1118" i="34"/>
  <c r="V1118" i="34"/>
  <c r="X1118" i="34"/>
  <c r="Y1118" i="34"/>
  <c r="N1119" i="34"/>
  <c r="R1119" i="34"/>
  <c r="S1119" i="34"/>
  <c r="T1119" i="34"/>
  <c r="V1119" i="34"/>
  <c r="X1119" i="34"/>
  <c r="Y1119" i="34"/>
  <c r="N1120" i="34"/>
  <c r="R1120" i="34"/>
  <c r="S1120" i="34"/>
  <c r="T1120" i="34"/>
  <c r="V1120" i="34"/>
  <c r="X1120" i="34"/>
  <c r="Y1120" i="34"/>
  <c r="N1121" i="34"/>
  <c r="R1121" i="34"/>
  <c r="S1121" i="34"/>
  <c r="T1121" i="34"/>
  <c r="V1121" i="34"/>
  <c r="X1121" i="34"/>
  <c r="Y1121" i="34"/>
  <c r="N1122" i="34"/>
  <c r="R1122" i="34"/>
  <c r="S1122" i="34"/>
  <c r="T1122" i="34"/>
  <c r="V1122" i="34"/>
  <c r="X1122" i="34"/>
  <c r="Y1122" i="34"/>
  <c r="N1123" i="34"/>
  <c r="R1123" i="34"/>
  <c r="S1123" i="34"/>
  <c r="T1123" i="34"/>
  <c r="V1123" i="34"/>
  <c r="X1123" i="34"/>
  <c r="Y1123" i="34"/>
  <c r="N1124" i="34"/>
  <c r="R1124" i="34"/>
  <c r="S1124" i="34"/>
  <c r="T1124" i="34"/>
  <c r="V1124" i="34"/>
  <c r="X1124" i="34"/>
  <c r="Y1124" i="34"/>
  <c r="N1125" i="34"/>
  <c r="R1125" i="34"/>
  <c r="S1125" i="34"/>
  <c r="T1125" i="34"/>
  <c r="V1125" i="34"/>
  <c r="X1125" i="34"/>
  <c r="Y1125" i="34"/>
  <c r="N1126" i="34"/>
  <c r="R1126" i="34"/>
  <c r="S1126" i="34"/>
  <c r="T1126" i="34"/>
  <c r="V1126" i="34"/>
  <c r="X1126" i="34"/>
  <c r="Y1126" i="34"/>
  <c r="N1127" i="34"/>
  <c r="R1127" i="34"/>
  <c r="S1127" i="34"/>
  <c r="T1127" i="34"/>
  <c r="V1127" i="34"/>
  <c r="X1127" i="34"/>
  <c r="Y1127" i="34"/>
  <c r="N1128" i="34"/>
  <c r="R1128" i="34"/>
  <c r="S1128" i="34"/>
  <c r="T1128" i="34"/>
  <c r="V1128" i="34"/>
  <c r="X1128" i="34"/>
  <c r="Y1128" i="34"/>
  <c r="N1129" i="34"/>
  <c r="V1129" i="34"/>
  <c r="X1129" i="34"/>
  <c r="Y1129" i="34"/>
  <c r="N1130" i="34"/>
  <c r="V1130" i="34"/>
  <c r="X1130" i="34"/>
  <c r="Y1130" i="34"/>
  <c r="N1131" i="34"/>
  <c r="V1131" i="34"/>
  <c r="X1131" i="34"/>
  <c r="Y1131" i="34"/>
  <c r="N1132" i="34"/>
  <c r="R1132" i="34"/>
  <c r="S1132" i="34"/>
  <c r="T1132" i="34"/>
  <c r="V1132" i="34"/>
  <c r="X1132" i="34"/>
  <c r="Y1132" i="34"/>
  <c r="N1133" i="34"/>
  <c r="R1133" i="34"/>
  <c r="S1133" i="34"/>
  <c r="T1133" i="34"/>
  <c r="V1133" i="34"/>
  <c r="X1133" i="34"/>
  <c r="Y1133" i="34"/>
  <c r="N1134" i="34"/>
  <c r="R1134" i="34"/>
  <c r="S1134" i="34"/>
  <c r="T1134" i="34"/>
  <c r="V1134" i="34"/>
  <c r="X1134" i="34"/>
  <c r="Y1134" i="34"/>
  <c r="N1135" i="34"/>
  <c r="R1135" i="34"/>
  <c r="S1135" i="34"/>
  <c r="T1135" i="34"/>
  <c r="V1135" i="34"/>
  <c r="X1135" i="34"/>
  <c r="Y1135" i="34"/>
  <c r="N1136" i="34"/>
  <c r="R1136" i="34"/>
  <c r="S1136" i="34"/>
  <c r="T1136" i="34"/>
  <c r="V1136" i="34"/>
  <c r="X1136" i="34"/>
  <c r="Y1136" i="34"/>
  <c r="N1137" i="34"/>
  <c r="R1137" i="34"/>
  <c r="S1137" i="34"/>
  <c r="T1137" i="34"/>
  <c r="V1137" i="34"/>
  <c r="X1137" i="34"/>
  <c r="Y1137" i="34"/>
  <c r="N1138" i="34"/>
  <c r="R1138" i="34"/>
  <c r="S1138" i="34"/>
  <c r="T1138" i="34"/>
  <c r="V1138" i="34"/>
  <c r="X1138" i="34"/>
  <c r="Y1138" i="34"/>
  <c r="N1139" i="34"/>
  <c r="R1139" i="34"/>
  <c r="S1139" i="34"/>
  <c r="T1139" i="34"/>
  <c r="V1139" i="34"/>
  <c r="X1139" i="34"/>
  <c r="Y1139" i="34"/>
  <c r="N1140" i="34"/>
  <c r="R1140" i="34"/>
  <c r="S1140" i="34"/>
  <c r="T1140" i="34"/>
  <c r="V1140" i="34"/>
  <c r="X1140" i="34"/>
  <c r="Y1140" i="34"/>
  <c r="N1141" i="34"/>
  <c r="R1141" i="34"/>
  <c r="S1141" i="34"/>
  <c r="T1141" i="34"/>
  <c r="V1141" i="34"/>
  <c r="X1141" i="34"/>
  <c r="Y1141" i="34"/>
  <c r="N1142" i="34"/>
  <c r="R1142" i="34"/>
  <c r="S1142" i="34"/>
  <c r="T1142" i="34"/>
  <c r="V1142" i="34"/>
  <c r="X1142" i="34"/>
  <c r="Y1142" i="34"/>
  <c r="N1143" i="34"/>
  <c r="R1143" i="34"/>
  <c r="S1143" i="34"/>
  <c r="T1143" i="34"/>
  <c r="V1143" i="34"/>
  <c r="X1143" i="34"/>
  <c r="Y1143" i="34"/>
  <c r="N1144" i="34"/>
  <c r="R1144" i="34"/>
  <c r="S1144" i="34"/>
  <c r="T1144" i="34"/>
  <c r="V1144" i="34"/>
  <c r="X1144" i="34"/>
  <c r="Y1144" i="34"/>
  <c r="N1145" i="34"/>
  <c r="R1145" i="34"/>
  <c r="S1145" i="34"/>
  <c r="T1145" i="34"/>
  <c r="V1145" i="34"/>
  <c r="X1145" i="34"/>
  <c r="Y1145" i="34"/>
  <c r="N1146" i="34"/>
  <c r="R1146" i="34"/>
  <c r="S1146" i="34"/>
  <c r="T1146" i="34"/>
  <c r="V1146" i="34"/>
  <c r="X1146" i="34"/>
  <c r="Y1146" i="34"/>
  <c r="N1147" i="34"/>
  <c r="R1147" i="34"/>
  <c r="S1147" i="34"/>
  <c r="T1147" i="34"/>
  <c r="V1147" i="34"/>
  <c r="X1147" i="34"/>
  <c r="Y1147" i="34"/>
  <c r="N1148" i="34"/>
  <c r="R1148" i="34"/>
  <c r="S1148" i="34"/>
  <c r="T1148" i="34"/>
  <c r="V1148" i="34"/>
  <c r="X1148" i="34"/>
  <c r="Y1148" i="34"/>
  <c r="N1149" i="34"/>
  <c r="R1149" i="34"/>
  <c r="S1149" i="34"/>
  <c r="T1149" i="34"/>
  <c r="V1149" i="34"/>
  <c r="X1149" i="34"/>
  <c r="Y1149" i="34"/>
  <c r="N1150" i="34"/>
  <c r="R1150" i="34"/>
  <c r="S1150" i="34"/>
  <c r="T1150" i="34"/>
  <c r="V1150" i="34"/>
  <c r="X1150" i="34"/>
  <c r="Y1150" i="34"/>
  <c r="N1151" i="34"/>
  <c r="R1151" i="34"/>
  <c r="S1151" i="34"/>
  <c r="T1151" i="34"/>
  <c r="V1151" i="34"/>
  <c r="X1151" i="34"/>
  <c r="Y1151" i="34"/>
  <c r="N1152" i="34"/>
  <c r="R1152" i="34"/>
  <c r="S1152" i="34"/>
  <c r="T1152" i="34"/>
  <c r="V1152" i="34"/>
  <c r="X1152" i="34"/>
  <c r="Y1152" i="34"/>
  <c r="N1153" i="34"/>
  <c r="R1153" i="34"/>
  <c r="S1153" i="34"/>
  <c r="T1153" i="34"/>
  <c r="V1153" i="34"/>
  <c r="X1153" i="34"/>
  <c r="Y1153" i="34"/>
  <c r="N1154" i="34"/>
  <c r="R1154" i="34"/>
  <c r="S1154" i="34"/>
  <c r="T1154" i="34"/>
  <c r="V1154" i="34"/>
  <c r="X1154" i="34"/>
  <c r="Y1154" i="34"/>
  <c r="N1155" i="34"/>
  <c r="R1155" i="34"/>
  <c r="S1155" i="34"/>
  <c r="T1155" i="34"/>
  <c r="V1155" i="34"/>
  <c r="X1155" i="34"/>
  <c r="Y1155" i="34"/>
  <c r="N1156" i="34"/>
  <c r="R1156" i="34"/>
  <c r="S1156" i="34"/>
  <c r="T1156" i="34"/>
  <c r="V1156" i="34"/>
  <c r="X1156" i="34"/>
  <c r="Y1156" i="34"/>
  <c r="N1157" i="34"/>
  <c r="R1157" i="34"/>
  <c r="S1157" i="34"/>
  <c r="T1157" i="34"/>
  <c r="V1157" i="34"/>
  <c r="X1157" i="34"/>
  <c r="Y1157" i="34"/>
  <c r="N1158" i="34"/>
  <c r="R1158" i="34"/>
  <c r="S1158" i="34"/>
  <c r="T1158" i="34"/>
  <c r="V1158" i="34"/>
  <c r="X1158" i="34"/>
  <c r="Y1158" i="34"/>
  <c r="N1159" i="34"/>
  <c r="V1159" i="34"/>
  <c r="X1159" i="34"/>
  <c r="Y1159" i="34"/>
  <c r="N1160" i="34"/>
  <c r="V1160" i="34"/>
  <c r="X1160" i="34"/>
  <c r="Y1160" i="34"/>
  <c r="N1161" i="34"/>
  <c r="V1161" i="34"/>
  <c r="X1161" i="34"/>
  <c r="Y1161" i="34"/>
  <c r="N1162" i="34"/>
  <c r="V1162" i="34"/>
  <c r="X1162" i="34"/>
  <c r="Y1162" i="34"/>
  <c r="N1163" i="34"/>
  <c r="V1163" i="34"/>
  <c r="X1163" i="34"/>
  <c r="Y1163" i="34"/>
  <c r="N1164" i="34"/>
  <c r="R1164" i="34"/>
  <c r="S1164" i="34"/>
  <c r="T1164" i="34"/>
  <c r="V1164" i="34"/>
  <c r="X1164" i="34"/>
  <c r="Y1164" i="34"/>
  <c r="N1165" i="34"/>
  <c r="R1165" i="34"/>
  <c r="S1165" i="34"/>
  <c r="T1165" i="34"/>
  <c r="V1165" i="34"/>
  <c r="X1165" i="34"/>
  <c r="Y1165" i="34"/>
  <c r="N1166" i="34"/>
  <c r="R1166" i="34"/>
  <c r="S1166" i="34"/>
  <c r="T1166" i="34"/>
  <c r="V1166" i="34"/>
  <c r="X1166" i="34"/>
  <c r="Y1166" i="34"/>
  <c r="N1167" i="34"/>
  <c r="V1167" i="34"/>
  <c r="X1167" i="34"/>
  <c r="Y1167" i="34"/>
  <c r="N1168" i="34"/>
  <c r="V1168" i="34"/>
  <c r="X1168" i="34"/>
  <c r="Y1168" i="34"/>
  <c r="N1169" i="34"/>
  <c r="V1169" i="34"/>
  <c r="X1169" i="34"/>
  <c r="Y1169" i="34"/>
  <c r="N1170" i="34"/>
  <c r="V1170" i="34"/>
  <c r="X1170" i="34"/>
  <c r="Y1170" i="34"/>
  <c r="N1171" i="34"/>
  <c r="R1171" i="34"/>
  <c r="S1171" i="34"/>
  <c r="T1171" i="34"/>
  <c r="V1171" i="34"/>
  <c r="X1171" i="34"/>
  <c r="Y1171" i="34"/>
  <c r="N1172" i="34"/>
  <c r="R1172" i="34"/>
  <c r="S1172" i="34"/>
  <c r="T1172" i="34"/>
  <c r="V1172" i="34"/>
  <c r="X1172" i="34"/>
  <c r="Y1172" i="34"/>
  <c r="N1173" i="34"/>
  <c r="R1173" i="34"/>
  <c r="S1173" i="34"/>
  <c r="T1173" i="34"/>
  <c r="V1173" i="34"/>
  <c r="X1173" i="34"/>
  <c r="Y1173" i="34"/>
  <c r="N1174" i="34"/>
  <c r="R1174" i="34"/>
  <c r="S1174" i="34"/>
  <c r="T1174" i="34"/>
  <c r="V1174" i="34"/>
  <c r="X1174" i="34"/>
  <c r="Y1174" i="34"/>
  <c r="N1175" i="34"/>
  <c r="R1175" i="34"/>
  <c r="S1175" i="34"/>
  <c r="T1175" i="34"/>
  <c r="V1175" i="34"/>
  <c r="X1175" i="34"/>
  <c r="Y1175" i="34"/>
  <c r="N1176" i="34"/>
  <c r="V1176" i="34"/>
  <c r="X1176" i="34"/>
  <c r="Y1176" i="34"/>
  <c r="N1177" i="34"/>
  <c r="R1177" i="34"/>
  <c r="S1177" i="34"/>
  <c r="T1177" i="34"/>
  <c r="V1177" i="34"/>
  <c r="X1177" i="34"/>
  <c r="Y1177" i="34"/>
  <c r="N1178" i="34"/>
  <c r="R1178" i="34"/>
  <c r="S1178" i="34"/>
  <c r="T1178" i="34"/>
  <c r="V1178" i="34"/>
  <c r="X1178" i="34"/>
  <c r="Y1178" i="34"/>
  <c r="N1179" i="34"/>
  <c r="R1179" i="34"/>
  <c r="S1179" i="34"/>
  <c r="T1179" i="34"/>
  <c r="V1179" i="34"/>
  <c r="X1179" i="34"/>
  <c r="Y1179" i="34"/>
  <c r="N1180" i="34"/>
  <c r="R1180" i="34"/>
  <c r="S1180" i="34"/>
  <c r="T1180" i="34"/>
  <c r="V1180" i="34"/>
  <c r="X1180" i="34"/>
  <c r="Y1180" i="34"/>
  <c r="N1181" i="34"/>
  <c r="R1181" i="34"/>
  <c r="S1181" i="34"/>
  <c r="T1181" i="34"/>
  <c r="V1181" i="34"/>
  <c r="X1181" i="34"/>
  <c r="Y1181" i="34"/>
  <c r="N1182" i="34"/>
  <c r="R1182" i="34"/>
  <c r="S1182" i="34"/>
  <c r="T1182" i="34"/>
  <c r="V1182" i="34"/>
  <c r="X1182" i="34"/>
  <c r="Y1182" i="34"/>
  <c r="N1183" i="34"/>
  <c r="R1183" i="34"/>
  <c r="S1183" i="34"/>
  <c r="T1183" i="34"/>
  <c r="V1183" i="34"/>
  <c r="X1183" i="34"/>
  <c r="Y1183" i="34"/>
  <c r="N1184" i="34"/>
  <c r="R1184" i="34"/>
  <c r="S1184" i="34"/>
  <c r="T1184" i="34"/>
  <c r="V1184" i="34"/>
  <c r="X1184" i="34"/>
  <c r="Y1184" i="34"/>
  <c r="N1185" i="34"/>
  <c r="R1185" i="34"/>
  <c r="S1185" i="34"/>
  <c r="T1185" i="34"/>
  <c r="V1185" i="34"/>
  <c r="X1185" i="34"/>
  <c r="Y1185" i="34"/>
  <c r="N1186" i="34"/>
  <c r="R1186" i="34"/>
  <c r="S1186" i="34"/>
  <c r="T1186" i="34"/>
  <c r="V1186" i="34"/>
  <c r="X1186" i="34"/>
  <c r="Y1186" i="34"/>
  <c r="N1187" i="34"/>
  <c r="R1187" i="34"/>
  <c r="S1187" i="34"/>
  <c r="T1187" i="34"/>
  <c r="V1187" i="34"/>
  <c r="X1187" i="34"/>
  <c r="Y1187" i="34"/>
  <c r="N1188" i="34"/>
  <c r="R1188" i="34"/>
  <c r="S1188" i="34"/>
  <c r="T1188" i="34"/>
  <c r="V1188" i="34"/>
  <c r="X1188" i="34"/>
  <c r="Y1188" i="34"/>
  <c r="N1189" i="34"/>
  <c r="R1189" i="34"/>
  <c r="S1189" i="34"/>
  <c r="T1189" i="34"/>
  <c r="V1189" i="34"/>
  <c r="X1189" i="34"/>
  <c r="Y1189" i="34"/>
  <c r="N1190" i="34"/>
  <c r="R1190" i="34"/>
  <c r="S1190" i="34"/>
  <c r="T1190" i="34"/>
  <c r="V1190" i="34"/>
  <c r="X1190" i="34"/>
  <c r="Y1190" i="34"/>
  <c r="N1191" i="34"/>
  <c r="R1191" i="34"/>
  <c r="S1191" i="34"/>
  <c r="T1191" i="34"/>
  <c r="V1191" i="34"/>
  <c r="X1191" i="34"/>
  <c r="Y1191" i="34"/>
  <c r="N1192" i="34"/>
  <c r="V1192" i="34"/>
  <c r="X1192" i="34"/>
  <c r="Y1192" i="34"/>
  <c r="N1193" i="34"/>
  <c r="R1193" i="34"/>
  <c r="S1193" i="34"/>
  <c r="T1193" i="34"/>
  <c r="V1193" i="34"/>
  <c r="X1193" i="34"/>
  <c r="Y1193" i="34"/>
  <c r="N1194" i="34"/>
  <c r="V1194" i="34"/>
  <c r="X1194" i="34"/>
  <c r="Y1194" i="34"/>
  <c r="N1195" i="34"/>
  <c r="R1195" i="34"/>
  <c r="S1195" i="34"/>
  <c r="T1195" i="34"/>
  <c r="V1195" i="34"/>
  <c r="X1195" i="34"/>
  <c r="Y1195" i="34"/>
  <c r="N1196" i="34"/>
  <c r="R1196" i="34"/>
  <c r="S1196" i="34"/>
  <c r="T1196" i="34"/>
  <c r="V1196" i="34"/>
  <c r="X1196" i="34"/>
  <c r="Y1196" i="34"/>
  <c r="N1197" i="34"/>
  <c r="R1197" i="34"/>
  <c r="S1197" i="34"/>
  <c r="T1197" i="34"/>
  <c r="V1197" i="34"/>
  <c r="X1197" i="34"/>
  <c r="Y1197" i="34"/>
  <c r="N1198" i="34"/>
  <c r="R1198" i="34"/>
  <c r="S1198" i="34"/>
  <c r="T1198" i="34"/>
  <c r="V1198" i="34"/>
  <c r="X1198" i="34"/>
  <c r="Y1198" i="34"/>
  <c r="N1199" i="34"/>
  <c r="V1199" i="34"/>
  <c r="X1199" i="34"/>
  <c r="Y1199" i="34"/>
  <c r="N1200" i="34"/>
  <c r="V1200" i="34"/>
  <c r="X1200" i="34"/>
  <c r="Y1200" i="34"/>
  <c r="N1201" i="34"/>
  <c r="V1201" i="34"/>
  <c r="X1201" i="34"/>
  <c r="Y1201" i="34"/>
  <c r="N1202" i="34"/>
  <c r="V1202" i="34"/>
  <c r="X1202" i="34"/>
  <c r="Y1202" i="34"/>
  <c r="N1203" i="34"/>
  <c r="V1203" i="34"/>
  <c r="X1203" i="34"/>
  <c r="Y1203" i="34"/>
  <c r="N1204" i="34"/>
  <c r="R1204" i="34"/>
  <c r="S1204" i="34"/>
  <c r="T1204" i="34"/>
  <c r="V1204" i="34"/>
  <c r="X1204" i="34"/>
  <c r="Y1204" i="34"/>
  <c r="N1205" i="34"/>
  <c r="R1205" i="34"/>
  <c r="S1205" i="34"/>
  <c r="T1205" i="34"/>
  <c r="V1205" i="34"/>
  <c r="X1205" i="34"/>
  <c r="Y1205" i="34"/>
  <c r="N1206" i="34"/>
  <c r="R1206" i="34"/>
  <c r="S1206" i="34"/>
  <c r="T1206" i="34"/>
  <c r="V1206" i="34"/>
  <c r="X1206" i="34"/>
  <c r="Y1206" i="34"/>
  <c r="N1207" i="34"/>
  <c r="R1207" i="34"/>
  <c r="S1207" i="34"/>
  <c r="T1207" i="34"/>
  <c r="V1207" i="34"/>
  <c r="X1207" i="34"/>
  <c r="Y1207" i="34"/>
  <c r="N1208" i="34"/>
  <c r="V1208" i="34"/>
  <c r="X1208" i="34"/>
  <c r="Y1208" i="34"/>
  <c r="N1209" i="34"/>
  <c r="R1209" i="34"/>
  <c r="S1209" i="34"/>
  <c r="T1209" i="34"/>
  <c r="V1209" i="34"/>
  <c r="X1209" i="34"/>
  <c r="Y1209" i="34"/>
  <c r="N1210" i="34"/>
  <c r="R1210" i="34"/>
  <c r="S1210" i="34"/>
  <c r="T1210" i="34"/>
  <c r="V1210" i="34"/>
  <c r="X1210" i="34"/>
  <c r="Y1210" i="34"/>
  <c r="N1211" i="34"/>
  <c r="R1211" i="34"/>
  <c r="S1211" i="34"/>
  <c r="T1211" i="34"/>
  <c r="V1211" i="34"/>
  <c r="X1211" i="34"/>
  <c r="Y1211" i="34"/>
  <c r="N1212" i="34"/>
  <c r="R1212" i="34"/>
  <c r="S1212" i="34"/>
  <c r="T1212" i="34"/>
  <c r="V1212" i="34"/>
  <c r="X1212" i="34"/>
  <c r="Y1212" i="34"/>
  <c r="N1213" i="34"/>
  <c r="R1213" i="34"/>
  <c r="S1213" i="34"/>
  <c r="T1213" i="34"/>
  <c r="V1213" i="34"/>
  <c r="X1213" i="34"/>
  <c r="Y1213" i="34"/>
  <c r="N1214" i="34"/>
  <c r="R1214" i="34"/>
  <c r="S1214" i="34"/>
  <c r="T1214" i="34"/>
  <c r="V1214" i="34"/>
  <c r="X1214" i="34"/>
  <c r="Y1214" i="34"/>
  <c r="N1215" i="34"/>
  <c r="R1215" i="34"/>
  <c r="S1215" i="34"/>
  <c r="T1215" i="34"/>
  <c r="V1215" i="34"/>
  <c r="X1215" i="34"/>
  <c r="Y1215" i="34"/>
  <c r="N1216" i="34"/>
  <c r="R1216" i="34"/>
  <c r="S1216" i="34"/>
  <c r="T1216" i="34"/>
  <c r="V1216" i="34"/>
  <c r="X1216" i="34"/>
  <c r="Y1216" i="34"/>
  <c r="N1217" i="34"/>
  <c r="R1217" i="34"/>
  <c r="S1217" i="34"/>
  <c r="T1217" i="34"/>
  <c r="V1217" i="34"/>
  <c r="X1217" i="34"/>
  <c r="Y1217" i="34"/>
  <c r="N1218" i="34"/>
  <c r="R1218" i="34"/>
  <c r="S1218" i="34"/>
  <c r="T1218" i="34"/>
  <c r="V1218" i="34"/>
  <c r="X1218" i="34"/>
  <c r="Y1218" i="34"/>
  <c r="N1219" i="34"/>
  <c r="R1219" i="34"/>
  <c r="S1219" i="34"/>
  <c r="T1219" i="34"/>
  <c r="V1219" i="34"/>
  <c r="X1219" i="34"/>
  <c r="Y1219" i="34"/>
  <c r="N1220" i="34"/>
  <c r="R1220" i="34"/>
  <c r="S1220" i="34"/>
  <c r="T1220" i="34"/>
  <c r="V1220" i="34"/>
  <c r="X1220" i="34"/>
  <c r="Y1220" i="34"/>
  <c r="N1221" i="34"/>
  <c r="R1221" i="34"/>
  <c r="S1221" i="34"/>
  <c r="T1221" i="34"/>
  <c r="V1221" i="34"/>
  <c r="X1221" i="34"/>
  <c r="Y1221" i="34"/>
  <c r="N1222" i="34"/>
  <c r="R1222" i="34"/>
  <c r="S1222" i="34"/>
  <c r="T1222" i="34"/>
  <c r="V1222" i="34"/>
  <c r="X1222" i="34"/>
  <c r="Y1222" i="34"/>
  <c r="N1223" i="34"/>
  <c r="R1223" i="34"/>
  <c r="S1223" i="34"/>
  <c r="T1223" i="34"/>
  <c r="V1223" i="34"/>
  <c r="X1223" i="34"/>
  <c r="Y1223" i="34"/>
  <c r="N1224" i="34"/>
  <c r="R1224" i="34"/>
  <c r="S1224" i="34"/>
  <c r="T1224" i="34"/>
  <c r="V1224" i="34"/>
  <c r="X1224" i="34"/>
  <c r="Y1224" i="34"/>
  <c r="N1225" i="34"/>
  <c r="R1225" i="34"/>
  <c r="S1225" i="34"/>
  <c r="T1225" i="34"/>
  <c r="V1225" i="34"/>
  <c r="X1225" i="34"/>
  <c r="Y1225" i="34"/>
  <c r="N1226" i="34"/>
  <c r="R1226" i="34"/>
  <c r="S1226" i="34"/>
  <c r="T1226" i="34"/>
  <c r="V1226" i="34"/>
  <c r="X1226" i="34"/>
  <c r="Y1226" i="34"/>
  <c r="N1227" i="34"/>
  <c r="R1227" i="34"/>
  <c r="S1227" i="34"/>
  <c r="T1227" i="34"/>
  <c r="V1227" i="34"/>
  <c r="X1227" i="34"/>
  <c r="Y1227" i="34"/>
  <c r="N1228" i="34"/>
  <c r="V1228" i="34"/>
  <c r="X1228" i="34"/>
  <c r="Y1228" i="34"/>
  <c r="N1229" i="34"/>
  <c r="V1229" i="34"/>
  <c r="X1229" i="34"/>
  <c r="Y1229" i="34"/>
  <c r="N1230" i="34"/>
  <c r="V1230" i="34"/>
  <c r="X1230" i="34"/>
  <c r="Y1230" i="34"/>
  <c r="N1231" i="34"/>
  <c r="V1231" i="34"/>
  <c r="X1231" i="34"/>
  <c r="Y1231" i="34"/>
  <c r="N1232" i="34"/>
  <c r="R1232" i="34"/>
  <c r="S1232" i="34"/>
  <c r="T1232" i="34"/>
  <c r="V1232" i="34"/>
  <c r="X1232" i="34"/>
  <c r="Y1232" i="34"/>
  <c r="N1233" i="34"/>
  <c r="R1233" i="34"/>
  <c r="S1233" i="34"/>
  <c r="T1233" i="34"/>
  <c r="V1233" i="34"/>
  <c r="X1233" i="34"/>
  <c r="Y1233" i="34"/>
  <c r="N1234" i="34"/>
  <c r="R1234" i="34"/>
  <c r="S1234" i="34"/>
  <c r="T1234" i="34"/>
  <c r="V1234" i="34"/>
  <c r="X1234" i="34"/>
  <c r="Y1234" i="34"/>
  <c r="N1235" i="34"/>
  <c r="R1235" i="34"/>
  <c r="S1235" i="34"/>
  <c r="T1235" i="34"/>
  <c r="V1235" i="34"/>
  <c r="X1235" i="34"/>
  <c r="Y1235" i="34"/>
  <c r="N1236" i="34"/>
  <c r="R1236" i="34"/>
  <c r="S1236" i="34"/>
  <c r="T1236" i="34"/>
  <c r="V1236" i="34"/>
  <c r="X1236" i="34"/>
  <c r="Y1236" i="34"/>
  <c r="N1237" i="34"/>
  <c r="R1237" i="34"/>
  <c r="S1237" i="34"/>
  <c r="T1237" i="34"/>
  <c r="V1237" i="34"/>
  <c r="X1237" i="34"/>
  <c r="Y1237" i="34"/>
  <c r="N1238" i="34"/>
  <c r="R1238" i="34"/>
  <c r="S1238" i="34"/>
  <c r="T1238" i="34"/>
  <c r="V1238" i="34"/>
  <c r="X1238" i="34"/>
  <c r="Y1238" i="34"/>
  <c r="N1239" i="34"/>
  <c r="V1239" i="34"/>
  <c r="X1239" i="34"/>
  <c r="Y1239" i="34"/>
  <c r="N1240" i="34"/>
  <c r="R1240" i="34"/>
  <c r="S1240" i="34"/>
  <c r="T1240" i="34"/>
  <c r="V1240" i="34"/>
  <c r="X1240" i="34"/>
  <c r="Y1240" i="34"/>
  <c r="N1241" i="34"/>
  <c r="R1241" i="34"/>
  <c r="S1241" i="34"/>
  <c r="T1241" i="34"/>
  <c r="V1241" i="34"/>
  <c r="X1241" i="34"/>
  <c r="Y1241" i="34"/>
  <c r="N1242" i="34"/>
  <c r="V1242" i="34"/>
  <c r="X1242" i="34"/>
  <c r="Y1242" i="34"/>
  <c r="N1243" i="34"/>
  <c r="V1243" i="34"/>
  <c r="X1243" i="34"/>
  <c r="Y1243" i="34"/>
  <c r="N1244" i="34"/>
  <c r="V1244" i="34"/>
  <c r="X1244" i="34"/>
  <c r="Y1244" i="34"/>
  <c r="N1245" i="34"/>
  <c r="V1245" i="34"/>
  <c r="X1245" i="34"/>
  <c r="Y1245" i="34"/>
  <c r="N1246" i="34"/>
  <c r="R1246" i="34"/>
  <c r="S1246" i="34"/>
  <c r="T1246" i="34"/>
  <c r="V1246" i="34"/>
  <c r="X1246" i="34"/>
  <c r="Y1246" i="34"/>
  <c r="N1247" i="34"/>
  <c r="R1247" i="34"/>
  <c r="S1247" i="34"/>
  <c r="T1247" i="34"/>
  <c r="V1247" i="34"/>
  <c r="X1247" i="34"/>
  <c r="Y1247" i="34"/>
  <c r="N1248" i="34"/>
  <c r="R1248" i="34"/>
  <c r="S1248" i="34"/>
  <c r="T1248" i="34"/>
  <c r="V1248" i="34"/>
  <c r="X1248" i="34"/>
  <c r="Y1248" i="34"/>
  <c r="N1249" i="34"/>
  <c r="R1249" i="34"/>
  <c r="S1249" i="34"/>
  <c r="T1249" i="34"/>
  <c r="V1249" i="34"/>
  <c r="X1249" i="34"/>
  <c r="Y1249" i="34"/>
  <c r="N1250" i="34"/>
  <c r="R1250" i="34"/>
  <c r="S1250" i="34"/>
  <c r="T1250" i="34"/>
  <c r="V1250" i="34"/>
  <c r="X1250" i="34"/>
  <c r="Y1250" i="34"/>
  <c r="N1251" i="34"/>
  <c r="R1251" i="34"/>
  <c r="S1251" i="34"/>
  <c r="T1251" i="34"/>
  <c r="V1251" i="34"/>
  <c r="X1251" i="34"/>
  <c r="Y1251" i="34"/>
  <c r="N1252" i="34"/>
  <c r="R1252" i="34"/>
  <c r="S1252" i="34"/>
  <c r="T1252" i="34"/>
  <c r="V1252" i="34"/>
  <c r="X1252" i="34"/>
  <c r="Y1252" i="34"/>
  <c r="N1253" i="34"/>
  <c r="R1253" i="34"/>
  <c r="S1253" i="34"/>
  <c r="T1253" i="34"/>
  <c r="V1253" i="34"/>
  <c r="X1253" i="34"/>
  <c r="Y1253" i="34"/>
  <c r="N1254" i="34"/>
  <c r="R1254" i="34"/>
  <c r="S1254" i="34"/>
  <c r="T1254" i="34"/>
  <c r="V1254" i="34"/>
  <c r="X1254" i="34"/>
  <c r="Y1254" i="34"/>
  <c r="N1255" i="34"/>
  <c r="R1255" i="34"/>
  <c r="S1255" i="34"/>
  <c r="T1255" i="34"/>
  <c r="V1255" i="34"/>
  <c r="X1255" i="34"/>
  <c r="Y1255" i="34"/>
  <c r="N1256" i="34"/>
  <c r="R1256" i="34"/>
  <c r="S1256" i="34"/>
  <c r="T1256" i="34"/>
  <c r="V1256" i="34"/>
  <c r="X1256" i="34"/>
  <c r="Y1256" i="34"/>
  <c r="N1257" i="34"/>
  <c r="R1257" i="34"/>
  <c r="S1257" i="34"/>
  <c r="T1257" i="34"/>
  <c r="V1257" i="34"/>
  <c r="X1257" i="34"/>
  <c r="Y1257" i="34"/>
  <c r="N1258" i="34"/>
  <c r="R1258" i="34"/>
  <c r="S1258" i="34"/>
  <c r="T1258" i="34"/>
  <c r="V1258" i="34"/>
  <c r="X1258" i="34"/>
  <c r="Y1258" i="34"/>
  <c r="N1259" i="34"/>
  <c r="R1259" i="34"/>
  <c r="S1259" i="34"/>
  <c r="T1259" i="34"/>
  <c r="V1259" i="34"/>
  <c r="X1259" i="34"/>
  <c r="Y1259" i="34"/>
  <c r="N1260" i="34"/>
  <c r="R1260" i="34"/>
  <c r="S1260" i="34"/>
  <c r="T1260" i="34"/>
  <c r="V1260" i="34"/>
  <c r="X1260" i="34"/>
  <c r="Y1260" i="34"/>
  <c r="N1261" i="34"/>
  <c r="R1261" i="34"/>
  <c r="S1261" i="34"/>
  <c r="T1261" i="34"/>
  <c r="V1261" i="34"/>
  <c r="X1261" i="34"/>
  <c r="Y1261" i="34"/>
  <c r="N1262" i="34"/>
  <c r="R1262" i="34"/>
  <c r="S1262" i="34"/>
  <c r="T1262" i="34"/>
  <c r="V1262" i="34"/>
  <c r="X1262" i="34"/>
  <c r="Y1262" i="34"/>
  <c r="N1263" i="34"/>
  <c r="R1263" i="34"/>
  <c r="S1263" i="34"/>
  <c r="T1263" i="34"/>
  <c r="V1263" i="34"/>
  <c r="X1263" i="34"/>
  <c r="Y1263" i="34"/>
  <c r="N1264" i="34"/>
  <c r="R1264" i="34"/>
  <c r="S1264" i="34"/>
  <c r="T1264" i="34"/>
  <c r="V1264" i="34"/>
  <c r="X1264" i="34"/>
  <c r="Y1264" i="34"/>
  <c r="N1265" i="34"/>
  <c r="R1265" i="34"/>
  <c r="S1265" i="34"/>
  <c r="T1265" i="34"/>
  <c r="V1265" i="34"/>
  <c r="X1265" i="34"/>
  <c r="Y1265" i="34"/>
  <c r="N1266" i="34"/>
  <c r="R1266" i="34"/>
  <c r="S1266" i="34"/>
  <c r="T1266" i="34"/>
  <c r="V1266" i="34"/>
  <c r="X1266" i="34"/>
  <c r="Y1266" i="34"/>
  <c r="N1267" i="34"/>
  <c r="R1267" i="34"/>
  <c r="S1267" i="34"/>
  <c r="T1267" i="34"/>
  <c r="V1267" i="34"/>
  <c r="X1267" i="34"/>
  <c r="Y1267" i="34"/>
  <c r="N1268" i="34"/>
  <c r="R1268" i="34"/>
  <c r="S1268" i="34"/>
  <c r="T1268" i="34"/>
  <c r="V1268" i="34"/>
  <c r="X1268" i="34"/>
  <c r="Y1268" i="34"/>
  <c r="N1269" i="34"/>
  <c r="R1269" i="34"/>
  <c r="S1269" i="34"/>
  <c r="T1269" i="34"/>
  <c r="V1269" i="34"/>
  <c r="X1269" i="34"/>
  <c r="Y1269" i="34"/>
  <c r="N1270" i="34"/>
  <c r="R1270" i="34"/>
  <c r="S1270" i="34"/>
  <c r="T1270" i="34"/>
  <c r="V1270" i="34"/>
  <c r="X1270" i="34"/>
  <c r="Y1270" i="34"/>
  <c r="N1271" i="34"/>
  <c r="R1271" i="34"/>
  <c r="S1271" i="34"/>
  <c r="T1271" i="34"/>
  <c r="V1271" i="34"/>
  <c r="X1271" i="34"/>
  <c r="Y1271" i="34"/>
  <c r="N1272" i="34"/>
  <c r="R1272" i="34"/>
  <c r="S1272" i="34"/>
  <c r="T1272" i="34"/>
  <c r="V1272" i="34"/>
  <c r="X1272" i="34"/>
  <c r="Y1272" i="34"/>
  <c r="N1273" i="34"/>
  <c r="R1273" i="34"/>
  <c r="S1273" i="34"/>
  <c r="T1273" i="34"/>
  <c r="V1273" i="34"/>
  <c r="X1273" i="34"/>
  <c r="Y1273" i="34"/>
  <c r="N1274" i="34"/>
  <c r="R1274" i="34"/>
  <c r="S1274" i="34"/>
  <c r="T1274" i="34"/>
  <c r="V1274" i="34"/>
  <c r="X1274" i="34"/>
  <c r="Y1274" i="34"/>
  <c r="N1275" i="34"/>
  <c r="R1275" i="34"/>
  <c r="S1275" i="34"/>
  <c r="T1275" i="34"/>
  <c r="V1275" i="34"/>
  <c r="X1275" i="34"/>
  <c r="Y1275" i="34"/>
  <c r="N1276" i="34"/>
  <c r="R1276" i="34"/>
  <c r="S1276" i="34"/>
  <c r="T1276" i="34"/>
  <c r="V1276" i="34"/>
  <c r="X1276" i="34"/>
  <c r="Y1276" i="34"/>
  <c r="N1277" i="34"/>
  <c r="R1277" i="34"/>
  <c r="S1277" i="34"/>
  <c r="T1277" i="34"/>
  <c r="V1277" i="34"/>
  <c r="X1277" i="34"/>
  <c r="Y1277" i="34"/>
  <c r="N1278" i="34"/>
  <c r="R1278" i="34"/>
  <c r="S1278" i="34"/>
  <c r="T1278" i="34"/>
  <c r="V1278" i="34"/>
  <c r="X1278" i="34"/>
  <c r="Y1278" i="34"/>
  <c r="N1279" i="34"/>
  <c r="R1279" i="34"/>
  <c r="S1279" i="34"/>
  <c r="T1279" i="34"/>
  <c r="V1279" i="34"/>
  <c r="X1279" i="34"/>
  <c r="Y1279" i="34"/>
  <c r="N1280" i="34"/>
  <c r="R1280" i="34"/>
  <c r="S1280" i="34"/>
  <c r="T1280" i="34"/>
  <c r="V1280" i="34"/>
  <c r="X1280" i="34"/>
  <c r="Y1280" i="34"/>
  <c r="N1281" i="34"/>
  <c r="R1281" i="34"/>
  <c r="S1281" i="34"/>
  <c r="T1281" i="34"/>
  <c r="V1281" i="34"/>
  <c r="X1281" i="34"/>
  <c r="Y1281" i="34"/>
  <c r="N1282" i="34"/>
  <c r="R1282" i="34"/>
  <c r="S1282" i="34"/>
  <c r="T1282" i="34"/>
  <c r="V1282" i="34"/>
  <c r="X1282" i="34"/>
  <c r="Y1282" i="34"/>
  <c r="N1283" i="34"/>
  <c r="R1283" i="34"/>
  <c r="S1283" i="34"/>
  <c r="T1283" i="34"/>
  <c r="V1283" i="34"/>
  <c r="X1283" i="34"/>
  <c r="Y1283" i="34"/>
  <c r="N1284" i="34"/>
  <c r="R1284" i="34"/>
  <c r="S1284" i="34"/>
  <c r="T1284" i="34"/>
  <c r="V1284" i="34"/>
  <c r="X1284" i="34"/>
  <c r="Y1284" i="34"/>
  <c r="N1285" i="34"/>
  <c r="R1285" i="34"/>
  <c r="S1285" i="34"/>
  <c r="T1285" i="34"/>
  <c r="V1285" i="34"/>
  <c r="X1285" i="34"/>
  <c r="Y1285" i="34"/>
  <c r="N1286" i="34"/>
  <c r="R1286" i="34"/>
  <c r="S1286" i="34"/>
  <c r="T1286" i="34"/>
  <c r="V1286" i="34"/>
  <c r="X1286" i="34"/>
  <c r="Y1286" i="34"/>
  <c r="N1287" i="34"/>
  <c r="R1287" i="34"/>
  <c r="S1287" i="34"/>
  <c r="T1287" i="34"/>
  <c r="V1287" i="34"/>
  <c r="X1287" i="34"/>
  <c r="Y1287" i="34"/>
  <c r="N1288" i="34"/>
  <c r="R1288" i="34"/>
  <c r="S1288" i="34"/>
  <c r="T1288" i="34"/>
  <c r="V1288" i="34"/>
  <c r="X1288" i="34"/>
  <c r="Y1288" i="34"/>
  <c r="N1289" i="34"/>
  <c r="R1289" i="34"/>
  <c r="S1289" i="34"/>
  <c r="T1289" i="34"/>
  <c r="V1289" i="34"/>
  <c r="X1289" i="34"/>
  <c r="Y1289" i="34"/>
  <c r="N1290" i="34"/>
  <c r="R1290" i="34"/>
  <c r="S1290" i="34"/>
  <c r="T1290" i="34"/>
  <c r="V1290" i="34"/>
  <c r="X1290" i="34"/>
  <c r="Y1290" i="34"/>
  <c r="N1291" i="34"/>
  <c r="R1291" i="34"/>
  <c r="S1291" i="34"/>
  <c r="T1291" i="34"/>
  <c r="V1291" i="34"/>
  <c r="X1291" i="34"/>
  <c r="Y1291" i="34"/>
  <c r="N1292" i="34"/>
  <c r="V1292" i="34"/>
  <c r="X1292" i="34"/>
  <c r="Y1292" i="34"/>
  <c r="N1293" i="34"/>
  <c r="R1293" i="34"/>
  <c r="S1293" i="34"/>
  <c r="T1293" i="34"/>
  <c r="V1293" i="34"/>
  <c r="X1293" i="34"/>
  <c r="Y1293" i="34"/>
  <c r="N1294" i="34"/>
  <c r="R1294" i="34"/>
  <c r="S1294" i="34"/>
  <c r="T1294" i="34"/>
  <c r="V1294" i="34"/>
  <c r="X1294" i="34"/>
  <c r="Y1294" i="34"/>
  <c r="N1295" i="34"/>
  <c r="R1295" i="34"/>
  <c r="S1295" i="34"/>
  <c r="T1295" i="34"/>
  <c r="V1295" i="34"/>
  <c r="X1295" i="34"/>
  <c r="Y1295" i="34"/>
  <c r="N1296" i="34"/>
  <c r="R1296" i="34"/>
  <c r="S1296" i="34"/>
  <c r="T1296" i="34"/>
  <c r="V1296" i="34"/>
  <c r="X1296" i="34"/>
  <c r="Y1296" i="34"/>
  <c r="N1297" i="34"/>
  <c r="R1297" i="34"/>
  <c r="S1297" i="34"/>
  <c r="T1297" i="34"/>
  <c r="V1297" i="34"/>
  <c r="X1297" i="34"/>
  <c r="Y1297" i="34"/>
  <c r="N1298" i="34"/>
  <c r="V1298" i="34"/>
  <c r="X1298" i="34"/>
  <c r="Y1298" i="34"/>
  <c r="N1299" i="34"/>
  <c r="V1299" i="34"/>
  <c r="X1299" i="34"/>
  <c r="Y1299" i="34"/>
  <c r="N1300" i="34"/>
  <c r="R1300" i="34"/>
  <c r="S1300" i="34"/>
  <c r="T1300" i="34"/>
  <c r="V1300" i="34"/>
  <c r="X1300" i="34"/>
  <c r="Y1300" i="34"/>
  <c r="N1301" i="34"/>
  <c r="R1301" i="34"/>
  <c r="S1301" i="34"/>
  <c r="T1301" i="34"/>
  <c r="V1301" i="34"/>
  <c r="X1301" i="34"/>
  <c r="Y1301" i="34"/>
  <c r="N1302" i="34"/>
  <c r="R1302" i="34"/>
  <c r="S1302" i="34"/>
  <c r="T1302" i="34"/>
  <c r="V1302" i="34"/>
  <c r="X1302" i="34"/>
  <c r="Y1302" i="34"/>
  <c r="N1303" i="34"/>
  <c r="R1303" i="34"/>
  <c r="S1303" i="34"/>
  <c r="T1303" i="34"/>
  <c r="V1303" i="34"/>
  <c r="X1303" i="34"/>
  <c r="Y1303" i="34"/>
  <c r="N1304" i="34"/>
  <c r="R1304" i="34"/>
  <c r="S1304" i="34"/>
  <c r="T1304" i="34"/>
  <c r="V1304" i="34"/>
  <c r="X1304" i="34"/>
  <c r="Y1304" i="34"/>
  <c r="N1305" i="34"/>
  <c r="R1305" i="34"/>
  <c r="S1305" i="34"/>
  <c r="T1305" i="34"/>
  <c r="V1305" i="34"/>
  <c r="X1305" i="34"/>
  <c r="Y1305" i="34"/>
  <c r="N1306" i="34"/>
  <c r="R1306" i="34"/>
  <c r="S1306" i="34"/>
  <c r="T1306" i="34"/>
  <c r="V1306" i="34"/>
  <c r="X1306" i="34"/>
  <c r="Y1306" i="34"/>
  <c r="N1307" i="34"/>
  <c r="R1307" i="34"/>
  <c r="S1307" i="34"/>
  <c r="T1307" i="34"/>
  <c r="V1307" i="34"/>
  <c r="X1307" i="34"/>
  <c r="Y1307" i="34"/>
  <c r="N1308" i="34"/>
  <c r="R1308" i="34"/>
  <c r="S1308" i="34"/>
  <c r="T1308" i="34"/>
  <c r="V1308" i="34"/>
  <c r="X1308" i="34"/>
  <c r="Y1308" i="34"/>
  <c r="N1309" i="34"/>
  <c r="R1309" i="34"/>
  <c r="S1309" i="34"/>
  <c r="T1309" i="34"/>
  <c r="V1309" i="34"/>
  <c r="X1309" i="34"/>
  <c r="Y1309" i="34"/>
  <c r="N1310" i="34"/>
  <c r="R1310" i="34"/>
  <c r="S1310" i="34"/>
  <c r="T1310" i="34"/>
  <c r="V1310" i="34"/>
  <c r="X1310" i="34"/>
  <c r="Y1310" i="34"/>
  <c r="N1311" i="34"/>
  <c r="R1311" i="34"/>
  <c r="S1311" i="34"/>
  <c r="T1311" i="34"/>
  <c r="V1311" i="34"/>
  <c r="X1311" i="34"/>
  <c r="Y1311" i="34"/>
  <c r="N1312" i="34"/>
  <c r="R1312" i="34"/>
  <c r="S1312" i="34"/>
  <c r="T1312" i="34"/>
  <c r="V1312" i="34"/>
  <c r="X1312" i="34"/>
  <c r="Y1312" i="34"/>
  <c r="N1313" i="34"/>
  <c r="R1313" i="34"/>
  <c r="S1313" i="34"/>
  <c r="T1313" i="34"/>
  <c r="V1313" i="34"/>
  <c r="X1313" i="34"/>
  <c r="Y1313" i="34"/>
  <c r="N1314" i="34"/>
  <c r="R1314" i="34"/>
  <c r="S1314" i="34"/>
  <c r="T1314" i="34"/>
  <c r="V1314" i="34"/>
  <c r="X1314" i="34"/>
  <c r="Y1314" i="34"/>
  <c r="N1315" i="34"/>
  <c r="R1315" i="34"/>
  <c r="S1315" i="34"/>
  <c r="T1315" i="34"/>
  <c r="V1315" i="34"/>
  <c r="X1315" i="34"/>
  <c r="Y1315" i="34"/>
  <c r="N1316" i="34"/>
  <c r="R1316" i="34"/>
  <c r="S1316" i="34"/>
  <c r="T1316" i="34"/>
  <c r="V1316" i="34"/>
  <c r="X1316" i="34"/>
  <c r="Y1316" i="34"/>
  <c r="N1317" i="34"/>
  <c r="R1317" i="34"/>
  <c r="S1317" i="34"/>
  <c r="T1317" i="34"/>
  <c r="V1317" i="34"/>
  <c r="X1317" i="34"/>
  <c r="Y1317" i="34"/>
  <c r="N1318" i="34"/>
  <c r="R1318" i="34"/>
  <c r="S1318" i="34"/>
  <c r="T1318" i="34"/>
  <c r="V1318" i="34"/>
  <c r="X1318" i="34"/>
  <c r="Y1318" i="34"/>
  <c r="N1319" i="34"/>
  <c r="R1319" i="34"/>
  <c r="S1319" i="34"/>
  <c r="T1319" i="34"/>
  <c r="V1319" i="34"/>
  <c r="X1319" i="34"/>
  <c r="Y1319" i="34"/>
  <c r="N1320" i="34"/>
  <c r="V1320" i="34"/>
  <c r="X1320" i="34"/>
  <c r="Y1320" i="34"/>
  <c r="N1321" i="34"/>
  <c r="R1321" i="34"/>
  <c r="S1321" i="34"/>
  <c r="T1321" i="34"/>
  <c r="V1321" i="34"/>
  <c r="X1321" i="34"/>
  <c r="Y1321" i="34"/>
  <c r="N1322" i="34"/>
  <c r="R1322" i="34"/>
  <c r="S1322" i="34"/>
  <c r="T1322" i="34"/>
  <c r="V1322" i="34"/>
  <c r="X1322" i="34"/>
  <c r="Y1322" i="34"/>
  <c r="N1323" i="34"/>
  <c r="R1323" i="34"/>
  <c r="S1323" i="34"/>
  <c r="T1323" i="34"/>
  <c r="V1323" i="34"/>
  <c r="X1323" i="34"/>
  <c r="Y1323" i="34"/>
  <c r="N1324" i="34"/>
  <c r="R1324" i="34"/>
  <c r="S1324" i="34"/>
  <c r="T1324" i="34"/>
  <c r="V1324" i="34"/>
  <c r="X1324" i="34"/>
  <c r="Y1324" i="34"/>
  <c r="N1325" i="34"/>
  <c r="R1325" i="34"/>
  <c r="S1325" i="34"/>
  <c r="T1325" i="34"/>
  <c r="V1325" i="34"/>
  <c r="X1325" i="34"/>
  <c r="Y1325" i="34"/>
  <c r="N1326" i="34"/>
  <c r="R1326" i="34"/>
  <c r="S1326" i="34"/>
  <c r="T1326" i="34"/>
  <c r="V1326" i="34"/>
  <c r="X1326" i="34"/>
  <c r="Y1326" i="34"/>
  <c r="N1327" i="34"/>
  <c r="R1327" i="34"/>
  <c r="S1327" i="34"/>
  <c r="T1327" i="34"/>
  <c r="V1327" i="34"/>
  <c r="X1327" i="34"/>
  <c r="Y1327" i="34"/>
  <c r="N1328" i="34"/>
  <c r="V1328" i="34"/>
  <c r="X1328" i="34"/>
  <c r="Y1328" i="34"/>
  <c r="N1329" i="34"/>
  <c r="V1329" i="34"/>
  <c r="X1329" i="34"/>
  <c r="Y1329" i="34"/>
  <c r="N1330" i="34"/>
  <c r="V1330" i="34"/>
  <c r="X1330" i="34"/>
  <c r="Y1330" i="34"/>
  <c r="N1331" i="34"/>
  <c r="V1331" i="34"/>
  <c r="X1331" i="34"/>
  <c r="Y1331" i="34"/>
  <c r="N1332" i="34"/>
  <c r="V1332" i="34"/>
  <c r="X1332" i="34"/>
  <c r="Y1332" i="34"/>
  <c r="N1333" i="34"/>
  <c r="V1333" i="34"/>
  <c r="X1333" i="34"/>
  <c r="Y1333" i="34"/>
  <c r="N1334" i="34"/>
  <c r="V1334" i="34"/>
  <c r="X1334" i="34"/>
  <c r="Y1334" i="34"/>
  <c r="N1335" i="34"/>
  <c r="V1335" i="34"/>
  <c r="X1335" i="34"/>
  <c r="Y1335" i="34"/>
  <c r="N1336" i="34"/>
  <c r="V1336" i="34"/>
  <c r="X1336" i="34"/>
  <c r="Y1336" i="34"/>
  <c r="N1337" i="34"/>
  <c r="R1337" i="34"/>
  <c r="S1337" i="34"/>
  <c r="T1337" i="34"/>
  <c r="V1337" i="34"/>
  <c r="X1337" i="34"/>
  <c r="Y1337" i="34"/>
  <c r="N1338" i="34"/>
  <c r="R1338" i="34"/>
  <c r="S1338" i="34"/>
  <c r="T1338" i="34"/>
  <c r="V1338" i="34"/>
  <c r="X1338" i="34"/>
  <c r="Y1338" i="34"/>
  <c r="N1339" i="34"/>
  <c r="R1339" i="34"/>
  <c r="S1339" i="34"/>
  <c r="T1339" i="34"/>
  <c r="V1339" i="34"/>
  <c r="X1339" i="34"/>
  <c r="Y1339" i="34"/>
  <c r="N1340" i="34"/>
  <c r="R1340" i="34"/>
  <c r="S1340" i="34"/>
  <c r="T1340" i="34"/>
  <c r="V1340" i="34"/>
  <c r="X1340" i="34"/>
  <c r="Y1340" i="34"/>
  <c r="N1341" i="34"/>
  <c r="R1341" i="34"/>
  <c r="S1341" i="34"/>
  <c r="T1341" i="34"/>
  <c r="V1341" i="34"/>
  <c r="X1341" i="34"/>
  <c r="Y1341" i="34"/>
  <c r="N1342" i="34"/>
  <c r="R1342" i="34"/>
  <c r="S1342" i="34"/>
  <c r="T1342" i="34"/>
  <c r="V1342" i="34"/>
  <c r="X1342" i="34"/>
  <c r="Y1342" i="34"/>
  <c r="N1343" i="34"/>
  <c r="R1343" i="34"/>
  <c r="S1343" i="34"/>
  <c r="T1343" i="34"/>
  <c r="V1343" i="34"/>
  <c r="X1343" i="34"/>
  <c r="Y1343" i="34"/>
  <c r="N1344" i="34"/>
  <c r="R1344" i="34"/>
  <c r="S1344" i="34"/>
  <c r="T1344" i="34"/>
  <c r="V1344" i="34"/>
  <c r="X1344" i="34"/>
  <c r="Y1344" i="34"/>
  <c r="N1345" i="34"/>
  <c r="R1345" i="34"/>
  <c r="S1345" i="34"/>
  <c r="T1345" i="34"/>
  <c r="V1345" i="34"/>
  <c r="X1345" i="34"/>
  <c r="Y1345" i="34"/>
  <c r="N1346" i="34"/>
  <c r="R1346" i="34"/>
  <c r="S1346" i="34"/>
  <c r="T1346" i="34"/>
  <c r="V1346" i="34"/>
  <c r="X1346" i="34"/>
  <c r="Y1346" i="34"/>
  <c r="N1347" i="34"/>
  <c r="R1347" i="34"/>
  <c r="S1347" i="34"/>
  <c r="T1347" i="34"/>
  <c r="V1347" i="34"/>
  <c r="X1347" i="34"/>
  <c r="Y1347" i="34"/>
  <c r="N1348" i="34"/>
  <c r="R1348" i="34"/>
  <c r="S1348" i="34"/>
  <c r="T1348" i="34"/>
  <c r="V1348" i="34"/>
  <c r="X1348" i="34"/>
  <c r="Y1348" i="34"/>
  <c r="N1349" i="34"/>
  <c r="R1349" i="34"/>
  <c r="S1349" i="34"/>
  <c r="T1349" i="34"/>
  <c r="V1349" i="34"/>
  <c r="X1349" i="34"/>
  <c r="Y1349" i="34"/>
  <c r="N1350" i="34"/>
  <c r="R1350" i="34"/>
  <c r="S1350" i="34"/>
  <c r="T1350" i="34"/>
  <c r="V1350" i="34"/>
  <c r="X1350" i="34"/>
  <c r="Y1350" i="34"/>
  <c r="N1351" i="34"/>
  <c r="R1351" i="34"/>
  <c r="S1351" i="34"/>
  <c r="T1351" i="34"/>
  <c r="V1351" i="34"/>
  <c r="X1351" i="34"/>
  <c r="Y1351" i="34"/>
  <c r="N1352" i="34"/>
  <c r="R1352" i="34"/>
  <c r="S1352" i="34"/>
  <c r="T1352" i="34"/>
  <c r="V1352" i="34"/>
  <c r="X1352" i="34"/>
  <c r="Y1352" i="34"/>
  <c r="N1353" i="34"/>
  <c r="R1353" i="34"/>
  <c r="S1353" i="34"/>
  <c r="T1353" i="34"/>
  <c r="V1353" i="34"/>
  <c r="X1353" i="34"/>
  <c r="Y1353" i="34"/>
  <c r="N1354" i="34"/>
  <c r="R1354" i="34"/>
  <c r="S1354" i="34"/>
  <c r="T1354" i="34"/>
  <c r="V1354" i="34"/>
  <c r="X1354" i="34"/>
  <c r="Y1354" i="34"/>
  <c r="N1355" i="34"/>
  <c r="R1355" i="34"/>
  <c r="S1355" i="34"/>
  <c r="T1355" i="34"/>
  <c r="V1355" i="34"/>
  <c r="X1355" i="34"/>
  <c r="Y1355" i="34"/>
  <c r="N1356" i="34"/>
  <c r="R1356" i="34"/>
  <c r="S1356" i="34"/>
  <c r="T1356" i="34"/>
  <c r="V1356" i="34"/>
  <c r="X1356" i="34"/>
  <c r="Y1356" i="34"/>
  <c r="N1357" i="34"/>
  <c r="R1357" i="34"/>
  <c r="S1357" i="34"/>
  <c r="T1357" i="34"/>
  <c r="V1357" i="34"/>
  <c r="X1357" i="34"/>
  <c r="Y1357" i="34"/>
  <c r="N1358" i="34"/>
  <c r="R1358" i="34"/>
  <c r="S1358" i="34"/>
  <c r="T1358" i="34"/>
  <c r="V1358" i="34"/>
  <c r="X1358" i="34"/>
  <c r="Y1358" i="34"/>
  <c r="N1359" i="34"/>
  <c r="R1359" i="34"/>
  <c r="S1359" i="34"/>
  <c r="T1359" i="34"/>
  <c r="V1359" i="34"/>
  <c r="X1359" i="34"/>
  <c r="Y1359" i="34"/>
  <c r="N1360" i="34"/>
  <c r="R1360" i="34"/>
  <c r="S1360" i="34"/>
  <c r="T1360" i="34"/>
  <c r="V1360" i="34"/>
  <c r="X1360" i="34"/>
  <c r="Y1360" i="34"/>
  <c r="N1361" i="34"/>
  <c r="R1361" i="34"/>
  <c r="S1361" i="34"/>
  <c r="T1361" i="34"/>
  <c r="V1361" i="34"/>
  <c r="X1361" i="34"/>
  <c r="Y1361" i="34"/>
  <c r="N1362" i="34"/>
  <c r="R1362" i="34"/>
  <c r="S1362" i="34"/>
  <c r="T1362" i="34"/>
  <c r="V1362" i="34"/>
  <c r="X1362" i="34"/>
  <c r="Y1362" i="34"/>
  <c r="N1363" i="34"/>
  <c r="R1363" i="34"/>
  <c r="S1363" i="34"/>
  <c r="T1363" i="34"/>
  <c r="V1363" i="34"/>
  <c r="X1363" i="34"/>
  <c r="Y1363" i="34"/>
  <c r="N1364" i="34"/>
  <c r="R1364" i="34"/>
  <c r="S1364" i="34"/>
  <c r="T1364" i="34"/>
  <c r="V1364" i="34"/>
  <c r="X1364" i="34"/>
  <c r="Y1364" i="34"/>
  <c r="N1365" i="34"/>
  <c r="R1365" i="34"/>
  <c r="S1365" i="34"/>
  <c r="T1365" i="34"/>
  <c r="V1365" i="34"/>
  <c r="X1365" i="34"/>
  <c r="Y1365" i="34"/>
  <c r="N1366" i="34"/>
  <c r="R1366" i="34"/>
  <c r="S1366" i="34"/>
  <c r="T1366" i="34"/>
  <c r="V1366" i="34"/>
  <c r="X1366" i="34"/>
  <c r="Y1366" i="34"/>
  <c r="N1367" i="34"/>
  <c r="R1367" i="34"/>
  <c r="S1367" i="34"/>
  <c r="T1367" i="34"/>
  <c r="V1367" i="34"/>
  <c r="X1367" i="34"/>
  <c r="Y1367" i="34"/>
  <c r="N1368" i="34"/>
  <c r="R1368" i="34"/>
  <c r="S1368" i="34"/>
  <c r="T1368" i="34"/>
  <c r="V1368" i="34"/>
  <c r="X1368" i="34"/>
  <c r="Y1368" i="34"/>
  <c r="N1369" i="34"/>
  <c r="R1369" i="34"/>
  <c r="S1369" i="34"/>
  <c r="T1369" i="34"/>
  <c r="V1369" i="34"/>
  <c r="X1369" i="34"/>
  <c r="Y1369" i="34"/>
  <c r="N1370" i="34"/>
  <c r="R1370" i="34"/>
  <c r="S1370" i="34"/>
  <c r="T1370" i="34"/>
  <c r="V1370" i="34"/>
  <c r="X1370" i="34"/>
  <c r="Y1370" i="34"/>
  <c r="N1371" i="34"/>
  <c r="R1371" i="34"/>
  <c r="S1371" i="34"/>
  <c r="T1371" i="34"/>
  <c r="V1371" i="34"/>
  <c r="X1371" i="34"/>
  <c r="Y1371" i="34"/>
  <c r="N1372" i="34"/>
  <c r="R1372" i="34"/>
  <c r="S1372" i="34"/>
  <c r="T1372" i="34"/>
  <c r="V1372" i="34"/>
  <c r="X1372" i="34"/>
  <c r="Y1372" i="34"/>
  <c r="N1373" i="34"/>
  <c r="R1373" i="34"/>
  <c r="S1373" i="34"/>
  <c r="T1373" i="34"/>
  <c r="V1373" i="34"/>
  <c r="X1373" i="34"/>
  <c r="Y1373" i="34"/>
  <c r="N1374" i="34"/>
  <c r="R1374" i="34"/>
  <c r="S1374" i="34"/>
  <c r="T1374" i="34"/>
  <c r="V1374" i="34"/>
  <c r="X1374" i="34"/>
  <c r="Y1374" i="34"/>
  <c r="N1375" i="34"/>
  <c r="R1375" i="34"/>
  <c r="S1375" i="34"/>
  <c r="T1375" i="34"/>
  <c r="V1375" i="34"/>
  <c r="X1375" i="34"/>
  <c r="Y1375" i="34"/>
  <c r="N1376" i="34"/>
  <c r="R1376" i="34"/>
  <c r="S1376" i="34"/>
  <c r="T1376" i="34"/>
  <c r="V1376" i="34"/>
  <c r="X1376" i="34"/>
  <c r="Y1376" i="34"/>
  <c r="N1377" i="34"/>
  <c r="R1377" i="34"/>
  <c r="S1377" i="34"/>
  <c r="T1377" i="34"/>
  <c r="V1377" i="34"/>
  <c r="X1377" i="34"/>
  <c r="Y1377" i="34"/>
  <c r="N1378" i="34"/>
  <c r="R1378" i="34"/>
  <c r="S1378" i="34"/>
  <c r="T1378" i="34"/>
  <c r="V1378" i="34"/>
  <c r="X1378" i="34"/>
  <c r="Y1378" i="34"/>
  <c r="N1379" i="34"/>
  <c r="R1379" i="34"/>
  <c r="S1379" i="34"/>
  <c r="T1379" i="34"/>
  <c r="V1379" i="34"/>
  <c r="X1379" i="34"/>
  <c r="Y1379" i="34"/>
  <c r="N1380" i="34"/>
  <c r="R1380" i="34"/>
  <c r="S1380" i="34"/>
  <c r="T1380" i="34"/>
  <c r="V1380" i="34"/>
  <c r="X1380" i="34"/>
  <c r="Y1380" i="34"/>
  <c r="N1381" i="34"/>
  <c r="R1381" i="34"/>
  <c r="S1381" i="34"/>
  <c r="T1381" i="34"/>
  <c r="V1381" i="34"/>
  <c r="X1381" i="34"/>
  <c r="Y1381" i="34"/>
  <c r="N1382" i="34"/>
  <c r="R1382" i="34"/>
  <c r="S1382" i="34"/>
  <c r="T1382" i="34"/>
  <c r="V1382" i="34"/>
  <c r="X1382" i="34"/>
  <c r="Y1382" i="34"/>
  <c r="N1383" i="34"/>
  <c r="R1383" i="34"/>
  <c r="S1383" i="34"/>
  <c r="T1383" i="34"/>
  <c r="V1383" i="34"/>
  <c r="X1383" i="34"/>
  <c r="Y1383" i="34"/>
  <c r="N1384" i="34"/>
  <c r="R1384" i="34"/>
  <c r="S1384" i="34"/>
  <c r="T1384" i="34"/>
  <c r="V1384" i="34"/>
  <c r="X1384" i="34"/>
  <c r="Y1384" i="34"/>
  <c r="N1385" i="34"/>
  <c r="R1385" i="34"/>
  <c r="S1385" i="34"/>
  <c r="T1385" i="34"/>
  <c r="V1385" i="34"/>
  <c r="X1385" i="34"/>
  <c r="Y1385" i="34"/>
  <c r="N1386" i="34"/>
  <c r="R1386" i="34"/>
  <c r="S1386" i="34"/>
  <c r="T1386" i="34"/>
  <c r="V1386" i="34"/>
  <c r="X1386" i="34"/>
  <c r="Y1386" i="34"/>
  <c r="N1387" i="34"/>
  <c r="R1387" i="34"/>
  <c r="S1387" i="34"/>
  <c r="T1387" i="34"/>
  <c r="V1387" i="34"/>
  <c r="X1387" i="34"/>
  <c r="Y1387" i="34"/>
  <c r="N1388" i="34"/>
  <c r="R1388" i="34"/>
  <c r="S1388" i="34"/>
  <c r="T1388" i="34"/>
  <c r="V1388" i="34"/>
  <c r="X1388" i="34"/>
  <c r="Y1388" i="34"/>
  <c r="N1389" i="34"/>
  <c r="R1389" i="34"/>
  <c r="S1389" i="34"/>
  <c r="T1389" i="34"/>
  <c r="V1389" i="34"/>
  <c r="X1389" i="34"/>
  <c r="Y1389" i="34"/>
  <c r="N1390" i="34"/>
  <c r="R1390" i="34"/>
  <c r="S1390" i="34"/>
  <c r="T1390" i="34"/>
  <c r="V1390" i="34"/>
  <c r="X1390" i="34"/>
  <c r="Y1390" i="34"/>
  <c r="N1391" i="34"/>
  <c r="R1391" i="34"/>
  <c r="S1391" i="34"/>
  <c r="T1391" i="34"/>
  <c r="V1391" i="34"/>
  <c r="X1391" i="34"/>
  <c r="Y1391" i="34"/>
  <c r="N1392" i="34"/>
  <c r="R1392" i="34"/>
  <c r="S1392" i="34"/>
  <c r="T1392" i="34"/>
  <c r="V1392" i="34"/>
  <c r="X1392" i="34"/>
  <c r="Y1392" i="34"/>
  <c r="N1393" i="34"/>
  <c r="R1393" i="34"/>
  <c r="S1393" i="34"/>
  <c r="T1393" i="34"/>
  <c r="V1393" i="34"/>
  <c r="X1393" i="34"/>
  <c r="Y1393" i="34"/>
  <c r="N1394" i="34"/>
  <c r="R1394" i="34"/>
  <c r="S1394" i="34"/>
  <c r="T1394" i="34"/>
  <c r="V1394" i="34"/>
  <c r="X1394" i="34"/>
  <c r="Y1394" i="34"/>
  <c r="N1395" i="34"/>
  <c r="R1395" i="34"/>
  <c r="S1395" i="34"/>
  <c r="T1395" i="34"/>
  <c r="V1395" i="34"/>
  <c r="X1395" i="34"/>
  <c r="Y1395" i="34"/>
  <c r="N1396" i="34"/>
  <c r="R1396" i="34"/>
  <c r="S1396" i="34"/>
  <c r="T1396" i="34"/>
  <c r="V1396" i="34"/>
  <c r="X1396" i="34"/>
  <c r="Y1396" i="34"/>
  <c r="N1397" i="34"/>
  <c r="R1397" i="34"/>
  <c r="S1397" i="34"/>
  <c r="T1397" i="34"/>
  <c r="V1397" i="34"/>
  <c r="X1397" i="34"/>
  <c r="Y1397" i="34"/>
  <c r="N1398" i="34"/>
  <c r="R1398" i="34"/>
  <c r="S1398" i="34"/>
  <c r="T1398" i="34"/>
  <c r="V1398" i="34"/>
  <c r="X1398" i="34"/>
  <c r="Y1398" i="34"/>
  <c r="N1399" i="34"/>
  <c r="R1399" i="34"/>
  <c r="S1399" i="34"/>
  <c r="T1399" i="34"/>
  <c r="V1399" i="34"/>
  <c r="X1399" i="34"/>
  <c r="Y1399" i="34"/>
  <c r="N1400" i="34"/>
  <c r="R1400" i="34"/>
  <c r="S1400" i="34"/>
  <c r="T1400" i="34"/>
  <c r="V1400" i="34"/>
  <c r="X1400" i="34"/>
  <c r="Y1400" i="34"/>
  <c r="N1401" i="34"/>
  <c r="R1401" i="34"/>
  <c r="S1401" i="34"/>
  <c r="T1401" i="34"/>
  <c r="V1401" i="34"/>
  <c r="X1401" i="34"/>
  <c r="Y1401" i="34"/>
  <c r="N1402" i="34"/>
  <c r="V1402" i="34"/>
  <c r="X1402" i="34"/>
  <c r="Y1402" i="34"/>
  <c r="N1403" i="34"/>
  <c r="R1403" i="34"/>
  <c r="S1403" i="34"/>
  <c r="T1403" i="34"/>
  <c r="V1403" i="34"/>
  <c r="X1403" i="34"/>
  <c r="Y1403" i="34"/>
  <c r="N1404" i="34"/>
  <c r="R1404" i="34"/>
  <c r="S1404" i="34"/>
  <c r="T1404" i="34"/>
  <c r="V1404" i="34"/>
  <c r="X1404" i="34"/>
  <c r="Y1404" i="34"/>
  <c r="N1405" i="34"/>
  <c r="R1405" i="34"/>
  <c r="S1405" i="34"/>
  <c r="T1405" i="34"/>
  <c r="V1405" i="34"/>
  <c r="X1405" i="34"/>
  <c r="Y1405" i="34"/>
  <c r="N1406" i="34"/>
  <c r="R1406" i="34"/>
  <c r="S1406" i="34"/>
  <c r="T1406" i="34"/>
  <c r="V1406" i="34"/>
  <c r="X1406" i="34"/>
  <c r="Y1406" i="34"/>
  <c r="N1407" i="34"/>
  <c r="R1407" i="34"/>
  <c r="S1407" i="34"/>
  <c r="T1407" i="34"/>
  <c r="V1407" i="34"/>
  <c r="X1407" i="34"/>
  <c r="Y1407" i="34"/>
  <c r="N1408" i="34"/>
  <c r="V1408" i="34"/>
  <c r="X1408" i="34"/>
  <c r="Y1408" i="34"/>
  <c r="N1409" i="34"/>
  <c r="V1409" i="34"/>
  <c r="X1409" i="34"/>
  <c r="Y1409" i="34"/>
  <c r="N1410" i="34"/>
  <c r="V1410" i="34"/>
  <c r="X1410" i="34"/>
  <c r="Y1410" i="34"/>
  <c r="N1411" i="34"/>
  <c r="R1411" i="34"/>
  <c r="S1411" i="34"/>
  <c r="T1411" i="34"/>
  <c r="V1411" i="34"/>
  <c r="X1411" i="34"/>
  <c r="Y1411" i="34"/>
  <c r="N1412" i="34"/>
  <c r="R1412" i="34"/>
  <c r="S1412" i="34"/>
  <c r="T1412" i="34"/>
  <c r="V1412" i="34"/>
  <c r="X1412" i="34"/>
  <c r="Y1412" i="34"/>
  <c r="N1413" i="34"/>
  <c r="R1413" i="34"/>
  <c r="S1413" i="34"/>
  <c r="T1413" i="34"/>
  <c r="V1413" i="34"/>
  <c r="X1413" i="34"/>
  <c r="Y1413" i="34"/>
  <c r="N1414" i="34"/>
  <c r="R1414" i="34"/>
  <c r="S1414" i="34"/>
  <c r="T1414" i="34"/>
  <c r="V1414" i="34"/>
  <c r="X1414" i="34"/>
  <c r="Y1414" i="34"/>
  <c r="N1415" i="34"/>
  <c r="R1415" i="34"/>
  <c r="S1415" i="34"/>
  <c r="T1415" i="34"/>
  <c r="V1415" i="34"/>
  <c r="X1415" i="34"/>
  <c r="Y1415" i="34"/>
  <c r="N1416" i="34"/>
  <c r="R1416" i="34"/>
  <c r="S1416" i="34"/>
  <c r="T1416" i="34"/>
  <c r="V1416" i="34"/>
  <c r="X1416" i="34"/>
  <c r="Y1416" i="34"/>
  <c r="N1417" i="34"/>
  <c r="R1417" i="34"/>
  <c r="S1417" i="34"/>
  <c r="T1417" i="34"/>
  <c r="V1417" i="34"/>
  <c r="X1417" i="34"/>
  <c r="Y1417" i="34"/>
  <c r="N1418" i="34"/>
  <c r="R1418" i="34"/>
  <c r="S1418" i="34"/>
  <c r="T1418" i="34"/>
  <c r="V1418" i="34"/>
  <c r="X1418" i="34"/>
  <c r="Y1418" i="34"/>
  <c r="N1419" i="34"/>
  <c r="R1419" i="34"/>
  <c r="S1419" i="34"/>
  <c r="T1419" i="34"/>
  <c r="V1419" i="34"/>
  <c r="X1419" i="34"/>
  <c r="Y1419" i="34"/>
  <c r="N1420" i="34"/>
  <c r="R1420" i="34"/>
  <c r="S1420" i="34"/>
  <c r="T1420" i="34"/>
  <c r="V1420" i="34"/>
  <c r="X1420" i="34"/>
  <c r="Y1420" i="34"/>
  <c r="N1421" i="34"/>
  <c r="R1421" i="34"/>
  <c r="S1421" i="34"/>
  <c r="T1421" i="34"/>
  <c r="V1421" i="34"/>
  <c r="X1421" i="34"/>
  <c r="Y1421" i="34"/>
  <c r="N1422" i="34"/>
  <c r="V1422" i="34"/>
  <c r="X1422" i="34"/>
  <c r="Y1422" i="34"/>
  <c r="N1423" i="34"/>
  <c r="V1423" i="34"/>
  <c r="X1423" i="34"/>
  <c r="Y1423" i="34"/>
  <c r="N1424" i="34"/>
  <c r="R1424" i="34"/>
  <c r="S1424" i="34"/>
  <c r="T1424" i="34"/>
  <c r="V1424" i="34"/>
  <c r="X1424" i="34"/>
  <c r="Y1424" i="34"/>
  <c r="N1425" i="34"/>
  <c r="V1425" i="34"/>
  <c r="X1425" i="34"/>
  <c r="Y1425" i="34"/>
  <c r="N1426" i="34"/>
  <c r="V1426" i="34"/>
  <c r="X1426" i="34"/>
  <c r="Y1426" i="34"/>
  <c r="N1427" i="34"/>
  <c r="R1427" i="34"/>
  <c r="S1427" i="34"/>
  <c r="T1427" i="34"/>
  <c r="V1427" i="34"/>
  <c r="X1427" i="34"/>
  <c r="Y1427" i="34"/>
  <c r="N1428" i="34"/>
  <c r="R1428" i="34"/>
  <c r="S1428" i="34"/>
  <c r="T1428" i="34"/>
  <c r="V1428" i="34"/>
  <c r="X1428" i="34"/>
  <c r="Y1428" i="34"/>
  <c r="N1429" i="34"/>
  <c r="R1429" i="34"/>
  <c r="S1429" i="34"/>
  <c r="T1429" i="34"/>
  <c r="V1429" i="34"/>
  <c r="X1429" i="34"/>
  <c r="Y1429" i="34"/>
  <c r="N1430" i="34"/>
  <c r="R1430" i="34"/>
  <c r="S1430" i="34"/>
  <c r="T1430" i="34"/>
  <c r="V1430" i="34"/>
  <c r="X1430" i="34"/>
  <c r="Y1430" i="34"/>
  <c r="N1431" i="34"/>
  <c r="R1431" i="34"/>
  <c r="S1431" i="34"/>
  <c r="T1431" i="34"/>
  <c r="V1431" i="34"/>
  <c r="X1431" i="34"/>
  <c r="Y1431" i="34"/>
  <c r="N1432" i="34"/>
  <c r="R1432" i="34"/>
  <c r="S1432" i="34"/>
  <c r="T1432" i="34"/>
  <c r="V1432" i="34"/>
  <c r="X1432" i="34"/>
  <c r="Y1432" i="34"/>
  <c r="N1433" i="34"/>
  <c r="R1433" i="34"/>
  <c r="S1433" i="34"/>
  <c r="T1433" i="34"/>
  <c r="V1433" i="34"/>
  <c r="X1433" i="34"/>
  <c r="Y1433" i="34"/>
  <c r="N1434" i="34"/>
  <c r="R1434" i="34"/>
  <c r="S1434" i="34"/>
  <c r="T1434" i="34"/>
  <c r="V1434" i="34"/>
  <c r="X1434" i="34"/>
  <c r="Y1434" i="34"/>
  <c r="N1435" i="34"/>
  <c r="R1435" i="34"/>
  <c r="S1435" i="34"/>
  <c r="T1435" i="34"/>
  <c r="V1435" i="34"/>
  <c r="X1435" i="34"/>
  <c r="Y1435" i="34"/>
  <c r="N1436" i="34"/>
  <c r="R1436" i="34"/>
  <c r="S1436" i="34"/>
  <c r="T1436" i="34"/>
  <c r="V1436" i="34"/>
  <c r="X1436" i="34"/>
  <c r="Y1436" i="34"/>
  <c r="N1437" i="34"/>
  <c r="R1437" i="34"/>
  <c r="S1437" i="34"/>
  <c r="T1437" i="34"/>
  <c r="V1437" i="34"/>
  <c r="X1437" i="34"/>
  <c r="Y1437" i="34"/>
  <c r="N1438" i="34"/>
  <c r="R1438" i="34"/>
  <c r="S1438" i="34"/>
  <c r="T1438" i="34"/>
  <c r="V1438" i="34"/>
  <c r="X1438" i="34"/>
  <c r="Y1438" i="34"/>
  <c r="N1439" i="34"/>
  <c r="R1439" i="34"/>
  <c r="S1439" i="34"/>
  <c r="T1439" i="34"/>
  <c r="V1439" i="34"/>
  <c r="X1439" i="34"/>
  <c r="Y1439" i="34"/>
  <c r="N1440" i="34"/>
  <c r="R1440" i="34"/>
  <c r="S1440" i="34"/>
  <c r="T1440" i="34"/>
  <c r="V1440" i="34"/>
  <c r="X1440" i="34"/>
  <c r="Y1440" i="34"/>
  <c r="N1441" i="34"/>
  <c r="R1441" i="34"/>
  <c r="S1441" i="34"/>
  <c r="T1441" i="34"/>
  <c r="V1441" i="34"/>
  <c r="X1441" i="34"/>
  <c r="Y1441" i="34"/>
  <c r="N1442" i="34"/>
  <c r="R1442" i="34"/>
  <c r="S1442" i="34"/>
  <c r="T1442" i="34"/>
  <c r="V1442" i="34"/>
  <c r="X1442" i="34"/>
  <c r="Y1442" i="34"/>
  <c r="N1443" i="34"/>
  <c r="R1443" i="34"/>
  <c r="S1443" i="34"/>
  <c r="T1443" i="34"/>
  <c r="V1443" i="34"/>
  <c r="X1443" i="34"/>
  <c r="Y1443" i="34"/>
  <c r="N1444" i="34"/>
  <c r="R1444" i="34"/>
  <c r="S1444" i="34"/>
  <c r="T1444" i="34"/>
  <c r="V1444" i="34"/>
  <c r="X1444" i="34"/>
  <c r="Y1444" i="34"/>
  <c r="N1445" i="34"/>
  <c r="R1445" i="34"/>
  <c r="S1445" i="34"/>
  <c r="T1445" i="34"/>
  <c r="V1445" i="34"/>
  <c r="X1445" i="34"/>
  <c r="Y1445" i="34"/>
  <c r="N1446" i="34"/>
  <c r="R1446" i="34"/>
  <c r="S1446" i="34"/>
  <c r="T1446" i="34"/>
  <c r="V1446" i="34"/>
  <c r="X1446" i="34"/>
  <c r="Y1446" i="34"/>
  <c r="N1447" i="34"/>
  <c r="R1447" i="34"/>
  <c r="S1447" i="34"/>
  <c r="T1447" i="34"/>
  <c r="V1447" i="34"/>
  <c r="X1447" i="34"/>
  <c r="Y1447" i="34"/>
  <c r="N1448" i="34"/>
  <c r="R1448" i="34"/>
  <c r="S1448" i="34"/>
  <c r="T1448" i="34"/>
  <c r="V1448" i="34"/>
  <c r="X1448" i="34"/>
  <c r="Y1448" i="34"/>
  <c r="N1449" i="34"/>
  <c r="R1449" i="34"/>
  <c r="S1449" i="34"/>
  <c r="T1449" i="34"/>
  <c r="V1449" i="34"/>
  <c r="X1449" i="34"/>
  <c r="Y1449" i="34"/>
  <c r="N1450" i="34"/>
  <c r="R1450" i="34"/>
  <c r="S1450" i="34"/>
  <c r="T1450" i="34"/>
  <c r="V1450" i="34"/>
  <c r="X1450" i="34"/>
  <c r="Y1450" i="34"/>
  <c r="N1451" i="34"/>
  <c r="R1451" i="34"/>
  <c r="S1451" i="34"/>
  <c r="T1451" i="34"/>
  <c r="V1451" i="34"/>
  <c r="X1451" i="34"/>
  <c r="Y1451" i="34"/>
  <c r="N1452" i="34"/>
  <c r="R1452" i="34"/>
  <c r="S1452" i="34"/>
  <c r="T1452" i="34"/>
  <c r="V1452" i="34"/>
  <c r="X1452" i="34"/>
  <c r="Y1452" i="34"/>
  <c r="N1453" i="34"/>
  <c r="R1453" i="34"/>
  <c r="S1453" i="34"/>
  <c r="T1453" i="34"/>
  <c r="V1453" i="34"/>
  <c r="X1453" i="34"/>
  <c r="Y1453" i="34"/>
  <c r="N1454" i="34"/>
  <c r="R1454" i="34"/>
  <c r="S1454" i="34"/>
  <c r="T1454" i="34"/>
  <c r="V1454" i="34"/>
  <c r="X1454" i="34"/>
  <c r="Y1454" i="34"/>
  <c r="N1455" i="34"/>
  <c r="R1455" i="34"/>
  <c r="S1455" i="34"/>
  <c r="T1455" i="34"/>
  <c r="V1455" i="34"/>
  <c r="X1455" i="34"/>
  <c r="Y1455" i="34"/>
  <c r="N1456" i="34"/>
  <c r="R1456" i="34"/>
  <c r="S1456" i="34"/>
  <c r="T1456" i="34"/>
  <c r="V1456" i="34"/>
  <c r="X1456" i="34"/>
  <c r="Y1456" i="34"/>
  <c r="N1457" i="34"/>
  <c r="R1457" i="34"/>
  <c r="S1457" i="34"/>
  <c r="T1457" i="34"/>
  <c r="V1457" i="34"/>
  <c r="X1457" i="34"/>
  <c r="Y1457" i="34"/>
  <c r="N1458" i="34"/>
  <c r="R1458" i="34"/>
  <c r="S1458" i="34"/>
  <c r="T1458" i="34"/>
  <c r="V1458" i="34"/>
  <c r="X1458" i="34"/>
  <c r="Y1458" i="34"/>
  <c r="N1459" i="34"/>
  <c r="R1459" i="34"/>
  <c r="S1459" i="34"/>
  <c r="T1459" i="34"/>
  <c r="V1459" i="34"/>
  <c r="X1459" i="34"/>
  <c r="Y1459" i="34"/>
  <c r="N1460" i="34"/>
  <c r="R1460" i="34"/>
  <c r="S1460" i="34"/>
  <c r="T1460" i="34"/>
  <c r="V1460" i="34"/>
  <c r="X1460" i="34"/>
  <c r="Y1460" i="34"/>
  <c r="N1461" i="34"/>
  <c r="R1461" i="34"/>
  <c r="S1461" i="34"/>
  <c r="T1461" i="34"/>
  <c r="V1461" i="34"/>
  <c r="X1461" i="34"/>
  <c r="Y1461" i="34"/>
  <c r="N1462" i="34"/>
  <c r="R1462" i="34"/>
  <c r="S1462" i="34"/>
  <c r="T1462" i="34"/>
  <c r="V1462" i="34"/>
  <c r="X1462" i="34"/>
  <c r="Y1462" i="34"/>
  <c r="N1463" i="34"/>
  <c r="R1463" i="34"/>
  <c r="S1463" i="34"/>
  <c r="T1463" i="34"/>
  <c r="V1463" i="34"/>
  <c r="X1463" i="34"/>
  <c r="Y1463" i="34"/>
  <c r="N1464" i="34"/>
  <c r="R1464" i="34"/>
  <c r="S1464" i="34"/>
  <c r="T1464" i="34"/>
  <c r="V1464" i="34"/>
  <c r="X1464" i="34"/>
  <c r="Y1464" i="34"/>
  <c r="N1465" i="34"/>
  <c r="R1465" i="34"/>
  <c r="S1465" i="34"/>
  <c r="T1465" i="34"/>
  <c r="V1465" i="34"/>
  <c r="X1465" i="34"/>
  <c r="Y1465" i="34"/>
  <c r="N1466" i="34"/>
  <c r="R1466" i="34"/>
  <c r="S1466" i="34"/>
  <c r="T1466" i="34"/>
  <c r="V1466" i="34"/>
  <c r="X1466" i="34"/>
  <c r="Y1466" i="34"/>
  <c r="N1467" i="34"/>
  <c r="R1467" i="34"/>
  <c r="S1467" i="34"/>
  <c r="T1467" i="34"/>
  <c r="V1467" i="34"/>
  <c r="X1467" i="34"/>
  <c r="Y1467" i="34"/>
  <c r="N1468" i="34"/>
  <c r="R1468" i="34"/>
  <c r="S1468" i="34"/>
  <c r="T1468" i="34"/>
  <c r="V1468" i="34"/>
  <c r="X1468" i="34"/>
  <c r="Y1468" i="34"/>
  <c r="N1469" i="34"/>
  <c r="R1469" i="34"/>
  <c r="S1469" i="34"/>
  <c r="T1469" i="34"/>
  <c r="V1469" i="34"/>
  <c r="X1469" i="34"/>
  <c r="Y1469" i="34"/>
  <c r="N1470" i="34"/>
  <c r="R1470" i="34"/>
  <c r="S1470" i="34"/>
  <c r="T1470" i="34"/>
  <c r="V1470" i="34"/>
  <c r="X1470" i="34"/>
  <c r="Y1470" i="34"/>
  <c r="N1471" i="34"/>
  <c r="R1471" i="34"/>
  <c r="S1471" i="34"/>
  <c r="T1471" i="34"/>
  <c r="V1471" i="34"/>
  <c r="X1471" i="34"/>
  <c r="Y1471" i="34"/>
  <c r="N1472" i="34"/>
  <c r="R1472" i="34"/>
  <c r="S1472" i="34"/>
  <c r="T1472" i="34"/>
  <c r="V1472" i="34"/>
  <c r="X1472" i="34"/>
  <c r="Y1472" i="34"/>
  <c r="N1473" i="34"/>
  <c r="R1473" i="34"/>
  <c r="S1473" i="34"/>
  <c r="T1473" i="34"/>
  <c r="V1473" i="34"/>
  <c r="X1473" i="34"/>
  <c r="Y1473" i="34"/>
  <c r="N1474" i="34"/>
  <c r="R1474" i="34"/>
  <c r="S1474" i="34"/>
  <c r="T1474" i="34"/>
  <c r="V1474" i="34"/>
  <c r="X1474" i="34"/>
  <c r="Y1474" i="34"/>
  <c r="N1475" i="34"/>
  <c r="R1475" i="34"/>
  <c r="S1475" i="34"/>
  <c r="T1475" i="34"/>
  <c r="V1475" i="34"/>
  <c r="X1475" i="34"/>
  <c r="Y1475" i="34"/>
  <c r="N1476" i="34"/>
  <c r="R1476" i="34"/>
  <c r="S1476" i="34"/>
  <c r="T1476" i="34"/>
  <c r="V1476" i="34"/>
  <c r="X1476" i="34"/>
  <c r="Y1476" i="34"/>
  <c r="N1477" i="34"/>
  <c r="R1477" i="34"/>
  <c r="S1477" i="34"/>
  <c r="T1477" i="34"/>
  <c r="V1477" i="34"/>
  <c r="X1477" i="34"/>
  <c r="Y1477" i="34"/>
  <c r="N1478" i="34"/>
  <c r="R1478" i="34"/>
  <c r="S1478" i="34"/>
  <c r="T1478" i="34"/>
  <c r="V1478" i="34"/>
  <c r="X1478" i="34"/>
  <c r="Y1478" i="34"/>
  <c r="N1479" i="34"/>
  <c r="R1479" i="34"/>
  <c r="S1479" i="34"/>
  <c r="T1479" i="34"/>
  <c r="V1479" i="34"/>
  <c r="X1479" i="34"/>
  <c r="Y1479" i="34"/>
  <c r="N1480" i="34"/>
  <c r="R1480" i="34"/>
  <c r="S1480" i="34"/>
  <c r="T1480" i="34"/>
  <c r="V1480" i="34"/>
  <c r="X1480" i="34"/>
  <c r="Y1480" i="34"/>
  <c r="N1481" i="34"/>
  <c r="R1481" i="34"/>
  <c r="S1481" i="34"/>
  <c r="T1481" i="34"/>
  <c r="V1481" i="34"/>
  <c r="X1481" i="34"/>
  <c r="Y1481" i="34"/>
  <c r="N1482" i="34"/>
  <c r="R1482" i="34"/>
  <c r="S1482" i="34"/>
  <c r="T1482" i="34"/>
  <c r="V1482" i="34"/>
  <c r="X1482" i="34"/>
  <c r="Y1482" i="34"/>
  <c r="N1483" i="34"/>
  <c r="R1483" i="34"/>
  <c r="S1483" i="34"/>
  <c r="T1483" i="34"/>
  <c r="V1483" i="34"/>
  <c r="X1483" i="34"/>
  <c r="Y1483" i="34"/>
  <c r="N1484" i="34"/>
  <c r="R1484" i="34"/>
  <c r="S1484" i="34"/>
  <c r="T1484" i="34"/>
  <c r="V1484" i="34"/>
  <c r="X1484" i="34"/>
  <c r="Y1484" i="34"/>
  <c r="N1485" i="34"/>
  <c r="R1485" i="34"/>
  <c r="S1485" i="34"/>
  <c r="T1485" i="34"/>
  <c r="V1485" i="34"/>
  <c r="X1485" i="34"/>
  <c r="Y1485" i="34"/>
  <c r="N1486" i="34"/>
  <c r="R1486" i="34"/>
  <c r="S1486" i="34"/>
  <c r="T1486" i="34"/>
  <c r="V1486" i="34"/>
  <c r="X1486" i="34"/>
  <c r="Y1486" i="34"/>
  <c r="N1487" i="34"/>
  <c r="R1487" i="34"/>
  <c r="S1487" i="34"/>
  <c r="T1487" i="34"/>
  <c r="V1487" i="34"/>
  <c r="X1487" i="34"/>
  <c r="Y1487" i="34"/>
  <c r="N1488" i="34"/>
  <c r="R1488" i="34"/>
  <c r="S1488" i="34"/>
  <c r="T1488" i="34"/>
  <c r="V1488" i="34"/>
  <c r="X1488" i="34"/>
  <c r="Y1488" i="34"/>
  <c r="N1489" i="34"/>
  <c r="R1489" i="34"/>
  <c r="S1489" i="34"/>
  <c r="T1489" i="34"/>
  <c r="V1489" i="34"/>
  <c r="X1489" i="34"/>
  <c r="Y1489" i="34"/>
  <c r="N1490" i="34"/>
  <c r="R1490" i="34"/>
  <c r="S1490" i="34"/>
  <c r="T1490" i="34"/>
  <c r="V1490" i="34"/>
  <c r="X1490" i="34"/>
  <c r="Y1490" i="34"/>
  <c r="N1491" i="34"/>
  <c r="R1491" i="34"/>
  <c r="S1491" i="34"/>
  <c r="T1491" i="34"/>
  <c r="V1491" i="34"/>
  <c r="X1491" i="34"/>
  <c r="Y1491" i="34"/>
  <c r="N1492" i="34"/>
  <c r="R1492" i="34"/>
  <c r="S1492" i="34"/>
  <c r="T1492" i="34"/>
  <c r="V1492" i="34"/>
  <c r="X1492" i="34"/>
  <c r="Y1492" i="34"/>
  <c r="N1493" i="34"/>
  <c r="R1493" i="34"/>
  <c r="S1493" i="34"/>
  <c r="T1493" i="34"/>
  <c r="V1493" i="34"/>
  <c r="X1493" i="34"/>
  <c r="Y1493" i="34"/>
  <c r="N1494" i="34"/>
  <c r="R1494" i="34"/>
  <c r="S1494" i="34"/>
  <c r="T1494" i="34"/>
  <c r="V1494" i="34"/>
  <c r="X1494" i="34"/>
  <c r="Y1494" i="34"/>
  <c r="N1495" i="34"/>
  <c r="R1495" i="34"/>
  <c r="S1495" i="34"/>
  <c r="T1495" i="34"/>
  <c r="V1495" i="34"/>
  <c r="X1495" i="34"/>
  <c r="Y1495" i="34"/>
  <c r="N1496" i="34"/>
  <c r="R1496" i="34"/>
  <c r="S1496" i="34"/>
  <c r="T1496" i="34"/>
  <c r="V1496" i="34"/>
  <c r="X1496" i="34"/>
  <c r="Y1496" i="34"/>
  <c r="N1497" i="34"/>
  <c r="R1497" i="34"/>
  <c r="S1497" i="34"/>
  <c r="T1497" i="34"/>
  <c r="V1497" i="34"/>
  <c r="X1497" i="34"/>
  <c r="Y1497" i="34"/>
  <c r="N1498" i="34"/>
  <c r="R1498" i="34"/>
  <c r="S1498" i="34"/>
  <c r="T1498" i="34"/>
  <c r="V1498" i="34"/>
  <c r="X1498" i="34"/>
  <c r="Y1498" i="34"/>
  <c r="N1499" i="34"/>
  <c r="R1499" i="34"/>
  <c r="S1499" i="34"/>
  <c r="T1499" i="34"/>
  <c r="V1499" i="34"/>
  <c r="X1499" i="34"/>
  <c r="Y1499" i="34"/>
  <c r="N1500" i="34"/>
  <c r="R1500" i="34"/>
  <c r="S1500" i="34"/>
  <c r="T1500" i="34"/>
  <c r="V1500" i="34"/>
  <c r="X1500" i="34"/>
  <c r="Y1500" i="34"/>
  <c r="N1501" i="34"/>
  <c r="R1501" i="34"/>
  <c r="S1501" i="34"/>
  <c r="T1501" i="34"/>
  <c r="V1501" i="34"/>
  <c r="X1501" i="34"/>
  <c r="Y1501" i="34"/>
  <c r="N1502" i="34"/>
  <c r="R1502" i="34"/>
  <c r="S1502" i="34"/>
  <c r="T1502" i="34"/>
  <c r="V1502" i="34"/>
  <c r="X1502" i="34"/>
  <c r="Y1502" i="34"/>
  <c r="N1503" i="34"/>
  <c r="R1503" i="34"/>
  <c r="S1503" i="34"/>
  <c r="T1503" i="34"/>
  <c r="V1503" i="34"/>
  <c r="X1503" i="34"/>
  <c r="Y1503" i="34"/>
  <c r="N1504" i="34"/>
  <c r="R1504" i="34"/>
  <c r="S1504" i="34"/>
  <c r="T1504" i="34"/>
  <c r="V1504" i="34"/>
  <c r="X1504" i="34"/>
  <c r="Y1504" i="34"/>
  <c r="N1505" i="34"/>
  <c r="R1505" i="34"/>
  <c r="S1505" i="34"/>
  <c r="T1505" i="34"/>
  <c r="V1505" i="34"/>
  <c r="X1505" i="34"/>
  <c r="Y1505" i="34"/>
  <c r="N1506" i="34"/>
  <c r="R1506" i="34"/>
  <c r="S1506" i="34"/>
  <c r="T1506" i="34"/>
  <c r="V1506" i="34"/>
  <c r="X1506" i="34"/>
  <c r="Y1506" i="34"/>
  <c r="N1507" i="34"/>
  <c r="R1507" i="34"/>
  <c r="S1507" i="34"/>
  <c r="T1507" i="34"/>
  <c r="V1507" i="34"/>
  <c r="X1507" i="34"/>
  <c r="Y1507" i="34"/>
  <c r="N1508" i="34"/>
  <c r="R1508" i="34"/>
  <c r="S1508" i="34"/>
  <c r="T1508" i="34"/>
  <c r="V1508" i="34"/>
  <c r="X1508" i="34"/>
  <c r="Y1508" i="34"/>
  <c r="N1509" i="34"/>
  <c r="R1509" i="34"/>
  <c r="S1509" i="34"/>
  <c r="T1509" i="34"/>
  <c r="V1509" i="34"/>
  <c r="X1509" i="34"/>
  <c r="Y1509" i="34"/>
  <c r="N1510" i="34"/>
  <c r="R1510" i="34"/>
  <c r="S1510" i="34"/>
  <c r="T1510" i="34"/>
  <c r="V1510" i="34"/>
  <c r="X1510" i="34"/>
  <c r="Y1510" i="34"/>
  <c r="N1511" i="34"/>
  <c r="R1511" i="34"/>
  <c r="S1511" i="34"/>
  <c r="T1511" i="34"/>
  <c r="V1511" i="34"/>
  <c r="X1511" i="34"/>
  <c r="Y1511" i="34"/>
  <c r="N1512" i="34"/>
  <c r="R1512" i="34"/>
  <c r="S1512" i="34"/>
  <c r="T1512" i="34"/>
  <c r="V1512" i="34"/>
  <c r="X1512" i="34"/>
  <c r="Y1512" i="34"/>
  <c r="N1513" i="34"/>
  <c r="R1513" i="34"/>
  <c r="S1513" i="34"/>
  <c r="T1513" i="34"/>
  <c r="V1513" i="34"/>
  <c r="X1513" i="34"/>
  <c r="Y1513" i="34"/>
  <c r="N1514" i="34"/>
  <c r="R1514" i="34"/>
  <c r="S1514" i="34"/>
  <c r="T1514" i="34"/>
  <c r="V1514" i="34"/>
  <c r="X1514" i="34"/>
  <c r="Y1514" i="34"/>
  <c r="N1515" i="34"/>
  <c r="R1515" i="34"/>
  <c r="S1515" i="34"/>
  <c r="T1515" i="34"/>
  <c r="V1515" i="34"/>
  <c r="X1515" i="34"/>
  <c r="Y1515" i="34"/>
  <c r="N1516" i="34"/>
  <c r="R1516" i="34"/>
  <c r="S1516" i="34"/>
  <c r="T1516" i="34"/>
  <c r="V1516" i="34"/>
  <c r="X1516" i="34"/>
  <c r="Y1516" i="34"/>
  <c r="N1517" i="34"/>
  <c r="R1517" i="34"/>
  <c r="S1517" i="34"/>
  <c r="T1517" i="34"/>
  <c r="V1517" i="34"/>
  <c r="X1517" i="34"/>
  <c r="Y1517" i="34"/>
  <c r="N1518" i="34"/>
  <c r="R1518" i="34"/>
  <c r="S1518" i="34"/>
  <c r="T1518" i="34"/>
  <c r="V1518" i="34"/>
  <c r="X1518" i="34"/>
  <c r="Y1518" i="34"/>
  <c r="N1519" i="34"/>
  <c r="R1519" i="34"/>
  <c r="S1519" i="34"/>
  <c r="T1519" i="34"/>
  <c r="V1519" i="34"/>
  <c r="X1519" i="34"/>
  <c r="Y1519" i="34"/>
  <c r="N1520" i="34"/>
  <c r="R1520" i="34"/>
  <c r="S1520" i="34"/>
  <c r="T1520" i="34"/>
  <c r="V1520" i="34"/>
  <c r="X1520" i="34"/>
  <c r="Y1520" i="34"/>
  <c r="N1521" i="34"/>
  <c r="R1521" i="34"/>
  <c r="S1521" i="34"/>
  <c r="T1521" i="34"/>
  <c r="V1521" i="34"/>
  <c r="X1521" i="34"/>
  <c r="Y1521" i="34"/>
  <c r="N1522" i="34"/>
  <c r="R1522" i="34"/>
  <c r="S1522" i="34"/>
  <c r="T1522" i="34"/>
  <c r="V1522" i="34"/>
  <c r="X1522" i="34"/>
  <c r="Y1522" i="34"/>
  <c r="N1523" i="34"/>
  <c r="R1523" i="34"/>
  <c r="S1523" i="34"/>
  <c r="T1523" i="34"/>
  <c r="V1523" i="34"/>
  <c r="X1523" i="34"/>
  <c r="Y1523" i="34"/>
  <c r="N1524" i="34"/>
  <c r="R1524" i="34"/>
  <c r="S1524" i="34"/>
  <c r="T1524" i="34"/>
  <c r="V1524" i="34"/>
  <c r="X1524" i="34"/>
  <c r="Y1524" i="34"/>
  <c r="N1525" i="34"/>
  <c r="R1525" i="34"/>
  <c r="S1525" i="34"/>
  <c r="T1525" i="34"/>
  <c r="V1525" i="34"/>
  <c r="X1525" i="34"/>
  <c r="Y1525" i="34"/>
  <c r="N1526" i="34"/>
  <c r="R1526" i="34"/>
  <c r="S1526" i="34"/>
  <c r="T1526" i="34"/>
  <c r="V1526" i="34"/>
  <c r="X1526" i="34"/>
  <c r="Y1526" i="34"/>
  <c r="N1527" i="34"/>
  <c r="R1527" i="34"/>
  <c r="S1527" i="34"/>
  <c r="T1527" i="34"/>
  <c r="V1527" i="34"/>
  <c r="X1527" i="34"/>
  <c r="Y1527" i="34"/>
  <c r="N1528" i="34"/>
  <c r="R1528" i="34"/>
  <c r="S1528" i="34"/>
  <c r="T1528" i="34"/>
  <c r="V1528" i="34"/>
  <c r="X1528" i="34"/>
  <c r="Y1528" i="34"/>
  <c r="N1529" i="34"/>
  <c r="R1529" i="34"/>
  <c r="S1529" i="34"/>
  <c r="T1529" i="34"/>
  <c r="V1529" i="34"/>
  <c r="X1529" i="34"/>
  <c r="Y1529" i="34"/>
  <c r="N1530" i="34"/>
  <c r="R1530" i="34"/>
  <c r="S1530" i="34"/>
  <c r="T1530" i="34"/>
  <c r="V1530" i="34"/>
  <c r="X1530" i="34"/>
  <c r="Y1530" i="34"/>
  <c r="N1531" i="34"/>
  <c r="R1531" i="34"/>
  <c r="S1531" i="34"/>
  <c r="T1531" i="34"/>
  <c r="V1531" i="34"/>
  <c r="X1531" i="34"/>
  <c r="Y1531" i="34"/>
  <c r="N1532" i="34"/>
  <c r="R1532" i="34"/>
  <c r="S1532" i="34"/>
  <c r="T1532" i="34"/>
  <c r="V1532" i="34"/>
  <c r="X1532" i="34"/>
  <c r="Y1532" i="34"/>
  <c r="N1533" i="34"/>
  <c r="R1533" i="34"/>
  <c r="S1533" i="34"/>
  <c r="T1533" i="34"/>
  <c r="V1533" i="34"/>
  <c r="X1533" i="34"/>
  <c r="Y1533" i="34"/>
  <c r="N1534" i="34"/>
  <c r="R1534" i="34"/>
  <c r="S1534" i="34"/>
  <c r="T1534" i="34"/>
  <c r="V1534" i="34"/>
  <c r="X1534" i="34"/>
  <c r="Y1534" i="34"/>
  <c r="N1535" i="34"/>
  <c r="R1535" i="34"/>
  <c r="S1535" i="34"/>
  <c r="T1535" i="34"/>
  <c r="V1535" i="34"/>
  <c r="X1535" i="34"/>
  <c r="Y1535" i="34"/>
  <c r="N1536" i="34"/>
  <c r="R1536" i="34"/>
  <c r="S1536" i="34"/>
  <c r="T1536" i="34"/>
  <c r="V1536" i="34"/>
  <c r="X1536" i="34"/>
  <c r="Y1536" i="34"/>
  <c r="N1537" i="34"/>
  <c r="R1537" i="34"/>
  <c r="S1537" i="34"/>
  <c r="T1537" i="34"/>
  <c r="V1537" i="34"/>
  <c r="X1537" i="34"/>
  <c r="Y1537" i="34"/>
  <c r="N1538" i="34"/>
  <c r="R1538" i="34"/>
  <c r="S1538" i="34"/>
  <c r="T1538" i="34"/>
  <c r="V1538" i="34"/>
  <c r="X1538" i="34"/>
  <c r="Y1538" i="34"/>
  <c r="N1539" i="34"/>
  <c r="R1539" i="34"/>
  <c r="S1539" i="34"/>
  <c r="T1539" i="34"/>
  <c r="V1539" i="34"/>
  <c r="X1539" i="34"/>
  <c r="Y1539" i="34"/>
  <c r="N1540" i="34"/>
  <c r="R1540" i="34"/>
  <c r="S1540" i="34"/>
  <c r="T1540" i="34"/>
  <c r="V1540" i="34"/>
  <c r="X1540" i="34"/>
  <c r="Y1540" i="34"/>
  <c r="N1541" i="34"/>
  <c r="R1541" i="34"/>
  <c r="S1541" i="34"/>
  <c r="T1541" i="34"/>
  <c r="V1541" i="34"/>
  <c r="X1541" i="34"/>
  <c r="Y1541" i="34"/>
  <c r="N1542" i="34"/>
  <c r="R1542" i="34"/>
  <c r="S1542" i="34"/>
  <c r="T1542" i="34"/>
  <c r="V1542" i="34"/>
  <c r="X1542" i="34"/>
  <c r="Y1542" i="34"/>
  <c r="N1543" i="34"/>
  <c r="R1543" i="34"/>
  <c r="S1543" i="34"/>
  <c r="T1543" i="34"/>
  <c r="V1543" i="34"/>
  <c r="X1543" i="34"/>
  <c r="Y1543" i="34"/>
  <c r="N1544" i="34"/>
  <c r="R1544" i="34"/>
  <c r="S1544" i="34"/>
  <c r="T1544" i="34"/>
  <c r="V1544" i="34"/>
  <c r="X1544" i="34"/>
  <c r="Y1544" i="34"/>
  <c r="N1545" i="34"/>
  <c r="R1545" i="34"/>
  <c r="S1545" i="34"/>
  <c r="T1545" i="34"/>
  <c r="V1545" i="34"/>
  <c r="X1545" i="34"/>
  <c r="Y1545" i="34"/>
  <c r="N1546" i="34"/>
  <c r="R1546" i="34"/>
  <c r="S1546" i="34"/>
  <c r="T1546" i="34"/>
  <c r="V1546" i="34"/>
  <c r="X1546" i="34"/>
  <c r="Y1546" i="34"/>
  <c r="N1547" i="34"/>
  <c r="R1547" i="34"/>
  <c r="S1547" i="34"/>
  <c r="T1547" i="34"/>
  <c r="V1547" i="34"/>
  <c r="X1547" i="34"/>
  <c r="Y1547" i="34"/>
  <c r="N1548" i="34"/>
  <c r="R1548" i="34"/>
  <c r="S1548" i="34"/>
  <c r="T1548" i="34"/>
  <c r="V1548" i="34"/>
  <c r="X1548" i="34"/>
  <c r="Y1548" i="34"/>
  <c r="N1549" i="34"/>
  <c r="R1549" i="34"/>
  <c r="S1549" i="34"/>
  <c r="T1549" i="34"/>
  <c r="V1549" i="34"/>
  <c r="X1549" i="34"/>
  <c r="Y1549" i="34"/>
  <c r="N1550" i="34"/>
  <c r="R1550" i="34"/>
  <c r="S1550" i="34"/>
  <c r="T1550" i="34"/>
  <c r="V1550" i="34"/>
  <c r="X1550" i="34"/>
  <c r="Y1550" i="34"/>
  <c r="N1551" i="34"/>
  <c r="R1551" i="34"/>
  <c r="S1551" i="34"/>
  <c r="T1551" i="34"/>
  <c r="V1551" i="34"/>
  <c r="X1551" i="34"/>
  <c r="Y1551" i="34"/>
  <c r="N1552" i="34"/>
  <c r="R1552" i="34"/>
  <c r="S1552" i="34"/>
  <c r="T1552" i="34"/>
  <c r="V1552" i="34"/>
  <c r="X1552" i="34"/>
  <c r="Y1552" i="34"/>
  <c r="N1553" i="34"/>
  <c r="R1553" i="34"/>
  <c r="S1553" i="34"/>
  <c r="T1553" i="34"/>
  <c r="V1553" i="34"/>
  <c r="X1553" i="34"/>
  <c r="Y1553" i="34"/>
  <c r="N1554" i="34"/>
  <c r="R1554" i="34"/>
  <c r="S1554" i="34"/>
  <c r="T1554" i="34"/>
  <c r="V1554" i="34"/>
  <c r="X1554" i="34"/>
  <c r="Y1554" i="34"/>
  <c r="N1555" i="34"/>
  <c r="R1555" i="34"/>
  <c r="S1555" i="34"/>
  <c r="T1555" i="34"/>
  <c r="V1555" i="34"/>
  <c r="X1555" i="34"/>
  <c r="Y1555" i="34"/>
  <c r="N1556" i="34"/>
  <c r="R1556" i="34"/>
  <c r="S1556" i="34"/>
  <c r="T1556" i="34"/>
  <c r="V1556" i="34"/>
  <c r="X1556" i="34"/>
  <c r="Y1556" i="34"/>
  <c r="N1557" i="34"/>
  <c r="R1557" i="34"/>
  <c r="S1557" i="34"/>
  <c r="T1557" i="34"/>
  <c r="V1557" i="34"/>
  <c r="X1557" i="34"/>
  <c r="Y1557" i="34"/>
  <c r="N1558" i="34"/>
  <c r="R1558" i="34"/>
  <c r="S1558" i="34"/>
  <c r="T1558" i="34"/>
  <c r="V1558" i="34"/>
  <c r="X1558" i="34"/>
  <c r="Y1558" i="34"/>
  <c r="N1559" i="34"/>
  <c r="R1559" i="34"/>
  <c r="S1559" i="34"/>
  <c r="T1559" i="34"/>
  <c r="V1559" i="34"/>
  <c r="X1559" i="34"/>
  <c r="Y1559" i="34"/>
  <c r="N1560" i="34"/>
  <c r="R1560" i="34"/>
  <c r="S1560" i="34"/>
  <c r="T1560" i="34"/>
  <c r="V1560" i="34"/>
  <c r="X1560" i="34"/>
  <c r="Y1560" i="34"/>
  <c r="N1561" i="34"/>
  <c r="R1561" i="34"/>
  <c r="S1561" i="34"/>
  <c r="T1561" i="34"/>
  <c r="V1561" i="34"/>
  <c r="X1561" i="34"/>
  <c r="Y1561" i="34"/>
  <c r="N1562" i="34"/>
  <c r="R1562" i="34"/>
  <c r="S1562" i="34"/>
  <c r="T1562" i="34"/>
  <c r="V1562" i="34"/>
  <c r="X1562" i="34"/>
  <c r="Y1562" i="34"/>
  <c r="N1563" i="34"/>
  <c r="R1563" i="34"/>
  <c r="S1563" i="34"/>
  <c r="T1563" i="34"/>
  <c r="V1563" i="34"/>
  <c r="X1563" i="34"/>
  <c r="Y1563" i="34"/>
  <c r="N1564" i="34"/>
  <c r="R1564" i="34"/>
  <c r="S1564" i="34"/>
  <c r="T1564" i="34"/>
  <c r="V1564" i="34"/>
  <c r="X1564" i="34"/>
  <c r="Y1564" i="34"/>
  <c r="N1565" i="34"/>
  <c r="R1565" i="34"/>
  <c r="S1565" i="34"/>
  <c r="T1565" i="34"/>
  <c r="V1565" i="34"/>
  <c r="X1565" i="34"/>
  <c r="Y1565" i="34"/>
  <c r="N1566" i="34"/>
  <c r="R1566" i="34"/>
  <c r="S1566" i="34"/>
  <c r="T1566" i="34"/>
  <c r="V1566" i="34"/>
  <c r="X1566" i="34"/>
  <c r="Y1566" i="34"/>
  <c r="N1567" i="34"/>
  <c r="R1567" i="34"/>
  <c r="S1567" i="34"/>
  <c r="T1567" i="34"/>
  <c r="V1567" i="34"/>
  <c r="X1567" i="34"/>
  <c r="Y1567" i="34"/>
  <c r="N1568" i="34"/>
  <c r="R1568" i="34"/>
  <c r="S1568" i="34"/>
  <c r="T1568" i="34"/>
  <c r="V1568" i="34"/>
  <c r="X1568" i="34"/>
  <c r="Y1568" i="34"/>
  <c r="N1569" i="34"/>
  <c r="R1569" i="34"/>
  <c r="S1569" i="34"/>
  <c r="T1569" i="34"/>
  <c r="V1569" i="34"/>
  <c r="X1569" i="34"/>
  <c r="Y1569" i="34"/>
  <c r="N1570" i="34"/>
  <c r="R1570" i="34"/>
  <c r="S1570" i="34"/>
  <c r="T1570" i="34"/>
  <c r="V1570" i="34"/>
  <c r="X1570" i="34"/>
  <c r="Y1570" i="34"/>
  <c r="N1571" i="34"/>
  <c r="R1571" i="34"/>
  <c r="S1571" i="34"/>
  <c r="T1571" i="34"/>
  <c r="V1571" i="34"/>
  <c r="X1571" i="34"/>
  <c r="Y1571" i="34"/>
  <c r="N1572" i="34"/>
  <c r="R1572" i="34"/>
  <c r="S1572" i="34"/>
  <c r="T1572" i="34"/>
  <c r="V1572" i="34"/>
  <c r="X1572" i="34"/>
  <c r="Y1572" i="34"/>
  <c r="N1573" i="34"/>
  <c r="R1573" i="34"/>
  <c r="S1573" i="34"/>
  <c r="T1573" i="34"/>
  <c r="V1573" i="34"/>
  <c r="X1573" i="34"/>
  <c r="Y1573" i="34"/>
  <c r="N1574" i="34"/>
  <c r="R1574" i="34"/>
  <c r="S1574" i="34"/>
  <c r="T1574" i="34"/>
  <c r="V1574" i="34"/>
  <c r="X1574" i="34"/>
  <c r="Y1574" i="34"/>
  <c r="N1575" i="34"/>
  <c r="R1575" i="34"/>
  <c r="S1575" i="34"/>
  <c r="T1575" i="34"/>
  <c r="V1575" i="34"/>
  <c r="X1575" i="34"/>
  <c r="Y1575" i="34"/>
  <c r="N1576" i="34"/>
  <c r="R1576" i="34"/>
  <c r="S1576" i="34"/>
  <c r="T1576" i="34"/>
  <c r="V1576" i="34"/>
  <c r="X1576" i="34"/>
  <c r="Y1576" i="34"/>
  <c r="N1577" i="34"/>
  <c r="R1577" i="34"/>
  <c r="S1577" i="34"/>
  <c r="T1577" i="34"/>
  <c r="V1577" i="34"/>
  <c r="X1577" i="34"/>
  <c r="Y1577" i="34"/>
  <c r="N1578" i="34"/>
  <c r="R1578" i="34"/>
  <c r="S1578" i="34"/>
  <c r="T1578" i="34"/>
  <c r="V1578" i="34"/>
  <c r="X1578" i="34"/>
  <c r="Y1578" i="34"/>
  <c r="N1579" i="34"/>
  <c r="R1579" i="34"/>
  <c r="S1579" i="34"/>
  <c r="T1579" i="34"/>
  <c r="V1579" i="34"/>
  <c r="X1579" i="34"/>
  <c r="Y1579" i="34"/>
  <c r="N1580" i="34"/>
  <c r="R1580" i="34"/>
  <c r="S1580" i="34"/>
  <c r="T1580" i="34"/>
  <c r="V1580" i="34"/>
  <c r="X1580" i="34"/>
  <c r="Y1580" i="34"/>
  <c r="N1581" i="34"/>
  <c r="R1581" i="34"/>
  <c r="S1581" i="34"/>
  <c r="T1581" i="34"/>
  <c r="V1581" i="34"/>
  <c r="X1581" i="34"/>
  <c r="Y1581" i="34"/>
  <c r="N1582" i="34"/>
  <c r="R1582" i="34"/>
  <c r="S1582" i="34"/>
  <c r="T1582" i="34"/>
  <c r="V1582" i="34"/>
  <c r="X1582" i="34"/>
  <c r="Y1582" i="34"/>
  <c r="N1583" i="34"/>
  <c r="R1583" i="34"/>
  <c r="S1583" i="34"/>
  <c r="T1583" i="34"/>
  <c r="V1583" i="34"/>
  <c r="X1583" i="34"/>
  <c r="Y1583" i="34"/>
  <c r="N1584" i="34"/>
  <c r="R1584" i="34"/>
  <c r="S1584" i="34"/>
  <c r="T1584" i="34"/>
  <c r="V1584" i="34"/>
  <c r="X1584" i="34"/>
  <c r="Y1584" i="34"/>
  <c r="N1585" i="34"/>
  <c r="R1585" i="34"/>
  <c r="S1585" i="34"/>
  <c r="T1585" i="34"/>
  <c r="V1585" i="34"/>
  <c r="X1585" i="34"/>
  <c r="Y1585" i="34"/>
  <c r="N1586" i="34"/>
  <c r="R1586" i="34"/>
  <c r="S1586" i="34"/>
  <c r="T1586" i="34"/>
  <c r="V1586" i="34"/>
  <c r="X1586" i="34"/>
  <c r="Y1586" i="34"/>
  <c r="N1587" i="34"/>
  <c r="R1587" i="34"/>
  <c r="S1587" i="34"/>
  <c r="T1587" i="34"/>
  <c r="V1587" i="34"/>
  <c r="X1587" i="34"/>
  <c r="Y1587" i="34"/>
  <c r="N1588" i="34"/>
  <c r="R1588" i="34"/>
  <c r="S1588" i="34"/>
  <c r="T1588" i="34"/>
  <c r="V1588" i="34"/>
  <c r="X1588" i="34"/>
  <c r="Y1588" i="34"/>
  <c r="N1589" i="34"/>
  <c r="R1589" i="34"/>
  <c r="S1589" i="34"/>
  <c r="T1589" i="34"/>
  <c r="V1589" i="34"/>
  <c r="X1589" i="34"/>
  <c r="Y1589" i="34"/>
  <c r="N1590" i="34"/>
  <c r="R1590" i="34"/>
  <c r="S1590" i="34"/>
  <c r="T1590" i="34"/>
  <c r="V1590" i="34"/>
  <c r="X1590" i="34"/>
  <c r="Y1590" i="34"/>
  <c r="N1591" i="34"/>
  <c r="R1591" i="34"/>
  <c r="S1591" i="34"/>
  <c r="T1591" i="34"/>
  <c r="V1591" i="34"/>
  <c r="X1591" i="34"/>
  <c r="Y1591" i="34"/>
  <c r="N1592" i="34"/>
  <c r="R1592" i="34"/>
  <c r="S1592" i="34"/>
  <c r="T1592" i="34"/>
  <c r="V1592" i="34"/>
  <c r="X1592" i="34"/>
  <c r="Y1592" i="34"/>
  <c r="N1593" i="34"/>
  <c r="R1593" i="34"/>
  <c r="S1593" i="34"/>
  <c r="T1593" i="34"/>
  <c r="V1593" i="34"/>
  <c r="X1593" i="34"/>
  <c r="Y1593" i="34"/>
  <c r="N1594" i="34"/>
  <c r="R1594" i="34"/>
  <c r="S1594" i="34"/>
  <c r="T1594" i="34"/>
  <c r="V1594" i="34"/>
  <c r="X1594" i="34"/>
  <c r="Y1594" i="34"/>
  <c r="N1595" i="34"/>
  <c r="R1595" i="34"/>
  <c r="S1595" i="34"/>
  <c r="T1595" i="34"/>
  <c r="V1595" i="34"/>
  <c r="X1595" i="34"/>
  <c r="Y1595" i="34"/>
  <c r="N1596" i="34"/>
  <c r="R1596" i="34"/>
  <c r="S1596" i="34"/>
  <c r="T1596" i="34"/>
  <c r="V1596" i="34"/>
  <c r="X1596" i="34"/>
  <c r="Y1596" i="34"/>
  <c r="N1597" i="34"/>
  <c r="R1597" i="34"/>
  <c r="S1597" i="34"/>
  <c r="T1597" i="34"/>
  <c r="V1597" i="34"/>
  <c r="X1597" i="34"/>
  <c r="Y1597" i="34"/>
  <c r="N1598" i="34"/>
  <c r="R1598" i="34"/>
  <c r="S1598" i="34"/>
  <c r="T1598" i="34"/>
  <c r="V1598" i="34"/>
  <c r="X1598" i="34"/>
  <c r="Y1598" i="34"/>
  <c r="N1599" i="34"/>
  <c r="R1599" i="34"/>
  <c r="S1599" i="34"/>
  <c r="T1599" i="34"/>
  <c r="V1599" i="34"/>
  <c r="X1599" i="34"/>
  <c r="Y1599" i="34"/>
  <c r="N1600" i="34"/>
  <c r="R1600" i="34"/>
  <c r="S1600" i="34"/>
  <c r="T1600" i="34"/>
  <c r="V1600" i="34"/>
  <c r="X1600" i="34"/>
  <c r="Y1600" i="34"/>
  <c r="N1601" i="34"/>
  <c r="R1601" i="34"/>
  <c r="S1601" i="34"/>
  <c r="T1601" i="34"/>
  <c r="V1601" i="34"/>
  <c r="X1601" i="34"/>
  <c r="Y1601" i="34"/>
  <c r="N1602" i="34"/>
  <c r="R1602" i="34"/>
  <c r="S1602" i="34"/>
  <c r="T1602" i="34"/>
  <c r="V1602" i="34"/>
  <c r="X1602" i="34"/>
  <c r="Y1602" i="34"/>
  <c r="N1603" i="34"/>
  <c r="R1603" i="34"/>
  <c r="S1603" i="34"/>
  <c r="T1603" i="34"/>
  <c r="V1603" i="34"/>
  <c r="X1603" i="34"/>
  <c r="Y1603" i="34"/>
  <c r="N1604" i="34"/>
  <c r="R1604" i="34"/>
  <c r="S1604" i="34"/>
  <c r="T1604" i="34"/>
  <c r="V1604" i="34"/>
  <c r="X1604" i="34"/>
  <c r="Y1604" i="34"/>
  <c r="N1605" i="34"/>
  <c r="R1605" i="34"/>
  <c r="S1605" i="34"/>
  <c r="T1605" i="34"/>
  <c r="V1605" i="34"/>
  <c r="X1605" i="34"/>
  <c r="Y1605" i="34"/>
  <c r="N1606" i="34"/>
  <c r="R1606" i="34"/>
  <c r="S1606" i="34"/>
  <c r="T1606" i="34"/>
  <c r="V1606" i="34"/>
  <c r="X1606" i="34"/>
  <c r="Y1606" i="34"/>
  <c r="N1607" i="34"/>
  <c r="R1607" i="34"/>
  <c r="S1607" i="34"/>
  <c r="T1607" i="34"/>
  <c r="V1607" i="34"/>
  <c r="X1607" i="34"/>
  <c r="Y1607" i="34"/>
  <c r="N1608" i="34"/>
  <c r="R1608" i="34"/>
  <c r="S1608" i="34"/>
  <c r="T1608" i="34"/>
  <c r="V1608" i="34"/>
  <c r="X1608" i="34"/>
  <c r="Y1608" i="34"/>
  <c r="N1609" i="34"/>
  <c r="R1609" i="34"/>
  <c r="S1609" i="34"/>
  <c r="T1609" i="34"/>
  <c r="V1609" i="34"/>
  <c r="X1609" i="34"/>
  <c r="Y1609" i="34"/>
  <c r="N1610" i="34"/>
  <c r="R1610" i="34"/>
  <c r="S1610" i="34"/>
  <c r="T1610" i="34"/>
  <c r="V1610" i="34"/>
  <c r="X1610" i="34"/>
  <c r="Y1610" i="34"/>
  <c r="N1611" i="34"/>
  <c r="R1611" i="34"/>
  <c r="S1611" i="34"/>
  <c r="T1611" i="34"/>
  <c r="V1611" i="34"/>
  <c r="X1611" i="34"/>
  <c r="Y1611" i="34"/>
  <c r="N1612" i="34"/>
  <c r="R1612" i="34"/>
  <c r="S1612" i="34"/>
  <c r="T1612" i="34"/>
  <c r="V1612" i="34"/>
  <c r="X1612" i="34"/>
  <c r="Y1612" i="34"/>
  <c r="N1613" i="34"/>
  <c r="R1613" i="34"/>
  <c r="S1613" i="34"/>
  <c r="T1613" i="34"/>
  <c r="V1613" i="34"/>
  <c r="X1613" i="34"/>
  <c r="Y1613" i="34"/>
  <c r="N1614" i="34"/>
  <c r="R1614" i="34"/>
  <c r="S1614" i="34"/>
  <c r="T1614" i="34"/>
  <c r="V1614" i="34"/>
  <c r="X1614" i="34"/>
  <c r="Y1614" i="34"/>
  <c r="N1615" i="34"/>
  <c r="R1615" i="34"/>
  <c r="S1615" i="34"/>
  <c r="T1615" i="34"/>
  <c r="V1615" i="34"/>
  <c r="X1615" i="34"/>
  <c r="Y1615" i="34"/>
  <c r="N1616" i="34"/>
  <c r="R1616" i="34"/>
  <c r="S1616" i="34"/>
  <c r="T1616" i="34"/>
  <c r="V1616" i="34"/>
  <c r="X1616" i="34"/>
  <c r="Y1616" i="34"/>
  <c r="N1617" i="34"/>
  <c r="R1617" i="34"/>
  <c r="S1617" i="34"/>
  <c r="T1617" i="34"/>
  <c r="V1617" i="34"/>
  <c r="X1617" i="34"/>
  <c r="Y1617" i="34"/>
  <c r="N1618" i="34"/>
  <c r="R1618" i="34"/>
  <c r="S1618" i="34"/>
  <c r="T1618" i="34"/>
  <c r="V1618" i="34"/>
  <c r="X1618" i="34"/>
  <c r="Y1618" i="34"/>
  <c r="N1619" i="34"/>
  <c r="R1619" i="34"/>
  <c r="S1619" i="34"/>
  <c r="T1619" i="34"/>
  <c r="V1619" i="34"/>
  <c r="X1619" i="34"/>
  <c r="Y1619" i="34"/>
  <c r="N1620" i="34"/>
  <c r="R1620" i="34"/>
  <c r="S1620" i="34"/>
  <c r="T1620" i="34"/>
  <c r="V1620" i="34"/>
  <c r="X1620" i="34"/>
  <c r="Y1620" i="34"/>
  <c r="N1621" i="34"/>
  <c r="R1621" i="34"/>
  <c r="S1621" i="34"/>
  <c r="T1621" i="34"/>
  <c r="V1621" i="34"/>
  <c r="X1621" i="34"/>
  <c r="Y1621" i="34"/>
  <c r="N1622" i="34"/>
  <c r="R1622" i="34"/>
  <c r="S1622" i="34"/>
  <c r="T1622" i="34"/>
  <c r="V1622" i="34"/>
  <c r="X1622" i="34"/>
  <c r="Y1622" i="34"/>
  <c r="N1623" i="34"/>
  <c r="R1623" i="34"/>
  <c r="S1623" i="34"/>
  <c r="T1623" i="34"/>
  <c r="V1623" i="34"/>
  <c r="X1623" i="34"/>
  <c r="Y1623" i="34"/>
  <c r="N1624" i="34"/>
  <c r="R1624" i="34"/>
  <c r="S1624" i="34"/>
  <c r="T1624" i="34"/>
  <c r="V1624" i="34"/>
  <c r="X1624" i="34"/>
  <c r="Y1624" i="34"/>
  <c r="N1625" i="34"/>
  <c r="R1625" i="34"/>
  <c r="S1625" i="34"/>
  <c r="T1625" i="34"/>
  <c r="V1625" i="34"/>
  <c r="X1625" i="34"/>
  <c r="Y1625" i="34"/>
  <c r="N1626" i="34"/>
  <c r="R1626" i="34"/>
  <c r="S1626" i="34"/>
  <c r="T1626" i="34"/>
  <c r="V1626" i="34"/>
  <c r="X1626" i="34"/>
  <c r="Y1626" i="34"/>
  <c r="N1627" i="34"/>
  <c r="R1627" i="34"/>
  <c r="S1627" i="34"/>
  <c r="T1627" i="34"/>
  <c r="V1627" i="34"/>
  <c r="X1627" i="34"/>
  <c r="Y1627" i="34"/>
  <c r="N1628" i="34"/>
  <c r="R1628" i="34"/>
  <c r="S1628" i="34"/>
  <c r="T1628" i="34"/>
  <c r="V1628" i="34"/>
  <c r="X1628" i="34"/>
  <c r="Y1628" i="34"/>
  <c r="N1629" i="34"/>
  <c r="R1629" i="34"/>
  <c r="S1629" i="34"/>
  <c r="T1629" i="34"/>
  <c r="V1629" i="34"/>
  <c r="X1629" i="34"/>
  <c r="Y1629" i="34"/>
  <c r="N1630" i="34"/>
  <c r="R1630" i="34"/>
  <c r="S1630" i="34"/>
  <c r="T1630" i="34"/>
  <c r="V1630" i="34"/>
  <c r="X1630" i="34"/>
  <c r="Y1630" i="34"/>
  <c r="N1631" i="34"/>
  <c r="R1631" i="34"/>
  <c r="S1631" i="34"/>
  <c r="T1631" i="34"/>
  <c r="V1631" i="34"/>
  <c r="X1631" i="34"/>
  <c r="Y1631" i="34"/>
  <c r="N1632" i="34"/>
  <c r="R1632" i="34"/>
  <c r="S1632" i="34"/>
  <c r="T1632" i="34"/>
  <c r="V1632" i="34"/>
  <c r="X1632" i="34"/>
  <c r="Y1632" i="34"/>
  <c r="N1633" i="34"/>
  <c r="R1633" i="34"/>
  <c r="S1633" i="34"/>
  <c r="T1633" i="34"/>
  <c r="V1633" i="34"/>
  <c r="X1633" i="34"/>
  <c r="Y1633" i="34"/>
  <c r="N1634" i="34"/>
  <c r="R1634" i="34"/>
  <c r="S1634" i="34"/>
  <c r="T1634" i="34"/>
  <c r="V1634" i="34"/>
  <c r="X1634" i="34"/>
  <c r="Y1634" i="34"/>
  <c r="N1635" i="34"/>
  <c r="R1635" i="34"/>
  <c r="S1635" i="34"/>
  <c r="T1635" i="34"/>
  <c r="V1635" i="34"/>
  <c r="X1635" i="34"/>
  <c r="Y1635" i="34"/>
  <c r="N1636" i="34"/>
  <c r="R1636" i="34"/>
  <c r="S1636" i="34"/>
  <c r="T1636" i="34"/>
  <c r="V1636" i="34"/>
  <c r="X1636" i="34"/>
  <c r="Y1636" i="34"/>
  <c r="N1637" i="34"/>
  <c r="R1637" i="34"/>
  <c r="S1637" i="34"/>
  <c r="T1637" i="34"/>
  <c r="V1637" i="34"/>
  <c r="X1637" i="34"/>
  <c r="Y1637" i="34"/>
  <c r="N1638" i="34"/>
  <c r="R1638" i="34"/>
  <c r="S1638" i="34"/>
  <c r="T1638" i="34"/>
  <c r="V1638" i="34"/>
  <c r="X1638" i="34"/>
  <c r="Y1638" i="34"/>
  <c r="N1639" i="34"/>
  <c r="R1639" i="34"/>
  <c r="S1639" i="34"/>
  <c r="T1639" i="34"/>
  <c r="V1639" i="34"/>
  <c r="X1639" i="34"/>
  <c r="Y1639" i="34"/>
  <c r="N1640" i="34"/>
  <c r="R1640" i="34"/>
  <c r="S1640" i="34"/>
  <c r="T1640" i="34"/>
  <c r="V1640" i="34"/>
  <c r="X1640" i="34"/>
  <c r="Y1640" i="34"/>
  <c r="N1641" i="34"/>
  <c r="R1641" i="34"/>
  <c r="S1641" i="34"/>
  <c r="T1641" i="34"/>
  <c r="V1641" i="34"/>
  <c r="X1641" i="34"/>
  <c r="Y1641" i="34"/>
  <c r="N1642" i="34"/>
  <c r="R1642" i="34"/>
  <c r="S1642" i="34"/>
  <c r="T1642" i="34"/>
  <c r="V1642" i="34"/>
  <c r="X1642" i="34"/>
  <c r="Y1642" i="34"/>
  <c r="N1643" i="34"/>
  <c r="R1643" i="34"/>
  <c r="S1643" i="34"/>
  <c r="T1643" i="34"/>
  <c r="V1643" i="34"/>
  <c r="X1643" i="34"/>
  <c r="Y1643" i="34"/>
  <c r="N1644" i="34"/>
  <c r="R1644" i="34"/>
  <c r="S1644" i="34"/>
  <c r="T1644" i="34"/>
  <c r="V1644" i="34"/>
  <c r="X1644" i="34"/>
  <c r="Y1644" i="34"/>
  <c r="N1645" i="34"/>
  <c r="R1645" i="34"/>
  <c r="S1645" i="34"/>
  <c r="T1645" i="34"/>
  <c r="V1645" i="34"/>
  <c r="X1645" i="34"/>
  <c r="Y1645" i="34"/>
  <c r="N1646" i="34"/>
  <c r="R1646" i="34"/>
  <c r="S1646" i="34"/>
  <c r="T1646" i="34"/>
  <c r="V1646" i="34"/>
  <c r="X1646" i="34"/>
  <c r="Y1646" i="34"/>
  <c r="N1647" i="34"/>
  <c r="R1647" i="34"/>
  <c r="S1647" i="34"/>
  <c r="T1647" i="34"/>
  <c r="V1647" i="34"/>
  <c r="X1647" i="34"/>
  <c r="Y1647" i="34"/>
  <c r="N1648" i="34"/>
  <c r="R1648" i="34"/>
  <c r="S1648" i="34"/>
  <c r="T1648" i="34"/>
  <c r="V1648" i="34"/>
  <c r="X1648" i="34"/>
  <c r="Y1648" i="34"/>
  <c r="N1649" i="34"/>
  <c r="R1649" i="34"/>
  <c r="S1649" i="34"/>
  <c r="T1649" i="34"/>
  <c r="V1649" i="34"/>
  <c r="X1649" i="34"/>
  <c r="Y1649" i="34"/>
  <c r="N1650" i="34"/>
  <c r="R1650" i="34"/>
  <c r="S1650" i="34"/>
  <c r="T1650" i="34"/>
  <c r="V1650" i="34"/>
  <c r="X1650" i="34"/>
  <c r="Y1650" i="34"/>
  <c r="N1651" i="34"/>
  <c r="R1651" i="34"/>
  <c r="S1651" i="34"/>
  <c r="T1651" i="34"/>
  <c r="V1651" i="34"/>
  <c r="X1651" i="34"/>
  <c r="Y1651" i="34"/>
  <c r="N1652" i="34"/>
  <c r="R1652" i="34"/>
  <c r="S1652" i="34"/>
  <c r="T1652" i="34"/>
  <c r="V1652" i="34"/>
  <c r="X1652" i="34"/>
  <c r="Y1652" i="34"/>
  <c r="N1653" i="34"/>
  <c r="R1653" i="34"/>
  <c r="S1653" i="34"/>
  <c r="T1653" i="34"/>
  <c r="V1653" i="34"/>
  <c r="X1653" i="34"/>
  <c r="Y1653" i="34"/>
  <c r="N1654" i="34"/>
  <c r="R1654" i="34"/>
  <c r="S1654" i="34"/>
  <c r="T1654" i="34"/>
  <c r="V1654" i="34"/>
  <c r="X1654" i="34"/>
  <c r="Y1654" i="34"/>
  <c r="N1655" i="34"/>
  <c r="R1655" i="34"/>
  <c r="S1655" i="34"/>
  <c r="T1655" i="34"/>
  <c r="V1655" i="34"/>
  <c r="X1655" i="34"/>
  <c r="Y1655" i="34"/>
  <c r="N1656" i="34"/>
  <c r="R1656" i="34"/>
  <c r="S1656" i="34"/>
  <c r="T1656" i="34"/>
  <c r="V1656" i="34"/>
  <c r="X1656" i="34"/>
  <c r="Y1656" i="34"/>
  <c r="N1657" i="34"/>
  <c r="R1657" i="34"/>
  <c r="S1657" i="34"/>
  <c r="T1657" i="34"/>
  <c r="V1657" i="34"/>
  <c r="X1657" i="34"/>
  <c r="Y1657" i="34"/>
  <c r="N1658" i="34"/>
  <c r="R1658" i="34"/>
  <c r="S1658" i="34"/>
  <c r="T1658" i="34"/>
  <c r="V1658" i="34"/>
  <c r="X1658" i="34"/>
  <c r="Y1658" i="34"/>
  <c r="N1659" i="34"/>
  <c r="R1659" i="34"/>
  <c r="S1659" i="34"/>
  <c r="T1659" i="34"/>
  <c r="V1659" i="34"/>
  <c r="X1659" i="34"/>
  <c r="Y1659" i="34"/>
  <c r="N1660" i="34"/>
  <c r="R1660" i="34"/>
  <c r="S1660" i="34"/>
  <c r="T1660" i="34"/>
  <c r="V1660" i="34"/>
  <c r="X1660" i="34"/>
  <c r="Y1660" i="34"/>
  <c r="N1661" i="34"/>
  <c r="R1661" i="34"/>
  <c r="S1661" i="34"/>
  <c r="T1661" i="34"/>
  <c r="V1661" i="34"/>
  <c r="X1661" i="34"/>
  <c r="Y1661" i="34"/>
  <c r="N1662" i="34"/>
  <c r="R1662" i="34"/>
  <c r="S1662" i="34"/>
  <c r="T1662" i="34"/>
  <c r="V1662" i="34"/>
  <c r="X1662" i="34"/>
  <c r="Y1662" i="34"/>
  <c r="N1663" i="34"/>
  <c r="R1663" i="34"/>
  <c r="S1663" i="34"/>
  <c r="T1663" i="34"/>
  <c r="V1663" i="34"/>
  <c r="X1663" i="34"/>
  <c r="Y1663" i="34"/>
  <c r="N1664" i="34"/>
  <c r="R1664" i="34"/>
  <c r="S1664" i="34"/>
  <c r="T1664" i="34"/>
  <c r="V1664" i="34"/>
  <c r="X1664" i="34"/>
  <c r="Y1664" i="34"/>
  <c r="N1665" i="34"/>
  <c r="R1665" i="34"/>
  <c r="S1665" i="34"/>
  <c r="T1665" i="34"/>
  <c r="V1665" i="34"/>
  <c r="X1665" i="34"/>
  <c r="Y1665" i="34"/>
  <c r="N1666" i="34"/>
  <c r="R1666" i="34"/>
  <c r="S1666" i="34"/>
  <c r="T1666" i="34"/>
  <c r="V1666" i="34"/>
  <c r="X1666" i="34"/>
  <c r="Y1666" i="34"/>
  <c r="N1667" i="34"/>
  <c r="R1667" i="34"/>
  <c r="S1667" i="34"/>
  <c r="T1667" i="34"/>
  <c r="V1667" i="34"/>
  <c r="X1667" i="34"/>
  <c r="Y1667" i="34"/>
  <c r="N1668" i="34"/>
  <c r="R1668" i="34"/>
  <c r="S1668" i="34"/>
  <c r="T1668" i="34"/>
  <c r="V1668" i="34"/>
  <c r="X1668" i="34"/>
  <c r="Y1668" i="34"/>
  <c r="N1669" i="34"/>
  <c r="R1669" i="34"/>
  <c r="S1669" i="34"/>
  <c r="T1669" i="34"/>
  <c r="V1669" i="34"/>
  <c r="X1669" i="34"/>
  <c r="Y1669" i="34"/>
  <c r="N1670" i="34"/>
  <c r="R1670" i="34"/>
  <c r="S1670" i="34"/>
  <c r="T1670" i="34"/>
  <c r="V1670" i="34"/>
  <c r="X1670" i="34"/>
  <c r="Y1670" i="34"/>
  <c r="N1671" i="34"/>
  <c r="R1671" i="34"/>
  <c r="S1671" i="34"/>
  <c r="T1671" i="34"/>
  <c r="V1671" i="34"/>
  <c r="X1671" i="34"/>
  <c r="Y1671" i="34"/>
  <c r="N1672" i="34"/>
  <c r="R1672" i="34"/>
  <c r="S1672" i="34"/>
  <c r="T1672" i="34"/>
  <c r="V1672" i="34"/>
  <c r="X1672" i="34"/>
  <c r="Y1672" i="34"/>
  <c r="N1673" i="34"/>
  <c r="R1673" i="34"/>
  <c r="S1673" i="34"/>
  <c r="T1673" i="34"/>
  <c r="V1673" i="34"/>
  <c r="X1673" i="34"/>
  <c r="Y1673" i="34"/>
  <c r="N1674" i="34"/>
  <c r="R1674" i="34"/>
  <c r="S1674" i="34"/>
  <c r="T1674" i="34"/>
  <c r="V1674" i="34"/>
  <c r="X1674" i="34"/>
  <c r="Y1674" i="34"/>
  <c r="N1675" i="34"/>
  <c r="R1675" i="34"/>
  <c r="S1675" i="34"/>
  <c r="T1675" i="34"/>
  <c r="V1675" i="34"/>
  <c r="X1675" i="34"/>
  <c r="Y1675" i="34"/>
  <c r="N1676" i="34"/>
  <c r="R1676" i="34"/>
  <c r="S1676" i="34"/>
  <c r="T1676" i="34"/>
  <c r="V1676" i="34"/>
  <c r="X1676" i="34"/>
  <c r="Y1676" i="34"/>
  <c r="N1677" i="34"/>
  <c r="R1677" i="34"/>
  <c r="S1677" i="34"/>
  <c r="T1677" i="34"/>
  <c r="V1677" i="34"/>
  <c r="X1677" i="34"/>
  <c r="Y1677" i="34"/>
  <c r="N1678" i="34"/>
  <c r="R1678" i="34"/>
  <c r="S1678" i="34"/>
  <c r="T1678" i="34"/>
  <c r="V1678" i="34"/>
  <c r="X1678" i="34"/>
  <c r="Y1678" i="34"/>
  <c r="N1679" i="34"/>
  <c r="R1679" i="34"/>
  <c r="S1679" i="34"/>
  <c r="T1679" i="34"/>
  <c r="V1679" i="34"/>
  <c r="X1679" i="34"/>
  <c r="Y1679" i="34"/>
  <c r="N1680" i="34"/>
  <c r="R1680" i="34"/>
  <c r="S1680" i="34"/>
  <c r="T1680" i="34"/>
  <c r="V1680" i="34"/>
  <c r="X1680" i="34"/>
  <c r="Y1680" i="34"/>
  <c r="N1681" i="34"/>
  <c r="R1681" i="34"/>
  <c r="S1681" i="34"/>
  <c r="T1681" i="34"/>
  <c r="V1681" i="34"/>
  <c r="X1681" i="34"/>
  <c r="Y1681" i="34"/>
  <c r="N1682" i="34"/>
  <c r="R1682" i="34"/>
  <c r="S1682" i="34"/>
  <c r="T1682" i="34"/>
  <c r="V1682" i="34"/>
  <c r="X1682" i="34"/>
  <c r="Y1682" i="34"/>
  <c r="N1683" i="34"/>
  <c r="R1683" i="34"/>
  <c r="S1683" i="34"/>
  <c r="T1683" i="34"/>
  <c r="V1683" i="34"/>
  <c r="X1683" i="34"/>
  <c r="Y1683" i="34"/>
  <c r="N1684" i="34"/>
  <c r="R1684" i="34"/>
  <c r="S1684" i="34"/>
  <c r="T1684" i="34"/>
  <c r="V1684" i="34"/>
  <c r="X1684" i="34"/>
  <c r="Y1684" i="34"/>
  <c r="N1685" i="34"/>
  <c r="R1685" i="34"/>
  <c r="S1685" i="34"/>
  <c r="T1685" i="34"/>
  <c r="V1685" i="34"/>
  <c r="X1685" i="34"/>
  <c r="Y1685" i="34"/>
  <c r="N1686" i="34"/>
  <c r="R1686" i="34"/>
  <c r="S1686" i="34"/>
  <c r="T1686" i="34"/>
  <c r="V1686" i="34"/>
  <c r="X1686" i="34"/>
  <c r="Y1686" i="34"/>
  <c r="N1687" i="34"/>
  <c r="R1687" i="34"/>
  <c r="S1687" i="34"/>
  <c r="T1687" i="34"/>
  <c r="V1687" i="34"/>
  <c r="X1687" i="34"/>
  <c r="Y1687" i="34"/>
  <c r="N1688" i="34"/>
  <c r="R1688" i="34"/>
  <c r="S1688" i="34"/>
  <c r="T1688" i="34"/>
  <c r="V1688" i="34"/>
  <c r="X1688" i="34"/>
  <c r="Y1688" i="34"/>
  <c r="N1689" i="34"/>
  <c r="R1689" i="34"/>
  <c r="S1689" i="34"/>
  <c r="T1689" i="34"/>
  <c r="V1689" i="34"/>
  <c r="X1689" i="34"/>
  <c r="Y1689" i="34"/>
  <c r="N1690" i="34"/>
  <c r="R1690" i="34"/>
  <c r="S1690" i="34"/>
  <c r="T1690" i="34"/>
  <c r="V1690" i="34"/>
  <c r="X1690" i="34"/>
  <c r="Y1690" i="34"/>
  <c r="N1691" i="34"/>
  <c r="R1691" i="34"/>
  <c r="S1691" i="34"/>
  <c r="T1691" i="34"/>
  <c r="V1691" i="34"/>
  <c r="X1691" i="34"/>
  <c r="Y1691" i="34"/>
  <c r="N1692" i="34"/>
  <c r="R1692" i="34"/>
  <c r="S1692" i="34"/>
  <c r="T1692" i="34"/>
  <c r="V1692" i="34"/>
  <c r="X1692" i="34"/>
  <c r="Y1692" i="34"/>
  <c r="N1693" i="34"/>
  <c r="R1693" i="34"/>
  <c r="S1693" i="34"/>
  <c r="T1693" i="34"/>
  <c r="V1693" i="34"/>
  <c r="X1693" i="34"/>
  <c r="Y1693" i="34"/>
  <c r="N1694" i="34"/>
  <c r="R1694" i="34"/>
  <c r="S1694" i="34"/>
  <c r="T1694" i="34"/>
  <c r="V1694" i="34"/>
  <c r="X1694" i="34"/>
  <c r="Y1694" i="34"/>
  <c r="N1695" i="34"/>
  <c r="R1695" i="34"/>
  <c r="S1695" i="34"/>
  <c r="T1695" i="34"/>
  <c r="V1695" i="34"/>
  <c r="X1695" i="34"/>
  <c r="Y1695" i="34"/>
  <c r="N1696" i="34"/>
  <c r="R1696" i="34"/>
  <c r="S1696" i="34"/>
  <c r="T1696" i="34"/>
  <c r="V1696" i="34"/>
  <c r="X1696" i="34"/>
  <c r="Y1696" i="34"/>
  <c r="N1697" i="34"/>
  <c r="R1697" i="34"/>
  <c r="S1697" i="34"/>
  <c r="T1697" i="34"/>
  <c r="V1697" i="34"/>
  <c r="X1697" i="34"/>
  <c r="Y1697" i="34"/>
  <c r="N1698" i="34"/>
  <c r="R1698" i="34"/>
  <c r="S1698" i="34"/>
  <c r="T1698" i="34"/>
  <c r="V1698" i="34"/>
  <c r="X1698" i="34"/>
  <c r="Y1698" i="34"/>
  <c r="N1699" i="34"/>
  <c r="R1699" i="34"/>
  <c r="S1699" i="34"/>
  <c r="T1699" i="34"/>
  <c r="V1699" i="34"/>
  <c r="X1699" i="34"/>
  <c r="Y1699" i="34"/>
  <c r="N1700" i="34"/>
  <c r="R1700" i="34"/>
  <c r="S1700" i="34"/>
  <c r="T1700" i="34"/>
  <c r="V1700" i="34"/>
  <c r="X1700" i="34"/>
  <c r="Y1700" i="34"/>
  <c r="N1701" i="34"/>
  <c r="R1701" i="34"/>
  <c r="S1701" i="34"/>
  <c r="T1701" i="34"/>
  <c r="V1701" i="34"/>
  <c r="X1701" i="34"/>
  <c r="Y1701" i="34"/>
  <c r="N1702" i="34"/>
  <c r="R1702" i="34"/>
  <c r="S1702" i="34"/>
  <c r="T1702" i="34"/>
  <c r="V1702" i="34"/>
  <c r="X1702" i="34"/>
  <c r="Y1702" i="34"/>
  <c r="N1703" i="34"/>
  <c r="R1703" i="34"/>
  <c r="S1703" i="34"/>
  <c r="T1703" i="34"/>
  <c r="V1703" i="34"/>
  <c r="X1703" i="34"/>
  <c r="Y1703" i="34"/>
  <c r="N1704" i="34"/>
  <c r="R1704" i="34"/>
  <c r="S1704" i="34"/>
  <c r="T1704" i="34"/>
  <c r="V1704" i="34"/>
  <c r="X1704" i="34"/>
  <c r="Y1704" i="34"/>
  <c r="N1705" i="34"/>
  <c r="R1705" i="34"/>
  <c r="S1705" i="34"/>
  <c r="T1705" i="34"/>
  <c r="V1705" i="34"/>
  <c r="X1705" i="34"/>
  <c r="Y1705" i="34"/>
  <c r="N1706" i="34"/>
  <c r="R1706" i="34"/>
  <c r="S1706" i="34"/>
  <c r="T1706" i="34"/>
  <c r="V1706" i="34"/>
  <c r="X1706" i="34"/>
  <c r="Y1706" i="34"/>
  <c r="N1707" i="34"/>
  <c r="R1707" i="34"/>
  <c r="S1707" i="34"/>
  <c r="T1707" i="34"/>
  <c r="V1707" i="34"/>
  <c r="X1707" i="34"/>
  <c r="Y1707" i="34"/>
  <c r="N1708" i="34"/>
  <c r="R1708" i="34"/>
  <c r="S1708" i="34"/>
  <c r="T1708" i="34"/>
  <c r="V1708" i="34"/>
  <c r="X1708" i="34"/>
  <c r="Y1708" i="34"/>
  <c r="N1709" i="34"/>
  <c r="R1709" i="34"/>
  <c r="S1709" i="34"/>
  <c r="T1709" i="34"/>
  <c r="V1709" i="34"/>
  <c r="X1709" i="34"/>
  <c r="Y1709" i="34"/>
  <c r="N1710" i="34"/>
  <c r="R1710" i="34"/>
  <c r="S1710" i="34"/>
  <c r="T1710" i="34"/>
  <c r="V1710" i="34"/>
  <c r="X1710" i="34"/>
  <c r="Y1710" i="34"/>
  <c r="N1711" i="34"/>
  <c r="R1711" i="34"/>
  <c r="S1711" i="34"/>
  <c r="T1711" i="34"/>
  <c r="V1711" i="34"/>
  <c r="X1711" i="34"/>
  <c r="Y1711" i="34"/>
  <c r="N1712" i="34"/>
  <c r="R1712" i="34"/>
  <c r="S1712" i="34"/>
  <c r="T1712" i="34"/>
  <c r="V1712" i="34"/>
  <c r="X1712" i="34"/>
  <c r="Y1712" i="34"/>
  <c r="N1713" i="34"/>
  <c r="R1713" i="34"/>
  <c r="S1713" i="34"/>
  <c r="T1713" i="34"/>
  <c r="V1713" i="34"/>
  <c r="X1713" i="34"/>
  <c r="Y1713" i="34"/>
  <c r="N1714" i="34"/>
  <c r="R1714" i="34"/>
  <c r="S1714" i="34"/>
  <c r="T1714" i="34"/>
  <c r="V1714" i="34"/>
  <c r="X1714" i="34"/>
  <c r="Y1714" i="34"/>
  <c r="N1715" i="34"/>
  <c r="R1715" i="34"/>
  <c r="S1715" i="34"/>
  <c r="T1715" i="34"/>
  <c r="V1715" i="34"/>
  <c r="X1715" i="34"/>
  <c r="Y1715" i="34"/>
  <c r="N1716" i="34"/>
  <c r="R1716" i="34"/>
  <c r="S1716" i="34"/>
  <c r="T1716" i="34"/>
  <c r="V1716" i="34"/>
  <c r="X1716" i="34"/>
  <c r="Y1716" i="34"/>
  <c r="N1717" i="34"/>
  <c r="R1717" i="34"/>
  <c r="S1717" i="34"/>
  <c r="T1717" i="34"/>
  <c r="V1717" i="34"/>
  <c r="X1717" i="34"/>
  <c r="Y1717" i="34"/>
  <c r="N1718" i="34"/>
  <c r="R1718" i="34"/>
  <c r="S1718" i="34"/>
  <c r="T1718" i="34"/>
  <c r="V1718" i="34"/>
  <c r="X1718" i="34"/>
  <c r="Y1718" i="34"/>
  <c r="N1719" i="34"/>
  <c r="R1719" i="34"/>
  <c r="S1719" i="34"/>
  <c r="T1719" i="34"/>
  <c r="V1719" i="34"/>
  <c r="X1719" i="34"/>
  <c r="Y1719" i="34"/>
  <c r="N1720" i="34"/>
  <c r="R1720" i="34"/>
  <c r="S1720" i="34"/>
  <c r="T1720" i="34"/>
  <c r="V1720" i="34"/>
  <c r="X1720" i="34"/>
  <c r="Y1720" i="34"/>
  <c r="N1721" i="34"/>
  <c r="R1721" i="34"/>
  <c r="S1721" i="34"/>
  <c r="T1721" i="34"/>
  <c r="V1721" i="34"/>
  <c r="X1721" i="34"/>
  <c r="Y1721" i="34"/>
  <c r="N1722" i="34"/>
  <c r="R1722" i="34"/>
  <c r="S1722" i="34"/>
  <c r="T1722" i="34"/>
  <c r="V1722" i="34"/>
  <c r="X1722" i="34"/>
  <c r="Y1722" i="34"/>
  <c r="N1723" i="34"/>
  <c r="R1723" i="34"/>
  <c r="S1723" i="34"/>
  <c r="T1723" i="34"/>
  <c r="V1723" i="34"/>
  <c r="X1723" i="34"/>
  <c r="Y1723" i="34"/>
  <c r="N1724" i="34"/>
  <c r="R1724" i="34"/>
  <c r="S1724" i="34"/>
  <c r="T1724" i="34"/>
  <c r="V1724" i="34"/>
  <c r="X1724" i="34"/>
  <c r="Y1724" i="34"/>
  <c r="N1725" i="34"/>
  <c r="R1725" i="34"/>
  <c r="S1725" i="34"/>
  <c r="T1725" i="34"/>
  <c r="V1725" i="34"/>
  <c r="X1725" i="34"/>
  <c r="Y1725" i="34"/>
  <c r="N1726" i="34"/>
  <c r="R1726" i="34"/>
  <c r="S1726" i="34"/>
  <c r="T1726" i="34"/>
  <c r="V1726" i="34"/>
  <c r="X1726" i="34"/>
  <c r="Y1726" i="34"/>
  <c r="N1727" i="34"/>
  <c r="R1727" i="34"/>
  <c r="S1727" i="34"/>
  <c r="T1727" i="34"/>
  <c r="V1727" i="34"/>
  <c r="X1727" i="34"/>
  <c r="Y1727" i="34"/>
  <c r="N1728" i="34"/>
  <c r="R1728" i="34"/>
  <c r="S1728" i="34"/>
  <c r="T1728" i="34"/>
  <c r="V1728" i="34"/>
  <c r="X1728" i="34"/>
  <c r="Y1728" i="34"/>
  <c r="N1729" i="34"/>
  <c r="R1729" i="34"/>
  <c r="S1729" i="34"/>
  <c r="T1729" i="34"/>
  <c r="V1729" i="34"/>
  <c r="X1729" i="34"/>
  <c r="Y1729" i="34"/>
  <c r="N1730" i="34"/>
  <c r="R1730" i="34"/>
  <c r="S1730" i="34"/>
  <c r="T1730" i="34"/>
  <c r="V1730" i="34"/>
  <c r="X1730" i="34"/>
  <c r="Y1730" i="34"/>
  <c r="N1731" i="34"/>
  <c r="R1731" i="34"/>
  <c r="S1731" i="34"/>
  <c r="T1731" i="34"/>
  <c r="V1731" i="34"/>
  <c r="X1731" i="34"/>
  <c r="Y1731" i="34"/>
  <c r="N1732" i="34"/>
  <c r="R1732" i="34"/>
  <c r="S1732" i="34"/>
  <c r="T1732" i="34"/>
  <c r="V1732" i="34"/>
  <c r="X1732" i="34"/>
  <c r="Y1732" i="34"/>
  <c r="N1733" i="34"/>
  <c r="R1733" i="34"/>
  <c r="S1733" i="34"/>
  <c r="T1733" i="34"/>
  <c r="V1733" i="34"/>
  <c r="X1733" i="34"/>
  <c r="Y1733" i="34"/>
  <c r="N1734" i="34"/>
  <c r="R1734" i="34"/>
  <c r="S1734" i="34"/>
  <c r="T1734" i="34"/>
  <c r="V1734" i="34"/>
  <c r="X1734" i="34"/>
  <c r="Y1734" i="34"/>
  <c r="N1735" i="34"/>
  <c r="R1735" i="34"/>
  <c r="S1735" i="34"/>
  <c r="T1735" i="34"/>
  <c r="V1735" i="34"/>
  <c r="X1735" i="34"/>
  <c r="Y1735" i="34"/>
  <c r="N1736" i="34"/>
  <c r="R1736" i="34"/>
  <c r="S1736" i="34"/>
  <c r="T1736" i="34"/>
  <c r="V1736" i="34"/>
  <c r="X1736" i="34"/>
  <c r="Y1736" i="34"/>
  <c r="N1737" i="34"/>
  <c r="R1737" i="34"/>
  <c r="S1737" i="34"/>
  <c r="T1737" i="34"/>
  <c r="V1737" i="34"/>
  <c r="X1737" i="34"/>
  <c r="Y1737" i="34"/>
  <c r="N1738" i="34"/>
  <c r="R1738" i="34"/>
  <c r="S1738" i="34"/>
  <c r="T1738" i="34"/>
  <c r="V1738" i="34"/>
  <c r="X1738" i="34"/>
  <c r="Y1738" i="34"/>
  <c r="N1739" i="34"/>
  <c r="R1739" i="34"/>
  <c r="S1739" i="34"/>
  <c r="T1739" i="34"/>
  <c r="V1739" i="34"/>
  <c r="X1739" i="34"/>
  <c r="Y1739" i="34"/>
  <c r="N1740" i="34"/>
  <c r="R1740" i="34"/>
  <c r="S1740" i="34"/>
  <c r="T1740" i="34"/>
  <c r="V1740" i="34"/>
  <c r="X1740" i="34"/>
  <c r="Y1740" i="34"/>
  <c r="N1741" i="34"/>
  <c r="R1741" i="34"/>
  <c r="S1741" i="34"/>
  <c r="T1741" i="34"/>
  <c r="V1741" i="34"/>
  <c r="X1741" i="34"/>
  <c r="Y1741" i="34"/>
  <c r="N1742" i="34"/>
  <c r="R1742" i="34"/>
  <c r="S1742" i="34"/>
  <c r="T1742" i="34"/>
  <c r="V1742" i="34"/>
  <c r="X1742" i="34"/>
  <c r="Y1742" i="34"/>
  <c r="N1743" i="34"/>
  <c r="R1743" i="34"/>
  <c r="S1743" i="34"/>
  <c r="T1743" i="34"/>
  <c r="V1743" i="34"/>
  <c r="X1743" i="34"/>
  <c r="Y1743" i="34"/>
  <c r="N1744" i="34"/>
  <c r="R1744" i="34"/>
  <c r="S1744" i="34"/>
  <c r="T1744" i="34"/>
  <c r="V1744" i="34"/>
  <c r="X1744" i="34"/>
  <c r="Y1744" i="34"/>
  <c r="N1745" i="34"/>
  <c r="R1745" i="34"/>
  <c r="S1745" i="34"/>
  <c r="T1745" i="34"/>
  <c r="V1745" i="34"/>
  <c r="X1745" i="34"/>
  <c r="Y1745" i="34"/>
  <c r="N1746" i="34"/>
  <c r="R1746" i="34"/>
  <c r="S1746" i="34"/>
  <c r="T1746" i="34"/>
  <c r="V1746" i="34"/>
  <c r="X1746" i="34"/>
  <c r="Y1746" i="34"/>
  <c r="N1747" i="34"/>
  <c r="R1747" i="34"/>
  <c r="S1747" i="34"/>
  <c r="T1747" i="34"/>
  <c r="V1747" i="34"/>
  <c r="X1747" i="34"/>
  <c r="Y1747" i="34"/>
  <c r="N1748" i="34"/>
  <c r="R1748" i="34"/>
  <c r="S1748" i="34"/>
  <c r="T1748" i="34"/>
  <c r="V1748" i="34"/>
  <c r="X1748" i="34"/>
  <c r="Y1748" i="34"/>
  <c r="N1749" i="34"/>
  <c r="R1749" i="34"/>
  <c r="S1749" i="34"/>
  <c r="T1749" i="34"/>
  <c r="V1749" i="34"/>
  <c r="X1749" i="34"/>
  <c r="Y1749" i="34"/>
  <c r="N1750" i="34"/>
  <c r="R1750" i="34"/>
  <c r="S1750" i="34"/>
  <c r="T1750" i="34"/>
  <c r="V1750" i="34"/>
  <c r="X1750" i="34"/>
  <c r="Y1750" i="34"/>
  <c r="N1751" i="34"/>
  <c r="R1751" i="34"/>
  <c r="S1751" i="34"/>
  <c r="T1751" i="34"/>
  <c r="V1751" i="34"/>
  <c r="X1751" i="34"/>
  <c r="Y1751" i="34"/>
  <c r="N1752" i="34"/>
  <c r="R1752" i="34"/>
  <c r="S1752" i="34"/>
  <c r="T1752" i="34"/>
  <c r="V1752" i="34"/>
  <c r="X1752" i="34"/>
  <c r="Y1752" i="34"/>
  <c r="N1753" i="34"/>
  <c r="R1753" i="34"/>
  <c r="S1753" i="34"/>
  <c r="T1753" i="34"/>
  <c r="V1753" i="34"/>
  <c r="X1753" i="34"/>
  <c r="Y1753" i="34"/>
  <c r="N1754" i="34"/>
  <c r="R1754" i="34"/>
  <c r="S1754" i="34"/>
  <c r="T1754" i="34"/>
  <c r="V1754" i="34"/>
  <c r="X1754" i="34"/>
  <c r="Y1754" i="34"/>
  <c r="N1755" i="34"/>
  <c r="R1755" i="34"/>
  <c r="S1755" i="34"/>
  <c r="T1755" i="34"/>
  <c r="V1755" i="34"/>
  <c r="X1755" i="34"/>
  <c r="Y1755" i="34"/>
  <c r="N1756" i="34"/>
  <c r="R1756" i="34"/>
  <c r="S1756" i="34"/>
  <c r="T1756" i="34"/>
  <c r="V1756" i="34"/>
  <c r="X1756" i="34"/>
  <c r="Y1756" i="34"/>
  <c r="N1757" i="34"/>
  <c r="R1757" i="34"/>
  <c r="S1757" i="34"/>
  <c r="T1757" i="34"/>
  <c r="V1757" i="34"/>
  <c r="X1757" i="34"/>
  <c r="Y1757" i="34"/>
  <c r="N1758" i="34"/>
  <c r="R1758" i="34"/>
  <c r="S1758" i="34"/>
  <c r="T1758" i="34"/>
  <c r="V1758" i="34"/>
  <c r="X1758" i="34"/>
  <c r="Y1758" i="34"/>
  <c r="N1759" i="34"/>
  <c r="R1759" i="34"/>
  <c r="S1759" i="34"/>
  <c r="T1759" i="34"/>
  <c r="V1759" i="34"/>
  <c r="X1759" i="34"/>
  <c r="Y1759" i="34"/>
  <c r="N1760" i="34"/>
  <c r="R1760" i="34"/>
  <c r="S1760" i="34"/>
  <c r="T1760" i="34"/>
  <c r="V1760" i="34"/>
  <c r="X1760" i="34"/>
  <c r="Y1760" i="34"/>
  <c r="N1761" i="34"/>
  <c r="R1761" i="34"/>
  <c r="S1761" i="34"/>
  <c r="T1761" i="34"/>
  <c r="V1761" i="34"/>
  <c r="X1761" i="34"/>
  <c r="Y1761" i="34"/>
  <c r="N1762" i="34"/>
  <c r="R1762" i="34"/>
  <c r="S1762" i="34"/>
  <c r="T1762" i="34"/>
  <c r="V1762" i="34"/>
  <c r="X1762" i="34"/>
  <c r="Y1762" i="34"/>
  <c r="N1763" i="34"/>
  <c r="R1763" i="34"/>
  <c r="S1763" i="34"/>
  <c r="T1763" i="34"/>
  <c r="V1763" i="34"/>
  <c r="X1763" i="34"/>
  <c r="Y1763" i="34"/>
  <c r="N1764" i="34"/>
  <c r="R1764" i="34"/>
  <c r="S1764" i="34"/>
  <c r="T1764" i="34"/>
  <c r="V1764" i="34"/>
  <c r="X1764" i="34"/>
  <c r="Y1764" i="34"/>
  <c r="N1765" i="34"/>
  <c r="R1765" i="34"/>
  <c r="S1765" i="34"/>
  <c r="T1765" i="34"/>
  <c r="V1765" i="34"/>
  <c r="X1765" i="34"/>
  <c r="Y1765" i="34"/>
  <c r="N1766" i="34"/>
  <c r="R1766" i="34"/>
  <c r="S1766" i="34"/>
  <c r="T1766" i="34"/>
  <c r="V1766" i="34"/>
  <c r="X1766" i="34"/>
  <c r="Y1766" i="34"/>
  <c r="N1767" i="34"/>
  <c r="R1767" i="34"/>
  <c r="S1767" i="34"/>
  <c r="T1767" i="34"/>
  <c r="V1767" i="34"/>
  <c r="X1767" i="34"/>
  <c r="Y1767" i="34"/>
  <c r="N1768" i="34"/>
  <c r="R1768" i="34"/>
  <c r="S1768" i="34"/>
  <c r="T1768" i="34"/>
  <c r="V1768" i="34"/>
  <c r="X1768" i="34"/>
  <c r="Y1768" i="34"/>
  <c r="N1769" i="34"/>
  <c r="R1769" i="34"/>
  <c r="S1769" i="34"/>
  <c r="T1769" i="34"/>
  <c r="V1769" i="34"/>
  <c r="X1769" i="34"/>
  <c r="Y1769" i="34"/>
  <c r="N1770" i="34"/>
  <c r="R1770" i="34"/>
  <c r="S1770" i="34"/>
  <c r="T1770" i="34"/>
  <c r="V1770" i="34"/>
  <c r="X1770" i="34"/>
  <c r="Y1770" i="34"/>
  <c r="N1771" i="34"/>
  <c r="R1771" i="34"/>
  <c r="S1771" i="34"/>
  <c r="T1771" i="34"/>
  <c r="V1771" i="34"/>
  <c r="X1771" i="34"/>
  <c r="Y1771" i="34"/>
  <c r="N1772" i="34"/>
  <c r="R1772" i="34"/>
  <c r="S1772" i="34"/>
  <c r="T1772" i="34"/>
  <c r="V1772" i="34"/>
  <c r="X1772" i="34"/>
  <c r="Y1772" i="34"/>
  <c r="N1773" i="34"/>
  <c r="R1773" i="34"/>
  <c r="S1773" i="34"/>
  <c r="T1773" i="34"/>
  <c r="V1773" i="34"/>
  <c r="X1773" i="34"/>
  <c r="Y1773" i="34"/>
  <c r="N1774" i="34"/>
  <c r="R1774" i="34"/>
  <c r="S1774" i="34"/>
  <c r="T1774" i="34"/>
  <c r="V1774" i="34"/>
  <c r="X1774" i="34"/>
  <c r="Y1774" i="34"/>
  <c r="N1775" i="34"/>
  <c r="R1775" i="34"/>
  <c r="S1775" i="34"/>
  <c r="T1775" i="34"/>
  <c r="V1775" i="34"/>
  <c r="X1775" i="34"/>
  <c r="Y1775" i="34"/>
  <c r="N1776" i="34"/>
  <c r="R1776" i="34"/>
  <c r="S1776" i="34"/>
  <c r="T1776" i="34"/>
  <c r="V1776" i="34"/>
  <c r="X1776" i="34"/>
  <c r="Y1776" i="34"/>
  <c r="N1777" i="34"/>
  <c r="R1777" i="34"/>
  <c r="S1777" i="34"/>
  <c r="T1777" i="34"/>
  <c r="V1777" i="34"/>
  <c r="X1777" i="34"/>
  <c r="Y1777" i="34"/>
  <c r="N1778" i="34"/>
  <c r="R1778" i="34"/>
  <c r="S1778" i="34"/>
  <c r="T1778" i="34"/>
  <c r="V1778" i="34"/>
  <c r="X1778" i="34"/>
  <c r="Y1778" i="34"/>
  <c r="N1779" i="34"/>
  <c r="R1779" i="34"/>
  <c r="S1779" i="34"/>
  <c r="T1779" i="34"/>
  <c r="V1779" i="34"/>
  <c r="X1779" i="34"/>
  <c r="Y1779" i="34"/>
  <c r="N1780" i="34"/>
  <c r="R1780" i="34"/>
  <c r="S1780" i="34"/>
  <c r="T1780" i="34"/>
  <c r="V1780" i="34"/>
  <c r="X1780" i="34"/>
  <c r="Y1780" i="34"/>
  <c r="N1781" i="34"/>
  <c r="R1781" i="34"/>
  <c r="S1781" i="34"/>
  <c r="T1781" i="34"/>
  <c r="V1781" i="34"/>
  <c r="X1781" i="34"/>
  <c r="Y1781" i="34"/>
  <c r="N1782" i="34"/>
  <c r="R1782" i="34"/>
  <c r="S1782" i="34"/>
  <c r="T1782" i="34"/>
  <c r="V1782" i="34"/>
  <c r="X1782" i="34"/>
  <c r="Y1782" i="34"/>
  <c r="N1783" i="34"/>
  <c r="R1783" i="34"/>
  <c r="S1783" i="34"/>
  <c r="T1783" i="34"/>
  <c r="V1783" i="34"/>
  <c r="X1783" i="34"/>
  <c r="Y1783" i="34"/>
  <c r="N1784" i="34"/>
  <c r="R1784" i="34"/>
  <c r="S1784" i="34"/>
  <c r="T1784" i="34"/>
  <c r="V1784" i="34"/>
  <c r="X1784" i="34"/>
  <c r="Y1784" i="34"/>
  <c r="N1785" i="34"/>
  <c r="R1785" i="34"/>
  <c r="S1785" i="34"/>
  <c r="T1785" i="34"/>
  <c r="V1785" i="34"/>
  <c r="X1785" i="34"/>
  <c r="Y1785" i="34"/>
  <c r="N1786" i="34"/>
  <c r="R1786" i="34"/>
  <c r="S1786" i="34"/>
  <c r="T1786" i="34"/>
  <c r="V1786" i="34"/>
  <c r="X1786" i="34"/>
  <c r="Y1786" i="34"/>
  <c r="N1787" i="34"/>
  <c r="R1787" i="34"/>
  <c r="S1787" i="34"/>
  <c r="T1787" i="34"/>
  <c r="V1787" i="34"/>
  <c r="X1787" i="34"/>
  <c r="Y1787" i="34"/>
  <c r="N1788" i="34"/>
  <c r="R1788" i="34"/>
  <c r="S1788" i="34"/>
  <c r="T1788" i="34"/>
  <c r="V1788" i="34"/>
  <c r="X1788" i="34"/>
  <c r="Y1788" i="34"/>
  <c r="N1789" i="34"/>
  <c r="R1789" i="34"/>
  <c r="S1789" i="34"/>
  <c r="T1789" i="34"/>
  <c r="V1789" i="34"/>
  <c r="X1789" i="34"/>
  <c r="Y1789" i="34"/>
  <c r="N1790" i="34"/>
  <c r="R1790" i="34"/>
  <c r="S1790" i="34"/>
  <c r="T1790" i="34"/>
  <c r="V1790" i="34"/>
  <c r="X1790" i="34"/>
  <c r="Y1790" i="34"/>
  <c r="N1791" i="34"/>
  <c r="R1791" i="34"/>
  <c r="S1791" i="34"/>
  <c r="T1791" i="34"/>
  <c r="V1791" i="34"/>
  <c r="X1791" i="34"/>
  <c r="Y1791" i="34"/>
  <c r="N1792" i="34"/>
  <c r="R1792" i="34"/>
  <c r="S1792" i="34"/>
  <c r="T1792" i="34"/>
  <c r="V1792" i="34"/>
  <c r="X1792" i="34"/>
  <c r="Y1792" i="34"/>
  <c r="C948" i="34"/>
  <c r="B948" i="34" s="1"/>
  <c r="C702" i="34"/>
  <c r="B702" i="34" s="1"/>
  <c r="C691" i="34"/>
  <c r="B691" i="34" s="1"/>
  <c r="C494" i="34"/>
  <c r="B494" i="34" s="1"/>
  <c r="C297" i="34"/>
  <c r="B297" i="34" s="1"/>
  <c r="C369" i="34"/>
  <c r="B369" i="34" s="1"/>
  <c r="C306" i="34"/>
  <c r="B306" i="34" s="1"/>
  <c r="N1793" i="34"/>
  <c r="R1793" i="34"/>
  <c r="S1793" i="34"/>
  <c r="T1793" i="34"/>
  <c r="X1793" i="34"/>
  <c r="Y1793" i="34"/>
  <c r="N1794" i="34"/>
  <c r="R1794" i="34"/>
  <c r="S1794" i="34"/>
  <c r="T1794" i="34"/>
  <c r="X1794" i="34"/>
  <c r="Y1794" i="34"/>
  <c r="N1795" i="34"/>
  <c r="R1795" i="34"/>
  <c r="S1795" i="34"/>
  <c r="T1795" i="34"/>
  <c r="X1795" i="34"/>
  <c r="Y1795" i="34"/>
  <c r="N1796" i="34"/>
  <c r="R1796" i="34"/>
  <c r="S1796" i="34"/>
  <c r="T1796" i="34"/>
  <c r="X1796" i="34"/>
  <c r="Y1796" i="34"/>
  <c r="N1797" i="34"/>
  <c r="R1797" i="34"/>
  <c r="S1797" i="34"/>
  <c r="T1797" i="34"/>
  <c r="X1797" i="34"/>
  <c r="Y1797" i="34"/>
  <c r="N1798" i="34"/>
  <c r="R1798" i="34"/>
  <c r="S1798" i="34"/>
  <c r="T1798" i="34"/>
  <c r="X1798" i="34"/>
  <c r="Y1798" i="34"/>
  <c r="N1799" i="34"/>
  <c r="R1799" i="34"/>
  <c r="S1799" i="34"/>
  <c r="T1799" i="34"/>
  <c r="X1799" i="34"/>
  <c r="Y1799" i="34"/>
  <c r="N1800" i="34"/>
  <c r="R1800" i="34"/>
  <c r="S1800" i="34"/>
  <c r="T1800" i="34"/>
  <c r="X1800" i="34"/>
  <c r="Y1800" i="34"/>
  <c r="N1801" i="34"/>
  <c r="R1801" i="34"/>
  <c r="S1801" i="34"/>
  <c r="T1801" i="34"/>
  <c r="X1801" i="34"/>
  <c r="Y1801" i="34"/>
  <c r="N1802" i="34"/>
  <c r="R1802" i="34"/>
  <c r="S1802" i="34"/>
  <c r="T1802" i="34"/>
  <c r="X1802" i="34"/>
  <c r="Y1802" i="34"/>
  <c r="N1803" i="34"/>
  <c r="R1803" i="34"/>
  <c r="S1803" i="34"/>
  <c r="T1803" i="34"/>
  <c r="X1803" i="34"/>
  <c r="Y1803" i="34"/>
  <c r="N1804" i="34"/>
  <c r="R1804" i="34"/>
  <c r="S1804" i="34"/>
  <c r="T1804" i="34"/>
  <c r="X1804" i="34"/>
  <c r="Y1804" i="34"/>
  <c r="N1805" i="34"/>
  <c r="R1805" i="34"/>
  <c r="S1805" i="34"/>
  <c r="T1805" i="34"/>
  <c r="X1805" i="34"/>
  <c r="Y1805" i="34"/>
  <c r="N1806" i="34"/>
  <c r="R1806" i="34"/>
  <c r="S1806" i="34"/>
  <c r="T1806" i="34"/>
  <c r="X1806" i="34"/>
  <c r="Y1806" i="34"/>
  <c r="N1807" i="34"/>
  <c r="R1807" i="34"/>
  <c r="S1807" i="34"/>
  <c r="T1807" i="34"/>
  <c r="X1807" i="34"/>
  <c r="Y1807" i="34"/>
  <c r="N1808" i="34"/>
  <c r="R1808" i="34"/>
  <c r="S1808" i="34"/>
  <c r="T1808" i="34"/>
  <c r="X1808" i="34"/>
  <c r="Y1808" i="34"/>
  <c r="N1809" i="34"/>
  <c r="R1809" i="34"/>
  <c r="S1809" i="34"/>
  <c r="T1809" i="34"/>
  <c r="X1809" i="34"/>
  <c r="Y1809" i="34"/>
  <c r="N1810" i="34"/>
  <c r="R1810" i="34"/>
  <c r="S1810" i="34"/>
  <c r="T1810" i="34"/>
  <c r="X1810" i="34"/>
  <c r="Y1810" i="34"/>
  <c r="N1811" i="34"/>
  <c r="R1811" i="34"/>
  <c r="S1811" i="34"/>
  <c r="T1811" i="34"/>
  <c r="X1811" i="34"/>
  <c r="Y1811" i="34"/>
  <c r="N1812" i="34"/>
  <c r="R1812" i="34"/>
  <c r="S1812" i="34"/>
  <c r="T1812" i="34"/>
  <c r="X1812" i="34"/>
  <c r="Y1812" i="34"/>
  <c r="N1813" i="34"/>
  <c r="R1813" i="34"/>
  <c r="S1813" i="34"/>
  <c r="T1813" i="34"/>
  <c r="X1813" i="34"/>
  <c r="Y1813" i="34"/>
  <c r="N1814" i="34"/>
  <c r="R1814" i="34"/>
  <c r="S1814" i="34"/>
  <c r="T1814" i="34"/>
  <c r="X1814" i="34"/>
  <c r="Y1814" i="34"/>
  <c r="N1815" i="34"/>
  <c r="R1815" i="34"/>
  <c r="S1815" i="34"/>
  <c r="T1815" i="34"/>
  <c r="X1815" i="34"/>
  <c r="Y1815" i="34"/>
  <c r="N1816" i="34"/>
  <c r="R1816" i="34"/>
  <c r="S1816" i="34"/>
  <c r="T1816" i="34"/>
  <c r="X1816" i="34"/>
  <c r="Y1816" i="34"/>
  <c r="N1817" i="34"/>
  <c r="R1817" i="34"/>
  <c r="S1817" i="34"/>
  <c r="T1817" i="34"/>
  <c r="X1817" i="34"/>
  <c r="Y1817" i="34"/>
  <c r="N1818" i="34"/>
  <c r="R1818" i="34"/>
  <c r="S1818" i="34"/>
  <c r="T1818" i="34"/>
  <c r="X1818" i="34"/>
  <c r="Y1818" i="34"/>
  <c r="N1819" i="34"/>
  <c r="R1819" i="34"/>
  <c r="S1819" i="34"/>
  <c r="T1819" i="34"/>
  <c r="X1819" i="34"/>
  <c r="Y1819" i="34"/>
  <c r="N1820" i="34"/>
  <c r="R1820" i="34"/>
  <c r="S1820" i="34"/>
  <c r="T1820" i="34"/>
  <c r="X1820" i="34"/>
  <c r="Y1820" i="34"/>
  <c r="N1821" i="34"/>
  <c r="R1821" i="34"/>
  <c r="S1821" i="34"/>
  <c r="T1821" i="34"/>
  <c r="X1821" i="34"/>
  <c r="Y1821" i="34"/>
  <c r="N1822" i="34"/>
  <c r="R1822" i="34"/>
  <c r="S1822" i="34"/>
  <c r="T1822" i="34"/>
  <c r="X1822" i="34"/>
  <c r="Y1822" i="34"/>
  <c r="N1823" i="34"/>
  <c r="R1823" i="34"/>
  <c r="S1823" i="34"/>
  <c r="T1823" i="34"/>
  <c r="X1823" i="34"/>
  <c r="Y1823" i="34"/>
  <c r="N1824" i="34"/>
  <c r="R1824" i="34"/>
  <c r="S1824" i="34"/>
  <c r="T1824" i="34"/>
  <c r="X1824" i="34"/>
  <c r="Y1824" i="34"/>
  <c r="N1825" i="34"/>
  <c r="R1825" i="34"/>
  <c r="S1825" i="34"/>
  <c r="T1825" i="34"/>
  <c r="X1825" i="34"/>
  <c r="Y1825" i="34"/>
  <c r="N1826" i="34"/>
  <c r="R1826" i="34"/>
  <c r="S1826" i="34"/>
  <c r="T1826" i="34"/>
  <c r="X1826" i="34"/>
  <c r="Y1826" i="34"/>
  <c r="N1827" i="34"/>
  <c r="R1827" i="34"/>
  <c r="S1827" i="34"/>
  <c r="T1827" i="34"/>
  <c r="X1827" i="34"/>
  <c r="Y1827" i="34"/>
  <c r="N1828" i="34"/>
  <c r="R1828" i="34"/>
  <c r="S1828" i="34"/>
  <c r="T1828" i="34"/>
  <c r="X1828" i="34"/>
  <c r="Y1828" i="34"/>
  <c r="N1829" i="34"/>
  <c r="R1829" i="34"/>
  <c r="S1829" i="34"/>
  <c r="T1829" i="34"/>
  <c r="X1829" i="34"/>
  <c r="Y1829" i="34"/>
  <c r="N1830" i="34"/>
  <c r="R1830" i="34"/>
  <c r="S1830" i="34"/>
  <c r="T1830" i="34"/>
  <c r="X1830" i="34"/>
  <c r="Y1830" i="34"/>
  <c r="N1831" i="34"/>
  <c r="R1831" i="34"/>
  <c r="S1831" i="34"/>
  <c r="T1831" i="34"/>
  <c r="X1831" i="34"/>
  <c r="Y1831" i="34"/>
  <c r="N1832" i="34"/>
  <c r="R1832" i="34"/>
  <c r="S1832" i="34"/>
  <c r="T1832" i="34"/>
  <c r="X1832" i="34"/>
  <c r="Y1832" i="34"/>
  <c r="N1833" i="34"/>
  <c r="R1833" i="34"/>
  <c r="S1833" i="34"/>
  <c r="T1833" i="34"/>
  <c r="X1833" i="34"/>
  <c r="Y1833" i="34"/>
  <c r="N1834" i="34"/>
  <c r="R1834" i="34"/>
  <c r="S1834" i="34"/>
  <c r="T1834" i="34"/>
  <c r="X1834" i="34"/>
  <c r="Y1834" i="34"/>
  <c r="N1835" i="34"/>
  <c r="R1835" i="34"/>
  <c r="S1835" i="34"/>
  <c r="T1835" i="34"/>
  <c r="X1835" i="34"/>
  <c r="Y1835" i="34"/>
  <c r="N1836" i="34"/>
  <c r="R1836" i="34"/>
  <c r="S1836" i="34"/>
  <c r="T1836" i="34"/>
  <c r="X1836" i="34"/>
  <c r="Y1836" i="34"/>
  <c r="N1837" i="34"/>
  <c r="R1837" i="34"/>
  <c r="S1837" i="34"/>
  <c r="T1837" i="34"/>
  <c r="X1837" i="34"/>
  <c r="Y1837" i="34"/>
  <c r="N1838" i="34"/>
  <c r="R1838" i="34"/>
  <c r="S1838" i="34"/>
  <c r="T1838" i="34"/>
  <c r="X1838" i="34"/>
  <c r="Y1838" i="34"/>
  <c r="N1839" i="34"/>
  <c r="R1839" i="34"/>
  <c r="S1839" i="34"/>
  <c r="T1839" i="34"/>
  <c r="X1839" i="34"/>
  <c r="Y1839" i="34"/>
  <c r="N1840" i="34"/>
  <c r="R1840" i="34"/>
  <c r="S1840" i="34"/>
  <c r="T1840" i="34"/>
  <c r="X1840" i="34"/>
  <c r="Y1840" i="34"/>
  <c r="N1841" i="34"/>
  <c r="R1841" i="34"/>
  <c r="S1841" i="34"/>
  <c r="T1841" i="34"/>
  <c r="X1841" i="34"/>
  <c r="Y1841" i="34"/>
  <c r="N1842" i="34"/>
  <c r="R1842" i="34"/>
  <c r="S1842" i="34"/>
  <c r="T1842" i="34"/>
  <c r="X1842" i="34"/>
  <c r="Y1842" i="34"/>
  <c r="N1843" i="34"/>
  <c r="R1843" i="34"/>
  <c r="S1843" i="34"/>
  <c r="T1843" i="34"/>
  <c r="X1843" i="34"/>
  <c r="Y1843" i="34"/>
  <c r="N1844" i="34"/>
  <c r="R1844" i="34"/>
  <c r="S1844" i="34"/>
  <c r="T1844" i="34"/>
  <c r="X1844" i="34"/>
  <c r="Y1844" i="34"/>
  <c r="N1845" i="34"/>
  <c r="R1845" i="34"/>
  <c r="S1845" i="34"/>
  <c r="T1845" i="34"/>
  <c r="X1845" i="34"/>
  <c r="Y1845" i="34"/>
  <c r="N1846" i="34"/>
  <c r="R1846" i="34"/>
  <c r="S1846" i="34"/>
  <c r="T1846" i="34"/>
  <c r="X1846" i="34"/>
  <c r="Y1846" i="34"/>
  <c r="N1847" i="34"/>
  <c r="R1847" i="34"/>
  <c r="S1847" i="34"/>
  <c r="T1847" i="34"/>
  <c r="X1847" i="34"/>
  <c r="Y1847" i="34"/>
  <c r="N1848" i="34"/>
  <c r="R1848" i="34"/>
  <c r="S1848" i="34"/>
  <c r="T1848" i="34"/>
  <c r="X1848" i="34"/>
  <c r="Y1848" i="34"/>
  <c r="N1849" i="34"/>
  <c r="R1849" i="34"/>
  <c r="S1849" i="34"/>
  <c r="T1849" i="34"/>
  <c r="X1849" i="34"/>
  <c r="Y1849" i="34"/>
  <c r="N1850" i="34"/>
  <c r="R1850" i="34"/>
  <c r="S1850" i="34"/>
  <c r="T1850" i="34"/>
  <c r="X1850" i="34"/>
  <c r="Y1850" i="34"/>
  <c r="N1851" i="34"/>
  <c r="R1851" i="34"/>
  <c r="S1851" i="34"/>
  <c r="T1851" i="34"/>
  <c r="X1851" i="34"/>
  <c r="Y1851" i="34"/>
  <c r="N1852" i="34"/>
  <c r="R1852" i="34"/>
  <c r="S1852" i="34"/>
  <c r="T1852" i="34"/>
  <c r="X1852" i="34"/>
  <c r="Y1852" i="34"/>
  <c r="N1853" i="34"/>
  <c r="R1853" i="34"/>
  <c r="S1853" i="34"/>
  <c r="T1853" i="34"/>
  <c r="X1853" i="34"/>
  <c r="Y1853" i="34"/>
  <c r="N1854" i="34"/>
  <c r="R1854" i="34"/>
  <c r="S1854" i="34"/>
  <c r="T1854" i="34"/>
  <c r="X1854" i="34"/>
  <c r="Y1854" i="34"/>
  <c r="N1855" i="34"/>
  <c r="R1855" i="34"/>
  <c r="S1855" i="34"/>
  <c r="T1855" i="34"/>
  <c r="X1855" i="34"/>
  <c r="Y1855" i="34"/>
  <c r="N1856" i="34"/>
  <c r="R1856" i="34"/>
  <c r="S1856" i="34"/>
  <c r="T1856" i="34"/>
  <c r="X1856" i="34"/>
  <c r="Y1856" i="34"/>
  <c r="N1857" i="34"/>
  <c r="R1857" i="34"/>
  <c r="S1857" i="34"/>
  <c r="T1857" i="34"/>
  <c r="X1857" i="34"/>
  <c r="Y1857" i="34"/>
  <c r="N1858" i="34"/>
  <c r="R1858" i="34"/>
  <c r="S1858" i="34"/>
  <c r="T1858" i="34"/>
  <c r="X1858" i="34"/>
  <c r="Y1858" i="34"/>
  <c r="N1859" i="34"/>
  <c r="R1859" i="34"/>
  <c r="S1859" i="34"/>
  <c r="T1859" i="34"/>
  <c r="X1859" i="34"/>
  <c r="Y1859" i="34"/>
  <c r="N1860" i="34"/>
  <c r="R1860" i="34"/>
  <c r="S1860" i="34"/>
  <c r="T1860" i="34"/>
  <c r="X1860" i="34"/>
  <c r="Y1860" i="34"/>
  <c r="N1861" i="34"/>
  <c r="R1861" i="34"/>
  <c r="S1861" i="34"/>
  <c r="T1861" i="34"/>
  <c r="X1861" i="34"/>
  <c r="Y1861" i="34"/>
  <c r="N1862" i="34"/>
  <c r="R1862" i="34"/>
  <c r="S1862" i="34"/>
  <c r="T1862" i="34"/>
  <c r="X1862" i="34"/>
  <c r="Y1862" i="34"/>
  <c r="N1863" i="34"/>
  <c r="R1863" i="34"/>
  <c r="S1863" i="34"/>
  <c r="T1863" i="34"/>
  <c r="X1863" i="34"/>
  <c r="Y1863" i="34"/>
  <c r="N1864" i="34"/>
  <c r="R1864" i="34"/>
  <c r="S1864" i="34"/>
  <c r="T1864" i="34"/>
  <c r="X1864" i="34"/>
  <c r="Y1864" i="34"/>
  <c r="N1865" i="34"/>
  <c r="R1865" i="34"/>
  <c r="S1865" i="34"/>
  <c r="T1865" i="34"/>
  <c r="X1865" i="34"/>
  <c r="Y1865" i="34"/>
  <c r="N1866" i="34"/>
  <c r="R1866" i="34"/>
  <c r="S1866" i="34"/>
  <c r="T1866" i="34"/>
  <c r="X1866" i="34"/>
  <c r="Y1866" i="34"/>
  <c r="N1867" i="34"/>
  <c r="R1867" i="34"/>
  <c r="S1867" i="34"/>
  <c r="T1867" i="34"/>
  <c r="X1867" i="34"/>
  <c r="Y1867" i="34"/>
  <c r="N1868" i="34"/>
  <c r="R1868" i="34"/>
  <c r="S1868" i="34"/>
  <c r="T1868" i="34"/>
  <c r="X1868" i="34"/>
  <c r="Y1868" i="34"/>
  <c r="N1869" i="34"/>
  <c r="R1869" i="34"/>
  <c r="S1869" i="34"/>
  <c r="T1869" i="34"/>
  <c r="X1869" i="34"/>
  <c r="Y1869" i="34"/>
  <c r="N1870" i="34"/>
  <c r="R1870" i="34"/>
  <c r="S1870" i="34"/>
  <c r="T1870" i="34"/>
  <c r="X1870" i="34"/>
  <c r="Y1870" i="34"/>
  <c r="N1871" i="34"/>
  <c r="R1871" i="34"/>
  <c r="S1871" i="34"/>
  <c r="T1871" i="34"/>
  <c r="X1871" i="34"/>
  <c r="Y1871" i="34"/>
  <c r="N1872" i="34"/>
  <c r="R1872" i="34"/>
  <c r="S1872" i="34"/>
  <c r="T1872" i="34"/>
  <c r="X1872" i="34"/>
  <c r="Y1872" i="34"/>
  <c r="N1873" i="34"/>
  <c r="R1873" i="34"/>
  <c r="S1873" i="34"/>
  <c r="T1873" i="34"/>
  <c r="X1873" i="34"/>
  <c r="Y1873" i="34"/>
  <c r="N1874" i="34"/>
  <c r="R1874" i="34"/>
  <c r="S1874" i="34"/>
  <c r="T1874" i="34"/>
  <c r="X1874" i="34"/>
  <c r="Y1874" i="34"/>
  <c r="N1875" i="34"/>
  <c r="R1875" i="34"/>
  <c r="S1875" i="34"/>
  <c r="T1875" i="34"/>
  <c r="X1875" i="34"/>
  <c r="Y1875" i="34"/>
  <c r="N1876" i="34"/>
  <c r="R1876" i="34"/>
  <c r="S1876" i="34"/>
  <c r="T1876" i="34"/>
  <c r="X1876" i="34"/>
  <c r="Y1876" i="34"/>
  <c r="N1877" i="34"/>
  <c r="R1877" i="34"/>
  <c r="S1877" i="34"/>
  <c r="T1877" i="34"/>
  <c r="X1877" i="34"/>
  <c r="Y1877" i="34"/>
  <c r="N1878" i="34"/>
  <c r="R1878" i="34"/>
  <c r="S1878" i="34"/>
  <c r="T1878" i="34"/>
  <c r="X1878" i="34"/>
  <c r="Y1878" i="34"/>
  <c r="N1879" i="34"/>
  <c r="R1879" i="34"/>
  <c r="S1879" i="34"/>
  <c r="T1879" i="34"/>
  <c r="X1879" i="34"/>
  <c r="Y1879" i="34"/>
  <c r="N1880" i="34"/>
  <c r="R1880" i="34"/>
  <c r="S1880" i="34"/>
  <c r="T1880" i="34"/>
  <c r="X1880" i="34"/>
  <c r="Y1880" i="34"/>
  <c r="N1881" i="34"/>
  <c r="R1881" i="34"/>
  <c r="S1881" i="34"/>
  <c r="T1881" i="34"/>
  <c r="X1881" i="34"/>
  <c r="Y1881" i="34"/>
  <c r="N1882" i="34"/>
  <c r="R1882" i="34"/>
  <c r="S1882" i="34"/>
  <c r="T1882" i="34"/>
  <c r="X1882" i="34"/>
  <c r="Y1882" i="34"/>
  <c r="N1883" i="34"/>
  <c r="R1883" i="34"/>
  <c r="S1883" i="34"/>
  <c r="T1883" i="34"/>
  <c r="X1883" i="34"/>
  <c r="Y1883" i="34"/>
  <c r="N1884" i="34"/>
  <c r="R1884" i="34"/>
  <c r="S1884" i="34"/>
  <c r="T1884" i="34"/>
  <c r="X1884" i="34"/>
  <c r="Y1884" i="34"/>
  <c r="N1885" i="34"/>
  <c r="R1885" i="34"/>
  <c r="S1885" i="34"/>
  <c r="T1885" i="34"/>
  <c r="X1885" i="34"/>
  <c r="Y1885" i="34"/>
  <c r="N1886" i="34"/>
  <c r="R1886" i="34"/>
  <c r="S1886" i="34"/>
  <c r="T1886" i="34"/>
  <c r="X1886" i="34"/>
  <c r="Y1886" i="34"/>
  <c r="N1887" i="34"/>
  <c r="R1887" i="34"/>
  <c r="S1887" i="34"/>
  <c r="T1887" i="34"/>
  <c r="X1887" i="34"/>
  <c r="Y1887" i="34"/>
  <c r="N1888" i="34"/>
  <c r="R1888" i="34"/>
  <c r="S1888" i="34"/>
  <c r="T1888" i="34"/>
  <c r="X1888" i="34"/>
  <c r="Y1888" i="34"/>
  <c r="N1889" i="34"/>
  <c r="R1889" i="34"/>
  <c r="S1889" i="34"/>
  <c r="T1889" i="34"/>
  <c r="X1889" i="34"/>
  <c r="Y1889" i="34"/>
  <c r="N1890" i="34"/>
  <c r="R1890" i="34"/>
  <c r="S1890" i="34"/>
  <c r="T1890" i="34"/>
  <c r="X1890" i="34"/>
  <c r="Y1890" i="34"/>
  <c r="N1891" i="34"/>
  <c r="R1891" i="34"/>
  <c r="S1891" i="34"/>
  <c r="T1891" i="34"/>
  <c r="X1891" i="34"/>
  <c r="Y1891" i="34"/>
  <c r="N1892" i="34"/>
  <c r="R1892" i="34"/>
  <c r="S1892" i="34"/>
  <c r="T1892" i="34"/>
  <c r="X1892" i="34"/>
  <c r="Y1892" i="34"/>
  <c r="N1893" i="34"/>
  <c r="R1893" i="34"/>
  <c r="S1893" i="34"/>
  <c r="T1893" i="34"/>
  <c r="X1893" i="34"/>
  <c r="Y1893" i="34"/>
  <c r="N1894" i="34"/>
  <c r="R1894" i="34"/>
  <c r="S1894" i="34"/>
  <c r="T1894" i="34"/>
  <c r="X1894" i="34"/>
  <c r="Y1894" i="34"/>
  <c r="N1895" i="34"/>
  <c r="R1895" i="34"/>
  <c r="S1895" i="34"/>
  <c r="T1895" i="34"/>
  <c r="X1895" i="34"/>
  <c r="Y1895" i="34"/>
  <c r="N1896" i="34"/>
  <c r="R1896" i="34"/>
  <c r="S1896" i="34"/>
  <c r="T1896" i="34"/>
  <c r="X1896" i="34"/>
  <c r="Y1896" i="34"/>
  <c r="N1897" i="34"/>
  <c r="R1897" i="34"/>
  <c r="S1897" i="34"/>
  <c r="T1897" i="34"/>
  <c r="X1897" i="34"/>
  <c r="Y1897" i="34"/>
  <c r="N1898" i="34"/>
  <c r="R1898" i="34"/>
  <c r="S1898" i="34"/>
  <c r="T1898" i="34"/>
  <c r="X1898" i="34"/>
  <c r="Y1898" i="34"/>
  <c r="N1899" i="34"/>
  <c r="R1899" i="34"/>
  <c r="S1899" i="34"/>
  <c r="T1899" i="34"/>
  <c r="X1899" i="34"/>
  <c r="Y1899" i="34"/>
  <c r="N1900" i="34"/>
  <c r="R1900" i="34"/>
  <c r="S1900" i="34"/>
  <c r="T1900" i="34"/>
  <c r="X1900" i="34"/>
  <c r="Y1900" i="34"/>
  <c r="N1901" i="34"/>
  <c r="R1901" i="34"/>
  <c r="S1901" i="34"/>
  <c r="T1901" i="34"/>
  <c r="X1901" i="34"/>
  <c r="Y1901" i="34"/>
  <c r="N1902" i="34"/>
  <c r="R1902" i="34"/>
  <c r="S1902" i="34"/>
  <c r="T1902" i="34"/>
  <c r="X1902" i="34"/>
  <c r="Y1902" i="34"/>
  <c r="N1903" i="34"/>
  <c r="R1903" i="34"/>
  <c r="S1903" i="34"/>
  <c r="T1903" i="34"/>
  <c r="X1903" i="34"/>
  <c r="Y1903" i="34"/>
  <c r="N1904" i="34"/>
  <c r="R1904" i="34"/>
  <c r="S1904" i="34"/>
  <c r="T1904" i="34"/>
  <c r="X1904" i="34"/>
  <c r="Y1904" i="34"/>
  <c r="N1905" i="34"/>
  <c r="R1905" i="34"/>
  <c r="S1905" i="34"/>
  <c r="T1905" i="34"/>
  <c r="X1905" i="34"/>
  <c r="Y1905" i="34"/>
  <c r="N1906" i="34"/>
  <c r="R1906" i="34"/>
  <c r="S1906" i="34"/>
  <c r="T1906" i="34"/>
  <c r="X1906" i="34"/>
  <c r="Y1906" i="34"/>
  <c r="N1907" i="34"/>
  <c r="R1907" i="34"/>
  <c r="S1907" i="34"/>
  <c r="T1907" i="34"/>
  <c r="X1907" i="34"/>
  <c r="Y1907" i="34"/>
  <c r="N1908" i="34"/>
  <c r="R1908" i="34"/>
  <c r="S1908" i="34"/>
  <c r="T1908" i="34"/>
  <c r="X1908" i="34"/>
  <c r="Y1908" i="34"/>
  <c r="N1909" i="34"/>
  <c r="R1909" i="34"/>
  <c r="S1909" i="34"/>
  <c r="T1909" i="34"/>
  <c r="X1909" i="34"/>
  <c r="Y1909" i="34"/>
  <c r="N1910" i="34"/>
  <c r="R1910" i="34"/>
  <c r="S1910" i="34"/>
  <c r="T1910" i="34"/>
  <c r="X1910" i="34"/>
  <c r="Y1910" i="34"/>
  <c r="N1911" i="34"/>
  <c r="R1911" i="34"/>
  <c r="S1911" i="34"/>
  <c r="T1911" i="34"/>
  <c r="X1911" i="34"/>
  <c r="Y1911" i="34"/>
  <c r="N1912" i="34"/>
  <c r="R1912" i="34"/>
  <c r="S1912" i="34"/>
  <c r="T1912" i="34"/>
  <c r="X1912" i="34"/>
  <c r="Y1912" i="34"/>
  <c r="N1913" i="34"/>
  <c r="R1913" i="34"/>
  <c r="S1913" i="34"/>
  <c r="T1913" i="34"/>
  <c r="X1913" i="34"/>
  <c r="Y1913" i="34"/>
  <c r="N1914" i="34"/>
  <c r="R1914" i="34"/>
  <c r="S1914" i="34"/>
  <c r="T1914" i="34"/>
  <c r="X1914" i="34"/>
  <c r="Y1914" i="34"/>
  <c r="N1915" i="34"/>
  <c r="R1915" i="34"/>
  <c r="S1915" i="34"/>
  <c r="T1915" i="34"/>
  <c r="X1915" i="34"/>
  <c r="Y1915" i="34"/>
  <c r="N1916" i="34"/>
  <c r="R1916" i="34"/>
  <c r="S1916" i="34"/>
  <c r="T1916" i="34"/>
  <c r="X1916" i="34"/>
  <c r="Y1916" i="34"/>
  <c r="N1917" i="34"/>
  <c r="R1917" i="34"/>
  <c r="S1917" i="34"/>
  <c r="T1917" i="34"/>
  <c r="X1917" i="34"/>
  <c r="Y1917" i="34"/>
  <c r="N1918" i="34"/>
  <c r="R1918" i="34"/>
  <c r="S1918" i="34"/>
  <c r="T1918" i="34"/>
  <c r="X1918" i="34"/>
  <c r="Y1918" i="34"/>
  <c r="N1919" i="34"/>
  <c r="R1919" i="34"/>
  <c r="S1919" i="34"/>
  <c r="T1919" i="34"/>
  <c r="X1919" i="34"/>
  <c r="Y1919" i="34"/>
  <c r="N1920" i="34"/>
  <c r="R1920" i="34"/>
  <c r="S1920" i="34"/>
  <c r="T1920" i="34"/>
  <c r="X1920" i="34"/>
  <c r="Y1920" i="34"/>
  <c r="N1921" i="34"/>
  <c r="R1921" i="34"/>
  <c r="S1921" i="34"/>
  <c r="T1921" i="34"/>
  <c r="X1921" i="34"/>
  <c r="Y1921" i="34"/>
  <c r="N1922" i="34"/>
  <c r="R1922" i="34"/>
  <c r="S1922" i="34"/>
  <c r="T1922" i="34"/>
  <c r="X1922" i="34"/>
  <c r="Y1922" i="34"/>
  <c r="N1923" i="34"/>
  <c r="R1923" i="34"/>
  <c r="S1923" i="34"/>
  <c r="T1923" i="34"/>
  <c r="X1923" i="34"/>
  <c r="Y1923" i="34"/>
  <c r="N1924" i="34"/>
  <c r="R1924" i="34"/>
  <c r="S1924" i="34"/>
  <c r="T1924" i="34"/>
  <c r="X1924" i="34"/>
  <c r="Y1924" i="34"/>
  <c r="N1925" i="34"/>
  <c r="R1925" i="34"/>
  <c r="S1925" i="34"/>
  <c r="T1925" i="34"/>
  <c r="X1925" i="34"/>
  <c r="Y1925" i="34"/>
  <c r="N1926" i="34"/>
  <c r="R1926" i="34"/>
  <c r="S1926" i="34"/>
  <c r="T1926" i="34"/>
  <c r="X1926" i="34"/>
  <c r="Y1926" i="34"/>
  <c r="N1927" i="34"/>
  <c r="R1927" i="34"/>
  <c r="S1927" i="34"/>
  <c r="T1927" i="34"/>
  <c r="X1927" i="34"/>
  <c r="Y1927" i="34"/>
  <c r="N1928" i="34"/>
  <c r="R1928" i="34"/>
  <c r="S1928" i="34"/>
  <c r="T1928" i="34"/>
  <c r="X1928" i="34"/>
  <c r="Y1928" i="34"/>
  <c r="N1929" i="34"/>
  <c r="R1929" i="34"/>
  <c r="S1929" i="34"/>
  <c r="T1929" i="34"/>
  <c r="X1929" i="34"/>
  <c r="Y1929" i="34"/>
  <c r="N1930" i="34"/>
  <c r="R1930" i="34"/>
  <c r="S1930" i="34"/>
  <c r="T1930" i="34"/>
  <c r="X1930" i="34"/>
  <c r="Y1930" i="34"/>
  <c r="N1931" i="34"/>
  <c r="R1931" i="34"/>
  <c r="S1931" i="34"/>
  <c r="T1931" i="34"/>
  <c r="X1931" i="34"/>
  <c r="Y1931" i="34"/>
  <c r="N1932" i="34"/>
  <c r="R1932" i="34"/>
  <c r="S1932" i="34"/>
  <c r="T1932" i="34"/>
  <c r="X1932" i="34"/>
  <c r="Y1932" i="34"/>
  <c r="N1933" i="34"/>
  <c r="R1933" i="34"/>
  <c r="S1933" i="34"/>
  <c r="T1933" i="34"/>
  <c r="X1933" i="34"/>
  <c r="Y1933" i="34"/>
  <c r="N1934" i="34"/>
  <c r="R1934" i="34"/>
  <c r="S1934" i="34"/>
  <c r="T1934" i="34"/>
  <c r="X1934" i="34"/>
  <c r="Y1934" i="34"/>
  <c r="N1935" i="34"/>
  <c r="R1935" i="34"/>
  <c r="S1935" i="34"/>
  <c r="T1935" i="34"/>
  <c r="X1935" i="34"/>
  <c r="Y1935" i="34"/>
  <c r="N1936" i="34"/>
  <c r="R1936" i="34"/>
  <c r="S1936" i="34"/>
  <c r="T1936" i="34"/>
  <c r="X1936" i="34"/>
  <c r="Y1936" i="34"/>
  <c r="N1937" i="34"/>
  <c r="R1937" i="34"/>
  <c r="S1937" i="34"/>
  <c r="T1937" i="34"/>
  <c r="X1937" i="34"/>
  <c r="Y1937" i="34"/>
  <c r="N1938" i="34"/>
  <c r="R1938" i="34"/>
  <c r="S1938" i="34"/>
  <c r="T1938" i="34"/>
  <c r="X1938" i="34"/>
  <c r="Y1938" i="34"/>
  <c r="N1939" i="34"/>
  <c r="R1939" i="34"/>
  <c r="S1939" i="34"/>
  <c r="T1939" i="34"/>
  <c r="X1939" i="34"/>
  <c r="Y1939" i="34"/>
  <c r="N1940" i="34"/>
  <c r="R1940" i="34"/>
  <c r="S1940" i="34"/>
  <c r="T1940" i="34"/>
  <c r="X1940" i="34"/>
  <c r="Y1940" i="34"/>
  <c r="N1941" i="34"/>
  <c r="R1941" i="34"/>
  <c r="S1941" i="34"/>
  <c r="T1941" i="34"/>
  <c r="X1941" i="34"/>
  <c r="Y1941" i="34"/>
  <c r="N1942" i="34"/>
  <c r="R1942" i="34"/>
  <c r="S1942" i="34"/>
  <c r="T1942" i="34"/>
  <c r="X1942" i="34"/>
  <c r="Y1942" i="34"/>
  <c r="N1943" i="34"/>
  <c r="R1943" i="34"/>
  <c r="S1943" i="34"/>
  <c r="T1943" i="34"/>
  <c r="X1943" i="34"/>
  <c r="Y1943" i="34"/>
  <c r="N1944" i="34"/>
  <c r="R1944" i="34"/>
  <c r="S1944" i="34"/>
  <c r="T1944" i="34"/>
  <c r="X1944" i="34"/>
  <c r="Y1944" i="34"/>
  <c r="N1945" i="34"/>
  <c r="R1945" i="34"/>
  <c r="S1945" i="34"/>
  <c r="T1945" i="34"/>
  <c r="X1945" i="34"/>
  <c r="Y1945" i="34"/>
  <c r="N1946" i="34"/>
  <c r="R1946" i="34"/>
  <c r="S1946" i="34"/>
  <c r="T1946" i="34"/>
  <c r="X1946" i="34"/>
  <c r="Y1946" i="34"/>
  <c r="N1947" i="34"/>
  <c r="R1947" i="34"/>
  <c r="S1947" i="34"/>
  <c r="T1947" i="34"/>
  <c r="X1947" i="34"/>
  <c r="Y1947" i="34"/>
  <c r="N1948" i="34"/>
  <c r="R1948" i="34"/>
  <c r="S1948" i="34"/>
  <c r="T1948" i="34"/>
  <c r="X1948" i="34"/>
  <c r="Y1948" i="34"/>
  <c r="N1949" i="34"/>
  <c r="R1949" i="34"/>
  <c r="S1949" i="34"/>
  <c r="T1949" i="34"/>
  <c r="X1949" i="34"/>
  <c r="Y1949" i="34"/>
  <c r="N1950" i="34"/>
  <c r="R1950" i="34"/>
  <c r="S1950" i="34"/>
  <c r="T1950" i="34"/>
  <c r="X1950" i="34"/>
  <c r="Y1950" i="34"/>
  <c r="N1951" i="34"/>
  <c r="R1951" i="34"/>
  <c r="S1951" i="34"/>
  <c r="T1951" i="34"/>
  <c r="X1951" i="34"/>
  <c r="Y1951" i="34"/>
  <c r="N1952" i="34"/>
  <c r="R1952" i="34"/>
  <c r="S1952" i="34"/>
  <c r="T1952" i="34"/>
  <c r="X1952" i="34"/>
  <c r="Y1952" i="34"/>
  <c r="N1953" i="34"/>
  <c r="R1953" i="34"/>
  <c r="S1953" i="34"/>
  <c r="T1953" i="34"/>
  <c r="X1953" i="34"/>
  <c r="Y1953" i="34"/>
  <c r="N1954" i="34"/>
  <c r="R1954" i="34"/>
  <c r="S1954" i="34"/>
  <c r="T1954" i="34"/>
  <c r="X1954" i="34"/>
  <c r="Y1954" i="34"/>
  <c r="N1955" i="34"/>
  <c r="R1955" i="34"/>
  <c r="S1955" i="34"/>
  <c r="T1955" i="34"/>
  <c r="X1955" i="34"/>
  <c r="Y1955" i="34"/>
  <c r="N1956" i="34"/>
  <c r="R1956" i="34"/>
  <c r="S1956" i="34"/>
  <c r="T1956" i="34"/>
  <c r="X1956" i="34"/>
  <c r="Y1956" i="34"/>
  <c r="N1957" i="34"/>
  <c r="R1957" i="34"/>
  <c r="S1957" i="34"/>
  <c r="T1957" i="34"/>
  <c r="X1957" i="34"/>
  <c r="Y1957" i="34"/>
  <c r="N1958" i="34"/>
  <c r="R1958" i="34"/>
  <c r="S1958" i="34"/>
  <c r="T1958" i="34"/>
  <c r="X1958" i="34"/>
  <c r="Y1958" i="34"/>
  <c r="N1959" i="34"/>
  <c r="R1959" i="34"/>
  <c r="S1959" i="34"/>
  <c r="T1959" i="34"/>
  <c r="X1959" i="34"/>
  <c r="Y1959" i="34"/>
  <c r="N1960" i="34"/>
  <c r="R1960" i="34"/>
  <c r="S1960" i="34"/>
  <c r="T1960" i="34"/>
  <c r="X1960" i="34"/>
  <c r="Y1960" i="34"/>
  <c r="N1961" i="34"/>
  <c r="R1961" i="34"/>
  <c r="S1961" i="34"/>
  <c r="T1961" i="34"/>
  <c r="X1961" i="34"/>
  <c r="Y1961" i="34"/>
  <c r="N1962" i="34"/>
  <c r="R1962" i="34"/>
  <c r="S1962" i="34"/>
  <c r="T1962" i="34"/>
  <c r="X1962" i="34"/>
  <c r="Y1962" i="34"/>
  <c r="N1963" i="34"/>
  <c r="R1963" i="34"/>
  <c r="S1963" i="34"/>
  <c r="T1963" i="34"/>
  <c r="X1963" i="34"/>
  <c r="Y1963" i="34"/>
  <c r="N1964" i="34"/>
  <c r="R1964" i="34"/>
  <c r="S1964" i="34"/>
  <c r="T1964" i="34"/>
  <c r="X1964" i="34"/>
  <c r="Y1964" i="34"/>
  <c r="N1965" i="34"/>
  <c r="R1965" i="34"/>
  <c r="S1965" i="34"/>
  <c r="T1965" i="34"/>
  <c r="X1965" i="34"/>
  <c r="Y1965" i="34"/>
  <c r="N1966" i="34"/>
  <c r="R1966" i="34"/>
  <c r="S1966" i="34"/>
  <c r="T1966" i="34"/>
  <c r="X1966" i="34"/>
  <c r="Y1966" i="34"/>
  <c r="N1967" i="34"/>
  <c r="R1967" i="34"/>
  <c r="S1967" i="34"/>
  <c r="T1967" i="34"/>
  <c r="X1967" i="34"/>
  <c r="Y1967" i="34"/>
  <c r="N1968" i="34"/>
  <c r="R1968" i="34"/>
  <c r="S1968" i="34"/>
  <c r="T1968" i="34"/>
  <c r="X1968" i="34"/>
  <c r="Y1968" i="34"/>
  <c r="N1969" i="34"/>
  <c r="R1969" i="34"/>
  <c r="S1969" i="34"/>
  <c r="T1969" i="34"/>
  <c r="X1969" i="34"/>
  <c r="Y1969" i="34"/>
  <c r="N1970" i="34"/>
  <c r="R1970" i="34"/>
  <c r="S1970" i="34"/>
  <c r="T1970" i="34"/>
  <c r="X1970" i="34"/>
  <c r="Y1970" i="34"/>
  <c r="N1971" i="34"/>
  <c r="R1971" i="34"/>
  <c r="S1971" i="34"/>
  <c r="T1971" i="34"/>
  <c r="X1971" i="34"/>
  <c r="Y1971" i="34"/>
  <c r="N1972" i="34"/>
  <c r="R1972" i="34"/>
  <c r="S1972" i="34"/>
  <c r="T1972" i="34"/>
  <c r="X1972" i="34"/>
  <c r="Y1972" i="34"/>
  <c r="N1973" i="34"/>
  <c r="R1973" i="34"/>
  <c r="S1973" i="34"/>
  <c r="T1973" i="34"/>
  <c r="X1973" i="34"/>
  <c r="Y1973" i="34"/>
  <c r="N1974" i="34"/>
  <c r="R1974" i="34"/>
  <c r="S1974" i="34"/>
  <c r="T1974" i="34"/>
  <c r="X1974" i="34"/>
  <c r="Y1974" i="34"/>
  <c r="N1975" i="34"/>
  <c r="R1975" i="34"/>
  <c r="S1975" i="34"/>
  <c r="T1975" i="34"/>
  <c r="X1975" i="34"/>
  <c r="Y1975" i="34"/>
  <c r="N1976" i="34"/>
  <c r="R1976" i="34"/>
  <c r="S1976" i="34"/>
  <c r="T1976" i="34"/>
  <c r="X1976" i="34"/>
  <c r="Y1976" i="34"/>
  <c r="N1977" i="34"/>
  <c r="R1977" i="34"/>
  <c r="S1977" i="34"/>
  <c r="T1977" i="34"/>
  <c r="X1977" i="34"/>
  <c r="Y1977" i="34"/>
  <c r="N1978" i="34"/>
  <c r="R1978" i="34"/>
  <c r="S1978" i="34"/>
  <c r="T1978" i="34"/>
  <c r="X1978" i="34"/>
  <c r="Y1978" i="34"/>
  <c r="N1979" i="34"/>
  <c r="R1979" i="34"/>
  <c r="S1979" i="34"/>
  <c r="T1979" i="34"/>
  <c r="X1979" i="34"/>
  <c r="Y1979" i="34"/>
  <c r="N1980" i="34"/>
  <c r="R1980" i="34"/>
  <c r="S1980" i="34"/>
  <c r="T1980" i="34"/>
  <c r="X1980" i="34"/>
  <c r="Y1980" i="34"/>
  <c r="N1981" i="34"/>
  <c r="R1981" i="34"/>
  <c r="S1981" i="34"/>
  <c r="T1981" i="34"/>
  <c r="X1981" i="34"/>
  <c r="Y1981" i="34"/>
  <c r="N1982" i="34"/>
  <c r="R1982" i="34"/>
  <c r="S1982" i="34"/>
  <c r="T1982" i="34"/>
  <c r="X1982" i="34"/>
  <c r="Y1982" i="34"/>
  <c r="N1983" i="34"/>
  <c r="R1983" i="34"/>
  <c r="S1983" i="34"/>
  <c r="T1983" i="34"/>
  <c r="X1983" i="34"/>
  <c r="Y1983" i="34"/>
  <c r="N1984" i="34"/>
  <c r="R1984" i="34"/>
  <c r="S1984" i="34"/>
  <c r="T1984" i="34"/>
  <c r="X1984" i="34"/>
  <c r="Y1984" i="34"/>
  <c r="N1985" i="34"/>
  <c r="R1985" i="34"/>
  <c r="S1985" i="34"/>
  <c r="T1985" i="34"/>
  <c r="X1985" i="34"/>
  <c r="Y1985" i="34"/>
  <c r="N1986" i="34"/>
  <c r="R1986" i="34"/>
  <c r="S1986" i="34"/>
  <c r="T1986" i="34"/>
  <c r="X1986" i="34"/>
  <c r="Y1986" i="34"/>
  <c r="N1987" i="34"/>
  <c r="R1987" i="34"/>
  <c r="S1987" i="34"/>
  <c r="T1987" i="34"/>
  <c r="X1987" i="34"/>
  <c r="Y1987" i="34"/>
  <c r="N1988" i="34"/>
  <c r="R1988" i="34"/>
  <c r="S1988" i="34"/>
  <c r="T1988" i="34"/>
  <c r="X1988" i="34"/>
  <c r="Y1988" i="34"/>
  <c r="N1989" i="34"/>
  <c r="R1989" i="34"/>
  <c r="S1989" i="34"/>
  <c r="T1989" i="34"/>
  <c r="X1989" i="34"/>
  <c r="Y1989" i="34"/>
  <c r="N1990" i="34"/>
  <c r="R1990" i="34"/>
  <c r="S1990" i="34"/>
  <c r="T1990" i="34"/>
  <c r="X1990" i="34"/>
  <c r="Y1990" i="34"/>
  <c r="N1991" i="34"/>
  <c r="R1991" i="34"/>
  <c r="S1991" i="34"/>
  <c r="T1991" i="34"/>
  <c r="X1991" i="34"/>
  <c r="Y1991" i="34"/>
  <c r="N1992" i="34"/>
  <c r="R1992" i="34"/>
  <c r="S1992" i="34"/>
  <c r="T1992" i="34"/>
  <c r="X1992" i="34"/>
  <c r="Y1992" i="34"/>
  <c r="N1993" i="34"/>
  <c r="R1993" i="34"/>
  <c r="S1993" i="34"/>
  <c r="T1993" i="34"/>
  <c r="X1993" i="34"/>
  <c r="Y1993" i="34"/>
  <c r="N1994" i="34"/>
  <c r="R1994" i="34"/>
  <c r="S1994" i="34"/>
  <c r="T1994" i="34"/>
  <c r="X1994" i="34"/>
  <c r="Y1994" i="34"/>
  <c r="N1995" i="34"/>
  <c r="R1995" i="34"/>
  <c r="S1995" i="34"/>
  <c r="T1995" i="34"/>
  <c r="X1995" i="34"/>
  <c r="Y1995" i="34"/>
  <c r="N1996" i="34"/>
  <c r="R1996" i="34"/>
  <c r="S1996" i="34"/>
  <c r="T1996" i="34"/>
  <c r="X1996" i="34"/>
  <c r="Y1996" i="34"/>
  <c r="N1997" i="34"/>
  <c r="R1997" i="34"/>
  <c r="S1997" i="34"/>
  <c r="T1997" i="34"/>
  <c r="X1997" i="34"/>
  <c r="Y1997" i="34"/>
  <c r="N1998" i="34"/>
  <c r="R1998" i="34"/>
  <c r="S1998" i="34"/>
  <c r="T1998" i="34"/>
  <c r="X1998" i="34"/>
  <c r="Y1998" i="34"/>
  <c r="N1999" i="34"/>
  <c r="R1999" i="34"/>
  <c r="S1999" i="34"/>
  <c r="T1999" i="34"/>
  <c r="X1999" i="34"/>
  <c r="Y1999" i="34"/>
  <c r="N2000" i="34"/>
  <c r="R2000" i="34"/>
  <c r="S2000" i="34"/>
  <c r="T2000" i="34"/>
  <c r="X2000" i="34"/>
  <c r="Y2000" i="34"/>
  <c r="N2001" i="34"/>
  <c r="R2001" i="34"/>
  <c r="S2001" i="34"/>
  <c r="T2001" i="34"/>
  <c r="X2001" i="34"/>
  <c r="Y2001" i="34"/>
  <c r="N2002" i="34"/>
  <c r="R2002" i="34"/>
  <c r="S2002" i="34"/>
  <c r="T2002" i="34"/>
  <c r="X2002" i="34"/>
  <c r="Y2002" i="34"/>
  <c r="A306" i="34" l="1"/>
  <c r="W306" i="34"/>
  <c r="U306" i="34"/>
  <c r="Z306" i="34"/>
  <c r="A494" i="34"/>
  <c r="R494" i="34"/>
  <c r="Z494" i="34"/>
  <c r="S494" i="34"/>
  <c r="W494" i="34"/>
  <c r="T494" i="34"/>
  <c r="U494" i="34"/>
  <c r="A369" i="34"/>
  <c r="U369" i="34"/>
  <c r="Z369" i="34"/>
  <c r="W369" i="34"/>
  <c r="A691" i="34"/>
  <c r="U691" i="34"/>
  <c r="Z691" i="34"/>
  <c r="W691" i="34"/>
  <c r="A297" i="34"/>
  <c r="U297" i="34"/>
  <c r="R297" i="34"/>
  <c r="Z297" i="34"/>
  <c r="S297" i="34"/>
  <c r="W297" i="34"/>
  <c r="T297" i="34"/>
  <c r="A702" i="34"/>
  <c r="W702" i="34"/>
  <c r="U702" i="34"/>
  <c r="Z702" i="34"/>
  <c r="A948" i="34"/>
  <c r="Z948" i="34"/>
  <c r="W948" i="34"/>
  <c r="U948" i="34"/>
  <c r="A18" i="12"/>
  <c r="H15" i="82" l="1"/>
  <c r="H16" i="82"/>
  <c r="H17" i="82"/>
  <c r="H18" i="82"/>
  <c r="H19" i="82"/>
  <c r="H20" i="82"/>
  <c r="H21" i="82"/>
  <c r="H22" i="82"/>
  <c r="H23" i="82"/>
  <c r="H24" i="82"/>
  <c r="H25" i="82"/>
  <c r="H14" i="82"/>
  <c r="C28" i="82" l="1"/>
  <c r="K763" i="34" l="1"/>
  <c r="C215" i="34"/>
  <c r="B215" i="34" s="1"/>
  <c r="C171" i="34"/>
  <c r="B171" i="34" s="1"/>
  <c r="C104" i="34"/>
  <c r="B104" i="34" s="1"/>
  <c r="C79" i="34"/>
  <c r="B79" i="34" s="1"/>
  <c r="C543" i="34"/>
  <c r="B543" i="34" s="1"/>
  <c r="C462" i="34"/>
  <c r="B462" i="34" s="1"/>
  <c r="C411" i="34"/>
  <c r="B411" i="34" s="1"/>
  <c r="C267" i="34"/>
  <c r="B267" i="34" s="1"/>
  <c r="C1010" i="34"/>
  <c r="B1010" i="34" s="1"/>
  <c r="C771" i="34"/>
  <c r="B771" i="34" s="1"/>
  <c r="C1198" i="34"/>
  <c r="B1198" i="34" s="1"/>
  <c r="C1431" i="34"/>
  <c r="B1431" i="34" s="1"/>
  <c r="A771" i="34" l="1"/>
  <c r="U771" i="34"/>
  <c r="Z771" i="34"/>
  <c r="W771" i="34"/>
  <c r="A1010" i="34"/>
  <c r="Z1010" i="34"/>
  <c r="W1010" i="34"/>
  <c r="U1010" i="34"/>
  <c r="A543" i="34"/>
  <c r="U543" i="34"/>
  <c r="Z543" i="34"/>
  <c r="W543" i="34"/>
  <c r="A215" i="34"/>
  <c r="W215" i="34"/>
  <c r="U215" i="34"/>
  <c r="Z215" i="34"/>
  <c r="A1431" i="34"/>
  <c r="Z1431" i="34"/>
  <c r="W1431" i="34"/>
  <c r="U1431" i="34"/>
  <c r="A267" i="34"/>
  <c r="W267" i="34"/>
  <c r="U267" i="34"/>
  <c r="Z267" i="34"/>
  <c r="A79" i="34"/>
  <c r="Z79" i="34"/>
  <c r="W79" i="34"/>
  <c r="U79" i="34"/>
  <c r="A1198" i="34"/>
  <c r="Z1198" i="34"/>
  <c r="W1198" i="34"/>
  <c r="U1198" i="34"/>
  <c r="A411" i="34"/>
  <c r="U411" i="34"/>
  <c r="Z411" i="34"/>
  <c r="W411" i="34"/>
  <c r="A104" i="34"/>
  <c r="U104" i="34"/>
  <c r="Z104" i="34"/>
  <c r="W104" i="34"/>
  <c r="A462" i="34"/>
  <c r="Z462" i="34"/>
  <c r="W462" i="34"/>
  <c r="U462" i="34"/>
  <c r="A171" i="34"/>
  <c r="W171" i="34"/>
  <c r="U171" i="34"/>
  <c r="Z171" i="34"/>
  <c r="C1186" i="34"/>
  <c r="B1186" i="34" s="1"/>
  <c r="C641" i="34"/>
  <c r="B641" i="34" s="1"/>
  <c r="A641" i="34" l="1"/>
  <c r="U641" i="34"/>
  <c r="Z641" i="34"/>
  <c r="W641" i="34"/>
  <c r="A1186" i="34"/>
  <c r="Z1186" i="34"/>
  <c r="W1186" i="34"/>
  <c r="U1186" i="34"/>
  <c r="C197" i="34"/>
  <c r="B197" i="34" s="1"/>
  <c r="A197" i="34" l="1"/>
  <c r="S197" i="34"/>
  <c r="W197" i="34"/>
  <c r="T197" i="34"/>
  <c r="U197" i="34"/>
  <c r="R197" i="34"/>
  <c r="Z197" i="34"/>
  <c r="K284" i="34"/>
  <c r="K82" i="34"/>
  <c r="K103" i="34"/>
  <c r="K167" i="34"/>
  <c r="K214" i="34"/>
  <c r="K261" i="34"/>
  <c r="K373" i="34"/>
  <c r="K456" i="34"/>
  <c r="K538" i="34"/>
  <c r="K981" i="34"/>
  <c r="K1197" i="34"/>
  <c r="K1429" i="34"/>
  <c r="K23" i="34"/>
  <c r="K24" i="34"/>
  <c r="K25" i="34"/>
  <c r="K26" i="34"/>
  <c r="K27" i="34"/>
  <c r="K28" i="34"/>
  <c r="K43" i="34"/>
  <c r="K44" i="34"/>
  <c r="K45" i="34"/>
  <c r="K46" i="34"/>
  <c r="K47" i="34"/>
  <c r="K53" i="34"/>
  <c r="K61" i="34"/>
  <c r="K62" i="34"/>
  <c r="K63" i="34"/>
  <c r="K105" i="34"/>
  <c r="K106" i="34"/>
  <c r="K107" i="34"/>
  <c r="K108" i="34"/>
  <c r="K109" i="34"/>
  <c r="K110" i="34"/>
  <c r="K113" i="34"/>
  <c r="K114" i="34"/>
  <c r="K115" i="34"/>
  <c r="K116" i="34"/>
  <c r="K117" i="34"/>
  <c r="K136" i="34"/>
  <c r="K141" i="34"/>
  <c r="K129" i="34"/>
  <c r="K130" i="34"/>
  <c r="K131" i="34"/>
  <c r="K207" i="34"/>
  <c r="K208" i="34"/>
  <c r="K209" i="34"/>
  <c r="K210" i="34"/>
  <c r="K262" i="34"/>
  <c r="K263" i="34"/>
  <c r="K248" i="34"/>
  <c r="K250" i="34"/>
  <c r="K251" i="34"/>
  <c r="K252" i="34"/>
  <c r="K253" i="34"/>
  <c r="K254" i="34"/>
  <c r="K255" i="34"/>
  <c r="K256" i="34"/>
  <c r="K257" i="34"/>
  <c r="K268" i="34"/>
  <c r="K269" i="34"/>
  <c r="K286" i="34"/>
  <c r="K287" i="34"/>
  <c r="K347" i="34"/>
  <c r="K348" i="34"/>
  <c r="K349" i="34"/>
  <c r="K318" i="34"/>
  <c r="K319" i="34"/>
  <c r="K320" i="34"/>
  <c r="K321" i="34"/>
  <c r="K322" i="34"/>
  <c r="K323" i="34"/>
  <c r="K324" i="34"/>
  <c r="K325" i="34"/>
  <c r="K326" i="34"/>
  <c r="K327" i="34"/>
  <c r="K328" i="34"/>
  <c r="K331" i="34"/>
  <c r="K332" i="34"/>
  <c r="K300" i="34"/>
  <c r="K301" i="34"/>
  <c r="K302" i="34"/>
  <c r="K303" i="34"/>
  <c r="K304" i="34"/>
  <c r="K307" i="34"/>
  <c r="K352" i="34"/>
  <c r="K353" i="34"/>
  <c r="K354" i="34"/>
  <c r="K355" i="34"/>
  <c r="K356" i="34"/>
  <c r="K357" i="34"/>
  <c r="K358" i="34"/>
  <c r="K359" i="34"/>
  <c r="K360" i="34"/>
  <c r="K361" i="34"/>
  <c r="K362" i="34"/>
  <c r="K363" i="34"/>
  <c r="K364" i="34"/>
  <c r="K365" i="34"/>
  <c r="K366" i="34"/>
  <c r="K367" i="34"/>
  <c r="K374" i="34"/>
  <c r="K375" i="34"/>
  <c r="K457" i="34"/>
  <c r="K458" i="34"/>
  <c r="K459" i="34"/>
  <c r="K460" i="34"/>
  <c r="K448" i="34"/>
  <c r="K539" i="34"/>
  <c r="K540" i="34"/>
  <c r="K477" i="34"/>
  <c r="K478" i="34"/>
  <c r="K479" i="34"/>
  <c r="K480" i="34"/>
  <c r="K481" i="34"/>
  <c r="K482" i="34"/>
  <c r="K483" i="34"/>
  <c r="K484" i="34"/>
  <c r="K660" i="34"/>
  <c r="K661" i="34"/>
  <c r="K662" i="34"/>
  <c r="K663" i="34"/>
  <c r="K664" i="34"/>
  <c r="K665" i="34"/>
  <c r="K666" i="34"/>
  <c r="K667" i="34"/>
  <c r="K668" i="34"/>
  <c r="K669" i="34"/>
  <c r="K670" i="34"/>
  <c r="K671" i="34"/>
  <c r="K672" i="34"/>
  <c r="K673" i="34"/>
  <c r="K674" i="34"/>
  <c r="K675" i="34"/>
  <c r="K676" i="34"/>
  <c r="K677" i="34"/>
  <c r="K678" i="34"/>
  <c r="K679" i="34"/>
  <c r="K680" i="34"/>
  <c r="K681" i="34"/>
  <c r="K682" i="34"/>
  <c r="K683" i="34"/>
  <c r="K684" i="34"/>
  <c r="K685" i="34"/>
  <c r="K686" i="34"/>
  <c r="K687" i="34"/>
  <c r="K688" i="34"/>
  <c r="K689" i="34"/>
  <c r="K696" i="34"/>
  <c r="K697" i="34"/>
  <c r="K698" i="34"/>
  <c r="K699" i="34"/>
  <c r="K700" i="34"/>
  <c r="K571" i="34"/>
  <c r="K572" i="34"/>
  <c r="K573" i="34"/>
  <c r="K591" i="34"/>
  <c r="K592" i="34"/>
  <c r="K593" i="34"/>
  <c r="K594" i="34"/>
  <c r="K595" i="34"/>
  <c r="K596" i="34"/>
  <c r="K608" i="34"/>
  <c r="K609" i="34"/>
  <c r="K610" i="34"/>
  <c r="K611" i="34"/>
  <c r="K612" i="34"/>
  <c r="K715" i="34"/>
  <c r="K716" i="34"/>
  <c r="K717" i="34"/>
  <c r="K766" i="34"/>
  <c r="K767" i="34"/>
  <c r="K546" i="34"/>
  <c r="K552" i="34"/>
  <c r="K553" i="34"/>
  <c r="K554" i="34"/>
  <c r="K555" i="34"/>
  <c r="K556" i="34"/>
  <c r="K557" i="34"/>
  <c r="K558" i="34"/>
  <c r="K559" i="34"/>
  <c r="K560" i="34"/>
  <c r="K561" i="34"/>
  <c r="K562" i="34"/>
  <c r="K563" i="34"/>
  <c r="K564" i="34"/>
  <c r="K565" i="34"/>
  <c r="K567" i="34"/>
  <c r="K568" i="34"/>
  <c r="K575" i="34"/>
  <c r="K584" i="34"/>
  <c r="K585" i="34"/>
  <c r="K614" i="34"/>
  <c r="K632" i="34"/>
  <c r="K646" i="34"/>
  <c r="K703" i="34"/>
  <c r="K704" i="34"/>
  <c r="K719" i="34"/>
  <c r="K720" i="34"/>
  <c r="K721" i="34"/>
  <c r="K722" i="34"/>
  <c r="K723" i="34"/>
  <c r="K724" i="34"/>
  <c r="K725" i="34"/>
  <c r="K726" i="34"/>
  <c r="K727" i="34"/>
  <c r="K728" i="34"/>
  <c r="K729" i="34"/>
  <c r="K730" i="34"/>
  <c r="K731" i="34"/>
  <c r="K732" i="34"/>
  <c r="K733" i="34"/>
  <c r="K734" i="34"/>
  <c r="K735" i="34"/>
  <c r="K784" i="34"/>
  <c r="K785" i="34"/>
  <c r="K773" i="34"/>
  <c r="K774" i="34"/>
  <c r="K775" i="34"/>
  <c r="K776" i="34"/>
  <c r="K777" i="34"/>
  <c r="K778" i="34"/>
  <c r="K779" i="34"/>
  <c r="K789" i="34"/>
  <c r="K790" i="34"/>
  <c r="K791" i="34"/>
  <c r="K792" i="34"/>
  <c r="K793" i="34"/>
  <c r="K794" i="34"/>
  <c r="K795" i="34"/>
  <c r="K796" i="34"/>
  <c r="K797" i="34"/>
  <c r="K798" i="34"/>
  <c r="K858" i="34"/>
  <c r="K859" i="34"/>
  <c r="K860" i="34"/>
  <c r="K861" i="34"/>
  <c r="K862" i="34"/>
  <c r="K863" i="34"/>
  <c r="K864" i="34"/>
  <c r="K865" i="34"/>
  <c r="K866" i="34"/>
  <c r="K867" i="34"/>
  <c r="K868" i="34"/>
  <c r="K869" i="34"/>
  <c r="K870" i="34"/>
  <c r="K871" i="34"/>
  <c r="K872" i="34"/>
  <c r="K873" i="34"/>
  <c r="K874" i="34"/>
  <c r="K875" i="34"/>
  <c r="K876" i="34"/>
  <c r="K877" i="34"/>
  <c r="K878" i="34"/>
  <c r="K879" i="34"/>
  <c r="K851" i="34"/>
  <c r="K852" i="34"/>
  <c r="K853" i="34"/>
  <c r="K854" i="34"/>
  <c r="K927" i="34"/>
  <c r="K928" i="34"/>
  <c r="K887" i="34"/>
  <c r="K888" i="34"/>
  <c r="K889" i="34"/>
  <c r="K890" i="34"/>
  <c r="K891" i="34"/>
  <c r="K892" i="34"/>
  <c r="K893" i="34"/>
  <c r="K894" i="34"/>
  <c r="K895" i="34"/>
  <c r="K896" i="34"/>
  <c r="K897" i="34"/>
  <c r="K898" i="34"/>
  <c r="K899" i="34"/>
  <c r="K900" i="34"/>
  <c r="K901" i="34"/>
  <c r="K902" i="34"/>
  <c r="K903" i="34"/>
  <c r="K904" i="34"/>
  <c r="K905" i="34"/>
  <c r="K906" i="34"/>
  <c r="K907" i="34"/>
  <c r="K986" i="34"/>
  <c r="K987" i="34"/>
  <c r="K988" i="34"/>
  <c r="K989" i="34"/>
  <c r="K990" i="34"/>
  <c r="K991" i="34"/>
  <c r="K992" i="34"/>
  <c r="K993" i="34"/>
  <c r="K994" i="34"/>
  <c r="K995" i="34"/>
  <c r="K996" i="34"/>
  <c r="K997" i="34"/>
  <c r="K998" i="34"/>
  <c r="K999" i="34"/>
  <c r="K1000" i="34"/>
  <c r="K1001" i="34"/>
  <c r="K1002" i="34"/>
  <c r="K1003" i="34"/>
  <c r="K930" i="34"/>
  <c r="K931" i="34"/>
  <c r="K932" i="34"/>
  <c r="K933" i="34"/>
  <c r="K934" i="34"/>
  <c r="K935" i="34"/>
  <c r="K936" i="34"/>
  <c r="K937" i="34"/>
  <c r="K938" i="34"/>
  <c r="K939" i="34"/>
  <c r="K940" i="34"/>
  <c r="K941" i="34"/>
  <c r="K942" i="34"/>
  <c r="K943" i="34"/>
  <c r="K944" i="34"/>
  <c r="K945" i="34"/>
  <c r="K946" i="34"/>
  <c r="K1032" i="34"/>
  <c r="K1033" i="34"/>
  <c r="K1017" i="34"/>
  <c r="K1018" i="34"/>
  <c r="K1153" i="34"/>
  <c r="K1154" i="34"/>
  <c r="K1157" i="34"/>
  <c r="K1158" i="34"/>
  <c r="K1108" i="34"/>
  <c r="K1109" i="34"/>
  <c r="K1110" i="34"/>
  <c r="K1111" i="34"/>
  <c r="K1023" i="34"/>
  <c r="K1024" i="34"/>
  <c r="K1036" i="34"/>
  <c r="K1037" i="34"/>
  <c r="K1038" i="34"/>
  <c r="K1039" i="34"/>
  <c r="K1040" i="34"/>
  <c r="K1041" i="34"/>
  <c r="K1042" i="34"/>
  <c r="K1097" i="34"/>
  <c r="K1098" i="34"/>
  <c r="K1099" i="34"/>
  <c r="K1100" i="34"/>
  <c r="K1101" i="34"/>
  <c r="K1121" i="34"/>
  <c r="K1122" i="34"/>
  <c r="K1132" i="34"/>
  <c r="K1133" i="34"/>
  <c r="K1164" i="34"/>
  <c r="K1165" i="34"/>
  <c r="K1068" i="34"/>
  <c r="K1069" i="34"/>
  <c r="K1070" i="34"/>
  <c r="K1071" i="34"/>
  <c r="K1072" i="34"/>
  <c r="K1073" i="34"/>
  <c r="K1074" i="34"/>
  <c r="K1075" i="34"/>
  <c r="K1076" i="34"/>
  <c r="K1077" i="34"/>
  <c r="K1078" i="34"/>
  <c r="K1079" i="34"/>
  <c r="K1080" i="34"/>
  <c r="K1081" i="34"/>
  <c r="K1082" i="34"/>
  <c r="K1083" i="34"/>
  <c r="K1084" i="34"/>
  <c r="K1085" i="34"/>
  <c r="K1086" i="34"/>
  <c r="K1087" i="34"/>
  <c r="K1088" i="34"/>
  <c r="K1089" i="34"/>
  <c r="K1090" i="34"/>
  <c r="K1091" i="34"/>
  <c r="K1092" i="34"/>
  <c r="K1113" i="34"/>
  <c r="K1114" i="34"/>
  <c r="K1115" i="34"/>
  <c r="K1116" i="34"/>
  <c r="K1117" i="34"/>
  <c r="K1026" i="34"/>
  <c r="K1212" i="34"/>
  <c r="K1213" i="34"/>
  <c r="K1240" i="34"/>
  <c r="K1241" i="34"/>
  <c r="K1204" i="34"/>
  <c r="K1205" i="34"/>
  <c r="K1246" i="34"/>
  <c r="K1247" i="34"/>
  <c r="K1248" i="34"/>
  <c r="K1249" i="34"/>
  <c r="K1250" i="34"/>
  <c r="K1343" i="34"/>
  <c r="K1344" i="34"/>
  <c r="K1345" i="34"/>
  <c r="K1346" i="34"/>
  <c r="K1347" i="34"/>
  <c r="K1348" i="34"/>
  <c r="K1349" i="34"/>
  <c r="K1350" i="34"/>
  <c r="K1351" i="34"/>
  <c r="K1352" i="34"/>
  <c r="K1353" i="34"/>
  <c r="K1354" i="34"/>
  <c r="K1355" i="34"/>
  <c r="K1356" i="34"/>
  <c r="K1357" i="34"/>
  <c r="K1358" i="34"/>
  <c r="K1359" i="34"/>
  <c r="K1360" i="34"/>
  <c r="K1361" i="34"/>
  <c r="K1362" i="34"/>
  <c r="K1363" i="34"/>
  <c r="K1364" i="34"/>
  <c r="K1365" i="34"/>
  <c r="K1366" i="34"/>
  <c r="K1367" i="34"/>
  <c r="K1368" i="34"/>
  <c r="K1369" i="34"/>
  <c r="K1370" i="34"/>
  <c r="K1371" i="34"/>
  <c r="K1372" i="34"/>
  <c r="K1373" i="34"/>
  <c r="K1374" i="34"/>
  <c r="K1375" i="34"/>
  <c r="K1376" i="34"/>
  <c r="K1377" i="34"/>
  <c r="K1378" i="34"/>
  <c r="K1379" i="34"/>
  <c r="K1380" i="34"/>
  <c r="K1381" i="34"/>
  <c r="K1382" i="34"/>
  <c r="K1383" i="34"/>
  <c r="K1384" i="34"/>
  <c r="K1385" i="34"/>
  <c r="K1386" i="34"/>
  <c r="K1387" i="34"/>
  <c r="K1388" i="34"/>
  <c r="K1389" i="34"/>
  <c r="K1390" i="34"/>
  <c r="K1391" i="34"/>
  <c r="K1392" i="34"/>
  <c r="K1393" i="34"/>
  <c r="K1394" i="34"/>
  <c r="K1395" i="34"/>
  <c r="K1396" i="34"/>
  <c r="K1398" i="34"/>
  <c r="K1399" i="34"/>
  <c r="K1400" i="34"/>
  <c r="K1225" i="34"/>
  <c r="K1252" i="34"/>
  <c r="K1253" i="34"/>
  <c r="K1254" i="34"/>
  <c r="K1403" i="34"/>
  <c r="K1404" i="34"/>
  <c r="K1405" i="34"/>
  <c r="K1406" i="34"/>
  <c r="K1214" i="34"/>
  <c r="K1215" i="34"/>
  <c r="K1216" i="34"/>
  <c r="K1217" i="34"/>
  <c r="K1218" i="34"/>
  <c r="K1219" i="34"/>
  <c r="K1220" i="34"/>
  <c r="K1221" i="34"/>
  <c r="K1222" i="34"/>
  <c r="K1223" i="34"/>
  <c r="K1237" i="34"/>
  <c r="K1256" i="34"/>
  <c r="K1257" i="34"/>
  <c r="K1258" i="34"/>
  <c r="K1259" i="34"/>
  <c r="K1260" i="34"/>
  <c r="K1261" i="34"/>
  <c r="K1262" i="34"/>
  <c r="K1263" i="34"/>
  <c r="K1264" i="34"/>
  <c r="K1265" i="34"/>
  <c r="K1266" i="34"/>
  <c r="K1267" i="34"/>
  <c r="K1268" i="34"/>
  <c r="K1269" i="34"/>
  <c r="K1270" i="34"/>
  <c r="K1271" i="34"/>
  <c r="K1272" i="34"/>
  <c r="K1273" i="34"/>
  <c r="K1274" i="34"/>
  <c r="K1275" i="34"/>
  <c r="K1276" i="34"/>
  <c r="K1277" i="34"/>
  <c r="K1278" i="34"/>
  <c r="K1279" i="34"/>
  <c r="K1280" i="34"/>
  <c r="K1281" i="34"/>
  <c r="K1282" i="34"/>
  <c r="K1283" i="34"/>
  <c r="K1284" i="34"/>
  <c r="K1285" i="34"/>
  <c r="K1286" i="34"/>
  <c r="K1287" i="34"/>
  <c r="K1309" i="34"/>
  <c r="K1310" i="34"/>
  <c r="K1311" i="34"/>
  <c r="K1312" i="34"/>
  <c r="K1313" i="34"/>
  <c r="K1314" i="34"/>
  <c r="K1315" i="34"/>
  <c r="K1321" i="34"/>
  <c r="K1322" i="34"/>
  <c r="K1323" i="34"/>
  <c r="K1411" i="34"/>
  <c r="K1412" i="34"/>
  <c r="K1413" i="34"/>
  <c r="K1414" i="34"/>
  <c r="K1434" i="34"/>
  <c r="K1435" i="34"/>
  <c r="K1436" i="34"/>
  <c r="K1437" i="34"/>
  <c r="K1438" i="34"/>
  <c r="K31" i="34"/>
  <c r="K38" i="34"/>
  <c r="K39" i="34"/>
  <c r="K50" i="34"/>
  <c r="K52" i="34" s="1"/>
  <c r="K56" i="34"/>
  <c r="K57" i="34"/>
  <c r="K66" i="34"/>
  <c r="K67" i="34"/>
  <c r="K70" i="34"/>
  <c r="K72" i="34" s="1"/>
  <c r="K75" i="34"/>
  <c r="K76" i="34"/>
  <c r="K77" i="34"/>
  <c r="K91" i="34"/>
  <c r="K92" i="34"/>
  <c r="K93" i="34"/>
  <c r="K120" i="34"/>
  <c r="K122" i="34" s="1"/>
  <c r="K139" i="34"/>
  <c r="K144" i="34"/>
  <c r="K146" i="34" s="1"/>
  <c r="K149" i="34"/>
  <c r="K162" i="34"/>
  <c r="K168" i="34"/>
  <c r="K172" i="34"/>
  <c r="K173" i="34"/>
  <c r="K174" i="34"/>
  <c r="K175" i="34"/>
  <c r="K176" i="34"/>
  <c r="K177" i="34"/>
  <c r="K178" i="34"/>
  <c r="K180" i="34"/>
  <c r="K183" i="34"/>
  <c r="K184" i="34"/>
  <c r="K191" i="34"/>
  <c r="K192" i="34"/>
  <c r="K216" i="34"/>
  <c r="K217" i="34"/>
  <c r="K218" i="34"/>
  <c r="K219" i="34"/>
  <c r="K220" i="34"/>
  <c r="K273" i="34"/>
  <c r="K275" i="34" s="1"/>
  <c r="K292" i="34"/>
  <c r="K310" i="34"/>
  <c r="K311" i="34"/>
  <c r="K312" i="34"/>
  <c r="K313" i="34"/>
  <c r="K340" i="34"/>
  <c r="K342" i="34"/>
  <c r="K343" i="34"/>
  <c r="K344" i="34"/>
  <c r="K376" i="34"/>
  <c r="K377" i="34"/>
  <c r="K378" i="34"/>
  <c r="K379" i="34"/>
  <c r="K380" i="34"/>
  <c r="K385" i="34"/>
  <c r="K386" i="34"/>
  <c r="K388" i="34"/>
  <c r="K389" i="34"/>
  <c r="K391" i="34"/>
  <c r="K392" i="34"/>
  <c r="K394" i="34"/>
  <c r="K395" i="34"/>
  <c r="K397" i="34"/>
  <c r="K399" i="34"/>
  <c r="K400" i="34"/>
  <c r="K402" i="34"/>
  <c r="K403" i="34"/>
  <c r="K405" i="34"/>
  <c r="K406" i="34"/>
  <c r="K409" i="34"/>
  <c r="K431" i="34"/>
  <c r="K433" i="34" s="1"/>
  <c r="K464" i="34"/>
  <c r="K486" i="34"/>
  <c r="K490" i="34"/>
  <c r="K495" i="34"/>
  <c r="K501" i="34"/>
  <c r="K507" i="34"/>
  <c r="K515" i="34"/>
  <c r="K520" i="34"/>
  <c r="K521" i="34"/>
  <c r="K522" i="34"/>
  <c r="K523" i="34"/>
  <c r="K549" i="34"/>
  <c r="K578" i="34"/>
  <c r="K580" i="34" s="1"/>
  <c r="K581" i="34"/>
  <c r="K582" i="34"/>
  <c r="K588" i="34"/>
  <c r="K598" i="34"/>
  <c r="K599" i="34"/>
  <c r="K600" i="34"/>
  <c r="K601" i="34"/>
  <c r="K602" i="34"/>
  <c r="K604" i="34"/>
  <c r="K605" i="34"/>
  <c r="K621" i="34"/>
  <c r="K623" i="34"/>
  <c r="K624" i="34"/>
  <c r="K625" i="34"/>
  <c r="K626" i="34"/>
  <c r="K627" i="34"/>
  <c r="K629" i="34"/>
  <c r="K635" i="34"/>
  <c r="K637" i="34" s="1"/>
  <c r="K638" i="34"/>
  <c r="K639" i="34"/>
  <c r="K642" i="34"/>
  <c r="K649" i="34"/>
  <c r="K650" i="34"/>
  <c r="K707" i="34"/>
  <c r="K708" i="34"/>
  <c r="K737" i="34"/>
  <c r="K738" i="34"/>
  <c r="K741" i="34"/>
  <c r="K742" i="34"/>
  <c r="K744" i="34"/>
  <c r="K745" i="34"/>
  <c r="K748" i="34"/>
  <c r="K754" i="34"/>
  <c r="K755" i="34"/>
  <c r="K756" i="34"/>
  <c r="K757" i="34"/>
  <c r="K758" i="34"/>
  <c r="K786" i="34"/>
  <c r="K800" i="34"/>
  <c r="K806" i="34"/>
  <c r="K807" i="34"/>
  <c r="K808" i="34"/>
  <c r="K809" i="34"/>
  <c r="K810" i="34"/>
  <c r="K819" i="34"/>
  <c r="K824" i="34"/>
  <c r="K825" i="34"/>
  <c r="K827" i="34"/>
  <c r="K828" i="34"/>
  <c r="K829" i="34"/>
  <c r="K831" i="34"/>
  <c r="K833" i="34" s="1"/>
  <c r="K834" i="34"/>
  <c r="K835" i="34"/>
  <c r="K836" i="34"/>
  <c r="K837" i="34"/>
  <c r="K838" i="34"/>
  <c r="K839" i="34"/>
  <c r="K840" i="34"/>
  <c r="K842" i="34"/>
  <c r="K846" i="34"/>
  <c r="K847" i="34"/>
  <c r="K848" i="34"/>
  <c r="K849" i="34"/>
  <c r="K883" i="34"/>
  <c r="K909" i="34"/>
  <c r="K910" i="34"/>
  <c r="K912" i="34"/>
  <c r="K914" i="34"/>
  <c r="K916" i="34"/>
  <c r="K950" i="34"/>
  <c r="K951" i="34"/>
  <c r="K952" i="34"/>
  <c r="K953" i="34"/>
  <c r="K954" i="34"/>
  <c r="K955" i="34"/>
  <c r="K956" i="34"/>
  <c r="K957" i="34"/>
  <c r="K958" i="34"/>
  <c r="K960" i="34"/>
  <c r="K961" i="34"/>
  <c r="K962" i="34"/>
  <c r="K963" i="34"/>
  <c r="K964" i="34"/>
  <c r="K965" i="34"/>
  <c r="K966" i="34"/>
  <c r="K967" i="34"/>
  <c r="K968" i="34"/>
  <c r="K969" i="34"/>
  <c r="K1005" i="34"/>
  <c r="K1007" i="34" s="1"/>
  <c r="K1029" i="34"/>
  <c r="K1044" i="34"/>
  <c r="K1047" i="34"/>
  <c r="K1048" i="34"/>
  <c r="K1049" i="34"/>
  <c r="K1050" i="34"/>
  <c r="K1051" i="34"/>
  <c r="K1052" i="34"/>
  <c r="K1053" i="34"/>
  <c r="K1054" i="34"/>
  <c r="K1056" i="34"/>
  <c r="K1057" i="34"/>
  <c r="K1058" i="34"/>
  <c r="K1059" i="34"/>
  <c r="K1060" i="34"/>
  <c r="K1061" i="34"/>
  <c r="K1062" i="34"/>
  <c r="K1063" i="34"/>
  <c r="K1103" i="34"/>
  <c r="K1105" i="34" s="1"/>
  <c r="K1124" i="34"/>
  <c r="K1125" i="34"/>
  <c r="K1126" i="34"/>
  <c r="K1135" i="34"/>
  <c r="K1139" i="34"/>
  <c r="K1141" i="34"/>
  <c r="K1142" i="34"/>
  <c r="K1147" i="34"/>
  <c r="K1150" i="34"/>
  <c r="K1171" i="34"/>
  <c r="K1179" i="34"/>
  <c r="K1180" i="34"/>
  <c r="K1181" i="34"/>
  <c r="K1182" i="34"/>
  <c r="K1183" i="34"/>
  <c r="K1184" i="34"/>
  <c r="K1187" i="34"/>
  <c r="K1188" i="34"/>
  <c r="K1189" i="34"/>
  <c r="K1190" i="34"/>
  <c r="K1206" i="34"/>
  <c r="K1209" i="34"/>
  <c r="K1232" i="34"/>
  <c r="K1289" i="34"/>
  <c r="K1290" i="34"/>
  <c r="K1293" i="34"/>
  <c r="K1294" i="34"/>
  <c r="K1295" i="34"/>
  <c r="K1296" i="34"/>
  <c r="K1300" i="34"/>
  <c r="K1303" i="34"/>
  <c r="K1304" i="34"/>
  <c r="K1305" i="34"/>
  <c r="K1306" i="34"/>
  <c r="K1317" i="34"/>
  <c r="K1325" i="34"/>
  <c r="K1326" i="34"/>
  <c r="K1337" i="34"/>
  <c r="K1339" i="34"/>
  <c r="K1340" i="34"/>
  <c r="K1416" i="34"/>
  <c r="K1417" i="34"/>
  <c r="K1440" i="34"/>
  <c r="K1441" i="34"/>
  <c r="K1444" i="34"/>
  <c r="K1445" i="34"/>
  <c r="K1446" i="34"/>
  <c r="K1447" i="34"/>
  <c r="K1448" i="34"/>
  <c r="K1449" i="34"/>
  <c r="K1450" i="34"/>
  <c r="K1451" i="34"/>
  <c r="K1452" i="34"/>
  <c r="K1453" i="34"/>
  <c r="K1454" i="34"/>
  <c r="K1455" i="34"/>
  <c r="K1456" i="34"/>
  <c r="K1457" i="34"/>
  <c r="K1458" i="34"/>
  <c r="K1459" i="34"/>
  <c r="K1460" i="34"/>
  <c r="K1461" i="34"/>
  <c r="K1462" i="34"/>
  <c r="K1463" i="34"/>
  <c r="K1464" i="34"/>
  <c r="K1465" i="34"/>
  <c r="K1466" i="34"/>
  <c r="K1467" i="34"/>
  <c r="K1468" i="34"/>
  <c r="K1469" i="34"/>
  <c r="K1470" i="34"/>
  <c r="K1471" i="34"/>
  <c r="K1472" i="34"/>
  <c r="K1473" i="34"/>
  <c r="K1474" i="34"/>
  <c r="K1475" i="34"/>
  <c r="K1476" i="34"/>
  <c r="K1477" i="34"/>
  <c r="K1478" i="34"/>
  <c r="K1479" i="34"/>
  <c r="K1480" i="34"/>
  <c r="K1481" i="34"/>
  <c r="K1482" i="34"/>
  <c r="K1483" i="34"/>
  <c r="K1484" i="34"/>
  <c r="K1485" i="34"/>
  <c r="K1486" i="34"/>
  <c r="K1487" i="34"/>
  <c r="K1489" i="34"/>
  <c r="K1490" i="34"/>
  <c r="K1491" i="34"/>
  <c r="K1492" i="34"/>
  <c r="K1493" i="34"/>
  <c r="K1494" i="34"/>
  <c r="K1495" i="34"/>
  <c r="K1496" i="34"/>
  <c r="K1497" i="34"/>
  <c r="K1498" i="34"/>
  <c r="K1499" i="34"/>
  <c r="K1500" i="34"/>
  <c r="K1501" i="34"/>
  <c r="K1502" i="34"/>
  <c r="K1503" i="34"/>
  <c r="K1504" i="34"/>
  <c r="K1505" i="34"/>
  <c r="K1507" i="34"/>
  <c r="K1508" i="34"/>
  <c r="K1509" i="34"/>
  <c r="K1510" i="34"/>
  <c r="K1511" i="34"/>
  <c r="K1512" i="34"/>
  <c r="K1513" i="34"/>
  <c r="K1514" i="34"/>
  <c r="K1515" i="34"/>
  <c r="K1516" i="34"/>
  <c r="K1517" i="34"/>
  <c r="K1518" i="34"/>
  <c r="K1519" i="34"/>
  <c r="K1520" i="34"/>
  <c r="K1521" i="34"/>
  <c r="K1522" i="34"/>
  <c r="K1523" i="34"/>
  <c r="K1524" i="34"/>
  <c r="K1525" i="34"/>
  <c r="K1526" i="34"/>
  <c r="K1527" i="34"/>
  <c r="K1528" i="34"/>
  <c r="K1529" i="34"/>
  <c r="K1530" i="34"/>
  <c r="K1531" i="34"/>
  <c r="K1532" i="34"/>
  <c r="K1533" i="34"/>
  <c r="K1534" i="34"/>
  <c r="K1535" i="34"/>
  <c r="K1536" i="34"/>
  <c r="K1537" i="34"/>
  <c r="K1538" i="34"/>
  <c r="K1539" i="34"/>
  <c r="K1540" i="34"/>
  <c r="K1541" i="34"/>
  <c r="K1542" i="34"/>
  <c r="K1543" i="34"/>
  <c r="K1544" i="34"/>
  <c r="K1545" i="34"/>
  <c r="K1546" i="34"/>
  <c r="K1547" i="34"/>
  <c r="K1548" i="34"/>
  <c r="K1549" i="34"/>
  <c r="K1550" i="34"/>
  <c r="K1551" i="34"/>
  <c r="K1552" i="34"/>
  <c r="K1553" i="34"/>
  <c r="K1554" i="34"/>
  <c r="K1555" i="34"/>
  <c r="K1556" i="34"/>
  <c r="K1557" i="34"/>
  <c r="K1558" i="34"/>
  <c r="K1559" i="34"/>
  <c r="K1560" i="34"/>
  <c r="K1561" i="34"/>
  <c r="K1562" i="34"/>
  <c r="K1563" i="34"/>
  <c r="K1564" i="34"/>
  <c r="K1565" i="34"/>
  <c r="K1566" i="34"/>
  <c r="K1567" i="34"/>
  <c r="K1568" i="34"/>
  <c r="K1569" i="34"/>
  <c r="K1570" i="34"/>
  <c r="K1571" i="34"/>
  <c r="K1572" i="34"/>
  <c r="K1573" i="34"/>
  <c r="K1574" i="34"/>
  <c r="K1575" i="34"/>
  <c r="K1576" i="34"/>
  <c r="K1577" i="34"/>
  <c r="K1578" i="34"/>
  <c r="K1579" i="34"/>
  <c r="K1580" i="34"/>
  <c r="K1581" i="34"/>
  <c r="K1582" i="34"/>
  <c r="K1583" i="34"/>
  <c r="K1584" i="34"/>
  <c r="K1585" i="34"/>
  <c r="K1586" i="34"/>
  <c r="K1587" i="34"/>
  <c r="K1588" i="34"/>
  <c r="K1589" i="34"/>
  <c r="K1590" i="34"/>
  <c r="K1591" i="34"/>
  <c r="K1592" i="34"/>
  <c r="K1593" i="34"/>
  <c r="K1594" i="34"/>
  <c r="K1595" i="34"/>
  <c r="K1596" i="34"/>
  <c r="K1597" i="34"/>
  <c r="K1598" i="34"/>
  <c r="K1599" i="34"/>
  <c r="K1600" i="34"/>
  <c r="K1601" i="34"/>
  <c r="K1602" i="34"/>
  <c r="K1603" i="34"/>
  <c r="K1604" i="34"/>
  <c r="K1605" i="34"/>
  <c r="K1606" i="34"/>
  <c r="K1607" i="34"/>
  <c r="K1608" i="34"/>
  <c r="K1609" i="34"/>
  <c r="K1610" i="34"/>
  <c r="K1611" i="34"/>
  <c r="K1612" i="34"/>
  <c r="K1613" i="34"/>
  <c r="K1614" i="34"/>
  <c r="K1615" i="34"/>
  <c r="K1616" i="34"/>
  <c r="K1617" i="34"/>
  <c r="K1618" i="34"/>
  <c r="K1619" i="34"/>
  <c r="K1620" i="34"/>
  <c r="K1621" i="34"/>
  <c r="K1622" i="34"/>
  <c r="K1623" i="34"/>
  <c r="K1624" i="34"/>
  <c r="K1625" i="34"/>
  <c r="K1626" i="34"/>
  <c r="K1627" i="34"/>
  <c r="K1628" i="34"/>
  <c r="K1629" i="34"/>
  <c r="K1630" i="34"/>
  <c r="K1631" i="34"/>
  <c r="K1632" i="34"/>
  <c r="K1633" i="34"/>
  <c r="K1634" i="34"/>
  <c r="K1635" i="34"/>
  <c r="K1636" i="34"/>
  <c r="K1637" i="34"/>
  <c r="K1638" i="34"/>
  <c r="K1639" i="34"/>
  <c r="K1640" i="34"/>
  <c r="K1641" i="34"/>
  <c r="K1642" i="34"/>
  <c r="K1643" i="34"/>
  <c r="K1644" i="34"/>
  <c r="K1645" i="34"/>
  <c r="K1646" i="34"/>
  <c r="K1647" i="34"/>
  <c r="K1648" i="34"/>
  <c r="K1649" i="34"/>
  <c r="K1650" i="34"/>
  <c r="K1651" i="34"/>
  <c r="K1652" i="34"/>
  <c r="K1653" i="34"/>
  <c r="K1654" i="34"/>
  <c r="K1655" i="34"/>
  <c r="K1656" i="34"/>
  <c r="K1657" i="34"/>
  <c r="K1658" i="34"/>
  <c r="K1659" i="34"/>
  <c r="K1660" i="34"/>
  <c r="K1661" i="34"/>
  <c r="K1662" i="34"/>
  <c r="K1663" i="34"/>
  <c r="K1664" i="34"/>
  <c r="K1665" i="34"/>
  <c r="K1666" i="34"/>
  <c r="K1667" i="34"/>
  <c r="K1668" i="34"/>
  <c r="K1669" i="34"/>
  <c r="K1670" i="34"/>
  <c r="K1671" i="34"/>
  <c r="K1672" i="34"/>
  <c r="K1673" i="34"/>
  <c r="K1674" i="34"/>
  <c r="K1675" i="34"/>
  <c r="K1676" i="34"/>
  <c r="K1677" i="34"/>
  <c r="K1678" i="34"/>
  <c r="K1679" i="34"/>
  <c r="K1680" i="34"/>
  <c r="K1681" i="34"/>
  <c r="K1682" i="34"/>
  <c r="K1683" i="34"/>
  <c r="K1684" i="34"/>
  <c r="K1685" i="34"/>
  <c r="K1686" i="34"/>
  <c r="K1687" i="34"/>
  <c r="K1688" i="34"/>
  <c r="K1689" i="34"/>
  <c r="K1690" i="34"/>
  <c r="K1691" i="34"/>
  <c r="K1692" i="34"/>
  <c r="K1693" i="34"/>
  <c r="K1694" i="34"/>
  <c r="K1695" i="34"/>
  <c r="K1696" i="34"/>
  <c r="K1697" i="34"/>
  <c r="K1698" i="34"/>
  <c r="K1699" i="34"/>
  <c r="K1700" i="34"/>
  <c r="K1701" i="34"/>
  <c r="K1702" i="34"/>
  <c r="K1703" i="34"/>
  <c r="K1704" i="34"/>
  <c r="K1705" i="34"/>
  <c r="K1706" i="34"/>
  <c r="K1707" i="34"/>
  <c r="K1708" i="34"/>
  <c r="K1709" i="34"/>
  <c r="K1710" i="34"/>
  <c r="K1711" i="34"/>
  <c r="K1712" i="34"/>
  <c r="K1713" i="34"/>
  <c r="K1714" i="34"/>
  <c r="K1715" i="34"/>
  <c r="K1716" i="34"/>
  <c r="K1717" i="34"/>
  <c r="K1718" i="34"/>
  <c r="K1719" i="34"/>
  <c r="K1720" i="34"/>
  <c r="K1721" i="34"/>
  <c r="K1722" i="34"/>
  <c r="K1723" i="34"/>
  <c r="K1724" i="34"/>
  <c r="K1725" i="34"/>
  <c r="K1726" i="34"/>
  <c r="K1727" i="34"/>
  <c r="K1728" i="34"/>
  <c r="K1729" i="34"/>
  <c r="K1730" i="34"/>
  <c r="K1731" i="34"/>
  <c r="K1732" i="34"/>
  <c r="K1733" i="34"/>
  <c r="K1734" i="34"/>
  <c r="K1735" i="34"/>
  <c r="K1736" i="34"/>
  <c r="K1737" i="34"/>
  <c r="K1738" i="34"/>
  <c r="K1739" i="34"/>
  <c r="K1740" i="34"/>
  <c r="K1741" i="34"/>
  <c r="K1742" i="34"/>
  <c r="K1743" i="34"/>
  <c r="K1744" i="34"/>
  <c r="K1745" i="34"/>
  <c r="K1746" i="34"/>
  <c r="K1747" i="34"/>
  <c r="K1748" i="34"/>
  <c r="K1749" i="34"/>
  <c r="K1750" i="34"/>
  <c r="K1751" i="34"/>
  <c r="K1752" i="34"/>
  <c r="K1753" i="34"/>
  <c r="K1754" i="34"/>
  <c r="K1755" i="34"/>
  <c r="K1756" i="34"/>
  <c r="K1757" i="34"/>
  <c r="K1758" i="34"/>
  <c r="K1759" i="34"/>
  <c r="K1760" i="34"/>
  <c r="K1761" i="34"/>
  <c r="K1762" i="34"/>
  <c r="K1763" i="34"/>
  <c r="K1764" i="34"/>
  <c r="K1765" i="34"/>
  <c r="K1766" i="34"/>
  <c r="K1767" i="34"/>
  <c r="K1768" i="34"/>
  <c r="K1769" i="34"/>
  <c r="K1770" i="34"/>
  <c r="K1771" i="34"/>
  <c r="K1772" i="34"/>
  <c r="K1773" i="34"/>
  <c r="K1774" i="34"/>
  <c r="K1775" i="34"/>
  <c r="K1776" i="34"/>
  <c r="K1777" i="34"/>
  <c r="K1778" i="34"/>
  <c r="K1779" i="34"/>
  <c r="K1780" i="34"/>
  <c r="K1781" i="34"/>
  <c r="K1782" i="34"/>
  <c r="K1783" i="34"/>
  <c r="K1784" i="34"/>
  <c r="K1785" i="34"/>
  <c r="K1786" i="34"/>
  <c r="K1787" i="34"/>
  <c r="K1788" i="34"/>
  <c r="K1789" i="34"/>
  <c r="K1790" i="34"/>
  <c r="K1791" i="34"/>
  <c r="K1792" i="34"/>
  <c r="K1793" i="34"/>
  <c r="K1794" i="34"/>
  <c r="K1795" i="34"/>
  <c r="K1796" i="34"/>
  <c r="K1797" i="34"/>
  <c r="K1798" i="34"/>
  <c r="K1799" i="34"/>
  <c r="K1800" i="34"/>
  <c r="K1801" i="34"/>
  <c r="K1802" i="34"/>
  <c r="K1803" i="34"/>
  <c r="K1804" i="34"/>
  <c r="K1805" i="34"/>
  <c r="K1806" i="34"/>
  <c r="K1807" i="34"/>
  <c r="K1808" i="34"/>
  <c r="K1809" i="34"/>
  <c r="K1810" i="34"/>
  <c r="K1811" i="34"/>
  <c r="K1812" i="34"/>
  <c r="K1813" i="34"/>
  <c r="K1814" i="34"/>
  <c r="K1815" i="34"/>
  <c r="K1816" i="34"/>
  <c r="K1817" i="34"/>
  <c r="K1818" i="34"/>
  <c r="K1819" i="34"/>
  <c r="K1820" i="34"/>
  <c r="K1821" i="34"/>
  <c r="K1822" i="34"/>
  <c r="K1823" i="34"/>
  <c r="K1824" i="34"/>
  <c r="K1825" i="34"/>
  <c r="K1826" i="34"/>
  <c r="K1827" i="34"/>
  <c r="K1828" i="34"/>
  <c r="K1829" i="34"/>
  <c r="K1830" i="34"/>
  <c r="K1831" i="34"/>
  <c r="K1832" i="34"/>
  <c r="K1833" i="34"/>
  <c r="K1834" i="34"/>
  <c r="K1835" i="34"/>
  <c r="K1836" i="34"/>
  <c r="K1837" i="34"/>
  <c r="K1838" i="34"/>
  <c r="K1839" i="34"/>
  <c r="K1840" i="34"/>
  <c r="K1841" i="34"/>
  <c r="K1842" i="34"/>
  <c r="K1843" i="34"/>
  <c r="K1844" i="34"/>
  <c r="K1845" i="34"/>
  <c r="K1846" i="34"/>
  <c r="K1847" i="34"/>
  <c r="K1848" i="34"/>
  <c r="K1849" i="34"/>
  <c r="K1850" i="34"/>
  <c r="K1851" i="34"/>
  <c r="K1852" i="34"/>
  <c r="K1853" i="34"/>
  <c r="K1854" i="34"/>
  <c r="K1855" i="34"/>
  <c r="K1856" i="34"/>
  <c r="K1857" i="34"/>
  <c r="K1858" i="34"/>
  <c r="K1859" i="34"/>
  <c r="K1860" i="34"/>
  <c r="K1861" i="34"/>
  <c r="K1862" i="34"/>
  <c r="K1863" i="34"/>
  <c r="K1864" i="34"/>
  <c r="K1865" i="34"/>
  <c r="K1866" i="34"/>
  <c r="K1867" i="34"/>
  <c r="K1868" i="34"/>
  <c r="K1869" i="34"/>
  <c r="K1870" i="34"/>
  <c r="K1871" i="34"/>
  <c r="K1872" i="34"/>
  <c r="K1873" i="34"/>
  <c r="K1874" i="34"/>
  <c r="K1875" i="34"/>
  <c r="K1876" i="34"/>
  <c r="K1877" i="34"/>
  <c r="K1878" i="34"/>
  <c r="K1879" i="34"/>
  <c r="K1880" i="34"/>
  <c r="K1881" i="34"/>
  <c r="K1882" i="34"/>
  <c r="K1883" i="34"/>
  <c r="K1884" i="34"/>
  <c r="K1885" i="34"/>
  <c r="K1886" i="34"/>
  <c r="K1887" i="34"/>
  <c r="K1888" i="34"/>
  <c r="K1889" i="34"/>
  <c r="K1890" i="34"/>
  <c r="K1891" i="34"/>
  <c r="K1892" i="34"/>
  <c r="K1893" i="34"/>
  <c r="K1894" i="34"/>
  <c r="K1895" i="34"/>
  <c r="K1896" i="34"/>
  <c r="K1897" i="34"/>
  <c r="K1898" i="34"/>
  <c r="K1899" i="34"/>
  <c r="K1900" i="34"/>
  <c r="K1901" i="34"/>
  <c r="K1902" i="34"/>
  <c r="K1903" i="34"/>
  <c r="K1904" i="34"/>
  <c r="K1905" i="34"/>
  <c r="K1906" i="34"/>
  <c r="K1907" i="34"/>
  <c r="K1908" i="34"/>
  <c r="K1909" i="34"/>
  <c r="K1910" i="34"/>
  <c r="K1911" i="34"/>
  <c r="K1912" i="34"/>
  <c r="K1913" i="34"/>
  <c r="K1914" i="34"/>
  <c r="K1915" i="34"/>
  <c r="K1916" i="34"/>
  <c r="K1917" i="34"/>
  <c r="K1918" i="34"/>
  <c r="K1919" i="34"/>
  <c r="K1920" i="34"/>
  <c r="K1921" i="34"/>
  <c r="K1922" i="34"/>
  <c r="K1923" i="34"/>
  <c r="K1924" i="34"/>
  <c r="K1925" i="34"/>
  <c r="K1926" i="34"/>
  <c r="K1927" i="34"/>
  <c r="K1928" i="34"/>
  <c r="K1929" i="34"/>
  <c r="K1930" i="34"/>
  <c r="K1931" i="34"/>
  <c r="K1932" i="34"/>
  <c r="K1933" i="34"/>
  <c r="K1934" i="34"/>
  <c r="K1935" i="34"/>
  <c r="K1936" i="34"/>
  <c r="K1937" i="34"/>
  <c r="K1938" i="34"/>
  <c r="K1939" i="34"/>
  <c r="K1940" i="34"/>
  <c r="K1941" i="34"/>
  <c r="K1942" i="34"/>
  <c r="K1943" i="34"/>
  <c r="K1944" i="34"/>
  <c r="K1945" i="34"/>
  <c r="K1946" i="34"/>
  <c r="K1947" i="34"/>
  <c r="K1948" i="34"/>
  <c r="K1949" i="34"/>
  <c r="K1950" i="34"/>
  <c r="K1951" i="34"/>
  <c r="K1952" i="34"/>
  <c r="K1953" i="34"/>
  <c r="K1954" i="34"/>
  <c r="K1955" i="34"/>
  <c r="K1956" i="34"/>
  <c r="K1957" i="34"/>
  <c r="K1958" i="34"/>
  <c r="K1959" i="34"/>
  <c r="K1960" i="34"/>
  <c r="K1961" i="34"/>
  <c r="K1962" i="34"/>
  <c r="K1963" i="34"/>
  <c r="K1964" i="34"/>
  <c r="K1965" i="34"/>
  <c r="K1966" i="34"/>
  <c r="K1967" i="34"/>
  <c r="K1968" i="34"/>
  <c r="K1969" i="34"/>
  <c r="K1970" i="34"/>
  <c r="K1971" i="34"/>
  <c r="K1972" i="34"/>
  <c r="K1973" i="34"/>
  <c r="K1974" i="34"/>
  <c r="K1975" i="34"/>
  <c r="K1976" i="34"/>
  <c r="K1977" i="34"/>
  <c r="K1978" i="34"/>
  <c r="K1979" i="34"/>
  <c r="K1980" i="34"/>
  <c r="K1981" i="34"/>
  <c r="K1982" i="34"/>
  <c r="K1983" i="34"/>
  <c r="K1984" i="34"/>
  <c r="K1985" i="34"/>
  <c r="K1986" i="34"/>
  <c r="K1987" i="34"/>
  <c r="K1988" i="34"/>
  <c r="K1989" i="34"/>
  <c r="K1990" i="34"/>
  <c r="K1991" i="34"/>
  <c r="K1992" i="34"/>
  <c r="K1993" i="34"/>
  <c r="K1994" i="34"/>
  <c r="K1995" i="34"/>
  <c r="K1996" i="34"/>
  <c r="K1997" i="34"/>
  <c r="D7" i="56"/>
  <c r="F34" i="56" l="1"/>
  <c r="F33" i="56"/>
  <c r="H34" i="56"/>
  <c r="A10" i="56"/>
  <c r="A12" i="56"/>
  <c r="A11" i="56"/>
  <c r="K315" i="34"/>
  <c r="K194" i="34"/>
  <c r="K346" i="34"/>
  <c r="C1028" i="34"/>
  <c r="B1028" i="34" s="1"/>
  <c r="C309" i="34"/>
  <c r="B309" i="34" s="1"/>
  <c r="C1227" i="34"/>
  <c r="B1227" i="34" s="1"/>
  <c r="C750" i="34"/>
  <c r="B750" i="34" s="1"/>
  <c r="C740" i="34"/>
  <c r="B740" i="34" s="1"/>
  <c r="C644" i="34"/>
  <c r="B644" i="34" s="1"/>
  <c r="C631" i="34"/>
  <c r="B631" i="34" s="1"/>
  <c r="C607" i="34"/>
  <c r="B607" i="34" s="1"/>
  <c r="C517" i="34"/>
  <c r="B517" i="34" s="1"/>
  <c r="C518" i="34"/>
  <c r="B518" i="34" s="1"/>
  <c r="C509" i="34"/>
  <c r="B509" i="34" s="1"/>
  <c r="C502" i="34"/>
  <c r="B502" i="34" s="1"/>
  <c r="C497" i="34"/>
  <c r="B497" i="34" s="1"/>
  <c r="C492" i="34"/>
  <c r="B492" i="34" s="1"/>
  <c r="A492" i="34" l="1"/>
  <c r="Z492" i="34"/>
  <c r="W492" i="34"/>
  <c r="U492" i="34"/>
  <c r="A518" i="34"/>
  <c r="Z518" i="34"/>
  <c r="W518" i="34"/>
  <c r="U518" i="34"/>
  <c r="A497" i="34"/>
  <c r="U497" i="34"/>
  <c r="Z497" i="34"/>
  <c r="W497" i="34"/>
  <c r="A517" i="34"/>
  <c r="U517" i="34"/>
  <c r="Z517" i="34"/>
  <c r="W517" i="34"/>
  <c r="A740" i="34"/>
  <c r="W740" i="34"/>
  <c r="U740" i="34"/>
  <c r="Z740" i="34"/>
  <c r="A1028" i="34"/>
  <c r="Z1028" i="34"/>
  <c r="W1028" i="34"/>
  <c r="U1028" i="34"/>
  <c r="A502" i="34"/>
  <c r="Z502" i="34"/>
  <c r="W502" i="34"/>
  <c r="U502" i="34"/>
  <c r="A607" i="34"/>
  <c r="U607" i="34"/>
  <c r="Z607" i="34"/>
  <c r="W607" i="34"/>
  <c r="A750" i="34"/>
  <c r="W750" i="34"/>
  <c r="U750" i="34"/>
  <c r="Z750" i="34"/>
  <c r="A509" i="34"/>
  <c r="U509" i="34"/>
  <c r="Z509" i="34"/>
  <c r="W509" i="34"/>
  <c r="A631" i="34"/>
  <c r="U631" i="34"/>
  <c r="Z631" i="34"/>
  <c r="W631" i="34"/>
  <c r="A1227" i="34"/>
  <c r="Z1227" i="34"/>
  <c r="W1227" i="34"/>
  <c r="U1227" i="34"/>
  <c r="A644" i="34"/>
  <c r="W644" i="34"/>
  <c r="U644" i="34"/>
  <c r="Z644" i="34"/>
  <c r="A309" i="34"/>
  <c r="U309" i="34"/>
  <c r="Z309" i="34"/>
  <c r="W309" i="34"/>
  <c r="C844" i="34"/>
  <c r="B844" i="34" s="1"/>
  <c r="C1031" i="34"/>
  <c r="B1031" i="34" s="1"/>
  <c r="C1173" i="34"/>
  <c r="B1173" i="34" s="1"/>
  <c r="C1342" i="34"/>
  <c r="B1342" i="34" s="1"/>
  <c r="C408" i="34"/>
  <c r="B408" i="34" s="1"/>
  <c r="C170" i="34"/>
  <c r="B170" i="34" s="1"/>
  <c r="C164" i="34"/>
  <c r="B164" i="34" s="1"/>
  <c r="C1302" i="34"/>
  <c r="B1302" i="34" s="1"/>
  <c r="C186" i="34"/>
  <c r="B186" i="34" s="1"/>
  <c r="C151" i="34"/>
  <c r="B151" i="34" s="1"/>
  <c r="C59" i="34"/>
  <c r="B59" i="34" s="1"/>
  <c r="C41" i="34"/>
  <c r="B41" i="34" s="1"/>
  <c r="C33" i="34"/>
  <c r="B33" i="34" s="1"/>
  <c r="A59" i="34" l="1"/>
  <c r="Z59" i="34"/>
  <c r="W59" i="34"/>
  <c r="U59" i="34"/>
  <c r="A151" i="34"/>
  <c r="W151" i="34"/>
  <c r="U151" i="34"/>
  <c r="Z151" i="34"/>
  <c r="A186" i="34"/>
  <c r="U186" i="34"/>
  <c r="Z186" i="34"/>
  <c r="W186" i="34"/>
  <c r="A408" i="34"/>
  <c r="W408" i="34"/>
  <c r="U408" i="34"/>
  <c r="Z408" i="34"/>
  <c r="A844" i="34"/>
  <c r="W844" i="34"/>
  <c r="U844" i="34"/>
  <c r="Z844" i="34"/>
  <c r="A41" i="34"/>
  <c r="Z41" i="34"/>
  <c r="W41" i="34"/>
  <c r="U41" i="34"/>
  <c r="A1302" i="34"/>
  <c r="U1302" i="34"/>
  <c r="Z1302" i="34"/>
  <c r="W1302" i="34"/>
  <c r="A1342" i="34"/>
  <c r="U1342" i="34"/>
  <c r="Z1342" i="34"/>
  <c r="W1342" i="34"/>
  <c r="A164" i="34"/>
  <c r="U164" i="34"/>
  <c r="Z164" i="34"/>
  <c r="W164" i="34"/>
  <c r="A1173" i="34"/>
  <c r="U1173" i="34"/>
  <c r="Z1173" i="34"/>
  <c r="W1173" i="34"/>
  <c r="A1031" i="34"/>
  <c r="U1031" i="34"/>
  <c r="Z1031" i="34"/>
  <c r="W1031" i="34"/>
  <c r="A170" i="34"/>
  <c r="U170" i="34"/>
  <c r="Z170" i="34"/>
  <c r="W170" i="34"/>
  <c r="A33" i="34"/>
  <c r="Z33" i="34"/>
  <c r="W33" i="34"/>
  <c r="U33" i="34"/>
  <c r="C69" i="34"/>
  <c r="B69" i="34" s="1"/>
  <c r="C812" i="34"/>
  <c r="B812" i="34" s="1"/>
  <c r="C1128" i="34"/>
  <c r="B1128" i="34" s="1"/>
  <c r="C1234" i="34"/>
  <c r="B1234" i="34" s="1"/>
  <c r="C1144" i="34"/>
  <c r="B1144" i="34" s="1"/>
  <c r="C488" i="34"/>
  <c r="B488" i="34" s="1"/>
  <c r="C971" i="34"/>
  <c r="B971" i="34" s="1"/>
  <c r="C1308" i="34"/>
  <c r="B1308" i="34" s="1"/>
  <c r="C525" i="34"/>
  <c r="B525" i="34" s="1"/>
  <c r="C802" i="34"/>
  <c r="B802" i="34" s="1"/>
  <c r="C885" i="34"/>
  <c r="B885" i="34" s="1"/>
  <c r="C744" i="34"/>
  <c r="B744" i="34" s="1"/>
  <c r="C551" i="34"/>
  <c r="B551" i="34" s="1"/>
  <c r="C590" i="34"/>
  <c r="B590" i="34" s="1"/>
  <c r="C788" i="34"/>
  <c r="B788" i="34" s="1"/>
  <c r="C918" i="34"/>
  <c r="B918" i="34" s="1"/>
  <c r="C1149" i="34"/>
  <c r="B1149" i="34" s="1"/>
  <c r="C1419" i="34"/>
  <c r="B1419" i="34" s="1"/>
  <c r="C1443" i="34"/>
  <c r="B1443" i="34" s="1"/>
  <c r="C652" i="34"/>
  <c r="B652" i="34" s="1"/>
  <c r="C1319" i="34"/>
  <c r="B1319" i="34" s="1"/>
  <c r="C1211" i="34"/>
  <c r="B1211" i="34" s="1"/>
  <c r="C1152" i="34"/>
  <c r="B1152" i="34" s="1"/>
  <c r="C1105" i="34"/>
  <c r="B1105" i="34" s="1"/>
  <c r="C1007" i="34"/>
  <c r="B1007" i="34" s="1"/>
  <c r="C833" i="34"/>
  <c r="B833" i="34" s="1"/>
  <c r="C821" i="34"/>
  <c r="B821" i="34" s="1"/>
  <c r="A1152" i="34" l="1"/>
  <c r="Z1152" i="34"/>
  <c r="W1152" i="34"/>
  <c r="U1152" i="34"/>
  <c r="A885" i="34"/>
  <c r="U885" i="34"/>
  <c r="Z885" i="34"/>
  <c r="W885" i="34"/>
  <c r="A1211" i="34"/>
  <c r="U1211" i="34"/>
  <c r="Z1211" i="34"/>
  <c r="W1211" i="34"/>
  <c r="A590" i="34"/>
  <c r="W590" i="34"/>
  <c r="U590" i="34"/>
  <c r="Z590" i="34"/>
  <c r="A488" i="34"/>
  <c r="Z488" i="34"/>
  <c r="W488" i="34"/>
  <c r="U488" i="34"/>
  <c r="A1007" i="34"/>
  <c r="U1007" i="34"/>
  <c r="Z1007" i="34"/>
  <c r="W1007" i="34"/>
  <c r="A1319" i="34"/>
  <c r="Z1319" i="34"/>
  <c r="W1319" i="34"/>
  <c r="U1319" i="34"/>
  <c r="A1149" i="34"/>
  <c r="U1149" i="34"/>
  <c r="Z1149" i="34"/>
  <c r="W1149" i="34"/>
  <c r="A525" i="34"/>
  <c r="U525" i="34"/>
  <c r="Z525" i="34"/>
  <c r="W525" i="34"/>
  <c r="A1144" i="34"/>
  <c r="Z1144" i="34"/>
  <c r="W1144" i="34"/>
  <c r="U1144" i="34"/>
  <c r="A1105" i="34"/>
  <c r="U1105" i="34"/>
  <c r="Z1105" i="34"/>
  <c r="W1105" i="34"/>
  <c r="A652" i="34"/>
  <c r="W652" i="34"/>
  <c r="U652" i="34"/>
  <c r="Z652" i="34"/>
  <c r="A918" i="34"/>
  <c r="Z918" i="34"/>
  <c r="W918" i="34"/>
  <c r="U918" i="34"/>
  <c r="A744" i="34"/>
  <c r="W744" i="34"/>
  <c r="U744" i="34"/>
  <c r="Z744" i="34"/>
  <c r="A1308" i="34"/>
  <c r="U1308" i="34"/>
  <c r="Z1308" i="34"/>
  <c r="W1308" i="34"/>
  <c r="A1234" i="34"/>
  <c r="Z1234" i="34"/>
  <c r="U1234" i="34"/>
  <c r="W1234" i="34"/>
  <c r="A1443" i="34"/>
  <c r="Z1443" i="34"/>
  <c r="W1443" i="34"/>
  <c r="U1443" i="34"/>
  <c r="A971" i="34"/>
  <c r="U971" i="34"/>
  <c r="Z971" i="34"/>
  <c r="W971" i="34"/>
  <c r="A1128" i="34"/>
  <c r="Z1128" i="34"/>
  <c r="W1128" i="34"/>
  <c r="U1128" i="34"/>
  <c r="A1419" i="34"/>
  <c r="Z1419" i="34"/>
  <c r="W1419" i="34"/>
  <c r="U1419" i="34"/>
  <c r="A821" i="34"/>
  <c r="U821" i="34"/>
  <c r="Z821" i="34"/>
  <c r="W821" i="34"/>
  <c r="A788" i="34"/>
  <c r="W788" i="34"/>
  <c r="U788" i="34"/>
  <c r="Z788" i="34"/>
  <c r="A833" i="34"/>
  <c r="U833" i="34"/>
  <c r="Z833" i="34"/>
  <c r="W833" i="34"/>
  <c r="A802" i="34"/>
  <c r="W802" i="34"/>
  <c r="U802" i="34"/>
  <c r="Z802" i="34"/>
  <c r="A812" i="34"/>
  <c r="W812" i="34"/>
  <c r="U812" i="34"/>
  <c r="Z812" i="34"/>
  <c r="A551" i="34"/>
  <c r="U551" i="34"/>
  <c r="Z551" i="34"/>
  <c r="W551" i="34"/>
  <c r="A69" i="34"/>
  <c r="Z69" i="34"/>
  <c r="W69" i="34"/>
  <c r="U69" i="34"/>
  <c r="C275" i="34"/>
  <c r="B275" i="34" s="1"/>
  <c r="C433" i="34"/>
  <c r="B433" i="34" s="1"/>
  <c r="C580" i="34"/>
  <c r="B580" i="34" s="1"/>
  <c r="C72" i="34"/>
  <c r="B72" i="34" s="1"/>
  <c r="C637" i="34"/>
  <c r="B637" i="34" s="1"/>
  <c r="C1046" i="34"/>
  <c r="B1046" i="34" s="1"/>
  <c r="C382" i="34"/>
  <c r="B382" i="34" s="1"/>
  <c r="C346" i="34"/>
  <c r="B346" i="34" s="1"/>
  <c r="C315" i="34"/>
  <c r="B315" i="34" s="1"/>
  <c r="C194" i="34"/>
  <c r="B194" i="34" s="1"/>
  <c r="C146" i="34"/>
  <c r="B146" i="34" s="1"/>
  <c r="C122" i="34"/>
  <c r="B122" i="34" s="1"/>
  <c r="C52" i="34"/>
  <c r="B52" i="34" s="1"/>
  <c r="A146" i="34" l="1"/>
  <c r="U146" i="34"/>
  <c r="Z146" i="34"/>
  <c r="W146" i="34"/>
  <c r="A580" i="34"/>
  <c r="Z580" i="34"/>
  <c r="W580" i="34"/>
  <c r="U580" i="34"/>
  <c r="A1046" i="34"/>
  <c r="Z1046" i="34"/>
  <c r="W1046" i="34"/>
  <c r="U1046" i="34"/>
  <c r="A433" i="34"/>
  <c r="U433" i="34"/>
  <c r="Z433" i="34"/>
  <c r="W433" i="34"/>
  <c r="A52" i="34"/>
  <c r="U52" i="34"/>
  <c r="Z52" i="34"/>
  <c r="W52" i="34"/>
  <c r="A637" i="34"/>
  <c r="U637" i="34"/>
  <c r="Z637" i="34"/>
  <c r="W637" i="34"/>
  <c r="A122" i="34"/>
  <c r="W122" i="34"/>
  <c r="U122" i="34"/>
  <c r="Z122" i="34"/>
  <c r="A346" i="34"/>
  <c r="W346" i="34"/>
  <c r="U346" i="34"/>
  <c r="Z346" i="34"/>
  <c r="A72" i="34"/>
  <c r="U72" i="34"/>
  <c r="Z72" i="34"/>
  <c r="W72" i="34"/>
  <c r="A194" i="34"/>
  <c r="U194" i="34"/>
  <c r="Z194" i="34"/>
  <c r="W194" i="34"/>
  <c r="A382" i="34"/>
  <c r="W382" i="34"/>
  <c r="U382" i="34"/>
  <c r="Z382" i="34"/>
  <c r="A315" i="34"/>
  <c r="U315" i="34"/>
  <c r="Z315" i="34"/>
  <c r="W315" i="34"/>
  <c r="A275" i="34"/>
  <c r="Z275" i="34"/>
  <c r="U275" i="34"/>
  <c r="W275" i="34"/>
  <c r="C1193" i="34"/>
  <c r="B1193" i="34" s="1"/>
  <c r="A1193" i="34" l="1"/>
  <c r="U1193" i="34"/>
  <c r="Z1193" i="34"/>
  <c r="W1193" i="34"/>
  <c r="C1014" i="34"/>
  <c r="B1014" i="34" s="1"/>
  <c r="C1424" i="34"/>
  <c r="B1424" i="34" s="1"/>
  <c r="A18" i="70"/>
  <c r="A36" i="70"/>
  <c r="A6" i="70"/>
  <c r="A21" i="70"/>
  <c r="A14" i="70"/>
  <c r="A35" i="70"/>
  <c r="A10" i="70"/>
  <c r="A28" i="70"/>
  <c r="A34" i="70"/>
  <c r="A31" i="70"/>
  <c r="A29" i="70"/>
  <c r="A20" i="70"/>
  <c r="A8" i="70"/>
  <c r="A33" i="70"/>
  <c r="A32" i="70"/>
  <c r="A12" i="70"/>
  <c r="A1014" i="34" l="1"/>
  <c r="Z1014" i="34"/>
  <c r="W1014" i="34"/>
  <c r="U1014" i="34"/>
  <c r="A1424" i="34"/>
  <c r="U1424" i="34"/>
  <c r="Z1424" i="34"/>
  <c r="W1424" i="34"/>
  <c r="I9" i="70"/>
  <c r="I11" i="70"/>
  <c r="I13" i="70"/>
  <c r="I16" i="70"/>
  <c r="I17" i="70"/>
  <c r="I19" i="70"/>
  <c r="I25" i="70"/>
  <c r="I26" i="70"/>
  <c r="I30" i="70"/>
  <c r="I24" i="70"/>
  <c r="I22" i="70"/>
  <c r="I27" i="70"/>
  <c r="I23" i="70"/>
  <c r="I15" i="70"/>
  <c r="I36" i="70"/>
  <c r="I7" i="70"/>
  <c r="N12" i="34"/>
  <c r="R12" i="34"/>
  <c r="S12" i="34"/>
  <c r="T12" i="34"/>
  <c r="X12" i="34"/>
  <c r="Y12" i="34"/>
  <c r="C1430" i="34"/>
  <c r="B1430" i="34" s="1"/>
  <c r="A1430" i="34" l="1"/>
  <c r="U1430" i="34"/>
  <c r="Z1430" i="34"/>
  <c r="W1430" i="34"/>
  <c r="C1954" i="34"/>
  <c r="B1954" i="34" s="1"/>
  <c r="C1953" i="34"/>
  <c r="B1953" i="34" s="1"/>
  <c r="C1927" i="34"/>
  <c r="B1927" i="34" s="1"/>
  <c r="C1928" i="34"/>
  <c r="B1928" i="34" s="1"/>
  <c r="M66" i="60"/>
  <c r="M53" i="60"/>
  <c r="P53" i="60"/>
  <c r="P66" i="60"/>
  <c r="C1964" i="34"/>
  <c r="C1965" i="34"/>
  <c r="C1966" i="34"/>
  <c r="C1967" i="34"/>
  <c r="C1968" i="34"/>
  <c r="C1969" i="34"/>
  <c r="C1970" i="34"/>
  <c r="C1971" i="34"/>
  <c r="C1972" i="34"/>
  <c r="C1973" i="34"/>
  <c r="C1974" i="34"/>
  <c r="C1975" i="34"/>
  <c r="C1976" i="34"/>
  <c r="C1977" i="34"/>
  <c r="C1978" i="34"/>
  <c r="C1979" i="34"/>
  <c r="C1980" i="34"/>
  <c r="C1981" i="34"/>
  <c r="C1982" i="34"/>
  <c r="C1983" i="34"/>
  <c r="C1984" i="34"/>
  <c r="C1985" i="34"/>
  <c r="C1986" i="34"/>
  <c r="C1987" i="34"/>
  <c r="C1988" i="34"/>
  <c r="C1989" i="34"/>
  <c r="C1990" i="34"/>
  <c r="C1991" i="34"/>
  <c r="C1992" i="34"/>
  <c r="C1993" i="34"/>
  <c r="C1994" i="34"/>
  <c r="C1995" i="34"/>
  <c r="C1996" i="34"/>
  <c r="C1997" i="34"/>
  <c r="C1959" i="34"/>
  <c r="M129" i="60"/>
  <c r="P129" i="60"/>
  <c r="M110" i="60"/>
  <c r="P110" i="60"/>
  <c r="M99" i="60"/>
  <c r="P99" i="60"/>
  <c r="C1764" i="34"/>
  <c r="C1765" i="34"/>
  <c r="C1766" i="34"/>
  <c r="C1767" i="34"/>
  <c r="C1768" i="34"/>
  <c r="C1769" i="34"/>
  <c r="C1770" i="34"/>
  <c r="C1771" i="34"/>
  <c r="C1772" i="34"/>
  <c r="C1773" i="34"/>
  <c r="C1774" i="34"/>
  <c r="C1775" i="34"/>
  <c r="C1776" i="34"/>
  <c r="C1777" i="34"/>
  <c r="C1778" i="34"/>
  <c r="C1779" i="34"/>
  <c r="C1780" i="34"/>
  <c r="C1781" i="34"/>
  <c r="C1782" i="34"/>
  <c r="C1783" i="34"/>
  <c r="C1784" i="34"/>
  <c r="C1785" i="34"/>
  <c r="C1786" i="34"/>
  <c r="C1787" i="34"/>
  <c r="C1788" i="34"/>
  <c r="C1789" i="34"/>
  <c r="C1790" i="34"/>
  <c r="C1791" i="34"/>
  <c r="C1792" i="34"/>
  <c r="C1793" i="34"/>
  <c r="C1794" i="34"/>
  <c r="C1795" i="34"/>
  <c r="C1796" i="34"/>
  <c r="C1797" i="34"/>
  <c r="C1798" i="34"/>
  <c r="C1799" i="34"/>
  <c r="C1800" i="34"/>
  <c r="C1801" i="34"/>
  <c r="C1802" i="34"/>
  <c r="C1803" i="34"/>
  <c r="C1804" i="34"/>
  <c r="C1805" i="34"/>
  <c r="C1806" i="34"/>
  <c r="C1807" i="34"/>
  <c r="C1808" i="34"/>
  <c r="C1809" i="34"/>
  <c r="C1810" i="34"/>
  <c r="C1811" i="34"/>
  <c r="C1812" i="34"/>
  <c r="C1813" i="34"/>
  <c r="C1861" i="34"/>
  <c r="B1861" i="34" s="1"/>
  <c r="C1862" i="34"/>
  <c r="B1862" i="34" s="1"/>
  <c r="C1863" i="34"/>
  <c r="B1863" i="34" s="1"/>
  <c r="C1864" i="34"/>
  <c r="B1864" i="34" s="1"/>
  <c r="C1865" i="34"/>
  <c r="B1865" i="34" s="1"/>
  <c r="C1866" i="34"/>
  <c r="B1866" i="34" s="1"/>
  <c r="C1867" i="34"/>
  <c r="B1867" i="34" s="1"/>
  <c r="C1868" i="34"/>
  <c r="B1868" i="34" s="1"/>
  <c r="C1869" i="34"/>
  <c r="B1869" i="34" s="1"/>
  <c r="C1870" i="34"/>
  <c r="B1870" i="34" s="1"/>
  <c r="C1871" i="34"/>
  <c r="B1871" i="34" s="1"/>
  <c r="C1872" i="34"/>
  <c r="B1872" i="34" s="1"/>
  <c r="C1873" i="34"/>
  <c r="B1873" i="34" s="1"/>
  <c r="C1874" i="34"/>
  <c r="B1874" i="34" s="1"/>
  <c r="C1875" i="34"/>
  <c r="B1875" i="34" s="1"/>
  <c r="C1876" i="34"/>
  <c r="B1876" i="34" s="1"/>
  <c r="C1877" i="34"/>
  <c r="B1877" i="34" s="1"/>
  <c r="C1878" i="34"/>
  <c r="B1878" i="34" s="1"/>
  <c r="C1879" i="34"/>
  <c r="B1879" i="34" s="1"/>
  <c r="C1880" i="34"/>
  <c r="B1880" i="34" s="1"/>
  <c r="C1881" i="34"/>
  <c r="B1881" i="34" s="1"/>
  <c r="C1882" i="34"/>
  <c r="B1882" i="34" s="1"/>
  <c r="C1883" i="34"/>
  <c r="B1883" i="34" s="1"/>
  <c r="C1884" i="34"/>
  <c r="B1884" i="34" s="1"/>
  <c r="C1885" i="34"/>
  <c r="B1885" i="34" s="1"/>
  <c r="C1886" i="34"/>
  <c r="B1886" i="34" s="1"/>
  <c r="C1887" i="34"/>
  <c r="B1887" i="34" s="1"/>
  <c r="C1888" i="34"/>
  <c r="B1888" i="34" s="1"/>
  <c r="C1889" i="34"/>
  <c r="B1889" i="34" s="1"/>
  <c r="C1890" i="34"/>
  <c r="B1890" i="34" s="1"/>
  <c r="C1891" i="34"/>
  <c r="B1891" i="34" s="1"/>
  <c r="C1892" i="34"/>
  <c r="B1892" i="34" s="1"/>
  <c r="C1893" i="34"/>
  <c r="B1893" i="34" s="1"/>
  <c r="C1894" i="34"/>
  <c r="B1894" i="34" s="1"/>
  <c r="C1895" i="34"/>
  <c r="B1895" i="34" s="1"/>
  <c r="C1896" i="34"/>
  <c r="B1896" i="34" s="1"/>
  <c r="C1897" i="34"/>
  <c r="C1898" i="34"/>
  <c r="N117" i="60"/>
  <c r="C1860" i="34"/>
  <c r="B1860" i="34" s="1"/>
  <c r="C1859" i="34"/>
  <c r="B1859" i="34" s="1"/>
  <c r="C1858" i="34"/>
  <c r="B1858" i="34" s="1"/>
  <c r="M85" i="60"/>
  <c r="P85" i="60"/>
  <c r="M84" i="60"/>
  <c r="M86" i="60"/>
  <c r="M83" i="60"/>
  <c r="C1731" i="34"/>
  <c r="C1732" i="34"/>
  <c r="C1733" i="34"/>
  <c r="C1734" i="34"/>
  <c r="C1735" i="34"/>
  <c r="C1736" i="34"/>
  <c r="C1737" i="34"/>
  <c r="C1738" i="34"/>
  <c r="C1739" i="34"/>
  <c r="C1740" i="34"/>
  <c r="C1741" i="34"/>
  <c r="C1742" i="34"/>
  <c r="C1743" i="34"/>
  <c r="C1744" i="34"/>
  <c r="C1745" i="34"/>
  <c r="C1746" i="34"/>
  <c r="C1747" i="34"/>
  <c r="C1748" i="34"/>
  <c r="C1749" i="34"/>
  <c r="C1750" i="34"/>
  <c r="C1751" i="34"/>
  <c r="C1752" i="34"/>
  <c r="C1753" i="34"/>
  <c r="C1754" i="34"/>
  <c r="C1755" i="34"/>
  <c r="C1756" i="34"/>
  <c r="C1757" i="34"/>
  <c r="C1758" i="34"/>
  <c r="C1759" i="34"/>
  <c r="C1760" i="34"/>
  <c r="C1761" i="34"/>
  <c r="C1762" i="34"/>
  <c r="C1763" i="34"/>
  <c r="C1814" i="34"/>
  <c r="C1815" i="34"/>
  <c r="C1816" i="34"/>
  <c r="C1817" i="34"/>
  <c r="C1818" i="34"/>
  <c r="C1819" i="34"/>
  <c r="C1820" i="34"/>
  <c r="C1821" i="34"/>
  <c r="C1822" i="34"/>
  <c r="B1822" i="34" s="1"/>
  <c r="C1823" i="34"/>
  <c r="B1823" i="34" s="1"/>
  <c r="C1824" i="34"/>
  <c r="B1824" i="34" s="1"/>
  <c r="C1825" i="34"/>
  <c r="B1825" i="34" s="1"/>
  <c r="C1826" i="34"/>
  <c r="B1826" i="34" s="1"/>
  <c r="C1827" i="34"/>
  <c r="B1827" i="34" s="1"/>
  <c r="C1828" i="34"/>
  <c r="B1828" i="34" s="1"/>
  <c r="C1829" i="34"/>
  <c r="B1829" i="34" s="1"/>
  <c r="C1830" i="34"/>
  <c r="B1830" i="34" s="1"/>
  <c r="C1831" i="34"/>
  <c r="B1831" i="34" s="1"/>
  <c r="C1832" i="34"/>
  <c r="B1832" i="34" s="1"/>
  <c r="C1833" i="34"/>
  <c r="B1833" i="34" s="1"/>
  <c r="C1834" i="34"/>
  <c r="B1834" i="34" s="1"/>
  <c r="C1835" i="34"/>
  <c r="B1835" i="34" s="1"/>
  <c r="C1836" i="34"/>
  <c r="B1836" i="34" s="1"/>
  <c r="C1837" i="34"/>
  <c r="B1837" i="34" s="1"/>
  <c r="C1838" i="34"/>
  <c r="B1838" i="34" s="1"/>
  <c r="C1839" i="34"/>
  <c r="B1839" i="34" s="1"/>
  <c r="C1840" i="34"/>
  <c r="B1840" i="34" s="1"/>
  <c r="C1841" i="34"/>
  <c r="B1841" i="34" s="1"/>
  <c r="C1842" i="34"/>
  <c r="B1842" i="34" s="1"/>
  <c r="C1843" i="34"/>
  <c r="B1843" i="34" s="1"/>
  <c r="C1844" i="34"/>
  <c r="B1844" i="34" s="1"/>
  <c r="C1845" i="34"/>
  <c r="B1845" i="34" s="1"/>
  <c r="C1846" i="34"/>
  <c r="B1846" i="34" s="1"/>
  <c r="C1847" i="34"/>
  <c r="B1847" i="34" s="1"/>
  <c r="C1848" i="34"/>
  <c r="B1848" i="34" s="1"/>
  <c r="C1849" i="34"/>
  <c r="B1849" i="34" s="1"/>
  <c r="C1850" i="34"/>
  <c r="B1850" i="34" s="1"/>
  <c r="C1851" i="34"/>
  <c r="B1851" i="34" s="1"/>
  <c r="C1852" i="34"/>
  <c r="B1852" i="34" s="1"/>
  <c r="C1853" i="34"/>
  <c r="B1853" i="34" s="1"/>
  <c r="C1854" i="34"/>
  <c r="B1854" i="34" s="1"/>
  <c r="C1855" i="34"/>
  <c r="B1855" i="34" s="1"/>
  <c r="C1856" i="34"/>
  <c r="B1856" i="34" s="1"/>
  <c r="C1857" i="34"/>
  <c r="B1857" i="34" s="1"/>
  <c r="C1899" i="34"/>
  <c r="C1900" i="34"/>
  <c r="C1901" i="34"/>
  <c r="C1902" i="34"/>
  <c r="C1903" i="34"/>
  <c r="C1904" i="34"/>
  <c r="C1905" i="34"/>
  <c r="C1906" i="34"/>
  <c r="C1907" i="34"/>
  <c r="C1908" i="34"/>
  <c r="C1909" i="34"/>
  <c r="C1910" i="34"/>
  <c r="C1911" i="34"/>
  <c r="C1912" i="34"/>
  <c r="C1913" i="34"/>
  <c r="C1914" i="34"/>
  <c r="C1915" i="34"/>
  <c r="C1916" i="34"/>
  <c r="C1917" i="34"/>
  <c r="C1918" i="34"/>
  <c r="C1919" i="34"/>
  <c r="C1920" i="34"/>
  <c r="C1921" i="34"/>
  <c r="C1922" i="34"/>
  <c r="C1923" i="34"/>
  <c r="C1924" i="34"/>
  <c r="C1925" i="34"/>
  <c r="C1926" i="34"/>
  <c r="C1929" i="34"/>
  <c r="C1930" i="34"/>
  <c r="C1931" i="34"/>
  <c r="C1932" i="34"/>
  <c r="C1933" i="34"/>
  <c r="C1934" i="34"/>
  <c r="C1935" i="34"/>
  <c r="C1936" i="34"/>
  <c r="C1937" i="34"/>
  <c r="C1938" i="34"/>
  <c r="C1939" i="34"/>
  <c r="C1940" i="34"/>
  <c r="C1941" i="34"/>
  <c r="C1942" i="34"/>
  <c r="C1943" i="34"/>
  <c r="C1944" i="34"/>
  <c r="C1945" i="34"/>
  <c r="C1946" i="34"/>
  <c r="C1947" i="34"/>
  <c r="C1948" i="34"/>
  <c r="C1949" i="34"/>
  <c r="C1950" i="34"/>
  <c r="C1951" i="34"/>
  <c r="C1952" i="34"/>
  <c r="C1955" i="34"/>
  <c r="C1956" i="34"/>
  <c r="C1957" i="34"/>
  <c r="C1958" i="34"/>
  <c r="C1960" i="34"/>
  <c r="C1961" i="34"/>
  <c r="C1962" i="34"/>
  <c r="C1963" i="34"/>
  <c r="A1855" i="34" l="1"/>
  <c r="U1855" i="34"/>
  <c r="Z1855" i="34"/>
  <c r="W1855" i="34"/>
  <c r="A1851" i="34"/>
  <c r="U1851" i="34"/>
  <c r="Z1851" i="34"/>
  <c r="W1851" i="34"/>
  <c r="A1847" i="34"/>
  <c r="U1847" i="34"/>
  <c r="Z1847" i="34"/>
  <c r="W1847" i="34"/>
  <c r="A1843" i="34"/>
  <c r="U1843" i="34"/>
  <c r="Z1843" i="34"/>
  <c r="W1843" i="34"/>
  <c r="A1839" i="34"/>
  <c r="U1839" i="34"/>
  <c r="Z1839" i="34"/>
  <c r="W1839" i="34"/>
  <c r="A1835" i="34"/>
  <c r="U1835" i="34"/>
  <c r="Z1835" i="34"/>
  <c r="W1835" i="34"/>
  <c r="A1831" i="34"/>
  <c r="U1831" i="34"/>
  <c r="Z1831" i="34"/>
  <c r="W1831" i="34"/>
  <c r="A1827" i="34"/>
  <c r="U1827" i="34"/>
  <c r="Z1827" i="34"/>
  <c r="W1827" i="34"/>
  <c r="A1823" i="34"/>
  <c r="U1823" i="34"/>
  <c r="Z1823" i="34"/>
  <c r="W1823" i="34"/>
  <c r="A1858" i="34"/>
  <c r="Z1858" i="34"/>
  <c r="W1858" i="34"/>
  <c r="U1858" i="34"/>
  <c r="A1894" i="34"/>
  <c r="Z1894" i="34"/>
  <c r="W1894" i="34"/>
  <c r="U1894" i="34"/>
  <c r="A1890" i="34"/>
  <c r="Z1890" i="34"/>
  <c r="W1890" i="34"/>
  <c r="U1890" i="34"/>
  <c r="A1886" i="34"/>
  <c r="Z1886" i="34"/>
  <c r="W1886" i="34"/>
  <c r="U1886" i="34"/>
  <c r="A1882" i="34"/>
  <c r="Z1882" i="34"/>
  <c r="W1882" i="34"/>
  <c r="U1882" i="34"/>
  <c r="A1878" i="34"/>
  <c r="Z1878" i="34"/>
  <c r="W1878" i="34"/>
  <c r="U1878" i="34"/>
  <c r="A1874" i="34"/>
  <c r="Z1874" i="34"/>
  <c r="W1874" i="34"/>
  <c r="U1874" i="34"/>
  <c r="A1870" i="34"/>
  <c r="Z1870" i="34"/>
  <c r="W1870" i="34"/>
  <c r="U1870" i="34"/>
  <c r="A1866" i="34"/>
  <c r="Z1866" i="34"/>
  <c r="W1866" i="34"/>
  <c r="U1866" i="34"/>
  <c r="A1862" i="34"/>
  <c r="Z1862" i="34"/>
  <c r="W1862" i="34"/>
  <c r="U1862" i="34"/>
  <c r="A1954" i="34"/>
  <c r="W1954" i="34"/>
  <c r="U1954" i="34"/>
  <c r="Z1954" i="34"/>
  <c r="A1854" i="34"/>
  <c r="Z1854" i="34"/>
  <c r="W1854" i="34"/>
  <c r="U1854" i="34"/>
  <c r="A1850" i="34"/>
  <c r="Z1850" i="34"/>
  <c r="W1850" i="34"/>
  <c r="U1850" i="34"/>
  <c r="A1846" i="34"/>
  <c r="Z1846" i="34"/>
  <c r="W1846" i="34"/>
  <c r="U1846" i="34"/>
  <c r="A1842" i="34"/>
  <c r="Z1842" i="34"/>
  <c r="W1842" i="34"/>
  <c r="U1842" i="34"/>
  <c r="A1838" i="34"/>
  <c r="Z1838" i="34"/>
  <c r="W1838" i="34"/>
  <c r="U1838" i="34"/>
  <c r="A1834" i="34"/>
  <c r="Z1834" i="34"/>
  <c r="W1834" i="34"/>
  <c r="U1834" i="34"/>
  <c r="A1830" i="34"/>
  <c r="Z1830" i="34"/>
  <c r="W1830" i="34"/>
  <c r="U1830" i="34"/>
  <c r="A1826" i="34"/>
  <c r="Z1826" i="34"/>
  <c r="W1826" i="34"/>
  <c r="U1826" i="34"/>
  <c r="A1822" i="34"/>
  <c r="Z1822" i="34"/>
  <c r="W1822" i="34"/>
  <c r="U1822" i="34"/>
  <c r="A1859" i="34"/>
  <c r="U1859" i="34"/>
  <c r="Z1859" i="34"/>
  <c r="W1859" i="34"/>
  <c r="A1893" i="34"/>
  <c r="W1893" i="34"/>
  <c r="U1893" i="34"/>
  <c r="Z1893" i="34"/>
  <c r="A1889" i="34"/>
  <c r="W1889" i="34"/>
  <c r="U1889" i="34"/>
  <c r="Z1889" i="34"/>
  <c r="A1885" i="34"/>
  <c r="W1885" i="34"/>
  <c r="U1885" i="34"/>
  <c r="Z1885" i="34"/>
  <c r="A1881" i="34"/>
  <c r="W1881" i="34"/>
  <c r="U1881" i="34"/>
  <c r="Z1881" i="34"/>
  <c r="A1877" i="34"/>
  <c r="W1877" i="34"/>
  <c r="U1877" i="34"/>
  <c r="Z1877" i="34"/>
  <c r="A1873" i="34"/>
  <c r="W1873" i="34"/>
  <c r="U1873" i="34"/>
  <c r="Z1873" i="34"/>
  <c r="A1869" i="34"/>
  <c r="W1869" i="34"/>
  <c r="U1869" i="34"/>
  <c r="Z1869" i="34"/>
  <c r="A1865" i="34"/>
  <c r="W1865" i="34"/>
  <c r="U1865" i="34"/>
  <c r="Z1865" i="34"/>
  <c r="A1861" i="34"/>
  <c r="W1861" i="34"/>
  <c r="U1861" i="34"/>
  <c r="Z1861" i="34"/>
  <c r="A1928" i="34"/>
  <c r="U1928" i="34"/>
  <c r="Z1928" i="34"/>
  <c r="W1928" i="34"/>
  <c r="A1857" i="34"/>
  <c r="W1857" i="34"/>
  <c r="U1857" i="34"/>
  <c r="Z1857" i="34"/>
  <c r="A1853" i="34"/>
  <c r="W1853" i="34"/>
  <c r="U1853" i="34"/>
  <c r="Z1853" i="34"/>
  <c r="A1849" i="34"/>
  <c r="W1849" i="34"/>
  <c r="U1849" i="34"/>
  <c r="Z1849" i="34"/>
  <c r="A1845" i="34"/>
  <c r="W1845" i="34"/>
  <c r="U1845" i="34"/>
  <c r="Z1845" i="34"/>
  <c r="A1841" i="34"/>
  <c r="W1841" i="34"/>
  <c r="U1841" i="34"/>
  <c r="Z1841" i="34"/>
  <c r="A1837" i="34"/>
  <c r="W1837" i="34"/>
  <c r="U1837" i="34"/>
  <c r="Z1837" i="34"/>
  <c r="A1833" i="34"/>
  <c r="W1833" i="34"/>
  <c r="U1833" i="34"/>
  <c r="Z1833" i="34"/>
  <c r="A1829" i="34"/>
  <c r="W1829" i="34"/>
  <c r="U1829" i="34"/>
  <c r="Z1829" i="34"/>
  <c r="A1825" i="34"/>
  <c r="W1825" i="34"/>
  <c r="U1825" i="34"/>
  <c r="Z1825" i="34"/>
  <c r="A1860" i="34"/>
  <c r="U1860" i="34"/>
  <c r="Z1860" i="34"/>
  <c r="W1860" i="34"/>
  <c r="A1896" i="34"/>
  <c r="U1896" i="34"/>
  <c r="Z1896" i="34"/>
  <c r="W1896" i="34"/>
  <c r="A1892" i="34"/>
  <c r="U1892" i="34"/>
  <c r="Z1892" i="34"/>
  <c r="W1892" i="34"/>
  <c r="A1888" i="34"/>
  <c r="U1888" i="34"/>
  <c r="Z1888" i="34"/>
  <c r="W1888" i="34"/>
  <c r="A1884" i="34"/>
  <c r="U1884" i="34"/>
  <c r="Z1884" i="34"/>
  <c r="W1884" i="34"/>
  <c r="A1880" i="34"/>
  <c r="U1880" i="34"/>
  <c r="Z1880" i="34"/>
  <c r="W1880" i="34"/>
  <c r="A1876" i="34"/>
  <c r="U1876" i="34"/>
  <c r="Z1876" i="34"/>
  <c r="W1876" i="34"/>
  <c r="A1872" i="34"/>
  <c r="U1872" i="34"/>
  <c r="Z1872" i="34"/>
  <c r="W1872" i="34"/>
  <c r="A1868" i="34"/>
  <c r="U1868" i="34"/>
  <c r="Z1868" i="34"/>
  <c r="W1868" i="34"/>
  <c r="A1864" i="34"/>
  <c r="U1864" i="34"/>
  <c r="Z1864" i="34"/>
  <c r="W1864" i="34"/>
  <c r="A1927" i="34"/>
  <c r="Z1927" i="34"/>
  <c r="W1927" i="34"/>
  <c r="U1927" i="34"/>
  <c r="A1856" i="34"/>
  <c r="U1856" i="34"/>
  <c r="Z1856" i="34"/>
  <c r="W1856" i="34"/>
  <c r="A1852" i="34"/>
  <c r="U1852" i="34"/>
  <c r="Z1852" i="34"/>
  <c r="W1852" i="34"/>
  <c r="A1848" i="34"/>
  <c r="U1848" i="34"/>
  <c r="Z1848" i="34"/>
  <c r="W1848" i="34"/>
  <c r="A1844" i="34"/>
  <c r="U1844" i="34"/>
  <c r="Z1844" i="34"/>
  <c r="W1844" i="34"/>
  <c r="A1840" i="34"/>
  <c r="U1840" i="34"/>
  <c r="Z1840" i="34"/>
  <c r="W1840" i="34"/>
  <c r="A1836" i="34"/>
  <c r="U1836" i="34"/>
  <c r="Z1836" i="34"/>
  <c r="W1836" i="34"/>
  <c r="A1832" i="34"/>
  <c r="U1832" i="34"/>
  <c r="Z1832" i="34"/>
  <c r="W1832" i="34"/>
  <c r="A1828" i="34"/>
  <c r="U1828" i="34"/>
  <c r="Z1828" i="34"/>
  <c r="W1828" i="34"/>
  <c r="A1824" i="34"/>
  <c r="U1824" i="34"/>
  <c r="Z1824" i="34"/>
  <c r="W1824" i="34"/>
  <c r="A1895" i="34"/>
  <c r="U1895" i="34"/>
  <c r="Z1895" i="34"/>
  <c r="W1895" i="34"/>
  <c r="A1891" i="34"/>
  <c r="U1891" i="34"/>
  <c r="Z1891" i="34"/>
  <c r="W1891" i="34"/>
  <c r="A1887" i="34"/>
  <c r="U1887" i="34"/>
  <c r="Z1887" i="34"/>
  <c r="W1887" i="34"/>
  <c r="A1883" i="34"/>
  <c r="U1883" i="34"/>
  <c r="Z1883" i="34"/>
  <c r="W1883" i="34"/>
  <c r="A1879" i="34"/>
  <c r="U1879" i="34"/>
  <c r="Z1879" i="34"/>
  <c r="W1879" i="34"/>
  <c r="A1875" i="34"/>
  <c r="U1875" i="34"/>
  <c r="Z1875" i="34"/>
  <c r="W1875" i="34"/>
  <c r="A1871" i="34"/>
  <c r="U1871" i="34"/>
  <c r="Z1871" i="34"/>
  <c r="W1871" i="34"/>
  <c r="A1867" i="34"/>
  <c r="U1867" i="34"/>
  <c r="Z1867" i="34"/>
  <c r="W1867" i="34"/>
  <c r="A1863" i="34"/>
  <c r="U1863" i="34"/>
  <c r="Z1863" i="34"/>
  <c r="W1863" i="34"/>
  <c r="A1953" i="34"/>
  <c r="U1953" i="34"/>
  <c r="Z1953" i="34"/>
  <c r="W1953" i="34"/>
  <c r="N64" i="60"/>
  <c r="C1730" i="34" l="1"/>
  <c r="B1730" i="34" s="1"/>
  <c r="C1729" i="34"/>
  <c r="B1729" i="34" s="1"/>
  <c r="C1728" i="34"/>
  <c r="B1728" i="34" s="1"/>
  <c r="C1727" i="34"/>
  <c r="B1727" i="34" s="1"/>
  <c r="C1726" i="34"/>
  <c r="B1726" i="34" s="1"/>
  <c r="C1725" i="34"/>
  <c r="B1725" i="34" s="1"/>
  <c r="C1724" i="34"/>
  <c r="B1724" i="34" s="1"/>
  <c r="C1723" i="34"/>
  <c r="B1723" i="34" s="1"/>
  <c r="C1722" i="34"/>
  <c r="B1722" i="34" s="1"/>
  <c r="C1721" i="34"/>
  <c r="B1721" i="34" s="1"/>
  <c r="C1720" i="34"/>
  <c r="B1720" i="34" s="1"/>
  <c r="C1719" i="34"/>
  <c r="B1719" i="34" s="1"/>
  <c r="C1718" i="34"/>
  <c r="B1718" i="34" s="1"/>
  <c r="C1717" i="34"/>
  <c r="B1717" i="34" s="1"/>
  <c r="C1716" i="34"/>
  <c r="B1716" i="34" s="1"/>
  <c r="C1715" i="34"/>
  <c r="B1715" i="34" s="1"/>
  <c r="W1716" i="34" l="1"/>
  <c r="U1716" i="34"/>
  <c r="Z1716" i="34"/>
  <c r="W1720" i="34"/>
  <c r="U1720" i="34"/>
  <c r="Z1720" i="34"/>
  <c r="W1724" i="34"/>
  <c r="U1724" i="34"/>
  <c r="Z1724" i="34"/>
  <c r="W1728" i="34"/>
  <c r="U1728" i="34"/>
  <c r="Z1728" i="34"/>
  <c r="U1717" i="34"/>
  <c r="Z1717" i="34"/>
  <c r="W1717" i="34"/>
  <c r="U1721" i="34"/>
  <c r="Z1721" i="34"/>
  <c r="W1721" i="34"/>
  <c r="U1725" i="34"/>
  <c r="Z1725" i="34"/>
  <c r="W1725" i="34"/>
  <c r="U1729" i="34"/>
  <c r="Z1729" i="34"/>
  <c r="W1729" i="34"/>
  <c r="W1718" i="34"/>
  <c r="U1718" i="34"/>
  <c r="Z1718" i="34"/>
  <c r="W1722" i="34"/>
  <c r="U1722" i="34"/>
  <c r="Z1722" i="34"/>
  <c r="W1726" i="34"/>
  <c r="U1726" i="34"/>
  <c r="Z1726" i="34"/>
  <c r="W1730" i="34"/>
  <c r="U1730" i="34"/>
  <c r="Z1730" i="34"/>
  <c r="U1715" i="34"/>
  <c r="Z1715" i="34"/>
  <c r="W1715" i="34"/>
  <c r="U1719" i="34"/>
  <c r="Z1719" i="34"/>
  <c r="W1719" i="34"/>
  <c r="U1723" i="34"/>
  <c r="Z1723" i="34"/>
  <c r="W1723" i="34"/>
  <c r="U1727" i="34"/>
  <c r="Z1727" i="34"/>
  <c r="W1727" i="34"/>
  <c r="A1715" i="34"/>
  <c r="A1719" i="34"/>
  <c r="A1723" i="34"/>
  <c r="A1727" i="34"/>
  <c r="A1720" i="34"/>
  <c r="A1724" i="34"/>
  <c r="A1728" i="34"/>
  <c r="A1717" i="34"/>
  <c r="A1721" i="34"/>
  <c r="A1725" i="34"/>
  <c r="A1729" i="34"/>
  <c r="A1716" i="34"/>
  <c r="A1718" i="34"/>
  <c r="A1722" i="34"/>
  <c r="A1726" i="34"/>
  <c r="A1730" i="34"/>
  <c r="M11" i="60"/>
  <c r="P11" i="60"/>
  <c r="M19" i="60"/>
  <c r="P19" i="60"/>
  <c r="M21" i="60"/>
  <c r="P21" i="60"/>
  <c r="M23" i="60"/>
  <c r="P23" i="60"/>
  <c r="C1429" i="34" l="1"/>
  <c r="B1429" i="34" s="1"/>
  <c r="C1428" i="34"/>
  <c r="B1428" i="34" s="1"/>
  <c r="C1427" i="34"/>
  <c r="B1427" i="34" s="1"/>
  <c r="C1197" i="34"/>
  <c r="B1197" i="34" s="1"/>
  <c r="C1196" i="34"/>
  <c r="B1196" i="34" s="1"/>
  <c r="C1195" i="34"/>
  <c r="B1195" i="34" s="1"/>
  <c r="C981" i="34"/>
  <c r="B981" i="34" s="1"/>
  <c r="C980" i="34"/>
  <c r="B980" i="34" s="1"/>
  <c r="C979" i="34"/>
  <c r="B979" i="34" s="1"/>
  <c r="C763" i="34"/>
  <c r="B763" i="34" s="1"/>
  <c r="C762" i="34"/>
  <c r="B762" i="34" s="1"/>
  <c r="C761" i="34"/>
  <c r="B761" i="34" s="1"/>
  <c r="C538" i="34"/>
  <c r="B538" i="34" s="1"/>
  <c r="C537" i="34"/>
  <c r="B537" i="34" s="1"/>
  <c r="C536" i="34"/>
  <c r="B536" i="34" s="1"/>
  <c r="C456" i="34"/>
  <c r="B456" i="34" s="1"/>
  <c r="C455" i="34"/>
  <c r="B455" i="34" s="1"/>
  <c r="C454" i="34"/>
  <c r="B454" i="34" s="1"/>
  <c r="C373" i="34"/>
  <c r="B373" i="34" s="1"/>
  <c r="C372" i="34"/>
  <c r="B372" i="34" s="1"/>
  <c r="C371" i="34"/>
  <c r="B371" i="34" s="1"/>
  <c r="C261" i="34"/>
  <c r="B261" i="34" s="1"/>
  <c r="C260" i="34"/>
  <c r="B260" i="34" s="1"/>
  <c r="C259" i="34"/>
  <c r="B259" i="34" s="1"/>
  <c r="C214" i="34"/>
  <c r="B214" i="34" s="1"/>
  <c r="C213" i="34"/>
  <c r="B213" i="34" s="1"/>
  <c r="C212" i="34"/>
  <c r="B212" i="34" s="1"/>
  <c r="C167" i="34"/>
  <c r="B167" i="34" s="1"/>
  <c r="C166" i="34"/>
  <c r="B166" i="34" s="1"/>
  <c r="C165" i="34"/>
  <c r="B165" i="34" s="1"/>
  <c r="C103" i="34"/>
  <c r="B103" i="34" s="1"/>
  <c r="C102" i="34"/>
  <c r="B102" i="34" s="1"/>
  <c r="C101" i="34"/>
  <c r="B101" i="34" s="1"/>
  <c r="C89" i="34"/>
  <c r="C82" i="34"/>
  <c r="B82" i="34" s="1"/>
  <c r="C81" i="34"/>
  <c r="B81" i="34" s="1"/>
  <c r="C80" i="34"/>
  <c r="B80" i="34" s="1"/>
  <c r="A103" i="34" l="1"/>
  <c r="Z103" i="34"/>
  <c r="W103" i="34"/>
  <c r="U103" i="34"/>
  <c r="A260" i="34"/>
  <c r="U260" i="34"/>
  <c r="Z260" i="34"/>
  <c r="W260" i="34"/>
  <c r="A762" i="34"/>
  <c r="W762" i="34"/>
  <c r="U762" i="34"/>
  <c r="Z762" i="34"/>
  <c r="A165" i="34"/>
  <c r="W165" i="34"/>
  <c r="U165" i="34"/>
  <c r="Z165" i="34"/>
  <c r="A261" i="34"/>
  <c r="W261" i="34"/>
  <c r="U261" i="34"/>
  <c r="Z261" i="34"/>
  <c r="A537" i="34"/>
  <c r="U537" i="34"/>
  <c r="Z537" i="34"/>
  <c r="W537" i="34"/>
  <c r="A1195" i="34"/>
  <c r="U1195" i="34"/>
  <c r="Z1195" i="34"/>
  <c r="W1195" i="34"/>
  <c r="A1428" i="34"/>
  <c r="U1428" i="34"/>
  <c r="Z1428" i="34"/>
  <c r="W1428" i="34"/>
  <c r="A101" i="34"/>
  <c r="Z101" i="34"/>
  <c r="W101" i="34"/>
  <c r="U101" i="34"/>
  <c r="A166" i="34"/>
  <c r="U166" i="34"/>
  <c r="Z166" i="34"/>
  <c r="W166" i="34"/>
  <c r="A371" i="34"/>
  <c r="U371" i="34"/>
  <c r="Z371" i="34"/>
  <c r="W371" i="34"/>
  <c r="A455" i="34"/>
  <c r="U455" i="34"/>
  <c r="Z455" i="34"/>
  <c r="W455" i="34"/>
  <c r="A538" i="34"/>
  <c r="Z538" i="34"/>
  <c r="W538" i="34"/>
  <c r="U538" i="34"/>
  <c r="A979" i="34"/>
  <c r="U979" i="34"/>
  <c r="Z979" i="34"/>
  <c r="W979" i="34"/>
  <c r="A1429" i="34"/>
  <c r="Z1429" i="34"/>
  <c r="W1429" i="34"/>
  <c r="U1429" i="34"/>
  <c r="A81" i="34"/>
  <c r="Z81" i="34"/>
  <c r="W81" i="34"/>
  <c r="U81" i="34"/>
  <c r="A102" i="34"/>
  <c r="U102" i="34"/>
  <c r="Z102" i="34"/>
  <c r="W102" i="34"/>
  <c r="A167" i="34"/>
  <c r="W167" i="34"/>
  <c r="U167" i="34"/>
  <c r="Z167" i="34"/>
  <c r="A259" i="34"/>
  <c r="W259" i="34"/>
  <c r="U259" i="34"/>
  <c r="Z259" i="34"/>
  <c r="A372" i="34"/>
  <c r="W372" i="34"/>
  <c r="U372" i="34"/>
  <c r="Z372" i="34"/>
  <c r="A456" i="34"/>
  <c r="Z456" i="34"/>
  <c r="W456" i="34"/>
  <c r="U456" i="34"/>
  <c r="A761" i="34"/>
  <c r="U761" i="34"/>
  <c r="Z761" i="34"/>
  <c r="W761" i="34"/>
  <c r="A980" i="34"/>
  <c r="Z980" i="34"/>
  <c r="W980" i="34"/>
  <c r="U980" i="34"/>
  <c r="A1197" i="34"/>
  <c r="U1197" i="34"/>
  <c r="Z1197" i="34"/>
  <c r="W1197" i="34"/>
  <c r="A82" i="34"/>
  <c r="U82" i="34"/>
  <c r="Z82" i="34"/>
  <c r="W82" i="34"/>
  <c r="A1427" i="34"/>
  <c r="Z1427" i="34"/>
  <c r="W1427" i="34"/>
  <c r="U1427" i="34"/>
  <c r="A373" i="34"/>
  <c r="U373" i="34"/>
  <c r="Z373" i="34"/>
  <c r="W373" i="34"/>
  <c r="A212" i="34"/>
  <c r="U212" i="34"/>
  <c r="Z212" i="34"/>
  <c r="W212" i="34"/>
  <c r="A536" i="34"/>
  <c r="Z536" i="34"/>
  <c r="W536" i="34"/>
  <c r="U536" i="34"/>
  <c r="A981" i="34"/>
  <c r="U981" i="34"/>
  <c r="Z981" i="34"/>
  <c r="W981" i="34"/>
  <c r="A213" i="34"/>
  <c r="W213" i="34"/>
  <c r="U213" i="34"/>
  <c r="Z213" i="34"/>
  <c r="A454" i="34"/>
  <c r="Z454" i="34"/>
  <c r="W454" i="34"/>
  <c r="U454" i="34"/>
  <c r="A763" i="34"/>
  <c r="U763" i="34"/>
  <c r="Z763" i="34"/>
  <c r="W763" i="34"/>
  <c r="A80" i="34"/>
  <c r="U80" i="34"/>
  <c r="Z80" i="34"/>
  <c r="W80" i="34"/>
  <c r="A214" i="34"/>
  <c r="U214" i="34"/>
  <c r="Z214" i="34"/>
  <c r="W214" i="34"/>
  <c r="A1196" i="34"/>
  <c r="Z1196" i="34"/>
  <c r="W1196" i="34"/>
  <c r="U1196" i="34"/>
  <c r="K3" i="81"/>
  <c r="K4" i="81"/>
  <c r="K5" i="81"/>
  <c r="K6" i="81"/>
  <c r="K7" i="81"/>
  <c r="K8" i="81"/>
  <c r="K9" i="81"/>
  <c r="K10" i="81"/>
  <c r="K11" i="81"/>
  <c r="K12" i="81"/>
  <c r="K13" i="81"/>
  <c r="K14" i="81"/>
  <c r="K15" i="81"/>
  <c r="K16" i="81"/>
  <c r="K17" i="81"/>
  <c r="K18" i="81"/>
  <c r="K19" i="81"/>
  <c r="K20" i="81"/>
  <c r="K21" i="81"/>
  <c r="K22" i="81"/>
  <c r="K23" i="81"/>
  <c r="K25" i="81"/>
  <c r="K26" i="81"/>
  <c r="K27" i="81"/>
  <c r="K28" i="81"/>
  <c r="K29" i="81"/>
  <c r="K30" i="81"/>
  <c r="K31" i="81"/>
  <c r="K32" i="81"/>
  <c r="K33" i="81"/>
  <c r="K34" i="81"/>
  <c r="K35" i="81"/>
  <c r="K36" i="81"/>
  <c r="K37" i="81"/>
  <c r="K38" i="81"/>
  <c r="K39" i="81"/>
  <c r="K40" i="81"/>
  <c r="K41" i="81"/>
  <c r="K42" i="81"/>
  <c r="K43" i="81"/>
  <c r="K44" i="81"/>
  <c r="K45" i="81"/>
  <c r="K46" i="81"/>
  <c r="K47" i="81"/>
  <c r="K48" i="81"/>
  <c r="K49" i="81"/>
  <c r="K50" i="81"/>
  <c r="K51" i="81"/>
  <c r="K52" i="81"/>
  <c r="K53" i="81"/>
  <c r="K54" i="81"/>
  <c r="K55" i="81"/>
  <c r="K56" i="81"/>
  <c r="K57" i="81"/>
  <c r="K58" i="81"/>
  <c r="K59" i="81"/>
  <c r="K60" i="81"/>
  <c r="K61" i="81"/>
  <c r="K62" i="81"/>
  <c r="K63" i="81"/>
  <c r="K64" i="81"/>
  <c r="K65" i="81"/>
  <c r="K66" i="81"/>
  <c r="K67" i="81"/>
  <c r="K68" i="81"/>
  <c r="K69" i="81"/>
  <c r="K70" i="81"/>
  <c r="K71" i="81"/>
  <c r="K72" i="81"/>
  <c r="K73" i="81"/>
  <c r="K75" i="81"/>
  <c r="K76" i="81"/>
  <c r="K77" i="81"/>
  <c r="K78" i="81"/>
  <c r="K79" i="81"/>
  <c r="K80" i="81"/>
  <c r="K81" i="81"/>
  <c r="K82" i="81"/>
  <c r="K83" i="81"/>
  <c r="K84" i="81"/>
  <c r="K85" i="81"/>
  <c r="K86" i="81"/>
  <c r="K87" i="81"/>
  <c r="K88" i="81"/>
  <c r="K89" i="81"/>
  <c r="K90" i="81"/>
  <c r="K91" i="81"/>
  <c r="K92" i="81"/>
  <c r="K93" i="81"/>
  <c r="K94" i="81"/>
  <c r="K95" i="81"/>
  <c r="K96" i="81"/>
  <c r="K97" i="81"/>
  <c r="K98" i="81"/>
  <c r="K99" i="81"/>
  <c r="K100" i="81"/>
  <c r="K101" i="81"/>
  <c r="K102" i="81"/>
  <c r="K103" i="81"/>
  <c r="K104" i="81"/>
  <c r="K105" i="81"/>
  <c r="K106" i="81"/>
  <c r="K107" i="81"/>
  <c r="K108" i="81"/>
  <c r="K109" i="81"/>
  <c r="K110" i="81"/>
  <c r="K111" i="81"/>
  <c r="K112" i="81"/>
  <c r="K113" i="81"/>
  <c r="K114" i="81"/>
  <c r="K115" i="81"/>
  <c r="K116" i="81"/>
  <c r="K117" i="81"/>
  <c r="K118" i="81"/>
  <c r="K119" i="81"/>
  <c r="K120" i="81"/>
  <c r="K121" i="81"/>
  <c r="K122" i="81"/>
  <c r="K123" i="81"/>
  <c r="K124" i="81"/>
  <c r="K125" i="81"/>
  <c r="K126" i="81"/>
  <c r="K128" i="81"/>
  <c r="K129" i="81"/>
  <c r="K130" i="81"/>
  <c r="K131" i="81"/>
  <c r="K132" i="81"/>
  <c r="K133" i="81"/>
  <c r="K134" i="81"/>
  <c r="K135" i="81"/>
  <c r="K136" i="81"/>
  <c r="K137" i="81"/>
  <c r="K138" i="81"/>
  <c r="K139" i="81"/>
  <c r="K140" i="81"/>
  <c r="K141" i="81"/>
  <c r="K142" i="81"/>
  <c r="K143" i="81"/>
  <c r="K144" i="81"/>
  <c r="K145" i="81"/>
  <c r="K146" i="81"/>
  <c r="K147" i="81"/>
  <c r="K148" i="81"/>
  <c r="K149" i="81"/>
  <c r="K150" i="81"/>
  <c r="K151" i="81"/>
  <c r="K152" i="81"/>
  <c r="K153" i="81"/>
  <c r="K154" i="81"/>
  <c r="K155" i="81"/>
  <c r="K156" i="81"/>
  <c r="K157" i="81"/>
  <c r="K158" i="81"/>
  <c r="K159" i="81"/>
  <c r="K160" i="81"/>
  <c r="K161" i="81"/>
  <c r="K162" i="81"/>
  <c r="K163" i="81"/>
  <c r="K164" i="81"/>
  <c r="K165" i="81"/>
  <c r="K166" i="81"/>
  <c r="K167" i="81"/>
  <c r="K168" i="81"/>
  <c r="K169" i="81"/>
  <c r="K170" i="81"/>
  <c r="K171" i="81"/>
  <c r="K172" i="81"/>
  <c r="K173" i="81"/>
  <c r="K174" i="81"/>
  <c r="K175" i="81"/>
  <c r="K176" i="81"/>
  <c r="K177" i="81"/>
  <c r="K178" i="81"/>
  <c r="K179" i="81"/>
  <c r="K180" i="81"/>
  <c r="K181" i="81"/>
  <c r="K182" i="81"/>
  <c r="K183" i="81"/>
  <c r="K184" i="81"/>
  <c r="K185" i="81"/>
  <c r="K186" i="81"/>
  <c r="K187" i="81"/>
  <c r="K188" i="81"/>
  <c r="K189" i="81"/>
  <c r="K190" i="81"/>
  <c r="K191" i="81"/>
  <c r="K192" i="81"/>
  <c r="K193" i="81"/>
  <c r="K194" i="81"/>
  <c r="K195" i="81"/>
  <c r="K196" i="81"/>
  <c r="K197" i="81"/>
  <c r="K198" i="81"/>
  <c r="K199" i="81"/>
  <c r="K200" i="81"/>
  <c r="K201" i="81"/>
  <c r="K202" i="81"/>
  <c r="K203" i="81"/>
  <c r="K204" i="81"/>
  <c r="K205" i="81"/>
  <c r="K206" i="81"/>
  <c r="K207" i="81"/>
  <c r="K208" i="81"/>
  <c r="K209" i="81"/>
  <c r="K210" i="81"/>
  <c r="K211" i="81"/>
  <c r="K212" i="81"/>
  <c r="K213" i="81"/>
  <c r="K214" i="81"/>
  <c r="K215" i="81"/>
  <c r="K216" i="81"/>
  <c r="K217" i="81"/>
  <c r="K218" i="81"/>
  <c r="K219" i="81"/>
  <c r="K220" i="81"/>
  <c r="K221" i="81"/>
  <c r="K222" i="81"/>
  <c r="K223" i="81"/>
  <c r="K224" i="81"/>
  <c r="K225" i="81"/>
  <c r="K226" i="81"/>
  <c r="K227" i="81"/>
  <c r="K228" i="81"/>
  <c r="K229" i="81"/>
  <c r="K230" i="81"/>
  <c r="K231" i="81"/>
  <c r="K232" i="81"/>
  <c r="K233" i="81"/>
  <c r="K234" i="81"/>
  <c r="K235" i="81"/>
  <c r="K236" i="81"/>
  <c r="K237" i="81"/>
  <c r="K238" i="81"/>
  <c r="K239" i="81"/>
  <c r="K240" i="81"/>
  <c r="K241" i="81"/>
  <c r="K242" i="81"/>
  <c r="K243" i="81"/>
  <c r="K244" i="81"/>
  <c r="K245" i="81"/>
  <c r="K246" i="81"/>
  <c r="K247" i="81"/>
  <c r="K248" i="81"/>
  <c r="K249" i="81"/>
  <c r="K250" i="81"/>
  <c r="K251" i="81"/>
  <c r="K252" i="81"/>
  <c r="K253" i="81"/>
  <c r="K254" i="81"/>
  <c r="K255" i="81"/>
  <c r="K256" i="81"/>
  <c r="K257" i="81"/>
  <c r="K258" i="81"/>
  <c r="K259" i="81"/>
  <c r="K260" i="81"/>
  <c r="K261" i="81"/>
  <c r="K262" i="81"/>
  <c r="K263" i="81"/>
  <c r="K264" i="81"/>
  <c r="K265" i="81"/>
  <c r="K266" i="81"/>
  <c r="K267" i="81"/>
  <c r="K268" i="81"/>
  <c r="K269" i="81"/>
  <c r="K270" i="81"/>
  <c r="K271" i="81"/>
  <c r="K272" i="81"/>
  <c r="K273" i="81"/>
  <c r="K274" i="81"/>
  <c r="K275" i="81"/>
  <c r="K276" i="81"/>
  <c r="K277" i="81"/>
  <c r="K278" i="81"/>
  <c r="K279" i="81"/>
  <c r="K280" i="81"/>
  <c r="K281" i="81"/>
  <c r="K282" i="81"/>
  <c r="K283" i="81"/>
  <c r="K284" i="81"/>
  <c r="K285" i="81"/>
  <c r="K286" i="81"/>
  <c r="K287" i="81"/>
  <c r="K288" i="81"/>
  <c r="K289" i="81"/>
  <c r="K290" i="81"/>
  <c r="K291" i="81"/>
  <c r="K292" i="81"/>
  <c r="K293" i="81"/>
  <c r="K294" i="81"/>
  <c r="K295" i="81"/>
  <c r="K296" i="81"/>
  <c r="K297" i="81"/>
  <c r="K298" i="81"/>
  <c r="K299" i="81"/>
  <c r="K300" i="81"/>
  <c r="K301" i="81"/>
  <c r="K302" i="81"/>
  <c r="K303" i="81"/>
  <c r="K304" i="81"/>
  <c r="K2" i="81"/>
  <c r="M95" i="60"/>
  <c r="M96" i="60"/>
  <c r="M97" i="60"/>
  <c r="M98" i="60"/>
  <c r="M100" i="60"/>
  <c r="M101" i="60"/>
  <c r="M102" i="60"/>
  <c r="M103" i="60"/>
  <c r="M104" i="60"/>
  <c r="M105" i="60"/>
  <c r="M106" i="60"/>
  <c r="M107" i="60"/>
  <c r="M108" i="60"/>
  <c r="M109" i="60"/>
  <c r="M111" i="60"/>
  <c r="M112" i="60"/>
  <c r="M113" i="60"/>
  <c r="M114" i="60"/>
  <c r="M115" i="60"/>
  <c r="M116" i="60"/>
  <c r="M117" i="60"/>
  <c r="M118" i="60"/>
  <c r="M119" i="60"/>
  <c r="M120" i="60"/>
  <c r="M121" i="60"/>
  <c r="M122" i="60"/>
  <c r="M123" i="60"/>
  <c r="M124" i="60"/>
  <c r="M125" i="60"/>
  <c r="M126" i="60"/>
  <c r="M127" i="60"/>
  <c r="M128" i="60"/>
  <c r="M130" i="60"/>
  <c r="M131" i="60"/>
  <c r="M132" i="60"/>
  <c r="M94" i="60"/>
  <c r="C1502" i="34"/>
  <c r="B1502" i="34" s="1"/>
  <c r="C1496" i="34"/>
  <c r="B1496" i="34" s="1"/>
  <c r="C1495" i="34"/>
  <c r="B1495" i="34" s="1"/>
  <c r="C1494" i="34"/>
  <c r="B1494" i="34" s="1"/>
  <c r="C1493" i="34"/>
  <c r="B1493" i="34" s="1"/>
  <c r="C1492" i="34"/>
  <c r="B1492" i="34" s="1"/>
  <c r="C1491" i="34"/>
  <c r="B1491" i="34" s="1"/>
  <c r="C1490" i="34"/>
  <c r="B1490" i="34" s="1"/>
  <c r="C1489" i="34"/>
  <c r="B1489" i="34" s="1"/>
  <c r="C1505" i="34"/>
  <c r="B1505" i="34" s="1"/>
  <c r="C1504" i="34"/>
  <c r="B1504" i="34" s="1"/>
  <c r="C1503" i="34"/>
  <c r="B1503" i="34" s="1"/>
  <c r="C1501" i="34"/>
  <c r="B1501" i="34" s="1"/>
  <c r="C1500" i="34"/>
  <c r="B1500" i="34" s="1"/>
  <c r="C1499" i="34"/>
  <c r="B1499" i="34" s="1"/>
  <c r="C1498" i="34"/>
  <c r="B1498" i="34" s="1"/>
  <c r="O240" i="81"/>
  <c r="O241" i="81"/>
  <c r="O242" i="81"/>
  <c r="O243" i="81"/>
  <c r="O251" i="81"/>
  <c r="O252" i="81"/>
  <c r="O253" i="81"/>
  <c r="O258" i="81"/>
  <c r="O244" i="81"/>
  <c r="O245" i="81"/>
  <c r="O246" i="81"/>
  <c r="O247" i="81"/>
  <c r="O248" i="81"/>
  <c r="O249" i="81"/>
  <c r="O254" i="81"/>
  <c r="O255" i="81"/>
  <c r="O256" i="81"/>
  <c r="O257" i="81"/>
  <c r="O250" i="81"/>
  <c r="O239" i="81"/>
  <c r="C1681" i="34"/>
  <c r="C1682" i="34"/>
  <c r="C1683" i="34"/>
  <c r="C1684" i="34"/>
  <c r="C1685" i="34"/>
  <c r="C1686" i="34"/>
  <c r="C1687" i="34"/>
  <c r="C1688" i="34"/>
  <c r="C1689" i="34"/>
  <c r="C1690" i="34"/>
  <c r="C1691" i="34"/>
  <c r="C1692" i="34"/>
  <c r="C1693" i="34"/>
  <c r="C1694" i="34"/>
  <c r="C1695" i="34"/>
  <c r="C1696" i="34"/>
  <c r="C1697" i="34"/>
  <c r="C1698" i="34"/>
  <c r="C1699" i="34"/>
  <c r="C1700" i="34"/>
  <c r="C1701" i="34"/>
  <c r="C1702" i="34"/>
  <c r="C1703" i="34"/>
  <c r="C1704" i="34"/>
  <c r="C1705" i="34"/>
  <c r="C1706" i="34"/>
  <c r="C1707" i="34"/>
  <c r="C1708" i="34"/>
  <c r="C1709" i="34"/>
  <c r="C1710" i="34"/>
  <c r="C1711" i="34"/>
  <c r="C1712" i="34"/>
  <c r="C1713" i="34"/>
  <c r="C1714" i="34"/>
  <c r="I154" i="81"/>
  <c r="A1505" i="34" l="1"/>
  <c r="Z1505" i="34"/>
  <c r="W1505" i="34"/>
  <c r="U1505" i="34"/>
  <c r="A1489" i="34"/>
  <c r="Z1489" i="34"/>
  <c r="W1489" i="34"/>
  <c r="U1489" i="34"/>
  <c r="A1498" i="34"/>
  <c r="U1498" i="34"/>
  <c r="Z1498" i="34"/>
  <c r="W1498" i="34"/>
  <c r="A1503" i="34"/>
  <c r="Z1503" i="34"/>
  <c r="W1503" i="34"/>
  <c r="U1503" i="34"/>
  <c r="A1490" i="34"/>
  <c r="U1490" i="34"/>
  <c r="Z1490" i="34"/>
  <c r="W1490" i="34"/>
  <c r="A1494" i="34"/>
  <c r="U1494" i="34"/>
  <c r="Z1494" i="34"/>
  <c r="W1494" i="34"/>
  <c r="A1500" i="34"/>
  <c r="U1500" i="34"/>
  <c r="Z1500" i="34"/>
  <c r="W1500" i="34"/>
  <c r="A1501" i="34"/>
  <c r="Z1501" i="34"/>
  <c r="W1501" i="34"/>
  <c r="U1501" i="34"/>
  <c r="A1502" i="34"/>
  <c r="U1502" i="34"/>
  <c r="Z1502" i="34"/>
  <c r="W1502" i="34"/>
  <c r="A1499" i="34"/>
  <c r="Z1499" i="34"/>
  <c r="W1499" i="34"/>
  <c r="U1499" i="34"/>
  <c r="A1504" i="34"/>
  <c r="U1504" i="34"/>
  <c r="Z1504" i="34"/>
  <c r="W1504" i="34"/>
  <c r="A1491" i="34"/>
  <c r="Z1491" i="34"/>
  <c r="W1491" i="34"/>
  <c r="U1491" i="34"/>
  <c r="A1495" i="34"/>
  <c r="Z1495" i="34"/>
  <c r="W1495" i="34"/>
  <c r="U1495" i="34"/>
  <c r="A1492" i="34"/>
  <c r="U1492" i="34"/>
  <c r="Z1492" i="34"/>
  <c r="W1492" i="34"/>
  <c r="A1496" i="34"/>
  <c r="U1496" i="34"/>
  <c r="Z1496" i="34"/>
  <c r="W1496" i="34"/>
  <c r="A1493" i="34"/>
  <c r="Z1493" i="34"/>
  <c r="W1493" i="34"/>
  <c r="U1493" i="34"/>
  <c r="O214" i="81"/>
  <c r="O215" i="81"/>
  <c r="C1466" i="34"/>
  <c r="B1466" i="34" s="1"/>
  <c r="C1465" i="34"/>
  <c r="B1465" i="34" s="1"/>
  <c r="C1464" i="34"/>
  <c r="B1464" i="34" s="1"/>
  <c r="C1463" i="34"/>
  <c r="B1463" i="34" s="1"/>
  <c r="C1462" i="34"/>
  <c r="B1462" i="34" s="1"/>
  <c r="C1461" i="34"/>
  <c r="B1461" i="34" s="1"/>
  <c r="C1460" i="34"/>
  <c r="B1460" i="34" s="1"/>
  <c r="C1459" i="34"/>
  <c r="B1459" i="34" s="1"/>
  <c r="C1458" i="34"/>
  <c r="B1458" i="34" s="1"/>
  <c r="C1457" i="34"/>
  <c r="B1457" i="34" s="1"/>
  <c r="C1456" i="34"/>
  <c r="B1456" i="34" s="1"/>
  <c r="C1455" i="34"/>
  <c r="B1455" i="34" s="1"/>
  <c r="C1454" i="34"/>
  <c r="B1454" i="34" s="1"/>
  <c r="C1453" i="34"/>
  <c r="B1453" i="34" s="1"/>
  <c r="C1452" i="34"/>
  <c r="B1452" i="34" s="1"/>
  <c r="C1451" i="34"/>
  <c r="B1451" i="34" s="1"/>
  <c r="C1450" i="34"/>
  <c r="B1450" i="34" s="1"/>
  <c r="C1449" i="34"/>
  <c r="B1449" i="34" s="1"/>
  <c r="C1448" i="34"/>
  <c r="B1448" i="34" s="1"/>
  <c r="C1447" i="34"/>
  <c r="B1447" i="34" s="1"/>
  <c r="C1446" i="34"/>
  <c r="B1446" i="34" s="1"/>
  <c r="C1445" i="34"/>
  <c r="B1445" i="34" s="1"/>
  <c r="C1444" i="34"/>
  <c r="B1444" i="34" s="1"/>
  <c r="C1482" i="34"/>
  <c r="B1482" i="34" s="1"/>
  <c r="C1481" i="34"/>
  <c r="B1481" i="34" s="1"/>
  <c r="C1480" i="34"/>
  <c r="B1480" i="34" s="1"/>
  <c r="C1479" i="34"/>
  <c r="B1479" i="34" s="1"/>
  <c r="C1478" i="34"/>
  <c r="B1478" i="34" s="1"/>
  <c r="C1477" i="34"/>
  <c r="B1477" i="34" s="1"/>
  <c r="C1476" i="34"/>
  <c r="B1476" i="34" s="1"/>
  <c r="C1475" i="34"/>
  <c r="B1475" i="34" s="1"/>
  <c r="C1474" i="34"/>
  <c r="B1474" i="34" s="1"/>
  <c r="C1473" i="34"/>
  <c r="B1473" i="34" s="1"/>
  <c r="C1472" i="34"/>
  <c r="B1472" i="34" s="1"/>
  <c r="C1471" i="34"/>
  <c r="B1471" i="34" s="1"/>
  <c r="C1470" i="34"/>
  <c r="B1470" i="34" s="1"/>
  <c r="C1469" i="34"/>
  <c r="B1469" i="34" s="1"/>
  <c r="C1468" i="34"/>
  <c r="B1468" i="34" s="1"/>
  <c r="C1467" i="34"/>
  <c r="B1467" i="34" s="1"/>
  <c r="C1487" i="34"/>
  <c r="B1487" i="34" s="1"/>
  <c r="C1486" i="34"/>
  <c r="B1486" i="34" s="1"/>
  <c r="C1485" i="34"/>
  <c r="B1485" i="34" s="1"/>
  <c r="C1484" i="34"/>
  <c r="B1484" i="34" s="1"/>
  <c r="C1483" i="34"/>
  <c r="B1483" i="34" s="1"/>
  <c r="A1487" i="34" l="1"/>
  <c r="Z1487" i="34"/>
  <c r="W1487" i="34"/>
  <c r="U1487" i="34"/>
  <c r="A1474" i="34"/>
  <c r="U1474" i="34"/>
  <c r="Z1474" i="34"/>
  <c r="W1474" i="34"/>
  <c r="A1482" i="34"/>
  <c r="U1482" i="34"/>
  <c r="Z1482" i="34"/>
  <c r="W1482" i="34"/>
  <c r="A1455" i="34"/>
  <c r="Z1455" i="34"/>
  <c r="W1455" i="34"/>
  <c r="U1455" i="34"/>
  <c r="A1467" i="34"/>
  <c r="Z1467" i="34"/>
  <c r="W1467" i="34"/>
  <c r="U1467" i="34"/>
  <c r="A1475" i="34"/>
  <c r="Z1475" i="34"/>
  <c r="W1475" i="34"/>
  <c r="U1475" i="34"/>
  <c r="A1479" i="34"/>
  <c r="Z1479" i="34"/>
  <c r="W1479" i="34"/>
  <c r="U1479" i="34"/>
  <c r="A1448" i="34"/>
  <c r="U1448" i="34"/>
  <c r="Z1448" i="34"/>
  <c r="W1448" i="34"/>
  <c r="A1452" i="34"/>
  <c r="U1452" i="34"/>
  <c r="Z1452" i="34"/>
  <c r="W1452" i="34"/>
  <c r="A1460" i="34"/>
  <c r="U1460" i="34"/>
  <c r="Z1460" i="34"/>
  <c r="W1460" i="34"/>
  <c r="A1464" i="34"/>
  <c r="U1464" i="34"/>
  <c r="Z1464" i="34"/>
  <c r="W1464" i="34"/>
  <c r="A1485" i="34"/>
  <c r="Z1485" i="34"/>
  <c r="W1485" i="34"/>
  <c r="U1485" i="34"/>
  <c r="A1468" i="34"/>
  <c r="U1468" i="34"/>
  <c r="Z1468" i="34"/>
  <c r="W1468" i="34"/>
  <c r="A1472" i="34"/>
  <c r="U1472" i="34"/>
  <c r="Z1472" i="34"/>
  <c r="W1472" i="34"/>
  <c r="A1476" i="34"/>
  <c r="U1476" i="34"/>
  <c r="Z1476" i="34"/>
  <c r="W1476" i="34"/>
  <c r="A1480" i="34"/>
  <c r="U1480" i="34"/>
  <c r="Z1480" i="34"/>
  <c r="W1480" i="34"/>
  <c r="A1445" i="34"/>
  <c r="Z1445" i="34"/>
  <c r="W1445" i="34"/>
  <c r="U1445" i="34"/>
  <c r="A1449" i="34"/>
  <c r="Z1449" i="34"/>
  <c r="W1449" i="34"/>
  <c r="U1449" i="34"/>
  <c r="A1453" i="34"/>
  <c r="Z1453" i="34"/>
  <c r="W1453" i="34"/>
  <c r="U1453" i="34"/>
  <c r="A1457" i="34"/>
  <c r="Z1457" i="34"/>
  <c r="W1457" i="34"/>
  <c r="U1457" i="34"/>
  <c r="A1461" i="34"/>
  <c r="Z1461" i="34"/>
  <c r="W1461" i="34"/>
  <c r="U1461" i="34"/>
  <c r="A1465" i="34"/>
  <c r="Z1465" i="34"/>
  <c r="W1465" i="34"/>
  <c r="U1465" i="34"/>
  <c r="A1486" i="34"/>
  <c r="U1486" i="34"/>
  <c r="Z1486" i="34"/>
  <c r="W1486" i="34"/>
  <c r="A1469" i="34"/>
  <c r="Z1469" i="34"/>
  <c r="W1469" i="34"/>
  <c r="U1469" i="34"/>
  <c r="A1473" i="34"/>
  <c r="Z1473" i="34"/>
  <c r="W1473" i="34"/>
  <c r="U1473" i="34"/>
  <c r="A1477" i="34"/>
  <c r="Z1477" i="34"/>
  <c r="W1477" i="34"/>
  <c r="U1477" i="34"/>
  <c r="A1481" i="34"/>
  <c r="Z1481" i="34"/>
  <c r="W1481" i="34"/>
  <c r="U1481" i="34"/>
  <c r="A1446" i="34"/>
  <c r="U1446" i="34"/>
  <c r="Z1446" i="34"/>
  <c r="W1446" i="34"/>
  <c r="A1450" i="34"/>
  <c r="U1450" i="34"/>
  <c r="Z1450" i="34"/>
  <c r="W1450" i="34"/>
  <c r="A1454" i="34"/>
  <c r="U1454" i="34"/>
  <c r="Z1454" i="34"/>
  <c r="W1454" i="34"/>
  <c r="A1458" i="34"/>
  <c r="U1458" i="34"/>
  <c r="Z1458" i="34"/>
  <c r="W1458" i="34"/>
  <c r="A1462" i="34"/>
  <c r="U1462" i="34"/>
  <c r="Z1462" i="34"/>
  <c r="W1462" i="34"/>
  <c r="A1466" i="34"/>
  <c r="U1466" i="34"/>
  <c r="Z1466" i="34"/>
  <c r="W1466" i="34"/>
  <c r="A1470" i="34"/>
  <c r="U1470" i="34"/>
  <c r="Z1470" i="34"/>
  <c r="W1470" i="34"/>
  <c r="A1447" i="34"/>
  <c r="Z1447" i="34"/>
  <c r="W1447" i="34"/>
  <c r="U1447" i="34"/>
  <c r="A1459" i="34"/>
  <c r="Z1459" i="34"/>
  <c r="W1459" i="34"/>
  <c r="U1459" i="34"/>
  <c r="A1463" i="34"/>
  <c r="Z1463" i="34"/>
  <c r="W1463" i="34"/>
  <c r="U1463" i="34"/>
  <c r="A1483" i="34"/>
  <c r="Z1483" i="34"/>
  <c r="W1483" i="34"/>
  <c r="U1483" i="34"/>
  <c r="A1478" i="34"/>
  <c r="U1478" i="34"/>
  <c r="Z1478" i="34"/>
  <c r="W1478" i="34"/>
  <c r="A1451" i="34"/>
  <c r="Z1451" i="34"/>
  <c r="W1451" i="34"/>
  <c r="U1451" i="34"/>
  <c r="A1484" i="34"/>
  <c r="U1484" i="34"/>
  <c r="Z1484" i="34"/>
  <c r="W1484" i="34"/>
  <c r="A1471" i="34"/>
  <c r="Z1471" i="34"/>
  <c r="W1471" i="34"/>
  <c r="U1471" i="34"/>
  <c r="A1444" i="34"/>
  <c r="U1444" i="34"/>
  <c r="Z1444" i="34"/>
  <c r="W1444" i="34"/>
  <c r="A1456" i="34"/>
  <c r="U1456" i="34"/>
  <c r="Z1456" i="34"/>
  <c r="W1456" i="34"/>
  <c r="O199" i="81"/>
  <c r="C1182" i="34" l="1"/>
  <c r="B1182" i="34" s="1"/>
  <c r="C1181" i="34"/>
  <c r="B1181" i="34" s="1"/>
  <c r="C1180" i="34"/>
  <c r="B1180" i="34" s="1"/>
  <c r="C1179" i="34"/>
  <c r="B1179" i="34" s="1"/>
  <c r="C1183" i="34"/>
  <c r="B1183" i="34" s="1"/>
  <c r="C967" i="34"/>
  <c r="B967" i="34" s="1"/>
  <c r="C968" i="34"/>
  <c r="B968" i="34" s="1"/>
  <c r="C969" i="34"/>
  <c r="B969" i="34" s="1"/>
  <c r="C963" i="34"/>
  <c r="B963" i="34" s="1"/>
  <c r="C962" i="34"/>
  <c r="B962" i="34" s="1"/>
  <c r="C961" i="34"/>
  <c r="B961" i="34" s="1"/>
  <c r="C960" i="34"/>
  <c r="B960" i="34" s="1"/>
  <c r="C965" i="34"/>
  <c r="B965" i="34" s="1"/>
  <c r="C964" i="34"/>
  <c r="B964" i="34" s="1"/>
  <c r="C966" i="34"/>
  <c r="B966" i="34" s="1"/>
  <c r="C958" i="34"/>
  <c r="B958" i="34" s="1"/>
  <c r="C953" i="34"/>
  <c r="B953" i="34" s="1"/>
  <c r="C952" i="34"/>
  <c r="B952" i="34" s="1"/>
  <c r="C951" i="34"/>
  <c r="B951" i="34" s="1"/>
  <c r="C950" i="34"/>
  <c r="B950" i="34" s="1"/>
  <c r="C955" i="34"/>
  <c r="B955" i="34" s="1"/>
  <c r="C954" i="34"/>
  <c r="B954" i="34" s="1"/>
  <c r="C956" i="34"/>
  <c r="B956" i="34" s="1"/>
  <c r="O148" i="81"/>
  <c r="C1530" i="34"/>
  <c r="C1531" i="34"/>
  <c r="C1532" i="34"/>
  <c r="C1533" i="34"/>
  <c r="C1534" i="34"/>
  <c r="C1535" i="34"/>
  <c r="C1536" i="34"/>
  <c r="C1537" i="34"/>
  <c r="C1538" i="34"/>
  <c r="C1539" i="34"/>
  <c r="C1540" i="34"/>
  <c r="C1541" i="34"/>
  <c r="C1542" i="34"/>
  <c r="C1543" i="34"/>
  <c r="C1544" i="34"/>
  <c r="C1545" i="34"/>
  <c r="C1546" i="34"/>
  <c r="C1547" i="34"/>
  <c r="C1548" i="34"/>
  <c r="C1549" i="34"/>
  <c r="C1550" i="34"/>
  <c r="C1551" i="34"/>
  <c r="C1552" i="34"/>
  <c r="C1553" i="34"/>
  <c r="C1554" i="34"/>
  <c r="C1555" i="34"/>
  <c r="C1556" i="34"/>
  <c r="C1557" i="34"/>
  <c r="C1558" i="34"/>
  <c r="C1559" i="34"/>
  <c r="C1560" i="34"/>
  <c r="C1561" i="34"/>
  <c r="C1562" i="34"/>
  <c r="C1563" i="34"/>
  <c r="C1564" i="34"/>
  <c r="C1565" i="34"/>
  <c r="C1566" i="34"/>
  <c r="C1567" i="34"/>
  <c r="C1568" i="34"/>
  <c r="C1569" i="34"/>
  <c r="C1570" i="34"/>
  <c r="C1571" i="34"/>
  <c r="C1572" i="34"/>
  <c r="C1573" i="34"/>
  <c r="C1574" i="34"/>
  <c r="C1575" i="34"/>
  <c r="C1576" i="34"/>
  <c r="C1577" i="34"/>
  <c r="C1578" i="34"/>
  <c r="C1579" i="34"/>
  <c r="C1580" i="34"/>
  <c r="C1581" i="34"/>
  <c r="C1582" i="34"/>
  <c r="C1583" i="34"/>
  <c r="C1584" i="34"/>
  <c r="C1585" i="34"/>
  <c r="C1586" i="34"/>
  <c r="C1587" i="34"/>
  <c r="C1588" i="34"/>
  <c r="C1589" i="34"/>
  <c r="C1590" i="34"/>
  <c r="C1591" i="34"/>
  <c r="C1592" i="34"/>
  <c r="C1593" i="34"/>
  <c r="C1594" i="34"/>
  <c r="C1595" i="34"/>
  <c r="C1596" i="34"/>
  <c r="C1597" i="34"/>
  <c r="C1598" i="34"/>
  <c r="C1599" i="34"/>
  <c r="C1600" i="34"/>
  <c r="C1601" i="34"/>
  <c r="C1602" i="34"/>
  <c r="C1603" i="34"/>
  <c r="C1604" i="34"/>
  <c r="C1605" i="34"/>
  <c r="C1606" i="34"/>
  <c r="C1607" i="34"/>
  <c r="C1608" i="34"/>
  <c r="C1609" i="34"/>
  <c r="C1610" i="34"/>
  <c r="C1611" i="34"/>
  <c r="C1612" i="34"/>
  <c r="C1613" i="34"/>
  <c r="C1614" i="34"/>
  <c r="C1615" i="34"/>
  <c r="C1616" i="34"/>
  <c r="C1617" i="34"/>
  <c r="C1618" i="34"/>
  <c r="C1619" i="34"/>
  <c r="C1620" i="34"/>
  <c r="C1621" i="34"/>
  <c r="C1622" i="34"/>
  <c r="C1623" i="34"/>
  <c r="C1624" i="34"/>
  <c r="C1625" i="34"/>
  <c r="C1626" i="34"/>
  <c r="C1627" i="34"/>
  <c r="C1628" i="34"/>
  <c r="C1629" i="34"/>
  <c r="C1630" i="34"/>
  <c r="C1631" i="34"/>
  <c r="C1632" i="34"/>
  <c r="C1633" i="34"/>
  <c r="C1634" i="34"/>
  <c r="C1635" i="34"/>
  <c r="C1636" i="34"/>
  <c r="C1637" i="34"/>
  <c r="C1638" i="34"/>
  <c r="C1639" i="34"/>
  <c r="C1640" i="34"/>
  <c r="C1641" i="34"/>
  <c r="C1642" i="34"/>
  <c r="C1643" i="34"/>
  <c r="C1644" i="34"/>
  <c r="C1645" i="34"/>
  <c r="C1646" i="34"/>
  <c r="C1647" i="34"/>
  <c r="C1648" i="34"/>
  <c r="C1649" i="34"/>
  <c r="C1650" i="34"/>
  <c r="C1651" i="34"/>
  <c r="C1652" i="34"/>
  <c r="C1653" i="34"/>
  <c r="C1654" i="34"/>
  <c r="C1655" i="34"/>
  <c r="C1656" i="34"/>
  <c r="C1657" i="34"/>
  <c r="C1658" i="34"/>
  <c r="C1659" i="34"/>
  <c r="C1660" i="34"/>
  <c r="C1661" i="34"/>
  <c r="C1662" i="34"/>
  <c r="C1663" i="34"/>
  <c r="C1664" i="34"/>
  <c r="C1665" i="34"/>
  <c r="C1666" i="34"/>
  <c r="C1667" i="34"/>
  <c r="C1668" i="34"/>
  <c r="C1669" i="34"/>
  <c r="C1670" i="34"/>
  <c r="C1671" i="34"/>
  <c r="C1672" i="34"/>
  <c r="C1673" i="34"/>
  <c r="C1674" i="34"/>
  <c r="C1675" i="34"/>
  <c r="C1676" i="34"/>
  <c r="C1677" i="34"/>
  <c r="C1678" i="34"/>
  <c r="C1679" i="34"/>
  <c r="C1680" i="34"/>
  <c r="M37" i="60"/>
  <c r="M38" i="60"/>
  <c r="M39" i="60"/>
  <c r="M40" i="60"/>
  <c r="M41" i="60"/>
  <c r="M42" i="60"/>
  <c r="M43" i="60"/>
  <c r="M44" i="60"/>
  <c r="M45" i="60"/>
  <c r="M46" i="60"/>
  <c r="M47" i="60"/>
  <c r="M48" i="60"/>
  <c r="M49" i="60"/>
  <c r="M50" i="60"/>
  <c r="M51" i="60"/>
  <c r="M52" i="60"/>
  <c r="M54" i="60"/>
  <c r="M55" i="60"/>
  <c r="M56" i="60"/>
  <c r="M57" i="60"/>
  <c r="M58" i="60"/>
  <c r="M59" i="60"/>
  <c r="M60" i="60"/>
  <c r="M61" i="60"/>
  <c r="M62" i="60"/>
  <c r="M63" i="60"/>
  <c r="M64" i="60"/>
  <c r="M65" i="60"/>
  <c r="M67" i="60"/>
  <c r="M68" i="60"/>
  <c r="M69" i="60"/>
  <c r="M70" i="60"/>
  <c r="M71" i="60"/>
  <c r="M72" i="60"/>
  <c r="M73" i="60"/>
  <c r="M36" i="60"/>
  <c r="C378" i="34"/>
  <c r="B378" i="34" s="1"/>
  <c r="D56" i="81"/>
  <c r="C377" i="34"/>
  <c r="B377" i="34" s="1"/>
  <c r="C376" i="34"/>
  <c r="B376" i="34" s="1"/>
  <c r="C379" i="34"/>
  <c r="B379" i="34" s="1"/>
  <c r="O27" i="81"/>
  <c r="O28" i="81"/>
  <c r="O29" i="81"/>
  <c r="O30" i="81"/>
  <c r="O31" i="81"/>
  <c r="O32" i="81"/>
  <c r="O33" i="81"/>
  <c r="O34" i="81"/>
  <c r="O36" i="81"/>
  <c r="O26" i="81"/>
  <c r="P8" i="60"/>
  <c r="P9" i="60"/>
  <c r="C9" i="60" s="1"/>
  <c r="P10" i="60"/>
  <c r="C10" i="60" s="1"/>
  <c r="P12" i="60"/>
  <c r="C12" i="60" s="1"/>
  <c r="P13" i="60"/>
  <c r="C13" i="60" s="1"/>
  <c r="P14" i="60"/>
  <c r="C14" i="60" s="1"/>
  <c r="P15" i="60"/>
  <c r="C15" i="60" s="1"/>
  <c r="P16" i="60"/>
  <c r="C16" i="60" s="1"/>
  <c r="P17" i="60"/>
  <c r="C17" i="60" s="1"/>
  <c r="P18" i="60"/>
  <c r="C18" i="60" s="1"/>
  <c r="P20" i="60"/>
  <c r="C20" i="60" s="1"/>
  <c r="P22" i="60"/>
  <c r="C22" i="60" s="1"/>
  <c r="P24" i="60"/>
  <c r="C24" i="60" s="1"/>
  <c r="P25" i="60"/>
  <c r="C25" i="60" s="1"/>
  <c r="P26" i="60"/>
  <c r="C26" i="60" s="1"/>
  <c r="M8" i="60"/>
  <c r="M9" i="60"/>
  <c r="M10" i="60"/>
  <c r="M12" i="60"/>
  <c r="M13" i="60"/>
  <c r="M14" i="60"/>
  <c r="M15" i="60"/>
  <c r="M16" i="60"/>
  <c r="M17" i="60"/>
  <c r="M18" i="60"/>
  <c r="M20" i="60"/>
  <c r="M22" i="60"/>
  <c r="M24" i="60"/>
  <c r="M25" i="60"/>
  <c r="M26" i="60"/>
  <c r="M7" i="60"/>
  <c r="C1507" i="34"/>
  <c r="C1508" i="34"/>
  <c r="C1509" i="34"/>
  <c r="C1510" i="34"/>
  <c r="C1511" i="34"/>
  <c r="C1512" i="34"/>
  <c r="C1513" i="34"/>
  <c r="C1514" i="34"/>
  <c r="C1515" i="34"/>
  <c r="C1516" i="34"/>
  <c r="C1517" i="34"/>
  <c r="C1518" i="34"/>
  <c r="C1519" i="34"/>
  <c r="C1520" i="34"/>
  <c r="C1521" i="34"/>
  <c r="C1522" i="34"/>
  <c r="C1523" i="34"/>
  <c r="C1524" i="34"/>
  <c r="C1525" i="34"/>
  <c r="C1526" i="34"/>
  <c r="C1527" i="34"/>
  <c r="C1528" i="34"/>
  <c r="C1529" i="34"/>
  <c r="A376" i="34" l="1"/>
  <c r="W376" i="34"/>
  <c r="U376" i="34"/>
  <c r="Z376" i="34"/>
  <c r="A954" i="34"/>
  <c r="Z954" i="34"/>
  <c r="W954" i="34"/>
  <c r="U954" i="34"/>
  <c r="A379" i="34"/>
  <c r="U379" i="34"/>
  <c r="Z379" i="34"/>
  <c r="W379" i="34"/>
  <c r="A378" i="34"/>
  <c r="W378" i="34"/>
  <c r="U378" i="34"/>
  <c r="Z378" i="34"/>
  <c r="A950" i="34"/>
  <c r="Z950" i="34"/>
  <c r="W950" i="34"/>
  <c r="U950" i="34"/>
  <c r="A958" i="34"/>
  <c r="Z958" i="34"/>
  <c r="W958" i="34"/>
  <c r="U958" i="34"/>
  <c r="A960" i="34"/>
  <c r="Z960" i="34"/>
  <c r="W960" i="34"/>
  <c r="U960" i="34"/>
  <c r="A969" i="34"/>
  <c r="U969" i="34"/>
  <c r="Z969" i="34"/>
  <c r="W969" i="34"/>
  <c r="A1179" i="34"/>
  <c r="U1179" i="34"/>
  <c r="Z1179" i="34"/>
  <c r="W1179" i="34"/>
  <c r="A956" i="34"/>
  <c r="Z956" i="34"/>
  <c r="W956" i="34"/>
  <c r="U956" i="34"/>
  <c r="A951" i="34"/>
  <c r="U951" i="34"/>
  <c r="Z951" i="34"/>
  <c r="W951" i="34"/>
  <c r="A966" i="34"/>
  <c r="Z966" i="34"/>
  <c r="W966" i="34"/>
  <c r="U966" i="34"/>
  <c r="A961" i="34"/>
  <c r="U961" i="34"/>
  <c r="Z961" i="34"/>
  <c r="W961" i="34"/>
  <c r="A968" i="34"/>
  <c r="Z968" i="34"/>
  <c r="W968" i="34"/>
  <c r="U968" i="34"/>
  <c r="A1180" i="34"/>
  <c r="Z1180" i="34"/>
  <c r="W1180" i="34"/>
  <c r="U1180" i="34"/>
  <c r="A952" i="34"/>
  <c r="Z952" i="34"/>
  <c r="W952" i="34"/>
  <c r="U952" i="34"/>
  <c r="A964" i="34"/>
  <c r="Z964" i="34"/>
  <c r="W964" i="34"/>
  <c r="U964" i="34"/>
  <c r="A962" i="34"/>
  <c r="Z962" i="34"/>
  <c r="W962" i="34"/>
  <c r="U962" i="34"/>
  <c r="A967" i="34"/>
  <c r="U967" i="34"/>
  <c r="Z967" i="34"/>
  <c r="W967" i="34"/>
  <c r="A1181" i="34"/>
  <c r="U1181" i="34"/>
  <c r="Z1181" i="34"/>
  <c r="W1181" i="34"/>
  <c r="A377" i="34"/>
  <c r="U377" i="34"/>
  <c r="Z377" i="34"/>
  <c r="W377" i="34"/>
  <c r="A955" i="34"/>
  <c r="U955" i="34"/>
  <c r="Z955" i="34"/>
  <c r="W955" i="34"/>
  <c r="A953" i="34"/>
  <c r="U953" i="34"/>
  <c r="Z953" i="34"/>
  <c r="W953" i="34"/>
  <c r="A965" i="34"/>
  <c r="U965" i="34"/>
  <c r="Z965" i="34"/>
  <c r="W965" i="34"/>
  <c r="A963" i="34"/>
  <c r="U963" i="34"/>
  <c r="Z963" i="34"/>
  <c r="W963" i="34"/>
  <c r="A1183" i="34"/>
  <c r="U1183" i="34"/>
  <c r="Z1183" i="34"/>
  <c r="W1183" i="34"/>
  <c r="A1182" i="34"/>
  <c r="Z1182" i="34"/>
  <c r="W1182" i="34"/>
  <c r="U1182" i="34"/>
  <c r="I429" i="55" a="1"/>
  <c r="I429" i="55" s="1"/>
  <c r="G429" i="55" a="1"/>
  <c r="G429" i="55" s="1"/>
  <c r="B429" i="55"/>
  <c r="A429" i="55" s="1"/>
  <c r="I334" i="55" a="1"/>
  <c r="I334" i="55" s="1"/>
  <c r="G334" i="55" a="1"/>
  <c r="G334" i="55" s="1"/>
  <c r="B334" i="55"/>
  <c r="A334" i="55" s="1"/>
  <c r="I335" i="55" a="1"/>
  <c r="I335" i="55" s="1"/>
  <c r="G335" i="55" a="1"/>
  <c r="G335" i="55" s="1"/>
  <c r="B335" i="55"/>
  <c r="A335" i="55" s="1"/>
  <c r="I383" i="55" a="1"/>
  <c r="I383" i="55" s="1"/>
  <c r="G383" i="55" a="1"/>
  <c r="G383" i="55" s="1"/>
  <c r="B383" i="55"/>
  <c r="A383" i="55" s="1"/>
  <c r="I387" i="55" a="1"/>
  <c r="I387" i="55" s="1"/>
  <c r="G387" i="55" a="1"/>
  <c r="G387" i="55" s="1"/>
  <c r="B387" i="55"/>
  <c r="A387" i="55" s="1"/>
  <c r="I423" i="55" a="1"/>
  <c r="I423" i="55" s="1"/>
  <c r="G423" i="55" a="1"/>
  <c r="G423" i="55" s="1"/>
  <c r="B423" i="55"/>
  <c r="A423" i="55" s="1"/>
  <c r="I347" i="55" a="1"/>
  <c r="I347" i="55" s="1"/>
  <c r="G347" i="55" a="1"/>
  <c r="G347" i="55" s="1"/>
  <c r="B347" i="55"/>
  <c r="A347" i="55" s="1"/>
  <c r="I348" i="55" a="1"/>
  <c r="I348" i="55" s="1"/>
  <c r="G348" i="55" a="1"/>
  <c r="G348" i="55" s="1"/>
  <c r="B348" i="55"/>
  <c r="A348" i="55" s="1"/>
  <c r="I292" i="55" a="1"/>
  <c r="I292" i="55" s="1"/>
  <c r="G292" i="55" a="1"/>
  <c r="G292" i="55" s="1"/>
  <c r="B292" i="55"/>
  <c r="A292" i="55" s="1"/>
  <c r="I416" i="55" a="1"/>
  <c r="I416" i="55" s="1"/>
  <c r="G416" i="55" a="1"/>
  <c r="G416" i="55" s="1"/>
  <c r="B416" i="55"/>
  <c r="A416" i="55" s="1"/>
  <c r="I361" i="55" a="1"/>
  <c r="I361" i="55" s="1"/>
  <c r="G361" i="55" a="1"/>
  <c r="G361" i="55" s="1"/>
  <c r="B361" i="55"/>
  <c r="A361" i="55" s="1"/>
  <c r="I417" i="55" a="1"/>
  <c r="I417" i="55" s="1"/>
  <c r="G417" i="55" a="1"/>
  <c r="G417" i="55" s="1"/>
  <c r="B417" i="55"/>
  <c r="A417" i="55" s="1"/>
  <c r="I318" i="55" a="1"/>
  <c r="I318" i="55" s="1"/>
  <c r="G318" i="55" a="1"/>
  <c r="G318" i="55" s="1"/>
  <c r="B318" i="55"/>
  <c r="A318" i="55" s="1"/>
  <c r="I346" i="55" a="1"/>
  <c r="I346" i="55" s="1"/>
  <c r="G346" i="55" a="1"/>
  <c r="G346" i="55" s="1"/>
  <c r="B346" i="55"/>
  <c r="A346" i="55" s="1"/>
  <c r="I333" i="55" a="1"/>
  <c r="I333" i="55" s="1"/>
  <c r="G333" i="55" a="1"/>
  <c r="G333" i="55" s="1"/>
  <c r="B333" i="55"/>
  <c r="A333" i="55" s="1"/>
  <c r="I331" i="55" a="1"/>
  <c r="I331" i="55" s="1"/>
  <c r="G331" i="55" a="1"/>
  <c r="G331" i="55" s="1"/>
  <c r="B331" i="55"/>
  <c r="A331" i="55" s="1"/>
  <c r="I418" i="55" a="1"/>
  <c r="I418" i="55" s="1"/>
  <c r="G418" i="55" a="1"/>
  <c r="G418" i="55" s="1"/>
  <c r="B418" i="55"/>
  <c r="A418" i="55" s="1"/>
  <c r="I428" i="55" a="1"/>
  <c r="I428" i="55" s="1"/>
  <c r="G428" i="55" a="1"/>
  <c r="G428" i="55" s="1"/>
  <c r="B428" i="55"/>
  <c r="A428" i="55" s="1"/>
  <c r="I356" i="55" a="1"/>
  <c r="I356" i="55" s="1"/>
  <c r="G356" i="55" a="1"/>
  <c r="G356" i="55" s="1"/>
  <c r="B356" i="55"/>
  <c r="A356" i="55" s="1"/>
  <c r="I360" i="55" a="1"/>
  <c r="I360" i="55" s="1"/>
  <c r="G360" i="55" a="1"/>
  <c r="G360" i="55" s="1"/>
  <c r="B360" i="55"/>
  <c r="A360" i="55" s="1"/>
  <c r="I404" i="55" a="1"/>
  <c r="I404" i="55" s="1"/>
  <c r="G404" i="55" a="1"/>
  <c r="G404" i="55" s="1"/>
  <c r="B404" i="55"/>
  <c r="A404" i="55" s="1"/>
  <c r="I349" i="55" a="1"/>
  <c r="I349" i="55" s="1"/>
  <c r="G349" i="55" a="1"/>
  <c r="G349" i="55" s="1"/>
  <c r="B349" i="55"/>
  <c r="A349" i="55" s="1"/>
  <c r="I391" i="55" a="1"/>
  <c r="I391" i="55" s="1"/>
  <c r="G391" i="55" a="1"/>
  <c r="G391" i="55" s="1"/>
  <c r="B391" i="55"/>
  <c r="A391" i="55" s="1"/>
  <c r="B329" i="55"/>
  <c r="A329" i="55" s="1"/>
  <c r="G329" i="55" a="1"/>
  <c r="G329" i="55" s="1"/>
  <c r="I329" i="55" a="1"/>
  <c r="I329" i="55" s="1"/>
  <c r="B434" i="55"/>
  <c r="A434" i="55" s="1"/>
  <c r="G434" i="55" a="1"/>
  <c r="G434" i="55" s="1"/>
  <c r="I434" i="55" a="1"/>
  <c r="I434" i="55" s="1"/>
  <c r="B435" i="55"/>
  <c r="A435" i="55" s="1"/>
  <c r="G435" i="55" a="1"/>
  <c r="G435" i="55" s="1"/>
  <c r="I435" i="55" a="1"/>
  <c r="I435" i="55" s="1"/>
  <c r="I276" i="55" a="1"/>
  <c r="I276" i="55" s="1"/>
  <c r="G276" i="55" a="1"/>
  <c r="G276" i="55" s="1"/>
  <c r="B276" i="55"/>
  <c r="A276" i="55" s="1"/>
  <c r="I297" i="55" a="1"/>
  <c r="I297" i="55" s="1"/>
  <c r="G297" i="55" a="1"/>
  <c r="G297" i="55" s="1"/>
  <c r="B297" i="55"/>
  <c r="A297" i="55" s="1"/>
  <c r="I271" i="55" a="1"/>
  <c r="I271" i="55" s="1"/>
  <c r="G271" i="55" a="1"/>
  <c r="G271" i="55" s="1"/>
  <c r="B271" i="55"/>
  <c r="A271" i="55" s="1"/>
  <c r="I199" i="55" a="1"/>
  <c r="I199" i="55" s="1"/>
  <c r="G199" i="55" a="1"/>
  <c r="G199" i="55" s="1"/>
  <c r="B199" i="55"/>
  <c r="A199" i="55" s="1"/>
  <c r="I203" i="55" a="1"/>
  <c r="I203" i="55" s="1"/>
  <c r="G203" i="55" a="1"/>
  <c r="G203" i="55" s="1"/>
  <c r="B203" i="55"/>
  <c r="A203" i="55" s="1"/>
  <c r="I293" i="55" a="1"/>
  <c r="I293" i="55" s="1"/>
  <c r="G293" i="55" a="1"/>
  <c r="G293" i="55" s="1"/>
  <c r="B293" i="55"/>
  <c r="A293" i="55" s="1"/>
  <c r="I390" i="55" a="1"/>
  <c r="I390" i="55" s="1"/>
  <c r="G390" i="55" a="1"/>
  <c r="G390" i="55" s="1"/>
  <c r="B390" i="55"/>
  <c r="A390" i="55" s="1"/>
  <c r="I340" i="55" a="1"/>
  <c r="I340" i="55" s="1"/>
  <c r="G340" i="55" a="1"/>
  <c r="G340" i="55" s="1"/>
  <c r="B340" i="55"/>
  <c r="A340" i="55" s="1"/>
  <c r="I336" i="55" a="1"/>
  <c r="I336" i="55" s="1"/>
  <c r="G336" i="55" a="1"/>
  <c r="G336" i="55" s="1"/>
  <c r="B336" i="55"/>
  <c r="A336" i="55" s="1"/>
  <c r="I325" i="55" a="1"/>
  <c r="I325" i="55" s="1"/>
  <c r="G325" i="55" a="1"/>
  <c r="G325" i="55" s="1"/>
  <c r="B325" i="55"/>
  <c r="A325" i="55" s="1"/>
  <c r="I400" i="55" a="1"/>
  <c r="I400" i="55" s="1"/>
  <c r="G400" i="55" a="1"/>
  <c r="G400" i="55" s="1"/>
  <c r="B400" i="55"/>
  <c r="A400" i="55" s="1"/>
  <c r="I367" i="55" a="1"/>
  <c r="I367" i="55" s="1"/>
  <c r="G367" i="55" a="1"/>
  <c r="G367" i="55" s="1"/>
  <c r="B367" i="55"/>
  <c r="A367" i="55" s="1"/>
  <c r="I275" i="55" a="1"/>
  <c r="I275" i="55" s="1"/>
  <c r="G275" i="55" a="1"/>
  <c r="G275" i="55" s="1"/>
  <c r="B275" i="55"/>
  <c r="A275" i="55" s="1"/>
  <c r="I192" i="55" a="1"/>
  <c r="I192" i="55" s="1"/>
  <c r="G192" i="55" a="1"/>
  <c r="G192" i="55" s="1"/>
  <c r="B192" i="55"/>
  <c r="A192" i="55" s="1"/>
  <c r="I85" i="55" a="1"/>
  <c r="I85" i="55" s="1"/>
  <c r="G85" i="55" a="1"/>
  <c r="G85" i="55" s="1"/>
  <c r="B85" i="55"/>
  <c r="A85" i="55" s="1"/>
  <c r="I394" i="55" a="1"/>
  <c r="I394" i="55" s="1"/>
  <c r="G394" i="55" a="1"/>
  <c r="G394" i="55" s="1"/>
  <c r="B394" i="55"/>
  <c r="A394" i="55" s="1"/>
  <c r="I433" i="55" a="1"/>
  <c r="I433" i="55" s="1"/>
  <c r="G433" i="55" a="1"/>
  <c r="G433" i="55" s="1"/>
  <c r="B433" i="55"/>
  <c r="A433" i="55" s="1"/>
  <c r="I419" i="55" a="1"/>
  <c r="I419" i="55" s="1"/>
  <c r="G419" i="55" a="1"/>
  <c r="G419" i="55" s="1"/>
  <c r="B419" i="55"/>
  <c r="A419" i="55" s="1"/>
  <c r="I426" i="55" a="1"/>
  <c r="I426" i="55" s="1"/>
  <c r="G426" i="55" a="1"/>
  <c r="G426" i="55" s="1"/>
  <c r="B426" i="55"/>
  <c r="A426" i="55" s="1"/>
  <c r="I410" i="55" a="1"/>
  <c r="I410" i="55" s="1"/>
  <c r="G410" i="55" a="1"/>
  <c r="G410" i="55" s="1"/>
  <c r="B410" i="55"/>
  <c r="A410" i="55" s="1"/>
  <c r="I351" i="55" a="1"/>
  <c r="I351" i="55" s="1"/>
  <c r="G351" i="55" a="1"/>
  <c r="G351" i="55" s="1"/>
  <c r="B351" i="55"/>
  <c r="A351" i="55" s="1"/>
  <c r="I306" i="55" a="1"/>
  <c r="I306" i="55" s="1"/>
  <c r="G306" i="55" a="1"/>
  <c r="G306" i="55" s="1"/>
  <c r="B306" i="55"/>
  <c r="A306" i="55" s="1"/>
  <c r="I305" i="55" a="1"/>
  <c r="I305" i="55" s="1"/>
  <c r="G305" i="55" a="1"/>
  <c r="G305" i="55" s="1"/>
  <c r="B305" i="55"/>
  <c r="A305" i="55" s="1"/>
  <c r="I378" i="55" a="1"/>
  <c r="I378" i="55" s="1"/>
  <c r="G378" i="55" a="1"/>
  <c r="G378" i="55" s="1"/>
  <c r="B378" i="55"/>
  <c r="A378" i="55" s="1"/>
  <c r="I414" i="55" a="1"/>
  <c r="I414" i="55" s="1"/>
  <c r="G414" i="55" a="1"/>
  <c r="G414" i="55" s="1"/>
  <c r="B414" i="55"/>
  <c r="A414" i="55" s="1"/>
  <c r="I411" i="55" a="1"/>
  <c r="I411" i="55" s="1"/>
  <c r="G411" i="55" a="1"/>
  <c r="G411" i="55" s="1"/>
  <c r="B411" i="55"/>
  <c r="A411" i="55" s="1"/>
  <c r="I379" i="55" a="1"/>
  <c r="I379" i="55" s="1"/>
  <c r="G379" i="55" a="1"/>
  <c r="G379" i="55" s="1"/>
  <c r="B379" i="55"/>
  <c r="A379" i="55" s="1"/>
  <c r="I415" i="55" a="1"/>
  <c r="I415" i="55" s="1"/>
  <c r="G415" i="55" a="1"/>
  <c r="G415" i="55" s="1"/>
  <c r="B415" i="55"/>
  <c r="A415" i="55" s="1"/>
  <c r="I412" i="55" a="1"/>
  <c r="I412" i="55" s="1"/>
  <c r="G412" i="55" a="1"/>
  <c r="G412" i="55" s="1"/>
  <c r="B412" i="55"/>
  <c r="A412" i="55" s="1"/>
  <c r="I277" i="55" a="1"/>
  <c r="I277" i="55" s="1"/>
  <c r="G277" i="55" a="1"/>
  <c r="G277" i="55" s="1"/>
  <c r="B277" i="55"/>
  <c r="A277" i="55" s="1"/>
  <c r="I320" i="55" a="1"/>
  <c r="I320" i="55" s="1"/>
  <c r="G320" i="55" a="1"/>
  <c r="G320" i="55" s="1"/>
  <c r="B320" i="55"/>
  <c r="A320" i="55" s="1"/>
  <c r="I313" i="55" a="1"/>
  <c r="I313" i="55" s="1"/>
  <c r="G313" i="55" a="1"/>
  <c r="G313" i="55" s="1"/>
  <c r="B313" i="55"/>
  <c r="A313" i="55" s="1"/>
  <c r="I425" i="55" a="1"/>
  <c r="I425" i="55" s="1"/>
  <c r="G425" i="55" a="1"/>
  <c r="G425" i="55" s="1"/>
  <c r="B425" i="55"/>
  <c r="A425" i="55" s="1"/>
  <c r="I338" i="55" a="1"/>
  <c r="I338" i="55" s="1"/>
  <c r="G338" i="55" a="1"/>
  <c r="G338" i="55" s="1"/>
  <c r="B338" i="55"/>
  <c r="A338" i="55" s="1"/>
  <c r="I432" i="55" a="1"/>
  <c r="I432" i="55" s="1"/>
  <c r="G432" i="55" a="1"/>
  <c r="G432" i="55" s="1"/>
  <c r="B432" i="55"/>
  <c r="A432" i="55" s="1"/>
  <c r="I182" i="55" a="1"/>
  <c r="I182" i="55" s="1"/>
  <c r="G182" i="55" a="1"/>
  <c r="G182" i="55" s="1"/>
  <c r="B182" i="55"/>
  <c r="A182" i="55" s="1"/>
  <c r="I307" i="55" a="1"/>
  <c r="I307" i="55" s="1"/>
  <c r="G307" i="55" a="1"/>
  <c r="G307" i="55" s="1"/>
  <c r="B307" i="55"/>
  <c r="A307" i="55" s="1"/>
  <c r="I368" i="55" a="1"/>
  <c r="I368" i="55" s="1"/>
  <c r="G368" i="55" a="1"/>
  <c r="G368" i="55" s="1"/>
  <c r="B368" i="55"/>
  <c r="A368" i="55" s="1"/>
  <c r="I373" i="55" a="1"/>
  <c r="I373" i="55" s="1"/>
  <c r="G373" i="55" a="1"/>
  <c r="G373" i="55" s="1"/>
  <c r="B373" i="55"/>
  <c r="A373" i="55" s="1"/>
  <c r="I366" i="55" a="1"/>
  <c r="I366" i="55" s="1"/>
  <c r="G366" i="55" a="1"/>
  <c r="G366" i="55" s="1"/>
  <c r="B366" i="55"/>
  <c r="A366" i="55" s="1"/>
  <c r="I355" i="55" a="1"/>
  <c r="I355" i="55" s="1"/>
  <c r="G355" i="55" a="1"/>
  <c r="G355" i="55" s="1"/>
  <c r="B355" i="55"/>
  <c r="A355" i="55" s="1"/>
  <c r="I353" i="55" a="1"/>
  <c r="I353" i="55" s="1"/>
  <c r="G353" i="55" a="1"/>
  <c r="G353" i="55" s="1"/>
  <c r="B353" i="55"/>
  <c r="A353" i="55" s="1"/>
  <c r="K429" i="55" l="1"/>
  <c r="K335" i="55"/>
  <c r="K333" i="55"/>
  <c r="K418" i="55"/>
  <c r="K292" i="55"/>
  <c r="K387" i="55"/>
  <c r="K318" i="55"/>
  <c r="K347" i="55"/>
  <c r="K416" i="55"/>
  <c r="K348" i="55"/>
  <c r="K423" i="55"/>
  <c r="K383" i="55"/>
  <c r="K334" i="55"/>
  <c r="K428" i="55"/>
  <c r="K331" i="55"/>
  <c r="K346" i="55"/>
  <c r="K417" i="55"/>
  <c r="K361" i="55"/>
  <c r="K391" i="55"/>
  <c r="K360" i="55"/>
  <c r="K349" i="55"/>
  <c r="K404" i="55"/>
  <c r="K356" i="55"/>
  <c r="K434" i="55"/>
  <c r="K435" i="55"/>
  <c r="K329" i="55"/>
  <c r="K293" i="55"/>
  <c r="K199" i="55"/>
  <c r="K297" i="55"/>
  <c r="K390" i="55"/>
  <c r="K203" i="55"/>
  <c r="K271" i="55"/>
  <c r="K276" i="55"/>
  <c r="K275" i="55"/>
  <c r="K367" i="55"/>
  <c r="K336" i="55"/>
  <c r="K400" i="55"/>
  <c r="K325" i="55"/>
  <c r="K340" i="55"/>
  <c r="K419" i="55"/>
  <c r="K394" i="55"/>
  <c r="K433" i="55"/>
  <c r="K85" i="55"/>
  <c r="K192" i="55"/>
  <c r="K414" i="55"/>
  <c r="K378" i="55"/>
  <c r="K306" i="55"/>
  <c r="K410" i="55"/>
  <c r="K411" i="55"/>
  <c r="K305" i="55"/>
  <c r="K351" i="55"/>
  <c r="K426" i="55"/>
  <c r="K277" i="55"/>
  <c r="K415" i="55"/>
  <c r="K313" i="55"/>
  <c r="K425" i="55"/>
  <c r="K320" i="55"/>
  <c r="K412" i="55"/>
  <c r="K379" i="55"/>
  <c r="K373" i="55"/>
  <c r="K307" i="55"/>
  <c r="K432" i="55"/>
  <c r="K355" i="55"/>
  <c r="K353" i="55"/>
  <c r="K366" i="55"/>
  <c r="K368" i="55"/>
  <c r="K182" i="55"/>
  <c r="K338" i="55"/>
  <c r="B466" i="55"/>
  <c r="A466" i="55" s="1"/>
  <c r="B221" i="55"/>
  <c r="A221" i="55" s="1"/>
  <c r="B430" i="55"/>
  <c r="A430" i="55" s="1"/>
  <c r="I430" i="55" a="1"/>
  <c r="I430" i="55" s="1"/>
  <c r="G430" i="55" a="1"/>
  <c r="G430" i="55" s="1"/>
  <c r="I221" i="55" a="1"/>
  <c r="I221" i="55" s="1"/>
  <c r="G221" i="55" a="1"/>
  <c r="G221" i="55" s="1"/>
  <c r="G466" i="55" a="1"/>
  <c r="G466" i="55" s="1"/>
  <c r="I466" i="55" a="1"/>
  <c r="I466" i="55" s="1"/>
  <c r="C1385" i="34"/>
  <c r="C1386" i="34"/>
  <c r="C1387" i="34"/>
  <c r="C1388" i="34"/>
  <c r="C1389" i="34"/>
  <c r="C1390" i="34"/>
  <c r="C1391" i="34"/>
  <c r="C1392" i="34"/>
  <c r="C1393" i="34"/>
  <c r="C1394" i="34"/>
  <c r="C1395" i="34"/>
  <c r="C1396" i="34"/>
  <c r="K221" i="55" l="1"/>
  <c r="K430" i="55"/>
  <c r="K466" i="55"/>
  <c r="C161" i="34" l="1"/>
  <c r="B161" i="34" s="1"/>
  <c r="C160" i="34"/>
  <c r="B160" i="34" s="1"/>
  <c r="C756" i="34"/>
  <c r="C757" i="34"/>
  <c r="C758" i="34"/>
  <c r="C759" i="34"/>
  <c r="C769" i="34"/>
  <c r="C770" i="34"/>
  <c r="C786" i="34"/>
  <c r="C787" i="34"/>
  <c r="C800" i="34"/>
  <c r="C801" i="34"/>
  <c r="C803" i="34"/>
  <c r="C804" i="34"/>
  <c r="C806" i="34"/>
  <c r="C807" i="34"/>
  <c r="C808" i="34"/>
  <c r="C809" i="34"/>
  <c r="C810" i="34"/>
  <c r="C811" i="34"/>
  <c r="C813" i="34"/>
  <c r="C814" i="34"/>
  <c r="C817" i="34"/>
  <c r="C818" i="34"/>
  <c r="C819" i="34"/>
  <c r="C820" i="34"/>
  <c r="C822" i="34"/>
  <c r="C823" i="34"/>
  <c r="C824" i="34"/>
  <c r="C825" i="34"/>
  <c r="C826" i="34"/>
  <c r="C827" i="34"/>
  <c r="C828" i="34"/>
  <c r="C829" i="34"/>
  <c r="C830" i="34"/>
  <c r="C831" i="34"/>
  <c r="C832" i="34"/>
  <c r="C834" i="34"/>
  <c r="C835" i="34"/>
  <c r="C836" i="34"/>
  <c r="C837" i="34"/>
  <c r="C838" i="34"/>
  <c r="C839" i="34"/>
  <c r="C840" i="34"/>
  <c r="C841" i="34"/>
  <c r="C842" i="34"/>
  <c r="C843" i="34"/>
  <c r="C846" i="34"/>
  <c r="C847" i="34"/>
  <c r="C848" i="34"/>
  <c r="C849" i="34"/>
  <c r="C850" i="34"/>
  <c r="C883" i="34"/>
  <c r="C884" i="34"/>
  <c r="C909" i="34"/>
  <c r="C910" i="34"/>
  <c r="C911" i="34"/>
  <c r="C912" i="34"/>
  <c r="C913" i="34"/>
  <c r="C914" i="34"/>
  <c r="C915" i="34"/>
  <c r="C916" i="34"/>
  <c r="C917" i="34"/>
  <c r="C922" i="34"/>
  <c r="C923" i="34"/>
  <c r="C957" i="34"/>
  <c r="C959" i="34"/>
  <c r="C970" i="34"/>
  <c r="C1005" i="34"/>
  <c r="C1006" i="34"/>
  <c r="C1008" i="34"/>
  <c r="C1009" i="34"/>
  <c r="C1029" i="34"/>
  <c r="C1030" i="34"/>
  <c r="C1044" i="34"/>
  <c r="C1045" i="34"/>
  <c r="C1047" i="34"/>
  <c r="C1048" i="34"/>
  <c r="C1049" i="34"/>
  <c r="C1050" i="34"/>
  <c r="C1051" i="34"/>
  <c r="C1052" i="34"/>
  <c r="C1053" i="34"/>
  <c r="C1054" i="34"/>
  <c r="C1055" i="34"/>
  <c r="C1056" i="34"/>
  <c r="C1057" i="34"/>
  <c r="C1058" i="34"/>
  <c r="C1059" i="34"/>
  <c r="C1060" i="34"/>
  <c r="C1061" i="34"/>
  <c r="C1062" i="34"/>
  <c r="C1063" i="34"/>
  <c r="C1064" i="34"/>
  <c r="C1103" i="34"/>
  <c r="C1104" i="34"/>
  <c r="C1106" i="34"/>
  <c r="C1107" i="34"/>
  <c r="C1124" i="34"/>
  <c r="C1125" i="34"/>
  <c r="C1126" i="34"/>
  <c r="C1127" i="34"/>
  <c r="C1135" i="34"/>
  <c r="C1136" i="34"/>
  <c r="C1139" i="34"/>
  <c r="C1140" i="34"/>
  <c r="C1141" i="34"/>
  <c r="C1142" i="34"/>
  <c r="C1143" i="34"/>
  <c r="C1147" i="34"/>
  <c r="C1148" i="34"/>
  <c r="C1150" i="34"/>
  <c r="C1151" i="34"/>
  <c r="C1155" i="34"/>
  <c r="C1156" i="34"/>
  <c r="C1171" i="34"/>
  <c r="C1172" i="34"/>
  <c r="C1174" i="34"/>
  <c r="C1175" i="34"/>
  <c r="C1184" i="34"/>
  <c r="C1185" i="34"/>
  <c r="C1187" i="34"/>
  <c r="C1188" i="34"/>
  <c r="C1189" i="34"/>
  <c r="C1190" i="34"/>
  <c r="C1191" i="34"/>
  <c r="C1206" i="34"/>
  <c r="C1207" i="34"/>
  <c r="C1209" i="34"/>
  <c r="C1210" i="34"/>
  <c r="C1232" i="34"/>
  <c r="C1233" i="34"/>
  <c r="C1289" i="34"/>
  <c r="C1290" i="34"/>
  <c r="C1291" i="34"/>
  <c r="C1293" i="34"/>
  <c r="C1294" i="34"/>
  <c r="C1295" i="34"/>
  <c r="C1296" i="34"/>
  <c r="C1297" i="34"/>
  <c r="C1300" i="34"/>
  <c r="C1301" i="34"/>
  <c r="C1303" i="34"/>
  <c r="C1304" i="34"/>
  <c r="C1305" i="34"/>
  <c r="C1306" i="34"/>
  <c r="C1307" i="34"/>
  <c r="C1317" i="34"/>
  <c r="C1318" i="34"/>
  <c r="C1325" i="34"/>
  <c r="C1326" i="34"/>
  <c r="C1327" i="34"/>
  <c r="C1337" i="34"/>
  <c r="C1338" i="34"/>
  <c r="C1339" i="34"/>
  <c r="C1340" i="34"/>
  <c r="C1341" i="34"/>
  <c r="C1416" i="34"/>
  <c r="C1417" i="34"/>
  <c r="C1418" i="34"/>
  <c r="C1420" i="34"/>
  <c r="C1421" i="34"/>
  <c r="C1440" i="34"/>
  <c r="C1441" i="34"/>
  <c r="C1442" i="34"/>
  <c r="C1488" i="34"/>
  <c r="C1497" i="34"/>
  <c r="C1506" i="34"/>
  <c r="C1343" i="34"/>
  <c r="C1344" i="34"/>
  <c r="C1345" i="34"/>
  <c r="C1346" i="34"/>
  <c r="C1347" i="34"/>
  <c r="C1348" i="34"/>
  <c r="C1349" i="34"/>
  <c r="C1350" i="34"/>
  <c r="C1351" i="34"/>
  <c r="C1352" i="34"/>
  <c r="C1353" i="34"/>
  <c r="C1354" i="34"/>
  <c r="C1355" i="34"/>
  <c r="C1356" i="34"/>
  <c r="C1357" i="34"/>
  <c r="C1358" i="34"/>
  <c r="C1359" i="34"/>
  <c r="C1360" i="34"/>
  <c r="C1361" i="34"/>
  <c r="C1362" i="34"/>
  <c r="C1363" i="34"/>
  <c r="C1364" i="34"/>
  <c r="C1365" i="34"/>
  <c r="C1366" i="34"/>
  <c r="C1367" i="34"/>
  <c r="C1368" i="34"/>
  <c r="C1369" i="34"/>
  <c r="C1370" i="34"/>
  <c r="C1371" i="34"/>
  <c r="C1372" i="34"/>
  <c r="C1373" i="34"/>
  <c r="C1374" i="34"/>
  <c r="C1375" i="34"/>
  <c r="C1376" i="34"/>
  <c r="C1377" i="34"/>
  <c r="C1378" i="34"/>
  <c r="C1379" i="34"/>
  <c r="C1380" i="34"/>
  <c r="C1381" i="34"/>
  <c r="C1382" i="34"/>
  <c r="C1383" i="34"/>
  <c r="C1384" i="34"/>
  <c r="A160" i="34" l="1"/>
  <c r="U160" i="34"/>
  <c r="Z160" i="34"/>
  <c r="W160" i="34"/>
  <c r="A161" i="34"/>
  <c r="W161" i="34"/>
  <c r="U161" i="34"/>
  <c r="Z161" i="34"/>
  <c r="C237" i="34"/>
  <c r="B237" i="34" s="1"/>
  <c r="C199" i="34"/>
  <c r="B199" i="34" s="1"/>
  <c r="A237" i="34" l="1"/>
  <c r="S237" i="34"/>
  <c r="W237" i="34"/>
  <c r="T237" i="34"/>
  <c r="U237" i="34"/>
  <c r="R237" i="34"/>
  <c r="Z237" i="34"/>
  <c r="A199" i="34"/>
  <c r="S199" i="34"/>
  <c r="W199" i="34"/>
  <c r="T199" i="34"/>
  <c r="U199" i="34"/>
  <c r="R199" i="34"/>
  <c r="Z199" i="34"/>
  <c r="C285" i="34"/>
  <c r="B285" i="34" s="1"/>
  <c r="C1331" i="34"/>
  <c r="B1331" i="34" s="1"/>
  <c r="A1331" i="34" l="1"/>
  <c r="R1331" i="34"/>
  <c r="Z1331" i="34"/>
  <c r="S1331" i="34"/>
  <c r="W1331" i="34"/>
  <c r="T1331" i="34"/>
  <c r="U1331" i="34"/>
  <c r="A285" i="34"/>
  <c r="U285" i="34"/>
  <c r="R285" i="34"/>
  <c r="Z285" i="34"/>
  <c r="S285" i="34"/>
  <c r="W285" i="34"/>
  <c r="T285" i="34"/>
  <c r="F468" i="55"/>
  <c r="F469" i="55" s="1"/>
  <c r="E468" i="55"/>
  <c r="B228" i="55"/>
  <c r="A228" i="55" s="1"/>
  <c r="G228" i="55" a="1"/>
  <c r="G228" i="55" s="1"/>
  <c r="I228" i="55" a="1"/>
  <c r="I228" i="55" s="1"/>
  <c r="B252" i="55"/>
  <c r="A252" i="55" s="1"/>
  <c r="G252" i="55" a="1"/>
  <c r="G252" i="55" s="1"/>
  <c r="I252" i="55" a="1"/>
  <c r="I252" i="55" s="1"/>
  <c r="B405" i="55"/>
  <c r="A405" i="55" s="1"/>
  <c r="G405" i="55" a="1"/>
  <c r="G405" i="55" s="1"/>
  <c r="I405" i="55" a="1"/>
  <c r="I405" i="55" s="1"/>
  <c r="B403" i="55"/>
  <c r="A403" i="55" s="1"/>
  <c r="G403" i="55" a="1"/>
  <c r="G403" i="55" s="1"/>
  <c r="I403" i="55" a="1"/>
  <c r="I403" i="55" s="1"/>
  <c r="B254" i="55"/>
  <c r="A254" i="55" s="1"/>
  <c r="G254" i="55" a="1"/>
  <c r="G254" i="55" s="1"/>
  <c r="I254" i="55" a="1"/>
  <c r="I254" i="55" s="1"/>
  <c r="B413" i="55"/>
  <c r="A413" i="55" s="1"/>
  <c r="G413" i="55" a="1"/>
  <c r="G413" i="55" s="1"/>
  <c r="I413" i="55" a="1"/>
  <c r="I413" i="55" s="1"/>
  <c r="B398" i="55"/>
  <c r="A398" i="55" s="1"/>
  <c r="G398" i="55" a="1"/>
  <c r="G398" i="55" s="1"/>
  <c r="I398" i="55" a="1"/>
  <c r="I398" i="55" s="1"/>
  <c r="B315" i="55"/>
  <c r="A315" i="55" s="1"/>
  <c r="G315" i="55" a="1"/>
  <c r="G315" i="55" s="1"/>
  <c r="I315" i="55" a="1"/>
  <c r="I315" i="55" s="1"/>
  <c r="B322" i="55"/>
  <c r="A322" i="55" s="1"/>
  <c r="G322" i="55" a="1"/>
  <c r="G322" i="55" s="1"/>
  <c r="I322" i="55" a="1"/>
  <c r="I322" i="55" s="1"/>
  <c r="B341" i="55"/>
  <c r="A341" i="55" s="1"/>
  <c r="G341" i="55" a="1"/>
  <c r="G341" i="55" s="1"/>
  <c r="I341" i="55" a="1"/>
  <c r="I341" i="55" s="1"/>
  <c r="B231" i="55"/>
  <c r="A231" i="55" s="1"/>
  <c r="G231" i="55" a="1"/>
  <c r="G231" i="55" s="1"/>
  <c r="I231" i="55" a="1"/>
  <c r="I231" i="55" s="1"/>
  <c r="B232" i="55"/>
  <c r="A232" i="55" s="1"/>
  <c r="G232" i="55" a="1"/>
  <c r="G232" i="55" s="1"/>
  <c r="I232" i="55" a="1"/>
  <c r="I232" i="55" s="1"/>
  <c r="B427" i="55"/>
  <c r="A427" i="55" s="1"/>
  <c r="G427" i="55" a="1"/>
  <c r="G427" i="55" s="1"/>
  <c r="I427" i="55" a="1"/>
  <c r="I427" i="55" s="1"/>
  <c r="B345" i="55"/>
  <c r="A345" i="55" s="1"/>
  <c r="G345" i="55" a="1"/>
  <c r="G345" i="55" s="1"/>
  <c r="I345" i="55" a="1"/>
  <c r="I345" i="55" s="1"/>
  <c r="B344" i="55"/>
  <c r="A344" i="55" s="1"/>
  <c r="G344" i="55" a="1"/>
  <c r="G344" i="55" s="1"/>
  <c r="I344" i="55" a="1"/>
  <c r="I344" i="55" s="1"/>
  <c r="B409" i="55"/>
  <c r="A409" i="55" s="1"/>
  <c r="G409" i="55" a="1"/>
  <c r="G409" i="55" s="1"/>
  <c r="I409" i="55" a="1"/>
  <c r="I409" i="55" s="1"/>
  <c r="B424" i="55"/>
  <c r="A424" i="55" s="1"/>
  <c r="G424" i="55" a="1"/>
  <c r="G424" i="55" s="1"/>
  <c r="I424" i="55" a="1"/>
  <c r="I424" i="55" s="1"/>
  <c r="B310" i="55"/>
  <c r="A310" i="55" s="1"/>
  <c r="G310" i="55" a="1"/>
  <c r="G310" i="55" s="1"/>
  <c r="I310" i="55" a="1"/>
  <c r="I310" i="55" s="1"/>
  <c r="B358" i="55"/>
  <c r="A358" i="55" s="1"/>
  <c r="G358" i="55" a="1"/>
  <c r="G358" i="55" s="1"/>
  <c r="I358" i="55" a="1"/>
  <c r="I358" i="55" s="1"/>
  <c r="B317" i="55"/>
  <c r="A317" i="55" s="1"/>
  <c r="G317" i="55" a="1"/>
  <c r="G317" i="55" s="1"/>
  <c r="I317" i="55" a="1"/>
  <c r="I317" i="55" s="1"/>
  <c r="B273" i="55"/>
  <c r="A273" i="55" s="1"/>
  <c r="G273" i="55" a="1"/>
  <c r="G273" i="55" s="1"/>
  <c r="I273" i="55" a="1"/>
  <c r="I273" i="55" s="1"/>
  <c r="B308" i="55"/>
  <c r="A308" i="55" s="1"/>
  <c r="G308" i="55" a="1"/>
  <c r="G308" i="55" s="1"/>
  <c r="I308" i="55" a="1"/>
  <c r="I308" i="55" s="1"/>
  <c r="B323" i="55"/>
  <c r="A323" i="55" s="1"/>
  <c r="G323" i="55" a="1"/>
  <c r="G323" i="55" s="1"/>
  <c r="I323" i="55" a="1"/>
  <c r="I323" i="55" s="1"/>
  <c r="B327" i="55"/>
  <c r="A327" i="55" s="1"/>
  <c r="G327" i="55" a="1"/>
  <c r="G327" i="55" s="1"/>
  <c r="I327" i="55" a="1"/>
  <c r="I327" i="55" s="1"/>
  <c r="B309" i="55"/>
  <c r="A309" i="55" s="1"/>
  <c r="G309" i="55" a="1"/>
  <c r="G309" i="55" s="1"/>
  <c r="I309" i="55" a="1"/>
  <c r="I309" i="55" s="1"/>
  <c r="B408" i="55"/>
  <c r="A408" i="55" s="1"/>
  <c r="G408" i="55" a="1"/>
  <c r="G408" i="55" s="1"/>
  <c r="I408" i="55" a="1"/>
  <c r="I408" i="55" s="1"/>
  <c r="B407" i="55"/>
  <c r="A407" i="55" s="1"/>
  <c r="G407" i="55" a="1"/>
  <c r="G407" i="55" s="1"/>
  <c r="I407" i="55" a="1"/>
  <c r="I407" i="55" s="1"/>
  <c r="B406" i="55"/>
  <c r="A406" i="55" s="1"/>
  <c r="G406" i="55" a="1"/>
  <c r="G406" i="55" s="1"/>
  <c r="I406" i="55" a="1"/>
  <c r="I406" i="55" s="1"/>
  <c r="B365" i="55"/>
  <c r="A365" i="55" s="1"/>
  <c r="G365" i="55" a="1"/>
  <c r="G365" i="55" s="1"/>
  <c r="I365" i="55" a="1"/>
  <c r="I365" i="55" s="1"/>
  <c r="B364" i="55"/>
  <c r="A364" i="55" s="1"/>
  <c r="G364" i="55" a="1"/>
  <c r="G364" i="55" s="1"/>
  <c r="I364" i="55" a="1"/>
  <c r="I364" i="55" s="1"/>
  <c r="B350" i="55"/>
  <c r="A350" i="55" s="1"/>
  <c r="G350" i="55" a="1"/>
  <c r="G350" i="55" s="1"/>
  <c r="I350" i="55" a="1"/>
  <c r="I350" i="55" s="1"/>
  <c r="B377" i="55"/>
  <c r="A377" i="55" s="1"/>
  <c r="G377" i="55" a="1"/>
  <c r="G377" i="55" s="1"/>
  <c r="I377" i="55" a="1"/>
  <c r="I377" i="55" s="1"/>
  <c r="B375" i="55"/>
  <c r="A375" i="55" s="1"/>
  <c r="G375" i="55" a="1"/>
  <c r="G375" i="55" s="1"/>
  <c r="I375" i="55" a="1"/>
  <c r="I375" i="55" s="1"/>
  <c r="B370" i="55"/>
  <c r="A370" i="55" s="1"/>
  <c r="G370" i="55" a="1"/>
  <c r="G370" i="55" s="1"/>
  <c r="I370" i="55" a="1"/>
  <c r="I370" i="55" s="1"/>
  <c r="B369" i="55"/>
  <c r="A369" i="55" s="1"/>
  <c r="G369" i="55" a="1"/>
  <c r="G369" i="55" s="1"/>
  <c r="I369" i="55" a="1"/>
  <c r="I369" i="55" s="1"/>
  <c r="B381" i="55"/>
  <c r="A381" i="55" s="1"/>
  <c r="G381" i="55" a="1"/>
  <c r="G381" i="55" s="1"/>
  <c r="I381" i="55" a="1"/>
  <c r="I381" i="55" s="1"/>
  <c r="B380" i="55"/>
  <c r="A380" i="55" s="1"/>
  <c r="G380" i="55" a="1"/>
  <c r="G380" i="55" s="1"/>
  <c r="I380" i="55" a="1"/>
  <c r="I380" i="55" s="1"/>
  <c r="B376" i="55"/>
  <c r="A376" i="55" s="1"/>
  <c r="G376" i="55" a="1"/>
  <c r="G376" i="55" s="1"/>
  <c r="I376" i="55" a="1"/>
  <c r="I376" i="55" s="1"/>
  <c r="B46" i="55"/>
  <c r="A46" i="55" s="1"/>
  <c r="G46" i="55" a="1"/>
  <c r="G46" i="55" s="1"/>
  <c r="I46" i="55" a="1"/>
  <c r="I46" i="55" s="1"/>
  <c r="B157" i="55"/>
  <c r="A157" i="55" s="1"/>
  <c r="G157" i="55" a="1"/>
  <c r="G157" i="55" s="1"/>
  <c r="I157" i="55" a="1"/>
  <c r="I157" i="55" s="1"/>
  <c r="B146" i="55"/>
  <c r="A146" i="55" s="1"/>
  <c r="G146" i="55" a="1"/>
  <c r="G146" i="55" s="1"/>
  <c r="I146" i="55" a="1"/>
  <c r="I146" i="55" s="1"/>
  <c r="B95" i="55"/>
  <c r="A95" i="55" s="1"/>
  <c r="G95" i="55" a="1"/>
  <c r="G95" i="55" s="1"/>
  <c r="I95" i="55" a="1"/>
  <c r="I95" i="55" s="1"/>
  <c r="B86" i="55"/>
  <c r="A86" i="55" s="1"/>
  <c r="G86" i="55" a="1"/>
  <c r="G86" i="55" s="1"/>
  <c r="I86" i="55" a="1"/>
  <c r="I86" i="55" s="1"/>
  <c r="B105" i="55"/>
  <c r="A105" i="55" s="1"/>
  <c r="G105" i="55" a="1"/>
  <c r="G105" i="55" s="1"/>
  <c r="I105" i="55" a="1"/>
  <c r="I105" i="55" s="1"/>
  <c r="B103" i="55"/>
  <c r="A103" i="55" s="1"/>
  <c r="G103" i="55" a="1"/>
  <c r="G103" i="55" s="1"/>
  <c r="I103" i="55" a="1"/>
  <c r="I103" i="55" s="1"/>
  <c r="B152" i="55"/>
  <c r="A152" i="55" s="1"/>
  <c r="G152" i="55" a="1"/>
  <c r="G152" i="55" s="1"/>
  <c r="I152" i="55" a="1"/>
  <c r="I152" i="55" s="1"/>
  <c r="B137" i="55"/>
  <c r="A137" i="55" s="1"/>
  <c r="G137" i="55" a="1"/>
  <c r="G137" i="55" s="1"/>
  <c r="I137" i="55" a="1"/>
  <c r="I137" i="55" s="1"/>
  <c r="B99" i="55"/>
  <c r="A99" i="55" s="1"/>
  <c r="G99" i="55" a="1"/>
  <c r="G99" i="55" s="1"/>
  <c r="I99" i="55" a="1"/>
  <c r="I99" i="55" s="1"/>
  <c r="B139" i="55"/>
  <c r="A139" i="55" s="1"/>
  <c r="G139" i="55" a="1"/>
  <c r="G139" i="55" s="1"/>
  <c r="I139" i="55" a="1"/>
  <c r="I139" i="55" s="1"/>
  <c r="B112" i="55"/>
  <c r="A112" i="55" s="1"/>
  <c r="G112" i="55" a="1"/>
  <c r="G112" i="55" s="1"/>
  <c r="I112" i="55" a="1"/>
  <c r="I112" i="55" s="1"/>
  <c r="B140" i="55"/>
  <c r="A140" i="55" s="1"/>
  <c r="G140" i="55" a="1"/>
  <c r="G140" i="55" s="1"/>
  <c r="I140" i="55" a="1"/>
  <c r="I140" i="55" s="1"/>
  <c r="B101" i="55"/>
  <c r="A101" i="55" s="1"/>
  <c r="G101" i="55" a="1"/>
  <c r="G101" i="55" s="1"/>
  <c r="I101" i="55" a="1"/>
  <c r="I101" i="55" s="1"/>
  <c r="B83" i="55"/>
  <c r="A83" i="55" s="1"/>
  <c r="G83" i="55" a="1"/>
  <c r="G83" i="55" s="1"/>
  <c r="I83" i="55" a="1"/>
  <c r="I83" i="55" s="1"/>
  <c r="B150" i="55"/>
  <c r="A150" i="55" s="1"/>
  <c r="G150" i="55" a="1"/>
  <c r="G150" i="55" s="1"/>
  <c r="I150" i="55" a="1"/>
  <c r="I150" i="55" s="1"/>
  <c r="B144" i="55"/>
  <c r="A144" i="55" s="1"/>
  <c r="G144" i="55" a="1"/>
  <c r="G144" i="55" s="1"/>
  <c r="I144" i="55" a="1"/>
  <c r="I144" i="55" s="1"/>
  <c r="B129" i="55"/>
  <c r="A129" i="55" s="1"/>
  <c r="G129" i="55" a="1"/>
  <c r="G129" i="55" s="1"/>
  <c r="I129" i="55" a="1"/>
  <c r="I129" i="55" s="1"/>
  <c r="B121" i="55"/>
  <c r="A121" i="55" s="1"/>
  <c r="G121" i="55" a="1"/>
  <c r="G121" i="55" s="1"/>
  <c r="I121" i="55" a="1"/>
  <c r="I121" i="55" s="1"/>
  <c r="B60" i="55"/>
  <c r="A60" i="55" s="1"/>
  <c r="G60" i="55" a="1"/>
  <c r="G60" i="55" s="1"/>
  <c r="I60" i="55" a="1"/>
  <c r="I60" i="55" s="1"/>
  <c r="B154" i="55"/>
  <c r="A154" i="55" s="1"/>
  <c r="G154" i="55" a="1"/>
  <c r="G154" i="55" s="1"/>
  <c r="I154" i="55" a="1"/>
  <c r="I154" i="55" s="1"/>
  <c r="B58" i="55"/>
  <c r="A58" i="55" s="1"/>
  <c r="G58" i="55" a="1"/>
  <c r="G58" i="55" s="1"/>
  <c r="I58" i="55" a="1"/>
  <c r="I58" i="55" s="1"/>
  <c r="B164" i="55"/>
  <c r="A164" i="55" s="1"/>
  <c r="G164" i="55" a="1"/>
  <c r="G164" i="55" s="1"/>
  <c r="I164" i="55" a="1"/>
  <c r="I164" i="55" s="1"/>
  <c r="B135" i="55"/>
  <c r="A135" i="55" s="1"/>
  <c r="G135" i="55" a="1"/>
  <c r="G135" i="55" s="1"/>
  <c r="I135" i="55" a="1"/>
  <c r="I135" i="55" s="1"/>
  <c r="B117" i="55"/>
  <c r="A117" i="55" s="1"/>
  <c r="G117" i="55" a="1"/>
  <c r="G117" i="55" s="1"/>
  <c r="I117" i="55" a="1"/>
  <c r="I117" i="55" s="1"/>
  <c r="B163" i="55"/>
  <c r="A163" i="55" s="1"/>
  <c r="G163" i="55" a="1"/>
  <c r="G163" i="55" s="1"/>
  <c r="I163" i="55" a="1"/>
  <c r="I163" i="55" s="1"/>
  <c r="B130" i="55"/>
  <c r="A130" i="55" s="1"/>
  <c r="G130" i="55" a="1"/>
  <c r="G130" i="55" s="1"/>
  <c r="I130" i="55" a="1"/>
  <c r="I130" i="55" s="1"/>
  <c r="B153" i="55"/>
  <c r="A153" i="55" s="1"/>
  <c r="G153" i="55" a="1"/>
  <c r="G153" i="55" s="1"/>
  <c r="I153" i="55" a="1"/>
  <c r="I153" i="55" s="1"/>
  <c r="B141" i="55"/>
  <c r="A141" i="55" s="1"/>
  <c r="G141" i="55" a="1"/>
  <c r="G141" i="55" s="1"/>
  <c r="I141" i="55" a="1"/>
  <c r="I141" i="55" s="1"/>
  <c r="B160" i="55"/>
  <c r="A160" i="55" s="1"/>
  <c r="G160" i="55" a="1"/>
  <c r="G160" i="55" s="1"/>
  <c r="I160" i="55" a="1"/>
  <c r="I160" i="55" s="1"/>
  <c r="B20" i="55"/>
  <c r="A20" i="55" s="1"/>
  <c r="G20" i="55" a="1"/>
  <c r="G20" i="55" s="1"/>
  <c r="I20" i="55" a="1"/>
  <c r="I20" i="55" s="1"/>
  <c r="B151" i="55"/>
  <c r="A151" i="55" s="1"/>
  <c r="G151" i="55" a="1"/>
  <c r="G151" i="55" s="1"/>
  <c r="I151" i="55" a="1"/>
  <c r="I151" i="55" s="1"/>
  <c r="B143" i="55"/>
  <c r="A143" i="55" s="1"/>
  <c r="G143" i="55" a="1"/>
  <c r="G143" i="55" s="1"/>
  <c r="I143" i="55" a="1"/>
  <c r="I143" i="55" s="1"/>
  <c r="B30" i="55"/>
  <c r="A30" i="55" s="1"/>
  <c r="G30" i="55" a="1"/>
  <c r="G30" i="55" s="1"/>
  <c r="I30" i="55" a="1"/>
  <c r="I30" i="55" s="1"/>
  <c r="B124" i="55"/>
  <c r="A124" i="55" s="1"/>
  <c r="G124" i="55" a="1"/>
  <c r="G124" i="55" s="1"/>
  <c r="I124" i="55" a="1"/>
  <c r="I124" i="55" s="1"/>
  <c r="B122" i="55"/>
  <c r="A122" i="55" s="1"/>
  <c r="G122" i="55" a="1"/>
  <c r="G122" i="55" s="1"/>
  <c r="I122" i="55" a="1"/>
  <c r="I122" i="55" s="1"/>
  <c r="B96" i="55"/>
  <c r="A96" i="55" s="1"/>
  <c r="G96" i="55" a="1"/>
  <c r="G96" i="55" s="1"/>
  <c r="I96" i="55" a="1"/>
  <c r="I96" i="55" s="1"/>
  <c r="B128" i="55"/>
  <c r="A128" i="55" s="1"/>
  <c r="G128" i="55" a="1"/>
  <c r="G128" i="55" s="1"/>
  <c r="I128" i="55" a="1"/>
  <c r="I128" i="55" s="1"/>
  <c r="B204" i="55"/>
  <c r="A204" i="55" s="1"/>
  <c r="G204" i="55" a="1"/>
  <c r="G204" i="55" s="1"/>
  <c r="I204" i="55" a="1"/>
  <c r="I204" i="55" s="1"/>
  <c r="B234" i="55"/>
  <c r="A234" i="55" s="1"/>
  <c r="G234" i="55" a="1"/>
  <c r="G234" i="55" s="1"/>
  <c r="I234" i="55" a="1"/>
  <c r="I234" i="55" s="1"/>
  <c r="B244" i="55"/>
  <c r="A244" i="55" s="1"/>
  <c r="G244" i="55" a="1"/>
  <c r="G244" i="55" s="1"/>
  <c r="I244" i="55" a="1"/>
  <c r="I244" i="55" s="1"/>
  <c r="B206" i="55"/>
  <c r="A206" i="55" s="1"/>
  <c r="G206" i="55" a="1"/>
  <c r="G206" i="55" s="1"/>
  <c r="I206" i="55" a="1"/>
  <c r="I206" i="55" s="1"/>
  <c r="B113" i="55"/>
  <c r="A113" i="55" s="1"/>
  <c r="G113" i="55" a="1"/>
  <c r="G113" i="55" s="1"/>
  <c r="I113" i="55" a="1"/>
  <c r="I113" i="55" s="1"/>
  <c r="B55" i="55"/>
  <c r="A55" i="55" s="1"/>
  <c r="G55" i="55" a="1"/>
  <c r="G55" i="55" s="1"/>
  <c r="I55" i="55" a="1"/>
  <c r="I55" i="55" s="1"/>
  <c r="B76" i="55"/>
  <c r="A76" i="55" s="1"/>
  <c r="G76" i="55" a="1"/>
  <c r="G76" i="55" s="1"/>
  <c r="I76" i="55" a="1"/>
  <c r="I76" i="55" s="1"/>
  <c r="B45" i="55"/>
  <c r="A45" i="55" s="1"/>
  <c r="G45" i="55" a="1"/>
  <c r="G45" i="55" s="1"/>
  <c r="I45" i="55" a="1"/>
  <c r="I45" i="55" s="1"/>
  <c r="B18" i="55"/>
  <c r="A18" i="55" s="1"/>
  <c r="G18" i="55" a="1"/>
  <c r="G18" i="55" s="1"/>
  <c r="I18" i="55" a="1"/>
  <c r="I18" i="55" s="1"/>
  <c r="B43" i="55"/>
  <c r="A43" i="55" s="1"/>
  <c r="G43" i="55" a="1"/>
  <c r="G43" i="55" s="1"/>
  <c r="I43" i="55" a="1"/>
  <c r="I43" i="55" s="1"/>
  <c r="B44" i="55"/>
  <c r="A44" i="55" s="1"/>
  <c r="G44" i="55" a="1"/>
  <c r="G44" i="55" s="1"/>
  <c r="I44" i="55" a="1"/>
  <c r="I44" i="55" s="1"/>
  <c r="B39" i="55"/>
  <c r="A39" i="55" s="1"/>
  <c r="G39" i="55" a="1"/>
  <c r="G39" i="55" s="1"/>
  <c r="I39" i="55" a="1"/>
  <c r="I39" i="55" s="1"/>
  <c r="B26" i="55"/>
  <c r="A26" i="55" s="1"/>
  <c r="G26" i="55" a="1"/>
  <c r="G26" i="55" s="1"/>
  <c r="I26" i="55" a="1"/>
  <c r="I26" i="55" s="1"/>
  <c r="B90" i="55"/>
  <c r="A90" i="55" s="1"/>
  <c r="G90" i="55" a="1"/>
  <c r="G90" i="55" s="1"/>
  <c r="I90" i="55" a="1"/>
  <c r="I90" i="55" s="1"/>
  <c r="B89" i="55"/>
  <c r="A89" i="55" s="1"/>
  <c r="G89" i="55" a="1"/>
  <c r="G89" i="55" s="1"/>
  <c r="I89" i="55" a="1"/>
  <c r="I89" i="55" s="1"/>
  <c r="B41" i="55"/>
  <c r="A41" i="55" s="1"/>
  <c r="G41" i="55" a="1"/>
  <c r="G41" i="55" s="1"/>
  <c r="I41" i="55" a="1"/>
  <c r="I41" i="55" s="1"/>
  <c r="B42" i="55"/>
  <c r="A42" i="55" s="1"/>
  <c r="G42" i="55" a="1"/>
  <c r="G42" i="55" s="1"/>
  <c r="I42" i="55" a="1"/>
  <c r="I42" i="55" s="1"/>
  <c r="B198" i="55"/>
  <c r="A198" i="55" s="1"/>
  <c r="G198" i="55" a="1"/>
  <c r="G198" i="55" s="1"/>
  <c r="I198" i="55" a="1"/>
  <c r="I198" i="55" s="1"/>
  <c r="B158" i="55"/>
  <c r="A158" i="55" s="1"/>
  <c r="G158" i="55" a="1"/>
  <c r="G158" i="55" s="1"/>
  <c r="I158" i="55" a="1"/>
  <c r="I158" i="55" s="1"/>
  <c r="B47" i="55"/>
  <c r="A47" i="55" s="1"/>
  <c r="G47" i="55" a="1"/>
  <c r="G47" i="55" s="1"/>
  <c r="I47" i="55" a="1"/>
  <c r="I47" i="55" s="1"/>
  <c r="B311" i="55"/>
  <c r="A311" i="55" s="1"/>
  <c r="G311" i="55" a="1"/>
  <c r="G311" i="55" s="1"/>
  <c r="I311" i="55" a="1"/>
  <c r="I311" i="55" s="1"/>
  <c r="B162" i="55"/>
  <c r="A162" i="55" s="1"/>
  <c r="G162" i="55" a="1"/>
  <c r="G162" i="55" s="1"/>
  <c r="I162" i="55" a="1"/>
  <c r="I162" i="55" s="1"/>
  <c r="B142" i="55"/>
  <c r="A142" i="55" s="1"/>
  <c r="G142" i="55" a="1"/>
  <c r="G142" i="55" s="1"/>
  <c r="I142" i="55" a="1"/>
  <c r="I142" i="55" s="1"/>
  <c r="B91" i="55"/>
  <c r="A91" i="55" s="1"/>
  <c r="G91" i="55" a="1"/>
  <c r="G91" i="55" s="1"/>
  <c r="I91" i="55" a="1"/>
  <c r="I91" i="55" s="1"/>
  <c r="B131" i="55"/>
  <c r="A131" i="55" s="1"/>
  <c r="G131" i="55" a="1"/>
  <c r="G131" i="55" s="1"/>
  <c r="I131" i="55" a="1"/>
  <c r="I131" i="55" s="1"/>
  <c r="B115" i="55"/>
  <c r="A115" i="55" s="1"/>
  <c r="G115" i="55" a="1"/>
  <c r="G115" i="55" s="1"/>
  <c r="I115" i="55" a="1"/>
  <c r="I115" i="55" s="1"/>
  <c r="B104" i="55"/>
  <c r="A104" i="55" s="1"/>
  <c r="G104" i="55" a="1"/>
  <c r="G104" i="55" s="1"/>
  <c r="I104" i="55" a="1"/>
  <c r="I104" i="55" s="1"/>
  <c r="B126" i="55"/>
  <c r="A126" i="55" s="1"/>
  <c r="G126" i="55" a="1"/>
  <c r="G126" i="55" s="1"/>
  <c r="I126" i="55" a="1"/>
  <c r="I126" i="55" s="1"/>
  <c r="B149" i="55"/>
  <c r="A149" i="55" s="1"/>
  <c r="G149" i="55" a="1"/>
  <c r="G149" i="55" s="1"/>
  <c r="I149" i="55" a="1"/>
  <c r="I149" i="55" s="1"/>
  <c r="B125" i="55"/>
  <c r="A125" i="55" s="1"/>
  <c r="G125" i="55" a="1"/>
  <c r="G125" i="55" s="1"/>
  <c r="I125" i="55" a="1"/>
  <c r="I125" i="55" s="1"/>
  <c r="B155" i="55"/>
  <c r="A155" i="55" s="1"/>
  <c r="G155" i="55" a="1"/>
  <c r="G155" i="55" s="1"/>
  <c r="I155" i="55" a="1"/>
  <c r="I155" i="55" s="1"/>
  <c r="B156" i="55"/>
  <c r="A156" i="55" s="1"/>
  <c r="G156" i="55" a="1"/>
  <c r="G156" i="55" s="1"/>
  <c r="I156" i="55" a="1"/>
  <c r="I156" i="55" s="1"/>
  <c r="B119" i="55"/>
  <c r="A119" i="55" s="1"/>
  <c r="G119" i="55" a="1"/>
  <c r="G119" i="55" s="1"/>
  <c r="I119" i="55" a="1"/>
  <c r="I119" i="55" s="1"/>
  <c r="B88" i="55"/>
  <c r="A88" i="55" s="1"/>
  <c r="G88" i="55" a="1"/>
  <c r="G88" i="55" s="1"/>
  <c r="I88" i="55" a="1"/>
  <c r="I88" i="55" s="1"/>
  <c r="B161" i="55"/>
  <c r="A161" i="55" s="1"/>
  <c r="G161" i="55" a="1"/>
  <c r="G161" i="55" s="1"/>
  <c r="I161" i="55" a="1"/>
  <c r="I161" i="55" s="1"/>
  <c r="B145" i="55"/>
  <c r="A145" i="55" s="1"/>
  <c r="G145" i="55" a="1"/>
  <c r="G145" i="55" s="1"/>
  <c r="I145" i="55" a="1"/>
  <c r="I145" i="55" s="1"/>
  <c r="B100" i="55"/>
  <c r="A100" i="55" s="1"/>
  <c r="G100" i="55" a="1"/>
  <c r="G100" i="55" s="1"/>
  <c r="I100" i="55" a="1"/>
  <c r="I100" i="55" s="1"/>
  <c r="B94" i="55"/>
  <c r="A94" i="55" s="1"/>
  <c r="G94" i="55" a="1"/>
  <c r="G94" i="55" s="1"/>
  <c r="I94" i="55" a="1"/>
  <c r="I94" i="55" s="1"/>
  <c r="B148" i="55"/>
  <c r="A148" i="55" s="1"/>
  <c r="G148" i="55" a="1"/>
  <c r="G148" i="55" s="1"/>
  <c r="I148" i="55" a="1"/>
  <c r="I148" i="55" s="1"/>
  <c r="B136" i="55"/>
  <c r="A136" i="55" s="1"/>
  <c r="G136" i="55" a="1"/>
  <c r="G136" i="55" s="1"/>
  <c r="I136" i="55" a="1"/>
  <c r="I136" i="55" s="1"/>
  <c r="B134" i="55"/>
  <c r="A134" i="55" s="1"/>
  <c r="G134" i="55" a="1"/>
  <c r="G134" i="55" s="1"/>
  <c r="I134" i="55" a="1"/>
  <c r="I134" i="55" s="1"/>
  <c r="B116" i="55"/>
  <c r="A116" i="55" s="1"/>
  <c r="G116" i="55" a="1"/>
  <c r="G116" i="55" s="1"/>
  <c r="I116" i="55" a="1"/>
  <c r="I116" i="55" s="1"/>
  <c r="B166" i="55"/>
  <c r="A166" i="55" s="1"/>
  <c r="G166" i="55" a="1"/>
  <c r="G166" i="55" s="1"/>
  <c r="I166" i="55" a="1"/>
  <c r="I166" i="55" s="1"/>
  <c r="B165" i="55"/>
  <c r="A165" i="55" s="1"/>
  <c r="G165" i="55" a="1"/>
  <c r="G165" i="55" s="1"/>
  <c r="I165" i="55" a="1"/>
  <c r="I165" i="55" s="1"/>
  <c r="B303" i="55"/>
  <c r="A303" i="55" s="1"/>
  <c r="G303" i="55" a="1"/>
  <c r="G303" i="55" s="1"/>
  <c r="I303" i="55" a="1"/>
  <c r="I303" i="55" s="1"/>
  <c r="B302" i="55"/>
  <c r="A302" i="55" s="1"/>
  <c r="G302" i="55" a="1"/>
  <c r="G302" i="55" s="1"/>
  <c r="I302" i="55" a="1"/>
  <c r="I302" i="55" s="1"/>
  <c r="B301" i="55"/>
  <c r="A301" i="55" s="1"/>
  <c r="G301" i="55" a="1"/>
  <c r="G301" i="55" s="1"/>
  <c r="I301" i="55" a="1"/>
  <c r="I301" i="55" s="1"/>
  <c r="B371" i="55"/>
  <c r="A371" i="55" s="1"/>
  <c r="G371" i="55" a="1"/>
  <c r="G371" i="55" s="1"/>
  <c r="I371" i="55" a="1"/>
  <c r="I371" i="55" s="1"/>
  <c r="B372" i="55"/>
  <c r="A372" i="55" s="1"/>
  <c r="G372" i="55" a="1"/>
  <c r="G372" i="55" s="1"/>
  <c r="I372" i="55" a="1"/>
  <c r="I372" i="55" s="1"/>
  <c r="B357" i="55"/>
  <c r="A357" i="55" s="1"/>
  <c r="G357" i="55" a="1"/>
  <c r="G357" i="55" s="1"/>
  <c r="I357" i="55" a="1"/>
  <c r="I357" i="55" s="1"/>
  <c r="B287" i="55"/>
  <c r="A287" i="55" s="1"/>
  <c r="G287" i="55" a="1"/>
  <c r="G287" i="55" s="1"/>
  <c r="I287" i="55" a="1"/>
  <c r="I287" i="55" s="1"/>
  <c r="B54" i="55"/>
  <c r="A54" i="55" s="1"/>
  <c r="G54" i="55" a="1"/>
  <c r="G54" i="55" s="1"/>
  <c r="I54" i="55" a="1"/>
  <c r="I54" i="55" s="1"/>
  <c r="B72" i="55"/>
  <c r="A72" i="55" s="1"/>
  <c r="G72" i="55" a="1"/>
  <c r="G72" i="55" s="1"/>
  <c r="I72" i="55" a="1"/>
  <c r="I72" i="55" s="1"/>
  <c r="B98" i="55"/>
  <c r="A98" i="55" s="1"/>
  <c r="G98" i="55" a="1"/>
  <c r="G98" i="55" s="1"/>
  <c r="I98" i="55" a="1"/>
  <c r="I98" i="55" s="1"/>
  <c r="B38" i="55"/>
  <c r="A38" i="55" s="1"/>
  <c r="G38" i="55" a="1"/>
  <c r="G38" i="55" s="1"/>
  <c r="I38" i="55" a="1"/>
  <c r="I38" i="55" s="1"/>
  <c r="B102" i="55"/>
  <c r="A102" i="55" s="1"/>
  <c r="G102" i="55" a="1"/>
  <c r="G102" i="55" s="1"/>
  <c r="I102" i="55" a="1"/>
  <c r="I102" i="55" s="1"/>
  <c r="B15" i="55"/>
  <c r="A15" i="55" s="1"/>
  <c r="G15" i="55" a="1"/>
  <c r="G15" i="55" s="1"/>
  <c r="I15" i="55" a="1"/>
  <c r="I15" i="55" s="1"/>
  <c r="B22" i="55"/>
  <c r="A22" i="55" s="1"/>
  <c r="G22" i="55" a="1"/>
  <c r="G22" i="55" s="1"/>
  <c r="I22" i="55" a="1"/>
  <c r="I22" i="55" s="1"/>
  <c r="B16" i="55"/>
  <c r="A16" i="55" s="1"/>
  <c r="G16" i="55" a="1"/>
  <c r="G16" i="55" s="1"/>
  <c r="I16" i="55" a="1"/>
  <c r="I16" i="55" s="1"/>
  <c r="B19" i="55"/>
  <c r="A19" i="55" s="1"/>
  <c r="G19" i="55" a="1"/>
  <c r="G19" i="55" s="1"/>
  <c r="I19" i="55" a="1"/>
  <c r="I19" i="55" s="1"/>
  <c r="B32" i="55"/>
  <c r="A32" i="55" s="1"/>
  <c r="G32" i="55" a="1"/>
  <c r="G32" i="55" s="1"/>
  <c r="I32" i="55" a="1"/>
  <c r="I32" i="55" s="1"/>
  <c r="B138" i="55"/>
  <c r="A138" i="55" s="1"/>
  <c r="G138" i="55" a="1"/>
  <c r="G138" i="55" s="1"/>
  <c r="I138" i="55" a="1"/>
  <c r="I138" i="55" s="1"/>
  <c r="B70" i="55"/>
  <c r="A70" i="55" s="1"/>
  <c r="G70" i="55" a="1"/>
  <c r="G70" i="55" s="1"/>
  <c r="I70" i="55" a="1"/>
  <c r="I70" i="55" s="1"/>
  <c r="B56" i="55"/>
  <c r="A56" i="55" s="1"/>
  <c r="G56" i="55" a="1"/>
  <c r="G56" i="55" s="1"/>
  <c r="I56" i="55" a="1"/>
  <c r="I56" i="55" s="1"/>
  <c r="B21" i="55"/>
  <c r="A21" i="55" s="1"/>
  <c r="G21" i="55" a="1"/>
  <c r="G21" i="55" s="1"/>
  <c r="I21" i="55" a="1"/>
  <c r="I21" i="55" s="1"/>
  <c r="B359" i="55"/>
  <c r="A359" i="55" s="1"/>
  <c r="G359" i="55" a="1"/>
  <c r="G359" i="55" s="1"/>
  <c r="I359" i="55" a="1"/>
  <c r="I359" i="55" s="1"/>
  <c r="B386" i="55"/>
  <c r="A386" i="55" s="1"/>
  <c r="G386" i="55" a="1"/>
  <c r="G386" i="55" s="1"/>
  <c r="I386" i="55" a="1"/>
  <c r="I386" i="55" s="1"/>
  <c r="B389" i="55"/>
  <c r="A389" i="55" s="1"/>
  <c r="G389" i="55" a="1"/>
  <c r="G389" i="55" s="1"/>
  <c r="I389" i="55" a="1"/>
  <c r="I389" i="55" s="1"/>
  <c r="B281" i="55"/>
  <c r="A281" i="55" s="1"/>
  <c r="G281" i="55" a="1"/>
  <c r="G281" i="55" s="1"/>
  <c r="I281" i="55" a="1"/>
  <c r="I281" i="55" s="1"/>
  <c r="B280" i="55"/>
  <c r="A280" i="55" s="1"/>
  <c r="G280" i="55" a="1"/>
  <c r="G280" i="55" s="1"/>
  <c r="I280" i="55" a="1"/>
  <c r="I280" i="55" s="1"/>
  <c r="B282" i="55"/>
  <c r="A282" i="55" s="1"/>
  <c r="G282" i="55" a="1"/>
  <c r="G282" i="55" s="1"/>
  <c r="I282" i="55" a="1"/>
  <c r="I282" i="55" s="1"/>
  <c r="B278" i="55"/>
  <c r="A278" i="55" s="1"/>
  <c r="G278" i="55" a="1"/>
  <c r="G278" i="55" s="1"/>
  <c r="I278" i="55" a="1"/>
  <c r="I278" i="55" s="1"/>
  <c r="B290" i="55"/>
  <c r="A290" i="55" s="1"/>
  <c r="G290" i="55" a="1"/>
  <c r="G290" i="55" s="1"/>
  <c r="I290" i="55" a="1"/>
  <c r="I290" i="55" s="1"/>
  <c r="B285" i="55"/>
  <c r="A285" i="55" s="1"/>
  <c r="G285" i="55" a="1"/>
  <c r="G285" i="55" s="1"/>
  <c r="I285" i="55" a="1"/>
  <c r="I285" i="55" s="1"/>
  <c r="B286" i="55"/>
  <c r="A286" i="55" s="1"/>
  <c r="G286" i="55" a="1"/>
  <c r="G286" i="55" s="1"/>
  <c r="I286" i="55" a="1"/>
  <c r="I286" i="55" s="1"/>
  <c r="B288" i="55"/>
  <c r="A288" i="55" s="1"/>
  <c r="G288" i="55" a="1"/>
  <c r="G288" i="55" s="1"/>
  <c r="I288" i="55" a="1"/>
  <c r="I288" i="55" s="1"/>
  <c r="B110" i="55"/>
  <c r="A110" i="55" s="1"/>
  <c r="G110" i="55" a="1"/>
  <c r="G110" i="55" s="1"/>
  <c r="I110" i="55" a="1"/>
  <c r="I110" i="55" s="1"/>
  <c r="B31" i="55"/>
  <c r="A31" i="55" s="1"/>
  <c r="G31" i="55" a="1"/>
  <c r="G31" i="55" s="1"/>
  <c r="I31" i="55" a="1"/>
  <c r="I31" i="55" s="1"/>
  <c r="B92" i="55"/>
  <c r="A92" i="55" s="1"/>
  <c r="G92" i="55" a="1"/>
  <c r="G92" i="55" s="1"/>
  <c r="I92" i="55" a="1"/>
  <c r="I92" i="55" s="1"/>
  <c r="B123" i="55"/>
  <c r="A123" i="55" s="1"/>
  <c r="G123" i="55" a="1"/>
  <c r="G123" i="55" s="1"/>
  <c r="I123" i="55" a="1"/>
  <c r="I123" i="55" s="1"/>
  <c r="B97" i="55"/>
  <c r="A97" i="55" s="1"/>
  <c r="G97" i="55" a="1"/>
  <c r="G97" i="55" s="1"/>
  <c r="I97" i="55" a="1"/>
  <c r="I97" i="55" s="1"/>
  <c r="B87" i="55"/>
  <c r="A87" i="55" s="1"/>
  <c r="G87" i="55" a="1"/>
  <c r="G87" i="55" s="1"/>
  <c r="I87" i="55" a="1"/>
  <c r="I87" i="55" s="1"/>
  <c r="B132" i="55"/>
  <c r="A132" i="55" s="1"/>
  <c r="G132" i="55" a="1"/>
  <c r="G132" i="55" s="1"/>
  <c r="I132" i="55" a="1"/>
  <c r="I132" i="55" s="1"/>
  <c r="B284" i="55"/>
  <c r="A284" i="55" s="1"/>
  <c r="G284" i="55" a="1"/>
  <c r="G284" i="55" s="1"/>
  <c r="I284" i="55" a="1"/>
  <c r="I284" i="55" s="1"/>
  <c r="B106" i="55"/>
  <c r="A106" i="55" s="1"/>
  <c r="G106" i="55" a="1"/>
  <c r="G106" i="55" s="1"/>
  <c r="I106" i="55" a="1"/>
  <c r="I106" i="55" s="1"/>
  <c r="B283" i="55"/>
  <c r="A283" i="55" s="1"/>
  <c r="G283" i="55" a="1"/>
  <c r="G283" i="55" s="1"/>
  <c r="I283" i="55" a="1"/>
  <c r="I283" i="55" s="1"/>
  <c r="B289" i="55"/>
  <c r="A289" i="55" s="1"/>
  <c r="G289" i="55" a="1"/>
  <c r="G289" i="55" s="1"/>
  <c r="I289" i="55" a="1"/>
  <c r="I289" i="55" s="1"/>
  <c r="B255" i="55"/>
  <c r="A255" i="55" s="1"/>
  <c r="G255" i="55" a="1"/>
  <c r="G255" i="55" s="1"/>
  <c r="I255" i="55" a="1"/>
  <c r="I255" i="55" s="1"/>
  <c r="B17" i="55"/>
  <c r="A17" i="55" s="1"/>
  <c r="G17" i="55" a="1"/>
  <c r="G17" i="55" s="1"/>
  <c r="I17" i="55" a="1"/>
  <c r="I17" i="55" s="1"/>
  <c r="B23" i="55"/>
  <c r="A23" i="55" s="1"/>
  <c r="G23" i="55" a="1"/>
  <c r="G23" i="55" s="1"/>
  <c r="I23" i="55" a="1"/>
  <c r="I23" i="55" s="1"/>
  <c r="B24" i="55"/>
  <c r="A24" i="55" s="1"/>
  <c r="G24" i="55" a="1"/>
  <c r="G24" i="55" s="1"/>
  <c r="I24" i="55" a="1"/>
  <c r="I24" i="55" s="1"/>
  <c r="B25" i="55"/>
  <c r="A25" i="55" s="1"/>
  <c r="G25" i="55" a="1"/>
  <c r="G25" i="55" s="1"/>
  <c r="I25" i="55" a="1"/>
  <c r="I25" i="55" s="1"/>
  <c r="B62" i="55"/>
  <c r="A62" i="55" s="1"/>
  <c r="G62" i="55" a="1"/>
  <c r="G62" i="55" s="1"/>
  <c r="I62" i="55" a="1"/>
  <c r="I62" i="55" s="1"/>
  <c r="B68" i="55"/>
  <c r="A68" i="55" s="1"/>
  <c r="G68" i="55" a="1"/>
  <c r="G68" i="55" s="1"/>
  <c r="I68" i="55" a="1"/>
  <c r="I68" i="55" s="1"/>
  <c r="B74" i="55"/>
  <c r="A74" i="55" s="1"/>
  <c r="G74" i="55" a="1"/>
  <c r="G74" i="55" s="1"/>
  <c r="I74" i="55" a="1"/>
  <c r="I74" i="55" s="1"/>
  <c r="B183" i="55"/>
  <c r="A183" i="55" s="1"/>
  <c r="G183" i="55" a="1"/>
  <c r="G183" i="55" s="1"/>
  <c r="I183" i="55" a="1"/>
  <c r="I183" i="55" s="1"/>
  <c r="B184" i="55"/>
  <c r="A184" i="55" s="1"/>
  <c r="G184" i="55" a="1"/>
  <c r="G184" i="55" s="1"/>
  <c r="I184" i="55" a="1"/>
  <c r="I184" i="55" s="1"/>
  <c r="B185" i="55"/>
  <c r="A185" i="55" s="1"/>
  <c r="G185" i="55" a="1"/>
  <c r="G185" i="55" s="1"/>
  <c r="I185" i="55" a="1"/>
  <c r="I185" i="55" s="1"/>
  <c r="B186" i="55"/>
  <c r="A186" i="55" s="1"/>
  <c r="G186" i="55" a="1"/>
  <c r="G186" i="55" s="1"/>
  <c r="I186" i="55" a="1"/>
  <c r="I186" i="55" s="1"/>
  <c r="B187" i="55"/>
  <c r="A187" i="55" s="1"/>
  <c r="G187" i="55" a="1"/>
  <c r="G187" i="55" s="1"/>
  <c r="I187" i="55" a="1"/>
  <c r="I187" i="55" s="1"/>
  <c r="B188" i="55"/>
  <c r="A188" i="55" s="1"/>
  <c r="G188" i="55" a="1"/>
  <c r="G188" i="55" s="1"/>
  <c r="I188" i="55" a="1"/>
  <c r="I188" i="55" s="1"/>
  <c r="B189" i="55"/>
  <c r="A189" i="55" s="1"/>
  <c r="G189" i="55" a="1"/>
  <c r="G189" i="55" s="1"/>
  <c r="I189" i="55" a="1"/>
  <c r="I189" i="55" s="1"/>
  <c r="B190" i="55"/>
  <c r="A190" i="55" s="1"/>
  <c r="G190" i="55" a="1"/>
  <c r="G190" i="55" s="1"/>
  <c r="I190" i="55" a="1"/>
  <c r="I190" i="55" s="1"/>
  <c r="B191" i="55"/>
  <c r="A191" i="55" s="1"/>
  <c r="G191" i="55" a="1"/>
  <c r="G191" i="55" s="1"/>
  <c r="I191" i="55" a="1"/>
  <c r="I191" i="55" s="1"/>
  <c r="B193" i="55"/>
  <c r="A193" i="55" s="1"/>
  <c r="G193" i="55" a="1"/>
  <c r="G193" i="55" s="1"/>
  <c r="I193" i="55" a="1"/>
  <c r="I193" i="55" s="1"/>
  <c r="B194" i="55"/>
  <c r="A194" i="55" s="1"/>
  <c r="G194" i="55" a="1"/>
  <c r="G194" i="55" s="1"/>
  <c r="I194" i="55" a="1"/>
  <c r="I194" i="55" s="1"/>
  <c r="B195" i="55"/>
  <c r="A195" i="55" s="1"/>
  <c r="G195" i="55" a="1"/>
  <c r="G195" i="55" s="1"/>
  <c r="I195" i="55" a="1"/>
  <c r="I195" i="55" s="1"/>
  <c r="B197" i="55"/>
  <c r="A197" i="55" s="1"/>
  <c r="G197" i="55" a="1"/>
  <c r="G197" i="55" s="1"/>
  <c r="I197" i="55" a="1"/>
  <c r="I197" i="55" s="1"/>
  <c r="B210" i="55"/>
  <c r="A210" i="55" s="1"/>
  <c r="G210" i="55" a="1"/>
  <c r="G210" i="55" s="1"/>
  <c r="I210" i="55" a="1"/>
  <c r="I210" i="55" s="1"/>
  <c r="B212" i="55"/>
  <c r="A212" i="55" s="1"/>
  <c r="G212" i="55" a="1"/>
  <c r="G212" i="55" s="1"/>
  <c r="I212" i="55" a="1"/>
  <c r="I212" i="55" s="1"/>
  <c r="B217" i="55"/>
  <c r="A217" i="55" s="1"/>
  <c r="G217" i="55" a="1"/>
  <c r="G217" i="55" s="1"/>
  <c r="I217" i="55" a="1"/>
  <c r="I217" i="55" s="1"/>
  <c r="B225" i="55"/>
  <c r="A225" i="55" s="1"/>
  <c r="G225" i="55" a="1"/>
  <c r="G225" i="55" s="1"/>
  <c r="I225" i="55" a="1"/>
  <c r="I225" i="55" s="1"/>
  <c r="B238" i="55"/>
  <c r="A238" i="55" s="1"/>
  <c r="G238" i="55" a="1"/>
  <c r="G238" i="55" s="1"/>
  <c r="I238" i="55" a="1"/>
  <c r="I238" i="55" s="1"/>
  <c r="B256" i="55"/>
  <c r="A256" i="55" s="1"/>
  <c r="G256" i="55" a="1"/>
  <c r="G256" i="55" s="1"/>
  <c r="I256" i="55" a="1"/>
  <c r="I256" i="55" s="1"/>
  <c r="B272" i="55"/>
  <c r="A272" i="55" s="1"/>
  <c r="G272" i="55" a="1"/>
  <c r="G272" i="55" s="1"/>
  <c r="I272" i="55" a="1"/>
  <c r="I272" i="55" s="1"/>
  <c r="B279" i="55"/>
  <c r="A279" i="55" s="1"/>
  <c r="G279" i="55" a="1"/>
  <c r="G279" i="55" s="1"/>
  <c r="I279" i="55" a="1"/>
  <c r="I279" i="55" s="1"/>
  <c r="B319" i="55"/>
  <c r="A319" i="55" s="1"/>
  <c r="G319" i="55" a="1"/>
  <c r="G319" i="55" s="1"/>
  <c r="I319" i="55" a="1"/>
  <c r="I319" i="55" s="1"/>
  <c r="B330" i="55"/>
  <c r="A330" i="55" s="1"/>
  <c r="G330" i="55" a="1"/>
  <c r="G330" i="55" s="1"/>
  <c r="I330" i="55" a="1"/>
  <c r="I330" i="55" s="1"/>
  <c r="B388" i="55"/>
  <c r="A388" i="55" s="1"/>
  <c r="G388" i="55" a="1"/>
  <c r="G388" i="55" s="1"/>
  <c r="I388" i="55" a="1"/>
  <c r="I388" i="55" s="1"/>
  <c r="B399" i="55"/>
  <c r="A399" i="55" s="1"/>
  <c r="G399" i="55" a="1"/>
  <c r="G399" i="55" s="1"/>
  <c r="I399" i="55" a="1"/>
  <c r="I399" i="55" s="1"/>
  <c r="B456" i="55"/>
  <c r="A456" i="55" s="1"/>
  <c r="G456" i="55" a="1"/>
  <c r="G456" i="55" s="1"/>
  <c r="I456" i="55" a="1"/>
  <c r="I456" i="55" s="1"/>
  <c r="B385" i="55"/>
  <c r="A385" i="55" s="1"/>
  <c r="G385" i="55" a="1"/>
  <c r="G385" i="55" s="1"/>
  <c r="I385" i="55" a="1"/>
  <c r="I385" i="55" s="1"/>
  <c r="B362" i="55"/>
  <c r="A362" i="55" s="1"/>
  <c r="G362" i="55" a="1"/>
  <c r="G362" i="55" s="1"/>
  <c r="I362" i="55" a="1"/>
  <c r="I362" i="55" s="1"/>
  <c r="B328" i="55"/>
  <c r="A328" i="55" s="1"/>
  <c r="G328" i="55" a="1"/>
  <c r="G328" i="55" s="1"/>
  <c r="I328" i="55" a="1"/>
  <c r="I328" i="55" s="1"/>
  <c r="B332" i="55"/>
  <c r="A332" i="55" s="1"/>
  <c r="G332" i="55" a="1"/>
  <c r="G332" i="55" s="1"/>
  <c r="I332" i="55" a="1"/>
  <c r="I332" i="55" s="1"/>
  <c r="B422" i="55"/>
  <c r="A422" i="55" s="1"/>
  <c r="G422" i="55" a="1"/>
  <c r="G422" i="55" s="1"/>
  <c r="I422" i="55" a="1"/>
  <c r="I422" i="55" s="1"/>
  <c r="B316" i="55"/>
  <c r="A316" i="55" s="1"/>
  <c r="G316" i="55" a="1"/>
  <c r="G316" i="55" s="1"/>
  <c r="I316" i="55" a="1"/>
  <c r="I316" i="55" s="1"/>
  <c r="B452" i="55"/>
  <c r="A452" i="55" s="1"/>
  <c r="G452" i="55" a="1"/>
  <c r="G452" i="55" s="1"/>
  <c r="I452" i="55" a="1"/>
  <c r="I452" i="55" s="1"/>
  <c r="B443" i="55"/>
  <c r="A443" i="55" s="1"/>
  <c r="G443" i="55" a="1"/>
  <c r="G443" i="55" s="1"/>
  <c r="I443" i="55" a="1"/>
  <c r="I443" i="55" s="1"/>
  <c r="B445" i="55"/>
  <c r="A445" i="55" s="1"/>
  <c r="G445" i="55" a="1"/>
  <c r="G445" i="55" s="1"/>
  <c r="I445" i="55" a="1"/>
  <c r="I445" i="55" s="1"/>
  <c r="B447" i="55"/>
  <c r="A447" i="55" s="1"/>
  <c r="G447" i="55" a="1"/>
  <c r="G447" i="55" s="1"/>
  <c r="I447" i="55" a="1"/>
  <c r="I447" i="55" s="1"/>
  <c r="B458" i="55"/>
  <c r="A458" i="55" s="1"/>
  <c r="G458" i="55" a="1"/>
  <c r="G458" i="55" s="1"/>
  <c r="I458" i="55" a="1"/>
  <c r="I458" i="55" s="1"/>
  <c r="B442" i="55"/>
  <c r="A442" i="55" s="1"/>
  <c r="G442" i="55" a="1"/>
  <c r="G442" i="55" s="1"/>
  <c r="I442" i="55" a="1"/>
  <c r="I442" i="55" s="1"/>
  <c r="B440" i="55"/>
  <c r="A440" i="55" s="1"/>
  <c r="G440" i="55" a="1"/>
  <c r="G440" i="55" s="1"/>
  <c r="I440" i="55" a="1"/>
  <c r="I440" i="55" s="1"/>
  <c r="B444" i="55"/>
  <c r="A444" i="55" s="1"/>
  <c r="G444" i="55" a="1"/>
  <c r="G444" i="55" s="1"/>
  <c r="I444" i="55" a="1"/>
  <c r="I444" i="55" s="1"/>
  <c r="B455" i="55"/>
  <c r="A455" i="55" s="1"/>
  <c r="G455" i="55" a="1"/>
  <c r="G455" i="55" s="1"/>
  <c r="I455" i="55" a="1"/>
  <c r="I455" i="55" s="1"/>
  <c r="B454" i="55"/>
  <c r="A454" i="55" s="1"/>
  <c r="G454" i="55" a="1"/>
  <c r="G454" i="55" s="1"/>
  <c r="I454" i="55" a="1"/>
  <c r="I454" i="55" s="1"/>
  <c r="B453" i="55"/>
  <c r="A453" i="55" s="1"/>
  <c r="G453" i="55" a="1"/>
  <c r="G453" i="55" s="1"/>
  <c r="I453" i="55" a="1"/>
  <c r="I453" i="55" s="1"/>
  <c r="B462" i="55"/>
  <c r="A462" i="55" s="1"/>
  <c r="G462" i="55" a="1"/>
  <c r="G462" i="55" s="1"/>
  <c r="I462" i="55" a="1"/>
  <c r="I462" i="55" s="1"/>
  <c r="B459" i="55"/>
  <c r="A459" i="55" s="1"/>
  <c r="G459" i="55" a="1"/>
  <c r="G459" i="55" s="1"/>
  <c r="I459" i="55" a="1"/>
  <c r="I459" i="55" s="1"/>
  <c r="B324" i="55"/>
  <c r="A324" i="55" s="1"/>
  <c r="G324" i="55" a="1"/>
  <c r="G324" i="55" s="1"/>
  <c r="I324" i="55" a="1"/>
  <c r="I324" i="55" s="1"/>
  <c r="B321" i="55"/>
  <c r="A321" i="55" s="1"/>
  <c r="G321" i="55" a="1"/>
  <c r="G321" i="55" s="1"/>
  <c r="I321" i="55" a="1"/>
  <c r="I321" i="55" s="1"/>
  <c r="B363" i="55"/>
  <c r="A363" i="55" s="1"/>
  <c r="G363" i="55" a="1"/>
  <c r="G363" i="55" s="1"/>
  <c r="I363" i="55" a="1"/>
  <c r="I363" i="55" s="1"/>
  <c r="B339" i="55"/>
  <c r="A339" i="55" s="1"/>
  <c r="G339" i="55" a="1"/>
  <c r="G339" i="55" s="1"/>
  <c r="I339" i="55" a="1"/>
  <c r="I339" i="55" s="1"/>
  <c r="B384" i="55"/>
  <c r="A384" i="55" s="1"/>
  <c r="G384" i="55" a="1"/>
  <c r="G384" i="55" s="1"/>
  <c r="I384" i="55" a="1"/>
  <c r="I384" i="55" s="1"/>
  <c r="B382" i="55"/>
  <c r="A382" i="55" s="1"/>
  <c r="G382" i="55" a="1"/>
  <c r="G382" i="55" s="1"/>
  <c r="I382" i="55" a="1"/>
  <c r="I382" i="55" s="1"/>
  <c r="B374" i="55"/>
  <c r="A374" i="55" s="1"/>
  <c r="G374" i="55" a="1"/>
  <c r="G374" i="55" s="1"/>
  <c r="I374" i="55" a="1"/>
  <c r="I374" i="55" s="1"/>
  <c r="B439" i="55"/>
  <c r="A439" i="55" s="1"/>
  <c r="G439" i="55" a="1"/>
  <c r="G439" i="55" s="1"/>
  <c r="I439" i="55" a="1"/>
  <c r="I439" i="55" s="1"/>
  <c r="B446" i="55"/>
  <c r="A446" i="55" s="1"/>
  <c r="G446" i="55" a="1"/>
  <c r="G446" i="55" s="1"/>
  <c r="I446" i="55" a="1"/>
  <c r="I446" i="55" s="1"/>
  <c r="B464" i="55"/>
  <c r="A464" i="55" s="1"/>
  <c r="G464" i="55" a="1"/>
  <c r="G464" i="55" s="1"/>
  <c r="I464" i="55" a="1"/>
  <c r="I464" i="55" s="1"/>
  <c r="B460" i="55"/>
  <c r="A460" i="55" s="1"/>
  <c r="G460" i="55" a="1"/>
  <c r="G460" i="55" s="1"/>
  <c r="I460" i="55" a="1"/>
  <c r="I460" i="55" s="1"/>
  <c r="B437" i="55"/>
  <c r="A437" i="55" s="1"/>
  <c r="G437" i="55" a="1"/>
  <c r="G437" i="55" s="1"/>
  <c r="I437" i="55" a="1"/>
  <c r="I437" i="55" s="1"/>
  <c r="B438" i="55"/>
  <c r="A438" i="55" s="1"/>
  <c r="G438" i="55" a="1"/>
  <c r="G438" i="55" s="1"/>
  <c r="I438" i="55" a="1"/>
  <c r="I438" i="55" s="1"/>
  <c r="B450" i="55"/>
  <c r="A450" i="55" s="1"/>
  <c r="G450" i="55" a="1"/>
  <c r="G450" i="55" s="1"/>
  <c r="I450" i="55" a="1"/>
  <c r="I450" i="55" s="1"/>
  <c r="B451" i="55"/>
  <c r="A451" i="55" s="1"/>
  <c r="G451" i="55" a="1"/>
  <c r="G451" i="55" s="1"/>
  <c r="I451" i="55" a="1"/>
  <c r="I451" i="55" s="1"/>
  <c r="B441" i="55"/>
  <c r="A441" i="55" s="1"/>
  <c r="G441" i="55" a="1"/>
  <c r="G441" i="55" s="1"/>
  <c r="I441" i="55" a="1"/>
  <c r="I441" i="55" s="1"/>
  <c r="B461" i="55"/>
  <c r="A461" i="55" s="1"/>
  <c r="G461" i="55" a="1"/>
  <c r="G461" i="55" s="1"/>
  <c r="I461" i="55" a="1"/>
  <c r="I461" i="55" s="1"/>
  <c r="B465" i="55"/>
  <c r="A465" i="55" s="1"/>
  <c r="G465" i="55" a="1"/>
  <c r="G465" i="55" s="1"/>
  <c r="I465" i="55" a="1"/>
  <c r="I465" i="55" s="1"/>
  <c r="B463" i="55"/>
  <c r="A463" i="55" s="1"/>
  <c r="G463" i="55" a="1"/>
  <c r="G463" i="55" s="1"/>
  <c r="I463" i="55" a="1"/>
  <c r="I463" i="55" s="1"/>
  <c r="B449" i="55"/>
  <c r="A449" i="55" s="1"/>
  <c r="G449" i="55" a="1"/>
  <c r="G449" i="55" s="1"/>
  <c r="I449" i="55" a="1"/>
  <c r="I449" i="55" s="1"/>
  <c r="B457" i="55"/>
  <c r="A457" i="55" s="1"/>
  <c r="G457" i="55" a="1"/>
  <c r="G457" i="55" s="1"/>
  <c r="I457" i="55" a="1"/>
  <c r="I457" i="55" s="1"/>
  <c r="B448" i="55"/>
  <c r="A448" i="55" s="1"/>
  <c r="G448" i="55" a="1"/>
  <c r="G448" i="55" s="1"/>
  <c r="I448" i="55" a="1"/>
  <c r="I448" i="55" s="1"/>
  <c r="B436" i="55"/>
  <c r="A436" i="55" s="1"/>
  <c r="G436" i="55" a="1"/>
  <c r="G436" i="55" s="1"/>
  <c r="I436" i="55" a="1"/>
  <c r="I436" i="55" s="1"/>
  <c r="B178" i="55"/>
  <c r="A178" i="55" s="1"/>
  <c r="G178" i="55" a="1"/>
  <c r="G178" i="55" s="1"/>
  <c r="I178" i="55" a="1"/>
  <c r="I178" i="55" s="1"/>
  <c r="B171" i="55"/>
  <c r="A171" i="55" s="1"/>
  <c r="G171" i="55" a="1"/>
  <c r="G171" i="55" s="1"/>
  <c r="I171" i="55" a="1"/>
  <c r="I171" i="55" s="1"/>
  <c r="B181" i="55"/>
  <c r="A181" i="55" s="1"/>
  <c r="G181" i="55" a="1"/>
  <c r="G181" i="55" s="1"/>
  <c r="I181" i="55" a="1"/>
  <c r="I181" i="55" s="1"/>
  <c r="B64" i="55"/>
  <c r="A64" i="55" s="1"/>
  <c r="G64" i="55" a="1"/>
  <c r="G64" i="55" s="1"/>
  <c r="I64" i="55" a="1"/>
  <c r="I64" i="55" s="1"/>
  <c r="B65" i="55"/>
  <c r="A65" i="55" s="1"/>
  <c r="G65" i="55" a="1"/>
  <c r="G65" i="55" s="1"/>
  <c r="I65" i="55" a="1"/>
  <c r="I65" i="55" s="1"/>
  <c r="B67" i="55"/>
  <c r="A67" i="55" s="1"/>
  <c r="G67" i="55" a="1"/>
  <c r="G67" i="55" s="1"/>
  <c r="I67" i="55" a="1"/>
  <c r="I67" i="55" s="1"/>
  <c r="B172" i="55"/>
  <c r="A172" i="55" s="1"/>
  <c r="G172" i="55" a="1"/>
  <c r="G172" i="55" s="1"/>
  <c r="I172" i="55" a="1"/>
  <c r="I172" i="55" s="1"/>
  <c r="B177" i="55"/>
  <c r="A177" i="55" s="1"/>
  <c r="G177" i="55" a="1"/>
  <c r="G177" i="55" s="1"/>
  <c r="I177" i="55" a="1"/>
  <c r="I177" i="55" s="1"/>
  <c r="B196" i="55"/>
  <c r="A196" i="55" s="1"/>
  <c r="G196" i="55" a="1"/>
  <c r="G196" i="55" s="1"/>
  <c r="I196" i="55" a="1"/>
  <c r="I196" i="55" s="1"/>
  <c r="B69" i="55"/>
  <c r="A69" i="55" s="1"/>
  <c r="G69" i="55" a="1"/>
  <c r="G69" i="55" s="1"/>
  <c r="I69" i="55" a="1"/>
  <c r="I69" i="55" s="1"/>
  <c r="B66" i="55"/>
  <c r="A66" i="55" s="1"/>
  <c r="G66" i="55" a="1"/>
  <c r="G66" i="55" s="1"/>
  <c r="I66" i="55" a="1"/>
  <c r="I66" i="55" s="1"/>
  <c r="B180" i="55"/>
  <c r="A180" i="55" s="1"/>
  <c r="G180" i="55" a="1"/>
  <c r="G180" i="55" s="1"/>
  <c r="I180" i="55" a="1"/>
  <c r="I180" i="55" s="1"/>
  <c r="B173" i="55"/>
  <c r="A173" i="55" s="1"/>
  <c r="G173" i="55" a="1"/>
  <c r="G173" i="55" s="1"/>
  <c r="I173" i="55" a="1"/>
  <c r="I173" i="55" s="1"/>
  <c r="B37" i="55"/>
  <c r="A37" i="55" s="1"/>
  <c r="G37" i="55" a="1"/>
  <c r="G37" i="55" s="1"/>
  <c r="I37" i="55" a="1"/>
  <c r="I37" i="55" s="1"/>
  <c r="B34" i="55"/>
  <c r="A34" i="55" s="1"/>
  <c r="G34" i="55" a="1"/>
  <c r="G34" i="55" s="1"/>
  <c r="I34" i="55" a="1"/>
  <c r="I34" i="55" s="1"/>
  <c r="B84" i="55"/>
  <c r="A84" i="55" s="1"/>
  <c r="G84" i="55" a="1"/>
  <c r="G84" i="55" s="1"/>
  <c r="I84" i="55" a="1"/>
  <c r="I84" i="55" s="1"/>
  <c r="B79" i="55"/>
  <c r="A79" i="55" s="1"/>
  <c r="G79" i="55" a="1"/>
  <c r="G79" i="55" s="1"/>
  <c r="I79" i="55" a="1"/>
  <c r="I79" i="55" s="1"/>
  <c r="B78" i="55"/>
  <c r="A78" i="55" s="1"/>
  <c r="G78" i="55" a="1"/>
  <c r="G78" i="55" s="1"/>
  <c r="I78" i="55" a="1"/>
  <c r="I78" i="55" s="1"/>
  <c r="B40" i="55"/>
  <c r="A40" i="55" s="1"/>
  <c r="G40" i="55" a="1"/>
  <c r="G40" i="55" s="1"/>
  <c r="I40" i="55" a="1"/>
  <c r="I40" i="55" s="1"/>
  <c r="B81" i="55"/>
  <c r="A81" i="55" s="1"/>
  <c r="G81" i="55" a="1"/>
  <c r="G81" i="55" s="1"/>
  <c r="I81" i="55" a="1"/>
  <c r="I81" i="55" s="1"/>
  <c r="B35" i="55"/>
  <c r="A35" i="55" s="1"/>
  <c r="G35" i="55" a="1"/>
  <c r="G35" i="55" s="1"/>
  <c r="I35" i="55" a="1"/>
  <c r="I35" i="55" s="1"/>
  <c r="B36" i="55"/>
  <c r="A36" i="55" s="1"/>
  <c r="G36" i="55" a="1"/>
  <c r="G36" i="55" s="1"/>
  <c r="I36" i="55" a="1"/>
  <c r="I36" i="55" s="1"/>
  <c r="B33" i="55"/>
  <c r="A33" i="55" s="1"/>
  <c r="G33" i="55" a="1"/>
  <c r="G33" i="55" s="1"/>
  <c r="I33" i="55" a="1"/>
  <c r="I33" i="55" s="1"/>
  <c r="B77" i="55"/>
  <c r="A77" i="55" s="1"/>
  <c r="G77" i="55" a="1"/>
  <c r="G77" i="55" s="1"/>
  <c r="I77" i="55" a="1"/>
  <c r="I77" i="55" s="1"/>
  <c r="B71" i="55"/>
  <c r="A71" i="55" s="1"/>
  <c r="G71" i="55" a="1"/>
  <c r="G71" i="55" s="1"/>
  <c r="I71" i="55" a="1"/>
  <c r="I71" i="55" s="1"/>
  <c r="B266" i="55"/>
  <c r="A266" i="55" s="1"/>
  <c r="G266" i="55" a="1"/>
  <c r="G266" i="55" s="1"/>
  <c r="I266" i="55" a="1"/>
  <c r="I266" i="55" s="1"/>
  <c r="B229" i="55"/>
  <c r="A229" i="55" s="1"/>
  <c r="G229" i="55" a="1"/>
  <c r="G229" i="55" s="1"/>
  <c r="I229" i="55" a="1"/>
  <c r="I229" i="55" s="1"/>
  <c r="B202" i="55"/>
  <c r="A202" i="55" s="1"/>
  <c r="G202" i="55" a="1"/>
  <c r="G202" i="55" s="1"/>
  <c r="I202" i="55" a="1"/>
  <c r="I202" i="55" s="1"/>
  <c r="B264" i="55"/>
  <c r="A264" i="55" s="1"/>
  <c r="G264" i="55" a="1"/>
  <c r="G264" i="55" s="1"/>
  <c r="I264" i="55" a="1"/>
  <c r="I264" i="55" s="1"/>
  <c r="B274" i="55"/>
  <c r="A274" i="55" s="1"/>
  <c r="G274" i="55" a="1"/>
  <c r="G274" i="55" s="1"/>
  <c r="I274" i="55" a="1"/>
  <c r="I274" i="55" s="1"/>
  <c r="B111" i="55"/>
  <c r="A111" i="55" s="1"/>
  <c r="G111" i="55" a="1"/>
  <c r="G111" i="55" s="1"/>
  <c r="I111" i="55" a="1"/>
  <c r="I111" i="55" s="1"/>
  <c r="B59" i="55"/>
  <c r="A59" i="55" s="1"/>
  <c r="G59" i="55" a="1"/>
  <c r="G59" i="55" s="1"/>
  <c r="I59" i="55" a="1"/>
  <c r="I59" i="55" s="1"/>
  <c r="B48" i="55"/>
  <c r="A48" i="55" s="1"/>
  <c r="G48" i="55" a="1"/>
  <c r="G48" i="55" s="1"/>
  <c r="I48" i="55" a="1"/>
  <c r="I48" i="55" s="1"/>
  <c r="B114" i="55"/>
  <c r="A114" i="55" s="1"/>
  <c r="G114" i="55" a="1"/>
  <c r="G114" i="55" s="1"/>
  <c r="I114" i="55" a="1"/>
  <c r="I114" i="55" s="1"/>
  <c r="B118" i="55"/>
  <c r="A118" i="55" s="1"/>
  <c r="G118" i="55" a="1"/>
  <c r="G118" i="55" s="1"/>
  <c r="I118" i="55" a="1"/>
  <c r="I118" i="55" s="1"/>
  <c r="B109" i="55"/>
  <c r="A109" i="55" s="1"/>
  <c r="G109" i="55" a="1"/>
  <c r="G109" i="55" s="1"/>
  <c r="I109" i="55" a="1"/>
  <c r="I109" i="55" s="1"/>
  <c r="B93" i="55"/>
  <c r="A93" i="55" s="1"/>
  <c r="G93" i="55" a="1"/>
  <c r="G93" i="55" s="1"/>
  <c r="I93" i="55" a="1"/>
  <c r="I93" i="55" s="1"/>
  <c r="B75" i="55"/>
  <c r="A75" i="55" s="1"/>
  <c r="G75" i="55" a="1"/>
  <c r="G75" i="55" s="1"/>
  <c r="I75" i="55" a="1"/>
  <c r="I75" i="55" s="1"/>
  <c r="B107" i="55"/>
  <c r="A107" i="55" s="1"/>
  <c r="G107" i="55" a="1"/>
  <c r="G107" i="55" s="1"/>
  <c r="I107" i="55" a="1"/>
  <c r="I107" i="55" s="1"/>
  <c r="B147" i="55"/>
  <c r="A147" i="55" s="1"/>
  <c r="G147" i="55" a="1"/>
  <c r="G147" i="55" s="1"/>
  <c r="I147" i="55" a="1"/>
  <c r="I147" i="55" s="1"/>
  <c r="B133" i="55"/>
  <c r="A133" i="55" s="1"/>
  <c r="G133" i="55" a="1"/>
  <c r="G133" i="55" s="1"/>
  <c r="I133" i="55" a="1"/>
  <c r="I133" i="55" s="1"/>
  <c r="B63" i="55"/>
  <c r="A63" i="55" s="1"/>
  <c r="G63" i="55" a="1"/>
  <c r="G63" i="55" s="1"/>
  <c r="I63" i="55" a="1"/>
  <c r="I63" i="55" s="1"/>
  <c r="B167" i="55"/>
  <c r="A167" i="55" s="1"/>
  <c r="G167" i="55" a="1"/>
  <c r="G167" i="55" s="1"/>
  <c r="I167" i="55" a="1"/>
  <c r="I167" i="55" s="1"/>
  <c r="B108" i="55"/>
  <c r="A108" i="55" s="1"/>
  <c r="G108" i="55" a="1"/>
  <c r="G108" i="55" s="1"/>
  <c r="I108" i="55" a="1"/>
  <c r="I108" i="55" s="1"/>
  <c r="B120" i="55"/>
  <c r="A120" i="55" s="1"/>
  <c r="G120" i="55" a="1"/>
  <c r="G120" i="55" s="1"/>
  <c r="I120" i="55" a="1"/>
  <c r="I120" i="55" s="1"/>
  <c r="B127" i="55"/>
  <c r="A127" i="55" s="1"/>
  <c r="G127" i="55" a="1"/>
  <c r="G127" i="55" s="1"/>
  <c r="I127" i="55" a="1"/>
  <c r="I127" i="55" s="1"/>
  <c r="B73" i="55"/>
  <c r="A73" i="55" s="1"/>
  <c r="G73" i="55" a="1"/>
  <c r="G73" i="55" s="1"/>
  <c r="I73" i="55" a="1"/>
  <c r="I73" i="55" s="1"/>
  <c r="B401" i="55"/>
  <c r="A401" i="55" s="1"/>
  <c r="G401" i="55" a="1"/>
  <c r="G401" i="55" s="1"/>
  <c r="I401" i="55" a="1"/>
  <c r="I401" i="55" s="1"/>
  <c r="B312" i="55"/>
  <c r="A312" i="55" s="1"/>
  <c r="G312" i="55" a="1"/>
  <c r="G312" i="55" s="1"/>
  <c r="I312" i="55" a="1"/>
  <c r="I312" i="55" s="1"/>
  <c r="B402" i="55"/>
  <c r="A402" i="55" s="1"/>
  <c r="G402" i="55" a="1"/>
  <c r="G402" i="55" s="1"/>
  <c r="I402" i="55" a="1"/>
  <c r="I402" i="55" s="1"/>
  <c r="B337" i="55"/>
  <c r="A337" i="55" s="1"/>
  <c r="G337" i="55" a="1"/>
  <c r="G337" i="55" s="1"/>
  <c r="I337" i="55" a="1"/>
  <c r="I337" i="55" s="1"/>
  <c r="B343" i="55"/>
  <c r="A343" i="55" s="1"/>
  <c r="G343" i="55" a="1"/>
  <c r="G343" i="55" s="1"/>
  <c r="I343" i="55" a="1"/>
  <c r="I343" i="55" s="1"/>
  <c r="B241" i="55"/>
  <c r="A241" i="55" s="1"/>
  <c r="G241" i="55" a="1"/>
  <c r="G241" i="55" s="1"/>
  <c r="I241" i="55" a="1"/>
  <c r="I241" i="55" s="1"/>
  <c r="B395" i="55"/>
  <c r="A395" i="55" s="1"/>
  <c r="G395" i="55" a="1"/>
  <c r="G395" i="55" s="1"/>
  <c r="I395" i="55" a="1"/>
  <c r="I395" i="55" s="1"/>
  <c r="B354" i="55"/>
  <c r="A354" i="55" s="1"/>
  <c r="G354" i="55" a="1"/>
  <c r="G354" i="55" s="1"/>
  <c r="I354" i="55" a="1"/>
  <c r="I354" i="55" s="1"/>
  <c r="B352" i="55"/>
  <c r="A352" i="55" s="1"/>
  <c r="G352" i="55" a="1"/>
  <c r="G352" i="55" s="1"/>
  <c r="I352" i="55" a="1"/>
  <c r="I352" i="55" s="1"/>
  <c r="B420" i="55"/>
  <c r="A420" i="55" s="1"/>
  <c r="G420" i="55" a="1"/>
  <c r="G420" i="55" s="1"/>
  <c r="I420" i="55" a="1"/>
  <c r="I420" i="55" s="1"/>
  <c r="B421" i="55"/>
  <c r="A421" i="55" s="1"/>
  <c r="G421" i="55" a="1"/>
  <c r="G421" i="55" s="1"/>
  <c r="I421" i="55" a="1"/>
  <c r="I421" i="55" s="1"/>
  <c r="B431" i="55"/>
  <c r="A431" i="55" s="1"/>
  <c r="G431" i="55" a="1"/>
  <c r="G431" i="55" s="1"/>
  <c r="I431" i="55" a="1"/>
  <c r="I431" i="55" s="1"/>
  <c r="B326" i="55"/>
  <c r="A326" i="55" s="1"/>
  <c r="G326" i="55" a="1"/>
  <c r="G326" i="55" s="1"/>
  <c r="I326" i="55" a="1"/>
  <c r="I326" i="55" s="1"/>
  <c r="B300" i="55"/>
  <c r="A300" i="55" s="1"/>
  <c r="G300" i="55" a="1"/>
  <c r="G300" i="55" s="1"/>
  <c r="I300" i="55" a="1"/>
  <c r="I300" i="55" s="1"/>
  <c r="B393" i="55"/>
  <c r="A393" i="55" s="1"/>
  <c r="G393" i="55" a="1"/>
  <c r="G393" i="55" s="1"/>
  <c r="I393" i="55" a="1"/>
  <c r="I393" i="55" s="1"/>
  <c r="A12" i="12"/>
  <c r="A13" i="12"/>
  <c r="A14" i="12"/>
  <c r="A15" i="12"/>
  <c r="A16" i="12"/>
  <c r="A17" i="12"/>
  <c r="A8" i="12"/>
  <c r="A9" i="12"/>
  <c r="A10" i="12"/>
  <c r="A11" i="12"/>
  <c r="K459" i="55" l="1"/>
  <c r="K330" i="55"/>
  <c r="K24" i="55"/>
  <c r="K256" i="55"/>
  <c r="K212" i="55"/>
  <c r="K189" i="55"/>
  <c r="K188" i="55"/>
  <c r="K315" i="55"/>
  <c r="K451" i="55"/>
  <c r="K439" i="55"/>
  <c r="K324" i="55"/>
  <c r="K321" i="55"/>
  <c r="K238" i="55"/>
  <c r="K194" i="55"/>
  <c r="K193" i="55"/>
  <c r="K185" i="55"/>
  <c r="K184" i="55"/>
  <c r="K106" i="55"/>
  <c r="K136" i="55"/>
  <c r="K450" i="55"/>
  <c r="K460" i="55"/>
  <c r="K457" i="55"/>
  <c r="K384" i="55"/>
  <c r="K328" i="55"/>
  <c r="K319" i="55"/>
  <c r="K186" i="55"/>
  <c r="K68" i="55"/>
  <c r="K62" i="55"/>
  <c r="K123" i="55"/>
  <c r="K436" i="55"/>
  <c r="K452" i="55"/>
  <c r="K17" i="55"/>
  <c r="K461" i="55"/>
  <c r="K339" i="55"/>
  <c r="K454" i="55"/>
  <c r="K195" i="55"/>
  <c r="K98" i="55"/>
  <c r="K441" i="55"/>
  <c r="K374" i="55"/>
  <c r="K444" i="55"/>
  <c r="K449" i="55"/>
  <c r="K437" i="55"/>
  <c r="K446" i="55"/>
  <c r="K453" i="55"/>
  <c r="K455" i="55"/>
  <c r="K447" i="55"/>
  <c r="K210" i="55"/>
  <c r="K23" i="55"/>
  <c r="K301" i="55"/>
  <c r="K386" i="55"/>
  <c r="K290" i="55"/>
  <c r="K41" i="55"/>
  <c r="K87" i="55"/>
  <c r="K97" i="55"/>
  <c r="K110" i="55"/>
  <c r="K31" i="55"/>
  <c r="K282" i="55"/>
  <c r="K278" i="55"/>
  <c r="K280" i="55"/>
  <c r="K389" i="55"/>
  <c r="K19" i="55"/>
  <c r="K54" i="55"/>
  <c r="K138" i="55"/>
  <c r="K94" i="55"/>
  <c r="K303" i="55"/>
  <c r="K145" i="55"/>
  <c r="K440" i="55"/>
  <c r="K443" i="55"/>
  <c r="K422" i="55"/>
  <c r="K385" i="55"/>
  <c r="K357" i="55"/>
  <c r="K316" i="55"/>
  <c r="K399" i="55"/>
  <c r="K279" i="55"/>
  <c r="K225" i="55"/>
  <c r="K288" i="55"/>
  <c r="K166" i="55"/>
  <c r="K445" i="55"/>
  <c r="K388" i="55"/>
  <c r="K272" i="55"/>
  <c r="K217" i="55"/>
  <c r="K190" i="55"/>
  <c r="K74" i="55"/>
  <c r="K448" i="55"/>
  <c r="K463" i="55"/>
  <c r="K465" i="55"/>
  <c r="K438" i="55"/>
  <c r="K464" i="55"/>
  <c r="K382" i="55"/>
  <c r="K363" i="55"/>
  <c r="K462" i="55"/>
  <c r="K442" i="55"/>
  <c r="K458" i="55"/>
  <c r="K283" i="55"/>
  <c r="K284" i="55"/>
  <c r="K132" i="55"/>
  <c r="K22" i="55"/>
  <c r="K151" i="55"/>
  <c r="K43" i="55"/>
  <c r="K285" i="55"/>
  <c r="K56" i="55"/>
  <c r="K102" i="55"/>
  <c r="K372" i="55"/>
  <c r="K371" i="55"/>
  <c r="K116" i="55"/>
  <c r="K134" i="55"/>
  <c r="K91" i="55"/>
  <c r="K234" i="55"/>
  <c r="K197" i="55"/>
  <c r="K191" i="55"/>
  <c r="K187" i="55"/>
  <c r="K183" i="55"/>
  <c r="K25" i="55"/>
  <c r="K255" i="55"/>
  <c r="K289" i="55"/>
  <c r="K92" i="55"/>
  <c r="K286" i="55"/>
  <c r="K281" i="55"/>
  <c r="K21" i="55"/>
  <c r="K161" i="55"/>
  <c r="K47" i="55"/>
  <c r="K125" i="55"/>
  <c r="K131" i="55"/>
  <c r="K198" i="55"/>
  <c r="K42" i="55"/>
  <c r="K55" i="55"/>
  <c r="K323" i="55"/>
  <c r="K156" i="55"/>
  <c r="K119" i="55"/>
  <c r="K311" i="55"/>
  <c r="K141" i="55"/>
  <c r="K117" i="55"/>
  <c r="K126" i="55"/>
  <c r="K115" i="55"/>
  <c r="K88" i="55"/>
  <c r="K142" i="55"/>
  <c r="K45" i="55"/>
  <c r="K89" i="55"/>
  <c r="K39" i="55"/>
  <c r="K244" i="55"/>
  <c r="K124" i="55"/>
  <c r="K86" i="55"/>
  <c r="K30" i="55"/>
  <c r="K143" i="55"/>
  <c r="K121" i="55"/>
  <c r="K150" i="55"/>
  <c r="K112" i="55"/>
  <c r="K137" i="55"/>
  <c r="K157" i="55"/>
  <c r="K153" i="55"/>
  <c r="K135" i="55"/>
  <c r="K128" i="55"/>
  <c r="K206" i="55"/>
  <c r="K122" i="55"/>
  <c r="K20" i="55"/>
  <c r="K160" i="55"/>
  <c r="K130" i="55"/>
  <c r="K163" i="55"/>
  <c r="K164" i="55"/>
  <c r="K273" i="55"/>
  <c r="K381" i="55"/>
  <c r="K365" i="55"/>
  <c r="K309" i="55"/>
  <c r="K370" i="55"/>
  <c r="K308" i="55"/>
  <c r="K152" i="55"/>
  <c r="K95" i="55"/>
  <c r="K46" i="55"/>
  <c r="K375" i="55"/>
  <c r="K58" i="55"/>
  <c r="K129" i="55"/>
  <c r="K369" i="55"/>
  <c r="K327" i="55"/>
  <c r="K409" i="55"/>
  <c r="K83" i="55"/>
  <c r="K154" i="55"/>
  <c r="K60" i="55"/>
  <c r="K144" i="55"/>
  <c r="K101" i="55"/>
  <c r="K140" i="55"/>
  <c r="K139" i="55"/>
  <c r="K99" i="55"/>
  <c r="K103" i="55"/>
  <c r="K105" i="55"/>
  <c r="K146" i="55"/>
  <c r="K376" i="55"/>
  <c r="K380" i="55"/>
  <c r="K424" i="55"/>
  <c r="K344" i="55"/>
  <c r="K345" i="55"/>
  <c r="K228" i="55"/>
  <c r="K232" i="55"/>
  <c r="K403" i="55"/>
  <c r="K107" i="55"/>
  <c r="K317" i="55"/>
  <c r="K358" i="55"/>
  <c r="K231" i="55"/>
  <c r="K108" i="55"/>
  <c r="K310" i="55"/>
  <c r="K427" i="55"/>
  <c r="K341" i="55"/>
  <c r="K254" i="55"/>
  <c r="K252" i="55"/>
  <c r="K322" i="55"/>
  <c r="K398" i="55"/>
  <c r="K413" i="55"/>
  <c r="K405" i="55"/>
  <c r="K362" i="55"/>
  <c r="K332" i="55"/>
  <c r="K456" i="55"/>
  <c r="K15" i="55"/>
  <c r="K104" i="55"/>
  <c r="K16" i="55"/>
  <c r="K287" i="55"/>
  <c r="K165" i="55"/>
  <c r="K100" i="55"/>
  <c r="K149" i="55"/>
  <c r="K158" i="55"/>
  <c r="K359" i="55"/>
  <c r="K32" i="55"/>
  <c r="K72" i="55"/>
  <c r="K302" i="55"/>
  <c r="K148" i="55"/>
  <c r="K155" i="55"/>
  <c r="K162" i="55"/>
  <c r="K70" i="55"/>
  <c r="K38" i="55"/>
  <c r="K90" i="55"/>
  <c r="K26" i="55"/>
  <c r="K44" i="55"/>
  <c r="K76" i="55"/>
  <c r="K18" i="55"/>
  <c r="K113" i="55"/>
  <c r="K204" i="55"/>
  <c r="K96" i="55"/>
  <c r="K350" i="55"/>
  <c r="K407" i="55"/>
  <c r="K364" i="55"/>
  <c r="K408" i="55"/>
  <c r="K377" i="55"/>
  <c r="K406" i="55"/>
  <c r="K326" i="55"/>
  <c r="K421" i="55"/>
  <c r="K133" i="55"/>
  <c r="K202" i="55"/>
  <c r="K71" i="55"/>
  <c r="K35" i="55"/>
  <c r="K173" i="55"/>
  <c r="K93" i="55"/>
  <c r="K69" i="55"/>
  <c r="K67" i="55"/>
  <c r="K75" i="55"/>
  <c r="K120" i="55"/>
  <c r="K402" i="55"/>
  <c r="K343" i="55"/>
  <c r="K337" i="55"/>
  <c r="K401" i="55"/>
  <c r="K241" i="55"/>
  <c r="K354" i="55"/>
  <c r="K73" i="55"/>
  <c r="K274" i="55"/>
  <c r="K312" i="55"/>
  <c r="K127" i="55"/>
  <c r="K84" i="55"/>
  <c r="K180" i="55"/>
  <c r="K172" i="55"/>
  <c r="K118" i="55"/>
  <c r="K266" i="55"/>
  <c r="K33" i="55"/>
  <c r="K78" i="55"/>
  <c r="K196" i="55"/>
  <c r="K63" i="55"/>
  <c r="K48" i="55"/>
  <c r="K167" i="55"/>
  <c r="K114" i="55"/>
  <c r="K59" i="55"/>
  <c r="K229" i="55"/>
  <c r="K36" i="55"/>
  <c r="K79" i="55"/>
  <c r="K37" i="55"/>
  <c r="K65" i="55"/>
  <c r="K64" i="55"/>
  <c r="K34" i="55"/>
  <c r="K66" i="55"/>
  <c r="K177" i="55"/>
  <c r="K178" i="55"/>
  <c r="K77" i="55"/>
  <c r="K171" i="55"/>
  <c r="K147" i="55"/>
  <c r="K109" i="55"/>
  <c r="K111" i="55"/>
  <c r="K264" i="55"/>
  <c r="K81" i="55"/>
  <c r="K181" i="55"/>
  <c r="K393" i="55"/>
  <c r="K300" i="55"/>
  <c r="K431" i="55"/>
  <c r="K420" i="55"/>
  <c r="K352" i="55"/>
  <c r="K395" i="55"/>
  <c r="K40" i="55"/>
  <c r="C660" i="34" l="1"/>
  <c r="C661" i="34"/>
  <c r="C662" i="34"/>
  <c r="C663" i="34"/>
  <c r="C664" i="34"/>
  <c r="C665" i="34"/>
  <c r="C666" i="34"/>
  <c r="C667" i="34"/>
  <c r="C668" i="34"/>
  <c r="C669" i="34"/>
  <c r="C670" i="34"/>
  <c r="C671" i="34"/>
  <c r="C672" i="34"/>
  <c r="C673" i="34"/>
  <c r="C674" i="34"/>
  <c r="C675" i="34"/>
  <c r="C676" i="34"/>
  <c r="C677" i="34"/>
  <c r="C678" i="34"/>
  <c r="C679" i="34"/>
  <c r="C680" i="34"/>
  <c r="C681" i="34"/>
  <c r="C682" i="34"/>
  <c r="C683" i="34"/>
  <c r="C684" i="34"/>
  <c r="C685" i="34"/>
  <c r="C686" i="34"/>
  <c r="C687" i="34"/>
  <c r="C688" i="34"/>
  <c r="C689" i="34"/>
  <c r="C690" i="34"/>
  <c r="C696" i="34"/>
  <c r="C697" i="34"/>
  <c r="C698" i="34"/>
  <c r="C699" i="34"/>
  <c r="C700" i="34"/>
  <c r="C701" i="34"/>
  <c r="C571" i="34"/>
  <c r="C572" i="34"/>
  <c r="C573" i="34"/>
  <c r="C574" i="34"/>
  <c r="C591" i="34"/>
  <c r="C592" i="34"/>
  <c r="C593" i="34"/>
  <c r="C594" i="34"/>
  <c r="C595" i="34"/>
  <c r="C596" i="34"/>
  <c r="C597" i="34"/>
  <c r="C608" i="34"/>
  <c r="C609" i="34"/>
  <c r="C610" i="34"/>
  <c r="C611" i="34"/>
  <c r="C612" i="34"/>
  <c r="C613" i="34"/>
  <c r="C715" i="34"/>
  <c r="C716" i="34"/>
  <c r="C717" i="34"/>
  <c r="C718" i="34"/>
  <c r="C766" i="34"/>
  <c r="C767" i="34"/>
  <c r="C768" i="34"/>
  <c r="C546" i="34"/>
  <c r="C547" i="34"/>
  <c r="C548" i="34"/>
  <c r="C552" i="34"/>
  <c r="C553" i="34"/>
  <c r="C554" i="34"/>
  <c r="C555" i="34"/>
  <c r="C556" i="34"/>
  <c r="C557" i="34"/>
  <c r="C558" i="34"/>
  <c r="C559" i="34"/>
  <c r="C560" i="34"/>
  <c r="C561" i="34"/>
  <c r="C562" i="34"/>
  <c r="C563" i="34"/>
  <c r="C564" i="34"/>
  <c r="C565" i="34"/>
  <c r="C566" i="34"/>
  <c r="C567" i="34"/>
  <c r="C568" i="34"/>
  <c r="C569" i="34"/>
  <c r="C570" i="34"/>
  <c r="C575" i="34"/>
  <c r="C576" i="34"/>
  <c r="C577" i="34"/>
  <c r="C584" i="34"/>
  <c r="C585" i="34"/>
  <c r="C586" i="34"/>
  <c r="C587" i="34"/>
  <c r="C614" i="34"/>
  <c r="C615" i="34"/>
  <c r="C616" i="34"/>
  <c r="C632" i="34"/>
  <c r="C633" i="34"/>
  <c r="C634" i="34"/>
  <c r="C646" i="34"/>
  <c r="C647" i="34"/>
  <c r="C648" i="34"/>
  <c r="C703" i="34"/>
  <c r="C704" i="34"/>
  <c r="C705" i="34"/>
  <c r="C706" i="34"/>
  <c r="C719" i="34"/>
  <c r="C720" i="34"/>
  <c r="C721" i="34"/>
  <c r="C722" i="34"/>
  <c r="C723" i="34"/>
  <c r="C724" i="34"/>
  <c r="C725" i="34"/>
  <c r="C726" i="34"/>
  <c r="C727" i="34"/>
  <c r="C728" i="34"/>
  <c r="C729" i="34"/>
  <c r="C730" i="34"/>
  <c r="C731" i="34"/>
  <c r="C732" i="34"/>
  <c r="C733" i="34"/>
  <c r="C734" i="34"/>
  <c r="C735" i="34"/>
  <c r="C736" i="34"/>
  <c r="C784" i="34"/>
  <c r="C785" i="34"/>
  <c r="C805" i="34"/>
  <c r="C982" i="34"/>
  <c r="C983" i="34"/>
  <c r="C977" i="34"/>
  <c r="C978" i="34"/>
  <c r="C984" i="34"/>
  <c r="C985" i="34"/>
  <c r="C856" i="34"/>
  <c r="C857" i="34"/>
  <c r="C925" i="34"/>
  <c r="C926" i="34"/>
  <c r="C815" i="34"/>
  <c r="C816" i="34"/>
  <c r="C773" i="34"/>
  <c r="C774" i="34"/>
  <c r="C775" i="34"/>
  <c r="C776" i="34"/>
  <c r="C777" i="34"/>
  <c r="C778" i="34"/>
  <c r="C779" i="34"/>
  <c r="C780" i="34"/>
  <c r="C781" i="34"/>
  <c r="C789" i="34"/>
  <c r="C790" i="34"/>
  <c r="C791" i="34"/>
  <c r="C792" i="34"/>
  <c r="C793" i="34"/>
  <c r="C794" i="34"/>
  <c r="C795" i="34"/>
  <c r="C796" i="34"/>
  <c r="C797" i="34"/>
  <c r="C798" i="34"/>
  <c r="C799" i="34"/>
  <c r="C858" i="34"/>
  <c r="C859" i="34"/>
  <c r="C860" i="34"/>
  <c r="C861" i="34"/>
  <c r="C862" i="34"/>
  <c r="C863" i="34"/>
  <c r="C864" i="34"/>
  <c r="C865" i="34"/>
  <c r="C866" i="34"/>
  <c r="C867" i="34"/>
  <c r="C868" i="34"/>
  <c r="C869" i="34"/>
  <c r="C870" i="34"/>
  <c r="C871" i="34"/>
  <c r="C872" i="34"/>
  <c r="C873" i="34"/>
  <c r="C874" i="34"/>
  <c r="C875" i="34"/>
  <c r="C876" i="34"/>
  <c r="C877" i="34"/>
  <c r="C878" i="34"/>
  <c r="C879" i="34"/>
  <c r="C880" i="34"/>
  <c r="C851" i="34"/>
  <c r="C852" i="34"/>
  <c r="C853" i="34"/>
  <c r="C854" i="34"/>
  <c r="C855" i="34"/>
  <c r="C927" i="34"/>
  <c r="C928" i="34"/>
  <c r="C929" i="34"/>
  <c r="C887" i="34"/>
  <c r="C888" i="34"/>
  <c r="C889" i="34"/>
  <c r="C890" i="34"/>
  <c r="C891" i="34"/>
  <c r="C892" i="34"/>
  <c r="C893" i="34"/>
  <c r="C894" i="34"/>
  <c r="C895" i="34"/>
  <c r="C896" i="34"/>
  <c r="C897" i="34"/>
  <c r="C898" i="34"/>
  <c r="C899" i="34"/>
  <c r="C900" i="34"/>
  <c r="C901" i="34"/>
  <c r="C902" i="34"/>
  <c r="C903" i="34"/>
  <c r="C904" i="34"/>
  <c r="C905" i="34"/>
  <c r="C906" i="34"/>
  <c r="C907" i="34"/>
  <c r="C908" i="34"/>
  <c r="C986" i="34"/>
  <c r="C987" i="34"/>
  <c r="C988" i="34"/>
  <c r="C989" i="34"/>
  <c r="C990" i="34"/>
  <c r="C991" i="34"/>
  <c r="C992" i="34"/>
  <c r="C993" i="34"/>
  <c r="C994" i="34"/>
  <c r="C995" i="34"/>
  <c r="C996" i="34"/>
  <c r="C997" i="34"/>
  <c r="C998" i="34"/>
  <c r="C999" i="34"/>
  <c r="C1000" i="34"/>
  <c r="C1001" i="34"/>
  <c r="C1002" i="34"/>
  <c r="C1003" i="34"/>
  <c r="C1004" i="34"/>
  <c r="C930" i="34"/>
  <c r="C931" i="34"/>
  <c r="C932" i="34"/>
  <c r="C933" i="34"/>
  <c r="C934" i="34"/>
  <c r="C935" i="34"/>
  <c r="C936" i="34"/>
  <c r="C937" i="34"/>
  <c r="C938" i="34"/>
  <c r="C939" i="34"/>
  <c r="C940" i="34"/>
  <c r="C941" i="34"/>
  <c r="C942" i="34"/>
  <c r="C943" i="34"/>
  <c r="C944" i="34"/>
  <c r="C945" i="34"/>
  <c r="C946" i="34"/>
  <c r="C947" i="34"/>
  <c r="C1032" i="34"/>
  <c r="C1033" i="34"/>
  <c r="C1019" i="34"/>
  <c r="C1020" i="34"/>
  <c r="C1067" i="34"/>
  <c r="C1177" i="34"/>
  <c r="C1178" i="34"/>
  <c r="C1137" i="34"/>
  <c r="C1138" i="34"/>
  <c r="C1034" i="34"/>
  <c r="C1035" i="34"/>
  <c r="C1017" i="34"/>
  <c r="C1018" i="34"/>
  <c r="C1011" i="34"/>
  <c r="C1012" i="34"/>
  <c r="C1119" i="34"/>
  <c r="C1120" i="34"/>
  <c r="C1145" i="34"/>
  <c r="C1146" i="34"/>
  <c r="C1153" i="34"/>
  <c r="C1154" i="34"/>
  <c r="C1157" i="34"/>
  <c r="C1158" i="34"/>
  <c r="C1108" i="34"/>
  <c r="C1109" i="34"/>
  <c r="C1110" i="34"/>
  <c r="C1111" i="34"/>
  <c r="C1112" i="34"/>
  <c r="C1023" i="34"/>
  <c r="C1024" i="34"/>
  <c r="C1025" i="34"/>
  <c r="C1036" i="34"/>
  <c r="C1037" i="34"/>
  <c r="C1038" i="34"/>
  <c r="C1039" i="34"/>
  <c r="C1040" i="34"/>
  <c r="C1041" i="34"/>
  <c r="C1042" i="34"/>
  <c r="C1043" i="34"/>
  <c r="C1097" i="34"/>
  <c r="C1098" i="34"/>
  <c r="C1099" i="34"/>
  <c r="C1100" i="34"/>
  <c r="C1101" i="34"/>
  <c r="C1102" i="34"/>
  <c r="C1121" i="34"/>
  <c r="C1122" i="34"/>
  <c r="C1123" i="34"/>
  <c r="C1132" i="34"/>
  <c r="C1133" i="34"/>
  <c r="C1134" i="34"/>
  <c r="C1164" i="34"/>
  <c r="C1165" i="34"/>
  <c r="C1166" i="34"/>
  <c r="C1068" i="34"/>
  <c r="C1069" i="34"/>
  <c r="C1070" i="34"/>
  <c r="C1071" i="34"/>
  <c r="C1072" i="34"/>
  <c r="C1073" i="34"/>
  <c r="C1074" i="34"/>
  <c r="C1075" i="34"/>
  <c r="C1076" i="34"/>
  <c r="C1077" i="34"/>
  <c r="C1078" i="34"/>
  <c r="C1079" i="34"/>
  <c r="C1080" i="34"/>
  <c r="C1081" i="34"/>
  <c r="C1082" i="34"/>
  <c r="C1083" i="34"/>
  <c r="C1084" i="34"/>
  <c r="C1085" i="34"/>
  <c r="C1086" i="34"/>
  <c r="C1087" i="34"/>
  <c r="C1088" i="34"/>
  <c r="C1089" i="34"/>
  <c r="C1090" i="34"/>
  <c r="C1091" i="34"/>
  <c r="C1092" i="34"/>
  <c r="C1093" i="34"/>
  <c r="C1113" i="34"/>
  <c r="C1114" i="34"/>
  <c r="C1115" i="34"/>
  <c r="C1116" i="34"/>
  <c r="C1117" i="34"/>
  <c r="C1118" i="34"/>
  <c r="C1026" i="34"/>
  <c r="C1027" i="34"/>
  <c r="C1212" i="34"/>
  <c r="C1213" i="34"/>
  <c r="C1432" i="34"/>
  <c r="C1433" i="34"/>
  <c r="C1240" i="34"/>
  <c r="C1241" i="34"/>
  <c r="C1204" i="34"/>
  <c r="C1205" i="34"/>
  <c r="C1235" i="34"/>
  <c r="C1236" i="34"/>
  <c r="C1246" i="34"/>
  <c r="C1247" i="34"/>
  <c r="C1248" i="34"/>
  <c r="C1249" i="34"/>
  <c r="C1250" i="34"/>
  <c r="C1251" i="34"/>
  <c r="C1256" i="34"/>
  <c r="C1257" i="34"/>
  <c r="C1258" i="34"/>
  <c r="C1259" i="34"/>
  <c r="C1260" i="34"/>
  <c r="C1261" i="34"/>
  <c r="C1262" i="34"/>
  <c r="C1263" i="34"/>
  <c r="C1264" i="34"/>
  <c r="C1265" i="34"/>
  <c r="C1266" i="34"/>
  <c r="C1267" i="34"/>
  <c r="C1268" i="34"/>
  <c r="C1269" i="34"/>
  <c r="C1270" i="34"/>
  <c r="C1271" i="34"/>
  <c r="C1272" i="34"/>
  <c r="C1273" i="34"/>
  <c r="C1274" i="34"/>
  <c r="C1275" i="34"/>
  <c r="C1276" i="34"/>
  <c r="C1277" i="34"/>
  <c r="C1278" i="34"/>
  <c r="C1279" i="34"/>
  <c r="C1280" i="34"/>
  <c r="C1281" i="34"/>
  <c r="C1282" i="34"/>
  <c r="C1283" i="34"/>
  <c r="C1284" i="34"/>
  <c r="C1285" i="34"/>
  <c r="C1286" i="34"/>
  <c r="C1287" i="34"/>
  <c r="C1397" i="34"/>
  <c r="C1398" i="34"/>
  <c r="C1399" i="34"/>
  <c r="C1400" i="34"/>
  <c r="C1401" i="34"/>
  <c r="C1225" i="34"/>
  <c r="C1226" i="34"/>
  <c r="C1252" i="34"/>
  <c r="C1253" i="34"/>
  <c r="C1254" i="34"/>
  <c r="C1255" i="34"/>
  <c r="C1403" i="34"/>
  <c r="C1404" i="34"/>
  <c r="C1405" i="34"/>
  <c r="C1406" i="34"/>
  <c r="C1407" i="34"/>
  <c r="C1214" i="34"/>
  <c r="C1215" i="34"/>
  <c r="C1216" i="34"/>
  <c r="C1217" i="34"/>
  <c r="C1218" i="34"/>
  <c r="C1219" i="34"/>
  <c r="C1220" i="34"/>
  <c r="C1221" i="34"/>
  <c r="C1222" i="34"/>
  <c r="C1223" i="34"/>
  <c r="C1224" i="34"/>
  <c r="C1237" i="34"/>
  <c r="C1238" i="34"/>
  <c r="C1288" i="34"/>
  <c r="C1309" i="34"/>
  <c r="C1310" i="34"/>
  <c r="C1311" i="34"/>
  <c r="C1312" i="34"/>
  <c r="C1313" i="34"/>
  <c r="C1314" i="34"/>
  <c r="C1315" i="34"/>
  <c r="C1316" i="34"/>
  <c r="C1321" i="34"/>
  <c r="C1322" i="34"/>
  <c r="C1323" i="34"/>
  <c r="C1324" i="34"/>
  <c r="C1411" i="34"/>
  <c r="C1412" i="34"/>
  <c r="C1413" i="34"/>
  <c r="C1414" i="34"/>
  <c r="C1415" i="34"/>
  <c r="C1434" i="34"/>
  <c r="C1435" i="34"/>
  <c r="C1436" i="34"/>
  <c r="C1437" i="34"/>
  <c r="C1438" i="34"/>
  <c r="C1439" i="34"/>
  <c r="C31" i="34"/>
  <c r="C32" i="34"/>
  <c r="C34" i="34"/>
  <c r="C35" i="34"/>
  <c r="C36" i="34"/>
  <c r="C37" i="34"/>
  <c r="C38" i="34"/>
  <c r="C39" i="34"/>
  <c r="C40" i="34"/>
  <c r="C50" i="34"/>
  <c r="C51" i="34"/>
  <c r="C56" i="34"/>
  <c r="C57" i="34"/>
  <c r="C58" i="34"/>
  <c r="C66" i="34"/>
  <c r="C67" i="34"/>
  <c r="C68" i="34"/>
  <c r="C70" i="34"/>
  <c r="C71" i="34"/>
  <c r="C75" i="34"/>
  <c r="C76" i="34"/>
  <c r="C77" i="34"/>
  <c r="C78" i="34"/>
  <c r="C87" i="34"/>
  <c r="C88" i="34"/>
  <c r="C91" i="34"/>
  <c r="C92" i="34"/>
  <c r="C93" i="34"/>
  <c r="C94" i="34"/>
  <c r="C98" i="34"/>
  <c r="C99" i="34"/>
  <c r="C120" i="34"/>
  <c r="C121" i="34"/>
  <c r="C139" i="34"/>
  <c r="C140" i="34"/>
  <c r="C144" i="34"/>
  <c r="C145" i="34"/>
  <c r="C149" i="34"/>
  <c r="C150" i="34"/>
  <c r="C162" i="34"/>
  <c r="C163" i="34"/>
  <c r="C168" i="34"/>
  <c r="C169" i="34"/>
  <c r="C172" i="34"/>
  <c r="C173" i="34"/>
  <c r="C174" i="34"/>
  <c r="C175" i="34"/>
  <c r="C176" i="34"/>
  <c r="C177" i="34"/>
  <c r="C178" i="34"/>
  <c r="C179" i="34"/>
  <c r="C180" i="34"/>
  <c r="C181" i="34"/>
  <c r="C183" i="34"/>
  <c r="C184" i="34"/>
  <c r="C185" i="34"/>
  <c r="C191" i="34"/>
  <c r="C192" i="34"/>
  <c r="C193" i="34"/>
  <c r="C202" i="34"/>
  <c r="C203" i="34"/>
  <c r="C216" i="34"/>
  <c r="C217" i="34"/>
  <c r="C218" i="34"/>
  <c r="C219" i="34"/>
  <c r="C220" i="34"/>
  <c r="C221" i="34"/>
  <c r="C227" i="34"/>
  <c r="C228" i="34"/>
  <c r="C244" i="34"/>
  <c r="C245" i="34"/>
  <c r="C273" i="34"/>
  <c r="C274" i="34"/>
  <c r="C292" i="34"/>
  <c r="C293" i="34"/>
  <c r="C310" i="34"/>
  <c r="C311" i="34"/>
  <c r="C312" i="34"/>
  <c r="C313" i="34"/>
  <c r="C314" i="34"/>
  <c r="C340" i="34"/>
  <c r="C341" i="34"/>
  <c r="C342" i="34"/>
  <c r="C343" i="34"/>
  <c r="C344" i="34"/>
  <c r="C345" i="34"/>
  <c r="C380" i="34"/>
  <c r="C381" i="34"/>
  <c r="C383" i="34"/>
  <c r="C384" i="34"/>
  <c r="C385" i="34"/>
  <c r="C386" i="34"/>
  <c r="C387" i="34"/>
  <c r="C388" i="34"/>
  <c r="C389" i="34"/>
  <c r="C390" i="34"/>
  <c r="C391" i="34"/>
  <c r="C392" i="34"/>
  <c r="C393" i="34"/>
  <c r="C394" i="34"/>
  <c r="C395" i="34"/>
  <c r="C396" i="34"/>
  <c r="C397" i="34"/>
  <c r="C398" i="34"/>
  <c r="C399" i="34"/>
  <c r="C400" i="34"/>
  <c r="C401" i="34"/>
  <c r="C402" i="34"/>
  <c r="C403" i="34"/>
  <c r="C404" i="34"/>
  <c r="C405" i="34"/>
  <c r="C406" i="34"/>
  <c r="C407" i="34"/>
  <c r="C409" i="34"/>
  <c r="C410" i="34"/>
  <c r="C431" i="34"/>
  <c r="C432" i="34"/>
  <c r="C437" i="34"/>
  <c r="C438" i="34"/>
  <c r="C464" i="34"/>
  <c r="C465" i="34"/>
  <c r="C486" i="34"/>
  <c r="C487" i="34"/>
  <c r="C490" i="34"/>
  <c r="C491" i="34"/>
  <c r="C495" i="34"/>
  <c r="C496" i="34"/>
  <c r="C501" i="34"/>
  <c r="C503" i="34"/>
  <c r="C507" i="34"/>
  <c r="C508" i="34"/>
  <c r="C510" i="34"/>
  <c r="C511" i="34"/>
  <c r="C515" i="34"/>
  <c r="C516" i="34"/>
  <c r="C519" i="34"/>
  <c r="C520" i="34"/>
  <c r="C521" i="34"/>
  <c r="C522" i="34"/>
  <c r="C523" i="34"/>
  <c r="C524" i="34"/>
  <c r="C529" i="34"/>
  <c r="C530" i="34"/>
  <c r="C531" i="34"/>
  <c r="C532" i="34"/>
  <c r="C549" i="34"/>
  <c r="C550" i="34"/>
  <c r="C578" i="34"/>
  <c r="C579" i="34"/>
  <c r="C581" i="34"/>
  <c r="C582" i="34"/>
  <c r="C583" i="34"/>
  <c r="C588" i="34"/>
  <c r="C589" i="34"/>
  <c r="C598" i="34"/>
  <c r="C599" i="34"/>
  <c r="C600" i="34"/>
  <c r="C601" i="34"/>
  <c r="C602" i="34"/>
  <c r="C603" i="34"/>
  <c r="C604" i="34"/>
  <c r="C605" i="34"/>
  <c r="C606" i="34"/>
  <c r="C617" i="34"/>
  <c r="C618" i="34"/>
  <c r="C619" i="34"/>
  <c r="C620" i="34"/>
  <c r="C621" i="34"/>
  <c r="C622" i="34"/>
  <c r="C623" i="34"/>
  <c r="C624" i="34"/>
  <c r="C625" i="34"/>
  <c r="C626" i="34"/>
  <c r="C627" i="34"/>
  <c r="C628" i="34"/>
  <c r="C629" i="34"/>
  <c r="C630" i="34"/>
  <c r="C635" i="34"/>
  <c r="C636" i="34"/>
  <c r="C638" i="34"/>
  <c r="C639" i="34"/>
  <c r="C640" i="34"/>
  <c r="C642" i="34"/>
  <c r="C643" i="34"/>
  <c r="C649" i="34"/>
  <c r="C650" i="34"/>
  <c r="C651" i="34"/>
  <c r="C653" i="34"/>
  <c r="C654" i="34"/>
  <c r="C692" i="34"/>
  <c r="C693" i="34"/>
  <c r="C707" i="34"/>
  <c r="C708" i="34"/>
  <c r="C709" i="34"/>
  <c r="C737" i="34"/>
  <c r="C738" i="34"/>
  <c r="C739" i="34"/>
  <c r="C741" i="34"/>
  <c r="C742" i="34"/>
  <c r="C743" i="34"/>
  <c r="C745" i="34"/>
  <c r="C746" i="34"/>
  <c r="C748" i="34"/>
  <c r="C749" i="34"/>
  <c r="C754" i="34"/>
  <c r="C755" i="34"/>
  <c r="C55" i="34" l="1"/>
  <c r="B55" i="34" s="1"/>
  <c r="C49" i="34"/>
  <c r="B49" i="34" s="1"/>
  <c r="C30" i="34"/>
  <c r="B30" i="34" s="1"/>
  <c r="C449" i="34"/>
  <c r="C450" i="34"/>
  <c r="C451" i="34"/>
  <c r="C446" i="34"/>
  <c r="C447" i="34"/>
  <c r="C444" i="34"/>
  <c r="C445" i="34"/>
  <c r="C426" i="34"/>
  <c r="C427" i="34"/>
  <c r="C417" i="34"/>
  <c r="C418" i="34"/>
  <c r="C414" i="34"/>
  <c r="C415" i="34"/>
  <c r="C539" i="34"/>
  <c r="C540" i="34"/>
  <c r="C475" i="34"/>
  <c r="C476" i="34"/>
  <c r="C477" i="34"/>
  <c r="C478" i="34"/>
  <c r="C479" i="34"/>
  <c r="C480" i="34"/>
  <c r="C481" i="34"/>
  <c r="C482" i="34"/>
  <c r="C483" i="34"/>
  <c r="C484" i="34"/>
  <c r="C485" i="34"/>
  <c r="C541" i="34"/>
  <c r="C542" i="34"/>
  <c r="C467" i="34"/>
  <c r="C468" i="34"/>
  <c r="C505" i="34"/>
  <c r="C506" i="34"/>
  <c r="C470" i="34"/>
  <c r="C471" i="34"/>
  <c r="C764" i="34"/>
  <c r="C765" i="34"/>
  <c r="C658" i="34"/>
  <c r="C659" i="34"/>
  <c r="A30" i="34" l="1"/>
  <c r="U30" i="34"/>
  <c r="Z30" i="34"/>
  <c r="W30" i="34"/>
  <c r="A49" i="34"/>
  <c r="Z49" i="34"/>
  <c r="W49" i="34"/>
  <c r="U49" i="34"/>
  <c r="A55" i="34"/>
  <c r="Z55" i="34"/>
  <c r="W55" i="34"/>
  <c r="U55" i="34"/>
  <c r="C90" i="34"/>
  <c r="C83" i="34"/>
  <c r="C84" i="34"/>
  <c r="C85" i="34"/>
  <c r="C86" i="34"/>
  <c r="C23" i="34"/>
  <c r="C24" i="34"/>
  <c r="C25" i="34"/>
  <c r="C26" i="34"/>
  <c r="C27" i="34"/>
  <c r="C28" i="34"/>
  <c r="C29" i="34"/>
  <c r="C43" i="34"/>
  <c r="C44" i="34"/>
  <c r="C45" i="34"/>
  <c r="C46" i="34"/>
  <c r="C47" i="34"/>
  <c r="C48" i="34"/>
  <c r="C53" i="34"/>
  <c r="C54" i="34"/>
  <c r="C61" i="34"/>
  <c r="C62" i="34"/>
  <c r="C63" i="34"/>
  <c r="C64" i="34"/>
  <c r="C65" i="34"/>
  <c r="C127" i="34"/>
  <c r="C128" i="34"/>
  <c r="C134" i="34"/>
  <c r="C135" i="34"/>
  <c r="C158" i="34"/>
  <c r="C159" i="34"/>
  <c r="C105" i="34"/>
  <c r="C106" i="34"/>
  <c r="C107" i="34"/>
  <c r="C108" i="34"/>
  <c r="C109" i="34"/>
  <c r="C110" i="34"/>
  <c r="C111" i="34"/>
  <c r="C112" i="34"/>
  <c r="C113" i="34"/>
  <c r="C114" i="34"/>
  <c r="C115" i="34"/>
  <c r="C116" i="34"/>
  <c r="C117" i="34"/>
  <c r="C118" i="34"/>
  <c r="C119" i="34"/>
  <c r="C136" i="34"/>
  <c r="C137" i="34"/>
  <c r="C138" i="34"/>
  <c r="C141" i="34"/>
  <c r="C142" i="34"/>
  <c r="C143" i="34"/>
  <c r="C129" i="34"/>
  <c r="C130" i="34"/>
  <c r="C131" i="34"/>
  <c r="C132" i="34"/>
  <c r="C133" i="34"/>
  <c r="C200" i="34"/>
  <c r="C201" i="34"/>
  <c r="C189" i="34"/>
  <c r="C190" i="34"/>
  <c r="C207" i="34"/>
  <c r="C208" i="34"/>
  <c r="C209" i="34"/>
  <c r="C210" i="34"/>
  <c r="C211" i="34"/>
  <c r="C240" i="34"/>
  <c r="C241" i="34"/>
  <c r="C262" i="34"/>
  <c r="C263" i="34"/>
  <c r="C264" i="34"/>
  <c r="C225" i="34"/>
  <c r="C226" i="34"/>
  <c r="C229" i="34"/>
  <c r="C230" i="34"/>
  <c r="C231" i="34"/>
  <c r="C232" i="34"/>
  <c r="C233" i="34"/>
  <c r="C234" i="34"/>
  <c r="C265" i="34"/>
  <c r="C266" i="34"/>
  <c r="C248" i="34"/>
  <c r="C249" i="34"/>
  <c r="C250" i="34"/>
  <c r="C251" i="34"/>
  <c r="C252" i="34"/>
  <c r="C253" i="34"/>
  <c r="C254" i="34"/>
  <c r="C255" i="34"/>
  <c r="C256" i="34"/>
  <c r="C257" i="34"/>
  <c r="C258" i="34"/>
  <c r="C268" i="34"/>
  <c r="C269" i="34"/>
  <c r="C286" i="34"/>
  <c r="C287" i="34"/>
  <c r="C338" i="34"/>
  <c r="C339" i="34"/>
  <c r="C271" i="34"/>
  <c r="C272" i="34"/>
  <c r="C288" i="34"/>
  <c r="C289" i="34"/>
  <c r="C316" i="34"/>
  <c r="C317" i="34"/>
  <c r="C347" i="34"/>
  <c r="C348" i="34"/>
  <c r="C349" i="34"/>
  <c r="C350" i="34"/>
  <c r="C351" i="34"/>
  <c r="C318" i="34"/>
  <c r="C319" i="34"/>
  <c r="C320" i="34"/>
  <c r="C321" i="34"/>
  <c r="C322" i="34"/>
  <c r="C323" i="34"/>
  <c r="C324" i="34"/>
  <c r="C325" i="34"/>
  <c r="C326" i="34"/>
  <c r="C327" i="34"/>
  <c r="C328" i="34"/>
  <c r="C329" i="34"/>
  <c r="C331" i="34"/>
  <c r="C332" i="34"/>
  <c r="C333" i="34"/>
  <c r="C300" i="34"/>
  <c r="C301" i="34"/>
  <c r="C302" i="34"/>
  <c r="C303" i="34"/>
  <c r="C304" i="34"/>
  <c r="C305" i="34"/>
  <c r="C307" i="34"/>
  <c r="C308" i="34"/>
  <c r="C352" i="34"/>
  <c r="C353" i="34"/>
  <c r="C354" i="34"/>
  <c r="C355" i="34"/>
  <c r="C356" i="34"/>
  <c r="C357" i="34"/>
  <c r="C358" i="34"/>
  <c r="C359" i="34"/>
  <c r="C360" i="34"/>
  <c r="C361" i="34"/>
  <c r="C362" i="34"/>
  <c r="C363" i="34"/>
  <c r="C364" i="34"/>
  <c r="C365" i="34"/>
  <c r="C366" i="34"/>
  <c r="C367" i="34"/>
  <c r="C368" i="34"/>
  <c r="C374" i="34"/>
  <c r="C375" i="34"/>
  <c r="C457" i="34"/>
  <c r="C458" i="34"/>
  <c r="C459" i="34"/>
  <c r="C460" i="34"/>
  <c r="C461" i="34"/>
  <c r="C448" i="34"/>
  <c r="C1170" i="34" l="1"/>
  <c r="C1176" i="34"/>
  <c r="C1194" i="34"/>
  <c r="C1169" i="34"/>
  <c r="C1168" i="34"/>
  <c r="C1192" i="34"/>
  <c r="C1167" i="34"/>
  <c r="C1330" i="34" l="1"/>
  <c r="C1333" i="34"/>
  <c r="C1334" i="34"/>
  <c r="C1335" i="34"/>
  <c r="C1336" i="34"/>
  <c r="C1409" i="34"/>
  <c r="C1410" i="34"/>
  <c r="C1425" i="34"/>
  <c r="C1426" i="34"/>
  <c r="C1245" i="34"/>
  <c r="C1292" i="34"/>
  <c r="C1299" i="34"/>
  <c r="C1328" i="34"/>
  <c r="C1332" i="34"/>
  <c r="C1402" i="34"/>
  <c r="C1408" i="34"/>
  <c r="C1422" i="34"/>
  <c r="C1423" i="34"/>
  <c r="C1329" i="34"/>
  <c r="C1228" i="34"/>
  <c r="C1239" i="34"/>
  <c r="C1242" i="34"/>
  <c r="C1243" i="34"/>
  <c r="C1298" i="34"/>
  <c r="C1320" i="34"/>
  <c r="C1200" i="34"/>
  <c r="C1201" i="34"/>
  <c r="C1202" i="34"/>
  <c r="C1203" i="34"/>
  <c r="C1229" i="34"/>
  <c r="C1230" i="34"/>
  <c r="C1231" i="34"/>
  <c r="C1244" i="34"/>
  <c r="C695" i="34"/>
  <c r="C712" i="34"/>
  <c r="C713" i="34"/>
  <c r="C714" i="34"/>
  <c r="C752" i="34"/>
  <c r="C753" i="34"/>
  <c r="C760" i="34"/>
  <c r="C782" i="34"/>
  <c r="C881" i="34"/>
  <c r="C886" i="34"/>
  <c r="C919" i="34"/>
  <c r="C924" i="34"/>
  <c r="C949" i="34"/>
  <c r="C973" i="34"/>
  <c r="C974" i="34"/>
  <c r="C772" i="34"/>
  <c r="C783" i="34"/>
  <c r="C845" i="34"/>
  <c r="C882" i="34"/>
  <c r="C920" i="34"/>
  <c r="C921" i="34"/>
  <c r="C972" i="34"/>
  <c r="C975" i="34"/>
  <c r="C976" i="34"/>
  <c r="C1013" i="34"/>
  <c r="C1015" i="34"/>
  <c r="C1021" i="34"/>
  <c r="C1065" i="34"/>
  <c r="C1094" i="34"/>
  <c r="C1095" i="34"/>
  <c r="C1129" i="34"/>
  <c r="C1159" i="34"/>
  <c r="C1160" i="34"/>
  <c r="C1016" i="34"/>
  <c r="C1022" i="34"/>
  <c r="C1066" i="34"/>
  <c r="C1096" i="34"/>
  <c r="C1130" i="34"/>
  <c r="C1131" i="34"/>
  <c r="C1161" i="34"/>
  <c r="C1162" i="34"/>
  <c r="C1163" i="34"/>
  <c r="C1199" i="34"/>
  <c r="C1208" i="34"/>
  <c r="C198" i="34"/>
  <c r="B198" i="34" s="1"/>
  <c r="A198" i="34" l="1"/>
  <c r="U198" i="34"/>
  <c r="R198" i="34"/>
  <c r="Z198" i="34"/>
  <c r="S198" i="34"/>
  <c r="W198" i="34"/>
  <c r="T198" i="34"/>
  <c r="C534" i="34"/>
  <c r="C535" i="34"/>
  <c r="C544" i="34"/>
  <c r="C645" i="34"/>
  <c r="C655" i="34"/>
  <c r="C710" i="34"/>
  <c r="C711" i="34"/>
  <c r="C747" i="34"/>
  <c r="C751" i="34"/>
  <c r="C545" i="34"/>
  <c r="C656" i="34"/>
  <c r="C657" i="34"/>
  <c r="C694" i="34"/>
  <c r="C42" i="34" l="1"/>
  <c r="C60" i="34"/>
  <c r="C74" i="34"/>
  <c r="C95" i="34"/>
  <c r="C96" i="34"/>
  <c r="C97" i="34"/>
  <c r="C100" i="34"/>
  <c r="C124" i="34"/>
  <c r="C125" i="34"/>
  <c r="C147" i="34"/>
  <c r="C152" i="34"/>
  <c r="C154" i="34"/>
  <c r="C156" i="34"/>
  <c r="C123" i="34"/>
  <c r="C126" i="34"/>
  <c r="C148" i="34"/>
  <c r="C153" i="34"/>
  <c r="C155" i="34"/>
  <c r="C157" i="34"/>
  <c r="C187" i="34"/>
  <c r="C195" i="34"/>
  <c r="C204" i="34"/>
  <c r="C182" i="34"/>
  <c r="C188" i="34"/>
  <c r="C196" i="34"/>
  <c r="C205" i="34"/>
  <c r="C206" i="34"/>
  <c r="C222" i="34"/>
  <c r="C235" i="34"/>
  <c r="C238" i="34"/>
  <c r="C242" i="34"/>
  <c r="C246" i="34"/>
  <c r="C223" i="34"/>
  <c r="C224" i="34"/>
  <c r="C236" i="34"/>
  <c r="C239" i="34"/>
  <c r="C243" i="34"/>
  <c r="C247" i="34"/>
  <c r="C270" i="34"/>
  <c r="C334" i="34"/>
  <c r="C335" i="34"/>
  <c r="C276" i="34"/>
  <c r="C277" i="34"/>
  <c r="C278" i="34"/>
  <c r="C279" i="34"/>
  <c r="C280" i="34"/>
  <c r="C281" i="34"/>
  <c r="C282" i="34"/>
  <c r="C283" i="34"/>
  <c r="C284" i="34"/>
  <c r="C290" i="34"/>
  <c r="C291" i="34"/>
  <c r="C294" i="34"/>
  <c r="C295" i="34"/>
  <c r="C296" i="34"/>
  <c r="C298" i="34"/>
  <c r="C299" i="34"/>
  <c r="C330" i="34"/>
  <c r="C336" i="34"/>
  <c r="C337" i="34"/>
  <c r="C370" i="34"/>
  <c r="C412" i="34"/>
  <c r="C420" i="34"/>
  <c r="C434" i="34"/>
  <c r="C439" i="34"/>
  <c r="C442" i="34"/>
  <c r="C413" i="34"/>
  <c r="C416" i="34"/>
  <c r="C419" i="34"/>
  <c r="C421" i="34"/>
  <c r="C422" i="34"/>
  <c r="C423" i="34"/>
  <c r="C424" i="34"/>
  <c r="C425" i="34"/>
  <c r="C428" i="34"/>
  <c r="C429" i="34"/>
  <c r="C430" i="34"/>
  <c r="C435" i="34"/>
  <c r="C436" i="34"/>
  <c r="C440" i="34"/>
  <c r="C441" i="34"/>
  <c r="C443" i="34"/>
  <c r="C452" i="34"/>
  <c r="C453" i="34"/>
  <c r="C469" i="34"/>
  <c r="C473" i="34"/>
  <c r="C513" i="34"/>
  <c r="C526" i="34"/>
  <c r="C527" i="34"/>
  <c r="C463" i="34"/>
  <c r="C466" i="34"/>
  <c r="C472" i="34"/>
  <c r="C474" i="34"/>
  <c r="C489" i="34"/>
  <c r="C493" i="34"/>
  <c r="C498" i="34"/>
  <c r="C499" i="34"/>
  <c r="C500" i="34"/>
  <c r="C504" i="34"/>
  <c r="C512" i="34"/>
  <c r="C514" i="34"/>
  <c r="C528" i="34"/>
  <c r="C533" i="34"/>
  <c r="C73" i="34"/>
  <c r="B200" i="34" l="1"/>
  <c r="B201" i="34"/>
  <c r="B189" i="34"/>
  <c r="B190" i="34"/>
  <c r="B207" i="34"/>
  <c r="B208" i="34"/>
  <c r="B209" i="34"/>
  <c r="B210" i="34"/>
  <c r="B211" i="34"/>
  <c r="B240" i="34"/>
  <c r="B241" i="34"/>
  <c r="B262" i="34"/>
  <c r="B263" i="34"/>
  <c r="B264" i="34"/>
  <c r="B225" i="34"/>
  <c r="B226" i="34"/>
  <c r="B229" i="34"/>
  <c r="B230" i="34"/>
  <c r="B231" i="34"/>
  <c r="B232" i="34"/>
  <c r="B233" i="34"/>
  <c r="B234" i="34"/>
  <c r="B265" i="34"/>
  <c r="B266" i="34"/>
  <c r="B248" i="34"/>
  <c r="B249" i="34"/>
  <c r="B250" i="34"/>
  <c r="B251" i="34"/>
  <c r="B252" i="34"/>
  <c r="B253" i="34"/>
  <c r="B254" i="34"/>
  <c r="B255" i="34"/>
  <c r="B256" i="34"/>
  <c r="B257" i="34"/>
  <c r="B258" i="34"/>
  <c r="B268" i="34"/>
  <c r="B269" i="34"/>
  <c r="B286" i="34"/>
  <c r="B287" i="34"/>
  <c r="B338" i="34"/>
  <c r="B339" i="34"/>
  <c r="B271" i="34"/>
  <c r="B272" i="34"/>
  <c r="B288" i="34"/>
  <c r="B289" i="34"/>
  <c r="B316" i="34"/>
  <c r="B317" i="34"/>
  <c r="B347" i="34"/>
  <c r="B348" i="34"/>
  <c r="B349" i="34"/>
  <c r="B350" i="34"/>
  <c r="B351" i="34"/>
  <c r="B318" i="34"/>
  <c r="B319" i="34"/>
  <c r="B320" i="34"/>
  <c r="B321" i="34"/>
  <c r="B322" i="34"/>
  <c r="B323" i="34"/>
  <c r="B324" i="34"/>
  <c r="B325" i="34"/>
  <c r="B326" i="34"/>
  <c r="B327" i="34"/>
  <c r="B328" i="34"/>
  <c r="B329" i="34"/>
  <c r="B331" i="34"/>
  <c r="B332" i="34"/>
  <c r="B333" i="34"/>
  <c r="B300" i="34"/>
  <c r="B301" i="34"/>
  <c r="B302" i="34"/>
  <c r="B303" i="34"/>
  <c r="B304" i="34"/>
  <c r="B305" i="34"/>
  <c r="B307" i="34"/>
  <c r="B308" i="34"/>
  <c r="B352" i="34"/>
  <c r="B353" i="34"/>
  <c r="B354" i="34"/>
  <c r="B355" i="34"/>
  <c r="B356" i="34"/>
  <c r="B357" i="34"/>
  <c r="B358" i="34"/>
  <c r="B359" i="34"/>
  <c r="B360" i="34"/>
  <c r="B361" i="34"/>
  <c r="B362" i="34"/>
  <c r="B363" i="34"/>
  <c r="B364" i="34"/>
  <c r="B365" i="34"/>
  <c r="B366" i="34"/>
  <c r="B367" i="34"/>
  <c r="B368" i="34"/>
  <c r="B374" i="34"/>
  <c r="B375" i="34"/>
  <c r="B457" i="34"/>
  <c r="B458" i="34"/>
  <c r="B459" i="34"/>
  <c r="B460" i="34"/>
  <c r="B461" i="34"/>
  <c r="B448" i="34"/>
  <c r="B449" i="34"/>
  <c r="B450" i="34"/>
  <c r="B451" i="34"/>
  <c r="B446" i="34"/>
  <c r="B447" i="34"/>
  <c r="B444" i="34"/>
  <c r="B445" i="34"/>
  <c r="B426" i="34"/>
  <c r="B427" i="34"/>
  <c r="B417" i="34"/>
  <c r="B418" i="34"/>
  <c r="A426" i="34" l="1"/>
  <c r="U426" i="34"/>
  <c r="Z426" i="34"/>
  <c r="W426" i="34"/>
  <c r="A446" i="34"/>
  <c r="Z446" i="34"/>
  <c r="W446" i="34"/>
  <c r="U446" i="34"/>
  <c r="A448" i="34"/>
  <c r="Z448" i="34"/>
  <c r="W448" i="34"/>
  <c r="U448" i="34"/>
  <c r="A458" i="34"/>
  <c r="Z458" i="34"/>
  <c r="W458" i="34"/>
  <c r="U458" i="34"/>
  <c r="A368" i="34"/>
  <c r="W368" i="34"/>
  <c r="U368" i="34"/>
  <c r="Z368" i="34"/>
  <c r="A364" i="34"/>
  <c r="W364" i="34"/>
  <c r="U364" i="34"/>
  <c r="Z364" i="34"/>
  <c r="A360" i="34"/>
  <c r="W360" i="34"/>
  <c r="U360" i="34"/>
  <c r="Z360" i="34"/>
  <c r="A356" i="34"/>
  <c r="W356" i="34"/>
  <c r="U356" i="34"/>
  <c r="Z356" i="34"/>
  <c r="A352" i="34"/>
  <c r="W352" i="34"/>
  <c r="U352" i="34"/>
  <c r="Z352" i="34"/>
  <c r="A304" i="34"/>
  <c r="W304" i="34"/>
  <c r="U304" i="34"/>
  <c r="Z304" i="34"/>
  <c r="A300" i="34"/>
  <c r="W300" i="34"/>
  <c r="U300" i="34"/>
  <c r="Z300" i="34"/>
  <c r="A329" i="34"/>
  <c r="U329" i="34"/>
  <c r="Z329" i="34"/>
  <c r="W329" i="34"/>
  <c r="A325" i="34"/>
  <c r="U325" i="34"/>
  <c r="Z325" i="34"/>
  <c r="W325" i="34"/>
  <c r="A321" i="34"/>
  <c r="U321" i="34"/>
  <c r="Z321" i="34"/>
  <c r="W321" i="34"/>
  <c r="A351" i="34"/>
  <c r="U351" i="34"/>
  <c r="Z351" i="34"/>
  <c r="W351" i="34"/>
  <c r="A347" i="34"/>
  <c r="U347" i="34"/>
  <c r="Z347" i="34"/>
  <c r="W347" i="34"/>
  <c r="A288" i="34"/>
  <c r="W288" i="34"/>
  <c r="U288" i="34"/>
  <c r="Z288" i="34"/>
  <c r="A338" i="34"/>
  <c r="W338" i="34"/>
  <c r="U338" i="34"/>
  <c r="Z338" i="34"/>
  <c r="A268" i="34"/>
  <c r="U268" i="34"/>
  <c r="Z268" i="34"/>
  <c r="W268" i="34"/>
  <c r="A255" i="34"/>
  <c r="W255" i="34"/>
  <c r="U255" i="34"/>
  <c r="Z255" i="34"/>
  <c r="A251" i="34"/>
  <c r="W251" i="34"/>
  <c r="U251" i="34"/>
  <c r="Z251" i="34"/>
  <c r="A266" i="34"/>
  <c r="U266" i="34"/>
  <c r="Z266" i="34"/>
  <c r="W266" i="34"/>
  <c r="A232" i="34"/>
  <c r="U232" i="34"/>
  <c r="Z232" i="34"/>
  <c r="W232" i="34"/>
  <c r="A226" i="34"/>
  <c r="U226" i="34"/>
  <c r="Z226" i="34"/>
  <c r="W226" i="34"/>
  <c r="A262" i="34"/>
  <c r="U262" i="34"/>
  <c r="Z262" i="34"/>
  <c r="W262" i="34"/>
  <c r="A210" i="34"/>
  <c r="U210" i="34"/>
  <c r="Z210" i="34"/>
  <c r="W210" i="34"/>
  <c r="A190" i="34"/>
  <c r="U190" i="34"/>
  <c r="Z190" i="34"/>
  <c r="W190" i="34"/>
  <c r="A418" i="34"/>
  <c r="W418" i="34"/>
  <c r="U418" i="34"/>
  <c r="Z418" i="34"/>
  <c r="A445" i="34"/>
  <c r="U445" i="34"/>
  <c r="Z445" i="34"/>
  <c r="W445" i="34"/>
  <c r="A451" i="34"/>
  <c r="U451" i="34"/>
  <c r="Z451" i="34"/>
  <c r="W451" i="34"/>
  <c r="A461" i="34"/>
  <c r="U461" i="34"/>
  <c r="Z461" i="34"/>
  <c r="W461" i="34"/>
  <c r="A457" i="34"/>
  <c r="U457" i="34"/>
  <c r="Z457" i="34"/>
  <c r="W457" i="34"/>
  <c r="A367" i="34"/>
  <c r="U367" i="34"/>
  <c r="Z367" i="34"/>
  <c r="W367" i="34"/>
  <c r="A363" i="34"/>
  <c r="U363" i="34"/>
  <c r="Z363" i="34"/>
  <c r="W363" i="34"/>
  <c r="A359" i="34"/>
  <c r="U359" i="34"/>
  <c r="Z359" i="34"/>
  <c r="W359" i="34"/>
  <c r="A355" i="34"/>
  <c r="U355" i="34"/>
  <c r="Z355" i="34"/>
  <c r="W355" i="34"/>
  <c r="A308" i="34"/>
  <c r="W308" i="34"/>
  <c r="U308" i="34"/>
  <c r="Z308" i="34"/>
  <c r="A303" i="34"/>
  <c r="U303" i="34"/>
  <c r="Z303" i="34"/>
  <c r="W303" i="34"/>
  <c r="A333" i="34"/>
  <c r="U333" i="34"/>
  <c r="Z333" i="34"/>
  <c r="W333" i="34"/>
  <c r="A328" i="34"/>
  <c r="W328" i="34"/>
  <c r="U328" i="34"/>
  <c r="Z328" i="34"/>
  <c r="A324" i="34"/>
  <c r="W324" i="34"/>
  <c r="U324" i="34"/>
  <c r="Z324" i="34"/>
  <c r="A320" i="34"/>
  <c r="W320" i="34"/>
  <c r="U320" i="34"/>
  <c r="Z320" i="34"/>
  <c r="A350" i="34"/>
  <c r="W350" i="34"/>
  <c r="U350" i="34"/>
  <c r="Z350" i="34"/>
  <c r="A317" i="34"/>
  <c r="U317" i="34"/>
  <c r="Z317" i="34"/>
  <c r="W317" i="34"/>
  <c r="A272" i="34"/>
  <c r="U272" i="34"/>
  <c r="Z272" i="34"/>
  <c r="W272" i="34"/>
  <c r="A287" i="34"/>
  <c r="U287" i="34"/>
  <c r="Z287" i="34"/>
  <c r="W287" i="34"/>
  <c r="A258" i="34"/>
  <c r="U258" i="34"/>
  <c r="Z258" i="34"/>
  <c r="W258" i="34"/>
  <c r="A254" i="34"/>
  <c r="U254" i="34"/>
  <c r="Z254" i="34"/>
  <c r="W254" i="34"/>
  <c r="A250" i="34"/>
  <c r="U250" i="34"/>
  <c r="Z250" i="34"/>
  <c r="W250" i="34"/>
  <c r="A265" i="34"/>
  <c r="W265" i="34"/>
  <c r="U265" i="34"/>
  <c r="Z265" i="34"/>
  <c r="A231" i="34"/>
  <c r="W231" i="34"/>
  <c r="U231" i="34"/>
  <c r="Z231" i="34"/>
  <c r="A225" i="34"/>
  <c r="W225" i="34"/>
  <c r="U225" i="34"/>
  <c r="Z225" i="34"/>
  <c r="A241" i="34"/>
  <c r="W241" i="34"/>
  <c r="U241" i="34"/>
  <c r="Z241" i="34"/>
  <c r="A209" i="34"/>
  <c r="W209" i="34"/>
  <c r="U209" i="34"/>
  <c r="Z209" i="34"/>
  <c r="A189" i="34"/>
  <c r="W189" i="34"/>
  <c r="U189" i="34"/>
  <c r="Z189" i="34"/>
  <c r="A417" i="34"/>
  <c r="U417" i="34"/>
  <c r="Z417" i="34"/>
  <c r="W417" i="34"/>
  <c r="A444" i="34"/>
  <c r="Z444" i="34"/>
  <c r="W444" i="34"/>
  <c r="U444" i="34"/>
  <c r="A450" i="34"/>
  <c r="Z450" i="34"/>
  <c r="W450" i="34"/>
  <c r="U450" i="34"/>
  <c r="A460" i="34"/>
  <c r="Z460" i="34"/>
  <c r="W460" i="34"/>
  <c r="U460" i="34"/>
  <c r="A375" i="34"/>
  <c r="U375" i="34"/>
  <c r="Z375" i="34"/>
  <c r="W375" i="34"/>
  <c r="A366" i="34"/>
  <c r="W366" i="34"/>
  <c r="U366" i="34"/>
  <c r="Z366" i="34"/>
  <c r="A362" i="34"/>
  <c r="W362" i="34"/>
  <c r="U362" i="34"/>
  <c r="Z362" i="34"/>
  <c r="A358" i="34"/>
  <c r="W358" i="34"/>
  <c r="U358" i="34"/>
  <c r="Z358" i="34"/>
  <c r="A354" i="34"/>
  <c r="W354" i="34"/>
  <c r="U354" i="34"/>
  <c r="Z354" i="34"/>
  <c r="A307" i="34"/>
  <c r="U307" i="34"/>
  <c r="Z307" i="34"/>
  <c r="W307" i="34"/>
  <c r="A302" i="34"/>
  <c r="W302" i="34"/>
  <c r="U302" i="34"/>
  <c r="Z302" i="34"/>
  <c r="A332" i="34"/>
  <c r="W332" i="34"/>
  <c r="U332" i="34"/>
  <c r="Z332" i="34"/>
  <c r="A327" i="34"/>
  <c r="U327" i="34"/>
  <c r="Z327" i="34"/>
  <c r="W327" i="34"/>
  <c r="A323" i="34"/>
  <c r="U323" i="34"/>
  <c r="Z323" i="34"/>
  <c r="W323" i="34"/>
  <c r="A319" i="34"/>
  <c r="U319" i="34"/>
  <c r="Z319" i="34"/>
  <c r="W319" i="34"/>
  <c r="A349" i="34"/>
  <c r="U349" i="34"/>
  <c r="Z349" i="34"/>
  <c r="W349" i="34"/>
  <c r="A316" i="34"/>
  <c r="W316" i="34"/>
  <c r="U316" i="34"/>
  <c r="Z316" i="34"/>
  <c r="A271" i="34"/>
  <c r="W271" i="34"/>
  <c r="Z271" i="34"/>
  <c r="U271" i="34"/>
  <c r="A286" i="34"/>
  <c r="W286" i="34"/>
  <c r="U286" i="34"/>
  <c r="Z286" i="34"/>
  <c r="A257" i="34"/>
  <c r="W257" i="34"/>
  <c r="U257" i="34"/>
  <c r="Z257" i="34"/>
  <c r="A253" i="34"/>
  <c r="W253" i="34"/>
  <c r="U253" i="34"/>
  <c r="Z253" i="34"/>
  <c r="A249" i="34"/>
  <c r="W249" i="34"/>
  <c r="U249" i="34"/>
  <c r="Z249" i="34"/>
  <c r="A234" i="34"/>
  <c r="U234" i="34"/>
  <c r="Z234" i="34"/>
  <c r="W234" i="34"/>
  <c r="A230" i="34"/>
  <c r="U230" i="34"/>
  <c r="Z230" i="34"/>
  <c r="W230" i="34"/>
  <c r="A264" i="34"/>
  <c r="U264" i="34"/>
  <c r="Z264" i="34"/>
  <c r="W264" i="34"/>
  <c r="A240" i="34"/>
  <c r="U240" i="34"/>
  <c r="Z240" i="34"/>
  <c r="W240" i="34"/>
  <c r="A208" i="34"/>
  <c r="U208" i="34"/>
  <c r="Z208" i="34"/>
  <c r="W208" i="34"/>
  <c r="A201" i="34"/>
  <c r="W201" i="34"/>
  <c r="U201" i="34"/>
  <c r="Z201" i="34"/>
  <c r="A427" i="34"/>
  <c r="Z427" i="34"/>
  <c r="W427" i="34"/>
  <c r="U427" i="34"/>
  <c r="A447" i="34"/>
  <c r="U447" i="34"/>
  <c r="Z447" i="34"/>
  <c r="W447" i="34"/>
  <c r="A449" i="34"/>
  <c r="U449" i="34"/>
  <c r="Z449" i="34"/>
  <c r="W449" i="34"/>
  <c r="A459" i="34"/>
  <c r="U459" i="34"/>
  <c r="Z459" i="34"/>
  <c r="W459" i="34"/>
  <c r="A374" i="34"/>
  <c r="W374" i="34"/>
  <c r="U374" i="34"/>
  <c r="Z374" i="34"/>
  <c r="A365" i="34"/>
  <c r="U365" i="34"/>
  <c r="Z365" i="34"/>
  <c r="W365" i="34"/>
  <c r="A361" i="34"/>
  <c r="U361" i="34"/>
  <c r="Z361" i="34"/>
  <c r="W361" i="34"/>
  <c r="A357" i="34"/>
  <c r="U357" i="34"/>
  <c r="Z357" i="34"/>
  <c r="W357" i="34"/>
  <c r="A353" i="34"/>
  <c r="U353" i="34"/>
  <c r="Z353" i="34"/>
  <c r="W353" i="34"/>
  <c r="A305" i="34"/>
  <c r="U305" i="34"/>
  <c r="Z305" i="34"/>
  <c r="W305" i="34"/>
  <c r="A301" i="34"/>
  <c r="U301" i="34"/>
  <c r="Z301" i="34"/>
  <c r="W301" i="34"/>
  <c r="A331" i="34"/>
  <c r="U331" i="34"/>
  <c r="Z331" i="34"/>
  <c r="W331" i="34"/>
  <c r="A326" i="34"/>
  <c r="W326" i="34"/>
  <c r="U326" i="34"/>
  <c r="Z326" i="34"/>
  <c r="A322" i="34"/>
  <c r="W322" i="34"/>
  <c r="U322" i="34"/>
  <c r="Z322" i="34"/>
  <c r="A318" i="34"/>
  <c r="W318" i="34"/>
  <c r="U318" i="34"/>
  <c r="Z318" i="34"/>
  <c r="A348" i="34"/>
  <c r="W348" i="34"/>
  <c r="U348" i="34"/>
  <c r="Z348" i="34"/>
  <c r="A289" i="34"/>
  <c r="U289" i="34"/>
  <c r="Z289" i="34"/>
  <c r="W289" i="34"/>
  <c r="A339" i="34"/>
  <c r="U339" i="34"/>
  <c r="Z339" i="34"/>
  <c r="W339" i="34"/>
  <c r="A269" i="34"/>
  <c r="W269" i="34"/>
  <c r="Z269" i="34"/>
  <c r="U269" i="34"/>
  <c r="A256" i="34"/>
  <c r="U256" i="34"/>
  <c r="Z256" i="34"/>
  <c r="W256" i="34"/>
  <c r="A252" i="34"/>
  <c r="U252" i="34"/>
  <c r="Z252" i="34"/>
  <c r="W252" i="34"/>
  <c r="A248" i="34"/>
  <c r="U248" i="34"/>
  <c r="Z248" i="34"/>
  <c r="W248" i="34"/>
  <c r="A233" i="34"/>
  <c r="W233" i="34"/>
  <c r="U233" i="34"/>
  <c r="Z233" i="34"/>
  <c r="A229" i="34"/>
  <c r="W229" i="34"/>
  <c r="U229" i="34"/>
  <c r="Z229" i="34"/>
  <c r="A263" i="34"/>
  <c r="W263" i="34"/>
  <c r="U263" i="34"/>
  <c r="Z263" i="34"/>
  <c r="A211" i="34"/>
  <c r="W211" i="34"/>
  <c r="U211" i="34"/>
  <c r="Z211" i="34"/>
  <c r="A207" i="34"/>
  <c r="W207" i="34"/>
  <c r="U207" i="34"/>
  <c r="Z207" i="34"/>
  <c r="A200" i="34"/>
  <c r="U200" i="34"/>
  <c r="Z200" i="34"/>
  <c r="W200" i="34"/>
  <c r="B471" i="34"/>
  <c r="B764" i="34"/>
  <c r="B765" i="34"/>
  <c r="B658" i="34"/>
  <c r="B659" i="34"/>
  <c r="B660" i="34"/>
  <c r="B661" i="34"/>
  <c r="B662" i="34"/>
  <c r="B663" i="34"/>
  <c r="B664" i="34"/>
  <c r="B665" i="34"/>
  <c r="B666" i="34"/>
  <c r="B667" i="34"/>
  <c r="B668" i="34"/>
  <c r="B669" i="34"/>
  <c r="B670" i="34"/>
  <c r="B671" i="34"/>
  <c r="B672" i="34"/>
  <c r="B673" i="34"/>
  <c r="B674" i="34"/>
  <c r="B675" i="34"/>
  <c r="B676" i="34"/>
  <c r="B677" i="34"/>
  <c r="B678" i="34"/>
  <c r="B679" i="34"/>
  <c r="B680" i="34"/>
  <c r="B681" i="34"/>
  <c r="B682" i="34"/>
  <c r="B683" i="34"/>
  <c r="B684" i="34"/>
  <c r="B685" i="34"/>
  <c r="B686" i="34"/>
  <c r="B687" i="34"/>
  <c r="B688" i="34"/>
  <c r="B689" i="34"/>
  <c r="B690" i="34"/>
  <c r="B696" i="34"/>
  <c r="B697" i="34"/>
  <c r="B698" i="34"/>
  <c r="B699" i="34"/>
  <c r="B700" i="34"/>
  <c r="B701" i="34"/>
  <c r="B571" i="34"/>
  <c r="B572" i="34"/>
  <c r="B573" i="34"/>
  <c r="B574" i="34"/>
  <c r="B591" i="34"/>
  <c r="B592" i="34"/>
  <c r="B593" i="34"/>
  <c r="B594" i="34"/>
  <c r="B595" i="34"/>
  <c r="B596" i="34"/>
  <c r="B597" i="34"/>
  <c r="B608" i="34"/>
  <c r="B609" i="34"/>
  <c r="B610" i="34"/>
  <c r="B611" i="34"/>
  <c r="B612" i="34"/>
  <c r="B613" i="34"/>
  <c r="B715" i="34"/>
  <c r="B716" i="34"/>
  <c r="B717" i="34"/>
  <c r="B718" i="34"/>
  <c r="B766" i="34"/>
  <c r="B767" i="34"/>
  <c r="B768" i="34"/>
  <c r="B546" i="34"/>
  <c r="B547" i="34"/>
  <c r="B548" i="34"/>
  <c r="B552" i="34"/>
  <c r="B553" i="34"/>
  <c r="B554" i="34"/>
  <c r="B555" i="34"/>
  <c r="B556" i="34"/>
  <c r="B557" i="34"/>
  <c r="B558" i="34"/>
  <c r="B559" i="34"/>
  <c r="B560" i="34"/>
  <c r="B561" i="34"/>
  <c r="B562" i="34"/>
  <c r="B563" i="34"/>
  <c r="B564" i="34"/>
  <c r="B565" i="34"/>
  <c r="B566" i="34"/>
  <c r="B567" i="34"/>
  <c r="B568" i="34"/>
  <c r="B569" i="34"/>
  <c r="B570" i="34"/>
  <c r="B575" i="34"/>
  <c r="B576" i="34"/>
  <c r="B577" i="34"/>
  <c r="B584" i="34"/>
  <c r="B585" i="34"/>
  <c r="B586" i="34"/>
  <c r="B587" i="34"/>
  <c r="B614" i="34"/>
  <c r="B615" i="34"/>
  <c r="B616" i="34"/>
  <c r="B632" i="34"/>
  <c r="B633" i="34"/>
  <c r="B634" i="34"/>
  <c r="B646" i="34"/>
  <c r="B647" i="34"/>
  <c r="B648" i="34"/>
  <c r="B703" i="34"/>
  <c r="B704" i="34"/>
  <c r="B705" i="34"/>
  <c r="B706" i="34"/>
  <c r="B719" i="34"/>
  <c r="B720" i="34"/>
  <c r="B721" i="34"/>
  <c r="B722" i="34"/>
  <c r="B723" i="34"/>
  <c r="B724" i="34"/>
  <c r="B725" i="34"/>
  <c r="B726" i="34"/>
  <c r="B727" i="34"/>
  <c r="B728" i="34"/>
  <c r="B729" i="34"/>
  <c r="B730" i="34"/>
  <c r="B731" i="34"/>
  <c r="B732" i="34"/>
  <c r="B733" i="34"/>
  <c r="B734" i="34"/>
  <c r="B735" i="34"/>
  <c r="B736" i="34"/>
  <c r="B784" i="34"/>
  <c r="B478" i="34"/>
  <c r="B479" i="34"/>
  <c r="B480" i="34"/>
  <c r="B481" i="34"/>
  <c r="B482" i="34"/>
  <c r="B483" i="34"/>
  <c r="B484" i="34"/>
  <c r="B485" i="34"/>
  <c r="B541" i="34"/>
  <c r="B542" i="34"/>
  <c r="B467" i="34"/>
  <c r="B468" i="34"/>
  <c r="B505" i="34"/>
  <c r="B506" i="34"/>
  <c r="B477" i="34"/>
  <c r="B414" i="34"/>
  <c r="B415" i="34"/>
  <c r="B539" i="34"/>
  <c r="B540" i="34"/>
  <c r="B475" i="34"/>
  <c r="B476" i="34"/>
  <c r="B470" i="34"/>
  <c r="A480" i="34" l="1"/>
  <c r="Z480" i="34"/>
  <c r="W480" i="34"/>
  <c r="U480" i="34"/>
  <c r="A724" i="34"/>
  <c r="W724" i="34"/>
  <c r="U724" i="34"/>
  <c r="Z724" i="34"/>
  <c r="A616" i="34"/>
  <c r="W616" i="34"/>
  <c r="U616" i="34"/>
  <c r="Z616" i="34"/>
  <c r="A568" i="34"/>
  <c r="Z568" i="34"/>
  <c r="W568" i="34"/>
  <c r="U568" i="34"/>
  <c r="A552" i="34"/>
  <c r="Z552" i="34"/>
  <c r="W552" i="34"/>
  <c r="U552" i="34"/>
  <c r="A608" i="34"/>
  <c r="W608" i="34"/>
  <c r="U608" i="34"/>
  <c r="Z608" i="34"/>
  <c r="A697" i="34"/>
  <c r="U697" i="34"/>
  <c r="Z697" i="34"/>
  <c r="W697" i="34"/>
  <c r="A680" i="34"/>
  <c r="W680" i="34"/>
  <c r="U680" i="34"/>
  <c r="Z680" i="34"/>
  <c r="A664" i="34"/>
  <c r="W664" i="34"/>
  <c r="U664" i="34"/>
  <c r="Z664" i="34"/>
  <c r="A470" i="34"/>
  <c r="Z470" i="34"/>
  <c r="W470" i="34"/>
  <c r="U470" i="34"/>
  <c r="A542" i="34"/>
  <c r="Z542" i="34"/>
  <c r="W542" i="34"/>
  <c r="U542" i="34"/>
  <c r="A735" i="34"/>
  <c r="U735" i="34"/>
  <c r="Z735" i="34"/>
  <c r="W735" i="34"/>
  <c r="A723" i="34"/>
  <c r="U723" i="34"/>
  <c r="Z723" i="34"/>
  <c r="W723" i="34"/>
  <c r="A703" i="34"/>
  <c r="U703" i="34"/>
  <c r="Z703" i="34"/>
  <c r="W703" i="34"/>
  <c r="A585" i="34"/>
  <c r="Z585" i="34"/>
  <c r="U585" i="34"/>
  <c r="W585" i="34"/>
  <c r="A563" i="34"/>
  <c r="U563" i="34"/>
  <c r="Z563" i="34"/>
  <c r="W563" i="34"/>
  <c r="A555" i="34"/>
  <c r="U555" i="34"/>
  <c r="Z555" i="34"/>
  <c r="W555" i="34"/>
  <c r="A716" i="34"/>
  <c r="W716" i="34"/>
  <c r="U716" i="34"/>
  <c r="Z716" i="34"/>
  <c r="A593" i="34"/>
  <c r="U593" i="34"/>
  <c r="Z593" i="34"/>
  <c r="W593" i="34"/>
  <c r="A700" i="34"/>
  <c r="W700" i="34"/>
  <c r="U700" i="34"/>
  <c r="Z700" i="34"/>
  <c r="A683" i="34"/>
  <c r="U683" i="34"/>
  <c r="Z683" i="34"/>
  <c r="W683" i="34"/>
  <c r="A671" i="34"/>
  <c r="U671" i="34"/>
  <c r="Z671" i="34"/>
  <c r="W671" i="34"/>
  <c r="A476" i="34"/>
  <c r="Z476" i="34"/>
  <c r="W476" i="34"/>
  <c r="U476" i="34"/>
  <c r="A415" i="34"/>
  <c r="U415" i="34"/>
  <c r="Z415" i="34"/>
  <c r="W415" i="34"/>
  <c r="A505" i="34"/>
  <c r="U505" i="34"/>
  <c r="Z505" i="34"/>
  <c r="W505" i="34"/>
  <c r="A541" i="34"/>
  <c r="U541" i="34"/>
  <c r="Z541" i="34"/>
  <c r="W541" i="34"/>
  <c r="A482" i="34"/>
  <c r="Z482" i="34"/>
  <c r="W482" i="34"/>
  <c r="U482" i="34"/>
  <c r="A478" i="34"/>
  <c r="Z478" i="34"/>
  <c r="W478" i="34"/>
  <c r="U478" i="34"/>
  <c r="A734" i="34"/>
  <c r="W734" i="34"/>
  <c r="U734" i="34"/>
  <c r="Z734" i="34"/>
  <c r="A730" i="34"/>
  <c r="W730" i="34"/>
  <c r="U730" i="34"/>
  <c r="Z730" i="34"/>
  <c r="A726" i="34"/>
  <c r="W726" i="34"/>
  <c r="U726" i="34"/>
  <c r="Z726" i="34"/>
  <c r="A722" i="34"/>
  <c r="W722" i="34"/>
  <c r="U722" i="34"/>
  <c r="Z722" i="34"/>
  <c r="A706" i="34"/>
  <c r="W706" i="34"/>
  <c r="U706" i="34"/>
  <c r="Z706" i="34"/>
  <c r="A648" i="34"/>
  <c r="W648" i="34"/>
  <c r="U648" i="34"/>
  <c r="Z648" i="34"/>
  <c r="A633" i="34"/>
  <c r="U633" i="34"/>
  <c r="Z633" i="34"/>
  <c r="W633" i="34"/>
  <c r="A614" i="34"/>
  <c r="W614" i="34"/>
  <c r="U614" i="34"/>
  <c r="Z614" i="34"/>
  <c r="A584" i="34"/>
  <c r="Z584" i="34"/>
  <c r="U584" i="34"/>
  <c r="W584" i="34"/>
  <c r="A570" i="34"/>
  <c r="Z570" i="34"/>
  <c r="W570" i="34"/>
  <c r="U570" i="34"/>
  <c r="A566" i="34"/>
  <c r="Z566" i="34"/>
  <c r="W566" i="34"/>
  <c r="U566" i="34"/>
  <c r="A562" i="34"/>
  <c r="Z562" i="34"/>
  <c r="W562" i="34"/>
  <c r="U562" i="34"/>
  <c r="A558" i="34"/>
  <c r="Z558" i="34"/>
  <c r="W558" i="34"/>
  <c r="U558" i="34"/>
  <c r="A554" i="34"/>
  <c r="Z554" i="34"/>
  <c r="W554" i="34"/>
  <c r="U554" i="34"/>
  <c r="A547" i="34"/>
  <c r="U547" i="34"/>
  <c r="Z547" i="34"/>
  <c r="W547" i="34"/>
  <c r="A766" i="34"/>
  <c r="W766" i="34"/>
  <c r="U766" i="34"/>
  <c r="Z766" i="34"/>
  <c r="A715" i="34"/>
  <c r="U715" i="34"/>
  <c r="Z715" i="34"/>
  <c r="W715" i="34"/>
  <c r="A610" i="34"/>
  <c r="W610" i="34"/>
  <c r="U610" i="34"/>
  <c r="Z610" i="34"/>
  <c r="A596" i="34"/>
  <c r="W596" i="34"/>
  <c r="U596" i="34"/>
  <c r="Z596" i="34"/>
  <c r="A592" i="34"/>
  <c r="W592" i="34"/>
  <c r="U592" i="34"/>
  <c r="Z592" i="34"/>
  <c r="A572" i="34"/>
  <c r="Z572" i="34"/>
  <c r="W572" i="34"/>
  <c r="U572" i="34"/>
  <c r="A699" i="34"/>
  <c r="U699" i="34"/>
  <c r="Z699" i="34"/>
  <c r="W699" i="34"/>
  <c r="A690" i="34"/>
  <c r="W690" i="34"/>
  <c r="U690" i="34"/>
  <c r="Z690" i="34"/>
  <c r="A686" i="34"/>
  <c r="W686" i="34"/>
  <c r="U686" i="34"/>
  <c r="Z686" i="34"/>
  <c r="A682" i="34"/>
  <c r="W682" i="34"/>
  <c r="U682" i="34"/>
  <c r="Z682" i="34"/>
  <c r="A678" i="34"/>
  <c r="W678" i="34"/>
  <c r="U678" i="34"/>
  <c r="Z678" i="34"/>
  <c r="A674" i="34"/>
  <c r="W674" i="34"/>
  <c r="U674" i="34"/>
  <c r="Z674" i="34"/>
  <c r="A670" i="34"/>
  <c r="W670" i="34"/>
  <c r="U670" i="34"/>
  <c r="Z670" i="34"/>
  <c r="A666" i="34"/>
  <c r="W666" i="34"/>
  <c r="U666" i="34"/>
  <c r="Z666" i="34"/>
  <c r="A662" i="34"/>
  <c r="W662" i="34"/>
  <c r="U662" i="34"/>
  <c r="Z662" i="34"/>
  <c r="A658" i="34"/>
  <c r="W658" i="34"/>
  <c r="U658" i="34"/>
  <c r="Z658" i="34"/>
  <c r="A540" i="34"/>
  <c r="Z540" i="34"/>
  <c r="W540" i="34"/>
  <c r="U540" i="34"/>
  <c r="A484" i="34"/>
  <c r="Z484" i="34"/>
  <c r="W484" i="34"/>
  <c r="U484" i="34"/>
  <c r="A732" i="34"/>
  <c r="W732" i="34"/>
  <c r="U732" i="34"/>
  <c r="Z732" i="34"/>
  <c r="A704" i="34"/>
  <c r="W704" i="34"/>
  <c r="U704" i="34"/>
  <c r="Z704" i="34"/>
  <c r="A586" i="34"/>
  <c r="W586" i="34"/>
  <c r="U586" i="34"/>
  <c r="Z586" i="34"/>
  <c r="A560" i="34"/>
  <c r="Z560" i="34"/>
  <c r="W560" i="34"/>
  <c r="U560" i="34"/>
  <c r="A717" i="34"/>
  <c r="U717" i="34"/>
  <c r="Z717" i="34"/>
  <c r="W717" i="34"/>
  <c r="A574" i="34"/>
  <c r="Z574" i="34"/>
  <c r="W574" i="34"/>
  <c r="U574" i="34"/>
  <c r="A688" i="34"/>
  <c r="W688" i="34"/>
  <c r="U688" i="34"/>
  <c r="Z688" i="34"/>
  <c r="A668" i="34"/>
  <c r="W668" i="34"/>
  <c r="U668" i="34"/>
  <c r="Z668" i="34"/>
  <c r="A506" i="34"/>
  <c r="Z506" i="34"/>
  <c r="W506" i="34"/>
  <c r="U506" i="34"/>
  <c r="A483" i="34"/>
  <c r="U483" i="34"/>
  <c r="Z483" i="34"/>
  <c r="W483" i="34"/>
  <c r="A731" i="34"/>
  <c r="U731" i="34"/>
  <c r="Z731" i="34"/>
  <c r="W731" i="34"/>
  <c r="A719" i="34"/>
  <c r="U719" i="34"/>
  <c r="Z719" i="34"/>
  <c r="W719" i="34"/>
  <c r="A615" i="34"/>
  <c r="U615" i="34"/>
  <c r="Z615" i="34"/>
  <c r="W615" i="34"/>
  <c r="A567" i="34"/>
  <c r="U567" i="34"/>
  <c r="Z567" i="34"/>
  <c r="W567" i="34"/>
  <c r="A559" i="34"/>
  <c r="U559" i="34"/>
  <c r="Z559" i="34"/>
  <c r="W559" i="34"/>
  <c r="A767" i="34"/>
  <c r="U767" i="34"/>
  <c r="Z767" i="34"/>
  <c r="W767" i="34"/>
  <c r="A611" i="34"/>
  <c r="U611" i="34"/>
  <c r="Z611" i="34"/>
  <c r="W611" i="34"/>
  <c r="A573" i="34"/>
  <c r="U573" i="34"/>
  <c r="Z573" i="34"/>
  <c r="W573" i="34"/>
  <c r="A687" i="34"/>
  <c r="U687" i="34"/>
  <c r="Z687" i="34"/>
  <c r="W687" i="34"/>
  <c r="A675" i="34"/>
  <c r="U675" i="34"/>
  <c r="Z675" i="34"/>
  <c r="W675" i="34"/>
  <c r="A667" i="34"/>
  <c r="U667" i="34"/>
  <c r="Z667" i="34"/>
  <c r="W667" i="34"/>
  <c r="A659" i="34"/>
  <c r="U659" i="34"/>
  <c r="Z659" i="34"/>
  <c r="W659" i="34"/>
  <c r="A471" i="34"/>
  <c r="U471" i="34"/>
  <c r="Z471" i="34"/>
  <c r="W471" i="34"/>
  <c r="A475" i="34"/>
  <c r="U475" i="34"/>
  <c r="Z475" i="34"/>
  <c r="W475" i="34"/>
  <c r="A414" i="34"/>
  <c r="W414" i="34"/>
  <c r="U414" i="34"/>
  <c r="Z414" i="34"/>
  <c r="A468" i="34"/>
  <c r="Z468" i="34"/>
  <c r="W468" i="34"/>
  <c r="U468" i="34"/>
  <c r="A485" i="34"/>
  <c r="U485" i="34"/>
  <c r="Z485" i="34"/>
  <c r="W485" i="34"/>
  <c r="A481" i="34"/>
  <c r="U481" i="34"/>
  <c r="Z481" i="34"/>
  <c r="W481" i="34"/>
  <c r="A784" i="34"/>
  <c r="W784" i="34"/>
  <c r="U784" i="34"/>
  <c r="Z784" i="34"/>
  <c r="A733" i="34"/>
  <c r="U733" i="34"/>
  <c r="Z733" i="34"/>
  <c r="W733" i="34"/>
  <c r="A729" i="34"/>
  <c r="U729" i="34"/>
  <c r="Z729" i="34"/>
  <c r="W729" i="34"/>
  <c r="A725" i="34"/>
  <c r="U725" i="34"/>
  <c r="Z725" i="34"/>
  <c r="W725" i="34"/>
  <c r="A721" i="34"/>
  <c r="U721" i="34"/>
  <c r="Z721" i="34"/>
  <c r="W721" i="34"/>
  <c r="A705" i="34"/>
  <c r="U705" i="34"/>
  <c r="Z705" i="34"/>
  <c r="W705" i="34"/>
  <c r="A647" i="34"/>
  <c r="U647" i="34"/>
  <c r="Z647" i="34"/>
  <c r="W647" i="34"/>
  <c r="A632" i="34"/>
  <c r="W632" i="34"/>
  <c r="U632" i="34"/>
  <c r="Z632" i="34"/>
  <c r="A587" i="34"/>
  <c r="U587" i="34"/>
  <c r="Z587" i="34"/>
  <c r="W587" i="34"/>
  <c r="A577" i="34"/>
  <c r="U577" i="34"/>
  <c r="Z577" i="34"/>
  <c r="W577" i="34"/>
  <c r="A569" i="34"/>
  <c r="U569" i="34"/>
  <c r="Z569" i="34"/>
  <c r="W569" i="34"/>
  <c r="A565" i="34"/>
  <c r="U565" i="34"/>
  <c r="Z565" i="34"/>
  <c r="W565" i="34"/>
  <c r="A561" i="34"/>
  <c r="U561" i="34"/>
  <c r="Z561" i="34"/>
  <c r="W561" i="34"/>
  <c r="A557" i="34"/>
  <c r="U557" i="34"/>
  <c r="Z557" i="34"/>
  <c r="W557" i="34"/>
  <c r="A553" i="34"/>
  <c r="U553" i="34"/>
  <c r="Z553" i="34"/>
  <c r="W553" i="34"/>
  <c r="A546" i="34"/>
  <c r="Z546" i="34"/>
  <c r="W546" i="34"/>
  <c r="U546" i="34"/>
  <c r="A718" i="34"/>
  <c r="W718" i="34"/>
  <c r="U718" i="34"/>
  <c r="Z718" i="34"/>
  <c r="A613" i="34"/>
  <c r="U613" i="34"/>
  <c r="Z613" i="34"/>
  <c r="W613" i="34"/>
  <c r="A609" i="34"/>
  <c r="U609" i="34"/>
  <c r="Z609" i="34"/>
  <c r="W609" i="34"/>
  <c r="A595" i="34"/>
  <c r="U595" i="34"/>
  <c r="Z595" i="34"/>
  <c r="W595" i="34"/>
  <c r="A591" i="34"/>
  <c r="U591" i="34"/>
  <c r="Z591" i="34"/>
  <c r="W591" i="34"/>
  <c r="A571" i="34"/>
  <c r="U571" i="34"/>
  <c r="Z571" i="34"/>
  <c r="W571" i="34"/>
  <c r="A698" i="34"/>
  <c r="W698" i="34"/>
  <c r="U698" i="34"/>
  <c r="Z698" i="34"/>
  <c r="A689" i="34"/>
  <c r="U689" i="34"/>
  <c r="Z689" i="34"/>
  <c r="W689" i="34"/>
  <c r="A685" i="34"/>
  <c r="U685" i="34"/>
  <c r="Z685" i="34"/>
  <c r="W685" i="34"/>
  <c r="A681" i="34"/>
  <c r="U681" i="34"/>
  <c r="Z681" i="34"/>
  <c r="W681" i="34"/>
  <c r="A677" i="34"/>
  <c r="U677" i="34"/>
  <c r="Z677" i="34"/>
  <c r="W677" i="34"/>
  <c r="A673" i="34"/>
  <c r="U673" i="34"/>
  <c r="Z673" i="34"/>
  <c r="W673" i="34"/>
  <c r="A669" i="34"/>
  <c r="U669" i="34"/>
  <c r="Z669" i="34"/>
  <c r="W669" i="34"/>
  <c r="A665" i="34"/>
  <c r="U665" i="34"/>
  <c r="Z665" i="34"/>
  <c r="W665" i="34"/>
  <c r="A661" i="34"/>
  <c r="U661" i="34"/>
  <c r="Z661" i="34"/>
  <c r="W661" i="34"/>
  <c r="A765" i="34"/>
  <c r="U765" i="34"/>
  <c r="Z765" i="34"/>
  <c r="W765" i="34"/>
  <c r="A477" i="34"/>
  <c r="U477" i="34"/>
  <c r="Z477" i="34"/>
  <c r="W477" i="34"/>
  <c r="A736" i="34"/>
  <c r="W736" i="34"/>
  <c r="U736" i="34"/>
  <c r="Z736" i="34"/>
  <c r="A720" i="34"/>
  <c r="W720" i="34"/>
  <c r="U720" i="34"/>
  <c r="Z720" i="34"/>
  <c r="A564" i="34"/>
  <c r="Z564" i="34"/>
  <c r="W564" i="34"/>
  <c r="U564" i="34"/>
  <c r="A768" i="34"/>
  <c r="W768" i="34"/>
  <c r="U768" i="34"/>
  <c r="Z768" i="34"/>
  <c r="A594" i="34"/>
  <c r="W594" i="34"/>
  <c r="U594" i="34"/>
  <c r="Z594" i="34"/>
  <c r="A684" i="34"/>
  <c r="W684" i="34"/>
  <c r="U684" i="34"/>
  <c r="Z684" i="34"/>
  <c r="A672" i="34"/>
  <c r="W672" i="34"/>
  <c r="U672" i="34"/>
  <c r="Z672" i="34"/>
  <c r="A660" i="34"/>
  <c r="W660" i="34"/>
  <c r="U660" i="34"/>
  <c r="Z660" i="34"/>
  <c r="A764" i="34"/>
  <c r="W764" i="34"/>
  <c r="U764" i="34"/>
  <c r="Z764" i="34"/>
  <c r="A467" i="34"/>
  <c r="U467" i="34"/>
  <c r="Z467" i="34"/>
  <c r="W467" i="34"/>
  <c r="A728" i="34"/>
  <c r="W728" i="34"/>
  <c r="U728" i="34"/>
  <c r="Z728" i="34"/>
  <c r="A646" i="34"/>
  <c r="W646" i="34"/>
  <c r="U646" i="34"/>
  <c r="Z646" i="34"/>
  <c r="A576" i="34"/>
  <c r="Z576" i="34"/>
  <c r="W576" i="34"/>
  <c r="U576" i="34"/>
  <c r="A556" i="34"/>
  <c r="Z556" i="34"/>
  <c r="W556" i="34"/>
  <c r="U556" i="34"/>
  <c r="A612" i="34"/>
  <c r="W612" i="34"/>
  <c r="U612" i="34"/>
  <c r="Z612" i="34"/>
  <c r="A701" i="34"/>
  <c r="U701" i="34"/>
  <c r="Z701" i="34"/>
  <c r="W701" i="34"/>
  <c r="A676" i="34"/>
  <c r="W676" i="34"/>
  <c r="U676" i="34"/>
  <c r="Z676" i="34"/>
  <c r="A539" i="34"/>
  <c r="U539" i="34"/>
  <c r="Z539" i="34"/>
  <c r="W539" i="34"/>
  <c r="A479" i="34"/>
  <c r="U479" i="34"/>
  <c r="Z479" i="34"/>
  <c r="W479" i="34"/>
  <c r="A727" i="34"/>
  <c r="U727" i="34"/>
  <c r="Z727" i="34"/>
  <c r="W727" i="34"/>
  <c r="A634" i="34"/>
  <c r="W634" i="34"/>
  <c r="U634" i="34"/>
  <c r="Z634" i="34"/>
  <c r="A575" i="34"/>
  <c r="U575" i="34"/>
  <c r="Z575" i="34"/>
  <c r="W575" i="34"/>
  <c r="A548" i="34"/>
  <c r="Z548" i="34"/>
  <c r="W548" i="34"/>
  <c r="U548" i="34"/>
  <c r="A597" i="34"/>
  <c r="U597" i="34"/>
  <c r="Z597" i="34"/>
  <c r="W597" i="34"/>
  <c r="A696" i="34"/>
  <c r="W696" i="34"/>
  <c r="U696" i="34"/>
  <c r="Z696" i="34"/>
  <c r="A679" i="34"/>
  <c r="U679" i="34"/>
  <c r="Z679" i="34"/>
  <c r="W679" i="34"/>
  <c r="A663" i="34"/>
  <c r="U663" i="34"/>
  <c r="Z663" i="34"/>
  <c r="W663" i="34"/>
  <c r="B201" i="55"/>
  <c r="A201" i="55" s="1"/>
  <c r="G201" i="55" a="1"/>
  <c r="G201" i="55" s="1"/>
  <c r="I201" i="55" a="1"/>
  <c r="I201" i="55" s="1"/>
  <c r="B396" i="55"/>
  <c r="A396" i="55" s="1"/>
  <c r="G396" i="55" a="1"/>
  <c r="G396" i="55" s="1"/>
  <c r="I396" i="55" a="1"/>
  <c r="I396" i="55" s="1"/>
  <c r="B270" i="55"/>
  <c r="A270" i="55" s="1"/>
  <c r="G270" i="55" a="1"/>
  <c r="G270" i="55" s="1"/>
  <c r="I270" i="55" a="1"/>
  <c r="I270" i="55" s="1"/>
  <c r="B242" i="55"/>
  <c r="A242" i="55" s="1"/>
  <c r="G242" i="55" a="1"/>
  <c r="G242" i="55" s="1"/>
  <c r="I242" i="55" a="1"/>
  <c r="I242" i="55" s="1"/>
  <c r="B253" i="55"/>
  <c r="A253" i="55" s="1"/>
  <c r="G253" i="55" a="1"/>
  <c r="G253" i="55" s="1"/>
  <c r="I253" i="55" a="1"/>
  <c r="I253" i="55" s="1"/>
  <c r="B239" i="55"/>
  <c r="A239" i="55" s="1"/>
  <c r="G239" i="55" a="1"/>
  <c r="G239" i="55" s="1"/>
  <c r="I239" i="55" a="1"/>
  <c r="I239" i="55" s="1"/>
  <c r="B52" i="55"/>
  <c r="A52" i="55" s="1"/>
  <c r="G52" i="55" a="1"/>
  <c r="G52" i="55" s="1"/>
  <c r="I52" i="55" a="1"/>
  <c r="I52" i="55" s="1"/>
  <c r="B342" i="55"/>
  <c r="A342" i="55" s="1"/>
  <c r="G342" i="55" a="1"/>
  <c r="G342" i="55" s="1"/>
  <c r="I342" i="55" a="1"/>
  <c r="I342" i="55" s="1"/>
  <c r="B392" i="55"/>
  <c r="A392" i="55" s="1"/>
  <c r="G392" i="55" a="1"/>
  <c r="G392" i="55" s="1"/>
  <c r="I392" i="55" a="1"/>
  <c r="I392" i="55" s="1"/>
  <c r="B214" i="55"/>
  <c r="A214" i="55" s="1"/>
  <c r="G214" i="55" a="1"/>
  <c r="G214" i="55" s="1"/>
  <c r="I214" i="55" a="1"/>
  <c r="I214" i="55" s="1"/>
  <c r="B207" i="55"/>
  <c r="A207" i="55" s="1"/>
  <c r="G207" i="55" a="1"/>
  <c r="G207" i="55" s="1"/>
  <c r="I207" i="55" a="1"/>
  <c r="I207" i="55" s="1"/>
  <c r="B57" i="55"/>
  <c r="A57" i="55" s="1"/>
  <c r="G57" i="55" a="1"/>
  <c r="G57" i="55" s="1"/>
  <c r="I57" i="55" a="1"/>
  <c r="I57" i="55" s="1"/>
  <c r="B215" i="55"/>
  <c r="A215" i="55" s="1"/>
  <c r="G215" i="55" a="1"/>
  <c r="G215" i="55" s="1"/>
  <c r="I215" i="55" a="1"/>
  <c r="I215" i="55" s="1"/>
  <c r="B175" i="55"/>
  <c r="A175" i="55" s="1"/>
  <c r="G175" i="55" a="1"/>
  <c r="G175" i="55" s="1"/>
  <c r="I175" i="55" a="1"/>
  <c r="I175" i="55" s="1"/>
  <c r="B219" i="55"/>
  <c r="A219" i="55" s="1"/>
  <c r="G219" i="55" a="1"/>
  <c r="G219" i="55" s="1"/>
  <c r="I219" i="55" a="1"/>
  <c r="I219" i="55" s="1"/>
  <c r="B250" i="55"/>
  <c r="A250" i="55" s="1"/>
  <c r="G250" i="55" a="1"/>
  <c r="G250" i="55" s="1"/>
  <c r="I250" i="55" a="1"/>
  <c r="I250" i="55" s="1"/>
  <c r="B230" i="55"/>
  <c r="A230" i="55" s="1"/>
  <c r="G230" i="55" a="1"/>
  <c r="G230" i="55" s="1"/>
  <c r="I230" i="55" a="1"/>
  <c r="I230" i="55" s="1"/>
  <c r="B245" i="55"/>
  <c r="A245" i="55" s="1"/>
  <c r="G245" i="55" a="1"/>
  <c r="G245" i="55" s="1"/>
  <c r="I245" i="55" a="1"/>
  <c r="I245" i="55" s="1"/>
  <c r="B61" i="55"/>
  <c r="A61" i="55" s="1"/>
  <c r="G61" i="55" a="1"/>
  <c r="G61" i="55" s="1"/>
  <c r="I61" i="55" a="1"/>
  <c r="I61" i="55" s="1"/>
  <c r="B50" i="55"/>
  <c r="A50" i="55" s="1"/>
  <c r="G50" i="55" a="1"/>
  <c r="G50" i="55" s="1"/>
  <c r="I50" i="55" a="1"/>
  <c r="I50" i="55" s="1"/>
  <c r="B179" i="55"/>
  <c r="A179" i="55" s="1"/>
  <c r="G179" i="55" a="1"/>
  <c r="G179" i="55" s="1"/>
  <c r="I179" i="55" a="1"/>
  <c r="I179" i="55" s="1"/>
  <c r="B29" i="55"/>
  <c r="A29" i="55" s="1"/>
  <c r="G29" i="55" a="1"/>
  <c r="G29" i="55" s="1"/>
  <c r="I29" i="55" a="1"/>
  <c r="I29" i="55" s="1"/>
  <c r="B295" i="55"/>
  <c r="A295" i="55" s="1"/>
  <c r="G295" i="55" a="1"/>
  <c r="G295" i="55" s="1"/>
  <c r="I295" i="55" a="1"/>
  <c r="I295" i="55" s="1"/>
  <c r="B159" i="55"/>
  <c r="A159" i="55" s="1"/>
  <c r="G159" i="55" a="1"/>
  <c r="G159" i="55" s="1"/>
  <c r="I159" i="55" a="1"/>
  <c r="I159" i="55" s="1"/>
  <c r="B12" i="55"/>
  <c r="A12" i="55" s="1"/>
  <c r="G12" i="55" a="1"/>
  <c r="G12" i="55" s="1"/>
  <c r="I12" i="55" a="1"/>
  <c r="I12" i="55" s="1"/>
  <c r="B169" i="55"/>
  <c r="A169" i="55" s="1"/>
  <c r="G169" i="55" a="1"/>
  <c r="G169" i="55" s="1"/>
  <c r="I169" i="55" a="1"/>
  <c r="I169" i="55" s="1"/>
  <c r="B294" i="55"/>
  <c r="A294" i="55" s="1"/>
  <c r="G294" i="55" a="1"/>
  <c r="G294" i="55" s="1"/>
  <c r="I294" i="55" a="1"/>
  <c r="I294" i="55" s="1"/>
  <c r="B243" i="55"/>
  <c r="A243" i="55" s="1"/>
  <c r="G243" i="55" a="1"/>
  <c r="G243" i="55" s="1"/>
  <c r="I243" i="55" a="1"/>
  <c r="I243" i="55" s="1"/>
  <c r="B51" i="55"/>
  <c r="A51" i="55" s="1"/>
  <c r="G51" i="55" a="1"/>
  <c r="G51" i="55" s="1"/>
  <c r="I51" i="55" a="1"/>
  <c r="I51" i="55" s="1"/>
  <c r="B226" i="55"/>
  <c r="A226" i="55" s="1"/>
  <c r="G226" i="55" a="1"/>
  <c r="G226" i="55" s="1"/>
  <c r="I226" i="55" a="1"/>
  <c r="I226" i="55" s="1"/>
  <c r="B268" i="55"/>
  <c r="A268" i="55" s="1"/>
  <c r="G268" i="55" a="1"/>
  <c r="G268" i="55" s="1"/>
  <c r="I268" i="55" a="1"/>
  <c r="I268" i="55" s="1"/>
  <c r="B211" i="55"/>
  <c r="A211" i="55" s="1"/>
  <c r="G211" i="55" a="1"/>
  <c r="G211" i="55" s="1"/>
  <c r="I211" i="55" a="1"/>
  <c r="I211" i="55" s="1"/>
  <c r="B237" i="55"/>
  <c r="A237" i="55" s="1"/>
  <c r="G237" i="55" a="1"/>
  <c r="G237" i="55" s="1"/>
  <c r="I237" i="55" a="1"/>
  <c r="I237" i="55" s="1"/>
  <c r="B236" i="55"/>
  <c r="A236" i="55" s="1"/>
  <c r="G236" i="55" a="1"/>
  <c r="G236" i="55" s="1"/>
  <c r="I236" i="55" a="1"/>
  <c r="I236" i="55" s="1"/>
  <c r="B298" i="55"/>
  <c r="A298" i="55" s="1"/>
  <c r="G298" i="55" a="1"/>
  <c r="G298" i="55" s="1"/>
  <c r="I298" i="55" a="1"/>
  <c r="I298" i="55" s="1"/>
  <c r="B260" i="55"/>
  <c r="A260" i="55" s="1"/>
  <c r="G260" i="55" a="1"/>
  <c r="G260" i="55" s="1"/>
  <c r="I260" i="55" a="1"/>
  <c r="I260" i="55" s="1"/>
  <c r="B208" i="55"/>
  <c r="A208" i="55" s="1"/>
  <c r="G208" i="55" a="1"/>
  <c r="G208" i="55" s="1"/>
  <c r="I208" i="55" a="1"/>
  <c r="I208" i="55" s="1"/>
  <c r="G200" i="55" a="1"/>
  <c r="G200" i="55" s="1"/>
  <c r="I200" i="55" a="1"/>
  <c r="I200" i="55" s="1"/>
  <c r="G267" i="55" a="1"/>
  <c r="G267" i="55" s="1"/>
  <c r="I267" i="55" a="1"/>
  <c r="I267" i="55" s="1"/>
  <c r="G213" i="55" a="1"/>
  <c r="G213" i="55" s="1"/>
  <c r="I213" i="55" a="1"/>
  <c r="I213" i="55" s="1"/>
  <c r="G235" i="55" a="1"/>
  <c r="G235" i="55" s="1"/>
  <c r="I235" i="55" a="1"/>
  <c r="I235" i="55" s="1"/>
  <c r="G248" i="55" a="1"/>
  <c r="G248" i="55" s="1"/>
  <c r="I248" i="55" a="1"/>
  <c r="I248" i="55" s="1"/>
  <c r="G258" i="55" a="1"/>
  <c r="G258" i="55" s="1"/>
  <c r="I258" i="55" a="1"/>
  <c r="I258" i="55" s="1"/>
  <c r="G251" i="55" a="1"/>
  <c r="G251" i="55" s="1"/>
  <c r="I251" i="55" a="1"/>
  <c r="I251" i="55" s="1"/>
  <c r="G220" i="55" a="1"/>
  <c r="G220" i="55" s="1"/>
  <c r="I220" i="55" a="1"/>
  <c r="I220" i="55" s="1"/>
  <c r="G397" i="55" a="1"/>
  <c r="G397" i="55" s="1"/>
  <c r="I397" i="55" a="1"/>
  <c r="I397" i="55" s="1"/>
  <c r="G218" i="55" a="1"/>
  <c r="G218" i="55" s="1"/>
  <c r="I218" i="55" a="1"/>
  <c r="I218" i="55" s="1"/>
  <c r="G246" i="55" a="1"/>
  <c r="G246" i="55" s="1"/>
  <c r="I246" i="55" a="1"/>
  <c r="I246" i="55" s="1"/>
  <c r="G314" i="55" a="1"/>
  <c r="G314" i="55" s="1"/>
  <c r="I314" i="55" a="1"/>
  <c r="I314" i="55" s="1"/>
  <c r="G304" i="55" a="1"/>
  <c r="G304" i="55" s="1"/>
  <c r="I304" i="55" a="1"/>
  <c r="I304" i="55" s="1"/>
  <c r="G227" i="55" a="1"/>
  <c r="G227" i="55" s="1"/>
  <c r="I227" i="55" a="1"/>
  <c r="I227" i="55" s="1"/>
  <c r="G216" i="55" a="1"/>
  <c r="G216" i="55" s="1"/>
  <c r="I216" i="55" a="1"/>
  <c r="I216" i="55" s="1"/>
  <c r="G296" i="55" a="1"/>
  <c r="G296" i="55" s="1"/>
  <c r="I296" i="55" a="1"/>
  <c r="I296" i="55" s="1"/>
  <c r="G209" i="55" a="1"/>
  <c r="G209" i="55" s="1"/>
  <c r="I209" i="55" a="1"/>
  <c r="I209" i="55" s="1"/>
  <c r="G247" i="55" a="1"/>
  <c r="G247" i="55" s="1"/>
  <c r="I247" i="55" a="1"/>
  <c r="I247" i="55" s="1"/>
  <c r="G265" i="55" a="1"/>
  <c r="G265" i="55" s="1"/>
  <c r="I265" i="55" a="1"/>
  <c r="I265" i="55" s="1"/>
  <c r="G223" i="55" a="1"/>
  <c r="G223" i="55" s="1"/>
  <c r="I223" i="55" a="1"/>
  <c r="I223" i="55" s="1"/>
  <c r="G269" i="55" a="1"/>
  <c r="G269" i="55" s="1"/>
  <c r="I269" i="55" a="1"/>
  <c r="I269" i="55" s="1"/>
  <c r="G14" i="55" a="1"/>
  <c r="G14" i="55" s="1"/>
  <c r="I14" i="55" a="1"/>
  <c r="I14" i="55" s="1"/>
  <c r="G263" i="55" a="1"/>
  <c r="G263" i="55" s="1"/>
  <c r="I263" i="55" a="1"/>
  <c r="I263" i="55" s="1"/>
  <c r="G222" i="55" a="1"/>
  <c r="G222" i="55" s="1"/>
  <c r="I222" i="55" a="1"/>
  <c r="I222" i="55" s="1"/>
  <c r="G261" i="55" a="1"/>
  <c r="G261" i="55" s="1"/>
  <c r="I261" i="55" a="1"/>
  <c r="I261" i="55" s="1"/>
  <c r="G249" i="55" a="1"/>
  <c r="G249" i="55" s="1"/>
  <c r="I249" i="55" a="1"/>
  <c r="I249" i="55" s="1"/>
  <c r="G262" i="55" a="1"/>
  <c r="G262" i="55" s="1"/>
  <c r="I262" i="55" a="1"/>
  <c r="I262" i="55" s="1"/>
  <c r="G82" i="55" a="1"/>
  <c r="G82" i="55" s="1"/>
  <c r="I82" i="55" a="1"/>
  <c r="I82" i="55" s="1"/>
  <c r="G80" i="55" a="1"/>
  <c r="G80" i="55" s="1"/>
  <c r="I80" i="55" a="1"/>
  <c r="I80" i="55" s="1"/>
  <c r="G168" i="55" a="1"/>
  <c r="G168" i="55" s="1"/>
  <c r="I168" i="55" a="1"/>
  <c r="I168" i="55" s="1"/>
  <c r="G49" i="55" a="1"/>
  <c r="G49" i="55" s="1"/>
  <c r="I49" i="55" a="1"/>
  <c r="I49" i="55" s="1"/>
  <c r="G53" i="55" a="1"/>
  <c r="G53" i="55" s="1"/>
  <c r="I53" i="55" a="1"/>
  <c r="I53" i="55" s="1"/>
  <c r="G176" i="55" a="1"/>
  <c r="G176" i="55" s="1"/>
  <c r="I176" i="55" a="1"/>
  <c r="I176" i="55" s="1"/>
  <c r="G28" i="55" a="1"/>
  <c r="G28" i="55" s="1"/>
  <c r="I28" i="55" a="1"/>
  <c r="I28" i="55" s="1"/>
  <c r="G205" i="55" a="1"/>
  <c r="G205" i="55" s="1"/>
  <c r="I205" i="55" a="1"/>
  <c r="I205" i="55" s="1"/>
  <c r="G259" i="55" a="1"/>
  <c r="G259" i="55" s="1"/>
  <c r="I259" i="55" a="1"/>
  <c r="I259" i="55" s="1"/>
  <c r="G233" i="55" a="1"/>
  <c r="G233" i="55" s="1"/>
  <c r="I233" i="55" a="1"/>
  <c r="I233" i="55" s="1"/>
  <c r="G13" i="55" a="1"/>
  <c r="G13" i="55" s="1"/>
  <c r="I13" i="55" a="1"/>
  <c r="I13" i="55" s="1"/>
  <c r="G224" i="55" a="1"/>
  <c r="G224" i="55" s="1"/>
  <c r="I224" i="55" a="1"/>
  <c r="I224" i="55" s="1"/>
  <c r="G170" i="55" a="1"/>
  <c r="G170" i="55" s="1"/>
  <c r="I170" i="55" a="1"/>
  <c r="I170" i="55" s="1"/>
  <c r="G174" i="55" a="1"/>
  <c r="G174" i="55" s="1"/>
  <c r="I174" i="55" a="1"/>
  <c r="I174" i="55" s="1"/>
  <c r="G257" i="55" a="1"/>
  <c r="G257" i="55" s="1"/>
  <c r="I257" i="55" a="1"/>
  <c r="I257" i="55" s="1"/>
  <c r="G27" i="55" a="1"/>
  <c r="G27" i="55" s="1"/>
  <c r="I27" i="55" a="1"/>
  <c r="I27" i="55" s="1"/>
  <c r="G291" i="55" a="1"/>
  <c r="G291" i="55" s="1"/>
  <c r="I291" i="55" a="1"/>
  <c r="I291" i="55" s="1"/>
  <c r="G299" i="55" a="1"/>
  <c r="G299" i="55" s="1"/>
  <c r="I299" i="55" a="1"/>
  <c r="I299" i="55" s="1"/>
  <c r="I240" i="55" a="1"/>
  <c r="I240" i="55" s="1"/>
  <c r="G240" i="55" a="1"/>
  <c r="G240" i="55" s="1"/>
  <c r="B200" i="55"/>
  <c r="A200" i="55" s="1"/>
  <c r="B267" i="55"/>
  <c r="A267" i="55" s="1"/>
  <c r="B213" i="55"/>
  <c r="A213" i="55" s="1"/>
  <c r="B235" i="55"/>
  <c r="A235" i="55" s="1"/>
  <c r="B248" i="55"/>
  <c r="A248" i="55" s="1"/>
  <c r="B258" i="55"/>
  <c r="A258" i="55" s="1"/>
  <c r="B251" i="55"/>
  <c r="A251" i="55" s="1"/>
  <c r="B220" i="55"/>
  <c r="A220" i="55" s="1"/>
  <c r="B397" i="55"/>
  <c r="A397" i="55" s="1"/>
  <c r="B218" i="55"/>
  <c r="A218" i="55" s="1"/>
  <c r="B246" i="55"/>
  <c r="A246" i="55" s="1"/>
  <c r="B314" i="55"/>
  <c r="A314" i="55" s="1"/>
  <c r="B304" i="55"/>
  <c r="A304" i="55" s="1"/>
  <c r="B227" i="55"/>
  <c r="A227" i="55" s="1"/>
  <c r="B216" i="55"/>
  <c r="A216" i="55" s="1"/>
  <c r="B296" i="55"/>
  <c r="A296" i="55" s="1"/>
  <c r="B209" i="55"/>
  <c r="A209" i="55" s="1"/>
  <c r="B247" i="55"/>
  <c r="A247" i="55" s="1"/>
  <c r="B265" i="55"/>
  <c r="A265" i="55" s="1"/>
  <c r="B223" i="55"/>
  <c r="A223" i="55" s="1"/>
  <c r="B269" i="55"/>
  <c r="A269" i="55" s="1"/>
  <c r="B14" i="55"/>
  <c r="A14" i="55" s="1"/>
  <c r="B263" i="55"/>
  <c r="A263" i="55" s="1"/>
  <c r="B222" i="55"/>
  <c r="A222" i="55" s="1"/>
  <c r="B261" i="55"/>
  <c r="A261" i="55" s="1"/>
  <c r="B249" i="55"/>
  <c r="A249" i="55" s="1"/>
  <c r="B262" i="55"/>
  <c r="A262" i="55" s="1"/>
  <c r="B82" i="55"/>
  <c r="A82" i="55" s="1"/>
  <c r="B80" i="55"/>
  <c r="A80" i="55" s="1"/>
  <c r="B168" i="55"/>
  <c r="A168" i="55" s="1"/>
  <c r="B49" i="55"/>
  <c r="A49" i="55" s="1"/>
  <c r="B53" i="55"/>
  <c r="A53" i="55" s="1"/>
  <c r="B176" i="55"/>
  <c r="A176" i="55" s="1"/>
  <c r="B28" i="55"/>
  <c r="A28" i="55" s="1"/>
  <c r="B205" i="55"/>
  <c r="A205" i="55" s="1"/>
  <c r="B259" i="55"/>
  <c r="A259" i="55" s="1"/>
  <c r="B233" i="55"/>
  <c r="A233" i="55" s="1"/>
  <c r="B13" i="55"/>
  <c r="A13" i="55" s="1"/>
  <c r="B224" i="55"/>
  <c r="A224" i="55" s="1"/>
  <c r="B170" i="55"/>
  <c r="A170" i="55" s="1"/>
  <c r="B174" i="55"/>
  <c r="B257" i="55"/>
  <c r="A257" i="55" s="1"/>
  <c r="B27" i="55"/>
  <c r="A27" i="55" s="1"/>
  <c r="B291" i="55"/>
  <c r="A291" i="55" s="1"/>
  <c r="B299" i="55"/>
  <c r="A299" i="55" s="1"/>
  <c r="B467" i="55"/>
  <c r="B240" i="55"/>
  <c r="A240" i="55" s="1"/>
  <c r="B133" i="34"/>
  <c r="B132" i="34"/>
  <c r="B131" i="34"/>
  <c r="B130" i="34"/>
  <c r="B785" i="34"/>
  <c r="A132" i="34" l="1"/>
  <c r="U132" i="34"/>
  <c r="Z132" i="34"/>
  <c r="W132" i="34"/>
  <c r="A785" i="34"/>
  <c r="U785" i="34"/>
  <c r="Z785" i="34"/>
  <c r="W785" i="34"/>
  <c r="A133" i="34"/>
  <c r="W133" i="34"/>
  <c r="U133" i="34"/>
  <c r="Z133" i="34"/>
  <c r="A130" i="34"/>
  <c r="U130" i="34"/>
  <c r="Z130" i="34"/>
  <c r="W130" i="34"/>
  <c r="A131" i="34"/>
  <c r="W131" i="34"/>
  <c r="U131" i="34"/>
  <c r="Z131" i="34"/>
  <c r="G468" i="55"/>
  <c r="I468" i="55"/>
  <c r="K200" i="55"/>
  <c r="K213" i="55"/>
  <c r="K258" i="55"/>
  <c r="K247" i="55"/>
  <c r="K216" i="55"/>
  <c r="K218" i="55"/>
  <c r="K233" i="55"/>
  <c r="K267" i="55"/>
  <c r="K261" i="55"/>
  <c r="K224" i="55"/>
  <c r="K176" i="55"/>
  <c r="K265" i="55"/>
  <c r="K13" i="55"/>
  <c r="K50" i="55"/>
  <c r="K248" i="55"/>
  <c r="K230" i="55"/>
  <c r="K28" i="55"/>
  <c r="K249" i="55"/>
  <c r="K14" i="55"/>
  <c r="K227" i="55"/>
  <c r="K397" i="55"/>
  <c r="K51" i="55"/>
  <c r="K169" i="55"/>
  <c r="K170" i="55"/>
  <c r="K168" i="55"/>
  <c r="K243" i="55"/>
  <c r="K12" i="55"/>
  <c r="K268" i="55"/>
  <c r="K219" i="55"/>
  <c r="K175" i="55"/>
  <c r="K237" i="55"/>
  <c r="K211" i="55"/>
  <c r="K226" i="55"/>
  <c r="K294" i="55"/>
  <c r="K239" i="55"/>
  <c r="K179" i="55"/>
  <c r="K236" i="55"/>
  <c r="K61" i="55"/>
  <c r="K270" i="55"/>
  <c r="K295" i="55"/>
  <c r="K29" i="55"/>
  <c r="K215" i="55"/>
  <c r="K57" i="55"/>
  <c r="K214" i="55"/>
  <c r="K392" i="55"/>
  <c r="K242" i="55"/>
  <c r="K396" i="55"/>
  <c r="K52" i="55"/>
  <c r="K342" i="55"/>
  <c r="K253" i="55"/>
  <c r="K201" i="55"/>
  <c r="K245" i="55"/>
  <c r="K159" i="55"/>
  <c r="K250" i="55"/>
  <c r="K207" i="55"/>
  <c r="K82" i="55"/>
  <c r="K259" i="55"/>
  <c r="K53" i="55"/>
  <c r="K205" i="55"/>
  <c r="K260" i="55"/>
  <c r="K174" i="55"/>
  <c r="K49" i="55"/>
  <c r="K80" i="55"/>
  <c r="K262" i="55"/>
  <c r="K269" i="55"/>
  <c r="K209" i="55"/>
  <c r="K304" i="55"/>
  <c r="K246" i="55"/>
  <c r="K251" i="55"/>
  <c r="K235" i="55"/>
  <c r="K298" i="55"/>
  <c r="K222" i="55"/>
  <c r="K208" i="55"/>
  <c r="K223" i="55"/>
  <c r="K296" i="55"/>
  <c r="K314" i="55"/>
  <c r="K263" i="55"/>
  <c r="K220" i="55"/>
  <c r="K299" i="55"/>
  <c r="K27" i="55"/>
  <c r="K291" i="55"/>
  <c r="K257" i="55"/>
  <c r="K240" i="55"/>
  <c r="B206" i="34"/>
  <c r="B182" i="34"/>
  <c r="B195" i="34"/>
  <c r="B155" i="34"/>
  <c r="A206" i="34" l="1"/>
  <c r="U206" i="34"/>
  <c r="R206" i="34"/>
  <c r="Z206" i="34"/>
  <c r="S206" i="34"/>
  <c r="W206" i="34"/>
  <c r="T206" i="34"/>
  <c r="A155" i="34"/>
  <c r="S155" i="34"/>
  <c r="W155" i="34"/>
  <c r="T155" i="34"/>
  <c r="U155" i="34"/>
  <c r="R155" i="34"/>
  <c r="Z155" i="34"/>
  <c r="A195" i="34"/>
  <c r="S195" i="34"/>
  <c r="W195" i="34"/>
  <c r="T195" i="34"/>
  <c r="U195" i="34"/>
  <c r="R195" i="34"/>
  <c r="Z195" i="34"/>
  <c r="A182" i="34"/>
  <c r="U182" i="34"/>
  <c r="R182" i="34"/>
  <c r="Z182" i="34"/>
  <c r="S182" i="34"/>
  <c r="W182" i="34"/>
  <c r="T182" i="34"/>
  <c r="K468" i="55"/>
  <c r="B1246" i="34"/>
  <c r="A1246" i="34" l="1"/>
  <c r="U1246" i="34"/>
  <c r="Z1246" i="34"/>
  <c r="W1246" i="34"/>
  <c r="D39" i="15"/>
  <c r="G39" i="15"/>
  <c r="H39" i="15"/>
  <c r="C39" i="15"/>
  <c r="K18" i="34" l="1"/>
  <c r="C18" i="34"/>
  <c r="B18" i="34" s="1"/>
  <c r="A18" i="34" l="1"/>
  <c r="U18" i="34"/>
  <c r="Z18" i="34"/>
  <c r="W18" i="34"/>
  <c r="A9" i="70"/>
  <c r="A11" i="70"/>
  <c r="A25" i="70"/>
  <c r="A17" i="70"/>
  <c r="A174" i="55" l="1"/>
  <c r="T8" i="43" l="1"/>
  <c r="A3" i="54" l="1"/>
  <c r="A2" i="54"/>
  <c r="C22" i="54"/>
  <c r="B2" i="55" l="1"/>
  <c r="B1" i="55"/>
  <c r="A7" i="12"/>
  <c r="A6" i="12"/>
  <c r="A30" i="70"/>
  <c r="A15" i="70"/>
  <c r="A13" i="70"/>
  <c r="A7" i="70"/>
  <c r="A19" i="70"/>
  <c r="A26" i="70"/>
  <c r="A23" i="70"/>
  <c r="A27" i="70"/>
  <c r="A24" i="70"/>
  <c r="A22" i="70"/>
  <c r="A16" i="70"/>
  <c r="A2" i="12"/>
  <c r="A1" i="12"/>
  <c r="A2" i="70"/>
  <c r="A1" i="70"/>
  <c r="A90" i="60" l="1"/>
  <c r="A79" i="60"/>
  <c r="A31" i="60"/>
  <c r="A2" i="60"/>
  <c r="K14" i="34" l="1"/>
  <c r="C14" i="34"/>
  <c r="B14" i="34" s="1"/>
  <c r="A14" i="34" l="1"/>
  <c r="U14" i="34"/>
  <c r="Z14" i="34"/>
  <c r="W14" i="34"/>
  <c r="E23" i="54"/>
  <c r="E16" i="61"/>
  <c r="C11" i="34"/>
  <c r="C12" i="34"/>
  <c r="C13" i="34"/>
  <c r="C15" i="34"/>
  <c r="C16" i="34"/>
  <c r="C17" i="34"/>
  <c r="C19" i="34"/>
  <c r="C20" i="34"/>
  <c r="C21" i="34"/>
  <c r="C22" i="34"/>
  <c r="C10" i="34"/>
  <c r="L2" i="64" l="1"/>
  <c r="J3" i="54"/>
  <c r="L3" i="39"/>
  <c r="B1961" i="34" l="1"/>
  <c r="B1643" i="34"/>
  <c r="B1641" i="34"/>
  <c r="B1293" i="34"/>
  <c r="A1293" i="34" l="1"/>
  <c r="Z1293" i="34"/>
  <c r="W1293" i="34"/>
  <c r="U1293" i="34"/>
  <c r="U1641" i="34"/>
  <c r="Z1641" i="34"/>
  <c r="W1641" i="34"/>
  <c r="U1643" i="34"/>
  <c r="Z1643" i="34"/>
  <c r="W1643" i="34"/>
  <c r="A1641" i="34"/>
  <c r="A1643" i="34"/>
  <c r="A1961" i="34"/>
  <c r="U1961" i="34"/>
  <c r="Z1961" i="34"/>
  <c r="W1961" i="34"/>
  <c r="B1554" i="34"/>
  <c r="B1553" i="34"/>
  <c r="B1552" i="34"/>
  <c r="B1551" i="34"/>
  <c r="B1550" i="34"/>
  <c r="B1549" i="34"/>
  <c r="B1548" i="34"/>
  <c r="B1547" i="34"/>
  <c r="B1546" i="34"/>
  <c r="B1513" i="34"/>
  <c r="B1512" i="34"/>
  <c r="B1511" i="34"/>
  <c r="B1510" i="34"/>
  <c r="B1509" i="34"/>
  <c r="B1508" i="34"/>
  <c r="B1507" i="34"/>
  <c r="B1396" i="34"/>
  <c r="B1395" i="34"/>
  <c r="B1367" i="34"/>
  <c r="B1366" i="34"/>
  <c r="B1365" i="34"/>
  <c r="B1364" i="34"/>
  <c r="B1363" i="34"/>
  <c r="B1362" i="34"/>
  <c r="B1361" i="34"/>
  <c r="B1360" i="34"/>
  <c r="B1359" i="34"/>
  <c r="B1654" i="34"/>
  <c r="B1634" i="34"/>
  <c r="B1633" i="34"/>
  <c r="B1735" i="34"/>
  <c r="B1734" i="34"/>
  <c r="B1733" i="34"/>
  <c r="B1814" i="34"/>
  <c r="B1813" i="34"/>
  <c r="B1812" i="34"/>
  <c r="B1811" i="34"/>
  <c r="B1810" i="34"/>
  <c r="B1809" i="34"/>
  <c r="B1808" i="34"/>
  <c r="B1807" i="34"/>
  <c r="B1926" i="34"/>
  <c r="B1925" i="34"/>
  <c r="B1924" i="34"/>
  <c r="B1923" i="34"/>
  <c r="B1922" i="34"/>
  <c r="B1921" i="34"/>
  <c r="B1920" i="34"/>
  <c r="B1901" i="34"/>
  <c r="B1900" i="34"/>
  <c r="B1899" i="34"/>
  <c r="B1898" i="34"/>
  <c r="B1897" i="34"/>
  <c r="B1714" i="34"/>
  <c r="B1713" i="34"/>
  <c r="B1712" i="34"/>
  <c r="B1711" i="34"/>
  <c r="B1710" i="34"/>
  <c r="B1709" i="34"/>
  <c r="B1697" i="34"/>
  <c r="B1696" i="34"/>
  <c r="B1662" i="34"/>
  <c r="B1661" i="34"/>
  <c r="B1660" i="34"/>
  <c r="B1659" i="34"/>
  <c r="B1658" i="34"/>
  <c r="B1657" i="34"/>
  <c r="B1656" i="34"/>
  <c r="B1655" i="34"/>
  <c r="B1746" i="34"/>
  <c r="B1745" i="34"/>
  <c r="B1744" i="34"/>
  <c r="B1743" i="34"/>
  <c r="B1742" i="34"/>
  <c r="B1741" i="34"/>
  <c r="B1740" i="34"/>
  <c r="B1739" i="34"/>
  <c r="B1738" i="34"/>
  <c r="B1737" i="34"/>
  <c r="B1736" i="34"/>
  <c r="B1591" i="34"/>
  <c r="B1590" i="34"/>
  <c r="B1589" i="34"/>
  <c r="B1588" i="34"/>
  <c r="B1587" i="34"/>
  <c r="B1586" i="34"/>
  <c r="B1585" i="34"/>
  <c r="B1584" i="34"/>
  <c r="B1254" i="34"/>
  <c r="W1736" i="34" l="1"/>
  <c r="U1736" i="34"/>
  <c r="Z1736" i="34"/>
  <c r="W1744" i="34"/>
  <c r="U1744" i="34"/>
  <c r="Z1744" i="34"/>
  <c r="W1656" i="34"/>
  <c r="U1656" i="34"/>
  <c r="Z1656" i="34"/>
  <c r="W1660" i="34"/>
  <c r="U1660" i="34"/>
  <c r="Z1660" i="34"/>
  <c r="U1697" i="34"/>
  <c r="Z1697" i="34"/>
  <c r="W1697" i="34"/>
  <c r="W1712" i="34"/>
  <c r="U1712" i="34"/>
  <c r="Z1712" i="34"/>
  <c r="W1734" i="34"/>
  <c r="U1734" i="34"/>
  <c r="Z1734" i="34"/>
  <c r="W1654" i="34"/>
  <c r="U1654" i="34"/>
  <c r="Z1654" i="34"/>
  <c r="A1362" i="34"/>
  <c r="U1362" i="34"/>
  <c r="Z1362" i="34"/>
  <c r="W1362" i="34"/>
  <c r="A1366" i="34"/>
  <c r="U1366" i="34"/>
  <c r="Z1366" i="34"/>
  <c r="W1366" i="34"/>
  <c r="A1507" i="34"/>
  <c r="Z1507" i="34"/>
  <c r="W1507" i="34"/>
  <c r="U1507" i="34"/>
  <c r="A1511" i="34"/>
  <c r="Z1511" i="34"/>
  <c r="W1511" i="34"/>
  <c r="U1511" i="34"/>
  <c r="A1547" i="34"/>
  <c r="Z1547" i="34"/>
  <c r="W1547" i="34"/>
  <c r="U1547" i="34"/>
  <c r="A1551" i="34"/>
  <c r="Z1551" i="34"/>
  <c r="W1551" i="34"/>
  <c r="U1551" i="34"/>
  <c r="A1588" i="34"/>
  <c r="W1588" i="34"/>
  <c r="U1588" i="34"/>
  <c r="Z1588" i="34"/>
  <c r="A1585" i="34"/>
  <c r="U1585" i="34"/>
  <c r="Z1585" i="34"/>
  <c r="W1585" i="34"/>
  <c r="A1589" i="34"/>
  <c r="U1589" i="34"/>
  <c r="Z1589" i="34"/>
  <c r="W1589" i="34"/>
  <c r="U1737" i="34"/>
  <c r="Z1737" i="34"/>
  <c r="W1737" i="34"/>
  <c r="U1741" i="34"/>
  <c r="Z1741" i="34"/>
  <c r="W1741" i="34"/>
  <c r="U1745" i="34"/>
  <c r="Z1745" i="34"/>
  <c r="W1745" i="34"/>
  <c r="U1657" i="34"/>
  <c r="Z1657" i="34"/>
  <c r="W1657" i="34"/>
  <c r="U1661" i="34"/>
  <c r="Z1661" i="34"/>
  <c r="W1661" i="34"/>
  <c r="U1709" i="34"/>
  <c r="Z1709" i="34"/>
  <c r="W1709" i="34"/>
  <c r="U1713" i="34"/>
  <c r="Z1713" i="34"/>
  <c r="W1713" i="34"/>
  <c r="U1735" i="34"/>
  <c r="Z1735" i="34"/>
  <c r="W1735" i="34"/>
  <c r="A1359" i="34"/>
  <c r="Z1359" i="34"/>
  <c r="W1359" i="34"/>
  <c r="U1359" i="34"/>
  <c r="A1363" i="34"/>
  <c r="Z1363" i="34"/>
  <c r="W1363" i="34"/>
  <c r="U1363" i="34"/>
  <c r="A1367" i="34"/>
  <c r="Z1367" i="34"/>
  <c r="W1367" i="34"/>
  <c r="U1367" i="34"/>
  <c r="A1508" i="34"/>
  <c r="U1508" i="34"/>
  <c r="Z1508" i="34"/>
  <c r="W1508" i="34"/>
  <c r="A1512" i="34"/>
  <c r="U1512" i="34"/>
  <c r="Z1512" i="34"/>
  <c r="W1512" i="34"/>
  <c r="A1548" i="34"/>
  <c r="U1548" i="34"/>
  <c r="Z1548" i="34"/>
  <c r="W1548" i="34"/>
  <c r="A1552" i="34"/>
  <c r="U1552" i="34"/>
  <c r="Z1552" i="34"/>
  <c r="W1552" i="34"/>
  <c r="W1740" i="34"/>
  <c r="U1740" i="34"/>
  <c r="Z1740" i="34"/>
  <c r="A1586" i="34"/>
  <c r="W1586" i="34"/>
  <c r="U1586" i="34"/>
  <c r="Z1586" i="34"/>
  <c r="A1590" i="34"/>
  <c r="W1590" i="34"/>
  <c r="U1590" i="34"/>
  <c r="Z1590" i="34"/>
  <c r="W1738" i="34"/>
  <c r="U1738" i="34"/>
  <c r="Z1738" i="34"/>
  <c r="W1742" i="34"/>
  <c r="U1742" i="34"/>
  <c r="Z1742" i="34"/>
  <c r="W1746" i="34"/>
  <c r="U1746" i="34"/>
  <c r="Z1746" i="34"/>
  <c r="W1658" i="34"/>
  <c r="U1658" i="34"/>
  <c r="Z1658" i="34"/>
  <c r="W1662" i="34"/>
  <c r="U1662" i="34"/>
  <c r="Z1662" i="34"/>
  <c r="W1710" i="34"/>
  <c r="U1710" i="34"/>
  <c r="Z1710" i="34"/>
  <c r="W1714" i="34"/>
  <c r="U1714" i="34"/>
  <c r="Z1714" i="34"/>
  <c r="U1633" i="34"/>
  <c r="Z1633" i="34"/>
  <c r="W1633" i="34"/>
  <c r="A1360" i="34"/>
  <c r="U1360" i="34"/>
  <c r="Z1360" i="34"/>
  <c r="W1360" i="34"/>
  <c r="A1364" i="34"/>
  <c r="U1364" i="34"/>
  <c r="Z1364" i="34"/>
  <c r="W1364" i="34"/>
  <c r="A1395" i="34"/>
  <c r="Z1395" i="34"/>
  <c r="W1395" i="34"/>
  <c r="U1395" i="34"/>
  <c r="A1509" i="34"/>
  <c r="Z1509" i="34"/>
  <c r="W1509" i="34"/>
  <c r="U1509" i="34"/>
  <c r="A1513" i="34"/>
  <c r="Z1513" i="34"/>
  <c r="W1513" i="34"/>
  <c r="U1513" i="34"/>
  <c r="A1549" i="34"/>
  <c r="Z1549" i="34"/>
  <c r="W1549" i="34"/>
  <c r="U1549" i="34"/>
  <c r="A1553" i="34"/>
  <c r="Z1553" i="34"/>
  <c r="W1553" i="34"/>
  <c r="U1553" i="34"/>
  <c r="A1584" i="34"/>
  <c r="W1584" i="34"/>
  <c r="U1584" i="34"/>
  <c r="Z1584" i="34"/>
  <c r="A1254" i="34"/>
  <c r="U1254" i="34"/>
  <c r="Z1254" i="34"/>
  <c r="W1254" i="34"/>
  <c r="A1587" i="34"/>
  <c r="U1587" i="34"/>
  <c r="Z1587" i="34"/>
  <c r="W1587" i="34"/>
  <c r="A1591" i="34"/>
  <c r="U1591" i="34"/>
  <c r="Z1591" i="34"/>
  <c r="W1591" i="34"/>
  <c r="U1739" i="34"/>
  <c r="Z1739" i="34"/>
  <c r="W1739" i="34"/>
  <c r="U1743" i="34"/>
  <c r="Z1743" i="34"/>
  <c r="W1743" i="34"/>
  <c r="U1655" i="34"/>
  <c r="Z1655" i="34"/>
  <c r="W1655" i="34"/>
  <c r="U1659" i="34"/>
  <c r="Z1659" i="34"/>
  <c r="W1659" i="34"/>
  <c r="W1696" i="34"/>
  <c r="U1696" i="34"/>
  <c r="Z1696" i="34"/>
  <c r="U1711" i="34"/>
  <c r="Z1711" i="34"/>
  <c r="W1711" i="34"/>
  <c r="U1733" i="34"/>
  <c r="Z1733" i="34"/>
  <c r="W1733" i="34"/>
  <c r="W1634" i="34"/>
  <c r="U1634" i="34"/>
  <c r="Z1634" i="34"/>
  <c r="A1361" i="34"/>
  <c r="Z1361" i="34"/>
  <c r="W1361" i="34"/>
  <c r="U1361" i="34"/>
  <c r="A1365" i="34"/>
  <c r="Z1365" i="34"/>
  <c r="W1365" i="34"/>
  <c r="U1365" i="34"/>
  <c r="A1396" i="34"/>
  <c r="U1396" i="34"/>
  <c r="Z1396" i="34"/>
  <c r="W1396" i="34"/>
  <c r="A1510" i="34"/>
  <c r="U1510" i="34"/>
  <c r="Z1510" i="34"/>
  <c r="W1510" i="34"/>
  <c r="A1546" i="34"/>
  <c r="U1546" i="34"/>
  <c r="Z1546" i="34"/>
  <c r="W1546" i="34"/>
  <c r="A1550" i="34"/>
  <c r="U1550" i="34"/>
  <c r="Z1550" i="34"/>
  <c r="W1550" i="34"/>
  <c r="A1554" i="34"/>
  <c r="U1554" i="34"/>
  <c r="Z1554" i="34"/>
  <c r="W1554" i="34"/>
  <c r="A1736" i="34"/>
  <c r="A1740" i="34"/>
  <c r="A1744" i="34"/>
  <c r="A1656" i="34"/>
  <c r="A1660" i="34"/>
  <c r="A1697" i="34"/>
  <c r="A1712" i="34"/>
  <c r="A1898" i="34"/>
  <c r="Z1898" i="34"/>
  <c r="W1898" i="34"/>
  <c r="U1898" i="34"/>
  <c r="A1920" i="34"/>
  <c r="U1920" i="34"/>
  <c r="Z1920" i="34"/>
  <c r="W1920" i="34"/>
  <c r="A1924" i="34"/>
  <c r="U1924" i="34"/>
  <c r="Z1924" i="34"/>
  <c r="W1924" i="34"/>
  <c r="A1808" i="34"/>
  <c r="U1808" i="34"/>
  <c r="Z1808" i="34"/>
  <c r="W1808" i="34"/>
  <c r="A1812" i="34"/>
  <c r="U1812" i="34"/>
  <c r="Z1812" i="34"/>
  <c r="W1812" i="34"/>
  <c r="A1734" i="34"/>
  <c r="A1654" i="34"/>
  <c r="A1737" i="34"/>
  <c r="A1741" i="34"/>
  <c r="A1745" i="34"/>
  <c r="A1657" i="34"/>
  <c r="A1661" i="34"/>
  <c r="A1709" i="34"/>
  <c r="A1713" i="34"/>
  <c r="A1899" i="34"/>
  <c r="U1899" i="34"/>
  <c r="Z1899" i="34"/>
  <c r="W1899" i="34"/>
  <c r="A1921" i="34"/>
  <c r="U1921" i="34"/>
  <c r="Z1921" i="34"/>
  <c r="W1921" i="34"/>
  <c r="A1925" i="34"/>
  <c r="U1925" i="34"/>
  <c r="Z1925" i="34"/>
  <c r="W1925" i="34"/>
  <c r="A1809" i="34"/>
  <c r="W1809" i="34"/>
  <c r="U1809" i="34"/>
  <c r="Z1809" i="34"/>
  <c r="A1813" i="34"/>
  <c r="W1813" i="34"/>
  <c r="U1813" i="34"/>
  <c r="Z1813" i="34"/>
  <c r="A1735" i="34"/>
  <c r="A1738" i="34"/>
  <c r="A1742" i="34"/>
  <c r="A1746" i="34"/>
  <c r="A1658" i="34"/>
  <c r="A1662" i="34"/>
  <c r="A1710" i="34"/>
  <c r="A1714" i="34"/>
  <c r="A1900" i="34"/>
  <c r="U1900" i="34"/>
  <c r="Z1900" i="34"/>
  <c r="W1900" i="34"/>
  <c r="A1922" i="34"/>
  <c r="W1922" i="34"/>
  <c r="U1922" i="34"/>
  <c r="Z1922" i="34"/>
  <c r="A1926" i="34"/>
  <c r="W1926" i="34"/>
  <c r="U1926" i="34"/>
  <c r="Z1926" i="34"/>
  <c r="A1810" i="34"/>
  <c r="Z1810" i="34"/>
  <c r="W1810" i="34"/>
  <c r="U1810" i="34"/>
  <c r="A1814" i="34"/>
  <c r="Z1814" i="34"/>
  <c r="W1814" i="34"/>
  <c r="U1814" i="34"/>
  <c r="A1633" i="34"/>
  <c r="A1739" i="34"/>
  <c r="A1743" i="34"/>
  <c r="A1655" i="34"/>
  <c r="A1659" i="34"/>
  <c r="A1696" i="34"/>
  <c r="A1711" i="34"/>
  <c r="A1897" i="34"/>
  <c r="W1897" i="34"/>
  <c r="U1897" i="34"/>
  <c r="Z1897" i="34"/>
  <c r="A1901" i="34"/>
  <c r="W1901" i="34"/>
  <c r="U1901" i="34"/>
  <c r="Z1901" i="34"/>
  <c r="A1923" i="34"/>
  <c r="Z1923" i="34"/>
  <c r="W1923" i="34"/>
  <c r="U1923" i="34"/>
  <c r="A1807" i="34"/>
  <c r="U1807" i="34"/>
  <c r="Z1807" i="34"/>
  <c r="W1807" i="34"/>
  <c r="A1811" i="34"/>
  <c r="U1811" i="34"/>
  <c r="Z1811" i="34"/>
  <c r="W1811" i="34"/>
  <c r="A1733" i="34"/>
  <c r="A1634" i="34"/>
  <c r="B929" i="34"/>
  <c r="B928" i="34"/>
  <c r="B927" i="34"/>
  <c r="B855" i="34"/>
  <c r="B854" i="34"/>
  <c r="B853" i="34"/>
  <c r="B852" i="34"/>
  <c r="B851" i="34"/>
  <c r="B880" i="34"/>
  <c r="B879" i="34"/>
  <c r="B878" i="34"/>
  <c r="B877" i="34"/>
  <c r="B876" i="34"/>
  <c r="B875" i="34"/>
  <c r="B874" i="34"/>
  <c r="B873" i="34"/>
  <c r="B872" i="34"/>
  <c r="B871" i="34"/>
  <c r="B870" i="34"/>
  <c r="B869" i="34"/>
  <c r="B868" i="34"/>
  <c r="B867" i="34"/>
  <c r="B866" i="34"/>
  <c r="B865" i="34"/>
  <c r="B864" i="34"/>
  <c r="B863" i="34"/>
  <c r="B862" i="34"/>
  <c r="B861" i="34"/>
  <c r="B860" i="34"/>
  <c r="B859" i="34"/>
  <c r="B858" i="34"/>
  <c r="B799" i="34"/>
  <c r="B798" i="34"/>
  <c r="B797" i="34"/>
  <c r="B796" i="34"/>
  <c r="B795" i="34"/>
  <c r="B794" i="34"/>
  <c r="B793" i="34"/>
  <c r="B792" i="34"/>
  <c r="B791" i="34"/>
  <c r="B790" i="34"/>
  <c r="B1237" i="34"/>
  <c r="B1399" i="34"/>
  <c r="B1255" i="34"/>
  <c r="B1134" i="34"/>
  <c r="B1133" i="34"/>
  <c r="B1132" i="34"/>
  <c r="B1123" i="34"/>
  <c r="B1122" i="34"/>
  <c r="B1121" i="34"/>
  <c r="B1102" i="34"/>
  <c r="B1101" i="34"/>
  <c r="B1100" i="34"/>
  <c r="B1099" i="34"/>
  <c r="B1098" i="34"/>
  <c r="B1097" i="34"/>
  <c r="B908" i="34"/>
  <c r="B907" i="34"/>
  <c r="B906" i="34"/>
  <c r="B905" i="34"/>
  <c r="B904" i="34"/>
  <c r="B987" i="34"/>
  <c r="B986" i="34"/>
  <c r="B1043" i="34"/>
  <c r="B1024" i="34"/>
  <c r="B990" i="34"/>
  <c r="B996" i="34"/>
  <c r="B994" i="34"/>
  <c r="B939" i="34"/>
  <c r="B1032" i="34"/>
  <c r="B938" i="34"/>
  <c r="B1020" i="34"/>
  <c r="B937" i="34"/>
  <c r="B942" i="34"/>
  <c r="B941" i="34"/>
  <c r="B940" i="34"/>
  <c r="B1158" i="34"/>
  <c r="B1153" i="34"/>
  <c r="B1154" i="34"/>
  <c r="B944" i="34"/>
  <c r="B1017" i="34"/>
  <c r="B933" i="34"/>
  <c r="B934" i="34"/>
  <c r="B935" i="34"/>
  <c r="B1004" i="34"/>
  <c r="B932" i="34"/>
  <c r="B243" i="34"/>
  <c r="B239" i="34"/>
  <c r="B236" i="34"/>
  <c r="B224" i="34"/>
  <c r="B223" i="34"/>
  <c r="B246" i="34"/>
  <c r="B242" i="34"/>
  <c r="B238" i="34"/>
  <c r="B235" i="34"/>
  <c r="B222" i="34"/>
  <c r="B205" i="34"/>
  <c r="B196" i="34"/>
  <c r="B188" i="34"/>
  <c r="B204" i="34"/>
  <c r="B187" i="34"/>
  <c r="B157" i="34"/>
  <c r="B153" i="34"/>
  <c r="B148" i="34"/>
  <c r="B126" i="34"/>
  <c r="B123" i="34"/>
  <c r="B156" i="34"/>
  <c r="B154" i="34"/>
  <c r="B152" i="34"/>
  <c r="B147" i="34"/>
  <c r="B125" i="34"/>
  <c r="B124" i="34"/>
  <c r="B100" i="34"/>
  <c r="B97" i="34"/>
  <c r="B96" i="34"/>
  <c r="B95" i="34"/>
  <c r="B74" i="34"/>
  <c r="B60" i="34"/>
  <c r="B42" i="34"/>
  <c r="B1247" i="34"/>
  <c r="B1270" i="34"/>
  <c r="B1404" i="34"/>
  <c r="B1073" i="34"/>
  <c r="B1072" i="34"/>
  <c r="B1071" i="34"/>
  <c r="B1070" i="34"/>
  <c r="B1165" i="34"/>
  <c r="B1164" i="34"/>
  <c r="B626" i="34"/>
  <c r="B625" i="34"/>
  <c r="B624" i="34"/>
  <c r="B623" i="34"/>
  <c r="B622" i="34"/>
  <c r="B621" i="34"/>
  <c r="B620" i="34"/>
  <c r="B619" i="34"/>
  <c r="B618" i="34"/>
  <c r="B617" i="34"/>
  <c r="B606" i="34"/>
  <c r="B419" i="34"/>
  <c r="B416" i="34"/>
  <c r="B413" i="34"/>
  <c r="B442" i="34"/>
  <c r="B439" i="34"/>
  <c r="B434" i="34"/>
  <c r="B420" i="34"/>
  <c r="B412" i="34"/>
  <c r="B370" i="34"/>
  <c r="B337" i="34"/>
  <c r="B336" i="34"/>
  <c r="B330" i="34"/>
  <c r="B299" i="34"/>
  <c r="B298" i="34"/>
  <c r="B296" i="34"/>
  <c r="B295" i="34"/>
  <c r="B294" i="34"/>
  <c r="B291" i="34"/>
  <c r="B290" i="34"/>
  <c r="B284" i="34"/>
  <c r="B283" i="34"/>
  <c r="B282" i="34"/>
  <c r="B281" i="34"/>
  <c r="B280" i="34"/>
  <c r="B279" i="34"/>
  <c r="B278" i="34"/>
  <c r="B277" i="34"/>
  <c r="B276" i="34"/>
  <c r="B335" i="34"/>
  <c r="B334" i="34"/>
  <c r="B270" i="34"/>
  <c r="B247" i="34"/>
  <c r="B1300" i="34"/>
  <c r="B1297" i="34"/>
  <c r="B649" i="34"/>
  <c r="B643" i="34"/>
  <c r="B642" i="34"/>
  <c r="B640" i="34"/>
  <c r="B639" i="34"/>
  <c r="B638" i="34"/>
  <c r="B636" i="34"/>
  <c r="B635" i="34"/>
  <c r="B630" i="34"/>
  <c r="B629" i="34"/>
  <c r="B628" i="34"/>
  <c r="B627" i="34"/>
  <c r="A642" i="34" l="1"/>
  <c r="W642" i="34"/>
  <c r="U642" i="34"/>
  <c r="Z642" i="34"/>
  <c r="A294" i="34"/>
  <c r="S294" i="34"/>
  <c r="W294" i="34"/>
  <c r="T294" i="34"/>
  <c r="U294" i="34"/>
  <c r="R294" i="34"/>
  <c r="Z294" i="34"/>
  <c r="A1164" i="34"/>
  <c r="Z1164" i="34"/>
  <c r="W1164" i="34"/>
  <c r="U1164" i="34"/>
  <c r="A1247" i="34"/>
  <c r="Z1247" i="34"/>
  <c r="W1247" i="34"/>
  <c r="U1247" i="34"/>
  <c r="A154" i="34"/>
  <c r="U154" i="34"/>
  <c r="R154" i="34"/>
  <c r="Z154" i="34"/>
  <c r="S154" i="34"/>
  <c r="W154" i="34"/>
  <c r="T154" i="34"/>
  <c r="A148" i="34"/>
  <c r="U148" i="34"/>
  <c r="R148" i="34"/>
  <c r="Z148" i="34"/>
  <c r="S148" i="34"/>
  <c r="W148" i="34"/>
  <c r="T148" i="34"/>
  <c r="A204" i="34"/>
  <c r="U204" i="34"/>
  <c r="R204" i="34"/>
  <c r="Z204" i="34"/>
  <c r="S204" i="34"/>
  <c r="W204" i="34"/>
  <c r="T204" i="34"/>
  <c r="A222" i="34"/>
  <c r="U222" i="34"/>
  <c r="R222" i="34"/>
  <c r="Z222" i="34"/>
  <c r="S222" i="34"/>
  <c r="W222" i="34"/>
  <c r="T222" i="34"/>
  <c r="A246" i="34"/>
  <c r="U246" i="34"/>
  <c r="R246" i="34"/>
  <c r="Z246" i="34"/>
  <c r="S246" i="34"/>
  <c r="W246" i="34"/>
  <c r="T246" i="34"/>
  <c r="A239" i="34"/>
  <c r="S239" i="34"/>
  <c r="W239" i="34"/>
  <c r="T239" i="34"/>
  <c r="U239" i="34"/>
  <c r="R239" i="34"/>
  <c r="Z239" i="34"/>
  <c r="A935" i="34"/>
  <c r="U935" i="34"/>
  <c r="Z935" i="34"/>
  <c r="W935" i="34"/>
  <c r="A944" i="34"/>
  <c r="Z944" i="34"/>
  <c r="W944" i="34"/>
  <c r="U944" i="34"/>
  <c r="A940" i="34"/>
  <c r="Z940" i="34"/>
  <c r="W940" i="34"/>
  <c r="U940" i="34"/>
  <c r="A1020" i="34"/>
  <c r="Z1020" i="34"/>
  <c r="W1020" i="34"/>
  <c r="U1020" i="34"/>
  <c r="A994" i="34"/>
  <c r="Z994" i="34"/>
  <c r="W994" i="34"/>
  <c r="U994" i="34"/>
  <c r="A1043" i="34"/>
  <c r="U1043" i="34"/>
  <c r="Z1043" i="34"/>
  <c r="W1043" i="34"/>
  <c r="A905" i="34"/>
  <c r="U905" i="34"/>
  <c r="Z905" i="34"/>
  <c r="W905" i="34"/>
  <c r="A1097" i="34"/>
  <c r="U1097" i="34"/>
  <c r="Z1097" i="34"/>
  <c r="W1097" i="34"/>
  <c r="A1101" i="34"/>
  <c r="U1101" i="34"/>
  <c r="Z1101" i="34"/>
  <c r="W1101" i="34"/>
  <c r="A1123" i="34"/>
  <c r="U1123" i="34"/>
  <c r="Z1123" i="34"/>
  <c r="W1123" i="34"/>
  <c r="A1255" i="34"/>
  <c r="Z1255" i="34"/>
  <c r="W1255" i="34"/>
  <c r="U1255" i="34"/>
  <c r="A791" i="34"/>
  <c r="U791" i="34"/>
  <c r="Z791" i="34"/>
  <c r="W791" i="34"/>
  <c r="A795" i="34"/>
  <c r="U795" i="34"/>
  <c r="Z795" i="34"/>
  <c r="W795" i="34"/>
  <c r="A799" i="34"/>
  <c r="U799" i="34"/>
  <c r="Z799" i="34"/>
  <c r="W799" i="34"/>
  <c r="A861" i="34"/>
  <c r="U861" i="34"/>
  <c r="Z861" i="34"/>
  <c r="W861" i="34"/>
  <c r="A865" i="34"/>
  <c r="U865" i="34"/>
  <c r="Z865" i="34"/>
  <c r="W865" i="34"/>
  <c r="A869" i="34"/>
  <c r="U869" i="34"/>
  <c r="Z869" i="34"/>
  <c r="W869" i="34"/>
  <c r="A873" i="34"/>
  <c r="U873" i="34"/>
  <c r="Z873" i="34"/>
  <c r="W873" i="34"/>
  <c r="A877" i="34"/>
  <c r="U877" i="34"/>
  <c r="Z877" i="34"/>
  <c r="W877" i="34"/>
  <c r="A851" i="34"/>
  <c r="U851" i="34"/>
  <c r="Z851" i="34"/>
  <c r="W851" i="34"/>
  <c r="A855" i="34"/>
  <c r="U855" i="34"/>
  <c r="Z855" i="34"/>
  <c r="W855" i="34"/>
  <c r="A636" i="34"/>
  <c r="W636" i="34"/>
  <c r="U636" i="34"/>
  <c r="Z636" i="34"/>
  <c r="A335" i="34"/>
  <c r="U335" i="34"/>
  <c r="R335" i="34"/>
  <c r="Z335" i="34"/>
  <c r="S335" i="34"/>
  <c r="W335" i="34"/>
  <c r="T335" i="34"/>
  <c r="A299" i="34"/>
  <c r="U299" i="34"/>
  <c r="R299" i="34"/>
  <c r="Z299" i="34"/>
  <c r="S299" i="34"/>
  <c r="W299" i="34"/>
  <c r="T299" i="34"/>
  <c r="A419" i="34"/>
  <c r="U419" i="34"/>
  <c r="R419" i="34"/>
  <c r="Z419" i="34"/>
  <c r="S419" i="34"/>
  <c r="W419" i="34"/>
  <c r="T419" i="34"/>
  <c r="A1072" i="34"/>
  <c r="Z1072" i="34"/>
  <c r="W1072" i="34"/>
  <c r="U1072" i="34"/>
  <c r="A629" i="34"/>
  <c r="U629" i="34"/>
  <c r="Z629" i="34"/>
  <c r="W629" i="34"/>
  <c r="A638" i="34"/>
  <c r="W638" i="34"/>
  <c r="U638" i="34"/>
  <c r="Z638" i="34"/>
  <c r="A643" i="34"/>
  <c r="U643" i="34"/>
  <c r="Z643" i="34"/>
  <c r="W643" i="34"/>
  <c r="A247" i="34"/>
  <c r="S247" i="34"/>
  <c r="W247" i="34"/>
  <c r="T247" i="34"/>
  <c r="U247" i="34"/>
  <c r="R247" i="34"/>
  <c r="Z247" i="34"/>
  <c r="A276" i="34"/>
  <c r="T276" i="34"/>
  <c r="S276" i="34"/>
  <c r="U276" i="34"/>
  <c r="Z276" i="34"/>
  <c r="R276" i="34"/>
  <c r="W276" i="34"/>
  <c r="A280" i="34"/>
  <c r="T280" i="34"/>
  <c r="Z280" i="34"/>
  <c r="R280" i="34"/>
  <c r="W280" i="34"/>
  <c r="S280" i="34"/>
  <c r="U280" i="34"/>
  <c r="A284" i="34"/>
  <c r="S284" i="34"/>
  <c r="W284" i="34"/>
  <c r="T284" i="34"/>
  <c r="U284" i="34"/>
  <c r="R284" i="34"/>
  <c r="Z284" i="34"/>
  <c r="A295" i="34"/>
  <c r="U295" i="34"/>
  <c r="R295" i="34"/>
  <c r="Z295" i="34"/>
  <c r="S295" i="34"/>
  <c r="W295" i="34"/>
  <c r="T295" i="34"/>
  <c r="A330" i="34"/>
  <c r="S330" i="34"/>
  <c r="W330" i="34"/>
  <c r="T330" i="34"/>
  <c r="U330" i="34"/>
  <c r="R330" i="34"/>
  <c r="Z330" i="34"/>
  <c r="A412" i="34"/>
  <c r="S412" i="34"/>
  <c r="W412" i="34"/>
  <c r="T412" i="34"/>
  <c r="U412" i="34"/>
  <c r="R412" i="34"/>
  <c r="Z412" i="34"/>
  <c r="A442" i="34"/>
  <c r="R442" i="34"/>
  <c r="Z442" i="34"/>
  <c r="S442" i="34"/>
  <c r="W442" i="34"/>
  <c r="T442" i="34"/>
  <c r="U442" i="34"/>
  <c r="A606" i="34"/>
  <c r="W606" i="34"/>
  <c r="U606" i="34"/>
  <c r="Z606" i="34"/>
  <c r="A620" i="34"/>
  <c r="W620" i="34"/>
  <c r="U620" i="34"/>
  <c r="Z620" i="34"/>
  <c r="A624" i="34"/>
  <c r="W624" i="34"/>
  <c r="U624" i="34"/>
  <c r="Z624" i="34"/>
  <c r="A1165" i="34"/>
  <c r="U1165" i="34"/>
  <c r="Z1165" i="34"/>
  <c r="W1165" i="34"/>
  <c r="A1073" i="34"/>
  <c r="U1073" i="34"/>
  <c r="Z1073" i="34"/>
  <c r="W1073" i="34"/>
  <c r="A42" i="34"/>
  <c r="T42" i="34"/>
  <c r="U42" i="34"/>
  <c r="R42" i="34"/>
  <c r="Z42" i="34"/>
  <c r="S42" i="34"/>
  <c r="W42" i="34"/>
  <c r="A96" i="34"/>
  <c r="T96" i="34"/>
  <c r="U96" i="34"/>
  <c r="R96" i="34"/>
  <c r="Z96" i="34"/>
  <c r="S96" i="34"/>
  <c r="W96" i="34"/>
  <c r="A125" i="34"/>
  <c r="S125" i="34"/>
  <c r="W125" i="34"/>
  <c r="T125" i="34"/>
  <c r="U125" i="34"/>
  <c r="R125" i="34"/>
  <c r="Z125" i="34"/>
  <c r="A156" i="34"/>
  <c r="U156" i="34"/>
  <c r="R156" i="34"/>
  <c r="Z156" i="34"/>
  <c r="S156" i="34"/>
  <c r="W156" i="34"/>
  <c r="T156" i="34"/>
  <c r="A153" i="34"/>
  <c r="S153" i="34"/>
  <c r="W153" i="34"/>
  <c r="T153" i="34"/>
  <c r="U153" i="34"/>
  <c r="R153" i="34"/>
  <c r="Z153" i="34"/>
  <c r="A188" i="34"/>
  <c r="U188" i="34"/>
  <c r="R188" i="34"/>
  <c r="Z188" i="34"/>
  <c r="S188" i="34"/>
  <c r="W188" i="34"/>
  <c r="T188" i="34"/>
  <c r="A235" i="34"/>
  <c r="S235" i="34"/>
  <c r="W235" i="34"/>
  <c r="T235" i="34"/>
  <c r="U235" i="34"/>
  <c r="R235" i="34"/>
  <c r="Z235" i="34"/>
  <c r="A223" i="34"/>
  <c r="S223" i="34"/>
  <c r="W223" i="34"/>
  <c r="T223" i="34"/>
  <c r="U223" i="34"/>
  <c r="R223" i="34"/>
  <c r="Z223" i="34"/>
  <c r="A243" i="34"/>
  <c r="S243" i="34"/>
  <c r="W243" i="34"/>
  <c r="T243" i="34"/>
  <c r="U243" i="34"/>
  <c r="R243" i="34"/>
  <c r="Z243" i="34"/>
  <c r="A934" i="34"/>
  <c r="Z934" i="34"/>
  <c r="W934" i="34"/>
  <c r="U934" i="34"/>
  <c r="A1154" i="34"/>
  <c r="Z1154" i="34"/>
  <c r="W1154" i="34"/>
  <c r="U1154" i="34"/>
  <c r="A941" i="34"/>
  <c r="U941" i="34"/>
  <c r="Z941" i="34"/>
  <c r="W941" i="34"/>
  <c r="A938" i="34"/>
  <c r="Z938" i="34"/>
  <c r="W938" i="34"/>
  <c r="U938" i="34"/>
  <c r="A996" i="34"/>
  <c r="Z996" i="34"/>
  <c r="W996" i="34"/>
  <c r="U996" i="34"/>
  <c r="A986" i="34"/>
  <c r="Z986" i="34"/>
  <c r="W986" i="34"/>
  <c r="U986" i="34"/>
  <c r="A906" i="34"/>
  <c r="W906" i="34"/>
  <c r="U906" i="34"/>
  <c r="Z906" i="34"/>
  <c r="A1098" i="34"/>
  <c r="Z1098" i="34"/>
  <c r="W1098" i="34"/>
  <c r="U1098" i="34"/>
  <c r="A1102" i="34"/>
  <c r="Z1102" i="34"/>
  <c r="W1102" i="34"/>
  <c r="U1102" i="34"/>
  <c r="A1132" i="34"/>
  <c r="Z1132" i="34"/>
  <c r="W1132" i="34"/>
  <c r="U1132" i="34"/>
  <c r="A1399" i="34"/>
  <c r="Z1399" i="34"/>
  <c r="W1399" i="34"/>
  <c r="U1399" i="34"/>
  <c r="A792" i="34"/>
  <c r="W792" i="34"/>
  <c r="U792" i="34"/>
  <c r="Z792" i="34"/>
  <c r="A796" i="34"/>
  <c r="W796" i="34"/>
  <c r="U796" i="34"/>
  <c r="Z796" i="34"/>
  <c r="A858" i="34"/>
  <c r="W858" i="34"/>
  <c r="U858" i="34"/>
  <c r="Z858" i="34"/>
  <c r="A862" i="34"/>
  <c r="W862" i="34"/>
  <c r="U862" i="34"/>
  <c r="Z862" i="34"/>
  <c r="A866" i="34"/>
  <c r="W866" i="34"/>
  <c r="U866" i="34"/>
  <c r="Z866" i="34"/>
  <c r="A870" i="34"/>
  <c r="W870" i="34"/>
  <c r="U870" i="34"/>
  <c r="Z870" i="34"/>
  <c r="A874" i="34"/>
  <c r="W874" i="34"/>
  <c r="U874" i="34"/>
  <c r="Z874" i="34"/>
  <c r="A878" i="34"/>
  <c r="W878" i="34"/>
  <c r="U878" i="34"/>
  <c r="Z878" i="34"/>
  <c r="A852" i="34"/>
  <c r="W852" i="34"/>
  <c r="U852" i="34"/>
  <c r="Z852" i="34"/>
  <c r="A927" i="34"/>
  <c r="Z927" i="34"/>
  <c r="W927" i="34"/>
  <c r="U927" i="34"/>
  <c r="A628" i="34"/>
  <c r="W628" i="34"/>
  <c r="U628" i="34"/>
  <c r="Z628" i="34"/>
  <c r="A279" i="34"/>
  <c r="R279" i="34"/>
  <c r="Z279" i="34"/>
  <c r="S279" i="34"/>
  <c r="W279" i="34"/>
  <c r="T279" i="34"/>
  <c r="U279" i="34"/>
  <c r="A370" i="34"/>
  <c r="S370" i="34"/>
  <c r="W370" i="34"/>
  <c r="T370" i="34"/>
  <c r="U370" i="34"/>
  <c r="R370" i="34"/>
  <c r="Z370" i="34"/>
  <c r="A623" i="34"/>
  <c r="U623" i="34"/>
  <c r="Z623" i="34"/>
  <c r="W623" i="34"/>
  <c r="A124" i="34"/>
  <c r="U124" i="34"/>
  <c r="R124" i="34"/>
  <c r="Z124" i="34"/>
  <c r="S124" i="34"/>
  <c r="W124" i="34"/>
  <c r="T124" i="34"/>
  <c r="A630" i="34"/>
  <c r="W630" i="34"/>
  <c r="U630" i="34"/>
  <c r="Z630" i="34"/>
  <c r="A639" i="34"/>
  <c r="U639" i="34"/>
  <c r="Z639" i="34"/>
  <c r="W639" i="34"/>
  <c r="A649" i="34"/>
  <c r="U649" i="34"/>
  <c r="Z649" i="34"/>
  <c r="W649" i="34"/>
  <c r="A270" i="34"/>
  <c r="U270" i="34"/>
  <c r="R270" i="34"/>
  <c r="Z270" i="34"/>
  <c r="T270" i="34"/>
  <c r="S270" i="34"/>
  <c r="W270" i="34"/>
  <c r="A277" i="34"/>
  <c r="R277" i="34"/>
  <c r="Z277" i="34"/>
  <c r="S277" i="34"/>
  <c r="W277" i="34"/>
  <c r="T277" i="34"/>
  <c r="U277" i="34"/>
  <c r="A281" i="34"/>
  <c r="R281" i="34"/>
  <c r="U281" i="34"/>
  <c r="Z281" i="34"/>
  <c r="S281" i="34"/>
  <c r="W281" i="34"/>
  <c r="T281" i="34"/>
  <c r="A290" i="34"/>
  <c r="S290" i="34"/>
  <c r="W290" i="34"/>
  <c r="T290" i="34"/>
  <c r="U290" i="34"/>
  <c r="R290" i="34"/>
  <c r="Z290" i="34"/>
  <c r="A296" i="34"/>
  <c r="S296" i="34"/>
  <c r="W296" i="34"/>
  <c r="T296" i="34"/>
  <c r="U296" i="34"/>
  <c r="R296" i="34"/>
  <c r="Z296" i="34"/>
  <c r="A336" i="34"/>
  <c r="S336" i="34"/>
  <c r="W336" i="34"/>
  <c r="T336" i="34"/>
  <c r="U336" i="34"/>
  <c r="R336" i="34"/>
  <c r="Z336" i="34"/>
  <c r="A420" i="34"/>
  <c r="S420" i="34"/>
  <c r="W420" i="34"/>
  <c r="T420" i="34"/>
  <c r="U420" i="34"/>
  <c r="R420" i="34"/>
  <c r="Z420" i="34"/>
  <c r="A413" i="34"/>
  <c r="U413" i="34"/>
  <c r="R413" i="34"/>
  <c r="Z413" i="34"/>
  <c r="S413" i="34"/>
  <c r="W413" i="34"/>
  <c r="T413" i="34"/>
  <c r="A617" i="34"/>
  <c r="U617" i="34"/>
  <c r="Z617" i="34"/>
  <c r="W617" i="34"/>
  <c r="A621" i="34"/>
  <c r="U621" i="34"/>
  <c r="Z621" i="34"/>
  <c r="W621" i="34"/>
  <c r="A625" i="34"/>
  <c r="U625" i="34"/>
  <c r="Z625" i="34"/>
  <c r="W625" i="34"/>
  <c r="A1070" i="34"/>
  <c r="Z1070" i="34"/>
  <c r="W1070" i="34"/>
  <c r="U1070" i="34"/>
  <c r="A1404" i="34"/>
  <c r="U1404" i="34"/>
  <c r="Z1404" i="34"/>
  <c r="W1404" i="34"/>
  <c r="A60" i="34"/>
  <c r="T60" i="34"/>
  <c r="U60" i="34"/>
  <c r="R60" i="34"/>
  <c r="Z60" i="34"/>
  <c r="S60" i="34"/>
  <c r="W60" i="34"/>
  <c r="A97" i="34"/>
  <c r="R97" i="34"/>
  <c r="Z97" i="34"/>
  <c r="S97" i="34"/>
  <c r="W97" i="34"/>
  <c r="T97" i="34"/>
  <c r="U97" i="34"/>
  <c r="A147" i="34"/>
  <c r="S147" i="34"/>
  <c r="W147" i="34"/>
  <c r="T147" i="34"/>
  <c r="U147" i="34"/>
  <c r="R147" i="34"/>
  <c r="Z147" i="34"/>
  <c r="A123" i="34"/>
  <c r="U123" i="34"/>
  <c r="R123" i="34"/>
  <c r="W123" i="34"/>
  <c r="S123" i="34"/>
  <c r="T123" i="34"/>
  <c r="Z123" i="34"/>
  <c r="A157" i="34"/>
  <c r="S157" i="34"/>
  <c r="W157" i="34"/>
  <c r="T157" i="34"/>
  <c r="U157" i="34"/>
  <c r="R157" i="34"/>
  <c r="Z157" i="34"/>
  <c r="A196" i="34"/>
  <c r="U196" i="34"/>
  <c r="R196" i="34"/>
  <c r="Z196" i="34"/>
  <c r="S196" i="34"/>
  <c r="W196" i="34"/>
  <c r="T196" i="34"/>
  <c r="A238" i="34"/>
  <c r="U238" i="34"/>
  <c r="R238" i="34"/>
  <c r="Z238" i="34"/>
  <c r="S238" i="34"/>
  <c r="W238" i="34"/>
  <c r="T238" i="34"/>
  <c r="A224" i="34"/>
  <c r="U224" i="34"/>
  <c r="R224" i="34"/>
  <c r="Z224" i="34"/>
  <c r="S224" i="34"/>
  <c r="W224" i="34"/>
  <c r="T224" i="34"/>
  <c r="A932" i="34"/>
  <c r="Z932" i="34"/>
  <c r="W932" i="34"/>
  <c r="U932" i="34"/>
  <c r="A933" i="34"/>
  <c r="U933" i="34"/>
  <c r="Z933" i="34"/>
  <c r="W933" i="34"/>
  <c r="A1153" i="34"/>
  <c r="U1153" i="34"/>
  <c r="Z1153" i="34"/>
  <c r="W1153" i="34"/>
  <c r="A942" i="34"/>
  <c r="Z942" i="34"/>
  <c r="W942" i="34"/>
  <c r="U942" i="34"/>
  <c r="A1032" i="34"/>
  <c r="Z1032" i="34"/>
  <c r="W1032" i="34"/>
  <c r="U1032" i="34"/>
  <c r="A990" i="34"/>
  <c r="Z990" i="34"/>
  <c r="W990" i="34"/>
  <c r="U990" i="34"/>
  <c r="A987" i="34"/>
  <c r="U987" i="34"/>
  <c r="Z987" i="34"/>
  <c r="W987" i="34"/>
  <c r="A907" i="34"/>
  <c r="U907" i="34"/>
  <c r="Z907" i="34"/>
  <c r="W907" i="34"/>
  <c r="A1099" i="34"/>
  <c r="U1099" i="34"/>
  <c r="Z1099" i="34"/>
  <c r="W1099" i="34"/>
  <c r="A1121" i="34"/>
  <c r="U1121" i="34"/>
  <c r="Z1121" i="34"/>
  <c r="W1121" i="34"/>
  <c r="A1133" i="34"/>
  <c r="U1133" i="34"/>
  <c r="Z1133" i="34"/>
  <c r="W1133" i="34"/>
  <c r="A1237" i="34"/>
  <c r="Z1237" i="34"/>
  <c r="W1237" i="34"/>
  <c r="U1237" i="34"/>
  <c r="A793" i="34"/>
  <c r="U793" i="34"/>
  <c r="Z793" i="34"/>
  <c r="W793" i="34"/>
  <c r="A797" i="34"/>
  <c r="U797" i="34"/>
  <c r="Z797" i="34"/>
  <c r="W797" i="34"/>
  <c r="A859" i="34"/>
  <c r="U859" i="34"/>
  <c r="Z859" i="34"/>
  <c r="W859" i="34"/>
  <c r="A863" i="34"/>
  <c r="U863" i="34"/>
  <c r="Z863" i="34"/>
  <c r="W863" i="34"/>
  <c r="A867" i="34"/>
  <c r="U867" i="34"/>
  <c r="Z867" i="34"/>
  <c r="W867" i="34"/>
  <c r="A871" i="34"/>
  <c r="U871" i="34"/>
  <c r="Z871" i="34"/>
  <c r="W871" i="34"/>
  <c r="A875" i="34"/>
  <c r="U875" i="34"/>
  <c r="Z875" i="34"/>
  <c r="W875" i="34"/>
  <c r="A879" i="34"/>
  <c r="U879" i="34"/>
  <c r="Z879" i="34"/>
  <c r="W879" i="34"/>
  <c r="A853" i="34"/>
  <c r="U853" i="34"/>
  <c r="Z853" i="34"/>
  <c r="W853" i="34"/>
  <c r="A928" i="34"/>
  <c r="Z928" i="34"/>
  <c r="U928" i="34"/>
  <c r="W928" i="34"/>
  <c r="A1300" i="34"/>
  <c r="U1300" i="34"/>
  <c r="Z1300" i="34"/>
  <c r="W1300" i="34"/>
  <c r="A283" i="34"/>
  <c r="U283" i="34"/>
  <c r="R283" i="34"/>
  <c r="Z283" i="34"/>
  <c r="S283" i="34"/>
  <c r="W283" i="34"/>
  <c r="T283" i="34"/>
  <c r="A439" i="34"/>
  <c r="T439" i="34"/>
  <c r="U439" i="34"/>
  <c r="R439" i="34"/>
  <c r="Z439" i="34"/>
  <c r="S439" i="34"/>
  <c r="W439" i="34"/>
  <c r="A619" i="34"/>
  <c r="U619" i="34"/>
  <c r="Z619" i="34"/>
  <c r="W619" i="34"/>
  <c r="A95" i="34"/>
  <c r="R95" i="34"/>
  <c r="Z95" i="34"/>
  <c r="S95" i="34"/>
  <c r="W95" i="34"/>
  <c r="T95" i="34"/>
  <c r="U95" i="34"/>
  <c r="A627" i="34"/>
  <c r="U627" i="34"/>
  <c r="Z627" i="34"/>
  <c r="W627" i="34"/>
  <c r="A635" i="34"/>
  <c r="U635" i="34"/>
  <c r="Z635" i="34"/>
  <c r="W635" i="34"/>
  <c r="A640" i="34"/>
  <c r="W640" i="34"/>
  <c r="U640" i="34"/>
  <c r="Z640" i="34"/>
  <c r="A1297" i="34"/>
  <c r="Z1297" i="34"/>
  <c r="W1297" i="34"/>
  <c r="U1297" i="34"/>
  <c r="A334" i="34"/>
  <c r="S334" i="34"/>
  <c r="W334" i="34"/>
  <c r="T334" i="34"/>
  <c r="U334" i="34"/>
  <c r="R334" i="34"/>
  <c r="Z334" i="34"/>
  <c r="A278" i="34"/>
  <c r="T278" i="34"/>
  <c r="R278" i="34"/>
  <c r="W278" i="34"/>
  <c r="S278" i="34"/>
  <c r="U278" i="34"/>
  <c r="Z278" i="34"/>
  <c r="A282" i="34"/>
  <c r="S282" i="34"/>
  <c r="W282" i="34"/>
  <c r="T282" i="34"/>
  <c r="U282" i="34"/>
  <c r="R282" i="34"/>
  <c r="Z282" i="34"/>
  <c r="A291" i="34"/>
  <c r="U291" i="34"/>
  <c r="R291" i="34"/>
  <c r="Z291" i="34"/>
  <c r="S291" i="34"/>
  <c r="W291" i="34"/>
  <c r="T291" i="34"/>
  <c r="A298" i="34"/>
  <c r="S298" i="34"/>
  <c r="W298" i="34"/>
  <c r="T298" i="34"/>
  <c r="U298" i="34"/>
  <c r="R298" i="34"/>
  <c r="Z298" i="34"/>
  <c r="A337" i="34"/>
  <c r="U337" i="34"/>
  <c r="R337" i="34"/>
  <c r="Z337" i="34"/>
  <c r="S337" i="34"/>
  <c r="W337" i="34"/>
  <c r="T337" i="34"/>
  <c r="A434" i="34"/>
  <c r="R434" i="34"/>
  <c r="Z434" i="34"/>
  <c r="S434" i="34"/>
  <c r="W434" i="34"/>
  <c r="T434" i="34"/>
  <c r="U434" i="34"/>
  <c r="A416" i="34"/>
  <c r="S416" i="34"/>
  <c r="W416" i="34"/>
  <c r="T416" i="34"/>
  <c r="U416" i="34"/>
  <c r="R416" i="34"/>
  <c r="Z416" i="34"/>
  <c r="A618" i="34"/>
  <c r="W618" i="34"/>
  <c r="U618" i="34"/>
  <c r="Z618" i="34"/>
  <c r="A622" i="34"/>
  <c r="W622" i="34"/>
  <c r="U622" i="34"/>
  <c r="Z622" i="34"/>
  <c r="A626" i="34"/>
  <c r="W626" i="34"/>
  <c r="U626" i="34"/>
  <c r="Z626" i="34"/>
  <c r="A1071" i="34"/>
  <c r="U1071" i="34"/>
  <c r="Z1071" i="34"/>
  <c r="W1071" i="34"/>
  <c r="A1270" i="34"/>
  <c r="U1270" i="34"/>
  <c r="Z1270" i="34"/>
  <c r="W1270" i="34"/>
  <c r="A74" i="34"/>
  <c r="T74" i="34"/>
  <c r="U74" i="34"/>
  <c r="R74" i="34"/>
  <c r="Z74" i="34"/>
  <c r="S74" i="34"/>
  <c r="W74" i="34"/>
  <c r="A100" i="34"/>
  <c r="T100" i="34"/>
  <c r="U100" i="34"/>
  <c r="R100" i="34"/>
  <c r="Z100" i="34"/>
  <c r="S100" i="34"/>
  <c r="W100" i="34"/>
  <c r="A152" i="34"/>
  <c r="U152" i="34"/>
  <c r="R152" i="34"/>
  <c r="Z152" i="34"/>
  <c r="S152" i="34"/>
  <c r="W152" i="34"/>
  <c r="T152" i="34"/>
  <c r="A126" i="34"/>
  <c r="U126" i="34"/>
  <c r="R126" i="34"/>
  <c r="Z126" i="34"/>
  <c r="S126" i="34"/>
  <c r="W126" i="34"/>
  <c r="T126" i="34"/>
  <c r="A187" i="34"/>
  <c r="S187" i="34"/>
  <c r="W187" i="34"/>
  <c r="T187" i="34"/>
  <c r="U187" i="34"/>
  <c r="R187" i="34"/>
  <c r="Z187" i="34"/>
  <c r="A205" i="34"/>
  <c r="S205" i="34"/>
  <c r="W205" i="34"/>
  <c r="T205" i="34"/>
  <c r="U205" i="34"/>
  <c r="R205" i="34"/>
  <c r="Z205" i="34"/>
  <c r="A242" i="34"/>
  <c r="U242" i="34"/>
  <c r="R242" i="34"/>
  <c r="Z242" i="34"/>
  <c r="S242" i="34"/>
  <c r="W242" i="34"/>
  <c r="T242" i="34"/>
  <c r="A236" i="34"/>
  <c r="U236" i="34"/>
  <c r="R236" i="34"/>
  <c r="Z236" i="34"/>
  <c r="S236" i="34"/>
  <c r="W236" i="34"/>
  <c r="T236" i="34"/>
  <c r="A1004" i="34"/>
  <c r="Z1004" i="34"/>
  <c r="W1004" i="34"/>
  <c r="U1004" i="34"/>
  <c r="A1017" i="34"/>
  <c r="U1017" i="34"/>
  <c r="Z1017" i="34"/>
  <c r="W1017" i="34"/>
  <c r="A1158" i="34"/>
  <c r="Z1158" i="34"/>
  <c r="W1158" i="34"/>
  <c r="U1158" i="34"/>
  <c r="A937" i="34"/>
  <c r="U937" i="34"/>
  <c r="Z937" i="34"/>
  <c r="W937" i="34"/>
  <c r="A939" i="34"/>
  <c r="U939" i="34"/>
  <c r="Z939" i="34"/>
  <c r="W939" i="34"/>
  <c r="A1024" i="34"/>
  <c r="Z1024" i="34"/>
  <c r="W1024" i="34"/>
  <c r="U1024" i="34"/>
  <c r="A904" i="34"/>
  <c r="W904" i="34"/>
  <c r="U904" i="34"/>
  <c r="Z904" i="34"/>
  <c r="A908" i="34"/>
  <c r="W908" i="34"/>
  <c r="U908" i="34"/>
  <c r="Z908" i="34"/>
  <c r="A1100" i="34"/>
  <c r="Z1100" i="34"/>
  <c r="W1100" i="34"/>
  <c r="U1100" i="34"/>
  <c r="A1122" i="34"/>
  <c r="Z1122" i="34"/>
  <c r="W1122" i="34"/>
  <c r="U1122" i="34"/>
  <c r="A1134" i="34"/>
  <c r="Z1134" i="34"/>
  <c r="W1134" i="34"/>
  <c r="U1134" i="34"/>
  <c r="A790" i="34"/>
  <c r="W790" i="34"/>
  <c r="U790" i="34"/>
  <c r="Z790" i="34"/>
  <c r="A794" i="34"/>
  <c r="W794" i="34"/>
  <c r="U794" i="34"/>
  <c r="Z794" i="34"/>
  <c r="A798" i="34"/>
  <c r="W798" i="34"/>
  <c r="U798" i="34"/>
  <c r="Z798" i="34"/>
  <c r="A860" i="34"/>
  <c r="W860" i="34"/>
  <c r="U860" i="34"/>
  <c r="Z860" i="34"/>
  <c r="A864" i="34"/>
  <c r="W864" i="34"/>
  <c r="U864" i="34"/>
  <c r="Z864" i="34"/>
  <c r="A868" i="34"/>
  <c r="W868" i="34"/>
  <c r="U868" i="34"/>
  <c r="Z868" i="34"/>
  <c r="A872" i="34"/>
  <c r="W872" i="34"/>
  <c r="U872" i="34"/>
  <c r="Z872" i="34"/>
  <c r="A876" i="34"/>
  <c r="W876" i="34"/>
  <c r="U876" i="34"/>
  <c r="Z876" i="34"/>
  <c r="A880" i="34"/>
  <c r="W880" i="34"/>
  <c r="U880" i="34"/>
  <c r="Z880" i="34"/>
  <c r="A854" i="34"/>
  <c r="W854" i="34"/>
  <c r="U854" i="34"/>
  <c r="Z854" i="34"/>
  <c r="A929" i="34"/>
  <c r="W929" i="34"/>
  <c r="U929" i="34"/>
  <c r="Z929" i="34"/>
  <c r="B1016" i="34"/>
  <c r="B1160" i="34"/>
  <c r="A1016" i="34" l="1"/>
  <c r="R1016" i="34"/>
  <c r="Z1016" i="34"/>
  <c r="S1016" i="34"/>
  <c r="W1016" i="34"/>
  <c r="T1016" i="34"/>
  <c r="U1016" i="34"/>
  <c r="A1160" i="34"/>
  <c r="R1160" i="34"/>
  <c r="Z1160" i="34"/>
  <c r="S1160" i="34"/>
  <c r="W1160" i="34"/>
  <c r="T1160" i="34"/>
  <c r="U1160" i="34"/>
  <c r="B1645" i="34"/>
  <c r="U1645" i="34" l="1"/>
  <c r="Z1645" i="34"/>
  <c r="W1645" i="34"/>
  <c r="A1645" i="34"/>
  <c r="B466" i="34"/>
  <c r="A466" i="34" l="1"/>
  <c r="R466" i="34"/>
  <c r="Z466" i="34"/>
  <c r="S466" i="34"/>
  <c r="W466" i="34"/>
  <c r="T466" i="34"/>
  <c r="U466" i="34"/>
  <c r="A95" i="60"/>
  <c r="P131" i="60" l="1"/>
  <c r="P130" i="60"/>
  <c r="P128" i="60"/>
  <c r="C128" i="60" s="1"/>
  <c r="P127" i="60"/>
  <c r="P126" i="60"/>
  <c r="P125" i="60"/>
  <c r="P124" i="60"/>
  <c r="P123" i="60"/>
  <c r="P122" i="60"/>
  <c r="P121" i="60"/>
  <c r="P120" i="60"/>
  <c r="P119" i="60"/>
  <c r="P118" i="60"/>
  <c r="P117" i="60"/>
  <c r="P116" i="60"/>
  <c r="P115" i="60"/>
  <c r="P114" i="60"/>
  <c r="P113" i="60"/>
  <c r="P112" i="60"/>
  <c r="P111" i="60"/>
  <c r="P109" i="60"/>
  <c r="C109" i="60" s="1"/>
  <c r="P108" i="60"/>
  <c r="P107" i="60"/>
  <c r="P106" i="60"/>
  <c r="P105" i="60"/>
  <c r="P104" i="60"/>
  <c r="P103" i="60"/>
  <c r="P102" i="60"/>
  <c r="P101" i="60"/>
  <c r="P132" i="60"/>
  <c r="C107" i="60" l="1"/>
  <c r="C124" i="60"/>
  <c r="C114" i="60"/>
  <c r="C118" i="60"/>
  <c r="C122" i="60"/>
  <c r="C126" i="60"/>
  <c r="C131" i="60"/>
  <c r="C112" i="60"/>
  <c r="C101" i="60"/>
  <c r="C102" i="60"/>
  <c r="C106" i="60"/>
  <c r="C111" i="60"/>
  <c r="C115" i="60"/>
  <c r="C119" i="60"/>
  <c r="C123" i="60"/>
  <c r="C127" i="60"/>
  <c r="C120" i="60"/>
  <c r="C103" i="60"/>
  <c r="C116" i="60"/>
  <c r="C132" i="60"/>
  <c r="C104" i="60"/>
  <c r="C108" i="60"/>
  <c r="C113" i="60"/>
  <c r="C117" i="60"/>
  <c r="C121" i="60"/>
  <c r="C125" i="60"/>
  <c r="C130" i="60"/>
  <c r="C105" i="60"/>
  <c r="B1956" i="34" l="1"/>
  <c r="B1955" i="34"/>
  <c r="B1766" i="34"/>
  <c r="B1765" i="34"/>
  <c r="B1764" i="34"/>
  <c r="B1763" i="34"/>
  <c r="B1762" i="34"/>
  <c r="B1761" i="34"/>
  <c r="B1760" i="34"/>
  <c r="B1759" i="34"/>
  <c r="B1758" i="34"/>
  <c r="B1731" i="34"/>
  <c r="B1952" i="34"/>
  <c r="B1951" i="34"/>
  <c r="B1950" i="34"/>
  <c r="B1949" i="34"/>
  <c r="B1948" i="34"/>
  <c r="B1821" i="34"/>
  <c r="B1820" i="34"/>
  <c r="B1806" i="34"/>
  <c r="B1947" i="34"/>
  <c r="B1946" i="34"/>
  <c r="B1945" i="34"/>
  <c r="B1944" i="34"/>
  <c r="B1943" i="34"/>
  <c r="B1942" i="34"/>
  <c r="B1941" i="34"/>
  <c r="B1919" i="34"/>
  <c r="B1918" i="34"/>
  <c r="B1917" i="34"/>
  <c r="B1916" i="34"/>
  <c r="B1915" i="34"/>
  <c r="B1914" i="34"/>
  <c r="B1913" i="34"/>
  <c r="B1912" i="34"/>
  <c r="B1911" i="34"/>
  <c r="B1706" i="34"/>
  <c r="B1678" i="34"/>
  <c r="B1677" i="34"/>
  <c r="B1676" i="34"/>
  <c r="B1675" i="34"/>
  <c r="B1674" i="34"/>
  <c r="B1673" i="34"/>
  <c r="B1672" i="34"/>
  <c r="B1671" i="34"/>
  <c r="B1636" i="34"/>
  <c r="B1605" i="34"/>
  <c r="B1604" i="34"/>
  <c r="B1603" i="34"/>
  <c r="B1602" i="34"/>
  <c r="B1601" i="34"/>
  <c r="B1600" i="34"/>
  <c r="B1599" i="34"/>
  <c r="B1583" i="34"/>
  <c r="B1582" i="34"/>
  <c r="B1581" i="34"/>
  <c r="B1580" i="34"/>
  <c r="B1579" i="34"/>
  <c r="B1578" i="34"/>
  <c r="B1577" i="34"/>
  <c r="B1576" i="34"/>
  <c r="B1575" i="34"/>
  <c r="B1574" i="34"/>
  <c r="B1573" i="34"/>
  <c r="B1572" i="34"/>
  <c r="B1571" i="34"/>
  <c r="B1535" i="34"/>
  <c r="B1534" i="34"/>
  <c r="B1533" i="34"/>
  <c r="B1532" i="34"/>
  <c r="B1531" i="34"/>
  <c r="B1530" i="34"/>
  <c r="B1529" i="34"/>
  <c r="B1528" i="34"/>
  <c r="B1393" i="34"/>
  <c r="B1392" i="34"/>
  <c r="B1785" i="34"/>
  <c r="B1973" i="34"/>
  <c r="B1794" i="34"/>
  <c r="B1793" i="34"/>
  <c r="B1792" i="34"/>
  <c r="B1791" i="34"/>
  <c r="B1790" i="34"/>
  <c r="B1789" i="34"/>
  <c r="B1788" i="34"/>
  <c r="B1787" i="34"/>
  <c r="B1997" i="34"/>
  <c r="B1784" i="34"/>
  <c r="B1783" i="34"/>
  <c r="B1782" i="34"/>
  <c r="B1781" i="34"/>
  <c r="B1780" i="34"/>
  <c r="B1779" i="34"/>
  <c r="B1778" i="34"/>
  <c r="B1777" i="34"/>
  <c r="B1773" i="34"/>
  <c r="B1772" i="34"/>
  <c r="B1771" i="34"/>
  <c r="B1770" i="34"/>
  <c r="B1994" i="34"/>
  <c r="B1993" i="34"/>
  <c r="B1992" i="34"/>
  <c r="B1991" i="34"/>
  <c r="B1990" i="34"/>
  <c r="B1989" i="34"/>
  <c r="B1988" i="34"/>
  <c r="B1987" i="34"/>
  <c r="B1986" i="34"/>
  <c r="B1985" i="34"/>
  <c r="B1984" i="34"/>
  <c r="B1776" i="34"/>
  <c r="B1775" i="34"/>
  <c r="B1972" i="34"/>
  <c r="B1971" i="34"/>
  <c r="B1983" i="34"/>
  <c r="B1982" i="34"/>
  <c r="B1981" i="34"/>
  <c r="B1967" i="34"/>
  <c r="B1966" i="34"/>
  <c r="B1996" i="34"/>
  <c r="B1995" i="34"/>
  <c r="B1805" i="34"/>
  <c r="B1804" i="34"/>
  <c r="B1803" i="34"/>
  <c r="B1802" i="34"/>
  <c r="B1801" i="34"/>
  <c r="B1800" i="34"/>
  <c r="B1799" i="34"/>
  <c r="B1798" i="34"/>
  <c r="B1797" i="34"/>
  <c r="B1796" i="34"/>
  <c r="B1795" i="34"/>
  <c r="B1774" i="34"/>
  <c r="B1979" i="34"/>
  <c r="B1978" i="34"/>
  <c r="B1977" i="34"/>
  <c r="B1976" i="34"/>
  <c r="B1975" i="34"/>
  <c r="B1970" i="34"/>
  <c r="B1969" i="34"/>
  <c r="B1968" i="34"/>
  <c r="B1963" i="34"/>
  <c r="B1962" i="34"/>
  <c r="B1786" i="34"/>
  <c r="B1974" i="34"/>
  <c r="W1786" i="34" l="1"/>
  <c r="U1786" i="34"/>
  <c r="Z1786" i="34"/>
  <c r="U1775" i="34"/>
  <c r="Z1775" i="34"/>
  <c r="W1775" i="34"/>
  <c r="U1773" i="34"/>
  <c r="Z1773" i="34"/>
  <c r="W1773" i="34"/>
  <c r="W1780" i="34"/>
  <c r="U1780" i="34"/>
  <c r="Z1780" i="34"/>
  <c r="W1784" i="34"/>
  <c r="U1784" i="34"/>
  <c r="Z1784" i="34"/>
  <c r="U1789" i="34"/>
  <c r="Z1789" i="34"/>
  <c r="W1789" i="34"/>
  <c r="A1392" i="34"/>
  <c r="U1392" i="34"/>
  <c r="Z1392" i="34"/>
  <c r="W1392" i="34"/>
  <c r="A1530" i="34"/>
  <c r="U1530" i="34"/>
  <c r="Z1530" i="34"/>
  <c r="W1530" i="34"/>
  <c r="A1534" i="34"/>
  <c r="U1534" i="34"/>
  <c r="Z1534" i="34"/>
  <c r="W1534" i="34"/>
  <c r="A1573" i="34"/>
  <c r="Z1573" i="34"/>
  <c r="U1573" i="34"/>
  <c r="W1573" i="34"/>
  <c r="A1577" i="34"/>
  <c r="Z1577" i="34"/>
  <c r="W1577" i="34"/>
  <c r="U1577" i="34"/>
  <c r="A1581" i="34"/>
  <c r="U1581" i="34"/>
  <c r="Z1581" i="34"/>
  <c r="W1581" i="34"/>
  <c r="W1600" i="34"/>
  <c r="U1600" i="34"/>
  <c r="Z1600" i="34"/>
  <c r="W1604" i="34"/>
  <c r="U1604" i="34"/>
  <c r="Z1604" i="34"/>
  <c r="W1672" i="34"/>
  <c r="U1672" i="34"/>
  <c r="Z1672" i="34"/>
  <c r="W1676" i="34"/>
  <c r="U1676" i="34"/>
  <c r="Z1676" i="34"/>
  <c r="U1731" i="34"/>
  <c r="Z1731" i="34"/>
  <c r="W1731" i="34"/>
  <c r="U1761" i="34"/>
  <c r="Z1761" i="34"/>
  <c r="W1761" i="34"/>
  <c r="U1765" i="34"/>
  <c r="Z1765" i="34"/>
  <c r="W1765" i="34"/>
  <c r="W1776" i="34"/>
  <c r="U1776" i="34"/>
  <c r="Z1776" i="34"/>
  <c r="W1770" i="34"/>
  <c r="U1770" i="34"/>
  <c r="Z1770" i="34"/>
  <c r="U1777" i="34"/>
  <c r="Z1777" i="34"/>
  <c r="W1777" i="34"/>
  <c r="U1781" i="34"/>
  <c r="Z1781" i="34"/>
  <c r="W1781" i="34"/>
  <c r="W1790" i="34"/>
  <c r="U1790" i="34"/>
  <c r="Z1790" i="34"/>
  <c r="A1393" i="34"/>
  <c r="Z1393" i="34"/>
  <c r="W1393" i="34"/>
  <c r="U1393" i="34"/>
  <c r="A1531" i="34"/>
  <c r="Z1531" i="34"/>
  <c r="W1531" i="34"/>
  <c r="U1531" i="34"/>
  <c r="A1535" i="34"/>
  <c r="Z1535" i="34"/>
  <c r="W1535" i="34"/>
  <c r="U1535" i="34"/>
  <c r="A1574" i="34"/>
  <c r="W1574" i="34"/>
  <c r="U1574" i="34"/>
  <c r="Z1574" i="34"/>
  <c r="A1578" i="34"/>
  <c r="Z1578" i="34"/>
  <c r="W1578" i="34"/>
  <c r="U1578" i="34"/>
  <c r="A1582" i="34"/>
  <c r="W1582" i="34"/>
  <c r="U1582" i="34"/>
  <c r="Z1582" i="34"/>
  <c r="U1601" i="34"/>
  <c r="Z1601" i="34"/>
  <c r="W1601" i="34"/>
  <c r="U1605" i="34"/>
  <c r="Z1605" i="34"/>
  <c r="W1605" i="34"/>
  <c r="U1673" i="34"/>
  <c r="Z1673" i="34"/>
  <c r="W1673" i="34"/>
  <c r="U1677" i="34"/>
  <c r="Z1677" i="34"/>
  <c r="W1677" i="34"/>
  <c r="W1758" i="34"/>
  <c r="U1758" i="34"/>
  <c r="Z1758" i="34"/>
  <c r="W1762" i="34"/>
  <c r="U1762" i="34"/>
  <c r="Z1762" i="34"/>
  <c r="W1766" i="34"/>
  <c r="U1766" i="34"/>
  <c r="Z1766" i="34"/>
  <c r="U1771" i="34"/>
  <c r="Z1771" i="34"/>
  <c r="W1771" i="34"/>
  <c r="W1778" i="34"/>
  <c r="U1778" i="34"/>
  <c r="Z1778" i="34"/>
  <c r="W1782" i="34"/>
  <c r="U1782" i="34"/>
  <c r="Z1782" i="34"/>
  <c r="U1787" i="34"/>
  <c r="Z1787" i="34"/>
  <c r="W1787" i="34"/>
  <c r="U1791" i="34"/>
  <c r="Z1791" i="34"/>
  <c r="W1791" i="34"/>
  <c r="A1528" i="34"/>
  <c r="U1528" i="34"/>
  <c r="Z1528" i="34"/>
  <c r="W1528" i="34"/>
  <c r="A1532" i="34"/>
  <c r="U1532" i="34"/>
  <c r="Z1532" i="34"/>
  <c r="W1532" i="34"/>
  <c r="A1571" i="34"/>
  <c r="Z1571" i="34"/>
  <c r="U1571" i="34"/>
  <c r="W1571" i="34"/>
  <c r="A1575" i="34"/>
  <c r="Z1575" i="34"/>
  <c r="W1575" i="34"/>
  <c r="U1575" i="34"/>
  <c r="A1579" i="34"/>
  <c r="Z1579" i="34"/>
  <c r="U1579" i="34"/>
  <c r="W1579" i="34"/>
  <c r="A1583" i="34"/>
  <c r="U1583" i="34"/>
  <c r="Z1583" i="34"/>
  <c r="W1583" i="34"/>
  <c r="W1602" i="34"/>
  <c r="U1602" i="34"/>
  <c r="Z1602" i="34"/>
  <c r="W1636" i="34"/>
  <c r="U1636" i="34"/>
  <c r="Z1636" i="34"/>
  <c r="W1674" i="34"/>
  <c r="U1674" i="34"/>
  <c r="Z1674" i="34"/>
  <c r="W1678" i="34"/>
  <c r="U1678" i="34"/>
  <c r="Z1678" i="34"/>
  <c r="U1759" i="34"/>
  <c r="Z1759" i="34"/>
  <c r="W1759" i="34"/>
  <c r="U1763" i="34"/>
  <c r="Z1763" i="34"/>
  <c r="W1763" i="34"/>
  <c r="W1774" i="34"/>
  <c r="U1774" i="34"/>
  <c r="Z1774" i="34"/>
  <c r="W1772" i="34"/>
  <c r="U1772" i="34"/>
  <c r="Z1772" i="34"/>
  <c r="U1779" i="34"/>
  <c r="Z1779" i="34"/>
  <c r="W1779" i="34"/>
  <c r="U1783" i="34"/>
  <c r="Z1783" i="34"/>
  <c r="W1783" i="34"/>
  <c r="W1788" i="34"/>
  <c r="U1788" i="34"/>
  <c r="Z1788" i="34"/>
  <c r="W1792" i="34"/>
  <c r="U1792" i="34"/>
  <c r="Z1792" i="34"/>
  <c r="U1785" i="34"/>
  <c r="Z1785" i="34"/>
  <c r="W1785" i="34"/>
  <c r="A1529" i="34"/>
  <c r="Z1529" i="34"/>
  <c r="W1529" i="34"/>
  <c r="U1529" i="34"/>
  <c r="A1533" i="34"/>
  <c r="Z1533" i="34"/>
  <c r="W1533" i="34"/>
  <c r="U1533" i="34"/>
  <c r="A1572" i="34"/>
  <c r="W1572" i="34"/>
  <c r="U1572" i="34"/>
  <c r="Z1572" i="34"/>
  <c r="A1576" i="34"/>
  <c r="U1576" i="34"/>
  <c r="Z1576" i="34"/>
  <c r="W1576" i="34"/>
  <c r="A1580" i="34"/>
  <c r="W1580" i="34"/>
  <c r="U1580" i="34"/>
  <c r="Z1580" i="34"/>
  <c r="A1599" i="34"/>
  <c r="U1599" i="34"/>
  <c r="Z1599" i="34"/>
  <c r="W1599" i="34"/>
  <c r="U1603" i="34"/>
  <c r="Z1603" i="34"/>
  <c r="W1603" i="34"/>
  <c r="U1671" i="34"/>
  <c r="Z1671" i="34"/>
  <c r="W1671" i="34"/>
  <c r="U1675" i="34"/>
  <c r="Z1675" i="34"/>
  <c r="W1675" i="34"/>
  <c r="W1706" i="34"/>
  <c r="U1706" i="34"/>
  <c r="Z1706" i="34"/>
  <c r="W1760" i="34"/>
  <c r="U1760" i="34"/>
  <c r="Z1760" i="34"/>
  <c r="W1764" i="34"/>
  <c r="U1764" i="34"/>
  <c r="Z1764" i="34"/>
  <c r="A1786" i="34"/>
  <c r="A1969" i="34"/>
  <c r="U1969" i="34"/>
  <c r="Z1969" i="34"/>
  <c r="W1969" i="34"/>
  <c r="A1977" i="34"/>
  <c r="U1977" i="34"/>
  <c r="Z1977" i="34"/>
  <c r="W1977" i="34"/>
  <c r="A1795" i="34"/>
  <c r="U1795" i="34"/>
  <c r="Z1795" i="34"/>
  <c r="W1795" i="34"/>
  <c r="A1799" i="34"/>
  <c r="U1799" i="34"/>
  <c r="Z1799" i="34"/>
  <c r="W1799" i="34"/>
  <c r="A1803" i="34"/>
  <c r="U1803" i="34"/>
  <c r="Z1803" i="34"/>
  <c r="W1803" i="34"/>
  <c r="A1996" i="34"/>
  <c r="U1996" i="34"/>
  <c r="Z1996" i="34"/>
  <c r="W1996" i="34"/>
  <c r="A1982" i="34"/>
  <c r="W1982" i="34"/>
  <c r="U1982" i="34"/>
  <c r="Z1982" i="34"/>
  <c r="A1775" i="34"/>
  <c r="A1986" i="34"/>
  <c r="W1986" i="34"/>
  <c r="U1986" i="34"/>
  <c r="Z1986" i="34"/>
  <c r="A1990" i="34"/>
  <c r="W1990" i="34"/>
  <c r="U1990" i="34"/>
  <c r="Z1990" i="34"/>
  <c r="A1994" i="34"/>
  <c r="W1994" i="34"/>
  <c r="U1994" i="34"/>
  <c r="Z1994" i="34"/>
  <c r="A1773" i="34"/>
  <c r="A1780" i="34"/>
  <c r="A1784" i="34"/>
  <c r="A1789" i="34"/>
  <c r="A1793" i="34"/>
  <c r="W1793" i="34"/>
  <c r="U1793" i="34"/>
  <c r="Z1793" i="34"/>
  <c r="A1600" i="34"/>
  <c r="A1604" i="34"/>
  <c r="A1672" i="34"/>
  <c r="A1676" i="34"/>
  <c r="A1911" i="34"/>
  <c r="W1911" i="34"/>
  <c r="U1911" i="34"/>
  <c r="Z1911" i="34"/>
  <c r="A1915" i="34"/>
  <c r="Z1915" i="34"/>
  <c r="W1915" i="34"/>
  <c r="U1915" i="34"/>
  <c r="A1919" i="34"/>
  <c r="Z1919" i="34"/>
  <c r="W1919" i="34"/>
  <c r="U1919" i="34"/>
  <c r="A1944" i="34"/>
  <c r="U1944" i="34"/>
  <c r="Z1944" i="34"/>
  <c r="W1944" i="34"/>
  <c r="A1806" i="34"/>
  <c r="Z1806" i="34"/>
  <c r="W1806" i="34"/>
  <c r="U1806" i="34"/>
  <c r="A1949" i="34"/>
  <c r="U1949" i="34"/>
  <c r="Z1949" i="34"/>
  <c r="W1949" i="34"/>
  <c r="A1731" i="34"/>
  <c r="A1761" i="34"/>
  <c r="A1765" i="34"/>
  <c r="A1962" i="34"/>
  <c r="W1962" i="34"/>
  <c r="U1962" i="34"/>
  <c r="Z1962" i="34"/>
  <c r="A1970" i="34"/>
  <c r="W1970" i="34"/>
  <c r="U1970" i="34"/>
  <c r="Z1970" i="34"/>
  <c r="A1978" i="34"/>
  <c r="W1978" i="34"/>
  <c r="U1978" i="34"/>
  <c r="Z1978" i="34"/>
  <c r="A1796" i="34"/>
  <c r="U1796" i="34"/>
  <c r="Z1796" i="34"/>
  <c r="W1796" i="34"/>
  <c r="A1800" i="34"/>
  <c r="U1800" i="34"/>
  <c r="Z1800" i="34"/>
  <c r="W1800" i="34"/>
  <c r="A1804" i="34"/>
  <c r="U1804" i="34"/>
  <c r="Z1804" i="34"/>
  <c r="W1804" i="34"/>
  <c r="A1966" i="34"/>
  <c r="W1966" i="34"/>
  <c r="U1966" i="34"/>
  <c r="Z1966" i="34"/>
  <c r="A1983" i="34"/>
  <c r="Z1983" i="34"/>
  <c r="W1983" i="34"/>
  <c r="U1983" i="34"/>
  <c r="A1776" i="34"/>
  <c r="A1987" i="34"/>
  <c r="Z1987" i="34"/>
  <c r="W1987" i="34"/>
  <c r="U1987" i="34"/>
  <c r="A1991" i="34"/>
  <c r="Z1991" i="34"/>
  <c r="W1991" i="34"/>
  <c r="U1991" i="34"/>
  <c r="A1770" i="34"/>
  <c r="A1777" i="34"/>
  <c r="A1781" i="34"/>
  <c r="A1997" i="34"/>
  <c r="U1997" i="34"/>
  <c r="Z1997" i="34"/>
  <c r="W1997" i="34"/>
  <c r="A1790" i="34"/>
  <c r="A1794" i="34"/>
  <c r="Z1794" i="34"/>
  <c r="W1794" i="34"/>
  <c r="U1794" i="34"/>
  <c r="A1601" i="34"/>
  <c r="A1605" i="34"/>
  <c r="A1673" i="34"/>
  <c r="A1677" i="34"/>
  <c r="A1912" i="34"/>
  <c r="Z1912" i="34"/>
  <c r="W1912" i="34"/>
  <c r="U1912" i="34"/>
  <c r="A1916" i="34"/>
  <c r="U1916" i="34"/>
  <c r="Z1916" i="34"/>
  <c r="W1916" i="34"/>
  <c r="A1941" i="34"/>
  <c r="U1941" i="34"/>
  <c r="Z1941" i="34"/>
  <c r="W1941" i="34"/>
  <c r="A1945" i="34"/>
  <c r="U1945" i="34"/>
  <c r="Z1945" i="34"/>
  <c r="W1945" i="34"/>
  <c r="A1820" i="34"/>
  <c r="U1820" i="34"/>
  <c r="Z1820" i="34"/>
  <c r="W1820" i="34"/>
  <c r="A1950" i="34"/>
  <c r="W1950" i="34"/>
  <c r="U1950" i="34"/>
  <c r="Z1950" i="34"/>
  <c r="A1758" i="34"/>
  <c r="A1762" i="34"/>
  <c r="A1766" i="34"/>
  <c r="A1963" i="34"/>
  <c r="Z1963" i="34"/>
  <c r="W1963" i="34"/>
  <c r="U1963" i="34"/>
  <c r="A1975" i="34"/>
  <c r="Z1975" i="34"/>
  <c r="W1975" i="34"/>
  <c r="U1975" i="34"/>
  <c r="A1979" i="34"/>
  <c r="Z1979" i="34"/>
  <c r="W1979" i="34"/>
  <c r="U1979" i="34"/>
  <c r="A1797" i="34"/>
  <c r="W1797" i="34"/>
  <c r="U1797" i="34"/>
  <c r="Z1797" i="34"/>
  <c r="A1801" i="34"/>
  <c r="W1801" i="34"/>
  <c r="U1801" i="34"/>
  <c r="Z1801" i="34"/>
  <c r="A1805" i="34"/>
  <c r="W1805" i="34"/>
  <c r="U1805" i="34"/>
  <c r="Z1805" i="34"/>
  <c r="A1967" i="34"/>
  <c r="Z1967" i="34"/>
  <c r="W1967" i="34"/>
  <c r="U1967" i="34"/>
  <c r="A1971" i="34"/>
  <c r="Z1971" i="34"/>
  <c r="W1971" i="34"/>
  <c r="U1971" i="34"/>
  <c r="A1984" i="34"/>
  <c r="U1984" i="34"/>
  <c r="Z1984" i="34"/>
  <c r="W1984" i="34"/>
  <c r="A1988" i="34"/>
  <c r="U1988" i="34"/>
  <c r="Z1988" i="34"/>
  <c r="W1988" i="34"/>
  <c r="A1992" i="34"/>
  <c r="U1992" i="34"/>
  <c r="Z1992" i="34"/>
  <c r="W1992" i="34"/>
  <c r="A1771" i="34"/>
  <c r="A1778" i="34"/>
  <c r="A1782" i="34"/>
  <c r="A1787" i="34"/>
  <c r="A1791" i="34"/>
  <c r="A1973" i="34"/>
  <c r="U1973" i="34"/>
  <c r="Z1973" i="34"/>
  <c r="W1973" i="34"/>
  <c r="A1602" i="34"/>
  <c r="A1636" i="34"/>
  <c r="A1674" i="34"/>
  <c r="A1678" i="34"/>
  <c r="A1913" i="34"/>
  <c r="U1913" i="34"/>
  <c r="Z1913" i="34"/>
  <c r="W1913" i="34"/>
  <c r="A1917" i="34"/>
  <c r="U1917" i="34"/>
  <c r="Z1917" i="34"/>
  <c r="W1917" i="34"/>
  <c r="A1942" i="34"/>
  <c r="W1942" i="34"/>
  <c r="U1942" i="34"/>
  <c r="Z1942" i="34"/>
  <c r="A1946" i="34"/>
  <c r="W1946" i="34"/>
  <c r="U1946" i="34"/>
  <c r="Z1946" i="34"/>
  <c r="A1821" i="34"/>
  <c r="W1821" i="34"/>
  <c r="U1821" i="34"/>
  <c r="Z1821" i="34"/>
  <c r="A1951" i="34"/>
  <c r="Z1951" i="34"/>
  <c r="W1951" i="34"/>
  <c r="U1951" i="34"/>
  <c r="A1759" i="34"/>
  <c r="A1763" i="34"/>
  <c r="A1955" i="34"/>
  <c r="Z1955" i="34"/>
  <c r="W1955" i="34"/>
  <c r="U1955" i="34"/>
  <c r="A1974" i="34"/>
  <c r="W1974" i="34"/>
  <c r="U1974" i="34"/>
  <c r="Z1974" i="34"/>
  <c r="A1968" i="34"/>
  <c r="U1968" i="34"/>
  <c r="Z1968" i="34"/>
  <c r="W1968" i="34"/>
  <c r="A1976" i="34"/>
  <c r="U1976" i="34"/>
  <c r="Z1976" i="34"/>
  <c r="W1976" i="34"/>
  <c r="A1774" i="34"/>
  <c r="A1798" i="34"/>
  <c r="Z1798" i="34"/>
  <c r="W1798" i="34"/>
  <c r="U1798" i="34"/>
  <c r="A1802" i="34"/>
  <c r="Z1802" i="34"/>
  <c r="W1802" i="34"/>
  <c r="U1802" i="34"/>
  <c r="A1995" i="34"/>
  <c r="Z1995" i="34"/>
  <c r="W1995" i="34"/>
  <c r="U1995" i="34"/>
  <c r="A1981" i="34"/>
  <c r="U1981" i="34"/>
  <c r="Z1981" i="34"/>
  <c r="W1981" i="34"/>
  <c r="A1972" i="34"/>
  <c r="U1972" i="34"/>
  <c r="Z1972" i="34"/>
  <c r="W1972" i="34"/>
  <c r="A1985" i="34"/>
  <c r="U1985" i="34"/>
  <c r="Z1985" i="34"/>
  <c r="W1985" i="34"/>
  <c r="A1989" i="34"/>
  <c r="U1989" i="34"/>
  <c r="Z1989" i="34"/>
  <c r="W1989" i="34"/>
  <c r="A1993" i="34"/>
  <c r="U1993" i="34"/>
  <c r="Z1993" i="34"/>
  <c r="W1993" i="34"/>
  <c r="A1772" i="34"/>
  <c r="A1779" i="34"/>
  <c r="A1783" i="34"/>
  <c r="A1788" i="34"/>
  <c r="A1792" i="34"/>
  <c r="A1785" i="34"/>
  <c r="A1603" i="34"/>
  <c r="A1671" i="34"/>
  <c r="A1675" i="34"/>
  <c r="A1706" i="34"/>
  <c r="A1914" i="34"/>
  <c r="W1914" i="34"/>
  <c r="U1914" i="34"/>
  <c r="Z1914" i="34"/>
  <c r="A1918" i="34"/>
  <c r="W1918" i="34"/>
  <c r="U1918" i="34"/>
  <c r="Z1918" i="34"/>
  <c r="A1943" i="34"/>
  <c r="Z1943" i="34"/>
  <c r="W1943" i="34"/>
  <c r="U1943" i="34"/>
  <c r="A1947" i="34"/>
  <c r="Z1947" i="34"/>
  <c r="W1947" i="34"/>
  <c r="U1947" i="34"/>
  <c r="A1948" i="34"/>
  <c r="U1948" i="34"/>
  <c r="Z1948" i="34"/>
  <c r="W1948" i="34"/>
  <c r="A1952" i="34"/>
  <c r="U1952" i="34"/>
  <c r="Z1952" i="34"/>
  <c r="W1952" i="34"/>
  <c r="A1760" i="34"/>
  <c r="A1764" i="34"/>
  <c r="A1956" i="34"/>
  <c r="U1956" i="34"/>
  <c r="Z1956" i="34"/>
  <c r="W1956" i="34"/>
  <c r="B1301" i="34"/>
  <c r="B909" i="34"/>
  <c r="B884" i="34"/>
  <c r="B883" i="34"/>
  <c r="B850" i="34"/>
  <c r="B849" i="34"/>
  <c r="B848" i="34"/>
  <c r="B847" i="34"/>
  <c r="B846" i="34"/>
  <c r="B843" i="34"/>
  <c r="B842" i="34"/>
  <c r="B841" i="34"/>
  <c r="B840" i="34"/>
  <c r="B839" i="34"/>
  <c r="B838" i="34"/>
  <c r="B837" i="34"/>
  <c r="B836" i="34"/>
  <c r="B835" i="34"/>
  <c r="B834" i="34"/>
  <c r="B832" i="34"/>
  <c r="B831" i="34"/>
  <c r="B830" i="34"/>
  <c r="B829" i="34"/>
  <c r="B828" i="34"/>
  <c r="B827" i="34"/>
  <c r="B826" i="34"/>
  <c r="B825" i="34"/>
  <c r="B824" i="34"/>
  <c r="B823" i="34"/>
  <c r="B822" i="34"/>
  <c r="B820" i="34"/>
  <c r="B819" i="34"/>
  <c r="B818" i="34"/>
  <c r="B817" i="34"/>
  <c r="B814" i="34"/>
  <c r="B813" i="34"/>
  <c r="B811" i="34"/>
  <c r="B810" i="34"/>
  <c r="B809" i="34"/>
  <c r="B808" i="34"/>
  <c r="B807" i="34"/>
  <c r="B806" i="34"/>
  <c r="B804" i="34"/>
  <c r="B803" i="34"/>
  <c r="B801" i="34"/>
  <c r="B800" i="34"/>
  <c r="B787" i="34"/>
  <c r="B786" i="34"/>
  <c r="B770" i="34"/>
  <c r="B769" i="34"/>
  <c r="B759" i="34"/>
  <c r="B758" i="34"/>
  <c r="B757" i="34"/>
  <c r="B756" i="34"/>
  <c r="B755" i="34"/>
  <c r="B754" i="34"/>
  <c r="B749" i="34"/>
  <c r="B748" i="34"/>
  <c r="B746" i="34"/>
  <c r="B745" i="34"/>
  <c r="B743" i="34"/>
  <c r="B742" i="34"/>
  <c r="B741" i="34"/>
  <c r="B739" i="34"/>
  <c r="B738" i="34"/>
  <c r="B737" i="34"/>
  <c r="B709" i="34"/>
  <c r="B708" i="34"/>
  <c r="B707" i="34"/>
  <c r="B693" i="34"/>
  <c r="B692" i="34"/>
  <c r="B654" i="34"/>
  <c r="B653" i="34"/>
  <c r="B651" i="34"/>
  <c r="B650" i="34"/>
  <c r="B1313" i="34"/>
  <c r="B1253" i="34"/>
  <c r="B1087" i="34"/>
  <c r="B1115" i="34"/>
  <c r="B1077" i="34"/>
  <c r="B1113" i="34"/>
  <c r="B1283" i="34"/>
  <c r="B1221" i="34"/>
  <c r="B1224" i="34"/>
  <c r="B1407" i="34"/>
  <c r="B1282" i="34"/>
  <c r="B1081" i="34"/>
  <c r="B1080" i="34"/>
  <c r="B1284" i="34"/>
  <c r="B1258" i="34"/>
  <c r="B1256" i="34"/>
  <c r="B1085" i="34"/>
  <c r="B1433" i="34"/>
  <c r="B1090" i="34"/>
  <c r="B1088" i="34"/>
  <c r="B1261" i="34"/>
  <c r="B1026" i="34"/>
  <c r="B1401" i="34"/>
  <c r="B1082" i="34"/>
  <c r="B1078" i="34"/>
  <c r="B1311" i="34"/>
  <c r="B1259" i="34"/>
  <c r="B1277" i="34"/>
  <c r="B1403" i="34"/>
  <c r="B1272" i="34"/>
  <c r="B1286" i="34"/>
  <c r="B1218" i="34"/>
  <c r="B1225" i="34"/>
  <c r="B1274" i="34"/>
  <c r="B1222" i="34"/>
  <c r="B1248" i="34"/>
  <c r="B1076" i="34"/>
  <c r="B1075" i="34"/>
  <c r="B1069" i="34"/>
  <c r="B1068" i="34"/>
  <c r="B1166" i="34"/>
  <c r="B1074" i="34"/>
  <c r="B1111" i="34"/>
  <c r="B1033" i="34"/>
  <c r="B930" i="34"/>
  <c r="B1037" i="34"/>
  <c r="B1035" i="34"/>
  <c r="B1034" i="34"/>
  <c r="B1119" i="34"/>
  <c r="B1012" i="34"/>
  <c r="B1177" i="34"/>
  <c r="B1042" i="34"/>
  <c r="B991" i="34"/>
  <c r="B989" i="34"/>
  <c r="B988" i="34"/>
  <c r="B903" i="34"/>
  <c r="B902" i="34"/>
  <c r="B901" i="34"/>
  <c r="B900" i="34"/>
  <c r="B899" i="34"/>
  <c r="B898" i="34"/>
  <c r="B897" i="34"/>
  <c r="B896" i="34"/>
  <c r="B895" i="34"/>
  <c r="B894" i="34"/>
  <c r="B893" i="34"/>
  <c r="B892" i="34"/>
  <c r="B891" i="34"/>
  <c r="B890" i="34"/>
  <c r="B889" i="34"/>
  <c r="B888" i="34"/>
  <c r="B887" i="34"/>
  <c r="B1337" i="34"/>
  <c r="B1338" i="34"/>
  <c r="B1339" i="34"/>
  <c r="B1340" i="34"/>
  <c r="B1341" i="34"/>
  <c r="B1416" i="34"/>
  <c r="B1417" i="34"/>
  <c r="B1418" i="34"/>
  <c r="B1420" i="34"/>
  <c r="B1421" i="34"/>
  <c r="B1440" i="34"/>
  <c r="B1441" i="34"/>
  <c r="B1442" i="34"/>
  <c r="B1347" i="34"/>
  <c r="B1348" i="34"/>
  <c r="B1349" i="34"/>
  <c r="B1350" i="34"/>
  <c r="B1351" i="34"/>
  <c r="B1352" i="34"/>
  <c r="B1353" i="34"/>
  <c r="B1354" i="34"/>
  <c r="B1368" i="34"/>
  <c r="B1369" i="34"/>
  <c r="B1370" i="34"/>
  <c r="B1371" i="34"/>
  <c r="B1372" i="34"/>
  <c r="B1373" i="34"/>
  <c r="B1374" i="34"/>
  <c r="B1375" i="34"/>
  <c r="B1376" i="34"/>
  <c r="B1377" i="34"/>
  <c r="B1514" i="34"/>
  <c r="B1515" i="34"/>
  <c r="B1516" i="34"/>
  <c r="B1517" i="34"/>
  <c r="B1518" i="34"/>
  <c r="B1519" i="34"/>
  <c r="B1538" i="34"/>
  <c r="B1539" i="34"/>
  <c r="B1540" i="34"/>
  <c r="B1541" i="34"/>
  <c r="B1542" i="34"/>
  <c r="B1543" i="34"/>
  <c r="B1544" i="34"/>
  <c r="B1545" i="34"/>
  <c r="B1555" i="34"/>
  <c r="B1556" i="34"/>
  <c r="B1557" i="34"/>
  <c r="B1558" i="34"/>
  <c r="B1559" i="34"/>
  <c r="B1560" i="34"/>
  <c r="B1561" i="34"/>
  <c r="B1562" i="34"/>
  <c r="B1609" i="34"/>
  <c r="B1610" i="34"/>
  <c r="B1611" i="34"/>
  <c r="B1612" i="34"/>
  <c r="B1613" i="34"/>
  <c r="B1614" i="34"/>
  <c r="B1615" i="34"/>
  <c r="B1616" i="34"/>
  <c r="B1617" i="34"/>
  <c r="B1619" i="34"/>
  <c r="B1620" i="34"/>
  <c r="B1621" i="34"/>
  <c r="B1622" i="34"/>
  <c r="B1623" i="34"/>
  <c r="B1624" i="34"/>
  <c r="B1625" i="34"/>
  <c r="B1626" i="34"/>
  <c r="B1627" i="34"/>
  <c r="B1628" i="34"/>
  <c r="B1646" i="34"/>
  <c r="B1647" i="34"/>
  <c r="B1648" i="34"/>
  <c r="B1649" i="34"/>
  <c r="B1650" i="34"/>
  <c r="B1651" i="34"/>
  <c r="B1652" i="34"/>
  <c r="B1653" i="34"/>
  <c r="B1683" i="34"/>
  <c r="B1684" i="34"/>
  <c r="B1685" i="34"/>
  <c r="B1686" i="34"/>
  <c r="B1687" i="34"/>
  <c r="B1688" i="34"/>
  <c r="B1689" i="34"/>
  <c r="B1690" i="34"/>
  <c r="B1698" i="34"/>
  <c r="B1699" i="34"/>
  <c r="B1700" i="34"/>
  <c r="B1701" i="34"/>
  <c r="B1702" i="34"/>
  <c r="B1703" i="34"/>
  <c r="B1704" i="34"/>
  <c r="B1929" i="34"/>
  <c r="B1930" i="34"/>
  <c r="B1931" i="34"/>
  <c r="B1327" i="34"/>
  <c r="B1521" i="34"/>
  <c r="B1520" i="34"/>
  <c r="B1385" i="34"/>
  <c r="B1384" i="34"/>
  <c r="B1383" i="34"/>
  <c r="B1382" i="34"/>
  <c r="B1381" i="34"/>
  <c r="B1380" i="34"/>
  <c r="B1379" i="34"/>
  <c r="B1378" i="34"/>
  <c r="B1932" i="34"/>
  <c r="B1570" i="34"/>
  <c r="B1569" i="34"/>
  <c r="B1568" i="34"/>
  <c r="B1567" i="34"/>
  <c r="B1566" i="34"/>
  <c r="B1565" i="34"/>
  <c r="B1564" i="34"/>
  <c r="B1563" i="34"/>
  <c r="B1527" i="34"/>
  <c r="B1526" i="34"/>
  <c r="B1525" i="34"/>
  <c r="B1524" i="34"/>
  <c r="B1523" i="34"/>
  <c r="B1522" i="34"/>
  <c r="B1903" i="34"/>
  <c r="B1902" i="34"/>
  <c r="B1705" i="34"/>
  <c r="B1670" i="34"/>
  <c r="B1669" i="34"/>
  <c r="B1668" i="34"/>
  <c r="B1667" i="34"/>
  <c r="B1666" i="34"/>
  <c r="B1665" i="34"/>
  <c r="B1664" i="34"/>
  <c r="B1663" i="34"/>
  <c r="B1635" i="34"/>
  <c r="B1598" i="34"/>
  <c r="B1597" i="34"/>
  <c r="B1596" i="34"/>
  <c r="B1595" i="34"/>
  <c r="B1594" i="34"/>
  <c r="B1593" i="34"/>
  <c r="B1592" i="34"/>
  <c r="B1750" i="34"/>
  <c r="B1749" i="34"/>
  <c r="B1748" i="34"/>
  <c r="B1747" i="34"/>
  <c r="B1819" i="34"/>
  <c r="B1818" i="34"/>
  <c r="B1817" i="34"/>
  <c r="B1816" i="34"/>
  <c r="B1815" i="34"/>
  <c r="B1940" i="34"/>
  <c r="B1939" i="34"/>
  <c r="B1938" i="34"/>
  <c r="B1937" i="34"/>
  <c r="B1936" i="34"/>
  <c r="B1935" i="34"/>
  <c r="B1934" i="34"/>
  <c r="B1933" i="34"/>
  <c r="B1910" i="34"/>
  <c r="B1909" i="34"/>
  <c r="B1908" i="34"/>
  <c r="B1907" i="34"/>
  <c r="B1906" i="34"/>
  <c r="B1905" i="34"/>
  <c r="B1904" i="34"/>
  <c r="B1391" i="34"/>
  <c r="B1390" i="34"/>
  <c r="B1389" i="34"/>
  <c r="B1388" i="34"/>
  <c r="B1387" i="34"/>
  <c r="B1386" i="34"/>
  <c r="B1317" i="34"/>
  <c r="B1307" i="34"/>
  <c r="B1306" i="34"/>
  <c r="B1757" i="34"/>
  <c r="B1756" i="34"/>
  <c r="B1755" i="34"/>
  <c r="B1754" i="34"/>
  <c r="B1753" i="34"/>
  <c r="B1752" i="34"/>
  <c r="B1751" i="34"/>
  <c r="B1965" i="34"/>
  <c r="B1980" i="34"/>
  <c r="B1964" i="34"/>
  <c r="U1753" i="34" l="1"/>
  <c r="Z1753" i="34"/>
  <c r="W1753" i="34"/>
  <c r="U1757" i="34"/>
  <c r="Z1757" i="34"/>
  <c r="W1757" i="34"/>
  <c r="A1386" i="34"/>
  <c r="U1386" i="34"/>
  <c r="Z1386" i="34"/>
  <c r="W1386" i="34"/>
  <c r="A1390" i="34"/>
  <c r="U1390" i="34"/>
  <c r="Z1390" i="34"/>
  <c r="W1390" i="34"/>
  <c r="U1749" i="34"/>
  <c r="Z1749" i="34"/>
  <c r="W1749" i="34"/>
  <c r="A1594" i="34"/>
  <c r="W1594" i="34"/>
  <c r="U1594" i="34"/>
  <c r="Z1594" i="34"/>
  <c r="A1598" i="34"/>
  <c r="W1598" i="34"/>
  <c r="U1598" i="34"/>
  <c r="Z1598" i="34"/>
  <c r="U1665" i="34"/>
  <c r="Z1665" i="34"/>
  <c r="W1665" i="34"/>
  <c r="U1669" i="34"/>
  <c r="Z1669" i="34"/>
  <c r="W1669" i="34"/>
  <c r="A1525" i="34"/>
  <c r="Z1525" i="34"/>
  <c r="W1525" i="34"/>
  <c r="U1525" i="34"/>
  <c r="A1564" i="34"/>
  <c r="U1564" i="34"/>
  <c r="Z1564" i="34"/>
  <c r="W1564" i="34"/>
  <c r="A1568" i="34"/>
  <c r="Z1568" i="34"/>
  <c r="W1568" i="34"/>
  <c r="U1568" i="34"/>
  <c r="A1378" i="34"/>
  <c r="U1378" i="34"/>
  <c r="Z1378" i="34"/>
  <c r="W1378" i="34"/>
  <c r="A1382" i="34"/>
  <c r="U1382" i="34"/>
  <c r="Z1382" i="34"/>
  <c r="W1382" i="34"/>
  <c r="A1520" i="34"/>
  <c r="U1520" i="34"/>
  <c r="Z1520" i="34"/>
  <c r="W1520" i="34"/>
  <c r="W1702" i="34"/>
  <c r="U1702" i="34"/>
  <c r="Z1702" i="34"/>
  <c r="W1698" i="34"/>
  <c r="U1698" i="34"/>
  <c r="Z1698" i="34"/>
  <c r="U1687" i="34"/>
  <c r="Z1687" i="34"/>
  <c r="W1687" i="34"/>
  <c r="U1683" i="34"/>
  <c r="Z1683" i="34"/>
  <c r="W1683" i="34"/>
  <c r="W1650" i="34"/>
  <c r="U1650" i="34"/>
  <c r="Z1650" i="34"/>
  <c r="W1646" i="34"/>
  <c r="U1646" i="34"/>
  <c r="Z1646" i="34"/>
  <c r="U1625" i="34"/>
  <c r="Z1625" i="34"/>
  <c r="W1625" i="34"/>
  <c r="U1621" i="34"/>
  <c r="Z1621" i="34"/>
  <c r="W1621" i="34"/>
  <c r="W1616" i="34"/>
  <c r="U1616" i="34"/>
  <c r="Z1616" i="34"/>
  <c r="W1612" i="34"/>
  <c r="U1612" i="34"/>
  <c r="Z1612" i="34"/>
  <c r="A1562" i="34"/>
  <c r="U1562" i="34"/>
  <c r="Z1562" i="34"/>
  <c r="W1562" i="34"/>
  <c r="A1558" i="34"/>
  <c r="U1558" i="34"/>
  <c r="Z1558" i="34"/>
  <c r="W1558" i="34"/>
  <c r="A1545" i="34"/>
  <c r="Z1545" i="34"/>
  <c r="W1545" i="34"/>
  <c r="U1545" i="34"/>
  <c r="A1541" i="34"/>
  <c r="Z1541" i="34"/>
  <c r="W1541" i="34"/>
  <c r="U1541" i="34"/>
  <c r="A1519" i="34"/>
  <c r="Z1519" i="34"/>
  <c r="W1519" i="34"/>
  <c r="U1519" i="34"/>
  <c r="A1515" i="34"/>
  <c r="Z1515" i="34"/>
  <c r="W1515" i="34"/>
  <c r="U1515" i="34"/>
  <c r="A1375" i="34"/>
  <c r="Z1375" i="34"/>
  <c r="W1375" i="34"/>
  <c r="U1375" i="34"/>
  <c r="A1371" i="34"/>
  <c r="Z1371" i="34"/>
  <c r="W1371" i="34"/>
  <c r="U1371" i="34"/>
  <c r="A1354" i="34"/>
  <c r="U1354" i="34"/>
  <c r="Z1354" i="34"/>
  <c r="W1354" i="34"/>
  <c r="A1350" i="34"/>
  <c r="U1350" i="34"/>
  <c r="Z1350" i="34"/>
  <c r="W1350" i="34"/>
  <c r="A1442" i="34"/>
  <c r="U1442" i="34"/>
  <c r="Z1442" i="34"/>
  <c r="W1442" i="34"/>
  <c r="A1420" i="34"/>
  <c r="U1420" i="34"/>
  <c r="Z1420" i="34"/>
  <c r="W1420" i="34"/>
  <c r="A1341" i="34"/>
  <c r="Z1341" i="34"/>
  <c r="W1341" i="34"/>
  <c r="U1341" i="34"/>
  <c r="A1337" i="34"/>
  <c r="Z1337" i="34"/>
  <c r="W1337" i="34"/>
  <c r="U1337" i="34"/>
  <c r="A890" i="34"/>
  <c r="W890" i="34"/>
  <c r="U890" i="34"/>
  <c r="Z890" i="34"/>
  <c r="A894" i="34"/>
  <c r="W894" i="34"/>
  <c r="U894" i="34"/>
  <c r="Z894" i="34"/>
  <c r="A898" i="34"/>
  <c r="W898" i="34"/>
  <c r="U898" i="34"/>
  <c r="Z898" i="34"/>
  <c r="A902" i="34"/>
  <c r="W902" i="34"/>
  <c r="U902" i="34"/>
  <c r="Z902" i="34"/>
  <c r="A991" i="34"/>
  <c r="U991" i="34"/>
  <c r="Z991" i="34"/>
  <c r="W991" i="34"/>
  <c r="A1119" i="34"/>
  <c r="U1119" i="34"/>
  <c r="Z1119" i="34"/>
  <c r="W1119" i="34"/>
  <c r="A930" i="34"/>
  <c r="Z930" i="34"/>
  <c r="U930" i="34"/>
  <c r="W930" i="34"/>
  <c r="A1166" i="34"/>
  <c r="Z1166" i="34"/>
  <c r="W1166" i="34"/>
  <c r="U1166" i="34"/>
  <c r="A1076" i="34"/>
  <c r="Z1076" i="34"/>
  <c r="W1076" i="34"/>
  <c r="U1076" i="34"/>
  <c r="A1225" i="34"/>
  <c r="Z1225" i="34"/>
  <c r="W1225" i="34"/>
  <c r="U1225" i="34"/>
  <c r="A1403" i="34"/>
  <c r="Z1403" i="34"/>
  <c r="W1403" i="34"/>
  <c r="U1403" i="34"/>
  <c r="A1078" i="34"/>
  <c r="Z1078" i="34"/>
  <c r="W1078" i="34"/>
  <c r="U1078" i="34"/>
  <c r="A1261" i="34"/>
  <c r="Z1261" i="34"/>
  <c r="W1261" i="34"/>
  <c r="U1261" i="34"/>
  <c r="A1085" i="34"/>
  <c r="U1085" i="34"/>
  <c r="Z1085" i="34"/>
  <c r="W1085" i="34"/>
  <c r="A1080" i="34"/>
  <c r="Z1080" i="34"/>
  <c r="W1080" i="34"/>
  <c r="U1080" i="34"/>
  <c r="A1224" i="34"/>
  <c r="Z1224" i="34"/>
  <c r="U1224" i="34"/>
  <c r="W1224" i="34"/>
  <c r="A1077" i="34"/>
  <c r="U1077" i="34"/>
  <c r="Z1077" i="34"/>
  <c r="W1077" i="34"/>
  <c r="A1313" i="34"/>
  <c r="Z1313" i="34"/>
  <c r="W1313" i="34"/>
  <c r="U1313" i="34"/>
  <c r="A654" i="34"/>
  <c r="W654" i="34"/>
  <c r="U654" i="34"/>
  <c r="Z654" i="34"/>
  <c r="A708" i="34"/>
  <c r="W708" i="34"/>
  <c r="U708" i="34"/>
  <c r="Z708" i="34"/>
  <c r="A739" i="34"/>
  <c r="U739" i="34"/>
  <c r="Z739" i="34"/>
  <c r="W739" i="34"/>
  <c r="A745" i="34"/>
  <c r="U745" i="34"/>
  <c r="Z745" i="34"/>
  <c r="W745" i="34"/>
  <c r="A754" i="34"/>
  <c r="W754" i="34"/>
  <c r="U754" i="34"/>
  <c r="Z754" i="34"/>
  <c r="A758" i="34"/>
  <c r="W758" i="34"/>
  <c r="U758" i="34"/>
  <c r="Z758" i="34"/>
  <c r="A786" i="34"/>
  <c r="W786" i="34"/>
  <c r="U786" i="34"/>
  <c r="Z786" i="34"/>
  <c r="A803" i="34"/>
  <c r="U803" i="34"/>
  <c r="Z803" i="34"/>
  <c r="W803" i="34"/>
  <c r="A808" i="34"/>
  <c r="W808" i="34"/>
  <c r="U808" i="34"/>
  <c r="Z808" i="34"/>
  <c r="A813" i="34"/>
  <c r="U813" i="34"/>
  <c r="Z813" i="34"/>
  <c r="W813" i="34"/>
  <c r="A819" i="34"/>
  <c r="U819" i="34"/>
  <c r="Z819" i="34"/>
  <c r="W819" i="34"/>
  <c r="A824" i="34"/>
  <c r="W824" i="34"/>
  <c r="U824" i="34"/>
  <c r="Z824" i="34"/>
  <c r="A828" i="34"/>
  <c r="W828" i="34"/>
  <c r="U828" i="34"/>
  <c r="Z828" i="34"/>
  <c r="A832" i="34"/>
  <c r="W832" i="34"/>
  <c r="U832" i="34"/>
  <c r="Z832" i="34"/>
  <c r="A837" i="34"/>
  <c r="U837" i="34"/>
  <c r="Z837" i="34"/>
  <c r="W837" i="34"/>
  <c r="A841" i="34"/>
  <c r="U841" i="34"/>
  <c r="Z841" i="34"/>
  <c r="W841" i="34"/>
  <c r="A847" i="34"/>
  <c r="U847" i="34"/>
  <c r="Z847" i="34"/>
  <c r="W847" i="34"/>
  <c r="A883" i="34"/>
  <c r="U883" i="34"/>
  <c r="Z883" i="34"/>
  <c r="W883" i="34"/>
  <c r="U1751" i="34"/>
  <c r="Z1751" i="34"/>
  <c r="W1751" i="34"/>
  <c r="W1754" i="34"/>
  <c r="U1754" i="34"/>
  <c r="Z1754" i="34"/>
  <c r="A1306" i="34"/>
  <c r="U1306" i="34"/>
  <c r="Z1306" i="34"/>
  <c r="W1306" i="34"/>
  <c r="A1387" i="34"/>
  <c r="Z1387" i="34"/>
  <c r="W1387" i="34"/>
  <c r="U1387" i="34"/>
  <c r="A1391" i="34"/>
  <c r="Z1391" i="34"/>
  <c r="W1391" i="34"/>
  <c r="U1391" i="34"/>
  <c r="W1750" i="34"/>
  <c r="U1750" i="34"/>
  <c r="Z1750" i="34"/>
  <c r="A1595" i="34"/>
  <c r="U1595" i="34"/>
  <c r="Z1595" i="34"/>
  <c r="W1595" i="34"/>
  <c r="U1635" i="34"/>
  <c r="Z1635" i="34"/>
  <c r="W1635" i="34"/>
  <c r="W1666" i="34"/>
  <c r="U1666" i="34"/>
  <c r="Z1666" i="34"/>
  <c r="W1670" i="34"/>
  <c r="U1670" i="34"/>
  <c r="Z1670" i="34"/>
  <c r="A1522" i="34"/>
  <c r="U1522" i="34"/>
  <c r="Z1522" i="34"/>
  <c r="W1522" i="34"/>
  <c r="A1526" i="34"/>
  <c r="U1526" i="34"/>
  <c r="Z1526" i="34"/>
  <c r="W1526" i="34"/>
  <c r="A1565" i="34"/>
  <c r="Z1565" i="34"/>
  <c r="W1565" i="34"/>
  <c r="U1565" i="34"/>
  <c r="A1569" i="34"/>
  <c r="Z1569" i="34"/>
  <c r="U1569" i="34"/>
  <c r="W1569" i="34"/>
  <c r="A1379" i="34"/>
  <c r="Z1379" i="34"/>
  <c r="W1379" i="34"/>
  <c r="U1379" i="34"/>
  <c r="A1383" i="34"/>
  <c r="Z1383" i="34"/>
  <c r="W1383" i="34"/>
  <c r="U1383" i="34"/>
  <c r="A1521" i="34"/>
  <c r="Z1521" i="34"/>
  <c r="W1521" i="34"/>
  <c r="U1521" i="34"/>
  <c r="U1701" i="34"/>
  <c r="Z1701" i="34"/>
  <c r="W1701" i="34"/>
  <c r="W1690" i="34"/>
  <c r="U1690" i="34"/>
  <c r="Z1690" i="34"/>
  <c r="W1686" i="34"/>
  <c r="U1686" i="34"/>
  <c r="Z1686" i="34"/>
  <c r="U1653" i="34"/>
  <c r="Z1653" i="34"/>
  <c r="W1653" i="34"/>
  <c r="U1649" i="34"/>
  <c r="Z1649" i="34"/>
  <c r="W1649" i="34"/>
  <c r="W1628" i="34"/>
  <c r="U1628" i="34"/>
  <c r="Z1628" i="34"/>
  <c r="W1624" i="34"/>
  <c r="U1624" i="34"/>
  <c r="Z1624" i="34"/>
  <c r="W1620" i="34"/>
  <c r="U1620" i="34"/>
  <c r="Z1620" i="34"/>
  <c r="U1615" i="34"/>
  <c r="Z1615" i="34"/>
  <c r="W1615" i="34"/>
  <c r="U1611" i="34"/>
  <c r="Z1611" i="34"/>
  <c r="W1611" i="34"/>
  <c r="A1561" i="34"/>
  <c r="Z1561" i="34"/>
  <c r="W1561" i="34"/>
  <c r="U1561" i="34"/>
  <c r="A1557" i="34"/>
  <c r="Z1557" i="34"/>
  <c r="W1557" i="34"/>
  <c r="U1557" i="34"/>
  <c r="A1544" i="34"/>
  <c r="U1544" i="34"/>
  <c r="Z1544" i="34"/>
  <c r="W1544" i="34"/>
  <c r="A1540" i="34"/>
  <c r="U1540" i="34"/>
  <c r="Z1540" i="34"/>
  <c r="W1540" i="34"/>
  <c r="A1518" i="34"/>
  <c r="U1518" i="34"/>
  <c r="Z1518" i="34"/>
  <c r="W1518" i="34"/>
  <c r="A1514" i="34"/>
  <c r="U1514" i="34"/>
  <c r="Z1514" i="34"/>
  <c r="W1514" i="34"/>
  <c r="A1374" i="34"/>
  <c r="U1374" i="34"/>
  <c r="Z1374" i="34"/>
  <c r="W1374" i="34"/>
  <c r="A1370" i="34"/>
  <c r="U1370" i="34"/>
  <c r="Z1370" i="34"/>
  <c r="W1370" i="34"/>
  <c r="A1353" i="34"/>
  <c r="Z1353" i="34"/>
  <c r="W1353" i="34"/>
  <c r="U1353" i="34"/>
  <c r="A1349" i="34"/>
  <c r="Z1349" i="34"/>
  <c r="W1349" i="34"/>
  <c r="U1349" i="34"/>
  <c r="A1441" i="34"/>
  <c r="Z1441" i="34"/>
  <c r="W1441" i="34"/>
  <c r="U1441" i="34"/>
  <c r="A1418" i="34"/>
  <c r="U1418" i="34"/>
  <c r="Z1418" i="34"/>
  <c r="W1418" i="34"/>
  <c r="A1340" i="34"/>
  <c r="U1340" i="34"/>
  <c r="Z1340" i="34"/>
  <c r="W1340" i="34"/>
  <c r="A887" i="34"/>
  <c r="U887" i="34"/>
  <c r="Z887" i="34"/>
  <c r="W887" i="34"/>
  <c r="A891" i="34"/>
  <c r="U891" i="34"/>
  <c r="Z891" i="34"/>
  <c r="W891" i="34"/>
  <c r="A895" i="34"/>
  <c r="U895" i="34"/>
  <c r="Z895" i="34"/>
  <c r="W895" i="34"/>
  <c r="A899" i="34"/>
  <c r="U899" i="34"/>
  <c r="Z899" i="34"/>
  <c r="W899" i="34"/>
  <c r="A903" i="34"/>
  <c r="U903" i="34"/>
  <c r="Z903" i="34"/>
  <c r="W903" i="34"/>
  <c r="A1042" i="34"/>
  <c r="Z1042" i="34"/>
  <c r="W1042" i="34"/>
  <c r="U1042" i="34"/>
  <c r="A1034" i="34"/>
  <c r="Z1034" i="34"/>
  <c r="W1034" i="34"/>
  <c r="U1034" i="34"/>
  <c r="A1033" i="34"/>
  <c r="U1033" i="34"/>
  <c r="Z1033" i="34"/>
  <c r="W1033" i="34"/>
  <c r="A1068" i="34"/>
  <c r="Z1068" i="34"/>
  <c r="W1068" i="34"/>
  <c r="U1068" i="34"/>
  <c r="A1248" i="34"/>
  <c r="U1248" i="34"/>
  <c r="Z1248" i="34"/>
  <c r="W1248" i="34"/>
  <c r="A1218" i="34"/>
  <c r="Z1218" i="34"/>
  <c r="W1218" i="34"/>
  <c r="U1218" i="34"/>
  <c r="A1277" i="34"/>
  <c r="Z1277" i="34"/>
  <c r="W1277" i="34"/>
  <c r="U1277" i="34"/>
  <c r="A1082" i="34"/>
  <c r="Z1082" i="34"/>
  <c r="W1082" i="34"/>
  <c r="U1082" i="34"/>
  <c r="A1088" i="34"/>
  <c r="Z1088" i="34"/>
  <c r="W1088" i="34"/>
  <c r="U1088" i="34"/>
  <c r="A1256" i="34"/>
  <c r="U1256" i="34"/>
  <c r="Z1256" i="34"/>
  <c r="W1256" i="34"/>
  <c r="A1081" i="34"/>
  <c r="U1081" i="34"/>
  <c r="Z1081" i="34"/>
  <c r="W1081" i="34"/>
  <c r="A1221" i="34"/>
  <c r="Z1221" i="34"/>
  <c r="W1221" i="34"/>
  <c r="U1221" i="34"/>
  <c r="A1115" i="34"/>
  <c r="U1115" i="34"/>
  <c r="Z1115" i="34"/>
  <c r="W1115" i="34"/>
  <c r="A650" i="34"/>
  <c r="W650" i="34"/>
  <c r="U650" i="34"/>
  <c r="Z650" i="34"/>
  <c r="A692" i="34"/>
  <c r="W692" i="34"/>
  <c r="U692" i="34"/>
  <c r="Z692" i="34"/>
  <c r="A709" i="34"/>
  <c r="U709" i="34"/>
  <c r="Z709" i="34"/>
  <c r="W709" i="34"/>
  <c r="A741" i="34"/>
  <c r="U741" i="34"/>
  <c r="Z741" i="34"/>
  <c r="W741" i="34"/>
  <c r="A746" i="34"/>
  <c r="W746" i="34"/>
  <c r="U746" i="34"/>
  <c r="Z746" i="34"/>
  <c r="A755" i="34"/>
  <c r="U755" i="34"/>
  <c r="Z755" i="34"/>
  <c r="W755" i="34"/>
  <c r="A759" i="34"/>
  <c r="U759" i="34"/>
  <c r="Z759" i="34"/>
  <c r="W759" i="34"/>
  <c r="A787" i="34"/>
  <c r="U787" i="34"/>
  <c r="Z787" i="34"/>
  <c r="W787" i="34"/>
  <c r="A804" i="34"/>
  <c r="W804" i="34"/>
  <c r="U804" i="34"/>
  <c r="Z804" i="34"/>
  <c r="A809" i="34"/>
  <c r="U809" i="34"/>
  <c r="Z809" i="34"/>
  <c r="W809" i="34"/>
  <c r="A814" i="34"/>
  <c r="W814" i="34"/>
  <c r="U814" i="34"/>
  <c r="Z814" i="34"/>
  <c r="A820" i="34"/>
  <c r="W820" i="34"/>
  <c r="U820" i="34"/>
  <c r="Z820" i="34"/>
  <c r="A825" i="34"/>
  <c r="U825" i="34"/>
  <c r="Z825" i="34"/>
  <c r="W825" i="34"/>
  <c r="A829" i="34"/>
  <c r="U829" i="34"/>
  <c r="Z829" i="34"/>
  <c r="W829" i="34"/>
  <c r="A834" i="34"/>
  <c r="W834" i="34"/>
  <c r="U834" i="34"/>
  <c r="Z834" i="34"/>
  <c r="A838" i="34"/>
  <c r="W838" i="34"/>
  <c r="U838" i="34"/>
  <c r="Z838" i="34"/>
  <c r="A842" i="34"/>
  <c r="W842" i="34"/>
  <c r="U842" i="34"/>
  <c r="Z842" i="34"/>
  <c r="A848" i="34"/>
  <c r="W848" i="34"/>
  <c r="U848" i="34"/>
  <c r="Z848" i="34"/>
  <c r="A884" i="34"/>
  <c r="W884" i="34"/>
  <c r="U884" i="34"/>
  <c r="Z884" i="34"/>
  <c r="A1307" i="34"/>
  <c r="Z1307" i="34"/>
  <c r="W1307" i="34"/>
  <c r="U1307" i="34"/>
  <c r="A1388" i="34"/>
  <c r="U1388" i="34"/>
  <c r="Z1388" i="34"/>
  <c r="W1388" i="34"/>
  <c r="U1747" i="34"/>
  <c r="Z1747" i="34"/>
  <c r="W1747" i="34"/>
  <c r="A1592" i="34"/>
  <c r="W1592" i="34"/>
  <c r="U1592" i="34"/>
  <c r="Z1592" i="34"/>
  <c r="A1596" i="34"/>
  <c r="W1596" i="34"/>
  <c r="U1596" i="34"/>
  <c r="Z1596" i="34"/>
  <c r="U1663" i="34"/>
  <c r="Z1663" i="34"/>
  <c r="W1663" i="34"/>
  <c r="U1667" i="34"/>
  <c r="Z1667" i="34"/>
  <c r="W1667" i="34"/>
  <c r="U1705" i="34"/>
  <c r="Z1705" i="34"/>
  <c r="W1705" i="34"/>
  <c r="A1523" i="34"/>
  <c r="Z1523" i="34"/>
  <c r="W1523" i="34"/>
  <c r="U1523" i="34"/>
  <c r="A1527" i="34"/>
  <c r="Z1527" i="34"/>
  <c r="W1527" i="34"/>
  <c r="U1527" i="34"/>
  <c r="A1566" i="34"/>
  <c r="Z1566" i="34"/>
  <c r="W1566" i="34"/>
  <c r="U1566" i="34"/>
  <c r="A1570" i="34"/>
  <c r="W1570" i="34"/>
  <c r="U1570" i="34"/>
  <c r="Z1570" i="34"/>
  <c r="A1380" i="34"/>
  <c r="U1380" i="34"/>
  <c r="Z1380" i="34"/>
  <c r="W1380" i="34"/>
  <c r="A1384" i="34"/>
  <c r="U1384" i="34"/>
  <c r="Z1384" i="34"/>
  <c r="W1384" i="34"/>
  <c r="A1327" i="34"/>
  <c r="Z1327" i="34"/>
  <c r="W1327" i="34"/>
  <c r="U1327" i="34"/>
  <c r="W1704" i="34"/>
  <c r="U1704" i="34"/>
  <c r="Z1704" i="34"/>
  <c r="W1700" i="34"/>
  <c r="U1700" i="34"/>
  <c r="Z1700" i="34"/>
  <c r="U1689" i="34"/>
  <c r="Z1689" i="34"/>
  <c r="W1689" i="34"/>
  <c r="U1685" i="34"/>
  <c r="Z1685" i="34"/>
  <c r="W1685" i="34"/>
  <c r="W1652" i="34"/>
  <c r="U1652" i="34"/>
  <c r="Z1652" i="34"/>
  <c r="W1648" i="34"/>
  <c r="U1648" i="34"/>
  <c r="Z1648" i="34"/>
  <c r="U1627" i="34"/>
  <c r="Z1627" i="34"/>
  <c r="W1627" i="34"/>
  <c r="U1623" i="34"/>
  <c r="Z1623" i="34"/>
  <c r="W1623" i="34"/>
  <c r="U1619" i="34"/>
  <c r="Z1619" i="34"/>
  <c r="W1619" i="34"/>
  <c r="W1614" i="34"/>
  <c r="U1614" i="34"/>
  <c r="Z1614" i="34"/>
  <c r="W1610" i="34"/>
  <c r="U1610" i="34"/>
  <c r="Z1610" i="34"/>
  <c r="A1560" i="34"/>
  <c r="U1560" i="34"/>
  <c r="Z1560" i="34"/>
  <c r="W1560" i="34"/>
  <c r="A1556" i="34"/>
  <c r="U1556" i="34"/>
  <c r="Z1556" i="34"/>
  <c r="W1556" i="34"/>
  <c r="A1543" i="34"/>
  <c r="Z1543" i="34"/>
  <c r="W1543" i="34"/>
  <c r="U1543" i="34"/>
  <c r="A1539" i="34"/>
  <c r="Z1539" i="34"/>
  <c r="W1539" i="34"/>
  <c r="U1539" i="34"/>
  <c r="A1517" i="34"/>
  <c r="Z1517" i="34"/>
  <c r="W1517" i="34"/>
  <c r="U1517" i="34"/>
  <c r="A1377" i="34"/>
  <c r="Z1377" i="34"/>
  <c r="W1377" i="34"/>
  <c r="U1377" i="34"/>
  <c r="A1373" i="34"/>
  <c r="Z1373" i="34"/>
  <c r="W1373" i="34"/>
  <c r="U1373" i="34"/>
  <c r="A1369" i="34"/>
  <c r="Z1369" i="34"/>
  <c r="W1369" i="34"/>
  <c r="U1369" i="34"/>
  <c r="A1352" i="34"/>
  <c r="U1352" i="34"/>
  <c r="Z1352" i="34"/>
  <c r="W1352" i="34"/>
  <c r="A1348" i="34"/>
  <c r="U1348" i="34"/>
  <c r="Z1348" i="34"/>
  <c r="W1348" i="34"/>
  <c r="A1440" i="34"/>
  <c r="U1440" i="34"/>
  <c r="Z1440" i="34"/>
  <c r="W1440" i="34"/>
  <c r="A1417" i="34"/>
  <c r="Z1417" i="34"/>
  <c r="W1417" i="34"/>
  <c r="U1417" i="34"/>
  <c r="A1339" i="34"/>
  <c r="Z1339" i="34"/>
  <c r="W1339" i="34"/>
  <c r="U1339" i="34"/>
  <c r="A888" i="34"/>
  <c r="W888" i="34"/>
  <c r="U888" i="34"/>
  <c r="Z888" i="34"/>
  <c r="A892" i="34"/>
  <c r="W892" i="34"/>
  <c r="U892" i="34"/>
  <c r="Z892" i="34"/>
  <c r="A896" i="34"/>
  <c r="W896" i="34"/>
  <c r="U896" i="34"/>
  <c r="Z896" i="34"/>
  <c r="A900" i="34"/>
  <c r="W900" i="34"/>
  <c r="U900" i="34"/>
  <c r="Z900" i="34"/>
  <c r="A988" i="34"/>
  <c r="Z988" i="34"/>
  <c r="W988" i="34"/>
  <c r="U988" i="34"/>
  <c r="A1177" i="34"/>
  <c r="U1177" i="34"/>
  <c r="Z1177" i="34"/>
  <c r="W1177" i="34"/>
  <c r="A1035" i="34"/>
  <c r="U1035" i="34"/>
  <c r="Z1035" i="34"/>
  <c r="W1035" i="34"/>
  <c r="A1111" i="34"/>
  <c r="U1111" i="34"/>
  <c r="Z1111" i="34"/>
  <c r="W1111" i="34"/>
  <c r="A1069" i="34"/>
  <c r="U1069" i="34"/>
  <c r="Z1069" i="34"/>
  <c r="W1069" i="34"/>
  <c r="A1222" i="34"/>
  <c r="Z1222" i="34"/>
  <c r="U1222" i="34"/>
  <c r="W1222" i="34"/>
  <c r="A1286" i="34"/>
  <c r="U1286" i="34"/>
  <c r="Z1286" i="34"/>
  <c r="W1286" i="34"/>
  <c r="A1259" i="34"/>
  <c r="Z1259" i="34"/>
  <c r="W1259" i="34"/>
  <c r="U1259" i="34"/>
  <c r="A1401" i="34"/>
  <c r="Z1401" i="34"/>
  <c r="W1401" i="34"/>
  <c r="U1401" i="34"/>
  <c r="A1090" i="34"/>
  <c r="Z1090" i="34"/>
  <c r="W1090" i="34"/>
  <c r="U1090" i="34"/>
  <c r="A1258" i="34"/>
  <c r="U1258" i="34"/>
  <c r="Z1258" i="34"/>
  <c r="W1258" i="34"/>
  <c r="A1282" i="34"/>
  <c r="U1282" i="34"/>
  <c r="Z1282" i="34"/>
  <c r="W1282" i="34"/>
  <c r="A1283" i="34"/>
  <c r="Z1283" i="34"/>
  <c r="W1283" i="34"/>
  <c r="U1283" i="34"/>
  <c r="A1087" i="34"/>
  <c r="U1087" i="34"/>
  <c r="Z1087" i="34"/>
  <c r="W1087" i="34"/>
  <c r="A651" i="34"/>
  <c r="U651" i="34"/>
  <c r="Z651" i="34"/>
  <c r="W651" i="34"/>
  <c r="A693" i="34"/>
  <c r="U693" i="34"/>
  <c r="Z693" i="34"/>
  <c r="W693" i="34"/>
  <c r="A737" i="34"/>
  <c r="U737" i="34"/>
  <c r="Z737" i="34"/>
  <c r="W737" i="34"/>
  <c r="A742" i="34"/>
  <c r="W742" i="34"/>
  <c r="U742" i="34"/>
  <c r="Z742" i="34"/>
  <c r="A748" i="34"/>
  <c r="W748" i="34"/>
  <c r="U748" i="34"/>
  <c r="Z748" i="34"/>
  <c r="A756" i="34"/>
  <c r="W756" i="34"/>
  <c r="U756" i="34"/>
  <c r="Z756" i="34"/>
  <c r="A769" i="34"/>
  <c r="U769" i="34"/>
  <c r="Z769" i="34"/>
  <c r="W769" i="34"/>
  <c r="A800" i="34"/>
  <c r="W800" i="34"/>
  <c r="U800" i="34"/>
  <c r="Z800" i="34"/>
  <c r="A806" i="34"/>
  <c r="W806" i="34"/>
  <c r="U806" i="34"/>
  <c r="Z806" i="34"/>
  <c r="A810" i="34"/>
  <c r="W810" i="34"/>
  <c r="U810" i="34"/>
  <c r="Z810" i="34"/>
  <c r="A817" i="34"/>
  <c r="U817" i="34"/>
  <c r="Z817" i="34"/>
  <c r="W817" i="34"/>
  <c r="A822" i="34"/>
  <c r="W822" i="34"/>
  <c r="U822" i="34"/>
  <c r="Z822" i="34"/>
  <c r="A826" i="34"/>
  <c r="W826" i="34"/>
  <c r="U826" i="34"/>
  <c r="Z826" i="34"/>
  <c r="A830" i="34"/>
  <c r="W830" i="34"/>
  <c r="U830" i="34"/>
  <c r="Z830" i="34"/>
  <c r="A835" i="34"/>
  <c r="U835" i="34"/>
  <c r="Z835" i="34"/>
  <c r="W835" i="34"/>
  <c r="A839" i="34"/>
  <c r="U839" i="34"/>
  <c r="Z839" i="34"/>
  <c r="W839" i="34"/>
  <c r="A843" i="34"/>
  <c r="U843" i="34"/>
  <c r="Z843" i="34"/>
  <c r="W843" i="34"/>
  <c r="A849" i="34"/>
  <c r="U849" i="34"/>
  <c r="Z849" i="34"/>
  <c r="W849" i="34"/>
  <c r="A909" i="34"/>
  <c r="U909" i="34"/>
  <c r="W909" i="34"/>
  <c r="Z909" i="34"/>
  <c r="U1755" i="34"/>
  <c r="Z1755" i="34"/>
  <c r="W1755" i="34"/>
  <c r="W1752" i="34"/>
  <c r="U1752" i="34"/>
  <c r="Z1752" i="34"/>
  <c r="W1756" i="34"/>
  <c r="U1756" i="34"/>
  <c r="Z1756" i="34"/>
  <c r="A1317" i="34"/>
  <c r="Z1317" i="34"/>
  <c r="W1317" i="34"/>
  <c r="U1317" i="34"/>
  <c r="A1389" i="34"/>
  <c r="Z1389" i="34"/>
  <c r="W1389" i="34"/>
  <c r="U1389" i="34"/>
  <c r="W1748" i="34"/>
  <c r="U1748" i="34"/>
  <c r="Z1748" i="34"/>
  <c r="A1593" i="34"/>
  <c r="U1593" i="34"/>
  <c r="Z1593" i="34"/>
  <c r="W1593" i="34"/>
  <c r="A1597" i="34"/>
  <c r="U1597" i="34"/>
  <c r="Z1597" i="34"/>
  <c r="W1597" i="34"/>
  <c r="W1664" i="34"/>
  <c r="U1664" i="34"/>
  <c r="Z1664" i="34"/>
  <c r="W1668" i="34"/>
  <c r="U1668" i="34"/>
  <c r="Z1668" i="34"/>
  <c r="A1524" i="34"/>
  <c r="U1524" i="34"/>
  <c r="Z1524" i="34"/>
  <c r="W1524" i="34"/>
  <c r="A1563" i="34"/>
  <c r="Z1563" i="34"/>
  <c r="W1563" i="34"/>
  <c r="U1563" i="34"/>
  <c r="A1567" i="34"/>
  <c r="Z1567" i="34"/>
  <c r="U1567" i="34"/>
  <c r="W1567" i="34"/>
  <c r="A1381" i="34"/>
  <c r="Z1381" i="34"/>
  <c r="W1381" i="34"/>
  <c r="U1381" i="34"/>
  <c r="A1385" i="34"/>
  <c r="Z1385" i="34"/>
  <c r="W1385" i="34"/>
  <c r="U1385" i="34"/>
  <c r="U1703" i="34"/>
  <c r="Z1703" i="34"/>
  <c r="W1703" i="34"/>
  <c r="U1699" i="34"/>
  <c r="Z1699" i="34"/>
  <c r="W1699" i="34"/>
  <c r="W1688" i="34"/>
  <c r="U1688" i="34"/>
  <c r="Z1688" i="34"/>
  <c r="W1684" i="34"/>
  <c r="U1684" i="34"/>
  <c r="Z1684" i="34"/>
  <c r="U1651" i="34"/>
  <c r="Z1651" i="34"/>
  <c r="W1651" i="34"/>
  <c r="U1647" i="34"/>
  <c r="Z1647" i="34"/>
  <c r="W1647" i="34"/>
  <c r="W1626" i="34"/>
  <c r="U1626" i="34"/>
  <c r="Z1626" i="34"/>
  <c r="W1622" i="34"/>
  <c r="U1622" i="34"/>
  <c r="Z1622" i="34"/>
  <c r="U1617" i="34"/>
  <c r="Z1617" i="34"/>
  <c r="W1617" i="34"/>
  <c r="U1613" i="34"/>
  <c r="Z1613" i="34"/>
  <c r="W1613" i="34"/>
  <c r="U1609" i="34"/>
  <c r="Z1609" i="34"/>
  <c r="W1609" i="34"/>
  <c r="A1559" i="34"/>
  <c r="Z1559" i="34"/>
  <c r="W1559" i="34"/>
  <c r="U1559" i="34"/>
  <c r="A1555" i="34"/>
  <c r="Z1555" i="34"/>
  <c r="W1555" i="34"/>
  <c r="U1555" i="34"/>
  <c r="A1542" i="34"/>
  <c r="U1542" i="34"/>
  <c r="Z1542" i="34"/>
  <c r="W1542" i="34"/>
  <c r="A1538" i="34"/>
  <c r="U1538" i="34"/>
  <c r="Z1538" i="34"/>
  <c r="W1538" i="34"/>
  <c r="A1516" i="34"/>
  <c r="U1516" i="34"/>
  <c r="Z1516" i="34"/>
  <c r="W1516" i="34"/>
  <c r="A1376" i="34"/>
  <c r="U1376" i="34"/>
  <c r="Z1376" i="34"/>
  <c r="W1376" i="34"/>
  <c r="A1372" i="34"/>
  <c r="U1372" i="34"/>
  <c r="Z1372" i="34"/>
  <c r="W1372" i="34"/>
  <c r="A1368" i="34"/>
  <c r="U1368" i="34"/>
  <c r="Z1368" i="34"/>
  <c r="W1368" i="34"/>
  <c r="A1351" i="34"/>
  <c r="Z1351" i="34"/>
  <c r="W1351" i="34"/>
  <c r="U1351" i="34"/>
  <c r="A1347" i="34"/>
  <c r="Z1347" i="34"/>
  <c r="W1347" i="34"/>
  <c r="U1347" i="34"/>
  <c r="A1421" i="34"/>
  <c r="Z1421" i="34"/>
  <c r="W1421" i="34"/>
  <c r="U1421" i="34"/>
  <c r="A1416" i="34"/>
  <c r="U1416" i="34"/>
  <c r="Z1416" i="34"/>
  <c r="W1416" i="34"/>
  <c r="A1338" i="34"/>
  <c r="U1338" i="34"/>
  <c r="Z1338" i="34"/>
  <c r="W1338" i="34"/>
  <c r="A889" i="34"/>
  <c r="U889" i="34"/>
  <c r="Z889" i="34"/>
  <c r="W889" i="34"/>
  <c r="A893" i="34"/>
  <c r="U893" i="34"/>
  <c r="Z893" i="34"/>
  <c r="W893" i="34"/>
  <c r="A897" i="34"/>
  <c r="U897" i="34"/>
  <c r="Z897" i="34"/>
  <c r="W897" i="34"/>
  <c r="A901" i="34"/>
  <c r="U901" i="34"/>
  <c r="Z901" i="34"/>
  <c r="W901" i="34"/>
  <c r="A989" i="34"/>
  <c r="U989" i="34"/>
  <c r="Z989" i="34"/>
  <c r="W989" i="34"/>
  <c r="A1012" i="34"/>
  <c r="Z1012" i="34"/>
  <c r="W1012" i="34"/>
  <c r="U1012" i="34"/>
  <c r="A1037" i="34"/>
  <c r="U1037" i="34"/>
  <c r="Z1037" i="34"/>
  <c r="W1037" i="34"/>
  <c r="A1074" i="34"/>
  <c r="Z1074" i="34"/>
  <c r="W1074" i="34"/>
  <c r="U1074" i="34"/>
  <c r="A1075" i="34"/>
  <c r="U1075" i="34"/>
  <c r="Z1075" i="34"/>
  <c r="W1075" i="34"/>
  <c r="A1274" i="34"/>
  <c r="U1274" i="34"/>
  <c r="Z1274" i="34"/>
  <c r="W1274" i="34"/>
  <c r="A1272" i="34"/>
  <c r="U1272" i="34"/>
  <c r="Z1272" i="34"/>
  <c r="W1272" i="34"/>
  <c r="A1311" i="34"/>
  <c r="Z1311" i="34"/>
  <c r="W1311" i="34"/>
  <c r="U1311" i="34"/>
  <c r="A1026" i="34"/>
  <c r="Z1026" i="34"/>
  <c r="W1026" i="34"/>
  <c r="U1026" i="34"/>
  <c r="A1433" i="34"/>
  <c r="Z1433" i="34"/>
  <c r="W1433" i="34"/>
  <c r="U1433" i="34"/>
  <c r="A1284" i="34"/>
  <c r="U1284" i="34"/>
  <c r="Z1284" i="34"/>
  <c r="W1284" i="34"/>
  <c r="A1407" i="34"/>
  <c r="Z1407" i="34"/>
  <c r="W1407" i="34"/>
  <c r="U1407" i="34"/>
  <c r="A1113" i="34"/>
  <c r="U1113" i="34"/>
  <c r="Z1113" i="34"/>
  <c r="W1113" i="34"/>
  <c r="A1253" i="34"/>
  <c r="Z1253" i="34"/>
  <c r="W1253" i="34"/>
  <c r="U1253" i="34"/>
  <c r="A653" i="34"/>
  <c r="U653" i="34"/>
  <c r="Z653" i="34"/>
  <c r="W653" i="34"/>
  <c r="A707" i="34"/>
  <c r="U707" i="34"/>
  <c r="Z707" i="34"/>
  <c r="W707" i="34"/>
  <c r="A738" i="34"/>
  <c r="W738" i="34"/>
  <c r="U738" i="34"/>
  <c r="Z738" i="34"/>
  <c r="A743" i="34"/>
  <c r="U743" i="34"/>
  <c r="Z743" i="34"/>
  <c r="W743" i="34"/>
  <c r="A749" i="34"/>
  <c r="U749" i="34"/>
  <c r="Z749" i="34"/>
  <c r="W749" i="34"/>
  <c r="A757" i="34"/>
  <c r="U757" i="34"/>
  <c r="Z757" i="34"/>
  <c r="W757" i="34"/>
  <c r="A770" i="34"/>
  <c r="W770" i="34"/>
  <c r="U770" i="34"/>
  <c r="Z770" i="34"/>
  <c r="A801" i="34"/>
  <c r="U801" i="34"/>
  <c r="Z801" i="34"/>
  <c r="W801" i="34"/>
  <c r="A807" i="34"/>
  <c r="U807" i="34"/>
  <c r="Z807" i="34"/>
  <c r="W807" i="34"/>
  <c r="A811" i="34"/>
  <c r="U811" i="34"/>
  <c r="Z811" i="34"/>
  <c r="W811" i="34"/>
  <c r="A818" i="34"/>
  <c r="W818" i="34"/>
  <c r="U818" i="34"/>
  <c r="Z818" i="34"/>
  <c r="A823" i="34"/>
  <c r="U823" i="34"/>
  <c r="Z823" i="34"/>
  <c r="W823" i="34"/>
  <c r="A827" i="34"/>
  <c r="U827" i="34"/>
  <c r="Z827" i="34"/>
  <c r="W827" i="34"/>
  <c r="A831" i="34"/>
  <c r="U831" i="34"/>
  <c r="Z831" i="34"/>
  <c r="W831" i="34"/>
  <c r="A836" i="34"/>
  <c r="W836" i="34"/>
  <c r="U836" i="34"/>
  <c r="Z836" i="34"/>
  <c r="A840" i="34"/>
  <c r="W840" i="34"/>
  <c r="U840" i="34"/>
  <c r="Z840" i="34"/>
  <c r="A846" i="34"/>
  <c r="W846" i="34"/>
  <c r="U846" i="34"/>
  <c r="Z846" i="34"/>
  <c r="A850" i="34"/>
  <c r="W850" i="34"/>
  <c r="U850" i="34"/>
  <c r="Z850" i="34"/>
  <c r="A1301" i="34"/>
  <c r="Z1301" i="34"/>
  <c r="W1301" i="34"/>
  <c r="U1301" i="34"/>
  <c r="A1964" i="34"/>
  <c r="U1964" i="34"/>
  <c r="Z1964" i="34"/>
  <c r="W1964" i="34"/>
  <c r="A1752" i="34"/>
  <c r="A1756" i="34"/>
  <c r="A1905" i="34"/>
  <c r="W1905" i="34"/>
  <c r="U1905" i="34"/>
  <c r="Z1905" i="34"/>
  <c r="A1909" i="34"/>
  <c r="U1909" i="34"/>
  <c r="W1909" i="34"/>
  <c r="Z1909" i="34"/>
  <c r="A1935" i="34"/>
  <c r="Z1935" i="34"/>
  <c r="W1935" i="34"/>
  <c r="U1935" i="34"/>
  <c r="A1939" i="34"/>
  <c r="Z1939" i="34"/>
  <c r="W1939" i="34"/>
  <c r="U1939" i="34"/>
  <c r="A1817" i="34"/>
  <c r="W1817" i="34"/>
  <c r="U1817" i="34"/>
  <c r="Z1817" i="34"/>
  <c r="A1748" i="34"/>
  <c r="A1664" i="34"/>
  <c r="A1668" i="34"/>
  <c r="A1902" i="34"/>
  <c r="Z1902" i="34"/>
  <c r="W1902" i="34"/>
  <c r="U1902" i="34"/>
  <c r="A1932" i="34"/>
  <c r="U1932" i="34"/>
  <c r="Z1932" i="34"/>
  <c r="W1932" i="34"/>
  <c r="A1931" i="34"/>
  <c r="Z1931" i="34"/>
  <c r="W1931" i="34"/>
  <c r="U1931" i="34"/>
  <c r="A1703" i="34"/>
  <c r="A1699" i="34"/>
  <c r="A1688" i="34"/>
  <c r="A1684" i="34"/>
  <c r="A1651" i="34"/>
  <c r="A1647" i="34"/>
  <c r="A1626" i="34"/>
  <c r="A1622" i="34"/>
  <c r="A1617" i="34"/>
  <c r="A1613" i="34"/>
  <c r="A1609" i="34"/>
  <c r="A1980" i="34"/>
  <c r="U1980" i="34"/>
  <c r="Z1980" i="34"/>
  <c r="W1980" i="34"/>
  <c r="A1753" i="34"/>
  <c r="A1757" i="34"/>
  <c r="A1906" i="34"/>
  <c r="Z1906" i="34"/>
  <c r="U1906" i="34"/>
  <c r="W1906" i="34"/>
  <c r="A1910" i="34"/>
  <c r="W1910" i="34"/>
  <c r="U1910" i="34"/>
  <c r="Z1910" i="34"/>
  <c r="A1936" i="34"/>
  <c r="U1936" i="34"/>
  <c r="Z1936" i="34"/>
  <c r="W1936" i="34"/>
  <c r="A1940" i="34"/>
  <c r="U1940" i="34"/>
  <c r="Z1940" i="34"/>
  <c r="W1940" i="34"/>
  <c r="A1818" i="34"/>
  <c r="Z1818" i="34"/>
  <c r="W1818" i="34"/>
  <c r="U1818" i="34"/>
  <c r="A1749" i="34"/>
  <c r="A1665" i="34"/>
  <c r="A1669" i="34"/>
  <c r="A1903" i="34"/>
  <c r="U1903" i="34"/>
  <c r="W1903" i="34"/>
  <c r="Z1903" i="34"/>
  <c r="A1930" i="34"/>
  <c r="W1930" i="34"/>
  <c r="U1930" i="34"/>
  <c r="Z1930" i="34"/>
  <c r="A1702" i="34"/>
  <c r="A1698" i="34"/>
  <c r="A1687" i="34"/>
  <c r="A1683" i="34"/>
  <c r="A1650" i="34"/>
  <c r="A1646" i="34"/>
  <c r="A1625" i="34"/>
  <c r="A1621" i="34"/>
  <c r="A1616" i="34"/>
  <c r="A1612" i="34"/>
  <c r="A1965" i="34"/>
  <c r="U1965" i="34"/>
  <c r="Z1965" i="34"/>
  <c r="W1965" i="34"/>
  <c r="A1754" i="34"/>
  <c r="A1907" i="34"/>
  <c r="U1907" i="34"/>
  <c r="W1907" i="34"/>
  <c r="Z1907" i="34"/>
  <c r="A1933" i="34"/>
  <c r="U1933" i="34"/>
  <c r="Z1933" i="34"/>
  <c r="W1933" i="34"/>
  <c r="A1937" i="34"/>
  <c r="U1937" i="34"/>
  <c r="Z1937" i="34"/>
  <c r="W1937" i="34"/>
  <c r="A1815" i="34"/>
  <c r="U1815" i="34"/>
  <c r="Z1815" i="34"/>
  <c r="W1815" i="34"/>
  <c r="A1819" i="34"/>
  <c r="U1819" i="34"/>
  <c r="Z1819" i="34"/>
  <c r="W1819" i="34"/>
  <c r="A1750" i="34"/>
  <c r="A1635" i="34"/>
  <c r="A1666" i="34"/>
  <c r="A1670" i="34"/>
  <c r="A1929" i="34"/>
  <c r="U1929" i="34"/>
  <c r="Z1929" i="34"/>
  <c r="W1929" i="34"/>
  <c r="A1701" i="34"/>
  <c r="A1690" i="34"/>
  <c r="A1686" i="34"/>
  <c r="A1653" i="34"/>
  <c r="A1649" i="34"/>
  <c r="A1628" i="34"/>
  <c r="A1624" i="34"/>
  <c r="A1620" i="34"/>
  <c r="A1615" i="34"/>
  <c r="A1611" i="34"/>
  <c r="A1751" i="34"/>
  <c r="A1755" i="34"/>
  <c r="A1904" i="34"/>
  <c r="Z1904" i="34"/>
  <c r="W1904" i="34"/>
  <c r="U1904" i="34"/>
  <c r="A1908" i="34"/>
  <c r="Z1908" i="34"/>
  <c r="U1908" i="34"/>
  <c r="W1908" i="34"/>
  <c r="A1934" i="34"/>
  <c r="W1934" i="34"/>
  <c r="U1934" i="34"/>
  <c r="Z1934" i="34"/>
  <c r="A1938" i="34"/>
  <c r="W1938" i="34"/>
  <c r="U1938" i="34"/>
  <c r="Z1938" i="34"/>
  <c r="A1816" i="34"/>
  <c r="U1816" i="34"/>
  <c r="Z1816" i="34"/>
  <c r="W1816" i="34"/>
  <c r="A1747" i="34"/>
  <c r="A1663" i="34"/>
  <c r="A1667" i="34"/>
  <c r="A1705" i="34"/>
  <c r="A1704" i="34"/>
  <c r="A1700" i="34"/>
  <c r="A1689" i="34"/>
  <c r="A1685" i="34"/>
  <c r="A1652" i="34"/>
  <c r="A1648" i="34"/>
  <c r="A1627" i="34"/>
  <c r="A1623" i="34"/>
  <c r="A1619" i="34"/>
  <c r="A1614" i="34"/>
  <c r="A1610" i="34"/>
  <c r="B1296" i="34"/>
  <c r="B73" i="34"/>
  <c r="B1271" i="34"/>
  <c r="B1238" i="34"/>
  <c r="A1238" i="34" l="1"/>
  <c r="Z1238" i="34"/>
  <c r="U1238" i="34"/>
  <c r="W1238" i="34"/>
  <c r="A1271" i="34"/>
  <c r="Z1271" i="34"/>
  <c r="W1271" i="34"/>
  <c r="U1271" i="34"/>
  <c r="A73" i="34"/>
  <c r="R73" i="34"/>
  <c r="Z73" i="34"/>
  <c r="S73" i="34"/>
  <c r="W73" i="34"/>
  <c r="T73" i="34"/>
  <c r="U73" i="34"/>
  <c r="A1296" i="34"/>
  <c r="U1296" i="34"/>
  <c r="Z1296" i="34"/>
  <c r="W1296" i="34"/>
  <c r="B1029" i="34"/>
  <c r="B916" i="34"/>
  <c r="B1262" i="34"/>
  <c r="B1114" i="34"/>
  <c r="A916" i="34" l="1"/>
  <c r="Z916" i="34"/>
  <c r="W916" i="34"/>
  <c r="U916" i="34"/>
  <c r="A1114" i="34"/>
  <c r="Z1114" i="34"/>
  <c r="W1114" i="34"/>
  <c r="U1114" i="34"/>
  <c r="A1029" i="34"/>
  <c r="U1029" i="34"/>
  <c r="Z1029" i="34"/>
  <c r="W1029" i="34"/>
  <c r="A1262" i="34"/>
  <c r="U1262" i="34"/>
  <c r="Z1262" i="34"/>
  <c r="W1262" i="34"/>
  <c r="B995" i="34"/>
  <c r="B523" i="34"/>
  <c r="B581" i="34"/>
  <c r="A581" i="34" l="1"/>
  <c r="U581" i="34"/>
  <c r="Z581" i="34"/>
  <c r="W581" i="34"/>
  <c r="A523" i="34"/>
  <c r="U523" i="34"/>
  <c r="Z523" i="34"/>
  <c r="W523" i="34"/>
  <c r="A995" i="34"/>
  <c r="U995" i="34"/>
  <c r="Z995" i="34"/>
  <c r="W995" i="34"/>
  <c r="B38" i="34"/>
  <c r="B1314" i="34"/>
  <c r="B656" i="34"/>
  <c r="B747" i="34"/>
  <c r="B645" i="34"/>
  <c r="B1229" i="34"/>
  <c r="B86" i="34"/>
  <c r="B66" i="34"/>
  <c r="I7" i="12"/>
  <c r="I19" i="12"/>
  <c r="I6" i="12"/>
  <c r="A1229" i="34" l="1"/>
  <c r="T1229" i="34"/>
  <c r="R1229" i="34"/>
  <c r="Z1229" i="34"/>
  <c r="S1229" i="34"/>
  <c r="W1229" i="34"/>
  <c r="U1229" i="34"/>
  <c r="A66" i="34"/>
  <c r="U66" i="34"/>
  <c r="Z66" i="34"/>
  <c r="W66" i="34"/>
  <c r="A747" i="34"/>
  <c r="U747" i="34"/>
  <c r="R747" i="34"/>
  <c r="Z747" i="34"/>
  <c r="S747" i="34"/>
  <c r="W747" i="34"/>
  <c r="T747" i="34"/>
  <c r="A86" i="34"/>
  <c r="U86" i="34"/>
  <c r="Z86" i="34"/>
  <c r="W86" i="34"/>
  <c r="A656" i="34"/>
  <c r="S656" i="34"/>
  <c r="W656" i="34"/>
  <c r="T656" i="34"/>
  <c r="U656" i="34"/>
  <c r="R656" i="34"/>
  <c r="Z656" i="34"/>
  <c r="A1314" i="34"/>
  <c r="U1314" i="34"/>
  <c r="Z1314" i="34"/>
  <c r="W1314" i="34"/>
  <c r="A645" i="34"/>
  <c r="U645" i="34"/>
  <c r="R645" i="34"/>
  <c r="Z645" i="34"/>
  <c r="S645" i="34"/>
  <c r="W645" i="34"/>
  <c r="T645" i="34"/>
  <c r="A38" i="34"/>
  <c r="U38" i="34"/>
  <c r="Z38" i="34"/>
  <c r="W38" i="34"/>
  <c r="O5" i="78"/>
  <c r="N5" i="78"/>
  <c r="B1239" i="34"/>
  <c r="B1162" i="34"/>
  <c r="B1130" i="34"/>
  <c r="A1162" i="34" l="1"/>
  <c r="R1162" i="34"/>
  <c r="Z1162" i="34"/>
  <c r="S1162" i="34"/>
  <c r="W1162" i="34"/>
  <c r="T1162" i="34"/>
  <c r="U1162" i="34"/>
  <c r="A1239" i="34"/>
  <c r="T1239" i="34"/>
  <c r="S1239" i="34"/>
  <c r="W1239" i="34"/>
  <c r="U1239" i="34"/>
  <c r="Z1239" i="34"/>
  <c r="R1239" i="34"/>
  <c r="A1130" i="34"/>
  <c r="R1130" i="34"/>
  <c r="Z1130" i="34"/>
  <c r="S1130" i="34"/>
  <c r="W1130" i="34"/>
  <c r="T1130" i="34"/>
  <c r="U1130" i="34"/>
  <c r="B45" i="34"/>
  <c r="B44" i="34"/>
  <c r="B43" i="34"/>
  <c r="B29" i="34"/>
  <c r="B28" i="34"/>
  <c r="B27" i="34"/>
  <c r="B83" i="34"/>
  <c r="B90" i="34"/>
  <c r="B89" i="34"/>
  <c r="B1194" i="34"/>
  <c r="B1192" i="34"/>
  <c r="B1168" i="34"/>
  <c r="B1167" i="34"/>
  <c r="B1426" i="34"/>
  <c r="B1425" i="34"/>
  <c r="B1410" i="34"/>
  <c r="B1409" i="34"/>
  <c r="B1336" i="34"/>
  <c r="B1335" i="34"/>
  <c r="B1203" i="34"/>
  <c r="B1202" i="34"/>
  <c r="B1201" i="34"/>
  <c r="B1200" i="34"/>
  <c r="B1320" i="34"/>
  <c r="B1298" i="34"/>
  <c r="B1243" i="34"/>
  <c r="B1242" i="34"/>
  <c r="B1199" i="34"/>
  <c r="B1163" i="34"/>
  <c r="B1161" i="34"/>
  <c r="B1131" i="34"/>
  <c r="B1096" i="34"/>
  <c r="B1066" i="34"/>
  <c r="B1022" i="34"/>
  <c r="B579" i="34"/>
  <c r="B401" i="34"/>
  <c r="B549" i="34"/>
  <c r="B437" i="34"/>
  <c r="B407" i="34"/>
  <c r="B515" i="34"/>
  <c r="B496" i="34"/>
  <c r="B507" i="34"/>
  <c r="B432" i="34"/>
  <c r="B405" i="34"/>
  <c r="B404" i="34"/>
  <c r="B409" i="34"/>
  <c r="B388" i="34"/>
  <c r="B387" i="34"/>
  <c r="B386" i="34"/>
  <c r="B385" i="34"/>
  <c r="B384" i="34"/>
  <c r="B383" i="34"/>
  <c r="B381" i="34"/>
  <c r="B380" i="34"/>
  <c r="B343" i="34"/>
  <c r="B342" i="34"/>
  <c r="B341" i="34"/>
  <c r="B340" i="34"/>
  <c r="B314" i="34"/>
  <c r="B313" i="34"/>
  <c r="B312" i="34"/>
  <c r="B311" i="34"/>
  <c r="B310" i="34"/>
  <c r="B218" i="34"/>
  <c r="B217" i="34"/>
  <c r="B216" i="34"/>
  <c r="B203" i="34"/>
  <c r="B202" i="34"/>
  <c r="B193" i="34"/>
  <c r="B192" i="34"/>
  <c r="B191" i="34"/>
  <c r="B185" i="34"/>
  <c r="B149" i="34"/>
  <c r="B145" i="34"/>
  <c r="B144" i="34"/>
  <c r="B140" i="34"/>
  <c r="B139" i="34"/>
  <c r="B121" i="34"/>
  <c r="B120" i="34"/>
  <c r="B99" i="34"/>
  <c r="B98" i="34"/>
  <c r="B35" i="34"/>
  <c r="B34" i="34"/>
  <c r="B32" i="34"/>
  <c r="B31" i="34"/>
  <c r="B1439" i="34"/>
  <c r="B1438" i="34"/>
  <c r="B1437" i="34"/>
  <c r="B1436" i="34"/>
  <c r="B1435" i="34"/>
  <c r="B1220" i="34"/>
  <c r="B1266" i="34"/>
  <c r="B1268" i="34"/>
  <c r="B1116" i="34"/>
  <c r="B1084" i="34"/>
  <c r="B1279" i="34"/>
  <c r="B1079" i="34"/>
  <c r="B1252" i="34"/>
  <c r="B1281" i="34"/>
  <c r="B1217" i="34"/>
  <c r="B1226" i="34"/>
  <c r="B1086" i="34"/>
  <c r="B1312" i="34"/>
  <c r="B1215" i="34"/>
  <c r="B999" i="34"/>
  <c r="B993" i="34"/>
  <c r="B1120" i="34"/>
  <c r="B1001" i="34"/>
  <c r="B1157" i="34"/>
  <c r="B1067" i="34"/>
  <c r="B1025" i="34"/>
  <c r="B1019" i="34"/>
  <c r="B815" i="34"/>
  <c r="B926" i="34"/>
  <c r="B925" i="34"/>
  <c r="B857" i="34"/>
  <c r="B856" i="34"/>
  <c r="B985" i="34"/>
  <c r="B984" i="34"/>
  <c r="B978" i="34"/>
  <c r="B977" i="34"/>
  <c r="B115" i="34"/>
  <c r="B114" i="34"/>
  <c r="B113" i="34"/>
  <c r="B112" i="34"/>
  <c r="B111" i="34"/>
  <c r="B110" i="34"/>
  <c r="B109" i="34"/>
  <c r="B108" i="34"/>
  <c r="B107" i="34"/>
  <c r="B158" i="34"/>
  <c r="B135" i="34"/>
  <c r="B134" i="34"/>
  <c r="B128" i="34"/>
  <c r="B127" i="34"/>
  <c r="B65" i="34"/>
  <c r="B64" i="34"/>
  <c r="B48" i="34"/>
  <c r="B47" i="34"/>
  <c r="B46" i="34"/>
  <c r="B1053" i="34"/>
  <c r="B1052" i="34"/>
  <c r="B1051" i="34"/>
  <c r="B1050" i="34"/>
  <c r="B1049" i="34"/>
  <c r="B1048" i="34"/>
  <c r="B1047" i="34"/>
  <c r="B1045" i="34"/>
  <c r="B1044" i="34"/>
  <c r="B1030" i="34"/>
  <c r="B1269" i="34"/>
  <c r="B1398" i="34"/>
  <c r="B1405" i="34"/>
  <c r="B1093" i="34"/>
  <c r="B1213" i="34"/>
  <c r="B1109" i="34"/>
  <c r="B936" i="34"/>
  <c r="B1011" i="34"/>
  <c r="B1041" i="34"/>
  <c r="B1110" i="34"/>
  <c r="B1036" i="34"/>
  <c r="B1138" i="34"/>
  <c r="B1018" i="34"/>
  <c r="B1137" i="34"/>
  <c r="B1108" i="34"/>
  <c r="B1003" i="34"/>
  <c r="B1178" i="34"/>
  <c r="B945" i="34"/>
  <c r="B943" i="34"/>
  <c r="B998" i="34"/>
  <c r="B947" i="34"/>
  <c r="B1000" i="34"/>
  <c r="B1145" i="34"/>
  <c r="B992" i="34"/>
  <c r="B1039" i="34"/>
  <c r="B1023" i="34"/>
  <c r="B1112" i="34"/>
  <c r="B931" i="34"/>
  <c r="B1040" i="34"/>
  <c r="B1146" i="34"/>
  <c r="B946" i="34"/>
  <c r="B1038" i="34"/>
  <c r="B550" i="34"/>
  <c r="B390" i="34"/>
  <c r="B603" i="34"/>
  <c r="B604" i="34"/>
  <c r="B600" i="34"/>
  <c r="B1009" i="34"/>
  <c r="B1008" i="34"/>
  <c r="B1006" i="34"/>
  <c r="B1005" i="34"/>
  <c r="B970" i="34"/>
  <c r="B959" i="34"/>
  <c r="B957" i="34"/>
  <c r="B923" i="34"/>
  <c r="B922" i="34"/>
  <c r="B917" i="34"/>
  <c r="B915" i="34"/>
  <c r="B914" i="34"/>
  <c r="B913" i="34"/>
  <c r="B912" i="34"/>
  <c r="B911" i="34"/>
  <c r="B910" i="34"/>
  <c r="B1250" i="34"/>
  <c r="B1310" i="34"/>
  <c r="B1251" i="34"/>
  <c r="B1083" i="34"/>
  <c r="B1235" i="34"/>
  <c r="B1264" i="34"/>
  <c r="B1273" i="34"/>
  <c r="B1265" i="34"/>
  <c r="B1236" i="34"/>
  <c r="B1406" i="34"/>
  <c r="B1287" i="34"/>
  <c r="B1092" i="34"/>
  <c r="B1240" i="34"/>
  <c r="B1432" i="34"/>
  <c r="B1205" i="34"/>
  <c r="B1276" i="34"/>
  <c r="B1275" i="34"/>
  <c r="B1219" i="34"/>
  <c r="B1309" i="34"/>
  <c r="B1397" i="34"/>
  <c r="B1267" i="34"/>
  <c r="B1288" i="34"/>
  <c r="B1204" i="34"/>
  <c r="B1214" i="34"/>
  <c r="B1223" i="34"/>
  <c r="B1249" i="34"/>
  <c r="B1212" i="34"/>
  <c r="B1027" i="34"/>
  <c r="B1241" i="34"/>
  <c r="B1002" i="34"/>
  <c r="B997" i="34"/>
  <c r="B516" i="34"/>
  <c r="B519" i="34"/>
  <c r="B1644" i="34"/>
  <c r="B1642" i="34"/>
  <c r="B1640" i="34"/>
  <c r="B1639" i="34"/>
  <c r="B1638" i="34"/>
  <c r="B1637" i="34"/>
  <c r="B1631" i="34"/>
  <c r="B1630" i="34"/>
  <c r="B1629" i="34"/>
  <c r="B1618" i="34"/>
  <c r="B1537" i="34"/>
  <c r="B1536" i="34"/>
  <c r="B1394" i="34"/>
  <c r="B1358" i="34"/>
  <c r="B1357" i="34"/>
  <c r="B1356" i="34"/>
  <c r="B1355" i="34"/>
  <c r="B1346" i="34"/>
  <c r="B1345" i="34"/>
  <c r="B1344" i="34"/>
  <c r="B1343" i="34"/>
  <c r="B1506" i="34"/>
  <c r="B1497" i="34"/>
  <c r="B1488" i="34"/>
  <c r="B1325" i="34"/>
  <c r="B1318" i="34"/>
  <c r="B1957" i="34"/>
  <c r="B1769" i="34"/>
  <c r="B1606" i="34"/>
  <c r="B1608" i="34"/>
  <c r="B1607" i="34"/>
  <c r="B1305" i="34"/>
  <c r="B1304" i="34"/>
  <c r="B1303" i="34"/>
  <c r="B1232" i="34"/>
  <c r="B1210" i="34"/>
  <c r="B1209" i="34"/>
  <c r="B1207" i="34"/>
  <c r="B1206" i="34"/>
  <c r="B1191" i="34"/>
  <c r="B1190" i="34"/>
  <c r="B1189" i="34"/>
  <c r="B1188" i="34"/>
  <c r="B1187" i="34"/>
  <c r="B1185" i="34"/>
  <c r="B1184" i="34"/>
  <c r="B1175" i="34"/>
  <c r="B1174" i="34"/>
  <c r="B1172" i="34"/>
  <c r="B1171" i="34"/>
  <c r="B1156" i="34"/>
  <c r="B1155" i="34"/>
  <c r="B1151" i="34"/>
  <c r="B1150" i="34"/>
  <c r="B1148" i="34"/>
  <c r="B1147" i="34"/>
  <c r="B1143" i="34"/>
  <c r="B1142" i="34"/>
  <c r="B1141" i="34"/>
  <c r="B1140" i="34"/>
  <c r="B1139" i="34"/>
  <c r="B1136" i="34"/>
  <c r="B1135" i="34"/>
  <c r="B1127" i="34"/>
  <c r="B1126" i="34"/>
  <c r="B1125" i="34"/>
  <c r="B1124" i="34"/>
  <c r="B1107" i="34"/>
  <c r="B1106" i="34"/>
  <c r="B1104" i="34"/>
  <c r="B1103" i="34"/>
  <c r="B1064" i="34"/>
  <c r="B1063" i="34"/>
  <c r="B1062" i="34"/>
  <c r="B1061" i="34"/>
  <c r="B1060" i="34"/>
  <c r="B1059" i="34"/>
  <c r="B1058" i="34"/>
  <c r="B1057" i="34"/>
  <c r="B1056" i="34"/>
  <c r="B1055" i="34"/>
  <c r="B1054" i="34"/>
  <c r="B1768" i="34"/>
  <c r="B1767" i="34"/>
  <c r="B1960" i="34"/>
  <c r="B1959" i="34"/>
  <c r="B1958" i="34"/>
  <c r="B1707" i="34"/>
  <c r="B1692" i="34"/>
  <c r="B1691" i="34"/>
  <c r="B1694" i="34"/>
  <c r="B1693" i="34"/>
  <c r="B1682" i="34"/>
  <c r="B1681" i="34"/>
  <c r="B1680" i="34"/>
  <c r="B1679" i="34"/>
  <c r="W1680" i="34" l="1"/>
  <c r="U1680" i="34"/>
  <c r="Z1680" i="34"/>
  <c r="W1694" i="34"/>
  <c r="U1694" i="34"/>
  <c r="Z1694" i="34"/>
  <c r="W1768" i="34"/>
  <c r="U1768" i="34"/>
  <c r="Z1768" i="34"/>
  <c r="A1057" i="34"/>
  <c r="U1057" i="34"/>
  <c r="Z1057" i="34"/>
  <c r="W1057" i="34"/>
  <c r="A1061" i="34"/>
  <c r="U1061" i="34"/>
  <c r="Z1061" i="34"/>
  <c r="W1061" i="34"/>
  <c r="A1103" i="34"/>
  <c r="U1103" i="34"/>
  <c r="Z1103" i="34"/>
  <c r="W1103" i="34"/>
  <c r="A1124" i="34"/>
  <c r="Z1124" i="34"/>
  <c r="W1124" i="34"/>
  <c r="U1124" i="34"/>
  <c r="A1135" i="34"/>
  <c r="U1135" i="34"/>
  <c r="Z1135" i="34"/>
  <c r="W1135" i="34"/>
  <c r="A1141" i="34"/>
  <c r="U1141" i="34"/>
  <c r="Z1141" i="34"/>
  <c r="W1141" i="34"/>
  <c r="A1148" i="34"/>
  <c r="Z1148" i="34"/>
  <c r="W1148" i="34"/>
  <c r="U1148" i="34"/>
  <c r="A1156" i="34"/>
  <c r="Z1156" i="34"/>
  <c r="W1156" i="34"/>
  <c r="U1156" i="34"/>
  <c r="A1175" i="34"/>
  <c r="U1175" i="34"/>
  <c r="Z1175" i="34"/>
  <c r="W1175" i="34"/>
  <c r="A1188" i="34"/>
  <c r="Z1188" i="34"/>
  <c r="W1188" i="34"/>
  <c r="U1188" i="34"/>
  <c r="A1206" i="34"/>
  <c r="Z1206" i="34"/>
  <c r="W1206" i="34"/>
  <c r="U1206" i="34"/>
  <c r="A1232" i="34"/>
  <c r="Z1232" i="34"/>
  <c r="U1232" i="34"/>
  <c r="W1232" i="34"/>
  <c r="U1607" i="34"/>
  <c r="Z1607" i="34"/>
  <c r="W1607" i="34"/>
  <c r="A1497" i="34"/>
  <c r="Z1497" i="34"/>
  <c r="W1497" i="34"/>
  <c r="U1497" i="34"/>
  <c r="A1345" i="34"/>
  <c r="Z1345" i="34"/>
  <c r="W1345" i="34"/>
  <c r="U1345" i="34"/>
  <c r="A1357" i="34"/>
  <c r="Z1357" i="34"/>
  <c r="W1357" i="34"/>
  <c r="U1357" i="34"/>
  <c r="A1537" i="34"/>
  <c r="Z1537" i="34"/>
  <c r="W1537" i="34"/>
  <c r="U1537" i="34"/>
  <c r="U1631" i="34"/>
  <c r="Z1631" i="34"/>
  <c r="W1631" i="34"/>
  <c r="W1640" i="34"/>
  <c r="U1640" i="34"/>
  <c r="Z1640" i="34"/>
  <c r="A516" i="34"/>
  <c r="Z516" i="34"/>
  <c r="W516" i="34"/>
  <c r="U516" i="34"/>
  <c r="A1027" i="34"/>
  <c r="U1027" i="34"/>
  <c r="Z1027" i="34"/>
  <c r="W1027" i="34"/>
  <c r="A1214" i="34"/>
  <c r="Z1214" i="34"/>
  <c r="W1214" i="34"/>
  <c r="U1214" i="34"/>
  <c r="A1397" i="34"/>
  <c r="Z1397" i="34"/>
  <c r="W1397" i="34"/>
  <c r="U1397" i="34"/>
  <c r="A1276" i="34"/>
  <c r="U1276" i="34"/>
  <c r="Z1276" i="34"/>
  <c r="W1276" i="34"/>
  <c r="A1092" i="34"/>
  <c r="Z1092" i="34"/>
  <c r="W1092" i="34"/>
  <c r="U1092" i="34"/>
  <c r="A1265" i="34"/>
  <c r="Z1265" i="34"/>
  <c r="W1265" i="34"/>
  <c r="U1265" i="34"/>
  <c r="A1083" i="34"/>
  <c r="U1083" i="34"/>
  <c r="Z1083" i="34"/>
  <c r="W1083" i="34"/>
  <c r="A910" i="34"/>
  <c r="W910" i="34"/>
  <c r="U910" i="34"/>
  <c r="Z910" i="34"/>
  <c r="A914" i="34"/>
  <c r="W914" i="34"/>
  <c r="Z914" i="34"/>
  <c r="U914" i="34"/>
  <c r="A923" i="34"/>
  <c r="W923" i="34"/>
  <c r="U923" i="34"/>
  <c r="Z923" i="34"/>
  <c r="A1005" i="34"/>
  <c r="U1005" i="34"/>
  <c r="Z1005" i="34"/>
  <c r="W1005" i="34"/>
  <c r="A600" i="34"/>
  <c r="W600" i="34"/>
  <c r="U600" i="34"/>
  <c r="Z600" i="34"/>
  <c r="A550" i="34"/>
  <c r="Z550" i="34"/>
  <c r="W550" i="34"/>
  <c r="U550" i="34"/>
  <c r="A1040" i="34"/>
  <c r="Z1040" i="34"/>
  <c r="W1040" i="34"/>
  <c r="U1040" i="34"/>
  <c r="A1039" i="34"/>
  <c r="U1039" i="34"/>
  <c r="Z1039" i="34"/>
  <c r="W1039" i="34"/>
  <c r="A947" i="34"/>
  <c r="U947" i="34"/>
  <c r="Z947" i="34"/>
  <c r="W947" i="34"/>
  <c r="A1178" i="34"/>
  <c r="Z1178" i="34"/>
  <c r="W1178" i="34"/>
  <c r="U1178" i="34"/>
  <c r="A1018" i="34"/>
  <c r="Z1018" i="34"/>
  <c r="W1018" i="34"/>
  <c r="U1018" i="34"/>
  <c r="A1041" i="34"/>
  <c r="U1041" i="34"/>
  <c r="Z1041" i="34"/>
  <c r="W1041" i="34"/>
  <c r="A1213" i="34"/>
  <c r="U1213" i="34"/>
  <c r="Z1213" i="34"/>
  <c r="W1213" i="34"/>
  <c r="A1269" i="34"/>
  <c r="Z1269" i="34"/>
  <c r="W1269" i="34"/>
  <c r="U1269" i="34"/>
  <c r="A1047" i="34"/>
  <c r="U1047" i="34"/>
  <c r="Z1047" i="34"/>
  <c r="W1047" i="34"/>
  <c r="A1051" i="34"/>
  <c r="U1051" i="34"/>
  <c r="Z1051" i="34"/>
  <c r="W1051" i="34"/>
  <c r="A47" i="34"/>
  <c r="Z47" i="34"/>
  <c r="W47" i="34"/>
  <c r="U47" i="34"/>
  <c r="A127" i="34"/>
  <c r="W127" i="34"/>
  <c r="U127" i="34"/>
  <c r="Z127" i="34"/>
  <c r="A158" i="34"/>
  <c r="U158" i="34"/>
  <c r="Z158" i="34"/>
  <c r="W158" i="34"/>
  <c r="A110" i="34"/>
  <c r="U110" i="34"/>
  <c r="Z110" i="34"/>
  <c r="W110" i="34"/>
  <c r="A114" i="34"/>
  <c r="W114" i="34"/>
  <c r="U114" i="34"/>
  <c r="Z114" i="34"/>
  <c r="A984" i="34"/>
  <c r="Z984" i="34"/>
  <c r="W984" i="34"/>
  <c r="U984" i="34"/>
  <c r="A925" i="34"/>
  <c r="U925" i="34"/>
  <c r="Z925" i="34"/>
  <c r="W925" i="34"/>
  <c r="A1025" i="34"/>
  <c r="U1025" i="34"/>
  <c r="Z1025" i="34"/>
  <c r="W1025" i="34"/>
  <c r="A1120" i="34"/>
  <c r="Z1120" i="34"/>
  <c r="W1120" i="34"/>
  <c r="U1120" i="34"/>
  <c r="A1312" i="34"/>
  <c r="U1312" i="34"/>
  <c r="Z1312" i="34"/>
  <c r="W1312" i="34"/>
  <c r="A1281" i="34"/>
  <c r="Z1281" i="34"/>
  <c r="W1281" i="34"/>
  <c r="U1281" i="34"/>
  <c r="A1084" i="34"/>
  <c r="Z1084" i="34"/>
  <c r="W1084" i="34"/>
  <c r="U1084" i="34"/>
  <c r="A1220" i="34"/>
  <c r="Z1220" i="34"/>
  <c r="U1220" i="34"/>
  <c r="W1220" i="34"/>
  <c r="A1438" i="34"/>
  <c r="U1438" i="34"/>
  <c r="Z1438" i="34"/>
  <c r="W1438" i="34"/>
  <c r="A34" i="34"/>
  <c r="U34" i="34"/>
  <c r="Z34" i="34"/>
  <c r="W34" i="34"/>
  <c r="A120" i="34"/>
  <c r="W120" i="34"/>
  <c r="U120" i="34"/>
  <c r="Z120" i="34"/>
  <c r="A144" i="34"/>
  <c r="U144" i="34"/>
  <c r="Z144" i="34"/>
  <c r="W144" i="34"/>
  <c r="A191" i="34"/>
  <c r="W191" i="34"/>
  <c r="U191" i="34"/>
  <c r="Z191" i="34"/>
  <c r="A203" i="34"/>
  <c r="W203" i="34"/>
  <c r="U203" i="34"/>
  <c r="Z203" i="34"/>
  <c r="A310" i="34"/>
  <c r="W310" i="34"/>
  <c r="U310" i="34"/>
  <c r="Z310" i="34"/>
  <c r="A314" i="34"/>
  <c r="W314" i="34"/>
  <c r="U314" i="34"/>
  <c r="Z314" i="34"/>
  <c r="A343" i="34"/>
  <c r="U343" i="34"/>
  <c r="Z343" i="34"/>
  <c r="W343" i="34"/>
  <c r="A384" i="34"/>
  <c r="W384" i="34"/>
  <c r="U384" i="34"/>
  <c r="Z384" i="34"/>
  <c r="A388" i="34"/>
  <c r="W388" i="34"/>
  <c r="U388" i="34"/>
  <c r="Z388" i="34"/>
  <c r="A432" i="34"/>
  <c r="Z432" i="34"/>
  <c r="U432" i="34"/>
  <c r="W432" i="34"/>
  <c r="A407" i="34"/>
  <c r="U407" i="34"/>
  <c r="Z407" i="34"/>
  <c r="W407" i="34"/>
  <c r="A579" i="34"/>
  <c r="U579" i="34"/>
  <c r="Z579" i="34"/>
  <c r="W579" i="34"/>
  <c r="A1131" i="34"/>
  <c r="T1131" i="34"/>
  <c r="U1131" i="34"/>
  <c r="R1131" i="34"/>
  <c r="Z1131" i="34"/>
  <c r="S1131" i="34"/>
  <c r="W1131" i="34"/>
  <c r="A1242" i="34"/>
  <c r="T1242" i="34"/>
  <c r="U1242" i="34"/>
  <c r="R1242" i="34"/>
  <c r="Z1242" i="34"/>
  <c r="S1242" i="34"/>
  <c r="W1242" i="34"/>
  <c r="A1200" i="34"/>
  <c r="R1200" i="34"/>
  <c r="Z1200" i="34"/>
  <c r="S1200" i="34"/>
  <c r="W1200" i="34"/>
  <c r="T1200" i="34"/>
  <c r="U1200" i="34"/>
  <c r="A1335" i="34"/>
  <c r="R1335" i="34"/>
  <c r="Z1335" i="34"/>
  <c r="S1335" i="34"/>
  <c r="W1335" i="34"/>
  <c r="T1335" i="34"/>
  <c r="U1335" i="34"/>
  <c r="A1425" i="34"/>
  <c r="R1425" i="34"/>
  <c r="Z1425" i="34"/>
  <c r="S1425" i="34"/>
  <c r="W1425" i="34"/>
  <c r="T1425" i="34"/>
  <c r="U1425" i="34"/>
  <c r="A1192" i="34"/>
  <c r="R1192" i="34"/>
  <c r="Z1192" i="34"/>
  <c r="S1192" i="34"/>
  <c r="W1192" i="34"/>
  <c r="T1192" i="34"/>
  <c r="U1192" i="34"/>
  <c r="A83" i="34"/>
  <c r="Z83" i="34"/>
  <c r="W83" i="34"/>
  <c r="U83" i="34"/>
  <c r="A43" i="34"/>
  <c r="Z43" i="34"/>
  <c r="W43" i="34"/>
  <c r="U43" i="34"/>
  <c r="U1681" i="34"/>
  <c r="Z1681" i="34"/>
  <c r="W1681" i="34"/>
  <c r="U1691" i="34"/>
  <c r="Z1691" i="34"/>
  <c r="W1691" i="34"/>
  <c r="A1054" i="34"/>
  <c r="Z1054" i="34"/>
  <c r="W1054" i="34"/>
  <c r="U1054" i="34"/>
  <c r="A1058" i="34"/>
  <c r="Z1058" i="34"/>
  <c r="W1058" i="34"/>
  <c r="U1058" i="34"/>
  <c r="A1062" i="34"/>
  <c r="Z1062" i="34"/>
  <c r="W1062" i="34"/>
  <c r="U1062" i="34"/>
  <c r="A1104" i="34"/>
  <c r="Z1104" i="34"/>
  <c r="W1104" i="34"/>
  <c r="U1104" i="34"/>
  <c r="A1125" i="34"/>
  <c r="U1125" i="34"/>
  <c r="Z1125" i="34"/>
  <c r="W1125" i="34"/>
  <c r="A1136" i="34"/>
  <c r="Z1136" i="34"/>
  <c r="W1136" i="34"/>
  <c r="U1136" i="34"/>
  <c r="A1142" i="34"/>
  <c r="Z1142" i="34"/>
  <c r="W1142" i="34"/>
  <c r="U1142" i="34"/>
  <c r="A1150" i="34"/>
  <c r="Z1150" i="34"/>
  <c r="W1150" i="34"/>
  <c r="U1150" i="34"/>
  <c r="A1171" i="34"/>
  <c r="U1171" i="34"/>
  <c r="Z1171" i="34"/>
  <c r="W1171" i="34"/>
  <c r="A1184" i="34"/>
  <c r="Z1184" i="34"/>
  <c r="W1184" i="34"/>
  <c r="U1184" i="34"/>
  <c r="A1189" i="34"/>
  <c r="U1189" i="34"/>
  <c r="Z1189" i="34"/>
  <c r="W1189" i="34"/>
  <c r="A1207" i="34"/>
  <c r="U1207" i="34"/>
  <c r="Z1207" i="34"/>
  <c r="W1207" i="34"/>
  <c r="A1303" i="34"/>
  <c r="Z1303" i="34"/>
  <c r="W1303" i="34"/>
  <c r="U1303" i="34"/>
  <c r="W1608" i="34"/>
  <c r="U1608" i="34"/>
  <c r="Z1608" i="34"/>
  <c r="A1318" i="34"/>
  <c r="U1318" i="34"/>
  <c r="Z1318" i="34"/>
  <c r="W1318" i="34"/>
  <c r="A1506" i="34"/>
  <c r="U1506" i="34"/>
  <c r="Z1506" i="34"/>
  <c r="W1506" i="34"/>
  <c r="A1346" i="34"/>
  <c r="U1346" i="34"/>
  <c r="Z1346" i="34"/>
  <c r="W1346" i="34"/>
  <c r="A1358" i="34"/>
  <c r="U1358" i="34"/>
  <c r="Z1358" i="34"/>
  <c r="W1358" i="34"/>
  <c r="W1618" i="34"/>
  <c r="U1618" i="34"/>
  <c r="Z1618" i="34"/>
  <c r="U1637" i="34"/>
  <c r="Z1637" i="34"/>
  <c r="W1637" i="34"/>
  <c r="W1642" i="34"/>
  <c r="U1642" i="34"/>
  <c r="Z1642" i="34"/>
  <c r="A997" i="34"/>
  <c r="U997" i="34"/>
  <c r="Z997" i="34"/>
  <c r="W997" i="34"/>
  <c r="A1212" i="34"/>
  <c r="Z1212" i="34"/>
  <c r="W1212" i="34"/>
  <c r="U1212" i="34"/>
  <c r="A1204" i="34"/>
  <c r="Z1204" i="34"/>
  <c r="W1204" i="34"/>
  <c r="U1204" i="34"/>
  <c r="A1309" i="34"/>
  <c r="Z1309" i="34"/>
  <c r="W1309" i="34"/>
  <c r="U1309" i="34"/>
  <c r="A1205" i="34"/>
  <c r="U1205" i="34"/>
  <c r="Z1205" i="34"/>
  <c r="W1205" i="34"/>
  <c r="A1287" i="34"/>
  <c r="Z1287" i="34"/>
  <c r="W1287" i="34"/>
  <c r="U1287" i="34"/>
  <c r="A1273" i="34"/>
  <c r="Z1273" i="34"/>
  <c r="W1273" i="34"/>
  <c r="U1273" i="34"/>
  <c r="A1251" i="34"/>
  <c r="Z1251" i="34"/>
  <c r="W1251" i="34"/>
  <c r="U1251" i="34"/>
  <c r="A911" i="34"/>
  <c r="U911" i="34"/>
  <c r="W911" i="34"/>
  <c r="Z911" i="34"/>
  <c r="A915" i="34"/>
  <c r="U915" i="34"/>
  <c r="Z915" i="34"/>
  <c r="W915" i="34"/>
  <c r="A957" i="34"/>
  <c r="U957" i="34"/>
  <c r="Z957" i="34"/>
  <c r="W957" i="34"/>
  <c r="A1006" i="34"/>
  <c r="Z1006" i="34"/>
  <c r="W1006" i="34"/>
  <c r="U1006" i="34"/>
  <c r="A604" i="34"/>
  <c r="W604" i="34"/>
  <c r="U604" i="34"/>
  <c r="Z604" i="34"/>
  <c r="A1038" i="34"/>
  <c r="Z1038" i="34"/>
  <c r="W1038" i="34"/>
  <c r="U1038" i="34"/>
  <c r="A931" i="34"/>
  <c r="U931" i="34"/>
  <c r="Z931" i="34"/>
  <c r="W931" i="34"/>
  <c r="A992" i="34"/>
  <c r="Z992" i="34"/>
  <c r="W992" i="34"/>
  <c r="U992" i="34"/>
  <c r="A998" i="34"/>
  <c r="Z998" i="34"/>
  <c r="W998" i="34"/>
  <c r="U998" i="34"/>
  <c r="A1003" i="34"/>
  <c r="U1003" i="34"/>
  <c r="Z1003" i="34"/>
  <c r="W1003" i="34"/>
  <c r="A1138" i="34"/>
  <c r="Z1138" i="34"/>
  <c r="W1138" i="34"/>
  <c r="U1138" i="34"/>
  <c r="A1011" i="34"/>
  <c r="U1011" i="34"/>
  <c r="Z1011" i="34"/>
  <c r="W1011" i="34"/>
  <c r="A1093" i="34"/>
  <c r="U1093" i="34"/>
  <c r="Z1093" i="34"/>
  <c r="W1093" i="34"/>
  <c r="A1030" i="34"/>
  <c r="Z1030" i="34"/>
  <c r="W1030" i="34"/>
  <c r="U1030" i="34"/>
  <c r="A1048" i="34"/>
  <c r="Z1048" i="34"/>
  <c r="W1048" i="34"/>
  <c r="U1048" i="34"/>
  <c r="A1052" i="34"/>
  <c r="Z1052" i="34"/>
  <c r="W1052" i="34"/>
  <c r="U1052" i="34"/>
  <c r="A48" i="34"/>
  <c r="U48" i="34"/>
  <c r="Z48" i="34"/>
  <c r="W48" i="34"/>
  <c r="A128" i="34"/>
  <c r="U128" i="34"/>
  <c r="Z128" i="34"/>
  <c r="W128" i="34"/>
  <c r="A107" i="34"/>
  <c r="Z107" i="34"/>
  <c r="W107" i="34"/>
  <c r="U107" i="34"/>
  <c r="A111" i="34"/>
  <c r="Z111" i="34"/>
  <c r="W111" i="34"/>
  <c r="U111" i="34"/>
  <c r="A115" i="34"/>
  <c r="Z115" i="34"/>
  <c r="U115" i="34"/>
  <c r="W115" i="34"/>
  <c r="A985" i="34"/>
  <c r="U985" i="34"/>
  <c r="Z985" i="34"/>
  <c r="W985" i="34"/>
  <c r="A926" i="34"/>
  <c r="Z926" i="34"/>
  <c r="W926" i="34"/>
  <c r="U926" i="34"/>
  <c r="A1067" i="34"/>
  <c r="U1067" i="34"/>
  <c r="Z1067" i="34"/>
  <c r="W1067" i="34"/>
  <c r="A993" i="34"/>
  <c r="U993" i="34"/>
  <c r="Z993" i="34"/>
  <c r="W993" i="34"/>
  <c r="A1086" i="34"/>
  <c r="Z1086" i="34"/>
  <c r="W1086" i="34"/>
  <c r="U1086" i="34"/>
  <c r="A1252" i="34"/>
  <c r="U1252" i="34"/>
  <c r="Z1252" i="34"/>
  <c r="W1252" i="34"/>
  <c r="A1116" i="34"/>
  <c r="Z1116" i="34"/>
  <c r="W1116" i="34"/>
  <c r="U1116" i="34"/>
  <c r="A1435" i="34"/>
  <c r="Z1435" i="34"/>
  <c r="W1435" i="34"/>
  <c r="U1435" i="34"/>
  <c r="A1439" i="34"/>
  <c r="Z1439" i="34"/>
  <c r="W1439" i="34"/>
  <c r="U1439" i="34"/>
  <c r="A35" i="34"/>
  <c r="Z35" i="34"/>
  <c r="W35" i="34"/>
  <c r="U35" i="34"/>
  <c r="A121" i="34"/>
  <c r="U121" i="34"/>
  <c r="Z121" i="34"/>
  <c r="W121" i="34"/>
  <c r="A145" i="34"/>
  <c r="W145" i="34"/>
  <c r="U145" i="34"/>
  <c r="Z145" i="34"/>
  <c r="A192" i="34"/>
  <c r="U192" i="34"/>
  <c r="Z192" i="34"/>
  <c r="W192" i="34"/>
  <c r="A216" i="34"/>
  <c r="U216" i="34"/>
  <c r="Z216" i="34"/>
  <c r="W216" i="34"/>
  <c r="A311" i="34"/>
  <c r="U311" i="34"/>
  <c r="Z311" i="34"/>
  <c r="W311" i="34"/>
  <c r="A340" i="34"/>
  <c r="W340" i="34"/>
  <c r="U340" i="34"/>
  <c r="Z340" i="34"/>
  <c r="A380" i="34"/>
  <c r="W380" i="34"/>
  <c r="U380" i="34"/>
  <c r="Z380" i="34"/>
  <c r="A385" i="34"/>
  <c r="U385" i="34"/>
  <c r="Z385" i="34"/>
  <c r="W385" i="34"/>
  <c r="A409" i="34"/>
  <c r="U409" i="34"/>
  <c r="Z409" i="34"/>
  <c r="W409" i="34"/>
  <c r="A507" i="34"/>
  <c r="U507" i="34"/>
  <c r="Z507" i="34"/>
  <c r="W507" i="34"/>
  <c r="A437" i="34"/>
  <c r="U437" i="34"/>
  <c r="Z437" i="34"/>
  <c r="W437" i="34"/>
  <c r="A1022" i="34"/>
  <c r="R1022" i="34"/>
  <c r="Z1022" i="34"/>
  <c r="S1022" i="34"/>
  <c r="W1022" i="34"/>
  <c r="T1022" i="34"/>
  <c r="U1022" i="34"/>
  <c r="A1161" i="34"/>
  <c r="T1161" i="34"/>
  <c r="U1161" i="34"/>
  <c r="R1161" i="34"/>
  <c r="Z1161" i="34"/>
  <c r="S1161" i="34"/>
  <c r="W1161" i="34"/>
  <c r="A1243" i="34"/>
  <c r="R1243" i="34"/>
  <c r="Z1243" i="34"/>
  <c r="S1243" i="34"/>
  <c r="W1243" i="34"/>
  <c r="T1243" i="34"/>
  <c r="U1243" i="34"/>
  <c r="A1201" i="34"/>
  <c r="T1201" i="34"/>
  <c r="U1201" i="34"/>
  <c r="R1201" i="34"/>
  <c r="Z1201" i="34"/>
  <c r="S1201" i="34"/>
  <c r="W1201" i="34"/>
  <c r="A1336" i="34"/>
  <c r="T1336" i="34"/>
  <c r="U1336" i="34"/>
  <c r="R1336" i="34"/>
  <c r="Z1336" i="34"/>
  <c r="S1336" i="34"/>
  <c r="W1336" i="34"/>
  <c r="A1426" i="34"/>
  <c r="T1426" i="34"/>
  <c r="U1426" i="34"/>
  <c r="R1426" i="34"/>
  <c r="Z1426" i="34"/>
  <c r="S1426" i="34"/>
  <c r="W1426" i="34"/>
  <c r="A1194" i="34"/>
  <c r="R1194" i="34"/>
  <c r="Z1194" i="34"/>
  <c r="S1194" i="34"/>
  <c r="W1194" i="34"/>
  <c r="T1194" i="34"/>
  <c r="U1194" i="34"/>
  <c r="A27" i="34"/>
  <c r="Z27" i="34"/>
  <c r="W27" i="34"/>
  <c r="U27" i="34"/>
  <c r="A44" i="34"/>
  <c r="U44" i="34"/>
  <c r="Z44" i="34"/>
  <c r="W44" i="34"/>
  <c r="W1682" i="34"/>
  <c r="U1682" i="34"/>
  <c r="Z1682" i="34"/>
  <c r="W1692" i="34"/>
  <c r="U1692" i="34"/>
  <c r="Z1692" i="34"/>
  <c r="A1055" i="34"/>
  <c r="U1055" i="34"/>
  <c r="Z1055" i="34"/>
  <c r="W1055" i="34"/>
  <c r="A1059" i="34"/>
  <c r="U1059" i="34"/>
  <c r="Z1059" i="34"/>
  <c r="W1059" i="34"/>
  <c r="A1063" i="34"/>
  <c r="U1063" i="34"/>
  <c r="Z1063" i="34"/>
  <c r="W1063" i="34"/>
  <c r="A1106" i="34"/>
  <c r="Z1106" i="34"/>
  <c r="W1106" i="34"/>
  <c r="U1106" i="34"/>
  <c r="A1126" i="34"/>
  <c r="Z1126" i="34"/>
  <c r="W1126" i="34"/>
  <c r="U1126" i="34"/>
  <c r="A1139" i="34"/>
  <c r="U1139" i="34"/>
  <c r="Z1139" i="34"/>
  <c r="W1139" i="34"/>
  <c r="A1143" i="34"/>
  <c r="U1143" i="34"/>
  <c r="Z1143" i="34"/>
  <c r="W1143" i="34"/>
  <c r="A1151" i="34"/>
  <c r="U1151" i="34"/>
  <c r="Z1151" i="34"/>
  <c r="W1151" i="34"/>
  <c r="A1172" i="34"/>
  <c r="Z1172" i="34"/>
  <c r="W1172" i="34"/>
  <c r="U1172" i="34"/>
  <c r="A1185" i="34"/>
  <c r="U1185" i="34"/>
  <c r="Z1185" i="34"/>
  <c r="W1185" i="34"/>
  <c r="A1190" i="34"/>
  <c r="Z1190" i="34"/>
  <c r="W1190" i="34"/>
  <c r="U1190" i="34"/>
  <c r="A1209" i="34"/>
  <c r="U1209" i="34"/>
  <c r="Z1209" i="34"/>
  <c r="W1209" i="34"/>
  <c r="A1304" i="34"/>
  <c r="U1304" i="34"/>
  <c r="Z1304" i="34"/>
  <c r="W1304" i="34"/>
  <c r="W1606" i="34"/>
  <c r="U1606" i="34"/>
  <c r="Z1606" i="34"/>
  <c r="A1325" i="34"/>
  <c r="Z1325" i="34"/>
  <c r="W1325" i="34"/>
  <c r="U1325" i="34"/>
  <c r="A1343" i="34"/>
  <c r="Z1343" i="34"/>
  <c r="W1343" i="34"/>
  <c r="U1343" i="34"/>
  <c r="A1355" i="34"/>
  <c r="Z1355" i="34"/>
  <c r="W1355" i="34"/>
  <c r="U1355" i="34"/>
  <c r="A1394" i="34"/>
  <c r="U1394" i="34"/>
  <c r="Z1394" i="34"/>
  <c r="W1394" i="34"/>
  <c r="U1629" i="34"/>
  <c r="Z1629" i="34"/>
  <c r="W1629" i="34"/>
  <c r="W1638" i="34"/>
  <c r="U1638" i="34"/>
  <c r="Z1638" i="34"/>
  <c r="W1644" i="34"/>
  <c r="U1644" i="34"/>
  <c r="Z1644" i="34"/>
  <c r="A1002" i="34"/>
  <c r="Z1002" i="34"/>
  <c r="W1002" i="34"/>
  <c r="U1002" i="34"/>
  <c r="A1249" i="34"/>
  <c r="Z1249" i="34"/>
  <c r="W1249" i="34"/>
  <c r="U1249" i="34"/>
  <c r="A1288" i="34"/>
  <c r="U1288" i="34"/>
  <c r="Z1288" i="34"/>
  <c r="W1288" i="34"/>
  <c r="A1219" i="34"/>
  <c r="U1219" i="34"/>
  <c r="Z1219" i="34"/>
  <c r="W1219" i="34"/>
  <c r="A1432" i="34"/>
  <c r="U1432" i="34"/>
  <c r="Z1432" i="34"/>
  <c r="W1432" i="34"/>
  <c r="A1406" i="34"/>
  <c r="U1406" i="34"/>
  <c r="Z1406" i="34"/>
  <c r="W1406" i="34"/>
  <c r="A1264" i="34"/>
  <c r="U1264" i="34"/>
  <c r="Z1264" i="34"/>
  <c r="W1264" i="34"/>
  <c r="A1310" i="34"/>
  <c r="U1310" i="34"/>
  <c r="Z1310" i="34"/>
  <c r="W1310" i="34"/>
  <c r="A912" i="34"/>
  <c r="W912" i="34"/>
  <c r="Z912" i="34"/>
  <c r="U912" i="34"/>
  <c r="A917" i="34"/>
  <c r="U917" i="34"/>
  <c r="Z917" i="34"/>
  <c r="W917" i="34"/>
  <c r="A959" i="34"/>
  <c r="U959" i="34"/>
  <c r="Z959" i="34"/>
  <c r="W959" i="34"/>
  <c r="A1008" i="34"/>
  <c r="Z1008" i="34"/>
  <c r="W1008" i="34"/>
  <c r="U1008" i="34"/>
  <c r="A603" i="34"/>
  <c r="U603" i="34"/>
  <c r="Z603" i="34"/>
  <c r="W603" i="34"/>
  <c r="A946" i="34"/>
  <c r="Z946" i="34"/>
  <c r="W946" i="34"/>
  <c r="U946" i="34"/>
  <c r="A1112" i="34"/>
  <c r="Z1112" i="34"/>
  <c r="W1112" i="34"/>
  <c r="U1112" i="34"/>
  <c r="A1145" i="34"/>
  <c r="U1145" i="34"/>
  <c r="Z1145" i="34"/>
  <c r="W1145" i="34"/>
  <c r="A943" i="34"/>
  <c r="U943" i="34"/>
  <c r="Z943" i="34"/>
  <c r="W943" i="34"/>
  <c r="A1108" i="34"/>
  <c r="Z1108" i="34"/>
  <c r="W1108" i="34"/>
  <c r="U1108" i="34"/>
  <c r="A1036" i="34"/>
  <c r="Z1036" i="34"/>
  <c r="W1036" i="34"/>
  <c r="U1036" i="34"/>
  <c r="A936" i="34"/>
  <c r="Z936" i="34"/>
  <c r="W936" i="34"/>
  <c r="U936" i="34"/>
  <c r="A1405" i="34"/>
  <c r="Z1405" i="34"/>
  <c r="W1405" i="34"/>
  <c r="U1405" i="34"/>
  <c r="A1044" i="34"/>
  <c r="Z1044" i="34"/>
  <c r="W1044" i="34"/>
  <c r="U1044" i="34"/>
  <c r="A1049" i="34"/>
  <c r="U1049" i="34"/>
  <c r="Z1049" i="34"/>
  <c r="W1049" i="34"/>
  <c r="A1053" i="34"/>
  <c r="U1053" i="34"/>
  <c r="Z1053" i="34"/>
  <c r="W1053" i="34"/>
  <c r="A64" i="34"/>
  <c r="U64" i="34"/>
  <c r="Z64" i="34"/>
  <c r="W64" i="34"/>
  <c r="A134" i="34"/>
  <c r="U134" i="34"/>
  <c r="Z134" i="34"/>
  <c r="W134" i="34"/>
  <c r="A108" i="34"/>
  <c r="U108" i="34"/>
  <c r="Z108" i="34"/>
  <c r="W108" i="34"/>
  <c r="A112" i="34"/>
  <c r="Z112" i="34"/>
  <c r="W112" i="34"/>
  <c r="U112" i="34"/>
  <c r="A977" i="34"/>
  <c r="U977" i="34"/>
  <c r="Z977" i="34"/>
  <c r="W977" i="34"/>
  <c r="A856" i="34"/>
  <c r="W856" i="34"/>
  <c r="U856" i="34"/>
  <c r="Z856" i="34"/>
  <c r="A815" i="34"/>
  <c r="U815" i="34"/>
  <c r="Z815" i="34"/>
  <c r="W815" i="34"/>
  <c r="A1157" i="34"/>
  <c r="U1157" i="34"/>
  <c r="Z1157" i="34"/>
  <c r="W1157" i="34"/>
  <c r="A999" i="34"/>
  <c r="U999" i="34"/>
  <c r="Z999" i="34"/>
  <c r="W999" i="34"/>
  <c r="A1226" i="34"/>
  <c r="Z1226" i="34"/>
  <c r="U1226" i="34"/>
  <c r="W1226" i="34"/>
  <c r="A1079" i="34"/>
  <c r="U1079" i="34"/>
  <c r="Z1079" i="34"/>
  <c r="W1079" i="34"/>
  <c r="A1268" i="34"/>
  <c r="U1268" i="34"/>
  <c r="Z1268" i="34"/>
  <c r="W1268" i="34"/>
  <c r="A1436" i="34"/>
  <c r="U1436" i="34"/>
  <c r="Z1436" i="34"/>
  <c r="W1436" i="34"/>
  <c r="A31" i="34"/>
  <c r="Z31" i="34"/>
  <c r="W31" i="34"/>
  <c r="U31" i="34"/>
  <c r="A98" i="34"/>
  <c r="U98" i="34"/>
  <c r="Z98" i="34"/>
  <c r="W98" i="34"/>
  <c r="A139" i="34"/>
  <c r="W139" i="34"/>
  <c r="U139" i="34"/>
  <c r="Z139" i="34"/>
  <c r="A149" i="34"/>
  <c r="W149" i="34"/>
  <c r="U149" i="34"/>
  <c r="Z149" i="34"/>
  <c r="A193" i="34"/>
  <c r="W193" i="34"/>
  <c r="U193" i="34"/>
  <c r="Z193" i="34"/>
  <c r="A217" i="34"/>
  <c r="W217" i="34"/>
  <c r="U217" i="34"/>
  <c r="Z217" i="34"/>
  <c r="A312" i="34"/>
  <c r="W312" i="34"/>
  <c r="U312" i="34"/>
  <c r="Z312" i="34"/>
  <c r="A341" i="34"/>
  <c r="U341" i="34"/>
  <c r="Z341" i="34"/>
  <c r="W341" i="34"/>
  <c r="A381" i="34"/>
  <c r="U381" i="34"/>
  <c r="Z381" i="34"/>
  <c r="W381" i="34"/>
  <c r="A386" i="34"/>
  <c r="W386" i="34"/>
  <c r="U386" i="34"/>
  <c r="Z386" i="34"/>
  <c r="A404" i="34"/>
  <c r="W404" i="34"/>
  <c r="U404" i="34"/>
  <c r="Z404" i="34"/>
  <c r="A496" i="34"/>
  <c r="Z496" i="34"/>
  <c r="W496" i="34"/>
  <c r="U496" i="34"/>
  <c r="A549" i="34"/>
  <c r="U549" i="34"/>
  <c r="Z549" i="34"/>
  <c r="W549" i="34"/>
  <c r="A1066" i="34"/>
  <c r="R1066" i="34"/>
  <c r="Z1066" i="34"/>
  <c r="S1066" i="34"/>
  <c r="W1066" i="34"/>
  <c r="T1066" i="34"/>
  <c r="U1066" i="34"/>
  <c r="A1163" i="34"/>
  <c r="T1163" i="34"/>
  <c r="U1163" i="34"/>
  <c r="R1163" i="34"/>
  <c r="Z1163" i="34"/>
  <c r="S1163" i="34"/>
  <c r="W1163" i="34"/>
  <c r="A1298" i="34"/>
  <c r="T1298" i="34"/>
  <c r="U1298" i="34"/>
  <c r="R1298" i="34"/>
  <c r="Z1298" i="34"/>
  <c r="S1298" i="34"/>
  <c r="W1298" i="34"/>
  <c r="A1202" i="34"/>
  <c r="R1202" i="34"/>
  <c r="Z1202" i="34"/>
  <c r="S1202" i="34"/>
  <c r="W1202" i="34"/>
  <c r="T1202" i="34"/>
  <c r="U1202" i="34"/>
  <c r="A1409" i="34"/>
  <c r="R1409" i="34"/>
  <c r="Z1409" i="34"/>
  <c r="S1409" i="34"/>
  <c r="W1409" i="34"/>
  <c r="T1409" i="34"/>
  <c r="U1409" i="34"/>
  <c r="A1167" i="34"/>
  <c r="T1167" i="34"/>
  <c r="U1167" i="34"/>
  <c r="R1167" i="34"/>
  <c r="Z1167" i="34"/>
  <c r="S1167" i="34"/>
  <c r="W1167" i="34"/>
  <c r="A89" i="34"/>
  <c r="Z89" i="34"/>
  <c r="W89" i="34"/>
  <c r="U89" i="34"/>
  <c r="A28" i="34"/>
  <c r="U28" i="34"/>
  <c r="Z28" i="34"/>
  <c r="W28" i="34"/>
  <c r="A45" i="34"/>
  <c r="Z45" i="34"/>
  <c r="W45" i="34"/>
  <c r="U45" i="34"/>
  <c r="U1679" i="34"/>
  <c r="Z1679" i="34"/>
  <c r="W1679" i="34"/>
  <c r="U1693" i="34"/>
  <c r="Z1693" i="34"/>
  <c r="W1693" i="34"/>
  <c r="U1707" i="34"/>
  <c r="Z1707" i="34"/>
  <c r="W1707" i="34"/>
  <c r="U1767" i="34"/>
  <c r="Z1767" i="34"/>
  <c r="W1767" i="34"/>
  <c r="A1056" i="34"/>
  <c r="Z1056" i="34"/>
  <c r="W1056" i="34"/>
  <c r="U1056" i="34"/>
  <c r="A1060" i="34"/>
  <c r="Z1060" i="34"/>
  <c r="W1060" i="34"/>
  <c r="U1060" i="34"/>
  <c r="A1064" i="34"/>
  <c r="Z1064" i="34"/>
  <c r="W1064" i="34"/>
  <c r="U1064" i="34"/>
  <c r="A1107" i="34"/>
  <c r="U1107" i="34"/>
  <c r="Z1107" i="34"/>
  <c r="W1107" i="34"/>
  <c r="A1127" i="34"/>
  <c r="U1127" i="34"/>
  <c r="Z1127" i="34"/>
  <c r="W1127" i="34"/>
  <c r="A1140" i="34"/>
  <c r="Z1140" i="34"/>
  <c r="W1140" i="34"/>
  <c r="U1140" i="34"/>
  <c r="A1147" i="34"/>
  <c r="U1147" i="34"/>
  <c r="Z1147" i="34"/>
  <c r="W1147" i="34"/>
  <c r="A1155" i="34"/>
  <c r="U1155" i="34"/>
  <c r="Z1155" i="34"/>
  <c r="W1155" i="34"/>
  <c r="A1174" i="34"/>
  <c r="Z1174" i="34"/>
  <c r="W1174" i="34"/>
  <c r="U1174" i="34"/>
  <c r="A1187" i="34"/>
  <c r="U1187" i="34"/>
  <c r="Z1187" i="34"/>
  <c r="W1187" i="34"/>
  <c r="A1191" i="34"/>
  <c r="U1191" i="34"/>
  <c r="Z1191" i="34"/>
  <c r="W1191" i="34"/>
  <c r="A1210" i="34"/>
  <c r="Z1210" i="34"/>
  <c r="W1210" i="34"/>
  <c r="U1210" i="34"/>
  <c r="A1305" i="34"/>
  <c r="Z1305" i="34"/>
  <c r="W1305" i="34"/>
  <c r="U1305" i="34"/>
  <c r="U1769" i="34"/>
  <c r="Z1769" i="34"/>
  <c r="W1769" i="34"/>
  <c r="A1488" i="34"/>
  <c r="U1488" i="34"/>
  <c r="Z1488" i="34"/>
  <c r="W1488" i="34"/>
  <c r="A1344" i="34"/>
  <c r="U1344" i="34"/>
  <c r="Z1344" i="34"/>
  <c r="W1344" i="34"/>
  <c r="A1356" i="34"/>
  <c r="U1356" i="34"/>
  <c r="Z1356" i="34"/>
  <c r="W1356" i="34"/>
  <c r="A1536" i="34"/>
  <c r="U1536" i="34"/>
  <c r="Z1536" i="34"/>
  <c r="W1536" i="34"/>
  <c r="W1630" i="34"/>
  <c r="U1630" i="34"/>
  <c r="Z1630" i="34"/>
  <c r="U1639" i="34"/>
  <c r="Z1639" i="34"/>
  <c r="W1639" i="34"/>
  <c r="A519" i="34"/>
  <c r="U519" i="34"/>
  <c r="Z519" i="34"/>
  <c r="W519" i="34"/>
  <c r="A1241" i="34"/>
  <c r="Z1241" i="34"/>
  <c r="W1241" i="34"/>
  <c r="U1241" i="34"/>
  <c r="A1223" i="34"/>
  <c r="Z1223" i="34"/>
  <c r="W1223" i="34"/>
  <c r="U1223" i="34"/>
  <c r="A1267" i="34"/>
  <c r="Z1267" i="34"/>
  <c r="W1267" i="34"/>
  <c r="U1267" i="34"/>
  <c r="A1275" i="34"/>
  <c r="Z1275" i="34"/>
  <c r="W1275" i="34"/>
  <c r="U1275" i="34"/>
  <c r="A1240" i="34"/>
  <c r="U1240" i="34"/>
  <c r="Z1240" i="34"/>
  <c r="W1240" i="34"/>
  <c r="A1236" i="34"/>
  <c r="Z1236" i="34"/>
  <c r="U1236" i="34"/>
  <c r="W1236" i="34"/>
  <c r="A1235" i="34"/>
  <c r="Z1235" i="34"/>
  <c r="W1235" i="34"/>
  <c r="U1235" i="34"/>
  <c r="A1250" i="34"/>
  <c r="U1250" i="34"/>
  <c r="Z1250" i="34"/>
  <c r="W1250" i="34"/>
  <c r="A913" i="34"/>
  <c r="U913" i="34"/>
  <c r="Z913" i="34"/>
  <c r="W913" i="34"/>
  <c r="A922" i="34"/>
  <c r="Z922" i="34"/>
  <c r="U922" i="34"/>
  <c r="W922" i="34"/>
  <c r="A970" i="34"/>
  <c r="Z970" i="34"/>
  <c r="W970" i="34"/>
  <c r="U970" i="34"/>
  <c r="A1009" i="34"/>
  <c r="U1009" i="34"/>
  <c r="Z1009" i="34"/>
  <c r="W1009" i="34"/>
  <c r="A390" i="34"/>
  <c r="W390" i="34"/>
  <c r="U390" i="34"/>
  <c r="Z390" i="34"/>
  <c r="A1146" i="34"/>
  <c r="Z1146" i="34"/>
  <c r="W1146" i="34"/>
  <c r="U1146" i="34"/>
  <c r="A1023" i="34"/>
  <c r="U1023" i="34"/>
  <c r="Z1023" i="34"/>
  <c r="W1023" i="34"/>
  <c r="A1000" i="34"/>
  <c r="Z1000" i="34"/>
  <c r="W1000" i="34"/>
  <c r="U1000" i="34"/>
  <c r="A945" i="34"/>
  <c r="U945" i="34"/>
  <c r="Z945" i="34"/>
  <c r="W945" i="34"/>
  <c r="A1137" i="34"/>
  <c r="U1137" i="34"/>
  <c r="Z1137" i="34"/>
  <c r="W1137" i="34"/>
  <c r="A1110" i="34"/>
  <c r="Z1110" i="34"/>
  <c r="W1110" i="34"/>
  <c r="U1110" i="34"/>
  <c r="A1109" i="34"/>
  <c r="U1109" i="34"/>
  <c r="Z1109" i="34"/>
  <c r="W1109" i="34"/>
  <c r="A1398" i="34"/>
  <c r="U1398" i="34"/>
  <c r="Z1398" i="34"/>
  <c r="W1398" i="34"/>
  <c r="A1045" i="34"/>
  <c r="U1045" i="34"/>
  <c r="Z1045" i="34"/>
  <c r="W1045" i="34"/>
  <c r="A1050" i="34"/>
  <c r="Z1050" i="34"/>
  <c r="W1050" i="34"/>
  <c r="U1050" i="34"/>
  <c r="A46" i="34"/>
  <c r="U46" i="34"/>
  <c r="Z46" i="34"/>
  <c r="W46" i="34"/>
  <c r="A65" i="34"/>
  <c r="Z65" i="34"/>
  <c r="W65" i="34"/>
  <c r="U65" i="34"/>
  <c r="A135" i="34"/>
  <c r="W135" i="34"/>
  <c r="U135" i="34"/>
  <c r="Z135" i="34"/>
  <c r="A109" i="34"/>
  <c r="Z109" i="34"/>
  <c r="W109" i="34"/>
  <c r="U109" i="34"/>
  <c r="A113" i="34"/>
  <c r="Z113" i="34"/>
  <c r="U113" i="34"/>
  <c r="W113" i="34"/>
  <c r="A978" i="34"/>
  <c r="Z978" i="34"/>
  <c r="W978" i="34"/>
  <c r="U978" i="34"/>
  <c r="A857" i="34"/>
  <c r="U857" i="34"/>
  <c r="Z857" i="34"/>
  <c r="W857" i="34"/>
  <c r="A1019" i="34"/>
  <c r="U1019" i="34"/>
  <c r="Z1019" i="34"/>
  <c r="W1019" i="34"/>
  <c r="A1001" i="34"/>
  <c r="U1001" i="34"/>
  <c r="Z1001" i="34"/>
  <c r="W1001" i="34"/>
  <c r="A1215" i="34"/>
  <c r="U1215" i="34"/>
  <c r="Z1215" i="34"/>
  <c r="W1215" i="34"/>
  <c r="A1217" i="34"/>
  <c r="U1217" i="34"/>
  <c r="Z1217" i="34"/>
  <c r="W1217" i="34"/>
  <c r="A1279" i="34"/>
  <c r="Z1279" i="34"/>
  <c r="W1279" i="34"/>
  <c r="U1279" i="34"/>
  <c r="A1266" i="34"/>
  <c r="U1266" i="34"/>
  <c r="Z1266" i="34"/>
  <c r="W1266" i="34"/>
  <c r="A1437" i="34"/>
  <c r="Z1437" i="34"/>
  <c r="W1437" i="34"/>
  <c r="U1437" i="34"/>
  <c r="A32" i="34"/>
  <c r="U32" i="34"/>
  <c r="Z32" i="34"/>
  <c r="W32" i="34"/>
  <c r="A99" i="34"/>
  <c r="Z99" i="34"/>
  <c r="W99" i="34"/>
  <c r="U99" i="34"/>
  <c r="A140" i="34"/>
  <c r="U140" i="34"/>
  <c r="Z140" i="34"/>
  <c r="W140" i="34"/>
  <c r="A185" i="34"/>
  <c r="W185" i="34"/>
  <c r="U185" i="34"/>
  <c r="Z185" i="34"/>
  <c r="A202" i="34"/>
  <c r="U202" i="34"/>
  <c r="Z202" i="34"/>
  <c r="W202" i="34"/>
  <c r="A218" i="34"/>
  <c r="U218" i="34"/>
  <c r="Z218" i="34"/>
  <c r="W218" i="34"/>
  <c r="A313" i="34"/>
  <c r="U313" i="34"/>
  <c r="Z313" i="34"/>
  <c r="W313" i="34"/>
  <c r="A342" i="34"/>
  <c r="W342" i="34"/>
  <c r="U342" i="34"/>
  <c r="Z342" i="34"/>
  <c r="A383" i="34"/>
  <c r="U383" i="34"/>
  <c r="Z383" i="34"/>
  <c r="W383" i="34"/>
  <c r="A387" i="34"/>
  <c r="U387" i="34"/>
  <c r="Z387" i="34"/>
  <c r="W387" i="34"/>
  <c r="A405" i="34"/>
  <c r="U405" i="34"/>
  <c r="Z405" i="34"/>
  <c r="W405" i="34"/>
  <c r="A515" i="34"/>
  <c r="U515" i="34"/>
  <c r="Z515" i="34"/>
  <c r="W515" i="34"/>
  <c r="A401" i="34"/>
  <c r="U401" i="34"/>
  <c r="Z401" i="34"/>
  <c r="W401" i="34"/>
  <c r="A1096" i="34"/>
  <c r="R1096" i="34"/>
  <c r="Z1096" i="34"/>
  <c r="S1096" i="34"/>
  <c r="W1096" i="34"/>
  <c r="T1096" i="34"/>
  <c r="U1096" i="34"/>
  <c r="A1199" i="34"/>
  <c r="T1199" i="34"/>
  <c r="U1199" i="34"/>
  <c r="R1199" i="34"/>
  <c r="Z1199" i="34"/>
  <c r="S1199" i="34"/>
  <c r="W1199" i="34"/>
  <c r="A1320" i="34"/>
  <c r="T1320" i="34"/>
  <c r="U1320" i="34"/>
  <c r="R1320" i="34"/>
  <c r="Z1320" i="34"/>
  <c r="S1320" i="34"/>
  <c r="W1320" i="34"/>
  <c r="A1203" i="34"/>
  <c r="T1203" i="34"/>
  <c r="U1203" i="34"/>
  <c r="R1203" i="34"/>
  <c r="Z1203" i="34"/>
  <c r="S1203" i="34"/>
  <c r="W1203" i="34"/>
  <c r="A1410" i="34"/>
  <c r="T1410" i="34"/>
  <c r="U1410" i="34"/>
  <c r="R1410" i="34"/>
  <c r="Z1410" i="34"/>
  <c r="S1410" i="34"/>
  <c r="W1410" i="34"/>
  <c r="A1168" i="34"/>
  <c r="R1168" i="34"/>
  <c r="Z1168" i="34"/>
  <c r="S1168" i="34"/>
  <c r="W1168" i="34"/>
  <c r="T1168" i="34"/>
  <c r="U1168" i="34"/>
  <c r="A90" i="34"/>
  <c r="U90" i="34"/>
  <c r="Z90" i="34"/>
  <c r="W90" i="34"/>
  <c r="A29" i="34"/>
  <c r="Z29" i="34"/>
  <c r="W29" i="34"/>
  <c r="U29" i="34"/>
  <c r="A1681" i="34"/>
  <c r="A1691" i="34"/>
  <c r="A1959" i="34"/>
  <c r="Z1959" i="34"/>
  <c r="W1959" i="34"/>
  <c r="U1959" i="34"/>
  <c r="A1608" i="34"/>
  <c r="A1618" i="34"/>
  <c r="A1637" i="34"/>
  <c r="A1642" i="34"/>
  <c r="A1682" i="34"/>
  <c r="A1692" i="34"/>
  <c r="A1960" i="34"/>
  <c r="U1960" i="34"/>
  <c r="Z1960" i="34"/>
  <c r="W1960" i="34"/>
  <c r="A1606" i="34"/>
  <c r="A1629" i="34"/>
  <c r="A1638" i="34"/>
  <c r="A1644" i="34"/>
  <c r="A1679" i="34"/>
  <c r="A1693" i="34"/>
  <c r="A1707" i="34"/>
  <c r="A1767" i="34"/>
  <c r="A1769" i="34"/>
  <c r="A1630" i="34"/>
  <c r="A1639" i="34"/>
  <c r="A1680" i="34"/>
  <c r="A1694" i="34"/>
  <c r="A1958" i="34"/>
  <c r="W1958" i="34"/>
  <c r="U1958" i="34"/>
  <c r="Z1958" i="34"/>
  <c r="A1768" i="34"/>
  <c r="A1607" i="34"/>
  <c r="A1957" i="34"/>
  <c r="U1957" i="34"/>
  <c r="Z1957" i="34"/>
  <c r="W1957" i="34"/>
  <c r="A1631" i="34"/>
  <c r="A1640" i="34"/>
  <c r="B535" i="34"/>
  <c r="B544" i="34"/>
  <c r="B845" i="34"/>
  <c r="B1295" i="34"/>
  <c r="B1216" i="34"/>
  <c r="A1216" i="34" l="1"/>
  <c r="Z1216" i="34"/>
  <c r="W1216" i="34"/>
  <c r="U1216" i="34"/>
  <c r="A535" i="34"/>
  <c r="T535" i="34"/>
  <c r="U535" i="34"/>
  <c r="R535" i="34"/>
  <c r="Z535" i="34"/>
  <c r="S535" i="34"/>
  <c r="W535" i="34"/>
  <c r="A1295" i="34"/>
  <c r="Z1295" i="34"/>
  <c r="W1295" i="34"/>
  <c r="U1295" i="34"/>
  <c r="A845" i="34"/>
  <c r="U845" i="34"/>
  <c r="R845" i="34"/>
  <c r="Z845" i="34"/>
  <c r="S845" i="34"/>
  <c r="W845" i="34"/>
  <c r="T845" i="34"/>
  <c r="A544" i="34"/>
  <c r="R544" i="34"/>
  <c r="Z544" i="34"/>
  <c r="S544" i="34"/>
  <c r="W544" i="34"/>
  <c r="T544" i="34"/>
  <c r="U544" i="34"/>
  <c r="P37" i="60"/>
  <c r="C37" i="60" s="1"/>
  <c r="B1708" i="34"/>
  <c r="B1695" i="34"/>
  <c r="B1632" i="34"/>
  <c r="B1326" i="34"/>
  <c r="B1732" i="34"/>
  <c r="W1732" i="34" l="1"/>
  <c r="U1732" i="34"/>
  <c r="Z1732" i="34"/>
  <c r="W1708" i="34"/>
  <c r="U1708" i="34"/>
  <c r="Z1708" i="34"/>
  <c r="U1695" i="34"/>
  <c r="Z1695" i="34"/>
  <c r="W1695" i="34"/>
  <c r="A1326" i="34"/>
  <c r="U1326" i="34"/>
  <c r="Z1326" i="34"/>
  <c r="W1326" i="34"/>
  <c r="W1632" i="34"/>
  <c r="U1632" i="34"/>
  <c r="Z1632" i="34"/>
  <c r="A1695" i="34"/>
  <c r="A1732" i="34"/>
  <c r="A1708" i="34"/>
  <c r="A1632" i="34"/>
  <c r="P69" i="60"/>
  <c r="P70" i="60"/>
  <c r="P71" i="60"/>
  <c r="P72" i="60"/>
  <c r="P73" i="60"/>
  <c r="C71" i="60" l="1"/>
  <c r="C72" i="60"/>
  <c r="C70" i="60"/>
  <c r="C73" i="60"/>
  <c r="C69" i="60"/>
  <c r="A36" i="60"/>
  <c r="P68" i="60"/>
  <c r="P67" i="60"/>
  <c r="P65" i="60"/>
  <c r="C65" i="60" s="1"/>
  <c r="P64" i="60"/>
  <c r="P63" i="60"/>
  <c r="P62" i="60"/>
  <c r="P61" i="60"/>
  <c r="P60" i="60"/>
  <c r="P59" i="60"/>
  <c r="P58" i="60"/>
  <c r="P57" i="60"/>
  <c r="P56" i="60"/>
  <c r="P55" i="60"/>
  <c r="P54" i="60"/>
  <c r="P52" i="60"/>
  <c r="C52" i="60" s="1"/>
  <c r="P51" i="60"/>
  <c r="P50" i="60"/>
  <c r="P49" i="60"/>
  <c r="P48" i="60"/>
  <c r="P47" i="60"/>
  <c r="P46" i="60"/>
  <c r="P45" i="60"/>
  <c r="P44" i="60"/>
  <c r="P43" i="60"/>
  <c r="P42" i="60"/>
  <c r="P41" i="60"/>
  <c r="P40" i="60"/>
  <c r="P39" i="60"/>
  <c r="C39" i="60" l="1"/>
  <c r="C47" i="60"/>
  <c r="C42" i="60"/>
  <c r="C46" i="60"/>
  <c r="C50" i="60"/>
  <c r="C55" i="60"/>
  <c r="C59" i="60"/>
  <c r="C63" i="60"/>
  <c r="C68" i="60"/>
  <c r="C43" i="60"/>
  <c r="C51" i="60"/>
  <c r="C56" i="60"/>
  <c r="C60" i="60"/>
  <c r="C64" i="60"/>
  <c r="C40" i="60"/>
  <c r="C44" i="60"/>
  <c r="C48" i="60"/>
  <c r="C57" i="60"/>
  <c r="C61" i="60"/>
  <c r="C41" i="60"/>
  <c r="C45" i="60"/>
  <c r="C49" i="60"/>
  <c r="C54" i="60"/>
  <c r="C58" i="60"/>
  <c r="C62" i="60"/>
  <c r="C67" i="60"/>
  <c r="A37" i="60"/>
  <c r="A38" i="60" s="1"/>
  <c r="A39" i="60" s="1"/>
  <c r="A40" i="60" s="1"/>
  <c r="I18" i="54" l="1"/>
  <c r="B423" i="34"/>
  <c r="A423" i="34" l="1"/>
  <c r="U423" i="34"/>
  <c r="R423" i="34"/>
  <c r="Z423" i="34"/>
  <c r="S423" i="34"/>
  <c r="W423" i="34"/>
  <c r="T423" i="34"/>
  <c r="N11" i="34"/>
  <c r="N10" i="34"/>
  <c r="N5" i="77"/>
  <c r="A114" i="14" l="1"/>
  <c r="E114" i="14"/>
  <c r="B115" i="14"/>
  <c r="G115" i="14"/>
  <c r="C116" i="14"/>
  <c r="H116" i="14"/>
  <c r="D117" i="14"/>
  <c r="A118" i="14"/>
  <c r="E118" i="14"/>
  <c r="B119" i="14"/>
  <c r="G119" i="14"/>
  <c r="C120" i="14"/>
  <c r="H120" i="14"/>
  <c r="D121" i="14"/>
  <c r="A122" i="14"/>
  <c r="E122" i="14"/>
  <c r="B123" i="14"/>
  <c r="G123" i="14"/>
  <c r="C124" i="14"/>
  <c r="H124" i="14"/>
  <c r="D125" i="14"/>
  <c r="A126" i="14"/>
  <c r="E126" i="14"/>
  <c r="B127" i="14"/>
  <c r="G127" i="14"/>
  <c r="C128" i="14"/>
  <c r="H128" i="14"/>
  <c r="D129" i="14"/>
  <c r="A130" i="14"/>
  <c r="E130" i="14"/>
  <c r="B131" i="14"/>
  <c r="G131" i="14"/>
  <c r="C132" i="14"/>
  <c r="H132" i="14"/>
  <c r="D133" i="14"/>
  <c r="A134" i="14"/>
  <c r="E134" i="14"/>
  <c r="B135" i="14"/>
  <c r="G135" i="14"/>
  <c r="C136" i="14"/>
  <c r="H136" i="14"/>
  <c r="D137" i="14"/>
  <c r="A138" i="14"/>
  <c r="E138" i="14"/>
  <c r="B139" i="14"/>
  <c r="G139" i="14"/>
  <c r="C140" i="14"/>
  <c r="H140" i="14"/>
  <c r="D141" i="14"/>
  <c r="A142" i="14"/>
  <c r="E142" i="14"/>
  <c r="B143" i="14"/>
  <c r="G143" i="14"/>
  <c r="C144" i="14"/>
  <c r="H144" i="14"/>
  <c r="D145" i="14"/>
  <c r="A146" i="14"/>
  <c r="E146" i="14"/>
  <c r="B147" i="14"/>
  <c r="G147" i="14"/>
  <c r="C148" i="14"/>
  <c r="H148" i="14"/>
  <c r="D149" i="14"/>
  <c r="A150" i="14"/>
  <c r="E150" i="14"/>
  <c r="B151" i="14"/>
  <c r="G151" i="14"/>
  <c r="C152" i="14"/>
  <c r="H152" i="14"/>
  <c r="D153" i="14"/>
  <c r="A154" i="14"/>
  <c r="E154" i="14"/>
  <c r="B155" i="14"/>
  <c r="G155" i="14"/>
  <c r="C156" i="14"/>
  <c r="H156" i="14"/>
  <c r="D157" i="14"/>
  <c r="B114" i="14"/>
  <c r="G114" i="14"/>
  <c r="C115" i="14"/>
  <c r="H115" i="14"/>
  <c r="D116" i="14"/>
  <c r="A117" i="14"/>
  <c r="E117" i="14"/>
  <c r="B118" i="14"/>
  <c r="G118" i="14"/>
  <c r="C119" i="14"/>
  <c r="H119" i="14"/>
  <c r="D120" i="14"/>
  <c r="A121" i="14"/>
  <c r="E121" i="14"/>
  <c r="B122" i="14"/>
  <c r="G122" i="14"/>
  <c r="C123" i="14"/>
  <c r="H123" i="14"/>
  <c r="D124" i="14"/>
  <c r="A125" i="14"/>
  <c r="E125" i="14"/>
  <c r="B126" i="14"/>
  <c r="G126" i="14"/>
  <c r="C127" i="14"/>
  <c r="H127" i="14"/>
  <c r="D128" i="14"/>
  <c r="A129" i="14"/>
  <c r="E129" i="14"/>
  <c r="B130" i="14"/>
  <c r="G130" i="14"/>
  <c r="C131" i="14"/>
  <c r="H131" i="14"/>
  <c r="D132" i="14"/>
  <c r="A133" i="14"/>
  <c r="E133" i="14"/>
  <c r="B134" i="14"/>
  <c r="G134" i="14"/>
  <c r="C135" i="14"/>
  <c r="H135" i="14"/>
  <c r="D136" i="14"/>
  <c r="A137" i="14"/>
  <c r="E137" i="14"/>
  <c r="B138" i="14"/>
  <c r="G138" i="14"/>
  <c r="C139" i="14"/>
  <c r="H139" i="14"/>
  <c r="D140" i="14"/>
  <c r="A141" i="14"/>
  <c r="E141" i="14"/>
  <c r="B142" i="14"/>
  <c r="G142" i="14"/>
  <c r="C143" i="14"/>
  <c r="H143" i="14"/>
  <c r="D144" i="14"/>
  <c r="A145" i="14"/>
  <c r="E145" i="14"/>
  <c r="B146" i="14"/>
  <c r="G146" i="14"/>
  <c r="C147" i="14"/>
  <c r="H147" i="14"/>
  <c r="D148" i="14"/>
  <c r="A149" i="14"/>
  <c r="E149" i="14"/>
  <c r="B150" i="14"/>
  <c r="G150" i="14"/>
  <c r="C151" i="14"/>
  <c r="H151" i="14"/>
  <c r="D152" i="14"/>
  <c r="A153" i="14"/>
  <c r="E153" i="14"/>
  <c r="B154" i="14"/>
  <c r="G154" i="14"/>
  <c r="C155" i="14"/>
  <c r="H155" i="14"/>
  <c r="D156" i="14"/>
  <c r="A157" i="14"/>
  <c r="E157" i="14"/>
  <c r="C114" i="14"/>
  <c r="H114" i="14"/>
  <c r="D115" i="14"/>
  <c r="A116" i="14"/>
  <c r="E116" i="14"/>
  <c r="B117" i="14"/>
  <c r="G117" i="14"/>
  <c r="C118" i="14"/>
  <c r="H118" i="14"/>
  <c r="D119" i="14"/>
  <c r="A120" i="14"/>
  <c r="E120" i="14"/>
  <c r="B121" i="14"/>
  <c r="G121" i="14"/>
  <c r="C122" i="14"/>
  <c r="H122" i="14"/>
  <c r="D123" i="14"/>
  <c r="A124" i="14"/>
  <c r="E124" i="14"/>
  <c r="B125" i="14"/>
  <c r="G125" i="14"/>
  <c r="C126" i="14"/>
  <c r="H126" i="14"/>
  <c r="D127" i="14"/>
  <c r="A128" i="14"/>
  <c r="E128" i="14"/>
  <c r="B129" i="14"/>
  <c r="G129" i="14"/>
  <c r="C130" i="14"/>
  <c r="H130" i="14"/>
  <c r="D131" i="14"/>
  <c r="A132" i="14"/>
  <c r="E132" i="14"/>
  <c r="B133" i="14"/>
  <c r="G133" i="14"/>
  <c r="C134" i="14"/>
  <c r="H134" i="14"/>
  <c r="D135" i="14"/>
  <c r="A136" i="14"/>
  <c r="E136" i="14"/>
  <c r="B137" i="14"/>
  <c r="G137" i="14"/>
  <c r="C138" i="14"/>
  <c r="H138" i="14"/>
  <c r="D139" i="14"/>
  <c r="A140" i="14"/>
  <c r="E140" i="14"/>
  <c r="B141" i="14"/>
  <c r="G141" i="14"/>
  <c r="C142" i="14"/>
  <c r="H142" i="14"/>
  <c r="D143" i="14"/>
  <c r="A144" i="14"/>
  <c r="E144" i="14"/>
  <c r="B145" i="14"/>
  <c r="G145" i="14"/>
  <c r="C146" i="14"/>
  <c r="H146" i="14"/>
  <c r="D147" i="14"/>
  <c r="A148" i="14"/>
  <c r="E148" i="14"/>
  <c r="B149" i="14"/>
  <c r="G149" i="14"/>
  <c r="C150" i="14"/>
  <c r="H150" i="14"/>
  <c r="D151" i="14"/>
  <c r="A152" i="14"/>
  <c r="E152" i="14"/>
  <c r="B153" i="14"/>
  <c r="G153" i="14"/>
  <c r="C154" i="14"/>
  <c r="H154" i="14"/>
  <c r="D155" i="14"/>
  <c r="A156" i="14"/>
  <c r="E156" i="14"/>
  <c r="B157" i="14"/>
  <c r="G157" i="14"/>
  <c r="D114" i="14"/>
  <c r="A115" i="14"/>
  <c r="E115" i="14"/>
  <c r="B116" i="14"/>
  <c r="G116" i="14"/>
  <c r="C117" i="14"/>
  <c r="H117" i="14"/>
  <c r="D118" i="14"/>
  <c r="A119" i="14"/>
  <c r="E119" i="14"/>
  <c r="B120" i="14"/>
  <c r="G120" i="14"/>
  <c r="C121" i="14"/>
  <c r="H121" i="14"/>
  <c r="D122" i="14"/>
  <c r="A123" i="14"/>
  <c r="E123" i="14"/>
  <c r="B124" i="14"/>
  <c r="G124" i="14"/>
  <c r="C125" i="14"/>
  <c r="H125" i="14"/>
  <c r="D126" i="14"/>
  <c r="A127" i="14"/>
  <c r="E127" i="14"/>
  <c r="B128" i="14"/>
  <c r="G128" i="14"/>
  <c r="C129" i="14"/>
  <c r="H129" i="14"/>
  <c r="D130" i="14"/>
  <c r="A131" i="14"/>
  <c r="E131" i="14"/>
  <c r="B132" i="14"/>
  <c r="G132" i="14"/>
  <c r="C133" i="14"/>
  <c r="H133" i="14"/>
  <c r="D134" i="14"/>
  <c r="A135" i="14"/>
  <c r="E135" i="14"/>
  <c r="B136" i="14"/>
  <c r="G136" i="14"/>
  <c r="C137" i="14"/>
  <c r="H137" i="14"/>
  <c r="D138" i="14"/>
  <c r="A139" i="14"/>
  <c r="E139" i="14"/>
  <c r="B140" i="14"/>
  <c r="G140" i="14"/>
  <c r="C141" i="14"/>
  <c r="H141" i="14"/>
  <c r="D142" i="14"/>
  <c r="A143" i="14"/>
  <c r="E143" i="14"/>
  <c r="B144" i="14"/>
  <c r="G144" i="14"/>
  <c r="C145" i="14"/>
  <c r="H145" i="14"/>
  <c r="D146" i="14"/>
  <c r="A147" i="14"/>
  <c r="E147" i="14"/>
  <c r="B148" i="14"/>
  <c r="G148" i="14"/>
  <c r="C149" i="14"/>
  <c r="H149" i="14"/>
  <c r="D150" i="14"/>
  <c r="A151" i="14"/>
  <c r="E151" i="14"/>
  <c r="B152" i="14"/>
  <c r="G152" i="14"/>
  <c r="C153" i="14"/>
  <c r="H153" i="14"/>
  <c r="D154" i="14"/>
  <c r="A155" i="14"/>
  <c r="E155" i="14"/>
  <c r="B156" i="14"/>
  <c r="G156" i="14"/>
  <c r="C157" i="14"/>
  <c r="H157" i="14"/>
  <c r="A78" i="14"/>
  <c r="E78" i="14"/>
  <c r="D79" i="14"/>
  <c r="C80" i="14"/>
  <c r="H80" i="14"/>
  <c r="B81" i="14"/>
  <c r="G81" i="14"/>
  <c r="A82" i="14"/>
  <c r="E82" i="14"/>
  <c r="D83" i="14"/>
  <c r="C84" i="14"/>
  <c r="H84" i="14"/>
  <c r="B85" i="14"/>
  <c r="G85" i="14"/>
  <c r="A86" i="14"/>
  <c r="E86" i="14"/>
  <c r="D87" i="14"/>
  <c r="C88" i="14"/>
  <c r="H88" i="14"/>
  <c r="B89" i="14"/>
  <c r="G89" i="14"/>
  <c r="A90" i="14"/>
  <c r="E90" i="14"/>
  <c r="D91" i="14"/>
  <c r="C92" i="14"/>
  <c r="H92" i="14"/>
  <c r="B93" i="14"/>
  <c r="G93" i="14"/>
  <c r="A94" i="14"/>
  <c r="E94" i="14"/>
  <c r="D95" i="14"/>
  <c r="C96" i="14"/>
  <c r="H96" i="14"/>
  <c r="B97" i="14"/>
  <c r="G97" i="14"/>
  <c r="A98" i="14"/>
  <c r="E98" i="14"/>
  <c r="D99" i="14"/>
  <c r="C100" i="14"/>
  <c r="H100" i="14"/>
  <c r="B101" i="14"/>
  <c r="G101" i="14"/>
  <c r="A102" i="14"/>
  <c r="E102" i="14"/>
  <c r="D103" i="14"/>
  <c r="C104" i="14"/>
  <c r="H104" i="14"/>
  <c r="B105" i="14"/>
  <c r="G105" i="14"/>
  <c r="A106" i="14"/>
  <c r="E106" i="14"/>
  <c r="D107" i="14"/>
  <c r="C108" i="14"/>
  <c r="H108" i="14"/>
  <c r="B109" i="14"/>
  <c r="G109" i="14"/>
  <c r="A110" i="14"/>
  <c r="E110" i="14"/>
  <c r="D111" i="14"/>
  <c r="C112" i="14"/>
  <c r="H112" i="14"/>
  <c r="B113" i="14"/>
  <c r="G113" i="14"/>
  <c r="B78" i="14"/>
  <c r="G78" i="14"/>
  <c r="A79" i="14"/>
  <c r="E79" i="14"/>
  <c r="D80" i="14"/>
  <c r="C81" i="14"/>
  <c r="H81" i="14"/>
  <c r="B82" i="14"/>
  <c r="G82" i="14"/>
  <c r="A83" i="14"/>
  <c r="E83" i="14"/>
  <c r="D84" i="14"/>
  <c r="C85" i="14"/>
  <c r="H85" i="14"/>
  <c r="B86" i="14"/>
  <c r="G86" i="14"/>
  <c r="A87" i="14"/>
  <c r="E87" i="14"/>
  <c r="D88" i="14"/>
  <c r="C89" i="14"/>
  <c r="H89" i="14"/>
  <c r="B90" i="14"/>
  <c r="G90" i="14"/>
  <c r="A91" i="14"/>
  <c r="E91" i="14"/>
  <c r="D92" i="14"/>
  <c r="C93" i="14"/>
  <c r="H93" i="14"/>
  <c r="B94" i="14"/>
  <c r="G94" i="14"/>
  <c r="A95" i="14"/>
  <c r="E95" i="14"/>
  <c r="D96" i="14"/>
  <c r="C97" i="14"/>
  <c r="H97" i="14"/>
  <c r="B98" i="14"/>
  <c r="G98" i="14"/>
  <c r="A99" i="14"/>
  <c r="E99" i="14"/>
  <c r="D100" i="14"/>
  <c r="C101" i="14"/>
  <c r="H101" i="14"/>
  <c r="B102" i="14"/>
  <c r="G102" i="14"/>
  <c r="A103" i="14"/>
  <c r="E103" i="14"/>
  <c r="D104" i="14"/>
  <c r="C105" i="14"/>
  <c r="H105" i="14"/>
  <c r="B106" i="14"/>
  <c r="G106" i="14"/>
  <c r="A107" i="14"/>
  <c r="E107" i="14"/>
  <c r="D108" i="14"/>
  <c r="C109" i="14"/>
  <c r="H109" i="14"/>
  <c r="B110" i="14"/>
  <c r="G110" i="14"/>
  <c r="A111" i="14"/>
  <c r="E111" i="14"/>
  <c r="D112" i="14"/>
  <c r="C113" i="14"/>
  <c r="H113" i="14"/>
  <c r="C78" i="14"/>
  <c r="H78" i="14"/>
  <c r="B79" i="14"/>
  <c r="G79" i="14"/>
  <c r="A80" i="14"/>
  <c r="E80" i="14"/>
  <c r="D81" i="14"/>
  <c r="C82" i="14"/>
  <c r="H82" i="14"/>
  <c r="B83" i="14"/>
  <c r="G83" i="14"/>
  <c r="A84" i="14"/>
  <c r="E84" i="14"/>
  <c r="D85" i="14"/>
  <c r="C86" i="14"/>
  <c r="H86" i="14"/>
  <c r="B87" i="14"/>
  <c r="G87" i="14"/>
  <c r="A88" i="14"/>
  <c r="E88" i="14"/>
  <c r="D89" i="14"/>
  <c r="C90" i="14"/>
  <c r="H90" i="14"/>
  <c r="B91" i="14"/>
  <c r="G91" i="14"/>
  <c r="A92" i="14"/>
  <c r="E92" i="14"/>
  <c r="D93" i="14"/>
  <c r="C94" i="14"/>
  <c r="H94" i="14"/>
  <c r="B95" i="14"/>
  <c r="G95" i="14"/>
  <c r="A96" i="14"/>
  <c r="E96" i="14"/>
  <c r="D97" i="14"/>
  <c r="C98" i="14"/>
  <c r="H98" i="14"/>
  <c r="B99" i="14"/>
  <c r="G99" i="14"/>
  <c r="A100" i="14"/>
  <c r="E100" i="14"/>
  <c r="D101" i="14"/>
  <c r="C102" i="14"/>
  <c r="H102" i="14"/>
  <c r="B103" i="14"/>
  <c r="G103" i="14"/>
  <c r="A104" i="14"/>
  <c r="E104" i="14"/>
  <c r="D105" i="14"/>
  <c r="C106" i="14"/>
  <c r="H106" i="14"/>
  <c r="B107" i="14"/>
  <c r="G107" i="14"/>
  <c r="A108" i="14"/>
  <c r="E108" i="14"/>
  <c r="D109" i="14"/>
  <c r="C110" i="14"/>
  <c r="H110" i="14"/>
  <c r="B111" i="14"/>
  <c r="G111" i="14"/>
  <c r="A112" i="14"/>
  <c r="E112" i="14"/>
  <c r="D113" i="14"/>
  <c r="D78" i="14"/>
  <c r="C79" i="14"/>
  <c r="H79" i="14"/>
  <c r="B80" i="14"/>
  <c r="G80" i="14"/>
  <c r="A81" i="14"/>
  <c r="E81" i="14"/>
  <c r="D82" i="14"/>
  <c r="C83" i="14"/>
  <c r="H83" i="14"/>
  <c r="B84" i="14"/>
  <c r="G84" i="14"/>
  <c r="A85" i="14"/>
  <c r="E85" i="14"/>
  <c r="D86" i="14"/>
  <c r="C87" i="14"/>
  <c r="H87" i="14"/>
  <c r="B88" i="14"/>
  <c r="G88" i="14"/>
  <c r="A89" i="14"/>
  <c r="E89" i="14"/>
  <c r="D90" i="14"/>
  <c r="C91" i="14"/>
  <c r="H91" i="14"/>
  <c r="B92" i="14"/>
  <c r="G92" i="14"/>
  <c r="A93" i="14"/>
  <c r="E93" i="14"/>
  <c r="D94" i="14"/>
  <c r="C95" i="14"/>
  <c r="H95" i="14"/>
  <c r="B96" i="14"/>
  <c r="G96" i="14"/>
  <c r="A97" i="14"/>
  <c r="E97" i="14"/>
  <c r="D98" i="14"/>
  <c r="C99" i="14"/>
  <c r="H99" i="14"/>
  <c r="B100" i="14"/>
  <c r="G100" i="14"/>
  <c r="A101" i="14"/>
  <c r="E101" i="14"/>
  <c r="D102" i="14"/>
  <c r="C103" i="14"/>
  <c r="H103" i="14"/>
  <c r="B104" i="14"/>
  <c r="G104" i="14"/>
  <c r="A105" i="14"/>
  <c r="E105" i="14"/>
  <c r="D106" i="14"/>
  <c r="C107" i="14"/>
  <c r="H107" i="14"/>
  <c r="B108" i="14"/>
  <c r="G108" i="14"/>
  <c r="A109" i="14"/>
  <c r="E109" i="14"/>
  <c r="D110" i="14"/>
  <c r="C111" i="14"/>
  <c r="H111" i="14"/>
  <c r="B112" i="14"/>
  <c r="G112" i="14"/>
  <c r="A113" i="14"/>
  <c r="E113" i="14"/>
  <c r="A50" i="14"/>
  <c r="E50" i="14"/>
  <c r="D51" i="14"/>
  <c r="C52" i="14"/>
  <c r="H52" i="14"/>
  <c r="B53" i="14"/>
  <c r="G53" i="14"/>
  <c r="A54" i="14"/>
  <c r="E54" i="14"/>
  <c r="D55" i="14"/>
  <c r="C56" i="14"/>
  <c r="H56" i="14"/>
  <c r="B57" i="14"/>
  <c r="G57" i="14"/>
  <c r="A58" i="14"/>
  <c r="E58" i="14"/>
  <c r="D59" i="14"/>
  <c r="C60" i="14"/>
  <c r="H60" i="14"/>
  <c r="B61" i="14"/>
  <c r="G61" i="14"/>
  <c r="A62" i="14"/>
  <c r="E62" i="14"/>
  <c r="D63" i="14"/>
  <c r="C64" i="14"/>
  <c r="H64" i="14"/>
  <c r="B65" i="14"/>
  <c r="G65" i="14"/>
  <c r="A66" i="14"/>
  <c r="E66" i="14"/>
  <c r="D67" i="14"/>
  <c r="C68" i="14"/>
  <c r="H68" i="14"/>
  <c r="B69" i="14"/>
  <c r="G69" i="14"/>
  <c r="A70" i="14"/>
  <c r="E70" i="14"/>
  <c r="D71" i="14"/>
  <c r="C72" i="14"/>
  <c r="H72" i="14"/>
  <c r="B73" i="14"/>
  <c r="G73" i="14"/>
  <c r="A74" i="14"/>
  <c r="E74" i="14"/>
  <c r="D75" i="14"/>
  <c r="C76" i="14"/>
  <c r="H76" i="14"/>
  <c r="B77" i="14"/>
  <c r="G77" i="14"/>
  <c r="B50" i="14"/>
  <c r="G50" i="14"/>
  <c r="A51" i="14"/>
  <c r="E51" i="14"/>
  <c r="D52" i="14"/>
  <c r="C53" i="14"/>
  <c r="H53" i="14"/>
  <c r="B54" i="14"/>
  <c r="G54" i="14"/>
  <c r="A55" i="14"/>
  <c r="E55" i="14"/>
  <c r="D56" i="14"/>
  <c r="C57" i="14"/>
  <c r="H57" i="14"/>
  <c r="B58" i="14"/>
  <c r="G58" i="14"/>
  <c r="A59" i="14"/>
  <c r="E59" i="14"/>
  <c r="D60" i="14"/>
  <c r="C61" i="14"/>
  <c r="H61" i="14"/>
  <c r="B62" i="14"/>
  <c r="G62" i="14"/>
  <c r="A63" i="14"/>
  <c r="E63" i="14"/>
  <c r="D64" i="14"/>
  <c r="C65" i="14"/>
  <c r="H65" i="14"/>
  <c r="B66" i="14"/>
  <c r="G66" i="14"/>
  <c r="A67" i="14"/>
  <c r="E67" i="14"/>
  <c r="D68" i="14"/>
  <c r="C69" i="14"/>
  <c r="H69" i="14"/>
  <c r="B70" i="14"/>
  <c r="G70" i="14"/>
  <c r="A71" i="14"/>
  <c r="E71" i="14"/>
  <c r="D72" i="14"/>
  <c r="C73" i="14"/>
  <c r="H73" i="14"/>
  <c r="B74" i="14"/>
  <c r="G74" i="14"/>
  <c r="A75" i="14"/>
  <c r="E75" i="14"/>
  <c r="D76" i="14"/>
  <c r="C77" i="14"/>
  <c r="H77" i="14"/>
  <c r="C50" i="14"/>
  <c r="H50" i="14"/>
  <c r="B51" i="14"/>
  <c r="G51" i="14"/>
  <c r="A52" i="14"/>
  <c r="E52" i="14"/>
  <c r="D53" i="14"/>
  <c r="C54" i="14"/>
  <c r="H54" i="14"/>
  <c r="B55" i="14"/>
  <c r="G55" i="14"/>
  <c r="A56" i="14"/>
  <c r="E56" i="14"/>
  <c r="D57" i="14"/>
  <c r="C58" i="14"/>
  <c r="H58" i="14"/>
  <c r="B59" i="14"/>
  <c r="G59" i="14"/>
  <c r="A60" i="14"/>
  <c r="E60" i="14"/>
  <c r="D61" i="14"/>
  <c r="C62" i="14"/>
  <c r="H62" i="14"/>
  <c r="B63" i="14"/>
  <c r="G63" i="14"/>
  <c r="A64" i="14"/>
  <c r="E64" i="14"/>
  <c r="D65" i="14"/>
  <c r="C66" i="14"/>
  <c r="H66" i="14"/>
  <c r="B67" i="14"/>
  <c r="G67" i="14"/>
  <c r="A68" i="14"/>
  <c r="E68" i="14"/>
  <c r="D69" i="14"/>
  <c r="C70" i="14"/>
  <c r="H70" i="14"/>
  <c r="B71" i="14"/>
  <c r="G71" i="14"/>
  <c r="A72" i="14"/>
  <c r="E72" i="14"/>
  <c r="D73" i="14"/>
  <c r="C74" i="14"/>
  <c r="H74" i="14"/>
  <c r="B75" i="14"/>
  <c r="G75" i="14"/>
  <c r="A76" i="14"/>
  <c r="E76" i="14"/>
  <c r="D77" i="14"/>
  <c r="D50" i="14"/>
  <c r="C51" i="14"/>
  <c r="H51" i="14"/>
  <c r="B52" i="14"/>
  <c r="G52" i="14"/>
  <c r="A53" i="14"/>
  <c r="E53" i="14"/>
  <c r="D54" i="14"/>
  <c r="C55" i="14"/>
  <c r="H55" i="14"/>
  <c r="B56" i="14"/>
  <c r="G56" i="14"/>
  <c r="A57" i="14"/>
  <c r="E57" i="14"/>
  <c r="D58" i="14"/>
  <c r="C59" i="14"/>
  <c r="H59" i="14"/>
  <c r="B60" i="14"/>
  <c r="G60" i="14"/>
  <c r="A61" i="14"/>
  <c r="E61" i="14"/>
  <c r="D62" i="14"/>
  <c r="C63" i="14"/>
  <c r="H63" i="14"/>
  <c r="B64" i="14"/>
  <c r="G64" i="14"/>
  <c r="A65" i="14"/>
  <c r="E65" i="14"/>
  <c r="D66" i="14"/>
  <c r="C67" i="14"/>
  <c r="H67" i="14"/>
  <c r="B68" i="14"/>
  <c r="G68" i="14"/>
  <c r="A69" i="14"/>
  <c r="E69" i="14"/>
  <c r="D70" i="14"/>
  <c r="C71" i="14"/>
  <c r="H71" i="14"/>
  <c r="B72" i="14"/>
  <c r="G72" i="14"/>
  <c r="A73" i="14"/>
  <c r="E73" i="14"/>
  <c r="D74" i="14"/>
  <c r="C75" i="14"/>
  <c r="H75" i="14"/>
  <c r="B76" i="14"/>
  <c r="G76" i="14"/>
  <c r="A77" i="14"/>
  <c r="E77" i="14"/>
  <c r="A15" i="14"/>
  <c r="H17" i="14"/>
  <c r="G19" i="14"/>
  <c r="E21" i="14"/>
  <c r="C25" i="14"/>
  <c r="B27" i="14"/>
  <c r="A29" i="14"/>
  <c r="D32" i="14"/>
  <c r="G34" i="14"/>
  <c r="G36" i="14"/>
  <c r="D39" i="14"/>
  <c r="B42" i="14"/>
  <c r="B44" i="14"/>
  <c r="D46" i="14"/>
  <c r="E48" i="14"/>
  <c r="G48" i="14"/>
  <c r="E16" i="14"/>
  <c r="C19" i="14"/>
  <c r="B21" i="14"/>
  <c r="A23" i="14"/>
  <c r="D25" i="14"/>
  <c r="H27" i="14"/>
  <c r="G29" i="14"/>
  <c r="E31" i="14"/>
  <c r="C34" i="14"/>
  <c r="C36" i="14"/>
  <c r="A38" i="14"/>
  <c r="A40" i="14"/>
  <c r="H42" i="14"/>
  <c r="H44" i="14"/>
  <c r="B47" i="14"/>
  <c r="H15" i="14"/>
  <c r="E17" i="14"/>
  <c r="C21" i="14"/>
  <c r="B23" i="14"/>
  <c r="A25" i="14"/>
  <c r="D28" i="14"/>
  <c r="G30" i="14"/>
  <c r="G32" i="14"/>
  <c r="D35" i="14"/>
  <c r="B38" i="14"/>
  <c r="B40" i="14"/>
  <c r="D42" i="14"/>
  <c r="H45" i="14"/>
  <c r="H47" i="14"/>
  <c r="G49" i="14"/>
  <c r="C16" i="14"/>
  <c r="A18" i="14"/>
  <c r="A20" i="14"/>
  <c r="H22" i="14"/>
  <c r="H24" i="14"/>
  <c r="E26" i="14"/>
  <c r="E28" i="14"/>
  <c r="C31" i="14"/>
  <c r="B33" i="14"/>
  <c r="A35" i="14"/>
  <c r="D37" i="14"/>
  <c r="H39" i="14"/>
  <c r="G41" i="14"/>
  <c r="E43" i="14"/>
  <c r="C46" i="14"/>
  <c r="E49" i="14"/>
  <c r="E18" i="14"/>
  <c r="C23" i="14"/>
  <c r="A27" i="14"/>
  <c r="H31" i="14"/>
  <c r="G33" i="14"/>
  <c r="C38" i="14"/>
  <c r="C40" i="14"/>
  <c r="A44" i="14"/>
  <c r="E15" i="14"/>
  <c r="B18" i="14"/>
  <c r="B20" i="14"/>
  <c r="D22" i="14"/>
  <c r="H25" i="14"/>
  <c r="G27" i="14"/>
  <c r="E29" i="14"/>
  <c r="C33" i="14"/>
  <c r="B35" i="14"/>
  <c r="A37" i="14"/>
  <c r="D40" i="14"/>
  <c r="G42" i="14"/>
  <c r="G44" i="14"/>
  <c r="A47" i="14"/>
  <c r="D49" i="14"/>
  <c r="B15" i="14"/>
  <c r="D17" i="14"/>
  <c r="H19" i="14"/>
  <c r="G21" i="14"/>
  <c r="E23" i="14"/>
  <c r="C26" i="14"/>
  <c r="C28" i="14"/>
  <c r="A30" i="14"/>
  <c r="A32" i="14"/>
  <c r="H34" i="14"/>
  <c r="H36" i="14"/>
  <c r="E38" i="14"/>
  <c r="E40" i="14"/>
  <c r="C43" i="14"/>
  <c r="B45" i="14"/>
  <c r="B48" i="14"/>
  <c r="B16" i="14"/>
  <c r="D18" i="14"/>
  <c r="H21" i="14"/>
  <c r="G23" i="14"/>
  <c r="E25" i="14"/>
  <c r="C29" i="14"/>
  <c r="B31" i="14"/>
  <c r="A33" i="14"/>
  <c r="D36" i="14"/>
  <c r="G38" i="14"/>
  <c r="G40" i="14"/>
  <c r="D43" i="14"/>
  <c r="B46" i="14"/>
  <c r="C48" i="14"/>
  <c r="D48" i="14"/>
  <c r="H16" i="14"/>
  <c r="E20" i="14"/>
  <c r="B25" i="14"/>
  <c r="D29" i="14"/>
  <c r="E35" i="14"/>
  <c r="A42" i="14"/>
  <c r="H46" i="14"/>
  <c r="B39" i="14"/>
  <c r="D44" i="14"/>
  <c r="H48" i="14"/>
  <c r="B17" i="14"/>
  <c r="D21" i="14"/>
  <c r="G25" i="14"/>
  <c r="E27" i="14"/>
  <c r="A34" i="14"/>
  <c r="H40" i="14"/>
  <c r="D47" i="14"/>
  <c r="D16" i="14"/>
  <c r="G18" i="14"/>
  <c r="G20" i="14"/>
  <c r="D23" i="14"/>
  <c r="B26" i="14"/>
  <c r="B28" i="14"/>
  <c r="D30" i="14"/>
  <c r="H33" i="14"/>
  <c r="G35" i="14"/>
  <c r="E37" i="14"/>
  <c r="C41" i="14"/>
  <c r="B43" i="14"/>
  <c r="A45" i="14"/>
  <c r="E47" i="14"/>
  <c r="E46" i="14"/>
  <c r="G15" i="14"/>
  <c r="C18" i="14"/>
  <c r="C20" i="14"/>
  <c r="A22" i="14"/>
  <c r="A24" i="14"/>
  <c r="H26" i="14"/>
  <c r="H28" i="14"/>
  <c r="E30" i="14"/>
  <c r="E32" i="14"/>
  <c r="C35" i="14"/>
  <c r="B37" i="14"/>
  <c r="A39" i="14"/>
  <c r="D41" i="14"/>
  <c r="H43" i="14"/>
  <c r="G45" i="14"/>
  <c r="A49" i="14"/>
  <c r="G16" i="14"/>
  <c r="D19" i="14"/>
  <c r="B22" i="14"/>
  <c r="B24" i="14"/>
  <c r="D26" i="14"/>
  <c r="H29" i="14"/>
  <c r="G31" i="14"/>
  <c r="E33" i="14"/>
  <c r="C37" i="14"/>
  <c r="A41" i="14"/>
  <c r="G46" i="14"/>
  <c r="H49" i="14"/>
  <c r="A19" i="14"/>
  <c r="H23" i="14"/>
  <c r="C30" i="14"/>
  <c r="A36" i="14"/>
  <c r="E42" i="14"/>
  <c r="C17" i="14"/>
  <c r="B19" i="14"/>
  <c r="A21" i="14"/>
  <c r="D24" i="14"/>
  <c r="G26" i="14"/>
  <c r="G28" i="14"/>
  <c r="D31" i="14"/>
  <c r="B34" i="14"/>
  <c r="B36" i="14"/>
  <c r="D38" i="14"/>
  <c r="H41" i="14"/>
  <c r="G43" i="14"/>
  <c r="E45" i="14"/>
  <c r="A48" i="14"/>
  <c r="G47" i="14"/>
  <c r="A16" i="14"/>
  <c r="H18" i="14"/>
  <c r="H20" i="14"/>
  <c r="E22" i="14"/>
  <c r="E24" i="14"/>
  <c r="C27" i="14"/>
  <c r="B29" i="14"/>
  <c r="A31" i="14"/>
  <c r="D33" i="14"/>
  <c r="H35" i="14"/>
  <c r="G37" i="14"/>
  <c r="E39" i="14"/>
  <c r="C42" i="14"/>
  <c r="C44" i="14"/>
  <c r="A46" i="14"/>
  <c r="C15" i="14"/>
  <c r="A17" i="14"/>
  <c r="D20" i="14"/>
  <c r="G22" i="14"/>
  <c r="G24" i="14"/>
  <c r="D27" i="14"/>
  <c r="B30" i="14"/>
  <c r="B32" i="14"/>
  <c r="D34" i="14"/>
  <c r="H37" i="14"/>
  <c r="G39" i="14"/>
  <c r="E41" i="14"/>
  <c r="C45" i="14"/>
  <c r="C47" i="14"/>
  <c r="B49" i="14"/>
  <c r="D15" i="14"/>
  <c r="G17" i="14"/>
  <c r="E19" i="14"/>
  <c r="C22" i="14"/>
  <c r="C24" i="14"/>
  <c r="A26" i="14"/>
  <c r="A28" i="14"/>
  <c r="H30" i="14"/>
  <c r="H32" i="14"/>
  <c r="E34" i="14"/>
  <c r="E36" i="14"/>
  <c r="C39" i="14"/>
  <c r="B41" i="14"/>
  <c r="A43" i="14"/>
  <c r="D45" i="14"/>
  <c r="C49" i="14"/>
  <c r="C32" i="14"/>
  <c r="H38" i="14"/>
  <c r="E44" i="14"/>
  <c r="A55" i="71"/>
  <c r="E55" i="71"/>
  <c r="B56" i="71"/>
  <c r="G56" i="71"/>
  <c r="C57" i="71"/>
  <c r="H57" i="71"/>
  <c r="D58" i="71"/>
  <c r="A59" i="71"/>
  <c r="E59" i="71"/>
  <c r="B60" i="71"/>
  <c r="G60" i="71"/>
  <c r="C61" i="71"/>
  <c r="H61" i="71"/>
  <c r="D62" i="71"/>
  <c r="A63" i="71"/>
  <c r="E63" i="71"/>
  <c r="B64" i="71"/>
  <c r="G64" i="71"/>
  <c r="C65" i="71"/>
  <c r="H65" i="71"/>
  <c r="D66" i="71"/>
  <c r="A67" i="71"/>
  <c r="E67" i="71"/>
  <c r="B68" i="71"/>
  <c r="G68" i="71"/>
  <c r="C69" i="71"/>
  <c r="H69" i="71"/>
  <c r="D70" i="71"/>
  <c r="A71" i="71"/>
  <c r="E71" i="71"/>
  <c r="B72" i="71"/>
  <c r="G72" i="71"/>
  <c r="C73" i="71"/>
  <c r="H73" i="71"/>
  <c r="D74" i="71"/>
  <c r="A75" i="71"/>
  <c r="E75" i="71"/>
  <c r="B76" i="71"/>
  <c r="G76" i="71"/>
  <c r="C77" i="71"/>
  <c r="H77" i="71"/>
  <c r="D78" i="71"/>
  <c r="A79" i="71"/>
  <c r="E79" i="71"/>
  <c r="B80" i="71"/>
  <c r="G80" i="71"/>
  <c r="C81" i="71"/>
  <c r="H81" i="71"/>
  <c r="D82" i="71"/>
  <c r="A83" i="71"/>
  <c r="E83" i="71"/>
  <c r="B84" i="71"/>
  <c r="G84" i="71"/>
  <c r="A85" i="71"/>
  <c r="E85" i="71"/>
  <c r="A86" i="71"/>
  <c r="E86" i="71"/>
  <c r="B87" i="71"/>
  <c r="G87" i="71"/>
  <c r="B88" i="71"/>
  <c r="G88" i="71"/>
  <c r="A89" i="71"/>
  <c r="E89" i="71"/>
  <c r="A90" i="71"/>
  <c r="E90" i="71"/>
  <c r="B55" i="71"/>
  <c r="G55" i="71"/>
  <c r="C56" i="71"/>
  <c r="H56" i="71"/>
  <c r="D57" i="71"/>
  <c r="A58" i="71"/>
  <c r="E58" i="71"/>
  <c r="B59" i="71"/>
  <c r="G59" i="71"/>
  <c r="C60" i="71"/>
  <c r="H60" i="71"/>
  <c r="D61" i="71"/>
  <c r="A62" i="71"/>
  <c r="E62" i="71"/>
  <c r="B63" i="71"/>
  <c r="G63" i="71"/>
  <c r="C64" i="71"/>
  <c r="H64" i="71"/>
  <c r="D65" i="71"/>
  <c r="A66" i="71"/>
  <c r="E66" i="71"/>
  <c r="B67" i="71"/>
  <c r="G67" i="71"/>
  <c r="C68" i="71"/>
  <c r="H68" i="71"/>
  <c r="D69" i="71"/>
  <c r="A70" i="71"/>
  <c r="E70" i="71"/>
  <c r="B71" i="71"/>
  <c r="G71" i="71"/>
  <c r="C72" i="71"/>
  <c r="H72" i="71"/>
  <c r="D73" i="71"/>
  <c r="A74" i="71"/>
  <c r="E74" i="71"/>
  <c r="B75" i="71"/>
  <c r="G75" i="71"/>
  <c r="C76" i="71"/>
  <c r="H76" i="71"/>
  <c r="D77" i="71"/>
  <c r="A78" i="71"/>
  <c r="E78" i="71"/>
  <c r="B79" i="71"/>
  <c r="G79" i="71"/>
  <c r="C80" i="71"/>
  <c r="H80" i="71"/>
  <c r="D81" i="71"/>
  <c r="A82" i="71"/>
  <c r="E82" i="71"/>
  <c r="B83" i="71"/>
  <c r="G83" i="71"/>
  <c r="C84" i="71"/>
  <c r="H84" i="71"/>
  <c r="B85" i="71"/>
  <c r="G85" i="71"/>
  <c r="B86" i="71"/>
  <c r="G86" i="71"/>
  <c r="C87" i="71"/>
  <c r="H87" i="71"/>
  <c r="C88" i="71"/>
  <c r="H88" i="71"/>
  <c r="B89" i="71"/>
  <c r="G89" i="71"/>
  <c r="B90" i="71"/>
  <c r="G90" i="71"/>
  <c r="C55" i="71"/>
  <c r="H55" i="71"/>
  <c r="D56" i="71"/>
  <c r="A57" i="71"/>
  <c r="E57" i="71"/>
  <c r="B58" i="71"/>
  <c r="G58" i="71"/>
  <c r="C59" i="71"/>
  <c r="H59" i="71"/>
  <c r="D60" i="71"/>
  <c r="A61" i="71"/>
  <c r="E61" i="71"/>
  <c r="B62" i="71"/>
  <c r="G62" i="71"/>
  <c r="C63" i="71"/>
  <c r="H63" i="71"/>
  <c r="D64" i="71"/>
  <c r="A65" i="71"/>
  <c r="E65" i="71"/>
  <c r="B66" i="71"/>
  <c r="G66" i="71"/>
  <c r="C67" i="71"/>
  <c r="H67" i="71"/>
  <c r="D68" i="71"/>
  <c r="A69" i="71"/>
  <c r="E69" i="71"/>
  <c r="B70" i="71"/>
  <c r="G70" i="71"/>
  <c r="C71" i="71"/>
  <c r="H71" i="71"/>
  <c r="D72" i="71"/>
  <c r="A73" i="71"/>
  <c r="E73" i="71"/>
  <c r="B74" i="71"/>
  <c r="G74" i="71"/>
  <c r="C75" i="71"/>
  <c r="H75" i="71"/>
  <c r="D76" i="71"/>
  <c r="A77" i="71"/>
  <c r="E77" i="71"/>
  <c r="B78" i="71"/>
  <c r="G78" i="71"/>
  <c r="C79" i="71"/>
  <c r="H79" i="71"/>
  <c r="D80" i="71"/>
  <c r="A81" i="71"/>
  <c r="E81" i="71"/>
  <c r="B82" i="71"/>
  <c r="G82" i="71"/>
  <c r="C83" i="71"/>
  <c r="H83" i="71"/>
  <c r="D84" i="71"/>
  <c r="C85" i="71"/>
  <c r="H85" i="71"/>
  <c r="C86" i="71"/>
  <c r="H86" i="71"/>
  <c r="D87" i="71"/>
  <c r="D88" i="71"/>
  <c r="C89" i="71"/>
  <c r="H89" i="71"/>
  <c r="C90" i="71"/>
  <c r="H90" i="71"/>
  <c r="D55" i="71"/>
  <c r="A56" i="71"/>
  <c r="E56" i="71"/>
  <c r="B57" i="71"/>
  <c r="G57" i="71"/>
  <c r="C58" i="71"/>
  <c r="H58" i="71"/>
  <c r="D59" i="71"/>
  <c r="A60" i="71"/>
  <c r="E60" i="71"/>
  <c r="B61" i="71"/>
  <c r="G61" i="71"/>
  <c r="C62" i="71"/>
  <c r="H62" i="71"/>
  <c r="D63" i="71"/>
  <c r="A64" i="71"/>
  <c r="E64" i="71"/>
  <c r="B65" i="71"/>
  <c r="G65" i="71"/>
  <c r="C66" i="71"/>
  <c r="H66" i="71"/>
  <c r="D67" i="71"/>
  <c r="A68" i="71"/>
  <c r="E68" i="71"/>
  <c r="B69" i="71"/>
  <c r="G69" i="71"/>
  <c r="C70" i="71"/>
  <c r="H70" i="71"/>
  <c r="D71" i="71"/>
  <c r="A72" i="71"/>
  <c r="E72" i="71"/>
  <c r="B73" i="71"/>
  <c r="G73" i="71"/>
  <c r="C74" i="71"/>
  <c r="H74" i="71"/>
  <c r="D75" i="71"/>
  <c r="A76" i="71"/>
  <c r="E76" i="71"/>
  <c r="B77" i="71"/>
  <c r="G77" i="71"/>
  <c r="C78" i="71"/>
  <c r="H78" i="71"/>
  <c r="D79" i="71"/>
  <c r="A80" i="71"/>
  <c r="E80" i="71"/>
  <c r="B81" i="71"/>
  <c r="G81" i="71"/>
  <c r="C82" i="71"/>
  <c r="H82" i="71"/>
  <c r="D83" i="71"/>
  <c r="A84" i="71"/>
  <c r="E84" i="71"/>
  <c r="D85" i="71"/>
  <c r="D86" i="71"/>
  <c r="A87" i="71"/>
  <c r="E87" i="71"/>
  <c r="A88" i="71"/>
  <c r="E88" i="71"/>
  <c r="D89" i="71"/>
  <c r="D90" i="71"/>
  <c r="A40" i="71"/>
  <c r="E40" i="71"/>
  <c r="B41" i="71"/>
  <c r="G41" i="71"/>
  <c r="C42" i="71"/>
  <c r="H42" i="71"/>
  <c r="D43" i="71"/>
  <c r="A44" i="71"/>
  <c r="E44" i="71"/>
  <c r="B45" i="71"/>
  <c r="G45" i="71"/>
  <c r="C46" i="71"/>
  <c r="H46" i="71"/>
  <c r="D47" i="71"/>
  <c r="A48" i="71"/>
  <c r="E48" i="71"/>
  <c r="B49" i="71"/>
  <c r="G49" i="71"/>
  <c r="C50" i="71"/>
  <c r="H50" i="71"/>
  <c r="D51" i="71"/>
  <c r="A52" i="71"/>
  <c r="E52" i="71"/>
  <c r="B53" i="71"/>
  <c r="G53" i="71"/>
  <c r="C54" i="71"/>
  <c r="H54" i="71"/>
  <c r="B40" i="71"/>
  <c r="G40" i="71"/>
  <c r="C41" i="71"/>
  <c r="H41" i="71"/>
  <c r="D42" i="71"/>
  <c r="A43" i="71"/>
  <c r="E43" i="71"/>
  <c r="B44" i="71"/>
  <c r="G44" i="71"/>
  <c r="C45" i="71"/>
  <c r="H45" i="71"/>
  <c r="D46" i="71"/>
  <c r="A47" i="71"/>
  <c r="E47" i="71"/>
  <c r="B48" i="71"/>
  <c r="G48" i="71"/>
  <c r="C49" i="71"/>
  <c r="H49" i="71"/>
  <c r="D50" i="71"/>
  <c r="A51" i="71"/>
  <c r="E51" i="71"/>
  <c r="B52" i="71"/>
  <c r="G52" i="71"/>
  <c r="C53" i="71"/>
  <c r="H53" i="71"/>
  <c r="D54" i="71"/>
  <c r="C40" i="71"/>
  <c r="H40" i="71"/>
  <c r="D41" i="71"/>
  <c r="A42" i="71"/>
  <c r="E42" i="71"/>
  <c r="B43" i="71"/>
  <c r="G43" i="71"/>
  <c r="C44" i="71"/>
  <c r="H44" i="71"/>
  <c r="D45" i="71"/>
  <c r="A46" i="71"/>
  <c r="E46" i="71"/>
  <c r="B47" i="71"/>
  <c r="G47" i="71"/>
  <c r="C48" i="71"/>
  <c r="H48" i="71"/>
  <c r="D49" i="71"/>
  <c r="A50" i="71"/>
  <c r="E50" i="71"/>
  <c r="B51" i="71"/>
  <c r="G51" i="71"/>
  <c r="C52" i="71"/>
  <c r="H52" i="71"/>
  <c r="D53" i="71"/>
  <c r="A54" i="71"/>
  <c r="E54" i="71"/>
  <c r="D40" i="71"/>
  <c r="A41" i="71"/>
  <c r="E41" i="71"/>
  <c r="B42" i="71"/>
  <c r="G42" i="71"/>
  <c r="C43" i="71"/>
  <c r="H43" i="71"/>
  <c r="D44" i="71"/>
  <c r="A45" i="71"/>
  <c r="E45" i="71"/>
  <c r="B46" i="71"/>
  <c r="G46" i="71"/>
  <c r="C47" i="71"/>
  <c r="H47" i="71"/>
  <c r="D48" i="71"/>
  <c r="A49" i="71"/>
  <c r="E49" i="71"/>
  <c r="B50" i="71"/>
  <c r="G50" i="71"/>
  <c r="C51" i="71"/>
  <c r="H51" i="71"/>
  <c r="D52" i="71"/>
  <c r="A53" i="71"/>
  <c r="E53" i="71"/>
  <c r="B54" i="71"/>
  <c r="G54" i="71"/>
  <c r="A31" i="71"/>
  <c r="E31" i="71"/>
  <c r="B32" i="71"/>
  <c r="G32" i="71"/>
  <c r="B33" i="71"/>
  <c r="G33" i="71"/>
  <c r="B34" i="71"/>
  <c r="G34" i="71"/>
  <c r="B35" i="71"/>
  <c r="G35" i="71"/>
  <c r="A36" i="71"/>
  <c r="E36" i="71"/>
  <c r="D37" i="71"/>
  <c r="D38" i="71"/>
  <c r="D39" i="71"/>
  <c r="A38" i="71"/>
  <c r="A39" i="71"/>
  <c r="B31" i="71"/>
  <c r="G31" i="71"/>
  <c r="C32" i="71"/>
  <c r="H32" i="71"/>
  <c r="C33" i="71"/>
  <c r="H33" i="71"/>
  <c r="C34" i="71"/>
  <c r="H34" i="71"/>
  <c r="C35" i="71"/>
  <c r="H35" i="71"/>
  <c r="B36" i="71"/>
  <c r="G36" i="71"/>
  <c r="A37" i="71"/>
  <c r="E37" i="71"/>
  <c r="E38" i="71"/>
  <c r="C31" i="71"/>
  <c r="H31" i="71"/>
  <c r="D32" i="71"/>
  <c r="D33" i="71"/>
  <c r="D34" i="71"/>
  <c r="D35" i="71"/>
  <c r="C36" i="71"/>
  <c r="H36" i="71"/>
  <c r="B37" i="71"/>
  <c r="G37" i="71"/>
  <c r="B38" i="71"/>
  <c r="G38" i="71"/>
  <c r="B39" i="71"/>
  <c r="G39" i="71"/>
  <c r="H39" i="71"/>
  <c r="D31" i="71"/>
  <c r="A32" i="71"/>
  <c r="E32" i="71"/>
  <c r="A33" i="71"/>
  <c r="E33" i="71"/>
  <c r="A34" i="71"/>
  <c r="E34" i="71"/>
  <c r="A35" i="71"/>
  <c r="E35" i="71"/>
  <c r="D36" i="71"/>
  <c r="C37" i="71"/>
  <c r="H37" i="71"/>
  <c r="C38" i="71"/>
  <c r="H38" i="71"/>
  <c r="C39" i="71"/>
  <c r="E39" i="71"/>
  <c r="O5" i="77"/>
  <c r="L5" i="75"/>
  <c r="M5" i="75"/>
  <c r="P5" i="74"/>
  <c r="O5" i="74"/>
  <c r="J157" i="14" l="1"/>
  <c r="I157" i="14"/>
  <c r="J90" i="71"/>
  <c r="I90" i="71"/>
  <c r="I88" i="71"/>
  <c r="J88" i="71"/>
  <c r="I89" i="71"/>
  <c r="J89" i="71"/>
  <c r="J87" i="71"/>
  <c r="I87" i="71"/>
  <c r="J86" i="71"/>
  <c r="I86" i="71"/>
  <c r="I84" i="71"/>
  <c r="J84" i="71"/>
  <c r="I85" i="71"/>
  <c r="J85" i="71"/>
  <c r="B1233" i="34"/>
  <c r="B1294" i="34"/>
  <c r="B1278" i="34"/>
  <c r="A1278" i="34" l="1"/>
  <c r="U1278" i="34"/>
  <c r="Z1278" i="34"/>
  <c r="W1278" i="34"/>
  <c r="A1294" i="34"/>
  <c r="U1294" i="34"/>
  <c r="Z1294" i="34"/>
  <c r="W1294" i="34"/>
  <c r="A1233" i="34"/>
  <c r="Z1233" i="34"/>
  <c r="W1233" i="34"/>
  <c r="U1233" i="34"/>
  <c r="B1094" i="34"/>
  <c r="B1065" i="34"/>
  <c r="A1065" i="34" l="1"/>
  <c r="T1065" i="34"/>
  <c r="U1065" i="34"/>
  <c r="R1065" i="34"/>
  <c r="Z1065" i="34"/>
  <c r="S1065" i="34"/>
  <c r="W1065" i="34"/>
  <c r="A1094" i="34"/>
  <c r="R1094" i="34"/>
  <c r="Z1094" i="34"/>
  <c r="S1094" i="34"/>
  <c r="W1094" i="34"/>
  <c r="T1094" i="34"/>
  <c r="U1094" i="34"/>
  <c r="B61" i="34"/>
  <c r="B1095" i="34"/>
  <c r="D5" i="61"/>
  <c r="P38" i="60"/>
  <c r="C38" i="60" s="1"/>
  <c r="P36" i="60"/>
  <c r="C36" i="60" s="1"/>
  <c r="P95" i="60"/>
  <c r="P97" i="60"/>
  <c r="P96" i="60"/>
  <c r="P98" i="60"/>
  <c r="P100" i="60"/>
  <c r="P133" i="60"/>
  <c r="P86" i="60"/>
  <c r="C86" i="60" s="1"/>
  <c r="P87" i="60"/>
  <c r="N28" i="60"/>
  <c r="C8" i="60"/>
  <c r="A83" i="60"/>
  <c r="A84" i="60" s="1"/>
  <c r="A86" i="60" s="1"/>
  <c r="P7" i="60"/>
  <c r="C7" i="60" s="1"/>
  <c r="P83" i="60"/>
  <c r="P84" i="60"/>
  <c r="C84" i="60" s="1"/>
  <c r="P94" i="60"/>
  <c r="E12" i="61"/>
  <c r="I12" i="61"/>
  <c r="G12" i="61"/>
  <c r="F12" i="61"/>
  <c r="C12" i="61"/>
  <c r="H12" i="61"/>
  <c r="D12" i="61"/>
  <c r="A1095" i="34" l="1"/>
  <c r="T1095" i="34"/>
  <c r="U1095" i="34"/>
  <c r="R1095" i="34"/>
  <c r="Z1095" i="34"/>
  <c r="S1095" i="34"/>
  <c r="W1095" i="34"/>
  <c r="A61" i="34"/>
  <c r="Z61" i="34"/>
  <c r="W61" i="34"/>
  <c r="U61" i="34"/>
  <c r="C100" i="60"/>
  <c r="C98" i="60"/>
  <c r="C96" i="60"/>
  <c r="C97" i="60"/>
  <c r="C94" i="60"/>
  <c r="C95" i="60"/>
  <c r="C134" i="60" s="1"/>
  <c r="P28" i="60"/>
  <c r="P75" i="60"/>
  <c r="C83" i="60"/>
  <c r="P88" i="60"/>
  <c r="P134" i="60"/>
  <c r="P139" i="60" l="1"/>
  <c r="C88" i="60"/>
  <c r="C26" i="15" l="1"/>
  <c r="C27" i="15" s="1"/>
  <c r="P14" i="64" l="1"/>
  <c r="Q3" i="56"/>
  <c r="P3" i="56"/>
  <c r="R11" i="34" l="1"/>
  <c r="S11" i="34"/>
  <c r="T11" i="34"/>
  <c r="X11" i="34"/>
  <c r="Y11" i="34"/>
  <c r="B500" i="34" l="1"/>
  <c r="B499" i="34"/>
  <c r="A499" i="34" l="1"/>
  <c r="T499" i="34"/>
  <c r="U499" i="34"/>
  <c r="R499" i="34"/>
  <c r="Z499" i="34"/>
  <c r="S499" i="34"/>
  <c r="W499" i="34"/>
  <c r="A500" i="34"/>
  <c r="R500" i="34"/>
  <c r="Z500" i="34"/>
  <c r="S500" i="34"/>
  <c r="W500" i="34"/>
  <c r="T500" i="34"/>
  <c r="U500" i="34"/>
  <c r="A468" i="55"/>
  <c r="S10" i="34"/>
  <c r="A3" i="15" l="1"/>
  <c r="A2" i="15"/>
  <c r="N8" i="73"/>
  <c r="M8" i="73"/>
  <c r="A2" i="73"/>
  <c r="A1" i="73"/>
  <c r="A3" i="68" l="1"/>
  <c r="A2" i="68"/>
  <c r="A2" i="64"/>
  <c r="A1" i="64"/>
  <c r="A2" i="61"/>
  <c r="A1" i="61"/>
  <c r="A2" i="58"/>
  <c r="A1" i="58"/>
  <c r="B3" i="57"/>
  <c r="B2" i="57"/>
  <c r="A3" i="56"/>
  <c r="A3" i="74" s="1"/>
  <c r="A3" i="75" s="1"/>
  <c r="A2" i="56"/>
  <c r="A2" i="74" s="1"/>
  <c r="A2" i="75" s="1"/>
  <c r="A2" i="77" l="1"/>
  <c r="A2" i="78"/>
  <c r="A3" i="77"/>
  <c r="A3" i="78"/>
  <c r="A2" i="14"/>
  <c r="A1" i="14"/>
  <c r="A2" i="71"/>
  <c r="A1" i="71"/>
  <c r="A5" i="43"/>
  <c r="A2" i="43"/>
  <c r="A1" i="43"/>
  <c r="A2" i="42"/>
  <c r="A1" i="42"/>
  <c r="B2" i="39"/>
  <c r="B1" i="39"/>
  <c r="A3" i="47"/>
  <c r="A2" i="47"/>
  <c r="B1321" i="34" l="1"/>
  <c r="B1316" i="34"/>
  <c r="B1315" i="34"/>
  <c r="B1117" i="34"/>
  <c r="B1260" i="34"/>
  <c r="B1400" i="34"/>
  <c r="B1118" i="34"/>
  <c r="B1285" i="34"/>
  <c r="B1257" i="34"/>
  <c r="B1289" i="34"/>
  <c r="B87" i="34"/>
  <c r="B78" i="34"/>
  <c r="B58" i="34"/>
  <c r="B57" i="34"/>
  <c r="B1263" i="34"/>
  <c r="B184" i="34"/>
  <c r="B183" i="34"/>
  <c r="B143" i="34"/>
  <c r="B142" i="34"/>
  <c r="B141" i="34"/>
  <c r="B136" i="34"/>
  <c r="B62" i="34"/>
  <c r="B26" i="34"/>
  <c r="B63" i="34"/>
  <c r="B117" i="34"/>
  <c r="B118" i="34"/>
  <c r="B119" i="34"/>
  <c r="B137" i="34"/>
  <c r="B138" i="34"/>
  <c r="B129" i="34"/>
  <c r="B805" i="34"/>
  <c r="B982" i="34"/>
  <c r="B983" i="34"/>
  <c r="B778" i="34"/>
  <c r="B779" i="34"/>
  <c r="B1290" i="34"/>
  <c r="B1291" i="34"/>
  <c r="B1091" i="34"/>
  <c r="B1322" i="34"/>
  <c r="B1323" i="34"/>
  <c r="B1324" i="34"/>
  <c r="B1411" i="34"/>
  <c r="B1412" i="34"/>
  <c r="B1414" i="34"/>
  <c r="B1415" i="34"/>
  <c r="B1434" i="34"/>
  <c r="B36" i="34"/>
  <c r="B37" i="34"/>
  <c r="B39" i="34"/>
  <c r="B40" i="34"/>
  <c r="B50" i="34"/>
  <c r="B51" i="34"/>
  <c r="B56" i="34"/>
  <c r="B67" i="34"/>
  <c r="B68" i="34"/>
  <c r="B70" i="34"/>
  <c r="B71" i="34"/>
  <c r="B75" i="34"/>
  <c r="B76" i="34"/>
  <c r="B77" i="34"/>
  <c r="B150" i="34"/>
  <c r="B162" i="34"/>
  <c r="B177" i="34"/>
  <c r="B178" i="34"/>
  <c r="B168" i="34"/>
  <c r="B180" i="34"/>
  <c r="B181" i="34"/>
  <c r="B228" i="34"/>
  <c r="B244" i="34"/>
  <c r="B245" i="34"/>
  <c r="B273" i="34"/>
  <c r="B274" i="34"/>
  <c r="B292" i="34"/>
  <c r="B293" i="34"/>
  <c r="B410" i="34"/>
  <c r="B520" i="34"/>
  <c r="B464" i="34"/>
  <c r="B501" i="34"/>
  <c r="B88" i="34"/>
  <c r="B91" i="34"/>
  <c r="B92" i="34"/>
  <c r="B93" i="34"/>
  <c r="B94" i="34"/>
  <c r="B173" i="34"/>
  <c r="B174" i="34"/>
  <c r="B175" i="34"/>
  <c r="B176" i="34"/>
  <c r="B431" i="34"/>
  <c r="B406" i="34"/>
  <c r="B465" i="34"/>
  <c r="B438" i="34"/>
  <c r="B486" i="34"/>
  <c r="B392" i="34"/>
  <c r="B395" i="34"/>
  <c r="B398" i="34"/>
  <c r="B578" i="34"/>
  <c r="B532" i="34"/>
  <c r="B599" i="34"/>
  <c r="B400" i="34"/>
  <c r="B510" i="34"/>
  <c r="B402" i="34"/>
  <c r="B529" i="34"/>
  <c r="B487" i="34"/>
  <c r="B491" i="34"/>
  <c r="B396" i="34"/>
  <c r="B522" i="34"/>
  <c r="B397" i="34"/>
  <c r="B521" i="34"/>
  <c r="B393" i="34"/>
  <c r="B495" i="34"/>
  <c r="B391" i="34"/>
  <c r="B490" i="34"/>
  <c r="B588" i="34"/>
  <c r="B524" i="34"/>
  <c r="B394" i="34"/>
  <c r="B601" i="34"/>
  <c r="B403" i="34"/>
  <c r="B598" i="34"/>
  <c r="B399" i="34"/>
  <c r="B583" i="34"/>
  <c r="B602" i="34"/>
  <c r="B511" i="34"/>
  <c r="B530" i="34"/>
  <c r="B503" i="34"/>
  <c r="B508" i="34"/>
  <c r="B531" i="34"/>
  <c r="B589" i="34"/>
  <c r="B389" i="34"/>
  <c r="B605" i="34"/>
  <c r="I13" i="71"/>
  <c r="O11" i="42"/>
  <c r="N11" i="42"/>
  <c r="A389" i="34" l="1"/>
  <c r="U389" i="34"/>
  <c r="Z389" i="34"/>
  <c r="W389" i="34"/>
  <c r="A503" i="34"/>
  <c r="U503" i="34"/>
  <c r="Z503" i="34"/>
  <c r="W503" i="34"/>
  <c r="A583" i="34"/>
  <c r="Z583" i="34"/>
  <c r="W583" i="34"/>
  <c r="U583" i="34"/>
  <c r="A601" i="34"/>
  <c r="U601" i="34"/>
  <c r="Z601" i="34"/>
  <c r="W601" i="34"/>
  <c r="A490" i="34"/>
  <c r="Z490" i="34"/>
  <c r="W490" i="34"/>
  <c r="U490" i="34"/>
  <c r="A521" i="34"/>
  <c r="U521" i="34"/>
  <c r="Z521" i="34"/>
  <c r="W521" i="34"/>
  <c r="A491" i="34"/>
  <c r="U491" i="34"/>
  <c r="Z491" i="34"/>
  <c r="W491" i="34"/>
  <c r="A510" i="34"/>
  <c r="Z510" i="34"/>
  <c r="W510" i="34"/>
  <c r="U510" i="34"/>
  <c r="A578" i="34"/>
  <c r="Z578" i="34"/>
  <c r="W578" i="34"/>
  <c r="U578" i="34"/>
  <c r="A486" i="34"/>
  <c r="Z486" i="34"/>
  <c r="W486" i="34"/>
  <c r="U486" i="34"/>
  <c r="A431" i="34"/>
  <c r="W431" i="34"/>
  <c r="U431" i="34"/>
  <c r="Z431" i="34"/>
  <c r="A173" i="34"/>
  <c r="W173" i="34"/>
  <c r="U173" i="34"/>
  <c r="Z173" i="34"/>
  <c r="A91" i="34"/>
  <c r="Z91" i="34"/>
  <c r="W91" i="34"/>
  <c r="U91" i="34"/>
  <c r="A520" i="34"/>
  <c r="Z520" i="34"/>
  <c r="W520" i="34"/>
  <c r="U520" i="34"/>
  <c r="A274" i="34"/>
  <c r="Z274" i="34"/>
  <c r="W274" i="34"/>
  <c r="U274" i="34"/>
  <c r="A228" i="34"/>
  <c r="U228" i="34"/>
  <c r="Z228" i="34"/>
  <c r="W228" i="34"/>
  <c r="A178" i="34"/>
  <c r="U178" i="34"/>
  <c r="Z178" i="34"/>
  <c r="W178" i="34"/>
  <c r="A77" i="34"/>
  <c r="Z77" i="34"/>
  <c r="W77" i="34"/>
  <c r="U77" i="34"/>
  <c r="A70" i="34"/>
  <c r="U70" i="34"/>
  <c r="Z70" i="34"/>
  <c r="W70" i="34"/>
  <c r="A51" i="34"/>
  <c r="Z51" i="34"/>
  <c r="W51" i="34"/>
  <c r="U51" i="34"/>
  <c r="A37" i="34"/>
  <c r="Z37" i="34"/>
  <c r="W37" i="34"/>
  <c r="U37" i="34"/>
  <c r="A1414" i="34"/>
  <c r="U1414" i="34"/>
  <c r="Z1414" i="34"/>
  <c r="W1414" i="34"/>
  <c r="A1323" i="34"/>
  <c r="Z1323" i="34"/>
  <c r="W1323" i="34"/>
  <c r="U1323" i="34"/>
  <c r="A1290" i="34"/>
  <c r="U1290" i="34"/>
  <c r="Z1290" i="34"/>
  <c r="W1290" i="34"/>
  <c r="A982" i="34"/>
  <c r="Z982" i="34"/>
  <c r="W982" i="34"/>
  <c r="U982" i="34"/>
  <c r="A137" i="34"/>
  <c r="W137" i="34"/>
  <c r="U137" i="34"/>
  <c r="Z137" i="34"/>
  <c r="A63" i="34"/>
  <c r="Z63" i="34"/>
  <c r="W63" i="34"/>
  <c r="U63" i="34"/>
  <c r="A141" i="34"/>
  <c r="W141" i="34"/>
  <c r="U141" i="34"/>
  <c r="Z141" i="34"/>
  <c r="A184" i="34"/>
  <c r="U184" i="34"/>
  <c r="Z184" i="34"/>
  <c r="W184" i="34"/>
  <c r="A78" i="34"/>
  <c r="U78" i="34"/>
  <c r="Z78" i="34"/>
  <c r="W78" i="34"/>
  <c r="A1285" i="34"/>
  <c r="Z1285" i="34"/>
  <c r="W1285" i="34"/>
  <c r="U1285" i="34"/>
  <c r="A1117" i="34"/>
  <c r="U1117" i="34"/>
  <c r="Z1117" i="34"/>
  <c r="W1117" i="34"/>
  <c r="A589" i="34"/>
  <c r="U589" i="34"/>
  <c r="Z589" i="34"/>
  <c r="W589" i="34"/>
  <c r="A530" i="34"/>
  <c r="Z530" i="34"/>
  <c r="W530" i="34"/>
  <c r="U530" i="34"/>
  <c r="A399" i="34"/>
  <c r="U399" i="34"/>
  <c r="Z399" i="34"/>
  <c r="W399" i="34"/>
  <c r="A394" i="34"/>
  <c r="W394" i="34"/>
  <c r="U394" i="34"/>
  <c r="Z394" i="34"/>
  <c r="A391" i="34"/>
  <c r="U391" i="34"/>
  <c r="Z391" i="34"/>
  <c r="W391" i="34"/>
  <c r="A397" i="34"/>
  <c r="U397" i="34"/>
  <c r="Z397" i="34"/>
  <c r="W397" i="34"/>
  <c r="A487" i="34"/>
  <c r="U487" i="34"/>
  <c r="Z487" i="34"/>
  <c r="W487" i="34"/>
  <c r="A400" i="34"/>
  <c r="W400" i="34"/>
  <c r="U400" i="34"/>
  <c r="Z400" i="34"/>
  <c r="A398" i="34"/>
  <c r="W398" i="34"/>
  <c r="U398" i="34"/>
  <c r="Z398" i="34"/>
  <c r="A438" i="34"/>
  <c r="Z438" i="34"/>
  <c r="W438" i="34"/>
  <c r="U438" i="34"/>
  <c r="A176" i="34"/>
  <c r="U176" i="34"/>
  <c r="Z176" i="34"/>
  <c r="W176" i="34"/>
  <c r="A94" i="34"/>
  <c r="U94" i="34"/>
  <c r="Z94" i="34"/>
  <c r="W94" i="34"/>
  <c r="A88" i="34"/>
  <c r="U88" i="34"/>
  <c r="Z88" i="34"/>
  <c r="W88" i="34"/>
  <c r="A410" i="34"/>
  <c r="W410" i="34"/>
  <c r="U410" i="34"/>
  <c r="Z410" i="34"/>
  <c r="A273" i="34"/>
  <c r="Z273" i="34"/>
  <c r="W273" i="34"/>
  <c r="U273" i="34"/>
  <c r="A181" i="34"/>
  <c r="W181" i="34"/>
  <c r="U181" i="34"/>
  <c r="Z181" i="34"/>
  <c r="A177" i="34"/>
  <c r="W177" i="34"/>
  <c r="U177" i="34"/>
  <c r="Z177" i="34"/>
  <c r="A76" i="34"/>
  <c r="U76" i="34"/>
  <c r="Z76" i="34"/>
  <c r="W76" i="34"/>
  <c r="A68" i="34"/>
  <c r="U68" i="34"/>
  <c r="Z68" i="34"/>
  <c r="W68" i="34"/>
  <c r="A50" i="34"/>
  <c r="U50" i="34"/>
  <c r="Z50" i="34"/>
  <c r="W50" i="34"/>
  <c r="A36" i="34"/>
  <c r="U36" i="34"/>
  <c r="Z36" i="34"/>
  <c r="W36" i="34"/>
  <c r="A1412" i="34"/>
  <c r="U1412" i="34"/>
  <c r="Z1412" i="34"/>
  <c r="W1412" i="34"/>
  <c r="A1322" i="34"/>
  <c r="U1322" i="34"/>
  <c r="Z1322" i="34"/>
  <c r="W1322" i="34"/>
  <c r="A779" i="34"/>
  <c r="U779" i="34"/>
  <c r="Z779" i="34"/>
  <c r="W779" i="34"/>
  <c r="A805" i="34"/>
  <c r="U805" i="34"/>
  <c r="Z805" i="34"/>
  <c r="W805" i="34"/>
  <c r="A119" i="34"/>
  <c r="Z119" i="34"/>
  <c r="U119" i="34"/>
  <c r="W119" i="34"/>
  <c r="A26" i="34"/>
  <c r="U26" i="34"/>
  <c r="Z26" i="34"/>
  <c r="W26" i="34"/>
  <c r="A142" i="34"/>
  <c r="U142" i="34"/>
  <c r="Z142" i="34"/>
  <c r="W142" i="34"/>
  <c r="A1263" i="34"/>
  <c r="Z1263" i="34"/>
  <c r="W1263" i="34"/>
  <c r="U1263" i="34"/>
  <c r="A87" i="34"/>
  <c r="Z87" i="34"/>
  <c r="W87" i="34"/>
  <c r="U87" i="34"/>
  <c r="A1118" i="34"/>
  <c r="Z1118" i="34"/>
  <c r="W1118" i="34"/>
  <c r="U1118" i="34"/>
  <c r="A1315" i="34"/>
  <c r="Z1315" i="34"/>
  <c r="W1315" i="34"/>
  <c r="U1315" i="34"/>
  <c r="A531" i="34"/>
  <c r="U531" i="34"/>
  <c r="Z531" i="34"/>
  <c r="W531" i="34"/>
  <c r="A511" i="34"/>
  <c r="U511" i="34"/>
  <c r="Z511" i="34"/>
  <c r="W511" i="34"/>
  <c r="A598" i="34"/>
  <c r="W598" i="34"/>
  <c r="U598" i="34"/>
  <c r="Z598" i="34"/>
  <c r="A524" i="34"/>
  <c r="Z524" i="34"/>
  <c r="W524" i="34"/>
  <c r="U524" i="34"/>
  <c r="A495" i="34"/>
  <c r="U495" i="34"/>
  <c r="Z495" i="34"/>
  <c r="W495" i="34"/>
  <c r="A522" i="34"/>
  <c r="Z522" i="34"/>
  <c r="W522" i="34"/>
  <c r="U522" i="34"/>
  <c r="A529" i="34"/>
  <c r="U529" i="34"/>
  <c r="Z529" i="34"/>
  <c r="W529" i="34"/>
  <c r="A599" i="34"/>
  <c r="U599" i="34"/>
  <c r="Z599" i="34"/>
  <c r="W599" i="34"/>
  <c r="A395" i="34"/>
  <c r="U395" i="34"/>
  <c r="Z395" i="34"/>
  <c r="W395" i="34"/>
  <c r="A465" i="34"/>
  <c r="U465" i="34"/>
  <c r="Z465" i="34"/>
  <c r="W465" i="34"/>
  <c r="A175" i="34"/>
  <c r="W175" i="34"/>
  <c r="U175" i="34"/>
  <c r="Z175" i="34"/>
  <c r="A93" i="34"/>
  <c r="Z93" i="34"/>
  <c r="W93" i="34"/>
  <c r="U93" i="34"/>
  <c r="A501" i="34"/>
  <c r="U501" i="34"/>
  <c r="Z501" i="34"/>
  <c r="W501" i="34"/>
  <c r="A293" i="34"/>
  <c r="U293" i="34"/>
  <c r="Z293" i="34"/>
  <c r="W293" i="34"/>
  <c r="A245" i="34"/>
  <c r="W245" i="34"/>
  <c r="U245" i="34"/>
  <c r="Z245" i="34"/>
  <c r="A180" i="34"/>
  <c r="U180" i="34"/>
  <c r="Z180" i="34"/>
  <c r="W180" i="34"/>
  <c r="A162" i="34"/>
  <c r="U162" i="34"/>
  <c r="Z162" i="34"/>
  <c r="W162" i="34"/>
  <c r="A75" i="34"/>
  <c r="Z75" i="34"/>
  <c r="W75" i="34"/>
  <c r="U75" i="34"/>
  <c r="A67" i="34"/>
  <c r="Z67" i="34"/>
  <c r="W67" i="34"/>
  <c r="U67" i="34"/>
  <c r="A40" i="34"/>
  <c r="U40" i="34"/>
  <c r="Z40" i="34"/>
  <c r="W40" i="34"/>
  <c r="A1434" i="34"/>
  <c r="U1434" i="34"/>
  <c r="Z1434" i="34"/>
  <c r="W1434" i="34"/>
  <c r="A1411" i="34"/>
  <c r="Z1411" i="34"/>
  <c r="W1411" i="34"/>
  <c r="U1411" i="34"/>
  <c r="A1091" i="34"/>
  <c r="U1091" i="34"/>
  <c r="Z1091" i="34"/>
  <c r="W1091" i="34"/>
  <c r="A778" i="34"/>
  <c r="W778" i="34"/>
  <c r="U778" i="34"/>
  <c r="Z778" i="34"/>
  <c r="A129" i="34"/>
  <c r="W129" i="34"/>
  <c r="U129" i="34"/>
  <c r="Z129" i="34"/>
  <c r="A118" i="34"/>
  <c r="W118" i="34"/>
  <c r="U118" i="34"/>
  <c r="Z118" i="34"/>
  <c r="A62" i="34"/>
  <c r="U62" i="34"/>
  <c r="Z62" i="34"/>
  <c r="W62" i="34"/>
  <c r="A143" i="34"/>
  <c r="W143" i="34"/>
  <c r="U143" i="34"/>
  <c r="Z143" i="34"/>
  <c r="A57" i="34"/>
  <c r="Z57" i="34"/>
  <c r="W57" i="34"/>
  <c r="U57" i="34"/>
  <c r="A1289" i="34"/>
  <c r="Z1289" i="34"/>
  <c r="W1289" i="34"/>
  <c r="U1289" i="34"/>
  <c r="A1400" i="34"/>
  <c r="U1400" i="34"/>
  <c r="Z1400" i="34"/>
  <c r="W1400" i="34"/>
  <c r="A1316" i="34"/>
  <c r="U1316" i="34"/>
  <c r="Z1316" i="34"/>
  <c r="W1316" i="34"/>
  <c r="A605" i="34"/>
  <c r="U605" i="34"/>
  <c r="Z605" i="34"/>
  <c r="W605" i="34"/>
  <c r="A508" i="34"/>
  <c r="Z508" i="34"/>
  <c r="W508" i="34"/>
  <c r="U508" i="34"/>
  <c r="A602" i="34"/>
  <c r="W602" i="34"/>
  <c r="U602" i="34"/>
  <c r="Z602" i="34"/>
  <c r="A403" i="34"/>
  <c r="U403" i="34"/>
  <c r="Z403" i="34"/>
  <c r="W403" i="34"/>
  <c r="A588" i="34"/>
  <c r="W588" i="34"/>
  <c r="U588" i="34"/>
  <c r="Z588" i="34"/>
  <c r="A393" i="34"/>
  <c r="U393" i="34"/>
  <c r="Z393" i="34"/>
  <c r="W393" i="34"/>
  <c r="A396" i="34"/>
  <c r="W396" i="34"/>
  <c r="U396" i="34"/>
  <c r="Z396" i="34"/>
  <c r="A402" i="34"/>
  <c r="W402" i="34"/>
  <c r="U402" i="34"/>
  <c r="Z402" i="34"/>
  <c r="A532" i="34"/>
  <c r="Z532" i="34"/>
  <c r="W532" i="34"/>
  <c r="U532" i="34"/>
  <c r="A392" i="34"/>
  <c r="W392" i="34"/>
  <c r="U392" i="34"/>
  <c r="Z392" i="34"/>
  <c r="A406" i="34"/>
  <c r="W406" i="34"/>
  <c r="U406" i="34"/>
  <c r="Z406" i="34"/>
  <c r="A174" i="34"/>
  <c r="U174" i="34"/>
  <c r="Z174" i="34"/>
  <c r="W174" i="34"/>
  <c r="A92" i="34"/>
  <c r="U92" i="34"/>
  <c r="Z92" i="34"/>
  <c r="W92" i="34"/>
  <c r="A464" i="34"/>
  <c r="Z464" i="34"/>
  <c r="W464" i="34"/>
  <c r="U464" i="34"/>
  <c r="A292" i="34"/>
  <c r="W292" i="34"/>
  <c r="U292" i="34"/>
  <c r="Z292" i="34"/>
  <c r="A244" i="34"/>
  <c r="U244" i="34"/>
  <c r="Z244" i="34"/>
  <c r="W244" i="34"/>
  <c r="A168" i="34"/>
  <c r="U168" i="34"/>
  <c r="Z168" i="34"/>
  <c r="W168" i="34"/>
  <c r="A150" i="34"/>
  <c r="U150" i="34"/>
  <c r="Z150" i="34"/>
  <c r="W150" i="34"/>
  <c r="A71" i="34"/>
  <c r="Z71" i="34"/>
  <c r="W71" i="34"/>
  <c r="U71" i="34"/>
  <c r="A56" i="34"/>
  <c r="U56" i="34"/>
  <c r="Z56" i="34"/>
  <c r="W56" i="34"/>
  <c r="A39" i="34"/>
  <c r="Z39" i="34"/>
  <c r="W39" i="34"/>
  <c r="U39" i="34"/>
  <c r="A1415" i="34"/>
  <c r="Z1415" i="34"/>
  <c r="W1415" i="34"/>
  <c r="U1415" i="34"/>
  <c r="A1324" i="34"/>
  <c r="U1324" i="34"/>
  <c r="Z1324" i="34"/>
  <c r="W1324" i="34"/>
  <c r="A1291" i="34"/>
  <c r="Z1291" i="34"/>
  <c r="W1291" i="34"/>
  <c r="U1291" i="34"/>
  <c r="A983" i="34"/>
  <c r="U983" i="34"/>
  <c r="Z983" i="34"/>
  <c r="W983" i="34"/>
  <c r="A138" i="34"/>
  <c r="U138" i="34"/>
  <c r="Z138" i="34"/>
  <c r="W138" i="34"/>
  <c r="A117" i="34"/>
  <c r="Z117" i="34"/>
  <c r="U117" i="34"/>
  <c r="W117" i="34"/>
  <c r="A136" i="34"/>
  <c r="U136" i="34"/>
  <c r="Z136" i="34"/>
  <c r="W136" i="34"/>
  <c r="A183" i="34"/>
  <c r="W183" i="34"/>
  <c r="U183" i="34"/>
  <c r="Z183" i="34"/>
  <c r="A58" i="34"/>
  <c r="U58" i="34"/>
  <c r="Z58" i="34"/>
  <c r="W58" i="34"/>
  <c r="A1257" i="34"/>
  <c r="Z1257" i="34"/>
  <c r="W1257" i="34"/>
  <c r="U1257" i="34"/>
  <c r="A1260" i="34"/>
  <c r="U1260" i="34"/>
  <c r="Z1260" i="34"/>
  <c r="W1260" i="34"/>
  <c r="A1321" i="34"/>
  <c r="Z1321" i="34"/>
  <c r="W1321" i="34"/>
  <c r="U1321" i="34"/>
  <c r="Q14" i="34"/>
  <c r="Q18" i="34"/>
  <c r="Q26" i="34"/>
  <c r="P27" i="34"/>
  <c r="O28" i="34"/>
  <c r="Q30" i="34"/>
  <c r="P31" i="34"/>
  <c r="O32" i="34"/>
  <c r="Q34" i="34"/>
  <c r="P35" i="34"/>
  <c r="O36" i="34"/>
  <c r="Q38" i="34"/>
  <c r="P39" i="34"/>
  <c r="O40" i="34"/>
  <c r="Q42" i="34"/>
  <c r="P43" i="34"/>
  <c r="O44" i="34"/>
  <c r="Q46" i="34"/>
  <c r="P47" i="34"/>
  <c r="O48" i="34"/>
  <c r="Q50" i="34"/>
  <c r="P51" i="34"/>
  <c r="O52" i="34"/>
  <c r="P55" i="34"/>
  <c r="O56" i="34"/>
  <c r="Q58" i="34"/>
  <c r="P59" i="34"/>
  <c r="O60" i="34"/>
  <c r="Q62" i="34"/>
  <c r="P63" i="34"/>
  <c r="O64" i="34"/>
  <c r="Q66" i="34"/>
  <c r="P67" i="34"/>
  <c r="O68" i="34"/>
  <c r="Q70" i="34"/>
  <c r="P71" i="34"/>
  <c r="O72" i="34"/>
  <c r="Q74" i="34"/>
  <c r="P75" i="34"/>
  <c r="O76" i="34"/>
  <c r="Q78" i="34"/>
  <c r="P79" i="34"/>
  <c r="O80" i="34"/>
  <c r="Q82" i="34"/>
  <c r="P83" i="34"/>
  <c r="Q86" i="34"/>
  <c r="P87" i="34"/>
  <c r="O88" i="34"/>
  <c r="Q90" i="34"/>
  <c r="P91" i="34"/>
  <c r="O92" i="34"/>
  <c r="Q94" i="34"/>
  <c r="P95" i="34"/>
  <c r="O96" i="34"/>
  <c r="Q98" i="34"/>
  <c r="P99" i="34"/>
  <c r="O100" i="34"/>
  <c r="Q102" i="34"/>
  <c r="P103" i="34"/>
  <c r="O104" i="34"/>
  <c r="P107" i="34"/>
  <c r="O108" i="34"/>
  <c r="Q110" i="34"/>
  <c r="P111" i="34"/>
  <c r="O112" i="34"/>
  <c r="Q114" i="34"/>
  <c r="P115" i="34"/>
  <c r="Q118" i="34"/>
  <c r="Q27" i="34"/>
  <c r="P28" i="34"/>
  <c r="O29" i="34"/>
  <c r="Q31" i="34"/>
  <c r="P32" i="34"/>
  <c r="O33" i="34"/>
  <c r="Q35" i="34"/>
  <c r="P36" i="34"/>
  <c r="O37" i="34"/>
  <c r="Q39" i="34"/>
  <c r="P40" i="34"/>
  <c r="O41" i="34"/>
  <c r="Q43" i="34"/>
  <c r="P44" i="34"/>
  <c r="O45" i="34"/>
  <c r="Q47" i="34"/>
  <c r="P48" i="34"/>
  <c r="O49" i="34"/>
  <c r="Q51" i="34"/>
  <c r="P52" i="34"/>
  <c r="Q55" i="34"/>
  <c r="P56" i="34"/>
  <c r="O57" i="34"/>
  <c r="Q59" i="34"/>
  <c r="P60" i="34"/>
  <c r="O61" i="34"/>
  <c r="Q63" i="34"/>
  <c r="P64" i="34"/>
  <c r="O65" i="34"/>
  <c r="Q67" i="34"/>
  <c r="P68" i="34"/>
  <c r="O69" i="34"/>
  <c r="Q71" i="34"/>
  <c r="P72" i="34"/>
  <c r="O73" i="34"/>
  <c r="Q75" i="34"/>
  <c r="P76" i="34"/>
  <c r="O77" i="34"/>
  <c r="Q79" i="34"/>
  <c r="P80" i="34"/>
  <c r="O81" i="34"/>
  <c r="Q83" i="34"/>
  <c r="Q87" i="34"/>
  <c r="P88" i="34"/>
  <c r="O89" i="34"/>
  <c r="Q91" i="34"/>
  <c r="P92" i="34"/>
  <c r="O93" i="34"/>
  <c r="Q95" i="34"/>
  <c r="P96" i="34"/>
  <c r="O97" i="34"/>
  <c r="Q99" i="34"/>
  <c r="P100" i="34"/>
  <c r="O101" i="34"/>
  <c r="Q103" i="34"/>
  <c r="P104" i="34"/>
  <c r="Q107" i="34"/>
  <c r="P108" i="34"/>
  <c r="O109" i="34"/>
  <c r="Q111" i="34"/>
  <c r="P112" i="34"/>
  <c r="O113" i="34"/>
  <c r="Q115" i="34"/>
  <c r="O14" i="34"/>
  <c r="O18" i="34"/>
  <c r="O26" i="34"/>
  <c r="Q28" i="34"/>
  <c r="P29" i="34"/>
  <c r="O30" i="34"/>
  <c r="Q32" i="34"/>
  <c r="P33" i="34"/>
  <c r="O34" i="34"/>
  <c r="Q36" i="34"/>
  <c r="P37" i="34"/>
  <c r="O38" i="34"/>
  <c r="Q40" i="34"/>
  <c r="P41" i="34"/>
  <c r="O42" i="34"/>
  <c r="Q44" i="34"/>
  <c r="P45" i="34"/>
  <c r="O46" i="34"/>
  <c r="Q48" i="34"/>
  <c r="P49" i="34"/>
  <c r="O50" i="34"/>
  <c r="Q52" i="34"/>
  <c r="Q56" i="34"/>
  <c r="P57" i="34"/>
  <c r="O58" i="34"/>
  <c r="Q60" i="34"/>
  <c r="P61" i="34"/>
  <c r="O62" i="34"/>
  <c r="Q64" i="34"/>
  <c r="P65" i="34"/>
  <c r="O66" i="34"/>
  <c r="Q68" i="34"/>
  <c r="P69" i="34"/>
  <c r="O70" i="34"/>
  <c r="Q72" i="34"/>
  <c r="P73" i="34"/>
  <c r="O74" i="34"/>
  <c r="Q76" i="34"/>
  <c r="P77" i="34"/>
  <c r="O78" i="34"/>
  <c r="Q80" i="34"/>
  <c r="P81" i="34"/>
  <c r="O82" i="34"/>
  <c r="O86" i="34"/>
  <c r="Q88" i="34"/>
  <c r="P89" i="34"/>
  <c r="O90" i="34"/>
  <c r="Q92" i="34"/>
  <c r="P93" i="34"/>
  <c r="O94" i="34"/>
  <c r="Q96" i="34"/>
  <c r="P97" i="34"/>
  <c r="O98" i="34"/>
  <c r="Q100" i="34"/>
  <c r="P101" i="34"/>
  <c r="O102" i="34"/>
  <c r="Q104" i="34"/>
  <c r="Q108" i="34"/>
  <c r="P109" i="34"/>
  <c r="O110" i="34"/>
  <c r="Q112" i="34"/>
  <c r="P113" i="34"/>
  <c r="P14" i="34"/>
  <c r="P18" i="34"/>
  <c r="P26" i="34"/>
  <c r="O27" i="34"/>
  <c r="Q29" i="34"/>
  <c r="P30" i="34"/>
  <c r="O31" i="34"/>
  <c r="Q33" i="34"/>
  <c r="P34" i="34"/>
  <c r="O35" i="34"/>
  <c r="Q37" i="34"/>
  <c r="P38" i="34"/>
  <c r="O39" i="34"/>
  <c r="Q41" i="34"/>
  <c r="P42" i="34"/>
  <c r="O43" i="34"/>
  <c r="Q45" i="34"/>
  <c r="P46" i="34"/>
  <c r="O47" i="34"/>
  <c r="Q49" i="34"/>
  <c r="P50" i="34"/>
  <c r="O51" i="34"/>
  <c r="O55" i="34"/>
  <c r="Q57" i="34"/>
  <c r="P58" i="34"/>
  <c r="O59" i="34"/>
  <c r="Q61" i="34"/>
  <c r="P62" i="34"/>
  <c r="O63" i="34"/>
  <c r="Q65" i="34"/>
  <c r="P66" i="34"/>
  <c r="O67" i="34"/>
  <c r="Q69" i="34"/>
  <c r="P70" i="34"/>
  <c r="O71" i="34"/>
  <c r="Q73" i="34"/>
  <c r="P74" i="34"/>
  <c r="O75" i="34"/>
  <c r="Q77" i="34"/>
  <c r="P78" i="34"/>
  <c r="O79" i="34"/>
  <c r="Q81" i="34"/>
  <c r="P82" i="34"/>
  <c r="O83" i="34"/>
  <c r="P86" i="34"/>
  <c r="O87" i="34"/>
  <c r="Q89" i="34"/>
  <c r="P90" i="34"/>
  <c r="O91" i="34"/>
  <c r="Q93" i="34"/>
  <c r="P94" i="34"/>
  <c r="O95" i="34"/>
  <c r="Q97" i="34"/>
  <c r="P98" i="34"/>
  <c r="O99" i="34"/>
  <c r="Q101" i="34"/>
  <c r="P102" i="34"/>
  <c r="O103" i="34"/>
  <c r="O107" i="34"/>
  <c r="Q109" i="34"/>
  <c r="P110" i="34"/>
  <c r="O111" i="34"/>
  <c r="Q113" i="34"/>
  <c r="P114" i="34"/>
  <c r="O115" i="34"/>
  <c r="Q117" i="34"/>
  <c r="P118" i="34"/>
  <c r="O119" i="34"/>
  <c r="Q121" i="34"/>
  <c r="P122" i="34"/>
  <c r="O123" i="34"/>
  <c r="Q125" i="34"/>
  <c r="O117" i="34"/>
  <c r="O118" i="34"/>
  <c r="Q119" i="34"/>
  <c r="P120" i="34"/>
  <c r="O121" i="34"/>
  <c r="O122" i="34"/>
  <c r="P123" i="34"/>
  <c r="O124" i="34"/>
  <c r="Q127" i="34"/>
  <c r="P128" i="34"/>
  <c r="O129" i="34"/>
  <c r="Q131" i="34"/>
  <c r="P132" i="34"/>
  <c r="O133" i="34"/>
  <c r="Q135" i="34"/>
  <c r="P136" i="34"/>
  <c r="O137" i="34"/>
  <c r="Q139" i="34"/>
  <c r="P140" i="34"/>
  <c r="O141" i="34"/>
  <c r="Q143" i="34"/>
  <c r="P144" i="34"/>
  <c r="O145" i="34"/>
  <c r="Q147" i="34"/>
  <c r="P148" i="34"/>
  <c r="O149" i="34"/>
  <c r="Q151" i="34"/>
  <c r="P152" i="34"/>
  <c r="O153" i="34"/>
  <c r="Q155" i="34"/>
  <c r="P156" i="34"/>
  <c r="O157" i="34"/>
  <c r="P160" i="34"/>
  <c r="O161" i="34"/>
  <c r="P164" i="34"/>
  <c r="O165" i="34"/>
  <c r="Q167" i="34"/>
  <c r="P168" i="34"/>
  <c r="Q171" i="34"/>
  <c r="O173" i="34"/>
  <c r="Q175" i="34"/>
  <c r="P176" i="34"/>
  <c r="O177" i="34"/>
  <c r="P180" i="34"/>
  <c r="O181" i="34"/>
  <c r="Q183" i="34"/>
  <c r="P184" i="34"/>
  <c r="O185" i="34"/>
  <c r="Q187" i="34"/>
  <c r="P188" i="34"/>
  <c r="O189" i="34"/>
  <c r="Q191" i="34"/>
  <c r="P192" i="34"/>
  <c r="O193" i="34"/>
  <c r="Q195" i="34"/>
  <c r="P196" i="34"/>
  <c r="O197" i="34"/>
  <c r="Q199" i="34"/>
  <c r="P200" i="34"/>
  <c r="O201" i="34"/>
  <c r="Q203" i="34"/>
  <c r="P204" i="34"/>
  <c r="O205" i="34"/>
  <c r="Q207" i="34"/>
  <c r="P208" i="34"/>
  <c r="O209" i="34"/>
  <c r="Q211" i="34"/>
  <c r="P212" i="34"/>
  <c r="O213" i="34"/>
  <c r="Q215" i="34"/>
  <c r="P216" i="34"/>
  <c r="O217" i="34"/>
  <c r="Q223" i="34"/>
  <c r="P224" i="34"/>
  <c r="O225" i="34"/>
  <c r="P117" i="34"/>
  <c r="Q120" i="34"/>
  <c r="P121" i="34"/>
  <c r="Q122" i="34"/>
  <c r="Q123" i="34"/>
  <c r="P124" i="34"/>
  <c r="O125" i="34"/>
  <c r="O126" i="34"/>
  <c r="Q128" i="34"/>
  <c r="P129" i="34"/>
  <c r="O130" i="34"/>
  <c r="Q132" i="34"/>
  <c r="P133" i="34"/>
  <c r="O134" i="34"/>
  <c r="Q136" i="34"/>
  <c r="P137" i="34"/>
  <c r="O138" i="34"/>
  <c r="Q140" i="34"/>
  <c r="P141" i="34"/>
  <c r="O142" i="34"/>
  <c r="Q144" i="34"/>
  <c r="P145" i="34"/>
  <c r="O146" i="34"/>
  <c r="Q148" i="34"/>
  <c r="P149" i="34"/>
  <c r="O150" i="34"/>
  <c r="Q152" i="34"/>
  <c r="P153" i="34"/>
  <c r="O154" i="34"/>
  <c r="Q156" i="34"/>
  <c r="P157" i="34"/>
  <c r="O158" i="34"/>
  <c r="Q160" i="34"/>
  <c r="P161" i="34"/>
  <c r="O162" i="34"/>
  <c r="Q164" i="34"/>
  <c r="P165" i="34"/>
  <c r="O166" i="34"/>
  <c r="Q168" i="34"/>
  <c r="O170" i="34"/>
  <c r="P173" i="34"/>
  <c r="O174" i="34"/>
  <c r="Q176" i="34"/>
  <c r="P177" i="34"/>
  <c r="O178" i="34"/>
  <c r="Q180" i="34"/>
  <c r="P181" i="34"/>
  <c r="O182" i="34"/>
  <c r="Q184" i="34"/>
  <c r="P185" i="34"/>
  <c r="O186" i="34"/>
  <c r="Q188" i="34"/>
  <c r="P189" i="34"/>
  <c r="O190" i="34"/>
  <c r="Q192" i="34"/>
  <c r="P193" i="34"/>
  <c r="O194" i="34"/>
  <c r="Q196" i="34"/>
  <c r="P197" i="34"/>
  <c r="O198" i="34"/>
  <c r="Q200" i="34"/>
  <c r="P201" i="34"/>
  <c r="O202" i="34"/>
  <c r="Q204" i="34"/>
  <c r="P205" i="34"/>
  <c r="O206" i="34"/>
  <c r="Q208" i="34"/>
  <c r="P209" i="34"/>
  <c r="O210" i="34"/>
  <c r="Q212" i="34"/>
  <c r="P213" i="34"/>
  <c r="O214" i="34"/>
  <c r="Q216" i="34"/>
  <c r="P217" i="34"/>
  <c r="O218" i="34"/>
  <c r="O222" i="34"/>
  <c r="Q224" i="34"/>
  <c r="Q124" i="34"/>
  <c r="P125" i="34"/>
  <c r="P126" i="34"/>
  <c r="O127" i="34"/>
  <c r="Q129" i="34"/>
  <c r="P130" i="34"/>
  <c r="O131" i="34"/>
  <c r="Q133" i="34"/>
  <c r="P134" i="34"/>
  <c r="O135" i="34"/>
  <c r="Q137" i="34"/>
  <c r="P138" i="34"/>
  <c r="O139" i="34"/>
  <c r="Q141" i="34"/>
  <c r="P142" i="34"/>
  <c r="O143" i="34"/>
  <c r="Q145" i="34"/>
  <c r="P146" i="34"/>
  <c r="O147" i="34"/>
  <c r="Q149" i="34"/>
  <c r="P150" i="34"/>
  <c r="O151" i="34"/>
  <c r="Q153" i="34"/>
  <c r="P154" i="34"/>
  <c r="O155" i="34"/>
  <c r="Q157" i="34"/>
  <c r="P158" i="34"/>
  <c r="Q161" i="34"/>
  <c r="P162" i="34"/>
  <c r="Q165" i="34"/>
  <c r="P166" i="34"/>
  <c r="O167" i="34"/>
  <c r="P170" i="34"/>
  <c r="O171" i="34"/>
  <c r="Q173" i="34"/>
  <c r="P174" i="34"/>
  <c r="O175" i="34"/>
  <c r="Q177" i="34"/>
  <c r="P178" i="34"/>
  <c r="Q181" i="34"/>
  <c r="P182" i="34"/>
  <c r="O183" i="34"/>
  <c r="Q185" i="34"/>
  <c r="P186" i="34"/>
  <c r="O187" i="34"/>
  <c r="Q189" i="34"/>
  <c r="P190" i="34"/>
  <c r="O191" i="34"/>
  <c r="Q193" i="34"/>
  <c r="P194" i="34"/>
  <c r="O195" i="34"/>
  <c r="Q197" i="34"/>
  <c r="P198" i="34"/>
  <c r="O199" i="34"/>
  <c r="Q201" i="34"/>
  <c r="P202" i="34"/>
  <c r="O203" i="34"/>
  <c r="Q205" i="34"/>
  <c r="P206" i="34"/>
  <c r="O207" i="34"/>
  <c r="Q209" i="34"/>
  <c r="P210" i="34"/>
  <c r="O211" i="34"/>
  <c r="Q213" i="34"/>
  <c r="P214" i="34"/>
  <c r="O215" i="34"/>
  <c r="Q217" i="34"/>
  <c r="P218" i="34"/>
  <c r="P222" i="34"/>
  <c r="O114" i="34"/>
  <c r="P119" i="34"/>
  <c r="O120" i="34"/>
  <c r="Q126" i="34"/>
  <c r="P127" i="34"/>
  <c r="O128" i="34"/>
  <c r="Q130" i="34"/>
  <c r="P131" i="34"/>
  <c r="O132" i="34"/>
  <c r="Q134" i="34"/>
  <c r="P135" i="34"/>
  <c r="O136" i="34"/>
  <c r="Q138" i="34"/>
  <c r="P139" i="34"/>
  <c r="O140" i="34"/>
  <c r="Q142" i="34"/>
  <c r="P143" i="34"/>
  <c r="O144" i="34"/>
  <c r="Q146" i="34"/>
  <c r="P147" i="34"/>
  <c r="O148" i="34"/>
  <c r="Q150" i="34"/>
  <c r="P151" i="34"/>
  <c r="O152" i="34"/>
  <c r="Q154" i="34"/>
  <c r="P155" i="34"/>
  <c r="O156" i="34"/>
  <c r="Q158" i="34"/>
  <c r="O160" i="34"/>
  <c r="Q162" i="34"/>
  <c r="O164" i="34"/>
  <c r="Q166" i="34"/>
  <c r="P167" i="34"/>
  <c r="O168" i="34"/>
  <c r="Q170" i="34"/>
  <c r="P171" i="34"/>
  <c r="Q174" i="34"/>
  <c r="P175" i="34"/>
  <c r="O176" i="34"/>
  <c r="Q178" i="34"/>
  <c r="O180" i="34"/>
  <c r="Q182" i="34"/>
  <c r="P183" i="34"/>
  <c r="O184" i="34"/>
  <c r="Q186" i="34"/>
  <c r="P187" i="34"/>
  <c r="O188" i="34"/>
  <c r="Q190" i="34"/>
  <c r="P191" i="34"/>
  <c r="O192" i="34"/>
  <c r="Q194" i="34"/>
  <c r="P195" i="34"/>
  <c r="O196" i="34"/>
  <c r="Q198" i="34"/>
  <c r="P199" i="34"/>
  <c r="O200" i="34"/>
  <c r="Q202" i="34"/>
  <c r="P203" i="34"/>
  <c r="O204" i="34"/>
  <c r="Q206" i="34"/>
  <c r="P207" i="34"/>
  <c r="O208" i="34"/>
  <c r="Q210" i="34"/>
  <c r="P211" i="34"/>
  <c r="O212" i="34"/>
  <c r="Q214" i="34"/>
  <c r="P215" i="34"/>
  <c r="O216" i="34"/>
  <c r="Q218" i="34"/>
  <c r="Q222" i="34"/>
  <c r="P223" i="34"/>
  <c r="O224" i="34"/>
  <c r="Q226" i="34"/>
  <c r="O228" i="34"/>
  <c r="Q230" i="34"/>
  <c r="P231" i="34"/>
  <c r="O232" i="34"/>
  <c r="Q234" i="34"/>
  <c r="P235" i="34"/>
  <c r="O236" i="34"/>
  <c r="Q238" i="34"/>
  <c r="P239" i="34"/>
  <c r="O240" i="34"/>
  <c r="Q242" i="34"/>
  <c r="P243" i="34"/>
  <c r="O244" i="34"/>
  <c r="Q246" i="34"/>
  <c r="P247" i="34"/>
  <c r="O248" i="34"/>
  <c r="Q250" i="34"/>
  <c r="P251" i="34"/>
  <c r="O252" i="34"/>
  <c r="Q254" i="34"/>
  <c r="P255" i="34"/>
  <c r="O256" i="34"/>
  <c r="Q258" i="34"/>
  <c r="Q233" i="34"/>
  <c r="P234" i="34"/>
  <c r="Q235" i="34"/>
  <c r="Q236" i="34"/>
  <c r="P237" i="34"/>
  <c r="O238" i="34"/>
  <c r="O239" i="34"/>
  <c r="P240" i="34"/>
  <c r="O241" i="34"/>
  <c r="Q249" i="34"/>
  <c r="P250" i="34"/>
  <c r="Q251" i="34"/>
  <c r="Q252" i="34"/>
  <c r="P253" i="34"/>
  <c r="O254" i="34"/>
  <c r="O255" i="34"/>
  <c r="P256" i="34"/>
  <c r="O257" i="34"/>
  <c r="Q260" i="34"/>
  <c r="P261" i="34"/>
  <c r="O262" i="34"/>
  <c r="Q264" i="34"/>
  <c r="P265" i="34"/>
  <c r="O266" i="34"/>
  <c r="Q268" i="34"/>
  <c r="P269" i="34"/>
  <c r="O270" i="34"/>
  <c r="Q272" i="34"/>
  <c r="P273" i="34"/>
  <c r="O274" i="34"/>
  <c r="Q276" i="34"/>
  <c r="P277" i="34"/>
  <c r="O278" i="34"/>
  <c r="Q280" i="34"/>
  <c r="P281" i="34"/>
  <c r="O282" i="34"/>
  <c r="Q284" i="34"/>
  <c r="P285" i="34"/>
  <c r="O286" i="34"/>
  <c r="Q288" i="34"/>
  <c r="P289" i="34"/>
  <c r="O290" i="34"/>
  <c r="Q292" i="34"/>
  <c r="P293" i="34"/>
  <c r="O294" i="34"/>
  <c r="Q296" i="34"/>
  <c r="P297" i="34"/>
  <c r="O298" i="34"/>
  <c r="Q300" i="34"/>
  <c r="P301" i="34"/>
  <c r="O302" i="34"/>
  <c r="Q304" i="34"/>
  <c r="P305" i="34"/>
  <c r="O306" i="34"/>
  <c r="Q308" i="34"/>
  <c r="P309" i="34"/>
  <c r="O310" i="34"/>
  <c r="Q312" i="34"/>
  <c r="P313" i="34"/>
  <c r="O314" i="34"/>
  <c r="Q316" i="34"/>
  <c r="P317" i="34"/>
  <c r="O318" i="34"/>
  <c r="Q320" i="34"/>
  <c r="P321" i="34"/>
  <c r="O322" i="34"/>
  <c r="Q324" i="34"/>
  <c r="P325" i="34"/>
  <c r="O326" i="34"/>
  <c r="Q328" i="34"/>
  <c r="P329" i="34"/>
  <c r="O330" i="34"/>
  <c r="Q332" i="34"/>
  <c r="P333" i="34"/>
  <c r="O334" i="34"/>
  <c r="Q336" i="34"/>
  <c r="P337" i="34"/>
  <c r="O338" i="34"/>
  <c r="Q340" i="34"/>
  <c r="P341" i="34"/>
  <c r="O342" i="34"/>
  <c r="O346" i="34"/>
  <c r="Q348" i="34"/>
  <c r="P349" i="34"/>
  <c r="O350" i="34"/>
  <c r="Q352" i="34"/>
  <c r="P353" i="34"/>
  <c r="O223" i="34"/>
  <c r="P228" i="34"/>
  <c r="O229" i="34"/>
  <c r="Q237" i="34"/>
  <c r="P238" i="34"/>
  <c r="Q239" i="34"/>
  <c r="Q240" i="34"/>
  <c r="P241" i="34"/>
  <c r="O242" i="34"/>
  <c r="O243" i="34"/>
  <c r="P244" i="34"/>
  <c r="O245" i="34"/>
  <c r="Q253" i="34"/>
  <c r="P254" i="34"/>
  <c r="Q255" i="34"/>
  <c r="Q256" i="34"/>
  <c r="P257" i="34"/>
  <c r="O258" i="34"/>
  <c r="O259" i="34"/>
  <c r="Q261" i="34"/>
  <c r="P262" i="34"/>
  <c r="O263" i="34"/>
  <c r="Q265" i="34"/>
  <c r="P266" i="34"/>
  <c r="O267" i="34"/>
  <c r="Q269" i="34"/>
  <c r="P270" i="34"/>
  <c r="O271" i="34"/>
  <c r="Q273" i="34"/>
  <c r="P274" i="34"/>
  <c r="O275" i="34"/>
  <c r="Q277" i="34"/>
  <c r="P278" i="34"/>
  <c r="O279" i="34"/>
  <c r="Q281" i="34"/>
  <c r="P282" i="34"/>
  <c r="O283" i="34"/>
  <c r="Q285" i="34"/>
  <c r="P286" i="34"/>
  <c r="O287" i="34"/>
  <c r="Q289" i="34"/>
  <c r="P290" i="34"/>
  <c r="O291" i="34"/>
  <c r="Q293" i="34"/>
  <c r="P294" i="34"/>
  <c r="O295" i="34"/>
  <c r="Q297" i="34"/>
  <c r="P298" i="34"/>
  <c r="O299" i="34"/>
  <c r="Q301" i="34"/>
  <c r="P302" i="34"/>
  <c r="O303" i="34"/>
  <c r="Q305" i="34"/>
  <c r="P306" i="34"/>
  <c r="O307" i="34"/>
  <c r="Q309" i="34"/>
  <c r="P310" i="34"/>
  <c r="O311" i="34"/>
  <c r="Q313" i="34"/>
  <c r="P314" i="34"/>
  <c r="O315" i="34"/>
  <c r="Q317" i="34"/>
  <c r="P318" i="34"/>
  <c r="O319" i="34"/>
  <c r="Q321" i="34"/>
  <c r="P322" i="34"/>
  <c r="O323" i="34"/>
  <c r="Q325" i="34"/>
  <c r="P326" i="34"/>
  <c r="O327" i="34"/>
  <c r="Q329" i="34"/>
  <c r="P330" i="34"/>
  <c r="O331" i="34"/>
  <c r="Q333" i="34"/>
  <c r="P334" i="34"/>
  <c r="O335" i="34"/>
  <c r="Q337" i="34"/>
  <c r="P338" i="34"/>
  <c r="O339" i="34"/>
  <c r="Q341" i="34"/>
  <c r="P342" i="34"/>
  <c r="O343" i="34"/>
  <c r="P346" i="34"/>
  <c r="O347" i="34"/>
  <c r="P225" i="34"/>
  <c r="O226" i="34"/>
  <c r="Q228" i="34"/>
  <c r="P229" i="34"/>
  <c r="O230" i="34"/>
  <c r="O231" i="34"/>
  <c r="P232" i="34"/>
  <c r="O233" i="34"/>
  <c r="Q241" i="34"/>
  <c r="P242" i="34"/>
  <c r="Q243" i="34"/>
  <c r="Q244" i="34"/>
  <c r="P245" i="34"/>
  <c r="O246" i="34"/>
  <c r="O247" i="34"/>
  <c r="P248" i="34"/>
  <c r="O249" i="34"/>
  <c r="Q257" i="34"/>
  <c r="P258" i="34"/>
  <c r="P259" i="34"/>
  <c r="O260" i="34"/>
  <c r="Q262" i="34"/>
  <c r="P263" i="34"/>
  <c r="O264" i="34"/>
  <c r="Q266" i="34"/>
  <c r="P267" i="34"/>
  <c r="O268" i="34"/>
  <c r="Q270" i="34"/>
  <c r="P271" i="34"/>
  <c r="O272" i="34"/>
  <c r="Q274" i="34"/>
  <c r="P275" i="34"/>
  <c r="O276" i="34"/>
  <c r="Q278" i="34"/>
  <c r="P279" i="34"/>
  <c r="O280" i="34"/>
  <c r="Q282" i="34"/>
  <c r="P283" i="34"/>
  <c r="O284" i="34"/>
  <c r="Q286" i="34"/>
  <c r="P287" i="34"/>
  <c r="O288" i="34"/>
  <c r="Q290" i="34"/>
  <c r="P291" i="34"/>
  <c r="O292" i="34"/>
  <c r="Q294" i="34"/>
  <c r="P295" i="34"/>
  <c r="O296" i="34"/>
  <c r="Q298" i="34"/>
  <c r="P299" i="34"/>
  <c r="O300" i="34"/>
  <c r="Q302" i="34"/>
  <c r="P303" i="34"/>
  <c r="O304" i="34"/>
  <c r="Q306" i="34"/>
  <c r="P307" i="34"/>
  <c r="O308" i="34"/>
  <c r="Q310" i="34"/>
  <c r="P311" i="34"/>
  <c r="O312" i="34"/>
  <c r="Q314" i="34"/>
  <c r="P315" i="34"/>
  <c r="O316" i="34"/>
  <c r="Q318" i="34"/>
  <c r="P319" i="34"/>
  <c r="O320" i="34"/>
  <c r="Q322" i="34"/>
  <c r="P323" i="34"/>
  <c r="O324" i="34"/>
  <c r="Q326" i="34"/>
  <c r="P327" i="34"/>
  <c r="O328" i="34"/>
  <c r="Q330" i="34"/>
  <c r="P331" i="34"/>
  <c r="O332" i="34"/>
  <c r="Q334" i="34"/>
  <c r="P335" i="34"/>
  <c r="O336" i="34"/>
  <c r="Q338" i="34"/>
  <c r="P339" i="34"/>
  <c r="O340" i="34"/>
  <c r="Q342" i="34"/>
  <c r="Q225" i="34"/>
  <c r="P226" i="34"/>
  <c r="Q229" i="34"/>
  <c r="P230" i="34"/>
  <c r="Q231" i="34"/>
  <c r="Q232" i="34"/>
  <c r="P233" i="34"/>
  <c r="O234" i="34"/>
  <c r="O235" i="34"/>
  <c r="P236" i="34"/>
  <c r="O237" i="34"/>
  <c r="Q245" i="34"/>
  <c r="P246" i="34"/>
  <c r="Q247" i="34"/>
  <c r="Q248" i="34"/>
  <c r="P249" i="34"/>
  <c r="O250" i="34"/>
  <c r="O251" i="34"/>
  <c r="P252" i="34"/>
  <c r="O253" i="34"/>
  <c r="Q259" i="34"/>
  <c r="P260" i="34"/>
  <c r="O261" i="34"/>
  <c r="Q263" i="34"/>
  <c r="P264" i="34"/>
  <c r="O265" i="34"/>
  <c r="Q267" i="34"/>
  <c r="P268" i="34"/>
  <c r="O269" i="34"/>
  <c r="Q271" i="34"/>
  <c r="P272" i="34"/>
  <c r="O273" i="34"/>
  <c r="Q275" i="34"/>
  <c r="P276" i="34"/>
  <c r="O277" i="34"/>
  <c r="Q279" i="34"/>
  <c r="P280" i="34"/>
  <c r="O281" i="34"/>
  <c r="Q283" i="34"/>
  <c r="P284" i="34"/>
  <c r="O285" i="34"/>
  <c r="Q287" i="34"/>
  <c r="P288" i="34"/>
  <c r="O289" i="34"/>
  <c r="Q291" i="34"/>
  <c r="P292" i="34"/>
  <c r="O293" i="34"/>
  <c r="Q295" i="34"/>
  <c r="P296" i="34"/>
  <c r="O297" i="34"/>
  <c r="Q299" i="34"/>
  <c r="P300" i="34"/>
  <c r="O301" i="34"/>
  <c r="Q303" i="34"/>
  <c r="P304" i="34"/>
  <c r="O305" i="34"/>
  <c r="Q307" i="34"/>
  <c r="P308" i="34"/>
  <c r="O309" i="34"/>
  <c r="Q311" i="34"/>
  <c r="P312" i="34"/>
  <c r="O313" i="34"/>
  <c r="Q315" i="34"/>
  <c r="P316" i="34"/>
  <c r="O317" i="34"/>
  <c r="Q319" i="34"/>
  <c r="P320" i="34"/>
  <c r="O321" i="34"/>
  <c r="Q323" i="34"/>
  <c r="P324" i="34"/>
  <c r="O325" i="34"/>
  <c r="Q327" i="34"/>
  <c r="P328" i="34"/>
  <c r="O329" i="34"/>
  <c r="Q331" i="34"/>
  <c r="P332" i="34"/>
  <c r="O333" i="34"/>
  <c r="Q335" i="34"/>
  <c r="P336" i="34"/>
  <c r="O337" i="34"/>
  <c r="Q339" i="34"/>
  <c r="P340" i="34"/>
  <c r="O341" i="34"/>
  <c r="Q343" i="34"/>
  <c r="Q347" i="34"/>
  <c r="P348" i="34"/>
  <c r="O349" i="34"/>
  <c r="Q351" i="34"/>
  <c r="P352" i="34"/>
  <c r="O353" i="34"/>
  <c r="Q355" i="34"/>
  <c r="P356" i="34"/>
  <c r="O357" i="34"/>
  <c r="Q359" i="34"/>
  <c r="P360" i="34"/>
  <c r="O361" i="34"/>
  <c r="Q363" i="34"/>
  <c r="P364" i="34"/>
  <c r="O365" i="34"/>
  <c r="Q367" i="34"/>
  <c r="P368" i="34"/>
  <c r="O369" i="34"/>
  <c r="Q371" i="34"/>
  <c r="P372" i="34"/>
  <c r="O373" i="34"/>
  <c r="Q375" i="34"/>
  <c r="P376" i="34"/>
  <c r="O377" i="34"/>
  <c r="Q379" i="34"/>
  <c r="P380" i="34"/>
  <c r="O381" i="34"/>
  <c r="Q383" i="34"/>
  <c r="P384" i="34"/>
  <c r="P347" i="34"/>
  <c r="Q353" i="34"/>
  <c r="P354" i="34"/>
  <c r="O355" i="34"/>
  <c r="O356" i="34"/>
  <c r="P357" i="34"/>
  <c r="O358" i="34"/>
  <c r="Q366" i="34"/>
  <c r="P367" i="34"/>
  <c r="Q368" i="34"/>
  <c r="Q369" i="34"/>
  <c r="P370" i="34"/>
  <c r="O371" i="34"/>
  <c r="O372" i="34"/>
  <c r="P373" i="34"/>
  <c r="O374" i="34"/>
  <c r="Q382" i="34"/>
  <c r="P383" i="34"/>
  <c r="Q384" i="34"/>
  <c r="P385" i="34"/>
  <c r="O386" i="34"/>
  <c r="Q388" i="34"/>
  <c r="P389" i="34"/>
  <c r="O390" i="34"/>
  <c r="Q392" i="34"/>
  <c r="P393" i="34"/>
  <c r="O394" i="34"/>
  <c r="Q396" i="34"/>
  <c r="P397" i="34"/>
  <c r="O398" i="34"/>
  <c r="Q400" i="34"/>
  <c r="P401" i="34"/>
  <c r="O402" i="34"/>
  <c r="Q404" i="34"/>
  <c r="P405" i="34"/>
  <c r="O406" i="34"/>
  <c r="Q408" i="34"/>
  <c r="P409" i="34"/>
  <c r="O410" i="34"/>
  <c r="Q412" i="34"/>
  <c r="P413" i="34"/>
  <c r="O414" i="34"/>
  <c r="Q416" i="34"/>
  <c r="P417" i="34"/>
  <c r="O418" i="34"/>
  <c r="Q420" i="34"/>
  <c r="O426" i="34"/>
  <c r="Q432" i="34"/>
  <c r="P433" i="34"/>
  <c r="O434" i="34"/>
  <c r="P437" i="34"/>
  <c r="O438" i="34"/>
  <c r="O442" i="34"/>
  <c r="Q444" i="34"/>
  <c r="P445" i="34"/>
  <c r="O446" i="34"/>
  <c r="Q448" i="34"/>
  <c r="P449" i="34"/>
  <c r="O450" i="34"/>
  <c r="O454" i="34"/>
  <c r="Q456" i="34"/>
  <c r="P457" i="34"/>
  <c r="O458" i="34"/>
  <c r="Q460" i="34"/>
  <c r="P461" i="34"/>
  <c r="O462" i="34"/>
  <c r="Q464" i="34"/>
  <c r="P465" i="34"/>
  <c r="O466" i="34"/>
  <c r="Q468" i="34"/>
  <c r="O470" i="34"/>
  <c r="Q476" i="34"/>
  <c r="P477" i="34"/>
  <c r="O478" i="34"/>
  <c r="Q480" i="34"/>
  <c r="P481" i="34"/>
  <c r="O482" i="34"/>
  <c r="Q484" i="34"/>
  <c r="P485" i="34"/>
  <c r="O486" i="34"/>
  <c r="P343" i="34"/>
  <c r="Q346" i="34"/>
  <c r="P350" i="34"/>
  <c r="O351" i="34"/>
  <c r="O352" i="34"/>
  <c r="Q354" i="34"/>
  <c r="P355" i="34"/>
  <c r="Q356" i="34"/>
  <c r="Q357" i="34"/>
  <c r="P358" i="34"/>
  <c r="O359" i="34"/>
  <c r="O360" i="34"/>
  <c r="P361" i="34"/>
  <c r="O362" i="34"/>
  <c r="Q370" i="34"/>
  <c r="P371" i="34"/>
  <c r="Q372" i="34"/>
  <c r="Q373" i="34"/>
  <c r="P374" i="34"/>
  <c r="O375" i="34"/>
  <c r="O376" i="34"/>
  <c r="P377" i="34"/>
  <c r="O378" i="34"/>
  <c r="Q385" i="34"/>
  <c r="P386" i="34"/>
  <c r="O387" i="34"/>
  <c r="Q389" i="34"/>
  <c r="P390" i="34"/>
  <c r="O391" i="34"/>
  <c r="Q393" i="34"/>
  <c r="P394" i="34"/>
  <c r="O395" i="34"/>
  <c r="Q397" i="34"/>
  <c r="P398" i="34"/>
  <c r="O399" i="34"/>
  <c r="Q401" i="34"/>
  <c r="P402" i="34"/>
  <c r="O403" i="34"/>
  <c r="Q405" i="34"/>
  <c r="P406" i="34"/>
  <c r="O407" i="34"/>
  <c r="Q409" i="34"/>
  <c r="P410" i="34"/>
  <c r="O411" i="34"/>
  <c r="Q413" i="34"/>
  <c r="P414" i="34"/>
  <c r="O415" i="34"/>
  <c r="Q417" i="34"/>
  <c r="P418" i="34"/>
  <c r="O419" i="34"/>
  <c r="O423" i="34"/>
  <c r="P426" i="34"/>
  <c r="O427" i="34"/>
  <c r="O431" i="34"/>
  <c r="Q433" i="34"/>
  <c r="P434" i="34"/>
  <c r="Q437" i="34"/>
  <c r="P438" i="34"/>
  <c r="O439" i="34"/>
  <c r="P442" i="34"/>
  <c r="Q445" i="34"/>
  <c r="P446" i="34"/>
  <c r="O447" i="34"/>
  <c r="Q449" i="34"/>
  <c r="P450" i="34"/>
  <c r="O451" i="34"/>
  <c r="P454" i="34"/>
  <c r="O455" i="34"/>
  <c r="Q457" i="34"/>
  <c r="P458" i="34"/>
  <c r="O459" i="34"/>
  <c r="Q461" i="34"/>
  <c r="P462" i="34"/>
  <c r="Q465" i="34"/>
  <c r="P466" i="34"/>
  <c r="O467" i="34"/>
  <c r="P470" i="34"/>
  <c r="O471" i="34"/>
  <c r="Q349" i="34"/>
  <c r="Q350" i="34"/>
  <c r="P351" i="34"/>
  <c r="Q358" i="34"/>
  <c r="P359" i="34"/>
  <c r="Q360" i="34"/>
  <c r="Q361" i="34"/>
  <c r="P362" i="34"/>
  <c r="O363" i="34"/>
  <c r="O364" i="34"/>
  <c r="P365" i="34"/>
  <c r="O366" i="34"/>
  <c r="Q374" i="34"/>
  <c r="P375" i="34"/>
  <c r="Q376" i="34"/>
  <c r="Q377" i="34"/>
  <c r="P378" i="34"/>
  <c r="O379" i="34"/>
  <c r="O380" i="34"/>
  <c r="P381" i="34"/>
  <c r="O382" i="34"/>
  <c r="Q386" i="34"/>
  <c r="P387" i="34"/>
  <c r="O388" i="34"/>
  <c r="Q390" i="34"/>
  <c r="P391" i="34"/>
  <c r="O392" i="34"/>
  <c r="Q394" i="34"/>
  <c r="P395" i="34"/>
  <c r="O396" i="34"/>
  <c r="Q398" i="34"/>
  <c r="P399" i="34"/>
  <c r="O400" i="34"/>
  <c r="Q402" i="34"/>
  <c r="P403" i="34"/>
  <c r="O404" i="34"/>
  <c r="Q406" i="34"/>
  <c r="P407" i="34"/>
  <c r="O408" i="34"/>
  <c r="Q410" i="34"/>
  <c r="P411" i="34"/>
  <c r="O412" i="34"/>
  <c r="Q414" i="34"/>
  <c r="P415" i="34"/>
  <c r="O416" i="34"/>
  <c r="Q418" i="34"/>
  <c r="P419" i="34"/>
  <c r="O420" i="34"/>
  <c r="P423" i="34"/>
  <c r="Q426" i="34"/>
  <c r="P427" i="34"/>
  <c r="P431" i="34"/>
  <c r="O432" i="34"/>
  <c r="Q434" i="34"/>
  <c r="Q438" i="34"/>
  <c r="P439" i="34"/>
  <c r="Q442" i="34"/>
  <c r="O444" i="34"/>
  <c r="Q446" i="34"/>
  <c r="P447" i="34"/>
  <c r="O448" i="34"/>
  <c r="Q450" i="34"/>
  <c r="P451" i="34"/>
  <c r="Q454" i="34"/>
  <c r="P455" i="34"/>
  <c r="O456" i="34"/>
  <c r="Q458" i="34"/>
  <c r="P459" i="34"/>
  <c r="O460" i="34"/>
  <c r="Q462" i="34"/>
  <c r="O464" i="34"/>
  <c r="Q466" i="34"/>
  <c r="P467" i="34"/>
  <c r="O468" i="34"/>
  <c r="Q470" i="34"/>
  <c r="O348" i="34"/>
  <c r="O354" i="34"/>
  <c r="Q362" i="34"/>
  <c r="P363" i="34"/>
  <c r="Q364" i="34"/>
  <c r="Q365" i="34"/>
  <c r="P366" i="34"/>
  <c r="O367" i="34"/>
  <c r="O368" i="34"/>
  <c r="P369" i="34"/>
  <c r="O370" i="34"/>
  <c r="Q378" i="34"/>
  <c r="P379" i="34"/>
  <c r="Q380" i="34"/>
  <c r="Q381" i="34"/>
  <c r="P382" i="34"/>
  <c r="O383" i="34"/>
  <c r="O384" i="34"/>
  <c r="O385" i="34"/>
  <c r="Q387" i="34"/>
  <c r="P388" i="34"/>
  <c r="O389" i="34"/>
  <c r="Q391" i="34"/>
  <c r="P392" i="34"/>
  <c r="O393" i="34"/>
  <c r="Q395" i="34"/>
  <c r="P396" i="34"/>
  <c r="O397" i="34"/>
  <c r="Q399" i="34"/>
  <c r="P400" i="34"/>
  <c r="O401" i="34"/>
  <c r="Q403" i="34"/>
  <c r="P404" i="34"/>
  <c r="O405" i="34"/>
  <c r="Q407" i="34"/>
  <c r="P408" i="34"/>
  <c r="O409" i="34"/>
  <c r="Q411" i="34"/>
  <c r="P412" i="34"/>
  <c r="O413" i="34"/>
  <c r="Q415" i="34"/>
  <c r="P416" i="34"/>
  <c r="O417" i="34"/>
  <c r="Q419" i="34"/>
  <c r="P420" i="34"/>
  <c r="Q423" i="34"/>
  <c r="Q427" i="34"/>
  <c r="Q431" i="34"/>
  <c r="P432" i="34"/>
  <c r="O433" i="34"/>
  <c r="O437" i="34"/>
  <c r="Q439" i="34"/>
  <c r="P444" i="34"/>
  <c r="O445" i="34"/>
  <c r="Q447" i="34"/>
  <c r="P448" i="34"/>
  <c r="O449" i="34"/>
  <c r="Q451" i="34"/>
  <c r="Q455" i="34"/>
  <c r="P456" i="34"/>
  <c r="O457" i="34"/>
  <c r="Q459" i="34"/>
  <c r="P460" i="34"/>
  <c r="O461" i="34"/>
  <c r="P464" i="34"/>
  <c r="O465" i="34"/>
  <c r="Q467" i="34"/>
  <c r="P468" i="34"/>
  <c r="Q471" i="34"/>
  <c r="Q475" i="34"/>
  <c r="P476" i="34"/>
  <c r="O477" i="34"/>
  <c r="Q479" i="34"/>
  <c r="P480" i="34"/>
  <c r="O481" i="34"/>
  <c r="Q483" i="34"/>
  <c r="P484" i="34"/>
  <c r="O485" i="34"/>
  <c r="Q487" i="34"/>
  <c r="P488" i="34"/>
  <c r="Q491" i="34"/>
  <c r="P492" i="34"/>
  <c r="Q495" i="34"/>
  <c r="P496" i="34"/>
  <c r="O497" i="34"/>
  <c r="Q499" i="34"/>
  <c r="P500" i="34"/>
  <c r="O501" i="34"/>
  <c r="Q503" i="34"/>
  <c r="O505" i="34"/>
  <c r="Q507" i="34"/>
  <c r="P508" i="34"/>
  <c r="O509" i="34"/>
  <c r="Q511" i="34"/>
  <c r="Q515" i="34"/>
  <c r="P516" i="34"/>
  <c r="O517" i="34"/>
  <c r="Q519" i="34"/>
  <c r="Q477" i="34"/>
  <c r="Q478" i="34"/>
  <c r="P479" i="34"/>
  <c r="Q485" i="34"/>
  <c r="Q486" i="34"/>
  <c r="P487" i="34"/>
  <c r="Q488" i="34"/>
  <c r="P490" i="34"/>
  <c r="O491" i="34"/>
  <c r="O492" i="34"/>
  <c r="O494" i="34"/>
  <c r="Q502" i="34"/>
  <c r="P503" i="34"/>
  <c r="Q505" i="34"/>
  <c r="P506" i="34"/>
  <c r="O507" i="34"/>
  <c r="O508" i="34"/>
  <c r="P509" i="34"/>
  <c r="O510" i="34"/>
  <c r="Q518" i="34"/>
  <c r="P519" i="34"/>
  <c r="P520" i="34"/>
  <c r="O521" i="34"/>
  <c r="Q523" i="34"/>
  <c r="P524" i="34"/>
  <c r="O525" i="34"/>
  <c r="O529" i="34"/>
  <c r="Q531" i="34"/>
  <c r="P532" i="34"/>
  <c r="Q535" i="34"/>
  <c r="P536" i="34"/>
  <c r="O537" i="34"/>
  <c r="Q539" i="34"/>
  <c r="P540" i="34"/>
  <c r="O541" i="34"/>
  <c r="Q543" i="34"/>
  <c r="P544" i="34"/>
  <c r="Q547" i="34"/>
  <c r="P548" i="34"/>
  <c r="O549" i="34"/>
  <c r="Q551" i="34"/>
  <c r="P552" i="34"/>
  <c r="O553" i="34"/>
  <c r="Q555" i="34"/>
  <c r="P556" i="34"/>
  <c r="O557" i="34"/>
  <c r="Q559" i="34"/>
  <c r="P560" i="34"/>
  <c r="O561" i="34"/>
  <c r="Q563" i="34"/>
  <c r="P564" i="34"/>
  <c r="O565" i="34"/>
  <c r="Q567" i="34"/>
  <c r="P568" i="34"/>
  <c r="O569" i="34"/>
  <c r="Q571" i="34"/>
  <c r="P572" i="34"/>
  <c r="O573" i="34"/>
  <c r="Q575" i="34"/>
  <c r="P576" i="34"/>
  <c r="O577" i="34"/>
  <c r="Q579" i="34"/>
  <c r="P580" i="34"/>
  <c r="O581" i="34"/>
  <c r="Q583" i="34"/>
  <c r="P584" i="34"/>
  <c r="O585" i="34"/>
  <c r="Q587" i="34"/>
  <c r="P588" i="34"/>
  <c r="O589" i="34"/>
  <c r="Q591" i="34"/>
  <c r="P592" i="34"/>
  <c r="O593" i="34"/>
  <c r="Q595" i="34"/>
  <c r="P596" i="34"/>
  <c r="O597" i="34"/>
  <c r="Q599" i="34"/>
  <c r="P600" i="34"/>
  <c r="O601" i="34"/>
  <c r="Q603" i="34"/>
  <c r="P604" i="34"/>
  <c r="O605" i="34"/>
  <c r="Q607" i="34"/>
  <c r="P608" i="34"/>
  <c r="O609" i="34"/>
  <c r="Q611" i="34"/>
  <c r="P612" i="34"/>
  <c r="O613" i="34"/>
  <c r="Q615" i="34"/>
  <c r="P616" i="34"/>
  <c r="O617" i="34"/>
  <c r="Q619" i="34"/>
  <c r="P620" i="34"/>
  <c r="O621" i="34"/>
  <c r="Q623" i="34"/>
  <c r="P624" i="34"/>
  <c r="O625" i="34"/>
  <c r="Q627" i="34"/>
  <c r="P628" i="34"/>
  <c r="O629" i="34"/>
  <c r="Q631" i="34"/>
  <c r="P632" i="34"/>
  <c r="O633" i="34"/>
  <c r="Q635" i="34"/>
  <c r="P636" i="34"/>
  <c r="O637" i="34"/>
  <c r="Q639" i="34"/>
  <c r="P640" i="34"/>
  <c r="O641" i="34"/>
  <c r="Q643" i="34"/>
  <c r="P644" i="34"/>
  <c r="O645" i="34"/>
  <c r="Q647" i="34"/>
  <c r="P648" i="34"/>
  <c r="O649" i="34"/>
  <c r="Q651" i="34"/>
  <c r="P652" i="34"/>
  <c r="O653" i="34"/>
  <c r="P656" i="34"/>
  <c r="Q659" i="34"/>
  <c r="P660" i="34"/>
  <c r="O661" i="34"/>
  <c r="Q663" i="34"/>
  <c r="P664" i="34"/>
  <c r="O665" i="34"/>
  <c r="Q667" i="34"/>
  <c r="P668" i="34"/>
  <c r="O669" i="34"/>
  <c r="Q671" i="34"/>
  <c r="P672" i="34"/>
  <c r="O673" i="34"/>
  <c r="Q675" i="34"/>
  <c r="P676" i="34"/>
  <c r="O677" i="34"/>
  <c r="Q679" i="34"/>
  <c r="P680" i="34"/>
  <c r="O681" i="34"/>
  <c r="Q683" i="34"/>
  <c r="P684" i="34"/>
  <c r="O685" i="34"/>
  <c r="P471" i="34"/>
  <c r="O475" i="34"/>
  <c r="O476" i="34"/>
  <c r="P482" i="34"/>
  <c r="O483" i="34"/>
  <c r="O484" i="34"/>
  <c r="Q490" i="34"/>
  <c r="P491" i="34"/>
  <c r="Q492" i="34"/>
  <c r="P494" i="34"/>
  <c r="O495" i="34"/>
  <c r="O496" i="34"/>
  <c r="P497" i="34"/>
  <c r="Q506" i="34"/>
  <c r="P507" i="34"/>
  <c r="Q508" i="34"/>
  <c r="Q509" i="34"/>
  <c r="P510" i="34"/>
  <c r="O511" i="34"/>
  <c r="Q520" i="34"/>
  <c r="P521" i="34"/>
  <c r="O522" i="34"/>
  <c r="Q524" i="34"/>
  <c r="P525" i="34"/>
  <c r="P529" i="34"/>
  <c r="O530" i="34"/>
  <c r="Q532" i="34"/>
  <c r="Q536" i="34"/>
  <c r="P537" i="34"/>
  <c r="O538" i="34"/>
  <c r="Q540" i="34"/>
  <c r="P541" i="34"/>
  <c r="O542" i="34"/>
  <c r="Q544" i="34"/>
  <c r="O546" i="34"/>
  <c r="Q548" i="34"/>
  <c r="P549" i="34"/>
  <c r="O550" i="34"/>
  <c r="Q552" i="34"/>
  <c r="P553" i="34"/>
  <c r="O554" i="34"/>
  <c r="Q556" i="34"/>
  <c r="P557" i="34"/>
  <c r="O558" i="34"/>
  <c r="Q560" i="34"/>
  <c r="P561" i="34"/>
  <c r="O562" i="34"/>
  <c r="Q564" i="34"/>
  <c r="P565" i="34"/>
  <c r="O566" i="34"/>
  <c r="Q568" i="34"/>
  <c r="P569" i="34"/>
  <c r="O570" i="34"/>
  <c r="Q572" i="34"/>
  <c r="P573" i="34"/>
  <c r="O574" i="34"/>
  <c r="Q576" i="34"/>
  <c r="P577" i="34"/>
  <c r="O578" i="34"/>
  <c r="Q580" i="34"/>
  <c r="P581" i="34"/>
  <c r="Q584" i="34"/>
  <c r="P585" i="34"/>
  <c r="O586" i="34"/>
  <c r="Q588" i="34"/>
  <c r="P589" i="34"/>
  <c r="O590" i="34"/>
  <c r="Q592" i="34"/>
  <c r="P593" i="34"/>
  <c r="O594" i="34"/>
  <c r="Q596" i="34"/>
  <c r="P597" i="34"/>
  <c r="O598" i="34"/>
  <c r="Q600" i="34"/>
  <c r="P601" i="34"/>
  <c r="O602" i="34"/>
  <c r="Q604" i="34"/>
  <c r="P605" i="34"/>
  <c r="O606" i="34"/>
  <c r="Q608" i="34"/>
  <c r="P609" i="34"/>
  <c r="O610" i="34"/>
  <c r="Q612" i="34"/>
  <c r="P613" i="34"/>
  <c r="O614" i="34"/>
  <c r="Q616" i="34"/>
  <c r="P617" i="34"/>
  <c r="O618" i="34"/>
  <c r="Q620" i="34"/>
  <c r="P621" i="34"/>
  <c r="O622" i="34"/>
  <c r="Q624" i="34"/>
  <c r="P625" i="34"/>
  <c r="O626" i="34"/>
  <c r="Q628" i="34"/>
  <c r="P629" i="34"/>
  <c r="O630" i="34"/>
  <c r="Q632" i="34"/>
  <c r="P633" i="34"/>
  <c r="O634" i="34"/>
  <c r="Q636" i="34"/>
  <c r="P637" i="34"/>
  <c r="O638" i="34"/>
  <c r="Q640" i="34"/>
  <c r="P641" i="34"/>
  <c r="O642" i="34"/>
  <c r="Q644" i="34"/>
  <c r="P645" i="34"/>
  <c r="O646" i="34"/>
  <c r="Q648" i="34"/>
  <c r="P649" i="34"/>
  <c r="O650" i="34"/>
  <c r="Q652" i="34"/>
  <c r="P653" i="34"/>
  <c r="O654" i="34"/>
  <c r="Q656" i="34"/>
  <c r="O658" i="34"/>
  <c r="Q660" i="34"/>
  <c r="P661" i="34"/>
  <c r="O662" i="34"/>
  <c r="Q664" i="34"/>
  <c r="P665" i="34"/>
  <c r="O666" i="34"/>
  <c r="Q668" i="34"/>
  <c r="P669" i="34"/>
  <c r="O670" i="34"/>
  <c r="P475" i="34"/>
  <c r="Q481" i="34"/>
  <c r="Q482" i="34"/>
  <c r="P483" i="34"/>
  <c r="Q494" i="34"/>
  <c r="P495" i="34"/>
  <c r="Q496" i="34"/>
  <c r="Q497" i="34"/>
  <c r="O499" i="34"/>
  <c r="O500" i="34"/>
  <c r="P501" i="34"/>
  <c r="O502" i="34"/>
  <c r="Q510" i="34"/>
  <c r="P511" i="34"/>
  <c r="O515" i="34"/>
  <c r="O516" i="34"/>
  <c r="P517" i="34"/>
  <c r="O518" i="34"/>
  <c r="Q521" i="34"/>
  <c r="P522" i="34"/>
  <c r="O523" i="34"/>
  <c r="Q525" i="34"/>
  <c r="Q529" i="34"/>
  <c r="P530" i="34"/>
  <c r="O531" i="34"/>
  <c r="O535" i="34"/>
  <c r="Q537" i="34"/>
  <c r="P538" i="34"/>
  <c r="O539" i="34"/>
  <c r="Q541" i="34"/>
  <c r="P542" i="34"/>
  <c r="O543" i="34"/>
  <c r="P546" i="34"/>
  <c r="O547" i="34"/>
  <c r="Q549" i="34"/>
  <c r="P550" i="34"/>
  <c r="O551" i="34"/>
  <c r="Q553" i="34"/>
  <c r="P554" i="34"/>
  <c r="O555" i="34"/>
  <c r="Q557" i="34"/>
  <c r="P558" i="34"/>
  <c r="O559" i="34"/>
  <c r="Q561" i="34"/>
  <c r="P562" i="34"/>
  <c r="O563" i="34"/>
  <c r="Q565" i="34"/>
  <c r="P566" i="34"/>
  <c r="O567" i="34"/>
  <c r="Q569" i="34"/>
  <c r="P570" i="34"/>
  <c r="O571" i="34"/>
  <c r="Q573" i="34"/>
  <c r="P574" i="34"/>
  <c r="O575" i="34"/>
  <c r="Q577" i="34"/>
  <c r="P578" i="34"/>
  <c r="O579" i="34"/>
  <c r="Q581" i="34"/>
  <c r="O583" i="34"/>
  <c r="Q585" i="34"/>
  <c r="P586" i="34"/>
  <c r="O587" i="34"/>
  <c r="Q589" i="34"/>
  <c r="P590" i="34"/>
  <c r="O591" i="34"/>
  <c r="Q593" i="34"/>
  <c r="P594" i="34"/>
  <c r="O595" i="34"/>
  <c r="Q597" i="34"/>
  <c r="P598" i="34"/>
  <c r="O599" i="34"/>
  <c r="Q601" i="34"/>
  <c r="P602" i="34"/>
  <c r="O603" i="34"/>
  <c r="Q605" i="34"/>
  <c r="P606" i="34"/>
  <c r="O607" i="34"/>
  <c r="Q609" i="34"/>
  <c r="P610" i="34"/>
  <c r="O611" i="34"/>
  <c r="Q613" i="34"/>
  <c r="P614" i="34"/>
  <c r="O615" i="34"/>
  <c r="Q617" i="34"/>
  <c r="P618" i="34"/>
  <c r="O619" i="34"/>
  <c r="Q621" i="34"/>
  <c r="P622" i="34"/>
  <c r="O623" i="34"/>
  <c r="Q625" i="34"/>
  <c r="P626" i="34"/>
  <c r="O627" i="34"/>
  <c r="Q629" i="34"/>
  <c r="P630" i="34"/>
  <c r="O631" i="34"/>
  <c r="Q633" i="34"/>
  <c r="P634" i="34"/>
  <c r="O635" i="34"/>
  <c r="Q637" i="34"/>
  <c r="P638" i="34"/>
  <c r="O639" i="34"/>
  <c r="Q641" i="34"/>
  <c r="P642" i="34"/>
  <c r="O643" i="34"/>
  <c r="Q645" i="34"/>
  <c r="P646" i="34"/>
  <c r="O647" i="34"/>
  <c r="Q649" i="34"/>
  <c r="P650" i="34"/>
  <c r="O651" i="34"/>
  <c r="Q653" i="34"/>
  <c r="P654" i="34"/>
  <c r="P658" i="34"/>
  <c r="O659" i="34"/>
  <c r="Q661" i="34"/>
  <c r="P662" i="34"/>
  <c r="O663" i="34"/>
  <c r="Q665" i="34"/>
  <c r="P478" i="34"/>
  <c r="O479" i="34"/>
  <c r="O480" i="34"/>
  <c r="P486" i="34"/>
  <c r="O487" i="34"/>
  <c r="O488" i="34"/>
  <c r="O490" i="34"/>
  <c r="P499" i="34"/>
  <c r="Q500" i="34"/>
  <c r="Q501" i="34"/>
  <c r="P502" i="34"/>
  <c r="O503" i="34"/>
  <c r="P505" i="34"/>
  <c r="O506" i="34"/>
  <c r="P515" i="34"/>
  <c r="Q516" i="34"/>
  <c r="Q517" i="34"/>
  <c r="P518" i="34"/>
  <c r="O519" i="34"/>
  <c r="O520" i="34"/>
  <c r="Q522" i="34"/>
  <c r="P523" i="34"/>
  <c r="O524" i="34"/>
  <c r="Q530" i="34"/>
  <c r="P531" i="34"/>
  <c r="O532" i="34"/>
  <c r="P535" i="34"/>
  <c r="O536" i="34"/>
  <c r="Q538" i="34"/>
  <c r="P539" i="34"/>
  <c r="O540" i="34"/>
  <c r="Q542" i="34"/>
  <c r="P543" i="34"/>
  <c r="O544" i="34"/>
  <c r="Q546" i="34"/>
  <c r="P547" i="34"/>
  <c r="O548" i="34"/>
  <c r="Q550" i="34"/>
  <c r="P551" i="34"/>
  <c r="O552" i="34"/>
  <c r="Q554" i="34"/>
  <c r="P555" i="34"/>
  <c r="O556" i="34"/>
  <c r="Q558" i="34"/>
  <c r="P559" i="34"/>
  <c r="O560" i="34"/>
  <c r="Q562" i="34"/>
  <c r="P563" i="34"/>
  <c r="O564" i="34"/>
  <c r="Q566" i="34"/>
  <c r="P567" i="34"/>
  <c r="O568" i="34"/>
  <c r="Q570" i="34"/>
  <c r="P571" i="34"/>
  <c r="O572" i="34"/>
  <c r="Q574" i="34"/>
  <c r="P575" i="34"/>
  <c r="O576" i="34"/>
  <c r="Q578" i="34"/>
  <c r="P579" i="34"/>
  <c r="O580" i="34"/>
  <c r="P583" i="34"/>
  <c r="O584" i="34"/>
  <c r="Q586" i="34"/>
  <c r="P587" i="34"/>
  <c r="O588" i="34"/>
  <c r="Q590" i="34"/>
  <c r="P591" i="34"/>
  <c r="O592" i="34"/>
  <c r="Q594" i="34"/>
  <c r="P595" i="34"/>
  <c r="O596" i="34"/>
  <c r="Q598" i="34"/>
  <c r="P599" i="34"/>
  <c r="O600" i="34"/>
  <c r="Q602" i="34"/>
  <c r="P603" i="34"/>
  <c r="O604" i="34"/>
  <c r="Q606" i="34"/>
  <c r="P607" i="34"/>
  <c r="O608" i="34"/>
  <c r="Q610" i="34"/>
  <c r="P611" i="34"/>
  <c r="O612" i="34"/>
  <c r="Q614" i="34"/>
  <c r="P615" i="34"/>
  <c r="O616" i="34"/>
  <c r="Q618" i="34"/>
  <c r="P619" i="34"/>
  <c r="O620" i="34"/>
  <c r="Q622" i="34"/>
  <c r="P623" i="34"/>
  <c r="O624" i="34"/>
  <c r="Q626" i="34"/>
  <c r="P627" i="34"/>
  <c r="O628" i="34"/>
  <c r="Q630" i="34"/>
  <c r="P631" i="34"/>
  <c r="O632" i="34"/>
  <c r="Q634" i="34"/>
  <c r="P635" i="34"/>
  <c r="O636" i="34"/>
  <c r="Q638" i="34"/>
  <c r="P639" i="34"/>
  <c r="O640" i="34"/>
  <c r="Q642" i="34"/>
  <c r="P643" i="34"/>
  <c r="O644" i="34"/>
  <c r="Q646" i="34"/>
  <c r="P647" i="34"/>
  <c r="O648" i="34"/>
  <c r="Q650" i="34"/>
  <c r="P651" i="34"/>
  <c r="O652" i="34"/>
  <c r="Q654" i="34"/>
  <c r="O656" i="34"/>
  <c r="Q658" i="34"/>
  <c r="P659" i="34"/>
  <c r="O660" i="34"/>
  <c r="Q662" i="34"/>
  <c r="P663" i="34"/>
  <c r="O664" i="34"/>
  <c r="Q666" i="34"/>
  <c r="P667" i="34"/>
  <c r="O668" i="34"/>
  <c r="Q670" i="34"/>
  <c r="P671" i="34"/>
  <c r="O672" i="34"/>
  <c r="Q674" i="34"/>
  <c r="P675" i="34"/>
  <c r="O676" i="34"/>
  <c r="Q678" i="34"/>
  <c r="P679" i="34"/>
  <c r="O680" i="34"/>
  <c r="Q682" i="34"/>
  <c r="P683" i="34"/>
  <c r="O684" i="34"/>
  <c r="Q686" i="34"/>
  <c r="P687" i="34"/>
  <c r="O688" i="34"/>
  <c r="Q690" i="34"/>
  <c r="P691" i="34"/>
  <c r="O692" i="34"/>
  <c r="O696" i="34"/>
  <c r="Q698" i="34"/>
  <c r="P699" i="34"/>
  <c r="O700" i="34"/>
  <c r="Q702" i="34"/>
  <c r="P703" i="34"/>
  <c r="O704" i="34"/>
  <c r="Q706" i="34"/>
  <c r="P707" i="34"/>
  <c r="O708" i="34"/>
  <c r="P715" i="34"/>
  <c r="Q672" i="34"/>
  <c r="Q673" i="34"/>
  <c r="P674" i="34"/>
  <c r="Q680" i="34"/>
  <c r="Q681" i="34"/>
  <c r="P682" i="34"/>
  <c r="Q693" i="34"/>
  <c r="Q696" i="34"/>
  <c r="P697" i="34"/>
  <c r="O698" i="34"/>
  <c r="O699" i="34"/>
  <c r="P700" i="34"/>
  <c r="O701" i="34"/>
  <c r="Q709" i="34"/>
  <c r="O715" i="34"/>
  <c r="O716" i="34"/>
  <c r="Q718" i="34"/>
  <c r="P719" i="34"/>
  <c r="O720" i="34"/>
  <c r="Q722" i="34"/>
  <c r="P723" i="34"/>
  <c r="O724" i="34"/>
  <c r="Q726" i="34"/>
  <c r="P727" i="34"/>
  <c r="O728" i="34"/>
  <c r="Q730" i="34"/>
  <c r="P731" i="34"/>
  <c r="O732" i="34"/>
  <c r="Q734" i="34"/>
  <c r="P735" i="34"/>
  <c r="O736" i="34"/>
  <c r="Q738" i="34"/>
  <c r="P739" i="34"/>
  <c r="O740" i="34"/>
  <c r="Q742" i="34"/>
  <c r="P743" i="34"/>
  <c r="O744" i="34"/>
  <c r="Q746" i="34"/>
  <c r="P747" i="34"/>
  <c r="O748" i="34"/>
  <c r="Q750" i="34"/>
  <c r="Q754" i="34"/>
  <c r="P755" i="34"/>
  <c r="O756" i="34"/>
  <c r="Q758" i="34"/>
  <c r="P759" i="34"/>
  <c r="Q762" i="34"/>
  <c r="P763" i="34"/>
  <c r="O764" i="34"/>
  <c r="Q766" i="34"/>
  <c r="P767" i="34"/>
  <c r="O768" i="34"/>
  <c r="Q770" i="34"/>
  <c r="P771" i="34"/>
  <c r="Q778" i="34"/>
  <c r="P779" i="34"/>
  <c r="O784" i="34"/>
  <c r="Q786" i="34"/>
  <c r="P787" i="34"/>
  <c r="O788" i="34"/>
  <c r="Q790" i="34"/>
  <c r="P791" i="34"/>
  <c r="O792" i="34"/>
  <c r="Q794" i="34"/>
  <c r="P795" i="34"/>
  <c r="O796" i="34"/>
  <c r="Q798" i="34"/>
  <c r="P799" i="34"/>
  <c r="O800" i="34"/>
  <c r="Q802" i="34"/>
  <c r="P803" i="34"/>
  <c r="O804" i="34"/>
  <c r="Q806" i="34"/>
  <c r="P807" i="34"/>
  <c r="O808" i="34"/>
  <c r="Q810" i="34"/>
  <c r="P811" i="34"/>
  <c r="O812" i="34"/>
  <c r="Q814" i="34"/>
  <c r="P815" i="34"/>
  <c r="Q818" i="34"/>
  <c r="P819" i="34"/>
  <c r="O820" i="34"/>
  <c r="Q822" i="34"/>
  <c r="P823" i="34"/>
  <c r="O824" i="34"/>
  <c r="Q826" i="34"/>
  <c r="P827" i="34"/>
  <c r="O828" i="34"/>
  <c r="Q830" i="34"/>
  <c r="P831" i="34"/>
  <c r="O832" i="34"/>
  <c r="Q834" i="34"/>
  <c r="P835" i="34"/>
  <c r="O836" i="34"/>
  <c r="Q838" i="34"/>
  <c r="P839" i="34"/>
  <c r="O840" i="34"/>
  <c r="Q842" i="34"/>
  <c r="P843" i="34"/>
  <c r="O844" i="34"/>
  <c r="Q846" i="34"/>
  <c r="P847" i="34"/>
  <c r="O848" i="34"/>
  <c r="Q850" i="34"/>
  <c r="P851" i="34"/>
  <c r="O852" i="34"/>
  <c r="Q854" i="34"/>
  <c r="P855" i="34"/>
  <c r="O856" i="34"/>
  <c r="Q858" i="34"/>
  <c r="P859" i="34"/>
  <c r="O860" i="34"/>
  <c r="Q862" i="34"/>
  <c r="P863" i="34"/>
  <c r="O864" i="34"/>
  <c r="Q866" i="34"/>
  <c r="P867" i="34"/>
  <c r="O868" i="34"/>
  <c r="Q870" i="34"/>
  <c r="P871" i="34"/>
  <c r="O872" i="34"/>
  <c r="Q874" i="34"/>
  <c r="P875" i="34"/>
  <c r="O876" i="34"/>
  <c r="Q878" i="34"/>
  <c r="P879" i="34"/>
  <c r="O880" i="34"/>
  <c r="P883" i="34"/>
  <c r="O884" i="34"/>
  <c r="P887" i="34"/>
  <c r="O888" i="34"/>
  <c r="Q890" i="34"/>
  <c r="P891" i="34"/>
  <c r="O892" i="34"/>
  <c r="Q894" i="34"/>
  <c r="P895" i="34"/>
  <c r="O896" i="34"/>
  <c r="Q898" i="34"/>
  <c r="P899" i="34"/>
  <c r="O900" i="34"/>
  <c r="Q902" i="34"/>
  <c r="P903" i="34"/>
  <c r="O904" i="34"/>
  <c r="Q906" i="34"/>
  <c r="P907" i="34"/>
  <c r="O908" i="34"/>
  <c r="Q910" i="34"/>
  <c r="P911" i="34"/>
  <c r="O912" i="34"/>
  <c r="O671" i="34"/>
  <c r="P677" i="34"/>
  <c r="O678" i="34"/>
  <c r="O679" i="34"/>
  <c r="P685" i="34"/>
  <c r="O686" i="34"/>
  <c r="O687" i="34"/>
  <c r="P688" i="34"/>
  <c r="O689" i="34"/>
  <c r="Q697" i="34"/>
  <c r="P698" i="34"/>
  <c r="Q699" i="34"/>
  <c r="Q700" i="34"/>
  <c r="P701" i="34"/>
  <c r="O702" i="34"/>
  <c r="O703" i="34"/>
  <c r="P704" i="34"/>
  <c r="O705" i="34"/>
  <c r="Q715" i="34"/>
  <c r="P716" i="34"/>
  <c r="O717" i="34"/>
  <c r="Q719" i="34"/>
  <c r="P720" i="34"/>
  <c r="O721" i="34"/>
  <c r="Q723" i="34"/>
  <c r="P724" i="34"/>
  <c r="O725" i="34"/>
  <c r="Q727" i="34"/>
  <c r="P728" i="34"/>
  <c r="O729" i="34"/>
  <c r="Q731" i="34"/>
  <c r="P732" i="34"/>
  <c r="O733" i="34"/>
  <c r="Q735" i="34"/>
  <c r="P736" i="34"/>
  <c r="O737" i="34"/>
  <c r="Q739" i="34"/>
  <c r="P740" i="34"/>
  <c r="O741" i="34"/>
  <c r="Q743" i="34"/>
  <c r="P744" i="34"/>
  <c r="O745" i="34"/>
  <c r="Q747" i="34"/>
  <c r="P748" i="34"/>
  <c r="O749" i="34"/>
  <c r="Q755" i="34"/>
  <c r="P756" i="34"/>
  <c r="O757" i="34"/>
  <c r="Q759" i="34"/>
  <c r="O761" i="34"/>
  <c r="Q763" i="34"/>
  <c r="P764" i="34"/>
  <c r="O765" i="34"/>
  <c r="Q767" i="34"/>
  <c r="P768" i="34"/>
  <c r="O769" i="34"/>
  <c r="Q771" i="34"/>
  <c r="Q779" i="34"/>
  <c r="P784" i="34"/>
  <c r="O785" i="34"/>
  <c r="Q787" i="34"/>
  <c r="P788" i="34"/>
  <c r="Q791" i="34"/>
  <c r="P792" i="34"/>
  <c r="O793" i="34"/>
  <c r="Q795" i="34"/>
  <c r="P796" i="34"/>
  <c r="O797" i="34"/>
  <c r="Q799" i="34"/>
  <c r="P800" i="34"/>
  <c r="O801" i="34"/>
  <c r="Q803" i="34"/>
  <c r="P804" i="34"/>
  <c r="O805" i="34"/>
  <c r="Q807" i="34"/>
  <c r="P808" i="34"/>
  <c r="O809" i="34"/>
  <c r="Q811" i="34"/>
  <c r="P812" i="34"/>
  <c r="O813" i="34"/>
  <c r="Q815" i="34"/>
  <c r="O817" i="34"/>
  <c r="Q819" i="34"/>
  <c r="P820" i="34"/>
  <c r="O821" i="34"/>
  <c r="Q823" i="34"/>
  <c r="P824" i="34"/>
  <c r="O825" i="34"/>
  <c r="Q827" i="34"/>
  <c r="P828" i="34"/>
  <c r="O829" i="34"/>
  <c r="Q831" i="34"/>
  <c r="P832" i="34"/>
  <c r="O833" i="34"/>
  <c r="Q835" i="34"/>
  <c r="P836" i="34"/>
  <c r="O837" i="34"/>
  <c r="Q839" i="34"/>
  <c r="P840" i="34"/>
  <c r="O841" i="34"/>
  <c r="Q843" i="34"/>
  <c r="P844" i="34"/>
  <c r="O845" i="34"/>
  <c r="Q847" i="34"/>
  <c r="P848" i="34"/>
  <c r="O849" i="34"/>
  <c r="Q851" i="34"/>
  <c r="P852" i="34"/>
  <c r="O853" i="34"/>
  <c r="Q855" i="34"/>
  <c r="P856" i="34"/>
  <c r="O857" i="34"/>
  <c r="Q859" i="34"/>
  <c r="P860" i="34"/>
  <c r="O861" i="34"/>
  <c r="Q863" i="34"/>
  <c r="P864" i="34"/>
  <c r="O865" i="34"/>
  <c r="Q867" i="34"/>
  <c r="P868" i="34"/>
  <c r="O869" i="34"/>
  <c r="Q871" i="34"/>
  <c r="P872" i="34"/>
  <c r="O873" i="34"/>
  <c r="Q875" i="34"/>
  <c r="P876" i="34"/>
  <c r="O877" i="34"/>
  <c r="Q879" i="34"/>
  <c r="P880" i="34"/>
  <c r="Q883" i="34"/>
  <c r="P884" i="34"/>
  <c r="O885" i="34"/>
  <c r="Q887" i="34"/>
  <c r="P888" i="34"/>
  <c r="O889" i="34"/>
  <c r="Q891" i="34"/>
  <c r="P892" i="34"/>
  <c r="O893" i="34"/>
  <c r="Q895" i="34"/>
  <c r="P896" i="34"/>
  <c r="O667" i="34"/>
  <c r="P670" i="34"/>
  <c r="Q676" i="34"/>
  <c r="Q677" i="34"/>
  <c r="P678" i="34"/>
  <c r="Q684" i="34"/>
  <c r="Q685" i="34"/>
  <c r="P686" i="34"/>
  <c r="Q687" i="34"/>
  <c r="Q688" i="34"/>
  <c r="P689" i="34"/>
  <c r="O690" i="34"/>
  <c r="O691" i="34"/>
  <c r="P692" i="34"/>
  <c r="O693" i="34"/>
  <c r="Q701" i="34"/>
  <c r="P702" i="34"/>
  <c r="Q703" i="34"/>
  <c r="Q704" i="34"/>
  <c r="P705" i="34"/>
  <c r="O706" i="34"/>
  <c r="O707" i="34"/>
  <c r="P708" i="34"/>
  <c r="O709" i="34"/>
  <c r="Q716" i="34"/>
  <c r="P717" i="34"/>
  <c r="O718" i="34"/>
  <c r="Q720" i="34"/>
  <c r="P721" i="34"/>
  <c r="O722" i="34"/>
  <c r="Q724" i="34"/>
  <c r="P725" i="34"/>
  <c r="O726" i="34"/>
  <c r="Q728" i="34"/>
  <c r="P729" i="34"/>
  <c r="O730" i="34"/>
  <c r="Q732" i="34"/>
  <c r="P733" i="34"/>
  <c r="O734" i="34"/>
  <c r="Q736" i="34"/>
  <c r="P737" i="34"/>
  <c r="O738" i="34"/>
  <c r="Q740" i="34"/>
  <c r="P741" i="34"/>
  <c r="O742" i="34"/>
  <c r="Q744" i="34"/>
  <c r="P745" i="34"/>
  <c r="O746" i="34"/>
  <c r="Q748" i="34"/>
  <c r="P749" i="34"/>
  <c r="O750" i="34"/>
  <c r="O754" i="34"/>
  <c r="Q756" i="34"/>
  <c r="P757" i="34"/>
  <c r="O758" i="34"/>
  <c r="P761" i="34"/>
  <c r="O762" i="34"/>
  <c r="Q764" i="34"/>
  <c r="P765" i="34"/>
  <c r="O766" i="34"/>
  <c r="Q768" i="34"/>
  <c r="P769" i="34"/>
  <c r="O770" i="34"/>
  <c r="O778" i="34"/>
  <c r="Q784" i="34"/>
  <c r="P785" i="34"/>
  <c r="O786" i="34"/>
  <c r="Q788" i="34"/>
  <c r="O790" i="34"/>
  <c r="Q792" i="34"/>
  <c r="P793" i="34"/>
  <c r="O794" i="34"/>
  <c r="Q796" i="34"/>
  <c r="P797" i="34"/>
  <c r="O798" i="34"/>
  <c r="Q800" i="34"/>
  <c r="P801" i="34"/>
  <c r="O802" i="34"/>
  <c r="Q804" i="34"/>
  <c r="P805" i="34"/>
  <c r="O806" i="34"/>
  <c r="Q808" i="34"/>
  <c r="P809" i="34"/>
  <c r="O810" i="34"/>
  <c r="Q812" i="34"/>
  <c r="P813" i="34"/>
  <c r="O814" i="34"/>
  <c r="P817" i="34"/>
  <c r="O818" i="34"/>
  <c r="Q820" i="34"/>
  <c r="P821" i="34"/>
  <c r="O822" i="34"/>
  <c r="Q824" i="34"/>
  <c r="P825" i="34"/>
  <c r="O826" i="34"/>
  <c r="Q828" i="34"/>
  <c r="P829" i="34"/>
  <c r="O830" i="34"/>
  <c r="Q832" i="34"/>
  <c r="P833" i="34"/>
  <c r="O834" i="34"/>
  <c r="Q836" i="34"/>
  <c r="P837" i="34"/>
  <c r="O838" i="34"/>
  <c r="Q840" i="34"/>
  <c r="P841" i="34"/>
  <c r="O842" i="34"/>
  <c r="Q844" i="34"/>
  <c r="P845" i="34"/>
  <c r="O846" i="34"/>
  <c r="Q848" i="34"/>
  <c r="P849" i="34"/>
  <c r="O850" i="34"/>
  <c r="Q852" i="34"/>
  <c r="P853" i="34"/>
  <c r="O854" i="34"/>
  <c r="Q856" i="34"/>
  <c r="P857" i="34"/>
  <c r="O858" i="34"/>
  <c r="Q860" i="34"/>
  <c r="P861" i="34"/>
  <c r="O862" i="34"/>
  <c r="Q864" i="34"/>
  <c r="P865" i="34"/>
  <c r="O866" i="34"/>
  <c r="Q868" i="34"/>
  <c r="P869" i="34"/>
  <c r="O870" i="34"/>
  <c r="Q872" i="34"/>
  <c r="P873" i="34"/>
  <c r="O874" i="34"/>
  <c r="Q876" i="34"/>
  <c r="P877" i="34"/>
  <c r="O878" i="34"/>
  <c r="Q880" i="34"/>
  <c r="Q884" i="34"/>
  <c r="P885" i="34"/>
  <c r="P666" i="34"/>
  <c r="Q669" i="34"/>
  <c r="P673" i="34"/>
  <c r="O674" i="34"/>
  <c r="O675" i="34"/>
  <c r="P681" i="34"/>
  <c r="O682" i="34"/>
  <c r="O683" i="34"/>
  <c r="Q689" i="34"/>
  <c r="P690" i="34"/>
  <c r="Q691" i="34"/>
  <c r="Q692" i="34"/>
  <c r="P693" i="34"/>
  <c r="P696" i="34"/>
  <c r="O697" i="34"/>
  <c r="Q705" i="34"/>
  <c r="P706" i="34"/>
  <c r="Q707" i="34"/>
  <c r="Q708" i="34"/>
  <c r="P709" i="34"/>
  <c r="Q717" i="34"/>
  <c r="P718" i="34"/>
  <c r="O719" i="34"/>
  <c r="Q721" i="34"/>
  <c r="P722" i="34"/>
  <c r="O723" i="34"/>
  <c r="Q725" i="34"/>
  <c r="P726" i="34"/>
  <c r="O727" i="34"/>
  <c r="Q729" i="34"/>
  <c r="P730" i="34"/>
  <c r="O731" i="34"/>
  <c r="Q733" i="34"/>
  <c r="P734" i="34"/>
  <c r="O735" i="34"/>
  <c r="Q737" i="34"/>
  <c r="P738" i="34"/>
  <c r="O739" i="34"/>
  <c r="Q741" i="34"/>
  <c r="P742" i="34"/>
  <c r="O743" i="34"/>
  <c r="Q745" i="34"/>
  <c r="P746" i="34"/>
  <c r="O747" i="34"/>
  <c r="Q749" i="34"/>
  <c r="P750" i="34"/>
  <c r="P754" i="34"/>
  <c r="O755" i="34"/>
  <c r="Q757" i="34"/>
  <c r="P758" i="34"/>
  <c r="O759" i="34"/>
  <c r="Q761" i="34"/>
  <c r="P762" i="34"/>
  <c r="O763" i="34"/>
  <c r="Q765" i="34"/>
  <c r="P766" i="34"/>
  <c r="O767" i="34"/>
  <c r="Q769" i="34"/>
  <c r="P770" i="34"/>
  <c r="O771" i="34"/>
  <c r="P778" i="34"/>
  <c r="O779" i="34"/>
  <c r="Q785" i="34"/>
  <c r="P786" i="34"/>
  <c r="O787" i="34"/>
  <c r="P790" i="34"/>
  <c r="O791" i="34"/>
  <c r="Q793" i="34"/>
  <c r="P794" i="34"/>
  <c r="O795" i="34"/>
  <c r="Q797" i="34"/>
  <c r="P798" i="34"/>
  <c r="O799" i="34"/>
  <c r="Q801" i="34"/>
  <c r="P802" i="34"/>
  <c r="O803" i="34"/>
  <c r="Q805" i="34"/>
  <c r="P806" i="34"/>
  <c r="O807" i="34"/>
  <c r="Q809" i="34"/>
  <c r="P810" i="34"/>
  <c r="O811" i="34"/>
  <c r="Q813" i="34"/>
  <c r="P814" i="34"/>
  <c r="O815" i="34"/>
  <c r="Q817" i="34"/>
  <c r="P818" i="34"/>
  <c r="O819" i="34"/>
  <c r="Q821" i="34"/>
  <c r="P822" i="34"/>
  <c r="O823" i="34"/>
  <c r="Q825" i="34"/>
  <c r="P826" i="34"/>
  <c r="O827" i="34"/>
  <c r="Q829" i="34"/>
  <c r="P830" i="34"/>
  <c r="O831" i="34"/>
  <c r="Q833" i="34"/>
  <c r="P834" i="34"/>
  <c r="O835" i="34"/>
  <c r="Q837" i="34"/>
  <c r="P838" i="34"/>
  <c r="O839" i="34"/>
  <c r="Q841" i="34"/>
  <c r="P842" i="34"/>
  <c r="O843" i="34"/>
  <c r="Q845" i="34"/>
  <c r="P846" i="34"/>
  <c r="O847" i="34"/>
  <c r="Q849" i="34"/>
  <c r="P850" i="34"/>
  <c r="O851" i="34"/>
  <c r="Q853" i="34"/>
  <c r="P854" i="34"/>
  <c r="O855" i="34"/>
  <c r="Q857" i="34"/>
  <c r="P858" i="34"/>
  <c r="O859" i="34"/>
  <c r="Q861" i="34"/>
  <c r="P862" i="34"/>
  <c r="O863" i="34"/>
  <c r="Q865" i="34"/>
  <c r="P866" i="34"/>
  <c r="O867" i="34"/>
  <c r="Q869" i="34"/>
  <c r="P870" i="34"/>
  <c r="O871" i="34"/>
  <c r="Q873" i="34"/>
  <c r="P874" i="34"/>
  <c r="O875" i="34"/>
  <c r="Q877" i="34"/>
  <c r="P878" i="34"/>
  <c r="O879" i="34"/>
  <c r="O883" i="34"/>
  <c r="Q885" i="34"/>
  <c r="O887" i="34"/>
  <c r="Q889" i="34"/>
  <c r="P890" i="34"/>
  <c r="O891" i="34"/>
  <c r="Q893" i="34"/>
  <c r="P894" i="34"/>
  <c r="O895" i="34"/>
  <c r="Q897" i="34"/>
  <c r="P898" i="34"/>
  <c r="O899" i="34"/>
  <c r="Q901" i="34"/>
  <c r="P902" i="34"/>
  <c r="O903" i="34"/>
  <c r="Q905" i="34"/>
  <c r="P906" i="34"/>
  <c r="O907" i="34"/>
  <c r="Q909" i="34"/>
  <c r="P910" i="34"/>
  <c r="O911" i="34"/>
  <c r="Q913" i="34"/>
  <c r="P914" i="34"/>
  <c r="O915" i="34"/>
  <c r="Q917" i="34"/>
  <c r="P918" i="34"/>
  <c r="P922" i="34"/>
  <c r="O923" i="34"/>
  <c r="O894" i="34"/>
  <c r="O897" i="34"/>
  <c r="O898" i="34"/>
  <c r="P904" i="34"/>
  <c r="O905" i="34"/>
  <c r="O906" i="34"/>
  <c r="P912" i="34"/>
  <c r="O913" i="34"/>
  <c r="O914" i="34"/>
  <c r="P915" i="34"/>
  <c r="O916" i="34"/>
  <c r="P925" i="34"/>
  <c r="O926" i="34"/>
  <c r="Q928" i="34"/>
  <c r="P929" i="34"/>
  <c r="O930" i="34"/>
  <c r="Q932" i="34"/>
  <c r="P933" i="34"/>
  <c r="O934" i="34"/>
  <c r="Q936" i="34"/>
  <c r="P937" i="34"/>
  <c r="O938" i="34"/>
  <c r="Q940" i="34"/>
  <c r="P941" i="34"/>
  <c r="O942" i="34"/>
  <c r="Q944" i="34"/>
  <c r="P945" i="34"/>
  <c r="O946" i="34"/>
  <c r="Q948" i="34"/>
  <c r="O950" i="34"/>
  <c r="Q952" i="34"/>
  <c r="P953" i="34"/>
  <c r="O954" i="34"/>
  <c r="Q956" i="34"/>
  <c r="P957" i="34"/>
  <c r="O958" i="34"/>
  <c r="Q960" i="34"/>
  <c r="P961" i="34"/>
  <c r="O962" i="34"/>
  <c r="Q964" i="34"/>
  <c r="P965" i="34"/>
  <c r="O966" i="34"/>
  <c r="Q968" i="34"/>
  <c r="P969" i="34"/>
  <c r="O970" i="34"/>
  <c r="P977" i="34"/>
  <c r="O978" i="34"/>
  <c r="Q980" i="34"/>
  <c r="P981" i="34"/>
  <c r="O982" i="34"/>
  <c r="Q984" i="34"/>
  <c r="P985" i="34"/>
  <c r="O986" i="34"/>
  <c r="Q988" i="34"/>
  <c r="P989" i="34"/>
  <c r="O990" i="34"/>
  <c r="Q992" i="34"/>
  <c r="P993" i="34"/>
  <c r="O994" i="34"/>
  <c r="Q996" i="34"/>
  <c r="P997" i="34"/>
  <c r="O998" i="34"/>
  <c r="Q1000" i="34"/>
  <c r="P1001" i="34"/>
  <c r="O1002" i="34"/>
  <c r="Q1004" i="34"/>
  <c r="P1005" i="34"/>
  <c r="O1006" i="34"/>
  <c r="Q1008" i="34"/>
  <c r="P1009" i="34"/>
  <c r="O1010" i="34"/>
  <c r="Q1012" i="34"/>
  <c r="O1014" i="34"/>
  <c r="Q1016" i="34"/>
  <c r="P1017" i="34"/>
  <c r="O1018" i="34"/>
  <c r="Q1020" i="34"/>
  <c r="O1022" i="34"/>
  <c r="Q1024" i="34"/>
  <c r="P1025" i="34"/>
  <c r="O1026" i="34"/>
  <c r="Q1028" i="34"/>
  <c r="P1029" i="34"/>
  <c r="O1030" i="34"/>
  <c r="Q1032" i="34"/>
  <c r="P1033" i="34"/>
  <c r="O1034" i="34"/>
  <c r="Q1036" i="34"/>
  <c r="P1037" i="34"/>
  <c r="O1038" i="34"/>
  <c r="Q1040" i="34"/>
  <c r="P1041" i="34"/>
  <c r="O1042" i="34"/>
  <c r="Q1044" i="34"/>
  <c r="P1045" i="34"/>
  <c r="O1046" i="34"/>
  <c r="Q1048" i="34"/>
  <c r="P1049" i="34"/>
  <c r="O1050" i="34"/>
  <c r="Q1052" i="34"/>
  <c r="P1053" i="34"/>
  <c r="O1054" i="34"/>
  <c r="Q1056" i="34"/>
  <c r="P1057" i="34"/>
  <c r="O1058" i="34"/>
  <c r="Q1060" i="34"/>
  <c r="P1061" i="34"/>
  <c r="O1062" i="34"/>
  <c r="Q1064" i="34"/>
  <c r="P1065" i="34"/>
  <c r="O1066" i="34"/>
  <c r="Q1068" i="34"/>
  <c r="P1069" i="34"/>
  <c r="O1070" i="34"/>
  <c r="Q1072" i="34"/>
  <c r="P1073" i="34"/>
  <c r="O1074" i="34"/>
  <c r="Q1076" i="34"/>
  <c r="P1077" i="34"/>
  <c r="O1078" i="34"/>
  <c r="Q1080" i="34"/>
  <c r="P1081" i="34"/>
  <c r="O1082" i="34"/>
  <c r="Q1084" i="34"/>
  <c r="P1085" i="34"/>
  <c r="O1086" i="34"/>
  <c r="Q1088" i="34"/>
  <c r="O1090" i="34"/>
  <c r="Q1092" i="34"/>
  <c r="P1093" i="34"/>
  <c r="O1094" i="34"/>
  <c r="Q1096" i="34"/>
  <c r="P1097" i="34"/>
  <c r="O1098" i="34"/>
  <c r="Q1100" i="34"/>
  <c r="P1101" i="34"/>
  <c r="O1102" i="34"/>
  <c r="Q1104" i="34"/>
  <c r="P1105" i="34"/>
  <c r="O1106" i="34"/>
  <c r="Q1108" i="34"/>
  <c r="P1109" i="34"/>
  <c r="O1110" i="34"/>
  <c r="Q1112" i="34"/>
  <c r="P1113" i="34"/>
  <c r="O1114" i="34"/>
  <c r="Q1116" i="34"/>
  <c r="P1117" i="34"/>
  <c r="O1118" i="34"/>
  <c r="Q1120" i="34"/>
  <c r="P1121" i="34"/>
  <c r="O1122" i="34"/>
  <c r="Q1124" i="34"/>
  <c r="P1125" i="34"/>
  <c r="O1126" i="34"/>
  <c r="Q1128" i="34"/>
  <c r="O1130" i="34"/>
  <c r="Q1132" i="34"/>
  <c r="P1133" i="34"/>
  <c r="O1134" i="34"/>
  <c r="Q1136" i="34"/>
  <c r="P1137" i="34"/>
  <c r="O1138" i="34"/>
  <c r="Q1140" i="34"/>
  <c r="P1141" i="34"/>
  <c r="O1142" i="34"/>
  <c r="Q1144" i="34"/>
  <c r="P1145" i="34"/>
  <c r="O1146" i="34"/>
  <c r="O890" i="34"/>
  <c r="P893" i="34"/>
  <c r="Q896" i="34"/>
  <c r="P897" i="34"/>
  <c r="Q903" i="34"/>
  <c r="Q904" i="34"/>
  <c r="P905" i="34"/>
  <c r="Q911" i="34"/>
  <c r="Q912" i="34"/>
  <c r="P913" i="34"/>
  <c r="Q914" i="34"/>
  <c r="Q915" i="34"/>
  <c r="P916" i="34"/>
  <c r="O917" i="34"/>
  <c r="O918" i="34"/>
  <c r="Q925" i="34"/>
  <c r="P926" i="34"/>
  <c r="O927" i="34"/>
  <c r="Q929" i="34"/>
  <c r="P930" i="34"/>
  <c r="O931" i="34"/>
  <c r="Q933" i="34"/>
  <c r="P934" i="34"/>
  <c r="O935" i="34"/>
  <c r="Q937" i="34"/>
  <c r="P938" i="34"/>
  <c r="O939" i="34"/>
  <c r="Q941" i="34"/>
  <c r="P942" i="34"/>
  <c r="O943" i="34"/>
  <c r="Q945" i="34"/>
  <c r="P946" i="34"/>
  <c r="O947" i="34"/>
  <c r="P950" i="34"/>
  <c r="O951" i="34"/>
  <c r="Q953" i="34"/>
  <c r="P954" i="34"/>
  <c r="O955" i="34"/>
  <c r="Q957" i="34"/>
  <c r="P958" i="34"/>
  <c r="O959" i="34"/>
  <c r="Q961" i="34"/>
  <c r="P962" i="34"/>
  <c r="O963" i="34"/>
  <c r="Q965" i="34"/>
  <c r="P966" i="34"/>
  <c r="O967" i="34"/>
  <c r="Q969" i="34"/>
  <c r="P970" i="34"/>
  <c r="O971" i="34"/>
  <c r="Q977" i="34"/>
  <c r="P978" i="34"/>
  <c r="O979" i="34"/>
  <c r="Q981" i="34"/>
  <c r="P982" i="34"/>
  <c r="O983" i="34"/>
  <c r="Q985" i="34"/>
  <c r="P986" i="34"/>
  <c r="O987" i="34"/>
  <c r="Q989" i="34"/>
  <c r="P990" i="34"/>
  <c r="O991" i="34"/>
  <c r="Q993" i="34"/>
  <c r="P994" i="34"/>
  <c r="O995" i="34"/>
  <c r="Q997" i="34"/>
  <c r="P998" i="34"/>
  <c r="O999" i="34"/>
  <c r="Q1001" i="34"/>
  <c r="P1002" i="34"/>
  <c r="O1003" i="34"/>
  <c r="Q1005" i="34"/>
  <c r="P1006" i="34"/>
  <c r="O1007" i="34"/>
  <c r="Q1009" i="34"/>
  <c r="P1010" i="34"/>
  <c r="O1011" i="34"/>
  <c r="P1014" i="34"/>
  <c r="Q1017" i="34"/>
  <c r="P1018" i="34"/>
  <c r="O1019" i="34"/>
  <c r="P1022" i="34"/>
  <c r="O1023" i="34"/>
  <c r="Q1025" i="34"/>
  <c r="P1026" i="34"/>
  <c r="O1027" i="34"/>
  <c r="Q1029" i="34"/>
  <c r="P1030" i="34"/>
  <c r="O1031" i="34"/>
  <c r="Q1033" i="34"/>
  <c r="P1034" i="34"/>
  <c r="O1035" i="34"/>
  <c r="Q1037" i="34"/>
  <c r="P1038" i="34"/>
  <c r="O1039" i="34"/>
  <c r="Q1041" i="34"/>
  <c r="P1042" i="34"/>
  <c r="O1043" i="34"/>
  <c r="Q1045" i="34"/>
  <c r="P1046" i="34"/>
  <c r="O1047" i="34"/>
  <c r="Q1049" i="34"/>
  <c r="P1050" i="34"/>
  <c r="O1051" i="34"/>
  <c r="Q1053" i="34"/>
  <c r="P1054" i="34"/>
  <c r="O1055" i="34"/>
  <c r="Q1057" i="34"/>
  <c r="P1058" i="34"/>
  <c r="O1059" i="34"/>
  <c r="Q1061" i="34"/>
  <c r="P1062" i="34"/>
  <c r="O1063" i="34"/>
  <c r="Q1065" i="34"/>
  <c r="P1066" i="34"/>
  <c r="O1067" i="34"/>
  <c r="Q1069" i="34"/>
  <c r="P1070" i="34"/>
  <c r="O1071" i="34"/>
  <c r="Q1073" i="34"/>
  <c r="P1074" i="34"/>
  <c r="O1075" i="34"/>
  <c r="Q1077" i="34"/>
  <c r="P1078" i="34"/>
  <c r="O1079" i="34"/>
  <c r="Q1081" i="34"/>
  <c r="P1082" i="34"/>
  <c r="O1083" i="34"/>
  <c r="Q1085" i="34"/>
  <c r="P1086" i="34"/>
  <c r="O1087" i="34"/>
  <c r="P1090" i="34"/>
  <c r="O1091" i="34"/>
  <c r="Q1093" i="34"/>
  <c r="P1094" i="34"/>
  <c r="O1095" i="34"/>
  <c r="Q1097" i="34"/>
  <c r="P1098" i="34"/>
  <c r="O1099" i="34"/>
  <c r="Q1101" i="34"/>
  <c r="P1102" i="34"/>
  <c r="O1103" i="34"/>
  <c r="Q1105" i="34"/>
  <c r="P1106" i="34"/>
  <c r="O1107" i="34"/>
  <c r="Q1109" i="34"/>
  <c r="P1110" i="34"/>
  <c r="O1111" i="34"/>
  <c r="Q1113" i="34"/>
  <c r="P1114" i="34"/>
  <c r="O1115" i="34"/>
  <c r="Q1117" i="34"/>
  <c r="P1118" i="34"/>
  <c r="O1119" i="34"/>
  <c r="Q1121" i="34"/>
  <c r="P1122" i="34"/>
  <c r="O1123" i="34"/>
  <c r="Q1125" i="34"/>
  <c r="P1126" i="34"/>
  <c r="O1127" i="34"/>
  <c r="P889" i="34"/>
  <c r="Q892" i="34"/>
  <c r="P900" i="34"/>
  <c r="O901" i="34"/>
  <c r="O902" i="34"/>
  <c r="P908" i="34"/>
  <c r="O909" i="34"/>
  <c r="O910" i="34"/>
  <c r="Q916" i="34"/>
  <c r="P917" i="34"/>
  <c r="Q918" i="34"/>
  <c r="O922" i="34"/>
  <c r="P923" i="34"/>
  <c r="Q926" i="34"/>
  <c r="P927" i="34"/>
  <c r="O928" i="34"/>
  <c r="Q930" i="34"/>
  <c r="P931" i="34"/>
  <c r="O932" i="34"/>
  <c r="Q934" i="34"/>
  <c r="P935" i="34"/>
  <c r="O936" i="34"/>
  <c r="Q938" i="34"/>
  <c r="P939" i="34"/>
  <c r="O940" i="34"/>
  <c r="Q942" i="34"/>
  <c r="P943" i="34"/>
  <c r="O944" i="34"/>
  <c r="Q946" i="34"/>
  <c r="P947" i="34"/>
  <c r="O948" i="34"/>
  <c r="Q950" i="34"/>
  <c r="P951" i="34"/>
  <c r="O952" i="34"/>
  <c r="Q954" i="34"/>
  <c r="P955" i="34"/>
  <c r="O956" i="34"/>
  <c r="Q958" i="34"/>
  <c r="P959" i="34"/>
  <c r="O960" i="34"/>
  <c r="Q962" i="34"/>
  <c r="P963" i="34"/>
  <c r="O964" i="34"/>
  <c r="Q966" i="34"/>
  <c r="P967" i="34"/>
  <c r="O968" i="34"/>
  <c r="Q970" i="34"/>
  <c r="P971" i="34"/>
  <c r="Q978" i="34"/>
  <c r="P979" i="34"/>
  <c r="O980" i="34"/>
  <c r="Q982" i="34"/>
  <c r="P983" i="34"/>
  <c r="O984" i="34"/>
  <c r="Q986" i="34"/>
  <c r="P987" i="34"/>
  <c r="O988" i="34"/>
  <c r="Q990" i="34"/>
  <c r="P991" i="34"/>
  <c r="O992" i="34"/>
  <c r="Q994" i="34"/>
  <c r="P995" i="34"/>
  <c r="O996" i="34"/>
  <c r="Q998" i="34"/>
  <c r="P999" i="34"/>
  <c r="O1000" i="34"/>
  <c r="Q1002" i="34"/>
  <c r="P1003" i="34"/>
  <c r="O1004" i="34"/>
  <c r="Q1006" i="34"/>
  <c r="P1007" i="34"/>
  <c r="O1008" i="34"/>
  <c r="Q1010" i="34"/>
  <c r="P1011" i="34"/>
  <c r="O1012" i="34"/>
  <c r="Q1014" i="34"/>
  <c r="O1016" i="34"/>
  <c r="Q1018" i="34"/>
  <c r="P1019" i="34"/>
  <c r="O1020" i="34"/>
  <c r="Q1022" i="34"/>
  <c r="P1023" i="34"/>
  <c r="O1024" i="34"/>
  <c r="Q1026" i="34"/>
  <c r="P1027" i="34"/>
  <c r="O1028" i="34"/>
  <c r="Q1030" i="34"/>
  <c r="P1031" i="34"/>
  <c r="O1032" i="34"/>
  <c r="Q1034" i="34"/>
  <c r="P1035" i="34"/>
  <c r="O1036" i="34"/>
  <c r="Q1038" i="34"/>
  <c r="P1039" i="34"/>
  <c r="O1040" i="34"/>
  <c r="Q1042" i="34"/>
  <c r="P1043" i="34"/>
  <c r="O1044" i="34"/>
  <c r="Q1046" i="34"/>
  <c r="P1047" i="34"/>
  <c r="O1048" i="34"/>
  <c r="Q1050" i="34"/>
  <c r="P1051" i="34"/>
  <c r="O1052" i="34"/>
  <c r="Q1054" i="34"/>
  <c r="P1055" i="34"/>
  <c r="O1056" i="34"/>
  <c r="Q1058" i="34"/>
  <c r="P1059" i="34"/>
  <c r="O1060" i="34"/>
  <c r="Q1062" i="34"/>
  <c r="P1063" i="34"/>
  <c r="O1064" i="34"/>
  <c r="Q1066" i="34"/>
  <c r="P1067" i="34"/>
  <c r="O1068" i="34"/>
  <c r="Q1070" i="34"/>
  <c r="P1071" i="34"/>
  <c r="O1072" i="34"/>
  <c r="Q1074" i="34"/>
  <c r="P1075" i="34"/>
  <c r="O1076" i="34"/>
  <c r="Q1078" i="34"/>
  <c r="P1079" i="34"/>
  <c r="O1080" i="34"/>
  <c r="Q1082" i="34"/>
  <c r="P1083" i="34"/>
  <c r="O1084" i="34"/>
  <c r="Q1086" i="34"/>
  <c r="P1087" i="34"/>
  <c r="O1088" i="34"/>
  <c r="Q1090" i="34"/>
  <c r="P1091" i="34"/>
  <c r="O1092" i="34"/>
  <c r="Q1094" i="34"/>
  <c r="P1095" i="34"/>
  <c r="O1096" i="34"/>
  <c r="Q1098" i="34"/>
  <c r="P1099" i="34"/>
  <c r="O1100" i="34"/>
  <c r="Q1102" i="34"/>
  <c r="P1103" i="34"/>
  <c r="O1104" i="34"/>
  <c r="Q1106" i="34"/>
  <c r="P1107" i="34"/>
  <c r="O1108" i="34"/>
  <c r="Q1110" i="34"/>
  <c r="P1111" i="34"/>
  <c r="O1112" i="34"/>
  <c r="Q1114" i="34"/>
  <c r="P1115" i="34"/>
  <c r="O1116" i="34"/>
  <c r="Q1118" i="34"/>
  <c r="Q888" i="34"/>
  <c r="Q899" i="34"/>
  <c r="Q900" i="34"/>
  <c r="P901" i="34"/>
  <c r="Q907" i="34"/>
  <c r="Q908" i="34"/>
  <c r="P909" i="34"/>
  <c r="Q922" i="34"/>
  <c r="Q923" i="34"/>
  <c r="O925" i="34"/>
  <c r="Q927" i="34"/>
  <c r="P928" i="34"/>
  <c r="O929" i="34"/>
  <c r="Q931" i="34"/>
  <c r="P932" i="34"/>
  <c r="O933" i="34"/>
  <c r="Q935" i="34"/>
  <c r="P936" i="34"/>
  <c r="O937" i="34"/>
  <c r="Q939" i="34"/>
  <c r="P940" i="34"/>
  <c r="O941" i="34"/>
  <c r="Q943" i="34"/>
  <c r="P944" i="34"/>
  <c r="O945" i="34"/>
  <c r="Q947" i="34"/>
  <c r="P948" i="34"/>
  <c r="Q951" i="34"/>
  <c r="P952" i="34"/>
  <c r="O953" i="34"/>
  <c r="Q955" i="34"/>
  <c r="P956" i="34"/>
  <c r="O957" i="34"/>
  <c r="Q959" i="34"/>
  <c r="P960" i="34"/>
  <c r="O961" i="34"/>
  <c r="Q963" i="34"/>
  <c r="P964" i="34"/>
  <c r="O965" i="34"/>
  <c r="Q967" i="34"/>
  <c r="P968" i="34"/>
  <c r="O969" i="34"/>
  <c r="Q971" i="34"/>
  <c r="O977" i="34"/>
  <c r="Q979" i="34"/>
  <c r="P980" i="34"/>
  <c r="O981" i="34"/>
  <c r="Q983" i="34"/>
  <c r="P984" i="34"/>
  <c r="O985" i="34"/>
  <c r="Q987" i="34"/>
  <c r="P988" i="34"/>
  <c r="O989" i="34"/>
  <c r="Q991" i="34"/>
  <c r="P992" i="34"/>
  <c r="O993" i="34"/>
  <c r="Q995" i="34"/>
  <c r="P996" i="34"/>
  <c r="O997" i="34"/>
  <c r="Q999" i="34"/>
  <c r="P1000" i="34"/>
  <c r="O1001" i="34"/>
  <c r="Q1003" i="34"/>
  <c r="P1004" i="34"/>
  <c r="O1005" i="34"/>
  <c r="Q1007" i="34"/>
  <c r="P1008" i="34"/>
  <c r="O1009" i="34"/>
  <c r="Q1011" i="34"/>
  <c r="P1012" i="34"/>
  <c r="P1016" i="34"/>
  <c r="O1017" i="34"/>
  <c r="Q1019" i="34"/>
  <c r="P1020" i="34"/>
  <c r="Q1023" i="34"/>
  <c r="P1024" i="34"/>
  <c r="O1025" i="34"/>
  <c r="Q1027" i="34"/>
  <c r="P1028" i="34"/>
  <c r="O1029" i="34"/>
  <c r="Q1031" i="34"/>
  <c r="P1032" i="34"/>
  <c r="O1033" i="34"/>
  <c r="Q1035" i="34"/>
  <c r="P1036" i="34"/>
  <c r="O1037" i="34"/>
  <c r="Q1039" i="34"/>
  <c r="P1040" i="34"/>
  <c r="O1041" i="34"/>
  <c r="Q1043" i="34"/>
  <c r="P1044" i="34"/>
  <c r="O1045" i="34"/>
  <c r="Q1047" i="34"/>
  <c r="P1048" i="34"/>
  <c r="O1049" i="34"/>
  <c r="Q1051" i="34"/>
  <c r="P1052" i="34"/>
  <c r="O1053" i="34"/>
  <c r="Q1055" i="34"/>
  <c r="P1056" i="34"/>
  <c r="O1057" i="34"/>
  <c r="Q1059" i="34"/>
  <c r="P1060" i="34"/>
  <c r="O1061" i="34"/>
  <c r="Q1063" i="34"/>
  <c r="P1064" i="34"/>
  <c r="O1065" i="34"/>
  <c r="Q1067" i="34"/>
  <c r="P1068" i="34"/>
  <c r="O1069" i="34"/>
  <c r="Q1071" i="34"/>
  <c r="P1072" i="34"/>
  <c r="O1073" i="34"/>
  <c r="Q1075" i="34"/>
  <c r="P1076" i="34"/>
  <c r="O1077" i="34"/>
  <c r="Q1079" i="34"/>
  <c r="P1080" i="34"/>
  <c r="O1081" i="34"/>
  <c r="Q1083" i="34"/>
  <c r="P1084" i="34"/>
  <c r="O1085" i="34"/>
  <c r="Q1087" i="34"/>
  <c r="P1088" i="34"/>
  <c r="Q1091" i="34"/>
  <c r="P1092" i="34"/>
  <c r="O1093" i="34"/>
  <c r="Q1095" i="34"/>
  <c r="P1096" i="34"/>
  <c r="O1097" i="34"/>
  <c r="Q1099" i="34"/>
  <c r="P1100" i="34"/>
  <c r="O1101" i="34"/>
  <c r="Q1103" i="34"/>
  <c r="P1104" i="34"/>
  <c r="O1105" i="34"/>
  <c r="Q1107" i="34"/>
  <c r="P1108" i="34"/>
  <c r="O1109" i="34"/>
  <c r="Q1111" i="34"/>
  <c r="P1112" i="34"/>
  <c r="O1113" i="34"/>
  <c r="Q1115" i="34"/>
  <c r="P1116" i="34"/>
  <c r="O1117" i="34"/>
  <c r="Q1119" i="34"/>
  <c r="P1120" i="34"/>
  <c r="O1121" i="34"/>
  <c r="Q1123" i="34"/>
  <c r="P1124" i="34"/>
  <c r="O1125" i="34"/>
  <c r="Q1127" i="34"/>
  <c r="P1128" i="34"/>
  <c r="Q1131" i="34"/>
  <c r="P1132" i="34"/>
  <c r="O1133" i="34"/>
  <c r="Q1135" i="34"/>
  <c r="P1136" i="34"/>
  <c r="O1137" i="34"/>
  <c r="Q1139" i="34"/>
  <c r="P1140" i="34"/>
  <c r="O1141" i="34"/>
  <c r="Q1143" i="34"/>
  <c r="P1144" i="34"/>
  <c r="O1145" i="34"/>
  <c r="Q1147" i="34"/>
  <c r="P1148" i="34"/>
  <c r="O1149" i="34"/>
  <c r="Q1151" i="34"/>
  <c r="P1152" i="34"/>
  <c r="O1153" i="34"/>
  <c r="Q1155" i="34"/>
  <c r="P1156" i="34"/>
  <c r="O1157" i="34"/>
  <c r="P1160" i="34"/>
  <c r="O1161" i="34"/>
  <c r="Q1163" i="34"/>
  <c r="O1120" i="34"/>
  <c r="P1123" i="34"/>
  <c r="Q1126" i="34"/>
  <c r="P1130" i="34"/>
  <c r="O1131" i="34"/>
  <c r="O1132" i="34"/>
  <c r="P1138" i="34"/>
  <c r="O1139" i="34"/>
  <c r="O1140" i="34"/>
  <c r="P1146" i="34"/>
  <c r="O1147" i="34"/>
  <c r="O1148" i="34"/>
  <c r="P1149" i="34"/>
  <c r="O1150" i="34"/>
  <c r="Q1158" i="34"/>
  <c r="Q1160" i="34"/>
  <c r="Q1161" i="34"/>
  <c r="P1162" i="34"/>
  <c r="O1163" i="34"/>
  <c r="O1164" i="34"/>
  <c r="Q1166" i="34"/>
  <c r="P1167" i="34"/>
  <c r="O1168" i="34"/>
  <c r="P1171" i="34"/>
  <c r="O1172" i="34"/>
  <c r="Q1174" i="34"/>
  <c r="P1175" i="34"/>
  <c r="Q1178" i="34"/>
  <c r="P1179" i="34"/>
  <c r="O1180" i="34"/>
  <c r="Q1182" i="34"/>
  <c r="P1183" i="34"/>
  <c r="O1184" i="34"/>
  <c r="Q1186" i="34"/>
  <c r="P1187" i="34"/>
  <c r="O1188" i="34"/>
  <c r="Q1190" i="34"/>
  <c r="P1191" i="34"/>
  <c r="O1192" i="34"/>
  <c r="Q1194" i="34"/>
  <c r="P1195" i="34"/>
  <c r="O1196" i="34"/>
  <c r="Q1198" i="34"/>
  <c r="P1199" i="34"/>
  <c r="O1200" i="34"/>
  <c r="Q1202" i="34"/>
  <c r="P1203" i="34"/>
  <c r="O1204" i="34"/>
  <c r="Q1206" i="34"/>
  <c r="P1207" i="34"/>
  <c r="Q1210" i="34"/>
  <c r="P1211" i="34"/>
  <c r="O1212" i="34"/>
  <c r="Q1214" i="34"/>
  <c r="P1215" i="34"/>
  <c r="O1216" i="34"/>
  <c r="Q1218" i="34"/>
  <c r="P1219" i="34"/>
  <c r="O1220" i="34"/>
  <c r="Q1222" i="34"/>
  <c r="P1223" i="34"/>
  <c r="O1224" i="34"/>
  <c r="Q1226" i="34"/>
  <c r="P1227" i="34"/>
  <c r="O1232" i="34"/>
  <c r="Q1234" i="34"/>
  <c r="P1235" i="34"/>
  <c r="O1236" i="34"/>
  <c r="Q1238" i="34"/>
  <c r="P1239" i="34"/>
  <c r="O1240" i="34"/>
  <c r="Q1242" i="34"/>
  <c r="P1243" i="34"/>
  <c r="Q1246" i="34"/>
  <c r="P1247" i="34"/>
  <c r="O1248" i="34"/>
  <c r="Q1250" i="34"/>
  <c r="P1251" i="34"/>
  <c r="O1252" i="34"/>
  <c r="Q1254" i="34"/>
  <c r="P1255" i="34"/>
  <c r="O1256" i="34"/>
  <c r="Q1258" i="34"/>
  <c r="P1259" i="34"/>
  <c r="O1260" i="34"/>
  <c r="Q1262" i="34"/>
  <c r="P1263" i="34"/>
  <c r="O1264" i="34"/>
  <c r="Q1266" i="34"/>
  <c r="P1267" i="34"/>
  <c r="O1268" i="34"/>
  <c r="Q1270" i="34"/>
  <c r="P1271" i="34"/>
  <c r="O1272" i="34"/>
  <c r="Q1274" i="34"/>
  <c r="P1275" i="34"/>
  <c r="O1276" i="34"/>
  <c r="Q1278" i="34"/>
  <c r="P1279" i="34"/>
  <c r="Q1282" i="34"/>
  <c r="P1283" i="34"/>
  <c r="O1284" i="34"/>
  <c r="Q1286" i="34"/>
  <c r="P1287" i="34"/>
  <c r="O1288" i="34"/>
  <c r="Q1290" i="34"/>
  <c r="P1291" i="34"/>
  <c r="Q1294" i="34"/>
  <c r="P1295" i="34"/>
  <c r="O1296" i="34"/>
  <c r="Q1298" i="34"/>
  <c r="O1300" i="34"/>
  <c r="Q1302" i="34"/>
  <c r="P1303" i="34"/>
  <c r="O1304" i="34"/>
  <c r="Q1306" i="34"/>
  <c r="P1307" i="34"/>
  <c r="O1308" i="34"/>
  <c r="Q1310" i="34"/>
  <c r="P1311" i="34"/>
  <c r="O1312" i="34"/>
  <c r="Q1314" i="34"/>
  <c r="P1315" i="34"/>
  <c r="O1316" i="34"/>
  <c r="Q1318" i="34"/>
  <c r="P1319" i="34"/>
  <c r="O1320" i="34"/>
  <c r="Q1322" i="34"/>
  <c r="P1323" i="34"/>
  <c r="O1324" i="34"/>
  <c r="Q1326" i="34"/>
  <c r="P1327" i="34"/>
  <c r="P1331" i="34"/>
  <c r="P1335" i="34"/>
  <c r="O1336" i="34"/>
  <c r="Q1338" i="34"/>
  <c r="P1339" i="34"/>
  <c r="O1340" i="34"/>
  <c r="Q1342" i="34"/>
  <c r="P1343" i="34"/>
  <c r="O1344" i="34"/>
  <c r="Q1346" i="34"/>
  <c r="P1347" i="34"/>
  <c r="O1348" i="34"/>
  <c r="Q1350" i="34"/>
  <c r="P1351" i="34"/>
  <c r="O1352" i="34"/>
  <c r="Q1354" i="34"/>
  <c r="P1355" i="34"/>
  <c r="O1356" i="34"/>
  <c r="Q1358" i="34"/>
  <c r="P1359" i="34"/>
  <c r="O1360" i="34"/>
  <c r="Q1362" i="34"/>
  <c r="P1363" i="34"/>
  <c r="O1364" i="34"/>
  <c r="Q1366" i="34"/>
  <c r="P1367" i="34"/>
  <c r="O1368" i="34"/>
  <c r="Q1370" i="34"/>
  <c r="P1371" i="34"/>
  <c r="O1372" i="34"/>
  <c r="Q1374" i="34"/>
  <c r="P1375" i="34"/>
  <c r="O1376" i="34"/>
  <c r="Q1378" i="34"/>
  <c r="P1379" i="34"/>
  <c r="O1380" i="34"/>
  <c r="Q1382" i="34"/>
  <c r="P1383" i="34"/>
  <c r="O1384" i="34"/>
  <c r="Q1386" i="34"/>
  <c r="P1387" i="34"/>
  <c r="O1388" i="34"/>
  <c r="Q1390" i="34"/>
  <c r="P1391" i="34"/>
  <c r="P1119" i="34"/>
  <c r="Q1122" i="34"/>
  <c r="Q1130" i="34"/>
  <c r="P1131" i="34"/>
  <c r="Q1137" i="34"/>
  <c r="Q1138" i="34"/>
  <c r="P1139" i="34"/>
  <c r="Q1145" i="34"/>
  <c r="Q1146" i="34"/>
  <c r="P1147" i="34"/>
  <c r="Q1148" i="34"/>
  <c r="Q1149" i="34"/>
  <c r="P1150" i="34"/>
  <c r="O1151" i="34"/>
  <c r="O1152" i="34"/>
  <c r="P1153" i="34"/>
  <c r="O1154" i="34"/>
  <c r="Q1162" i="34"/>
  <c r="P1163" i="34"/>
  <c r="P1164" i="34"/>
  <c r="O1165" i="34"/>
  <c r="Q1167" i="34"/>
  <c r="P1168" i="34"/>
  <c r="Q1171" i="34"/>
  <c r="P1172" i="34"/>
  <c r="O1173" i="34"/>
  <c r="Q1175" i="34"/>
  <c r="O1177" i="34"/>
  <c r="Q1179" i="34"/>
  <c r="P1180" i="34"/>
  <c r="O1181" i="34"/>
  <c r="Q1183" i="34"/>
  <c r="P1184" i="34"/>
  <c r="O1185" i="34"/>
  <c r="Q1187" i="34"/>
  <c r="P1188" i="34"/>
  <c r="O1189" i="34"/>
  <c r="Q1191" i="34"/>
  <c r="P1192" i="34"/>
  <c r="O1193" i="34"/>
  <c r="Q1195" i="34"/>
  <c r="P1196" i="34"/>
  <c r="O1197" i="34"/>
  <c r="Q1199" i="34"/>
  <c r="P1200" i="34"/>
  <c r="O1201" i="34"/>
  <c r="Q1203" i="34"/>
  <c r="P1204" i="34"/>
  <c r="O1205" i="34"/>
  <c r="Q1207" i="34"/>
  <c r="O1209" i="34"/>
  <c r="Q1211" i="34"/>
  <c r="P1212" i="34"/>
  <c r="O1213" i="34"/>
  <c r="Q1215" i="34"/>
  <c r="P1216" i="34"/>
  <c r="O1217" i="34"/>
  <c r="Q1219" i="34"/>
  <c r="P1220" i="34"/>
  <c r="O1221" i="34"/>
  <c r="Q1223" i="34"/>
  <c r="P1224" i="34"/>
  <c r="O1225" i="34"/>
  <c r="Q1227" i="34"/>
  <c r="O1229" i="34"/>
  <c r="P1232" i="34"/>
  <c r="O1233" i="34"/>
  <c r="Q1235" i="34"/>
  <c r="P1236" i="34"/>
  <c r="O1237" i="34"/>
  <c r="Q1239" i="34"/>
  <c r="P1240" i="34"/>
  <c r="O1241" i="34"/>
  <c r="Q1243" i="34"/>
  <c r="Q1247" i="34"/>
  <c r="P1248" i="34"/>
  <c r="O1249" i="34"/>
  <c r="Q1251" i="34"/>
  <c r="P1252" i="34"/>
  <c r="O1253" i="34"/>
  <c r="Q1255" i="34"/>
  <c r="P1256" i="34"/>
  <c r="O1257" i="34"/>
  <c r="Q1259" i="34"/>
  <c r="P1260" i="34"/>
  <c r="O1261" i="34"/>
  <c r="Q1263" i="34"/>
  <c r="P1264" i="34"/>
  <c r="O1265" i="34"/>
  <c r="Q1267" i="34"/>
  <c r="P1268" i="34"/>
  <c r="O1269" i="34"/>
  <c r="Q1271" i="34"/>
  <c r="P1272" i="34"/>
  <c r="O1273" i="34"/>
  <c r="Q1275" i="34"/>
  <c r="P1276" i="34"/>
  <c r="O1277" i="34"/>
  <c r="Q1279" i="34"/>
  <c r="O1281" i="34"/>
  <c r="Q1283" i="34"/>
  <c r="P1284" i="34"/>
  <c r="O1285" i="34"/>
  <c r="Q1287" i="34"/>
  <c r="P1288" i="34"/>
  <c r="O1289" i="34"/>
  <c r="Q1291" i="34"/>
  <c r="O1293" i="34"/>
  <c r="Q1295" i="34"/>
  <c r="P1296" i="34"/>
  <c r="O1297" i="34"/>
  <c r="P1300" i="34"/>
  <c r="O1301" i="34"/>
  <c r="Q1303" i="34"/>
  <c r="P1304" i="34"/>
  <c r="O1305" i="34"/>
  <c r="Q1307" i="34"/>
  <c r="P1308" i="34"/>
  <c r="O1309" i="34"/>
  <c r="Q1311" i="34"/>
  <c r="P1312" i="34"/>
  <c r="O1313" i="34"/>
  <c r="Q1315" i="34"/>
  <c r="P1316" i="34"/>
  <c r="O1317" i="34"/>
  <c r="Q1319" i="34"/>
  <c r="P1320" i="34"/>
  <c r="O1321" i="34"/>
  <c r="Q1323" i="34"/>
  <c r="P1324" i="34"/>
  <c r="O1325" i="34"/>
  <c r="Q1327" i="34"/>
  <c r="Q1331" i="34"/>
  <c r="Q1335" i="34"/>
  <c r="P1336" i="34"/>
  <c r="O1337" i="34"/>
  <c r="Q1339" i="34"/>
  <c r="P1340" i="34"/>
  <c r="O1341" i="34"/>
  <c r="Q1343" i="34"/>
  <c r="P1344" i="34"/>
  <c r="O1345" i="34"/>
  <c r="Q1347" i="34"/>
  <c r="P1348" i="34"/>
  <c r="O1349" i="34"/>
  <c r="Q1351" i="34"/>
  <c r="P1352" i="34"/>
  <c r="O1353" i="34"/>
  <c r="Q1355" i="34"/>
  <c r="P1356" i="34"/>
  <c r="O1357" i="34"/>
  <c r="Q1359" i="34"/>
  <c r="P1360" i="34"/>
  <c r="O1361" i="34"/>
  <c r="Q1363" i="34"/>
  <c r="P1364" i="34"/>
  <c r="O1365" i="34"/>
  <c r="Q1367" i="34"/>
  <c r="P1368" i="34"/>
  <c r="O1369" i="34"/>
  <c r="Q1371" i="34"/>
  <c r="P1372" i="34"/>
  <c r="O1373" i="34"/>
  <c r="O1128" i="34"/>
  <c r="P1134" i="34"/>
  <c r="O1135" i="34"/>
  <c r="O1136" i="34"/>
  <c r="P1142" i="34"/>
  <c r="O1143" i="34"/>
  <c r="O1144" i="34"/>
  <c r="Q1150" i="34"/>
  <c r="P1151" i="34"/>
  <c r="Q1152" i="34"/>
  <c r="Q1153" i="34"/>
  <c r="P1154" i="34"/>
  <c r="O1155" i="34"/>
  <c r="O1156" i="34"/>
  <c r="P1157" i="34"/>
  <c r="O1158" i="34"/>
  <c r="Q1164" i="34"/>
  <c r="P1165" i="34"/>
  <c r="O1166" i="34"/>
  <c r="Q1168" i="34"/>
  <c r="Q1172" i="34"/>
  <c r="P1173" i="34"/>
  <c r="O1174" i="34"/>
  <c r="P1177" i="34"/>
  <c r="O1178" i="34"/>
  <c r="Q1180" i="34"/>
  <c r="P1181" i="34"/>
  <c r="O1182" i="34"/>
  <c r="Q1184" i="34"/>
  <c r="P1185" i="34"/>
  <c r="O1186" i="34"/>
  <c r="Q1188" i="34"/>
  <c r="P1189" i="34"/>
  <c r="O1190" i="34"/>
  <c r="Q1192" i="34"/>
  <c r="P1193" i="34"/>
  <c r="O1194" i="34"/>
  <c r="Q1196" i="34"/>
  <c r="P1197" i="34"/>
  <c r="O1198" i="34"/>
  <c r="Q1200" i="34"/>
  <c r="P1201" i="34"/>
  <c r="O1202" i="34"/>
  <c r="Q1204" i="34"/>
  <c r="P1205" i="34"/>
  <c r="O1206" i="34"/>
  <c r="P1209" i="34"/>
  <c r="O1210" i="34"/>
  <c r="Q1212" i="34"/>
  <c r="P1213" i="34"/>
  <c r="O1214" i="34"/>
  <c r="Q1216" i="34"/>
  <c r="P1217" i="34"/>
  <c r="O1218" i="34"/>
  <c r="Q1220" i="34"/>
  <c r="P1221" i="34"/>
  <c r="O1222" i="34"/>
  <c r="Q1224" i="34"/>
  <c r="P1225" i="34"/>
  <c r="O1226" i="34"/>
  <c r="P1229" i="34"/>
  <c r="Q1232" i="34"/>
  <c r="P1233" i="34"/>
  <c r="O1234" i="34"/>
  <c r="Q1236" i="34"/>
  <c r="P1237" i="34"/>
  <c r="O1238" i="34"/>
  <c r="Q1240" i="34"/>
  <c r="P1241" i="34"/>
  <c r="O1242" i="34"/>
  <c r="O1246" i="34"/>
  <c r="Q1248" i="34"/>
  <c r="P1249" i="34"/>
  <c r="O1250" i="34"/>
  <c r="Q1252" i="34"/>
  <c r="P1253" i="34"/>
  <c r="O1254" i="34"/>
  <c r="Q1256" i="34"/>
  <c r="P1257" i="34"/>
  <c r="O1258" i="34"/>
  <c r="Q1260" i="34"/>
  <c r="P1261" i="34"/>
  <c r="O1262" i="34"/>
  <c r="Q1264" i="34"/>
  <c r="P1265" i="34"/>
  <c r="O1266" i="34"/>
  <c r="Q1268" i="34"/>
  <c r="P1269" i="34"/>
  <c r="O1270" i="34"/>
  <c r="Q1272" i="34"/>
  <c r="P1273" i="34"/>
  <c r="O1274" i="34"/>
  <c r="Q1276" i="34"/>
  <c r="P1277" i="34"/>
  <c r="O1278" i="34"/>
  <c r="P1281" i="34"/>
  <c r="O1282" i="34"/>
  <c r="Q1284" i="34"/>
  <c r="P1285" i="34"/>
  <c r="O1286" i="34"/>
  <c r="Q1288" i="34"/>
  <c r="P1289" i="34"/>
  <c r="O1290" i="34"/>
  <c r="P1293" i="34"/>
  <c r="O1294" i="34"/>
  <c r="Q1296" i="34"/>
  <c r="P1297" i="34"/>
  <c r="O1298" i="34"/>
  <c r="Q1300" i="34"/>
  <c r="P1301" i="34"/>
  <c r="O1302" i="34"/>
  <c r="Q1304" i="34"/>
  <c r="P1305" i="34"/>
  <c r="O1306" i="34"/>
  <c r="Q1308" i="34"/>
  <c r="P1309" i="34"/>
  <c r="O1310" i="34"/>
  <c r="Q1312" i="34"/>
  <c r="P1313" i="34"/>
  <c r="O1314" i="34"/>
  <c r="Q1316" i="34"/>
  <c r="P1317" i="34"/>
  <c r="O1318" i="34"/>
  <c r="Q1320" i="34"/>
  <c r="P1321" i="34"/>
  <c r="O1322" i="34"/>
  <c r="Q1324" i="34"/>
  <c r="P1325" i="34"/>
  <c r="O1326" i="34"/>
  <c r="Q1336" i="34"/>
  <c r="P1337" i="34"/>
  <c r="O1338" i="34"/>
  <c r="Q1340" i="34"/>
  <c r="P1341" i="34"/>
  <c r="O1342" i="34"/>
  <c r="Q1344" i="34"/>
  <c r="P1345" i="34"/>
  <c r="O1346" i="34"/>
  <c r="Q1348" i="34"/>
  <c r="P1349" i="34"/>
  <c r="O1350" i="34"/>
  <c r="Q1352" i="34"/>
  <c r="P1353" i="34"/>
  <c r="O1354" i="34"/>
  <c r="Q1356" i="34"/>
  <c r="P1357" i="34"/>
  <c r="O1358" i="34"/>
  <c r="Q1360" i="34"/>
  <c r="P1361" i="34"/>
  <c r="O1362" i="34"/>
  <c r="Q1364" i="34"/>
  <c r="P1365" i="34"/>
  <c r="O1366" i="34"/>
  <c r="Q1368" i="34"/>
  <c r="O1124" i="34"/>
  <c r="P1127" i="34"/>
  <c r="Q1133" i="34"/>
  <c r="Q1134" i="34"/>
  <c r="P1135" i="34"/>
  <c r="Q1141" i="34"/>
  <c r="Q1142" i="34"/>
  <c r="P1143" i="34"/>
  <c r="Q1154" i="34"/>
  <c r="P1155" i="34"/>
  <c r="Q1156" i="34"/>
  <c r="Q1157" i="34"/>
  <c r="P1158" i="34"/>
  <c r="O1160" i="34"/>
  <c r="P1161" i="34"/>
  <c r="O1162" i="34"/>
  <c r="Q1165" i="34"/>
  <c r="P1166" i="34"/>
  <c r="O1167" i="34"/>
  <c r="O1171" i="34"/>
  <c r="Q1173" i="34"/>
  <c r="P1174" i="34"/>
  <c r="O1175" i="34"/>
  <c r="Q1177" i="34"/>
  <c r="P1178" i="34"/>
  <c r="O1179" i="34"/>
  <c r="Q1181" i="34"/>
  <c r="P1182" i="34"/>
  <c r="O1183" i="34"/>
  <c r="Q1185" i="34"/>
  <c r="P1186" i="34"/>
  <c r="O1187" i="34"/>
  <c r="Q1189" i="34"/>
  <c r="P1190" i="34"/>
  <c r="O1191" i="34"/>
  <c r="Q1193" i="34"/>
  <c r="P1194" i="34"/>
  <c r="O1195" i="34"/>
  <c r="Q1197" i="34"/>
  <c r="P1198" i="34"/>
  <c r="O1199" i="34"/>
  <c r="Q1201" i="34"/>
  <c r="P1202" i="34"/>
  <c r="O1203" i="34"/>
  <c r="Q1205" i="34"/>
  <c r="P1206" i="34"/>
  <c r="O1207" i="34"/>
  <c r="Q1209" i="34"/>
  <c r="P1210" i="34"/>
  <c r="O1211" i="34"/>
  <c r="Q1213" i="34"/>
  <c r="P1214" i="34"/>
  <c r="O1215" i="34"/>
  <c r="Q1217" i="34"/>
  <c r="P1218" i="34"/>
  <c r="O1219" i="34"/>
  <c r="Q1221" i="34"/>
  <c r="P1222" i="34"/>
  <c r="O1223" i="34"/>
  <c r="Q1225" i="34"/>
  <c r="P1226" i="34"/>
  <c r="O1227" i="34"/>
  <c r="Q1229" i="34"/>
  <c r="Q1233" i="34"/>
  <c r="P1234" i="34"/>
  <c r="O1235" i="34"/>
  <c r="Q1237" i="34"/>
  <c r="P1238" i="34"/>
  <c r="O1239" i="34"/>
  <c r="Q1241" i="34"/>
  <c r="P1242" i="34"/>
  <c r="O1243" i="34"/>
  <c r="P1246" i="34"/>
  <c r="O1247" i="34"/>
  <c r="Q1249" i="34"/>
  <c r="P1250" i="34"/>
  <c r="O1251" i="34"/>
  <c r="Q1253" i="34"/>
  <c r="P1254" i="34"/>
  <c r="O1255" i="34"/>
  <c r="Q1257" i="34"/>
  <c r="P1258" i="34"/>
  <c r="O1259" i="34"/>
  <c r="Q1261" i="34"/>
  <c r="P1262" i="34"/>
  <c r="O1263" i="34"/>
  <c r="Q1265" i="34"/>
  <c r="P1266" i="34"/>
  <c r="O1267" i="34"/>
  <c r="Q1269" i="34"/>
  <c r="P1270" i="34"/>
  <c r="O1271" i="34"/>
  <c r="Q1273" i="34"/>
  <c r="P1274" i="34"/>
  <c r="O1275" i="34"/>
  <c r="Q1277" i="34"/>
  <c r="P1278" i="34"/>
  <c r="O1279" i="34"/>
  <c r="Q1281" i="34"/>
  <c r="P1282" i="34"/>
  <c r="O1283" i="34"/>
  <c r="Q1285" i="34"/>
  <c r="P1286" i="34"/>
  <c r="O1287" i="34"/>
  <c r="Q1289" i="34"/>
  <c r="P1290" i="34"/>
  <c r="O1291" i="34"/>
  <c r="Q1293" i="34"/>
  <c r="P1294" i="34"/>
  <c r="O1295" i="34"/>
  <c r="Q1297" i="34"/>
  <c r="P1298" i="34"/>
  <c r="Q1301" i="34"/>
  <c r="P1302" i="34"/>
  <c r="O1303" i="34"/>
  <c r="Q1305" i="34"/>
  <c r="P1306" i="34"/>
  <c r="O1307" i="34"/>
  <c r="Q1309" i="34"/>
  <c r="P1310" i="34"/>
  <c r="O1311" i="34"/>
  <c r="Q1313" i="34"/>
  <c r="P1314" i="34"/>
  <c r="O1315" i="34"/>
  <c r="Q1317" i="34"/>
  <c r="P1318" i="34"/>
  <c r="O1319" i="34"/>
  <c r="Q1321" i="34"/>
  <c r="P1322" i="34"/>
  <c r="O1323" i="34"/>
  <c r="Q1325" i="34"/>
  <c r="P1326" i="34"/>
  <c r="O1327" i="34"/>
  <c r="O1331" i="34"/>
  <c r="O1335" i="34"/>
  <c r="Q1337" i="34"/>
  <c r="P1338" i="34"/>
  <c r="O1339" i="34"/>
  <c r="Q1341" i="34"/>
  <c r="P1342" i="34"/>
  <c r="O1343" i="34"/>
  <c r="Q1345" i="34"/>
  <c r="P1346" i="34"/>
  <c r="O1347" i="34"/>
  <c r="Q1349" i="34"/>
  <c r="P1350" i="34"/>
  <c r="O1351" i="34"/>
  <c r="Q1353" i="34"/>
  <c r="P1354" i="34"/>
  <c r="O1355" i="34"/>
  <c r="Q1357" i="34"/>
  <c r="P1358" i="34"/>
  <c r="O1359" i="34"/>
  <c r="Q1361" i="34"/>
  <c r="P1362" i="34"/>
  <c r="O1363" i="34"/>
  <c r="Q1365" i="34"/>
  <c r="P1366" i="34"/>
  <c r="O1367" i="34"/>
  <c r="Q1369" i="34"/>
  <c r="P1370" i="34"/>
  <c r="O1371" i="34"/>
  <c r="Q1373" i="34"/>
  <c r="P1374" i="34"/>
  <c r="O1375" i="34"/>
  <c r="Q1377" i="34"/>
  <c r="P1378" i="34"/>
  <c r="O1379" i="34"/>
  <c r="Q1381" i="34"/>
  <c r="P1382" i="34"/>
  <c r="O1383" i="34"/>
  <c r="Q1385" i="34"/>
  <c r="P1386" i="34"/>
  <c r="O1387" i="34"/>
  <c r="Q1389" i="34"/>
  <c r="P1390" i="34"/>
  <c r="O1391" i="34"/>
  <c r="Q1393" i="34"/>
  <c r="P1394" i="34"/>
  <c r="O1395" i="34"/>
  <c r="Q1397" i="34"/>
  <c r="P1398" i="34"/>
  <c r="O1399" i="34"/>
  <c r="Q1401" i="34"/>
  <c r="O1403" i="34"/>
  <c r="Q1405" i="34"/>
  <c r="P1406" i="34"/>
  <c r="O1407" i="34"/>
  <c r="O1370" i="34"/>
  <c r="P1373" i="34"/>
  <c r="Q1379" i="34"/>
  <c r="Q1380" i="34"/>
  <c r="P1381" i="34"/>
  <c r="Q1387" i="34"/>
  <c r="Q1388" i="34"/>
  <c r="P1389" i="34"/>
  <c r="Q1396" i="34"/>
  <c r="P1397" i="34"/>
  <c r="Q1398" i="34"/>
  <c r="Q1399" i="34"/>
  <c r="P1400" i="34"/>
  <c r="O1401" i="34"/>
  <c r="P1403" i="34"/>
  <c r="O1404" i="34"/>
  <c r="Q1409" i="34"/>
  <c r="P1410" i="34"/>
  <c r="O1411" i="34"/>
  <c r="P1414" i="34"/>
  <c r="O1415" i="34"/>
  <c r="Q1417" i="34"/>
  <c r="P1418" i="34"/>
  <c r="O1419" i="34"/>
  <c r="Q1421" i="34"/>
  <c r="Q1425" i="34"/>
  <c r="P1426" i="34"/>
  <c r="O1427" i="34"/>
  <c r="Q1429" i="34"/>
  <c r="P1430" i="34"/>
  <c r="O1431" i="34"/>
  <c r="Q1433" i="34"/>
  <c r="P1434" i="34"/>
  <c r="O1435" i="34"/>
  <c r="Q1437" i="34"/>
  <c r="P1438" i="34"/>
  <c r="O1439" i="34"/>
  <c r="Q1441" i="34"/>
  <c r="P1442" i="34"/>
  <c r="O1443" i="34"/>
  <c r="Q1445" i="34"/>
  <c r="P1446" i="34"/>
  <c r="O1447" i="34"/>
  <c r="Q1449" i="34"/>
  <c r="P1450" i="34"/>
  <c r="O1451" i="34"/>
  <c r="Q1453" i="34"/>
  <c r="P1454" i="34"/>
  <c r="O1455" i="34"/>
  <c r="Q1457" i="34"/>
  <c r="P1458" i="34"/>
  <c r="O1459" i="34"/>
  <c r="Q1461" i="34"/>
  <c r="P1462" i="34"/>
  <c r="O1463" i="34"/>
  <c r="Q1465" i="34"/>
  <c r="P1466" i="34"/>
  <c r="O1467" i="34"/>
  <c r="Q1469" i="34"/>
  <c r="P1470" i="34"/>
  <c r="O1471" i="34"/>
  <c r="Q1473" i="34"/>
  <c r="P1474" i="34"/>
  <c r="O1475" i="34"/>
  <c r="Q1477" i="34"/>
  <c r="P1478" i="34"/>
  <c r="O1479" i="34"/>
  <c r="Q1481" i="34"/>
  <c r="P1482" i="34"/>
  <c r="O1483" i="34"/>
  <c r="Q1485" i="34"/>
  <c r="P1486" i="34"/>
  <c r="O1487" i="34"/>
  <c r="Q1489" i="34"/>
  <c r="P1490" i="34"/>
  <c r="O1491" i="34"/>
  <c r="Q1493" i="34"/>
  <c r="P1494" i="34"/>
  <c r="O1495" i="34"/>
  <c r="Q1497" i="34"/>
  <c r="P1498" i="34"/>
  <c r="O1499" i="34"/>
  <c r="Q1501" i="34"/>
  <c r="P1502" i="34"/>
  <c r="O1503" i="34"/>
  <c r="Q1505" i="34"/>
  <c r="P1506" i="34"/>
  <c r="O1507" i="34"/>
  <c r="Q1509" i="34"/>
  <c r="P1510" i="34"/>
  <c r="O1511" i="34"/>
  <c r="Q1513" i="34"/>
  <c r="P1514" i="34"/>
  <c r="O1515" i="34"/>
  <c r="Q1517" i="34"/>
  <c r="P1518" i="34"/>
  <c r="O1519" i="34"/>
  <c r="Q1521" i="34"/>
  <c r="P1522" i="34"/>
  <c r="O1523" i="34"/>
  <c r="Q1525" i="34"/>
  <c r="P1526" i="34"/>
  <c r="O1527" i="34"/>
  <c r="Q1529" i="34"/>
  <c r="P1530" i="34"/>
  <c r="O1531" i="34"/>
  <c r="Q1533" i="34"/>
  <c r="P1534" i="34"/>
  <c r="O1535" i="34"/>
  <c r="Q1537" i="34"/>
  <c r="P1538" i="34"/>
  <c r="O1539" i="34"/>
  <c r="Q1541" i="34"/>
  <c r="P1542" i="34"/>
  <c r="O1543" i="34"/>
  <c r="Q1545" i="34"/>
  <c r="P1546" i="34"/>
  <c r="O1547" i="34"/>
  <c r="Q1549" i="34"/>
  <c r="P1550" i="34"/>
  <c r="O1551" i="34"/>
  <c r="Q1553" i="34"/>
  <c r="P1554" i="34"/>
  <c r="O1555" i="34"/>
  <c r="Q1557" i="34"/>
  <c r="P1558" i="34"/>
  <c r="O1559" i="34"/>
  <c r="Q1561" i="34"/>
  <c r="P1562" i="34"/>
  <c r="O1563" i="34"/>
  <c r="Q1565" i="34"/>
  <c r="P1566" i="34"/>
  <c r="O1567" i="34"/>
  <c r="Q1569" i="34"/>
  <c r="P1570" i="34"/>
  <c r="O1571" i="34"/>
  <c r="Q1573" i="34"/>
  <c r="P1574" i="34"/>
  <c r="O1575" i="34"/>
  <c r="Q1577" i="34"/>
  <c r="P1578" i="34"/>
  <c r="O1579" i="34"/>
  <c r="Q1581" i="34"/>
  <c r="P1582" i="34"/>
  <c r="O1583" i="34"/>
  <c r="Q1585" i="34"/>
  <c r="P1586" i="34"/>
  <c r="O1587" i="34"/>
  <c r="Q1589" i="34"/>
  <c r="P1590" i="34"/>
  <c r="O1591" i="34"/>
  <c r="Q1593" i="34"/>
  <c r="P1594" i="34"/>
  <c r="O1595" i="34"/>
  <c r="Q1597" i="34"/>
  <c r="P1598" i="34"/>
  <c r="O1599" i="34"/>
  <c r="Q1601" i="34"/>
  <c r="P1602" i="34"/>
  <c r="O1603" i="34"/>
  <c r="Q1605" i="34"/>
  <c r="P1606" i="34"/>
  <c r="O1607" i="34"/>
  <c r="Q1609" i="34"/>
  <c r="P1610" i="34"/>
  <c r="O1611" i="34"/>
  <c r="Q1613" i="34"/>
  <c r="P1614" i="34"/>
  <c r="O1615" i="34"/>
  <c r="Q1617" i="34"/>
  <c r="P1618" i="34"/>
  <c r="O1619" i="34"/>
  <c r="Q1621" i="34"/>
  <c r="P1622" i="34"/>
  <c r="O1623" i="34"/>
  <c r="Q1625" i="34"/>
  <c r="P1626" i="34"/>
  <c r="O1627" i="34"/>
  <c r="Q1629" i="34"/>
  <c r="P1630" i="34"/>
  <c r="O1631" i="34"/>
  <c r="Q1633" i="34"/>
  <c r="P1634" i="34"/>
  <c r="O1635" i="34"/>
  <c r="Q1637" i="34"/>
  <c r="P1638" i="34"/>
  <c r="O1639" i="34"/>
  <c r="Q1641" i="34"/>
  <c r="P1642" i="34"/>
  <c r="O1643" i="34"/>
  <c r="Q1645" i="34"/>
  <c r="P1646" i="34"/>
  <c r="O1647" i="34"/>
  <c r="Q1649" i="34"/>
  <c r="P1650" i="34"/>
  <c r="O1651" i="34"/>
  <c r="Q1653" i="34"/>
  <c r="P1654" i="34"/>
  <c r="O1655" i="34"/>
  <c r="Q1657" i="34"/>
  <c r="P1658" i="34"/>
  <c r="O1659" i="34"/>
  <c r="Q1661" i="34"/>
  <c r="P1662" i="34"/>
  <c r="O1663" i="34"/>
  <c r="Q1665" i="34"/>
  <c r="P1666" i="34"/>
  <c r="O1667" i="34"/>
  <c r="Q1669" i="34"/>
  <c r="P1670" i="34"/>
  <c r="O1671" i="34"/>
  <c r="Q1673" i="34"/>
  <c r="P1674" i="34"/>
  <c r="O1675" i="34"/>
  <c r="Q1677" i="34"/>
  <c r="P1678" i="34"/>
  <c r="O1679" i="34"/>
  <c r="Q1681" i="34"/>
  <c r="P1682" i="34"/>
  <c r="O1683" i="34"/>
  <c r="Q1685" i="34"/>
  <c r="P1686" i="34"/>
  <c r="O1687" i="34"/>
  <c r="Q1689" i="34"/>
  <c r="P1690" i="34"/>
  <c r="O1691" i="34"/>
  <c r="Q1693" i="34"/>
  <c r="P1694" i="34"/>
  <c r="O1695" i="34"/>
  <c r="Q1697" i="34"/>
  <c r="P1698" i="34"/>
  <c r="O1699" i="34"/>
  <c r="Q1701" i="34"/>
  <c r="P1702" i="34"/>
  <c r="O1703" i="34"/>
  <c r="Q1705" i="34"/>
  <c r="P1706" i="34"/>
  <c r="O1707" i="34"/>
  <c r="Q1709" i="34"/>
  <c r="P1710" i="34"/>
  <c r="O1711" i="34"/>
  <c r="Q1713" i="34"/>
  <c r="P1714" i="34"/>
  <c r="O1715" i="34"/>
  <c r="Q1717" i="34"/>
  <c r="P1718" i="34"/>
  <c r="O1719" i="34"/>
  <c r="Q1721" i="34"/>
  <c r="P1722" i="34"/>
  <c r="O1723" i="34"/>
  <c r="Q1725" i="34"/>
  <c r="P1726" i="34"/>
  <c r="O1727" i="34"/>
  <c r="Q1729" i="34"/>
  <c r="P1730" i="34"/>
  <c r="O1731" i="34"/>
  <c r="Q1733" i="34"/>
  <c r="P1734" i="34"/>
  <c r="O1735" i="34"/>
  <c r="Q1737" i="34"/>
  <c r="P1738" i="34"/>
  <c r="O1739" i="34"/>
  <c r="Q1741" i="34"/>
  <c r="P1742" i="34"/>
  <c r="O1743" i="34"/>
  <c r="Q1745" i="34"/>
  <c r="P1746" i="34"/>
  <c r="O1747" i="34"/>
  <c r="Q1749" i="34"/>
  <c r="P1750" i="34"/>
  <c r="O1751" i="34"/>
  <c r="Q1753" i="34"/>
  <c r="P1754" i="34"/>
  <c r="O1755" i="34"/>
  <c r="Q1757" i="34"/>
  <c r="P1758" i="34"/>
  <c r="O1759" i="34"/>
  <c r="Q1761" i="34"/>
  <c r="P1762" i="34"/>
  <c r="O1763" i="34"/>
  <c r="Q1765" i="34"/>
  <c r="P1766" i="34"/>
  <c r="O1767" i="34"/>
  <c r="Q1769" i="34"/>
  <c r="P1770" i="34"/>
  <c r="O1771" i="34"/>
  <c r="Q1773" i="34"/>
  <c r="P1774" i="34"/>
  <c r="O1775" i="34"/>
  <c r="Q1777" i="34"/>
  <c r="P1778" i="34"/>
  <c r="O1779" i="34"/>
  <c r="Q1781" i="34"/>
  <c r="P1782" i="34"/>
  <c r="O1783" i="34"/>
  <c r="Q1785" i="34"/>
  <c r="P1786" i="34"/>
  <c r="O1787" i="34"/>
  <c r="Q1789" i="34"/>
  <c r="P1790" i="34"/>
  <c r="O1791" i="34"/>
  <c r="P1369" i="34"/>
  <c r="Q1372" i="34"/>
  <c r="P1376" i="34"/>
  <c r="O1377" i="34"/>
  <c r="O1378" i="34"/>
  <c r="P1384" i="34"/>
  <c r="O1385" i="34"/>
  <c r="O1386" i="34"/>
  <c r="O1392" i="34"/>
  <c r="Q1400" i="34"/>
  <c r="P1401" i="34"/>
  <c r="Q1403" i="34"/>
  <c r="P1404" i="34"/>
  <c r="O1405" i="34"/>
  <c r="O1406" i="34"/>
  <c r="P1407" i="34"/>
  <c r="Q1410" i="34"/>
  <c r="P1411" i="34"/>
  <c r="O1412" i="34"/>
  <c r="Q1414" i="34"/>
  <c r="P1415" i="34"/>
  <c r="O1416" i="34"/>
  <c r="Q1418" i="34"/>
  <c r="P1419" i="34"/>
  <c r="O1420" i="34"/>
  <c r="O1424" i="34"/>
  <c r="Q1426" i="34"/>
  <c r="P1427" i="34"/>
  <c r="O1428" i="34"/>
  <c r="Q1430" i="34"/>
  <c r="P1431" i="34"/>
  <c r="O1432" i="34"/>
  <c r="Q1434" i="34"/>
  <c r="P1435" i="34"/>
  <c r="O1436" i="34"/>
  <c r="Q1438" i="34"/>
  <c r="P1439" i="34"/>
  <c r="O1440" i="34"/>
  <c r="Q1442" i="34"/>
  <c r="P1443" i="34"/>
  <c r="O1444" i="34"/>
  <c r="Q1446" i="34"/>
  <c r="P1447" i="34"/>
  <c r="O1448" i="34"/>
  <c r="Q1450" i="34"/>
  <c r="P1451" i="34"/>
  <c r="O1452" i="34"/>
  <c r="Q1454" i="34"/>
  <c r="P1455" i="34"/>
  <c r="O1456" i="34"/>
  <c r="Q1458" i="34"/>
  <c r="P1459" i="34"/>
  <c r="O1460" i="34"/>
  <c r="Q1462" i="34"/>
  <c r="P1463" i="34"/>
  <c r="O1464" i="34"/>
  <c r="Q1466" i="34"/>
  <c r="P1467" i="34"/>
  <c r="O1468" i="34"/>
  <c r="Q1470" i="34"/>
  <c r="P1471" i="34"/>
  <c r="O1472" i="34"/>
  <c r="Q1474" i="34"/>
  <c r="P1475" i="34"/>
  <c r="O1476" i="34"/>
  <c r="Q1478" i="34"/>
  <c r="P1479" i="34"/>
  <c r="O1480" i="34"/>
  <c r="Q1482" i="34"/>
  <c r="P1483" i="34"/>
  <c r="O1484" i="34"/>
  <c r="Q1486" i="34"/>
  <c r="P1487" i="34"/>
  <c r="O1488" i="34"/>
  <c r="Q1490" i="34"/>
  <c r="P1491" i="34"/>
  <c r="O1492" i="34"/>
  <c r="Q1494" i="34"/>
  <c r="P1495" i="34"/>
  <c r="O1496" i="34"/>
  <c r="Q1498" i="34"/>
  <c r="P1499" i="34"/>
  <c r="O1500" i="34"/>
  <c r="Q1502" i="34"/>
  <c r="P1503" i="34"/>
  <c r="O1504" i="34"/>
  <c r="Q1506" i="34"/>
  <c r="P1507" i="34"/>
  <c r="O1508" i="34"/>
  <c r="Q1510" i="34"/>
  <c r="P1511" i="34"/>
  <c r="O1512" i="34"/>
  <c r="Q1514" i="34"/>
  <c r="P1515" i="34"/>
  <c r="O1516" i="34"/>
  <c r="Q1518" i="34"/>
  <c r="P1519" i="34"/>
  <c r="O1520" i="34"/>
  <c r="Q1522" i="34"/>
  <c r="P1523" i="34"/>
  <c r="O1524" i="34"/>
  <c r="Q1526" i="34"/>
  <c r="P1527" i="34"/>
  <c r="O1528" i="34"/>
  <c r="Q1530" i="34"/>
  <c r="P1531" i="34"/>
  <c r="O1532" i="34"/>
  <c r="Q1534" i="34"/>
  <c r="P1535" i="34"/>
  <c r="O1536" i="34"/>
  <c r="Q1538" i="34"/>
  <c r="P1539" i="34"/>
  <c r="O1540" i="34"/>
  <c r="Q1542" i="34"/>
  <c r="P1543" i="34"/>
  <c r="O1544" i="34"/>
  <c r="Q1546" i="34"/>
  <c r="P1547" i="34"/>
  <c r="O1548" i="34"/>
  <c r="Q1550" i="34"/>
  <c r="P1551" i="34"/>
  <c r="O1552" i="34"/>
  <c r="Q1554" i="34"/>
  <c r="P1555" i="34"/>
  <c r="O1556" i="34"/>
  <c r="Q1558" i="34"/>
  <c r="P1559" i="34"/>
  <c r="O1560" i="34"/>
  <c r="Q1562" i="34"/>
  <c r="P1563" i="34"/>
  <c r="O1564" i="34"/>
  <c r="Q1566" i="34"/>
  <c r="P1567" i="34"/>
  <c r="O1568" i="34"/>
  <c r="Q1570" i="34"/>
  <c r="P1571" i="34"/>
  <c r="O1572" i="34"/>
  <c r="Q1574" i="34"/>
  <c r="P1575" i="34"/>
  <c r="O1576" i="34"/>
  <c r="Q1578" i="34"/>
  <c r="P1579" i="34"/>
  <c r="O1580" i="34"/>
  <c r="Q1582" i="34"/>
  <c r="P1583" i="34"/>
  <c r="O1584" i="34"/>
  <c r="Q1586" i="34"/>
  <c r="P1587" i="34"/>
  <c r="O1588" i="34"/>
  <c r="Q1590" i="34"/>
  <c r="P1591" i="34"/>
  <c r="O1592" i="34"/>
  <c r="Q1594" i="34"/>
  <c r="P1595" i="34"/>
  <c r="O1596" i="34"/>
  <c r="Q1598" i="34"/>
  <c r="P1599" i="34"/>
  <c r="O1600" i="34"/>
  <c r="Q1602" i="34"/>
  <c r="P1603" i="34"/>
  <c r="O1604" i="34"/>
  <c r="Q1606" i="34"/>
  <c r="P1607" i="34"/>
  <c r="O1608" i="34"/>
  <c r="Q1610" i="34"/>
  <c r="P1611" i="34"/>
  <c r="O1612" i="34"/>
  <c r="Q1614" i="34"/>
  <c r="P1615" i="34"/>
  <c r="O1616" i="34"/>
  <c r="Q1618" i="34"/>
  <c r="P1619" i="34"/>
  <c r="O1620" i="34"/>
  <c r="Q1622" i="34"/>
  <c r="P1623" i="34"/>
  <c r="O1624" i="34"/>
  <c r="Q1626" i="34"/>
  <c r="P1627" i="34"/>
  <c r="O1628" i="34"/>
  <c r="Q1630" i="34"/>
  <c r="P1631" i="34"/>
  <c r="O1632" i="34"/>
  <c r="Q1634" i="34"/>
  <c r="P1635" i="34"/>
  <c r="O1636" i="34"/>
  <c r="Q1638" i="34"/>
  <c r="P1639" i="34"/>
  <c r="O1640" i="34"/>
  <c r="Q1642" i="34"/>
  <c r="P1643" i="34"/>
  <c r="O1644" i="34"/>
  <c r="Q1646" i="34"/>
  <c r="P1647" i="34"/>
  <c r="O1648" i="34"/>
  <c r="Q1650" i="34"/>
  <c r="P1651" i="34"/>
  <c r="O1652" i="34"/>
  <c r="Q1654" i="34"/>
  <c r="P1655" i="34"/>
  <c r="O1656" i="34"/>
  <c r="Q1658" i="34"/>
  <c r="P1659" i="34"/>
  <c r="O1660" i="34"/>
  <c r="Q1662" i="34"/>
  <c r="P1663" i="34"/>
  <c r="O1664" i="34"/>
  <c r="Q1666" i="34"/>
  <c r="P1667" i="34"/>
  <c r="O1668" i="34"/>
  <c r="Q1670" i="34"/>
  <c r="P1671" i="34"/>
  <c r="O1672" i="34"/>
  <c r="Q1674" i="34"/>
  <c r="P1675" i="34"/>
  <c r="O1676" i="34"/>
  <c r="Q1678" i="34"/>
  <c r="P1679" i="34"/>
  <c r="O1680" i="34"/>
  <c r="Q1682" i="34"/>
  <c r="P1683" i="34"/>
  <c r="O1684" i="34"/>
  <c r="Q1686" i="34"/>
  <c r="P1687" i="34"/>
  <c r="O1688" i="34"/>
  <c r="Q1690" i="34"/>
  <c r="P1691" i="34"/>
  <c r="O1692" i="34"/>
  <c r="Q1694" i="34"/>
  <c r="P1695" i="34"/>
  <c r="O1696" i="34"/>
  <c r="Q1698" i="34"/>
  <c r="P1699" i="34"/>
  <c r="O1700" i="34"/>
  <c r="Q1702" i="34"/>
  <c r="P1703" i="34"/>
  <c r="O1704" i="34"/>
  <c r="Q1706" i="34"/>
  <c r="P1707" i="34"/>
  <c r="O1708" i="34"/>
  <c r="Q1710" i="34"/>
  <c r="P1711" i="34"/>
  <c r="O1712" i="34"/>
  <c r="Q1714" i="34"/>
  <c r="P1715" i="34"/>
  <c r="O1716" i="34"/>
  <c r="Q1718" i="34"/>
  <c r="P1719" i="34"/>
  <c r="O1720" i="34"/>
  <c r="Q1722" i="34"/>
  <c r="P1723" i="34"/>
  <c r="O1724" i="34"/>
  <c r="Q1726" i="34"/>
  <c r="P1727" i="34"/>
  <c r="O1728" i="34"/>
  <c r="Q1730" i="34"/>
  <c r="P1731" i="34"/>
  <c r="O1732" i="34"/>
  <c r="Q1734" i="34"/>
  <c r="P1735" i="34"/>
  <c r="O1736" i="34"/>
  <c r="Q1738" i="34"/>
  <c r="P1739" i="34"/>
  <c r="O1740" i="34"/>
  <c r="Q1742" i="34"/>
  <c r="P1743" i="34"/>
  <c r="O1744" i="34"/>
  <c r="Q1746" i="34"/>
  <c r="P1747" i="34"/>
  <c r="O1748" i="34"/>
  <c r="Q1750" i="34"/>
  <c r="P1751" i="34"/>
  <c r="O1752" i="34"/>
  <c r="Q1754" i="34"/>
  <c r="P1755" i="34"/>
  <c r="O1756" i="34"/>
  <c r="Q1758" i="34"/>
  <c r="P1759" i="34"/>
  <c r="O1760" i="34"/>
  <c r="Q1762" i="34"/>
  <c r="P1763" i="34"/>
  <c r="O1764" i="34"/>
  <c r="Q1766" i="34"/>
  <c r="P1767" i="34"/>
  <c r="O1768" i="34"/>
  <c r="Q1770" i="34"/>
  <c r="P1771" i="34"/>
  <c r="O1772" i="34"/>
  <c r="Q1774" i="34"/>
  <c r="P1775" i="34"/>
  <c r="O1776" i="34"/>
  <c r="Q1778" i="34"/>
  <c r="P1779" i="34"/>
  <c r="O1780" i="34"/>
  <c r="Q1782" i="34"/>
  <c r="P1783" i="34"/>
  <c r="O1784" i="34"/>
  <c r="Q1786" i="34"/>
  <c r="P1787" i="34"/>
  <c r="O1788" i="34"/>
  <c r="Q1790" i="34"/>
  <c r="P1791" i="34"/>
  <c r="O1792" i="34"/>
  <c r="Q1375" i="34"/>
  <c r="Q1376" i="34"/>
  <c r="P1377" i="34"/>
  <c r="Q1383" i="34"/>
  <c r="Q1384" i="34"/>
  <c r="P1385" i="34"/>
  <c r="Q1391" i="34"/>
  <c r="P1392" i="34"/>
  <c r="O1393" i="34"/>
  <c r="O1394" i="34"/>
  <c r="P1395" i="34"/>
  <c r="O1396" i="34"/>
  <c r="Q1404" i="34"/>
  <c r="P1405" i="34"/>
  <c r="Q1406" i="34"/>
  <c r="Q1407" i="34"/>
  <c r="O1409" i="34"/>
  <c r="Q1411" i="34"/>
  <c r="P1412" i="34"/>
  <c r="Q1415" i="34"/>
  <c r="P1416" i="34"/>
  <c r="O1417" i="34"/>
  <c r="Q1419" i="34"/>
  <c r="P1420" i="34"/>
  <c r="O1421" i="34"/>
  <c r="P1424" i="34"/>
  <c r="O1425" i="34"/>
  <c r="Q1427" i="34"/>
  <c r="P1428" i="34"/>
  <c r="O1429" i="34"/>
  <c r="Q1431" i="34"/>
  <c r="P1432" i="34"/>
  <c r="O1433" i="34"/>
  <c r="Q1435" i="34"/>
  <c r="P1436" i="34"/>
  <c r="O1437" i="34"/>
  <c r="Q1439" i="34"/>
  <c r="P1440" i="34"/>
  <c r="O1441" i="34"/>
  <c r="Q1443" i="34"/>
  <c r="P1444" i="34"/>
  <c r="O1445" i="34"/>
  <c r="Q1447" i="34"/>
  <c r="P1448" i="34"/>
  <c r="O1449" i="34"/>
  <c r="Q1451" i="34"/>
  <c r="P1452" i="34"/>
  <c r="O1453" i="34"/>
  <c r="Q1455" i="34"/>
  <c r="P1456" i="34"/>
  <c r="O1457" i="34"/>
  <c r="Q1459" i="34"/>
  <c r="P1460" i="34"/>
  <c r="O1461" i="34"/>
  <c r="Q1463" i="34"/>
  <c r="P1464" i="34"/>
  <c r="O1465" i="34"/>
  <c r="Q1467" i="34"/>
  <c r="P1468" i="34"/>
  <c r="O1469" i="34"/>
  <c r="Q1471" i="34"/>
  <c r="P1472" i="34"/>
  <c r="O1473" i="34"/>
  <c r="Q1475" i="34"/>
  <c r="P1476" i="34"/>
  <c r="O1477" i="34"/>
  <c r="Q1479" i="34"/>
  <c r="P1480" i="34"/>
  <c r="O1481" i="34"/>
  <c r="Q1483" i="34"/>
  <c r="P1484" i="34"/>
  <c r="O1485" i="34"/>
  <c r="Q1487" i="34"/>
  <c r="P1488" i="34"/>
  <c r="O1489" i="34"/>
  <c r="Q1491" i="34"/>
  <c r="P1492" i="34"/>
  <c r="O1493" i="34"/>
  <c r="Q1495" i="34"/>
  <c r="P1496" i="34"/>
  <c r="O1497" i="34"/>
  <c r="Q1499" i="34"/>
  <c r="P1500" i="34"/>
  <c r="O1501" i="34"/>
  <c r="Q1503" i="34"/>
  <c r="P1504" i="34"/>
  <c r="O1505" i="34"/>
  <c r="Q1507" i="34"/>
  <c r="P1508" i="34"/>
  <c r="O1509" i="34"/>
  <c r="Q1511" i="34"/>
  <c r="P1512" i="34"/>
  <c r="O1513" i="34"/>
  <c r="Q1515" i="34"/>
  <c r="P1516" i="34"/>
  <c r="O1517" i="34"/>
  <c r="Q1519" i="34"/>
  <c r="P1520" i="34"/>
  <c r="O1521" i="34"/>
  <c r="Q1523" i="34"/>
  <c r="P1524" i="34"/>
  <c r="O1525" i="34"/>
  <c r="Q1527" i="34"/>
  <c r="P1528" i="34"/>
  <c r="O1529" i="34"/>
  <c r="Q1531" i="34"/>
  <c r="P1532" i="34"/>
  <c r="O1533" i="34"/>
  <c r="Q1535" i="34"/>
  <c r="P1536" i="34"/>
  <c r="O1537" i="34"/>
  <c r="Q1539" i="34"/>
  <c r="P1540" i="34"/>
  <c r="O1541" i="34"/>
  <c r="Q1543" i="34"/>
  <c r="P1544" i="34"/>
  <c r="O1545" i="34"/>
  <c r="Q1547" i="34"/>
  <c r="P1548" i="34"/>
  <c r="O1549" i="34"/>
  <c r="Q1551" i="34"/>
  <c r="P1552" i="34"/>
  <c r="O1553" i="34"/>
  <c r="Q1555" i="34"/>
  <c r="P1556" i="34"/>
  <c r="O1557" i="34"/>
  <c r="Q1559" i="34"/>
  <c r="P1560" i="34"/>
  <c r="O1561" i="34"/>
  <c r="Q1563" i="34"/>
  <c r="P1564" i="34"/>
  <c r="O1565" i="34"/>
  <c r="Q1567" i="34"/>
  <c r="P1568" i="34"/>
  <c r="O1569" i="34"/>
  <c r="Q1571" i="34"/>
  <c r="P1572" i="34"/>
  <c r="O1573" i="34"/>
  <c r="Q1575" i="34"/>
  <c r="P1576" i="34"/>
  <c r="O1577" i="34"/>
  <c r="Q1579" i="34"/>
  <c r="P1580" i="34"/>
  <c r="O1581" i="34"/>
  <c r="Q1583" i="34"/>
  <c r="P1584" i="34"/>
  <c r="O1585" i="34"/>
  <c r="Q1587" i="34"/>
  <c r="P1588" i="34"/>
  <c r="O1589" i="34"/>
  <c r="Q1591" i="34"/>
  <c r="P1592" i="34"/>
  <c r="O1593" i="34"/>
  <c r="Q1595" i="34"/>
  <c r="P1596" i="34"/>
  <c r="O1597" i="34"/>
  <c r="Q1599" i="34"/>
  <c r="P1600" i="34"/>
  <c r="O1601" i="34"/>
  <c r="Q1603" i="34"/>
  <c r="P1604" i="34"/>
  <c r="O1605" i="34"/>
  <c r="Q1607" i="34"/>
  <c r="P1608" i="34"/>
  <c r="O1609" i="34"/>
  <c r="Q1611" i="34"/>
  <c r="P1612" i="34"/>
  <c r="O1613" i="34"/>
  <c r="Q1615" i="34"/>
  <c r="P1616" i="34"/>
  <c r="O1617" i="34"/>
  <c r="Q1619" i="34"/>
  <c r="P1620" i="34"/>
  <c r="O1621" i="34"/>
  <c r="Q1623" i="34"/>
  <c r="P1624" i="34"/>
  <c r="O1625" i="34"/>
  <c r="Q1627" i="34"/>
  <c r="P1628" i="34"/>
  <c r="O1629" i="34"/>
  <c r="Q1631" i="34"/>
  <c r="P1632" i="34"/>
  <c r="O1633" i="34"/>
  <c r="Q1635" i="34"/>
  <c r="P1636" i="34"/>
  <c r="O1637" i="34"/>
  <c r="Q1639" i="34"/>
  <c r="P1640" i="34"/>
  <c r="O1641" i="34"/>
  <c r="Q1643" i="34"/>
  <c r="P1644" i="34"/>
  <c r="O1645" i="34"/>
  <c r="Q1647" i="34"/>
  <c r="P1648" i="34"/>
  <c r="O1649" i="34"/>
  <c r="Q1651" i="34"/>
  <c r="P1652" i="34"/>
  <c r="O1653" i="34"/>
  <c r="Q1655" i="34"/>
  <c r="P1656" i="34"/>
  <c r="O1657" i="34"/>
  <c r="Q1659" i="34"/>
  <c r="P1660" i="34"/>
  <c r="O1661" i="34"/>
  <c r="Q1663" i="34"/>
  <c r="P1664" i="34"/>
  <c r="O1665" i="34"/>
  <c r="Q1667" i="34"/>
  <c r="P1668" i="34"/>
  <c r="O1669" i="34"/>
  <c r="Q1671" i="34"/>
  <c r="P1672" i="34"/>
  <c r="O1673" i="34"/>
  <c r="Q1675" i="34"/>
  <c r="P1676" i="34"/>
  <c r="O1677" i="34"/>
  <c r="Q1679" i="34"/>
  <c r="P1680" i="34"/>
  <c r="O1681" i="34"/>
  <c r="Q1683" i="34"/>
  <c r="P1684" i="34"/>
  <c r="O1685" i="34"/>
  <c r="Q1687" i="34"/>
  <c r="P1688" i="34"/>
  <c r="O1689" i="34"/>
  <c r="Q1691" i="34"/>
  <c r="P1692" i="34"/>
  <c r="O1693" i="34"/>
  <c r="Q1695" i="34"/>
  <c r="P1696" i="34"/>
  <c r="O1697" i="34"/>
  <c r="Q1699" i="34"/>
  <c r="P1700" i="34"/>
  <c r="O1701" i="34"/>
  <c r="Q1703" i="34"/>
  <c r="P1704" i="34"/>
  <c r="O1705" i="34"/>
  <c r="Q1707" i="34"/>
  <c r="P1708" i="34"/>
  <c r="O1709" i="34"/>
  <c r="Q1711" i="34"/>
  <c r="P1712" i="34"/>
  <c r="O1713" i="34"/>
  <c r="Q1715" i="34"/>
  <c r="P1716" i="34"/>
  <c r="O1717" i="34"/>
  <c r="Q1719" i="34"/>
  <c r="P1720" i="34"/>
  <c r="O1721" i="34"/>
  <c r="Q1723" i="34"/>
  <c r="P1724" i="34"/>
  <c r="O1725" i="34"/>
  <c r="Q1727" i="34"/>
  <c r="P1728" i="34"/>
  <c r="O1729" i="34"/>
  <c r="Q1731" i="34"/>
  <c r="P1732" i="34"/>
  <c r="O1733" i="34"/>
  <c r="Q1735" i="34"/>
  <c r="P1736" i="34"/>
  <c r="O1737" i="34"/>
  <c r="Q1739" i="34"/>
  <c r="P1740" i="34"/>
  <c r="O1741" i="34"/>
  <c r="Q1743" i="34"/>
  <c r="P1744" i="34"/>
  <c r="O1745" i="34"/>
  <c r="Q1747" i="34"/>
  <c r="P1748" i="34"/>
  <c r="O1749" i="34"/>
  <c r="Q1751" i="34"/>
  <c r="P1752" i="34"/>
  <c r="O1753" i="34"/>
  <c r="Q1755" i="34"/>
  <c r="P1756" i="34"/>
  <c r="O1757" i="34"/>
  <c r="Q1759" i="34"/>
  <c r="P1760" i="34"/>
  <c r="O1761" i="34"/>
  <c r="Q1763" i="34"/>
  <c r="P1764" i="34"/>
  <c r="O1765" i="34"/>
  <c r="Q1767" i="34"/>
  <c r="P1768" i="34"/>
  <c r="O1769" i="34"/>
  <c r="Q1771" i="34"/>
  <c r="P1772" i="34"/>
  <c r="O1773" i="34"/>
  <c r="Q1775" i="34"/>
  <c r="P1776" i="34"/>
  <c r="O1777" i="34"/>
  <c r="Q1779" i="34"/>
  <c r="P1780" i="34"/>
  <c r="O1781" i="34"/>
  <c r="Q1783" i="34"/>
  <c r="P1784" i="34"/>
  <c r="O1785" i="34"/>
  <c r="Q1787" i="34"/>
  <c r="P1788" i="34"/>
  <c r="O1789" i="34"/>
  <c r="Q1791" i="34"/>
  <c r="P1792" i="34"/>
  <c r="O1374" i="34"/>
  <c r="P1380" i="34"/>
  <c r="O1381" i="34"/>
  <c r="O1382" i="34"/>
  <c r="P1388" i="34"/>
  <c r="O1389" i="34"/>
  <c r="O1390" i="34"/>
  <c r="Q1392" i="34"/>
  <c r="P1393" i="34"/>
  <c r="Q1394" i="34"/>
  <c r="Q1395" i="34"/>
  <c r="P1396" i="34"/>
  <c r="O1397" i="34"/>
  <c r="O1398" i="34"/>
  <c r="P1399" i="34"/>
  <c r="O1400" i="34"/>
  <c r="P1409" i="34"/>
  <c r="O1410" i="34"/>
  <c r="Q1412" i="34"/>
  <c r="O1414" i="34"/>
  <c r="Q1416" i="34"/>
  <c r="P1417" i="34"/>
  <c r="O1418" i="34"/>
  <c r="Q1420" i="34"/>
  <c r="P1421" i="34"/>
  <c r="Q1424" i="34"/>
  <c r="P1425" i="34"/>
  <c r="O1426" i="34"/>
  <c r="Q1428" i="34"/>
  <c r="P1429" i="34"/>
  <c r="O1430" i="34"/>
  <c r="Q1432" i="34"/>
  <c r="P1433" i="34"/>
  <c r="O1434" i="34"/>
  <c r="Q1436" i="34"/>
  <c r="P1437" i="34"/>
  <c r="O1438" i="34"/>
  <c r="Q1440" i="34"/>
  <c r="P1441" i="34"/>
  <c r="O1442" i="34"/>
  <c r="Q1444" i="34"/>
  <c r="P1445" i="34"/>
  <c r="O1446" i="34"/>
  <c r="Q1448" i="34"/>
  <c r="P1449" i="34"/>
  <c r="O1450" i="34"/>
  <c r="Q1452" i="34"/>
  <c r="P1453" i="34"/>
  <c r="O1454" i="34"/>
  <c r="Q1456" i="34"/>
  <c r="P1457" i="34"/>
  <c r="O1458" i="34"/>
  <c r="Q1460" i="34"/>
  <c r="P1461" i="34"/>
  <c r="O1462" i="34"/>
  <c r="Q1464" i="34"/>
  <c r="P1465" i="34"/>
  <c r="O1466" i="34"/>
  <c r="Q1468" i="34"/>
  <c r="P1469" i="34"/>
  <c r="O1470" i="34"/>
  <c r="Q1472" i="34"/>
  <c r="P1473" i="34"/>
  <c r="O1474" i="34"/>
  <c r="Q1476" i="34"/>
  <c r="P1477" i="34"/>
  <c r="O1478" i="34"/>
  <c r="Q1480" i="34"/>
  <c r="P1481" i="34"/>
  <c r="O1482" i="34"/>
  <c r="Q1484" i="34"/>
  <c r="P1485" i="34"/>
  <c r="O1486" i="34"/>
  <c r="Q1488" i="34"/>
  <c r="P1489" i="34"/>
  <c r="O1490" i="34"/>
  <c r="Q1492" i="34"/>
  <c r="P1493" i="34"/>
  <c r="O1494" i="34"/>
  <c r="Q1496" i="34"/>
  <c r="P1497" i="34"/>
  <c r="O1498" i="34"/>
  <c r="Q1500" i="34"/>
  <c r="P1501" i="34"/>
  <c r="O1502" i="34"/>
  <c r="Q1504" i="34"/>
  <c r="P1505" i="34"/>
  <c r="O1506" i="34"/>
  <c r="Q1508" i="34"/>
  <c r="P1509" i="34"/>
  <c r="O1510" i="34"/>
  <c r="Q1512" i="34"/>
  <c r="P1513" i="34"/>
  <c r="O1514" i="34"/>
  <c r="Q1516" i="34"/>
  <c r="P1517" i="34"/>
  <c r="O1518" i="34"/>
  <c r="Q1520" i="34"/>
  <c r="P1521" i="34"/>
  <c r="O1522" i="34"/>
  <c r="Q1524" i="34"/>
  <c r="P1525" i="34"/>
  <c r="O1526" i="34"/>
  <c r="Q1528" i="34"/>
  <c r="P1529" i="34"/>
  <c r="O1530" i="34"/>
  <c r="Q1532" i="34"/>
  <c r="P1533" i="34"/>
  <c r="O1534" i="34"/>
  <c r="Q1536" i="34"/>
  <c r="P1537" i="34"/>
  <c r="O1538" i="34"/>
  <c r="Q1540" i="34"/>
  <c r="P1541" i="34"/>
  <c r="O1542" i="34"/>
  <c r="Q1544" i="34"/>
  <c r="P1545" i="34"/>
  <c r="O1546" i="34"/>
  <c r="Q1548" i="34"/>
  <c r="P1549" i="34"/>
  <c r="O1550" i="34"/>
  <c r="Q1552" i="34"/>
  <c r="P1553" i="34"/>
  <c r="O1554" i="34"/>
  <c r="Q1556" i="34"/>
  <c r="P1557" i="34"/>
  <c r="O1558" i="34"/>
  <c r="Q1560" i="34"/>
  <c r="P1561" i="34"/>
  <c r="O1562" i="34"/>
  <c r="Q1564" i="34"/>
  <c r="P1565" i="34"/>
  <c r="O1566" i="34"/>
  <c r="Q1568" i="34"/>
  <c r="P1569" i="34"/>
  <c r="O1570" i="34"/>
  <c r="Q1572" i="34"/>
  <c r="P1573" i="34"/>
  <c r="O1574" i="34"/>
  <c r="Q1576" i="34"/>
  <c r="P1577" i="34"/>
  <c r="O1578" i="34"/>
  <c r="Q1580" i="34"/>
  <c r="P1581" i="34"/>
  <c r="O1582" i="34"/>
  <c r="Q1584" i="34"/>
  <c r="P1585" i="34"/>
  <c r="O1586" i="34"/>
  <c r="Q1588" i="34"/>
  <c r="P1589" i="34"/>
  <c r="O1590" i="34"/>
  <c r="Q1592" i="34"/>
  <c r="P1593" i="34"/>
  <c r="O1594" i="34"/>
  <c r="Q1596" i="34"/>
  <c r="P1597" i="34"/>
  <c r="O1598" i="34"/>
  <c r="Q1600" i="34"/>
  <c r="P1601" i="34"/>
  <c r="O1602" i="34"/>
  <c r="Q1604" i="34"/>
  <c r="P1605" i="34"/>
  <c r="O1606" i="34"/>
  <c r="Q1608" i="34"/>
  <c r="P1609" i="34"/>
  <c r="O1610" i="34"/>
  <c r="Q1612" i="34"/>
  <c r="P1613" i="34"/>
  <c r="O1614" i="34"/>
  <c r="Q1616" i="34"/>
  <c r="P1617" i="34"/>
  <c r="O1618" i="34"/>
  <c r="Q1620" i="34"/>
  <c r="P1621" i="34"/>
  <c r="O1622" i="34"/>
  <c r="Q1624" i="34"/>
  <c r="P1625" i="34"/>
  <c r="O1626" i="34"/>
  <c r="Q1628" i="34"/>
  <c r="P1629" i="34"/>
  <c r="O1630" i="34"/>
  <c r="Q1632" i="34"/>
  <c r="P1633" i="34"/>
  <c r="O1634" i="34"/>
  <c r="Q1636" i="34"/>
  <c r="P1637" i="34"/>
  <c r="O1638" i="34"/>
  <c r="Q1640" i="34"/>
  <c r="P1641" i="34"/>
  <c r="O1642" i="34"/>
  <c r="Q1644" i="34"/>
  <c r="P1645" i="34"/>
  <c r="O1646" i="34"/>
  <c r="Q1648" i="34"/>
  <c r="P1649" i="34"/>
  <c r="O1650" i="34"/>
  <c r="Q1652" i="34"/>
  <c r="P1653" i="34"/>
  <c r="O1654" i="34"/>
  <c r="Q1656" i="34"/>
  <c r="P1657" i="34"/>
  <c r="O1658" i="34"/>
  <c r="Q1660" i="34"/>
  <c r="P1661" i="34"/>
  <c r="O1662" i="34"/>
  <c r="Q1664" i="34"/>
  <c r="P1665" i="34"/>
  <c r="O1666" i="34"/>
  <c r="Q1668" i="34"/>
  <c r="P1669" i="34"/>
  <c r="O1670" i="34"/>
  <c r="Q1672" i="34"/>
  <c r="P1673" i="34"/>
  <c r="O1674" i="34"/>
  <c r="Q1676" i="34"/>
  <c r="P1677" i="34"/>
  <c r="O1678" i="34"/>
  <c r="Q1680" i="34"/>
  <c r="P1681" i="34"/>
  <c r="O1682" i="34"/>
  <c r="Q1684" i="34"/>
  <c r="P1685" i="34"/>
  <c r="O1686" i="34"/>
  <c r="Q1688" i="34"/>
  <c r="P1689" i="34"/>
  <c r="O1690" i="34"/>
  <c r="Q1692" i="34"/>
  <c r="P1693" i="34"/>
  <c r="O1694" i="34"/>
  <c r="Q1696" i="34"/>
  <c r="P1697" i="34"/>
  <c r="O1698" i="34"/>
  <c r="Q1700" i="34"/>
  <c r="P1701" i="34"/>
  <c r="O1702" i="34"/>
  <c r="Q1704" i="34"/>
  <c r="P1705" i="34"/>
  <c r="O1706" i="34"/>
  <c r="Q1708" i="34"/>
  <c r="P1709" i="34"/>
  <c r="O1710" i="34"/>
  <c r="Q1712" i="34"/>
  <c r="P1713" i="34"/>
  <c r="O1714" i="34"/>
  <c r="Q1716" i="34"/>
  <c r="P1717" i="34"/>
  <c r="O1718" i="34"/>
  <c r="Q1720" i="34"/>
  <c r="P1721" i="34"/>
  <c r="O1722" i="34"/>
  <c r="Q1724" i="34"/>
  <c r="P1725" i="34"/>
  <c r="O1726" i="34"/>
  <c r="Q1728" i="34"/>
  <c r="P1729" i="34"/>
  <c r="O1730" i="34"/>
  <c r="Q1732" i="34"/>
  <c r="P1733" i="34"/>
  <c r="O1734" i="34"/>
  <c r="Q1736" i="34"/>
  <c r="P1737" i="34"/>
  <c r="O1738" i="34"/>
  <c r="Q1740" i="34"/>
  <c r="P1741" i="34"/>
  <c r="O1742" i="34"/>
  <c r="Q1744" i="34"/>
  <c r="P1745" i="34"/>
  <c r="O1746" i="34"/>
  <c r="Q1748" i="34"/>
  <c r="P1749" i="34"/>
  <c r="O1750" i="34"/>
  <c r="Q1752" i="34"/>
  <c r="P1753" i="34"/>
  <c r="O1754" i="34"/>
  <c r="Q1756" i="34"/>
  <c r="P1757" i="34"/>
  <c r="O1758" i="34"/>
  <c r="Q1760" i="34"/>
  <c r="P1761" i="34"/>
  <c r="O1762" i="34"/>
  <c r="Q1764" i="34"/>
  <c r="P1765" i="34"/>
  <c r="O1766" i="34"/>
  <c r="Q1768" i="34"/>
  <c r="P1769" i="34"/>
  <c r="O1770" i="34"/>
  <c r="Q1772" i="34"/>
  <c r="P1773" i="34"/>
  <c r="O1774" i="34"/>
  <c r="Q1776" i="34"/>
  <c r="P1777" i="34"/>
  <c r="O1778" i="34"/>
  <c r="Q1780" i="34"/>
  <c r="P1781" i="34"/>
  <c r="O1782" i="34"/>
  <c r="Q1784" i="34"/>
  <c r="P1785" i="34"/>
  <c r="O1786" i="34"/>
  <c r="Q1788" i="34"/>
  <c r="P1789" i="34"/>
  <c r="O1790" i="34"/>
  <c r="Q1792" i="34"/>
  <c r="O1855" i="34"/>
  <c r="Q1851" i="34"/>
  <c r="P1847" i="34"/>
  <c r="O1839" i="34"/>
  <c r="Q1835" i="34"/>
  <c r="P1831" i="34"/>
  <c r="O1823" i="34"/>
  <c r="Q1858" i="34"/>
  <c r="O1894" i="34"/>
  <c r="P1886" i="34"/>
  <c r="Q1882" i="34"/>
  <c r="O1878" i="34"/>
  <c r="P1870" i="34"/>
  <c r="Q1866" i="34"/>
  <c r="O1862" i="34"/>
  <c r="P1954" i="34"/>
  <c r="P1854" i="34"/>
  <c r="Q1850" i="34"/>
  <c r="O1846" i="34"/>
  <c r="P1838" i="34"/>
  <c r="Q1834" i="34"/>
  <c r="O1830" i="34"/>
  <c r="P1822" i="34"/>
  <c r="Q1859" i="34"/>
  <c r="P1889" i="34"/>
  <c r="Q1885" i="34"/>
  <c r="O1881" i="34"/>
  <c r="P1873" i="34"/>
  <c r="Q1869" i="34"/>
  <c r="O1865" i="34"/>
  <c r="Q1857" i="34"/>
  <c r="O1853" i="34"/>
  <c r="P1845" i="34"/>
  <c r="Q1841" i="34"/>
  <c r="O1837" i="34"/>
  <c r="P1829" i="34"/>
  <c r="Q1825" i="34"/>
  <c r="P1860" i="34"/>
  <c r="O1860" i="34"/>
  <c r="Q1896" i="34"/>
  <c r="P1884" i="34"/>
  <c r="O1884" i="34"/>
  <c r="Q1880" i="34"/>
  <c r="P1868" i="34"/>
  <c r="O1868" i="34"/>
  <c r="Q1864" i="34"/>
  <c r="P1852" i="34"/>
  <c r="O1852" i="34"/>
  <c r="Q1848" i="34"/>
  <c r="P1836" i="34"/>
  <c r="O1836" i="34"/>
  <c r="Q1832" i="34"/>
  <c r="Q1895" i="34"/>
  <c r="P1891" i="34"/>
  <c r="O1883" i="34"/>
  <c r="Q1879" i="34"/>
  <c r="P1875" i="34"/>
  <c r="O1867" i="34"/>
  <c r="Q1863" i="34"/>
  <c r="Q1953" i="34"/>
  <c r="Q1855" i="34"/>
  <c r="P1851" i="34"/>
  <c r="O1843" i="34"/>
  <c r="Q1839" i="34"/>
  <c r="P1835" i="34"/>
  <c r="O1827" i="34"/>
  <c r="Q1823" i="34"/>
  <c r="O1858" i="34"/>
  <c r="P1890" i="34"/>
  <c r="Q1886" i="34"/>
  <c r="O1882" i="34"/>
  <c r="P1874" i="34"/>
  <c r="Q1870" i="34"/>
  <c r="O1866" i="34"/>
  <c r="Q1954" i="34"/>
  <c r="Q1854" i="34"/>
  <c r="O1850" i="34"/>
  <c r="P1842" i="34"/>
  <c r="Q1838" i="34"/>
  <c r="O1834" i="34"/>
  <c r="P1826" i="34"/>
  <c r="Q1822" i="34"/>
  <c r="P1859" i="34"/>
  <c r="P1893" i="34"/>
  <c r="Q1889" i="34"/>
  <c r="O1885" i="34"/>
  <c r="P1877" i="34"/>
  <c r="Q1873" i="34"/>
  <c r="O1869" i="34"/>
  <c r="P1861" i="34"/>
  <c r="O1928" i="34"/>
  <c r="O1857" i="34"/>
  <c r="P1849" i="34"/>
  <c r="Q1845" i="34"/>
  <c r="O1841" i="34"/>
  <c r="P1833" i="34"/>
  <c r="Q1829" i="34"/>
  <c r="O1825" i="34"/>
  <c r="Q1860" i="34"/>
  <c r="P1888" i="34"/>
  <c r="O1888" i="34"/>
  <c r="Q1884" i="34"/>
  <c r="P1872" i="34"/>
  <c r="O1872" i="34"/>
  <c r="Q1868" i="34"/>
  <c r="P1927" i="34"/>
  <c r="P1856" i="34"/>
  <c r="O1856" i="34"/>
  <c r="Q1852" i="34"/>
  <c r="P1840" i="34"/>
  <c r="O1840" i="34"/>
  <c r="Q1836" i="34"/>
  <c r="P1824" i="34"/>
  <c r="O1824" i="34"/>
  <c r="P1895" i="34"/>
  <c r="O1887" i="34"/>
  <c r="Q1883" i="34"/>
  <c r="P1879" i="34"/>
  <c r="O1871" i="34"/>
  <c r="Q1867" i="34"/>
  <c r="P1863" i="34"/>
  <c r="P1855" i="34"/>
  <c r="O1847" i="34"/>
  <c r="Q1843" i="34"/>
  <c r="P1839" i="34"/>
  <c r="O1831" i="34"/>
  <c r="Q1827" i="34"/>
  <c r="P1823" i="34"/>
  <c r="P1894" i="34"/>
  <c r="Q1890" i="34"/>
  <c r="O1886" i="34"/>
  <c r="P1878" i="34"/>
  <c r="Q1874" i="34"/>
  <c r="O1870" i="34"/>
  <c r="P1862" i="34"/>
  <c r="O1954" i="34"/>
  <c r="O1854" i="34"/>
  <c r="P1846" i="34"/>
  <c r="Q1842" i="34"/>
  <c r="O1838" i="34"/>
  <c r="P1830" i="34"/>
  <c r="Q1826" i="34"/>
  <c r="O1822" i="34"/>
  <c r="Q1893" i="34"/>
  <c r="O1889" i="34"/>
  <c r="P1881" i="34"/>
  <c r="Q1877" i="34"/>
  <c r="O1873" i="34"/>
  <c r="P1865" i="34"/>
  <c r="Q1861" i="34"/>
  <c r="Q1928" i="34"/>
  <c r="P1853" i="34"/>
  <c r="Q1849" i="34"/>
  <c r="O1845" i="34"/>
  <c r="P1837" i="34"/>
  <c r="Q1833" i="34"/>
  <c r="O1829" i="34"/>
  <c r="P1892" i="34"/>
  <c r="O1892" i="34"/>
  <c r="Q1888" i="34"/>
  <c r="P1876" i="34"/>
  <c r="O1876" i="34"/>
  <c r="Q1872" i="34"/>
  <c r="Q1927" i="34"/>
  <c r="Q1856" i="34"/>
  <c r="P1844" i="34"/>
  <c r="O1844" i="34"/>
  <c r="Q1840" i="34"/>
  <c r="P1828" i="34"/>
  <c r="O1828" i="34"/>
  <c r="Q1824" i="34"/>
  <c r="O1891" i="34"/>
  <c r="Q1887" i="34"/>
  <c r="P1883" i="34"/>
  <c r="O1875" i="34"/>
  <c r="Q1871" i="34"/>
  <c r="P1867" i="34"/>
  <c r="O1953" i="34"/>
  <c r="O1851" i="34"/>
  <c r="Q1847" i="34"/>
  <c r="P1843" i="34"/>
  <c r="O1835" i="34"/>
  <c r="Q1831" i="34"/>
  <c r="P1827" i="34"/>
  <c r="P1858" i="34"/>
  <c r="Q1894" i="34"/>
  <c r="O1890" i="34"/>
  <c r="P1882" i="34"/>
  <c r="Q1878" i="34"/>
  <c r="O1874" i="34"/>
  <c r="P1866" i="34"/>
  <c r="Q1862" i="34"/>
  <c r="P1850" i="34"/>
  <c r="Q1846" i="34"/>
  <c r="O1842" i="34"/>
  <c r="P1834" i="34"/>
  <c r="Q1830" i="34"/>
  <c r="O1826" i="34"/>
  <c r="O1859" i="34"/>
  <c r="O1893" i="34"/>
  <c r="P1885" i="34"/>
  <c r="Q1881" i="34"/>
  <c r="O1877" i="34"/>
  <c r="P1869" i="34"/>
  <c r="Q1865" i="34"/>
  <c r="O1861" i="34"/>
  <c r="P1928" i="34"/>
  <c r="P1857" i="34"/>
  <c r="Q1853" i="34"/>
  <c r="O1849" i="34"/>
  <c r="P1841" i="34"/>
  <c r="Q1837" i="34"/>
  <c r="O1833" i="34"/>
  <c r="P1825" i="34"/>
  <c r="P1896" i="34"/>
  <c r="O1896" i="34"/>
  <c r="Q1892" i="34"/>
  <c r="P1880" i="34"/>
  <c r="O1880" i="34"/>
  <c r="Q1876" i="34"/>
  <c r="P1864" i="34"/>
  <c r="O1864" i="34"/>
  <c r="O1927" i="34"/>
  <c r="P1848" i="34"/>
  <c r="O1848" i="34"/>
  <c r="Q1844" i="34"/>
  <c r="P1832" i="34"/>
  <c r="O1832" i="34"/>
  <c r="Q1828" i="34"/>
  <c r="O1895" i="34"/>
  <c r="Q1891" i="34"/>
  <c r="P1887" i="34"/>
  <c r="O1879" i="34"/>
  <c r="Q1875" i="34"/>
  <c r="P1871" i="34"/>
  <c r="O1863" i="34"/>
  <c r="P1953" i="34"/>
  <c r="Q1961" i="34"/>
  <c r="P1961" i="34"/>
  <c r="O1961" i="34"/>
  <c r="Q1898" i="34"/>
  <c r="P1920" i="34"/>
  <c r="P1812" i="34"/>
  <c r="O1812" i="34"/>
  <c r="Q1899" i="34"/>
  <c r="Q1921" i="34"/>
  <c r="Q1809" i="34"/>
  <c r="O1813" i="34"/>
  <c r="Q1900" i="34"/>
  <c r="P1922" i="34"/>
  <c r="Q1926" i="34"/>
  <c r="Q1810" i="34"/>
  <c r="O1814" i="34"/>
  <c r="Q1897" i="34"/>
  <c r="O1901" i="34"/>
  <c r="O1923" i="34"/>
  <c r="O1811" i="34"/>
  <c r="Q1812" i="34"/>
  <c r="O1926" i="34"/>
  <c r="O1897" i="34"/>
  <c r="O1807" i="34"/>
  <c r="O1898" i="34"/>
  <c r="O1924" i="34"/>
  <c r="P1808" i="34"/>
  <c r="O1808" i="34"/>
  <c r="P1899" i="34"/>
  <c r="O1810" i="34"/>
  <c r="Q1811" i="34"/>
  <c r="O1920" i="34"/>
  <c r="Q1924" i="34"/>
  <c r="Q1808" i="34"/>
  <c r="P1925" i="34"/>
  <c r="O1925" i="34"/>
  <c r="P1813" i="34"/>
  <c r="O1922" i="34"/>
  <c r="P1814" i="34"/>
  <c r="P1901" i="34"/>
  <c r="P1923" i="34"/>
  <c r="Q1807" i="34"/>
  <c r="P1811" i="34"/>
  <c r="O1809" i="34"/>
  <c r="P1898" i="34"/>
  <c r="Q1920" i="34"/>
  <c r="P1924" i="34"/>
  <c r="O1899" i="34"/>
  <c r="P1921" i="34"/>
  <c r="O1921" i="34"/>
  <c r="Q1925" i="34"/>
  <c r="P1809" i="34"/>
  <c r="Q1813" i="34"/>
  <c r="P1900" i="34"/>
  <c r="O1900" i="34"/>
  <c r="P1926" i="34"/>
  <c r="P1810" i="34"/>
  <c r="Q1814" i="34"/>
  <c r="P1897" i="34"/>
  <c r="Q1901" i="34"/>
  <c r="Q1923" i="34"/>
  <c r="P1807" i="34"/>
  <c r="Q1922" i="34"/>
  <c r="Q1795" i="34"/>
  <c r="P1799" i="34"/>
  <c r="O1996" i="34"/>
  <c r="O1982" i="34"/>
  <c r="O1986" i="34"/>
  <c r="P1994" i="34"/>
  <c r="Q1793" i="34"/>
  <c r="O1911" i="34"/>
  <c r="O1915" i="34"/>
  <c r="O1944" i="34"/>
  <c r="Q1806" i="34"/>
  <c r="Q1949" i="34"/>
  <c r="Q1962" i="34"/>
  <c r="O1970" i="34"/>
  <c r="P1804" i="34"/>
  <c r="O1804" i="34"/>
  <c r="P1991" i="34"/>
  <c r="Q1997" i="34"/>
  <c r="O1794" i="34"/>
  <c r="O1916" i="34"/>
  <c r="P1941" i="34"/>
  <c r="O1941" i="34"/>
  <c r="Q1945" i="34"/>
  <c r="Q1950" i="34"/>
  <c r="O1963" i="34"/>
  <c r="P1979" i="34"/>
  <c r="O1797" i="34"/>
  <c r="P1805" i="34"/>
  <c r="P1967" i="34"/>
  <c r="Q1971" i="34"/>
  <c r="P1984" i="34"/>
  <c r="O1992" i="34"/>
  <c r="Q1913" i="34"/>
  <c r="Q1917" i="34"/>
  <c r="P1942" i="34"/>
  <c r="Q1946" i="34"/>
  <c r="O1821" i="34"/>
  <c r="O1951" i="34"/>
  <c r="Q1955" i="34"/>
  <c r="O1976" i="34"/>
  <c r="P1798" i="34"/>
  <c r="Q1802" i="34"/>
  <c r="O1995" i="34"/>
  <c r="O1972" i="34"/>
  <c r="P1985" i="34"/>
  <c r="O1985" i="34"/>
  <c r="Q1989" i="34"/>
  <c r="P1918" i="34"/>
  <c r="P1943" i="34"/>
  <c r="Q1947" i="34"/>
  <c r="P1948" i="34"/>
  <c r="P1956" i="34"/>
  <c r="O1947" i="34"/>
  <c r="P1977" i="34"/>
  <c r="O1977" i="34"/>
  <c r="P1795" i="34"/>
  <c r="O1803" i="34"/>
  <c r="Q1996" i="34"/>
  <c r="P1990" i="34"/>
  <c r="Q1994" i="34"/>
  <c r="O1793" i="34"/>
  <c r="P1919" i="34"/>
  <c r="Q1944" i="34"/>
  <c r="O1806" i="34"/>
  <c r="O1962" i="34"/>
  <c r="P1978" i="34"/>
  <c r="P1800" i="34"/>
  <c r="O1800" i="34"/>
  <c r="Q1804" i="34"/>
  <c r="P1966" i="34"/>
  <c r="P1983" i="34"/>
  <c r="P1987" i="34"/>
  <c r="Q1991" i="34"/>
  <c r="P1912" i="34"/>
  <c r="Q1916" i="34"/>
  <c r="Q1941" i="34"/>
  <c r="O1950" i="34"/>
  <c r="P1975" i="34"/>
  <c r="Q1979" i="34"/>
  <c r="P1801" i="34"/>
  <c r="Q1805" i="34"/>
  <c r="Q1967" i="34"/>
  <c r="O1971" i="34"/>
  <c r="O1988" i="34"/>
  <c r="Q1992" i="34"/>
  <c r="P1973" i="34"/>
  <c r="O1973" i="34"/>
  <c r="O1913" i="34"/>
  <c r="Q1942" i="34"/>
  <c r="O1946" i="34"/>
  <c r="O1955" i="34"/>
  <c r="P1974" i="34"/>
  <c r="O1968" i="34"/>
  <c r="Q1976" i="34"/>
  <c r="Q1798" i="34"/>
  <c r="O1802" i="34"/>
  <c r="Q1972" i="34"/>
  <c r="Q1985" i="34"/>
  <c r="P1914" i="34"/>
  <c r="Q1918" i="34"/>
  <c r="Q1943" i="34"/>
  <c r="O1952" i="34"/>
  <c r="P1969" i="34"/>
  <c r="O1969" i="34"/>
  <c r="Q1977" i="34"/>
  <c r="O1799" i="34"/>
  <c r="Q1803" i="34"/>
  <c r="P1996" i="34"/>
  <c r="P1982" i="34"/>
  <c r="P1986" i="34"/>
  <c r="Q1990" i="34"/>
  <c r="O1994" i="34"/>
  <c r="P1911" i="34"/>
  <c r="P1915" i="34"/>
  <c r="Q1919" i="34"/>
  <c r="P1944" i="34"/>
  <c r="P1970" i="34"/>
  <c r="Q1978" i="34"/>
  <c r="P1796" i="34"/>
  <c r="O1796" i="34"/>
  <c r="Q1800" i="34"/>
  <c r="Q1966" i="34"/>
  <c r="Q1983" i="34"/>
  <c r="Q1987" i="34"/>
  <c r="O1991" i="34"/>
  <c r="P1794" i="34"/>
  <c r="Q1912" i="34"/>
  <c r="P1916" i="34"/>
  <c r="P1820" i="34"/>
  <c r="O1820" i="34"/>
  <c r="P1963" i="34"/>
  <c r="Q1975" i="34"/>
  <c r="O1979" i="34"/>
  <c r="P1797" i="34"/>
  <c r="Q1801" i="34"/>
  <c r="O1805" i="34"/>
  <c r="O1967" i="34"/>
  <c r="O1984" i="34"/>
  <c r="Q1988" i="34"/>
  <c r="P1992" i="34"/>
  <c r="Q1973" i="34"/>
  <c r="P1913" i="34"/>
  <c r="O1942" i="34"/>
  <c r="P1821" i="34"/>
  <c r="P1951" i="34"/>
  <c r="Q1974" i="34"/>
  <c r="Q1968" i="34"/>
  <c r="P1976" i="34"/>
  <c r="O1798" i="34"/>
  <c r="P1995" i="34"/>
  <c r="P1981" i="34"/>
  <c r="O1981" i="34"/>
  <c r="P1972" i="34"/>
  <c r="P1993" i="34"/>
  <c r="O1993" i="34"/>
  <c r="Q1914" i="34"/>
  <c r="O1918" i="34"/>
  <c r="O1943" i="34"/>
  <c r="O1948" i="34"/>
  <c r="Q1952" i="34"/>
  <c r="O1956" i="34"/>
  <c r="Q1969" i="34"/>
  <c r="O1795" i="34"/>
  <c r="Q1799" i="34"/>
  <c r="P1803" i="34"/>
  <c r="Q1982" i="34"/>
  <c r="Q1986" i="34"/>
  <c r="O1990" i="34"/>
  <c r="P1793" i="34"/>
  <c r="Q1911" i="34"/>
  <c r="Q1915" i="34"/>
  <c r="O1919" i="34"/>
  <c r="P1806" i="34"/>
  <c r="P1949" i="34"/>
  <c r="O1949" i="34"/>
  <c r="P1962" i="34"/>
  <c r="Q1970" i="34"/>
  <c r="O1978" i="34"/>
  <c r="Q1796" i="34"/>
  <c r="O1966" i="34"/>
  <c r="O1983" i="34"/>
  <c r="O1987" i="34"/>
  <c r="P1997" i="34"/>
  <c r="O1997" i="34"/>
  <c r="Q1794" i="34"/>
  <c r="O1912" i="34"/>
  <c r="P1945" i="34"/>
  <c r="O1945" i="34"/>
  <c r="Q1820" i="34"/>
  <c r="P1950" i="34"/>
  <c r="Q1963" i="34"/>
  <c r="O1975" i="34"/>
  <c r="Q1797" i="34"/>
  <c r="O1801" i="34"/>
  <c r="P1971" i="34"/>
  <c r="Q1984" i="34"/>
  <c r="P1988" i="34"/>
  <c r="P1917" i="34"/>
  <c r="O1917" i="34"/>
  <c r="P1946" i="34"/>
  <c r="Q1821" i="34"/>
  <c r="Q1951" i="34"/>
  <c r="P1955" i="34"/>
  <c r="O1974" i="34"/>
  <c r="P1968" i="34"/>
  <c r="P1802" i="34"/>
  <c r="Q1995" i="34"/>
  <c r="Q1981" i="34"/>
  <c r="P1989" i="34"/>
  <c r="O1989" i="34"/>
  <c r="Q1993" i="34"/>
  <c r="O1914" i="34"/>
  <c r="P1947" i="34"/>
  <c r="Q1948" i="34"/>
  <c r="P1952" i="34"/>
  <c r="Q1956" i="34"/>
  <c r="O1964" i="34"/>
  <c r="Q1905" i="34"/>
  <c r="O1909" i="34"/>
  <c r="Q1935" i="34"/>
  <c r="O1939" i="34"/>
  <c r="P1817" i="34"/>
  <c r="Q1902" i="34"/>
  <c r="P1932" i="34"/>
  <c r="Q1980" i="34"/>
  <c r="P1910" i="34"/>
  <c r="P1936" i="34"/>
  <c r="P1818" i="34"/>
  <c r="P1930" i="34"/>
  <c r="Q1965" i="34"/>
  <c r="P1907" i="34"/>
  <c r="Q1815" i="34"/>
  <c r="P1819" i="34"/>
  <c r="P1908" i="34"/>
  <c r="P1938" i="34"/>
  <c r="Q1909" i="34"/>
  <c r="P1909" i="34"/>
  <c r="O1935" i="34"/>
  <c r="Q1817" i="34"/>
  <c r="O1902" i="34"/>
  <c r="P1980" i="34"/>
  <c r="O1940" i="34"/>
  <c r="Q1930" i="34"/>
  <c r="O1907" i="34"/>
  <c r="P1815" i="34"/>
  <c r="O1908" i="34"/>
  <c r="P1816" i="34"/>
  <c r="Q1964" i="34"/>
  <c r="O1937" i="34"/>
  <c r="P1964" i="34"/>
  <c r="O1905" i="34"/>
  <c r="P1939" i="34"/>
  <c r="O1817" i="34"/>
  <c r="O1932" i="34"/>
  <c r="Q1931" i="34"/>
  <c r="P1906" i="34"/>
  <c r="O1906" i="34"/>
  <c r="O1910" i="34"/>
  <c r="O1936" i="34"/>
  <c r="Q1940" i="34"/>
  <c r="O1818" i="34"/>
  <c r="O1930" i="34"/>
  <c r="P1933" i="34"/>
  <c r="O1933" i="34"/>
  <c r="Q1937" i="34"/>
  <c r="O1819" i="34"/>
  <c r="P1929" i="34"/>
  <c r="O1929" i="34"/>
  <c r="Q1908" i="34"/>
  <c r="Q1934" i="34"/>
  <c r="O1938" i="34"/>
  <c r="Q1816" i="34"/>
  <c r="Q1818" i="34"/>
  <c r="P1937" i="34"/>
  <c r="Q1904" i="34"/>
  <c r="Q1938" i="34"/>
  <c r="P1905" i="34"/>
  <c r="P1935" i="34"/>
  <c r="Q1939" i="34"/>
  <c r="P1902" i="34"/>
  <c r="Q1932" i="34"/>
  <c r="O1931" i="34"/>
  <c r="O1980" i="34"/>
  <c r="Q1906" i="34"/>
  <c r="Q1910" i="34"/>
  <c r="Q1936" i="34"/>
  <c r="P1940" i="34"/>
  <c r="Q1903" i="34"/>
  <c r="P1903" i="34"/>
  <c r="P1965" i="34"/>
  <c r="O1965" i="34"/>
  <c r="Q1907" i="34"/>
  <c r="Q1933" i="34"/>
  <c r="O1815" i="34"/>
  <c r="Q1819" i="34"/>
  <c r="Q1929" i="34"/>
  <c r="O1904" i="34"/>
  <c r="O1934" i="34"/>
  <c r="P1931" i="34"/>
  <c r="O1903" i="34"/>
  <c r="P1904" i="34"/>
  <c r="P1934" i="34"/>
  <c r="O1816" i="34"/>
  <c r="O1959" i="34"/>
  <c r="Q1960" i="34"/>
  <c r="O1958" i="34"/>
  <c r="P1960" i="34"/>
  <c r="P1957" i="34"/>
  <c r="O1957" i="34"/>
  <c r="P1959" i="34"/>
  <c r="P1958" i="34"/>
  <c r="Q1957" i="34"/>
  <c r="Q1959" i="34"/>
  <c r="O1960" i="34"/>
  <c r="Q1958" i="34"/>
  <c r="K19" i="34"/>
  <c r="B15" i="71"/>
  <c r="H16" i="71"/>
  <c r="E14" i="71"/>
  <c r="D15" i="71"/>
  <c r="C16" i="71"/>
  <c r="B17" i="71"/>
  <c r="E18" i="71"/>
  <c r="D19" i="71"/>
  <c r="C20" i="71"/>
  <c r="B21" i="71"/>
  <c r="A22" i="71"/>
  <c r="E22" i="71"/>
  <c r="D23" i="71"/>
  <c r="C24" i="71"/>
  <c r="B25" i="71"/>
  <c r="A26" i="71"/>
  <c r="E26" i="71"/>
  <c r="D27" i="71"/>
  <c r="C28" i="71"/>
  <c r="B29" i="71"/>
  <c r="A30" i="71"/>
  <c r="E30" i="71"/>
  <c r="G30" i="71"/>
  <c r="G28" i="71"/>
  <c r="G26" i="71"/>
  <c r="G24" i="71"/>
  <c r="G22" i="71"/>
  <c r="G20" i="71"/>
  <c r="G18" i="71"/>
  <c r="G16" i="71"/>
  <c r="E15" i="71"/>
  <c r="D16" i="71"/>
  <c r="C17" i="71"/>
  <c r="B18" i="71"/>
  <c r="E19" i="71"/>
  <c r="D20" i="71"/>
  <c r="C21" i="71"/>
  <c r="B22" i="71"/>
  <c r="A23" i="71"/>
  <c r="E23" i="71"/>
  <c r="D24" i="71"/>
  <c r="C25" i="71"/>
  <c r="B26" i="71"/>
  <c r="A27" i="71"/>
  <c r="E27" i="71"/>
  <c r="D28" i="71"/>
  <c r="C29" i="71"/>
  <c r="B30" i="71"/>
  <c r="B14" i="71"/>
  <c r="G14" i="71"/>
  <c r="H29" i="71"/>
  <c r="H27" i="71"/>
  <c r="H25" i="71"/>
  <c r="H23" i="71"/>
  <c r="H21" i="71"/>
  <c r="H19" i="71"/>
  <c r="H17" i="71"/>
  <c r="H15" i="71"/>
  <c r="E16" i="71"/>
  <c r="D17" i="71"/>
  <c r="C18" i="71"/>
  <c r="B19" i="71"/>
  <c r="E20" i="71"/>
  <c r="D21" i="71"/>
  <c r="C22" i="71"/>
  <c r="B23" i="71"/>
  <c r="A24" i="71"/>
  <c r="E24" i="71"/>
  <c r="D25" i="71"/>
  <c r="C26" i="71"/>
  <c r="B27" i="71"/>
  <c r="A28" i="71"/>
  <c r="E28" i="71"/>
  <c r="D29" i="71"/>
  <c r="C30" i="71"/>
  <c r="C14" i="71"/>
  <c r="H14" i="71"/>
  <c r="G29" i="71"/>
  <c r="G27" i="71"/>
  <c r="G25" i="71"/>
  <c r="G23" i="71"/>
  <c r="G21" i="71"/>
  <c r="G19" i="71"/>
  <c r="G17" i="71"/>
  <c r="G15" i="71"/>
  <c r="C15" i="71"/>
  <c r="B16" i="71"/>
  <c r="E17" i="71"/>
  <c r="D18" i="71"/>
  <c r="C19" i="71"/>
  <c r="B20" i="71"/>
  <c r="A21" i="71"/>
  <c r="E21" i="71"/>
  <c r="D22" i="71"/>
  <c r="C23" i="71"/>
  <c r="B24" i="71"/>
  <c r="A25" i="71"/>
  <c r="E25" i="71"/>
  <c r="D26" i="71"/>
  <c r="C27" i="71"/>
  <c r="B28" i="71"/>
  <c r="A29" i="71"/>
  <c r="E29" i="71"/>
  <c r="D30" i="71"/>
  <c r="D14" i="71"/>
  <c r="H30" i="71"/>
  <c r="H28" i="71"/>
  <c r="H26" i="71"/>
  <c r="H24" i="71"/>
  <c r="H22" i="71"/>
  <c r="H20" i="71"/>
  <c r="H18" i="71"/>
  <c r="J13" i="71"/>
  <c r="D37" i="70"/>
  <c r="C37" i="70"/>
  <c r="B1402" i="34" l="1"/>
  <c r="B1408" i="34"/>
  <c r="B1422" i="34"/>
  <c r="B1423" i="34"/>
  <c r="B1329" i="34"/>
  <c r="B1330" i="34"/>
  <c r="B1230" i="34"/>
  <c r="B1231" i="34"/>
  <c r="B23" i="34"/>
  <c r="B24" i="34"/>
  <c r="B25" i="34"/>
  <c r="A1231" i="34" l="1"/>
  <c r="T1231" i="34"/>
  <c r="R1231" i="34"/>
  <c r="Z1231" i="34"/>
  <c r="S1231" i="34"/>
  <c r="W1231" i="34"/>
  <c r="U1231" i="34"/>
  <c r="Q1231" i="34"/>
  <c r="P1231" i="34"/>
  <c r="O1231" i="34"/>
  <c r="A1423" i="34"/>
  <c r="R1423" i="34"/>
  <c r="Z1423" i="34"/>
  <c r="S1423" i="34"/>
  <c r="W1423" i="34"/>
  <c r="T1423" i="34"/>
  <c r="U1423" i="34"/>
  <c r="P1423" i="34"/>
  <c r="Q1423" i="34"/>
  <c r="O1423" i="34"/>
  <c r="A1230" i="34"/>
  <c r="R1230" i="34"/>
  <c r="Z1230" i="34"/>
  <c r="T1230" i="34"/>
  <c r="U1230" i="34"/>
  <c r="S1230" i="34"/>
  <c r="W1230" i="34"/>
  <c r="Q1230" i="34"/>
  <c r="P1230" i="34"/>
  <c r="O1230" i="34"/>
  <c r="A1422" i="34"/>
  <c r="T1422" i="34"/>
  <c r="U1422" i="34"/>
  <c r="R1422" i="34"/>
  <c r="Z1422" i="34"/>
  <c r="S1422" i="34"/>
  <c r="W1422" i="34"/>
  <c r="P1422" i="34"/>
  <c r="O1422" i="34"/>
  <c r="Q1422" i="34"/>
  <c r="A25" i="34"/>
  <c r="Z25" i="34"/>
  <c r="W25" i="34"/>
  <c r="U25" i="34"/>
  <c r="O25" i="34"/>
  <c r="P25" i="34"/>
  <c r="Q25" i="34"/>
  <c r="A24" i="34"/>
  <c r="U24" i="34"/>
  <c r="Z24" i="34"/>
  <c r="W24" i="34"/>
  <c r="O24" i="34"/>
  <c r="Q24" i="34"/>
  <c r="P24" i="34"/>
  <c r="A1330" i="34"/>
  <c r="T1330" i="34"/>
  <c r="U1330" i="34"/>
  <c r="R1330" i="34"/>
  <c r="Z1330" i="34"/>
  <c r="S1330" i="34"/>
  <c r="W1330" i="34"/>
  <c r="Q1330" i="34"/>
  <c r="P1330" i="34"/>
  <c r="O1330" i="34"/>
  <c r="A1408" i="34"/>
  <c r="T1408" i="34"/>
  <c r="U1408" i="34"/>
  <c r="R1408" i="34"/>
  <c r="Z1408" i="34"/>
  <c r="S1408" i="34"/>
  <c r="W1408" i="34"/>
  <c r="O1408" i="34"/>
  <c r="P1408" i="34"/>
  <c r="Q1408" i="34"/>
  <c r="A23" i="34"/>
  <c r="Z23" i="34"/>
  <c r="W23" i="34"/>
  <c r="U23" i="34"/>
  <c r="O23" i="34"/>
  <c r="Q23" i="34"/>
  <c r="P23" i="34"/>
  <c r="A1329" i="34"/>
  <c r="R1329" i="34"/>
  <c r="Z1329" i="34"/>
  <c r="S1329" i="34"/>
  <c r="W1329" i="34"/>
  <c r="T1329" i="34"/>
  <c r="U1329" i="34"/>
  <c r="P1329" i="34"/>
  <c r="O1329" i="34"/>
  <c r="Q1329" i="34"/>
  <c r="A1402" i="34"/>
  <c r="T1402" i="34"/>
  <c r="U1402" i="34"/>
  <c r="R1402" i="34"/>
  <c r="Z1402" i="34"/>
  <c r="S1402" i="34"/>
  <c r="W1402" i="34"/>
  <c r="O1402" i="34"/>
  <c r="P1402" i="34"/>
  <c r="Q1402" i="34"/>
  <c r="B975" i="34"/>
  <c r="B976" i="34"/>
  <c r="B1013" i="34"/>
  <c r="B1015" i="34"/>
  <c r="B1021" i="34"/>
  <c r="B1292" i="34"/>
  <c r="B1299" i="34"/>
  <c r="B1328" i="34"/>
  <c r="B1332" i="34"/>
  <c r="B949" i="34"/>
  <c r="B973" i="34"/>
  <c r="B974" i="34"/>
  <c r="B772" i="34"/>
  <c r="B783" i="34"/>
  <c r="B882" i="34"/>
  <c r="B920" i="34"/>
  <c r="B921" i="34"/>
  <c r="B972" i="34"/>
  <c r="B924" i="34"/>
  <c r="B527" i="34"/>
  <c r="B919" i="34"/>
  <c r="B1159" i="34"/>
  <c r="B1129" i="34"/>
  <c r="B777" i="34"/>
  <c r="B776" i="34"/>
  <c r="B775" i="34"/>
  <c r="B774" i="34"/>
  <c r="B773" i="34"/>
  <c r="B106" i="34"/>
  <c r="B54" i="34"/>
  <c r="B53" i="34"/>
  <c r="B1176" i="34"/>
  <c r="B526" i="34"/>
  <c r="B443" i="34"/>
  <c r="B452" i="34"/>
  <c r="B424" i="34"/>
  <c r="B425" i="34"/>
  <c r="B428" i="34"/>
  <c r="B429" i="34"/>
  <c r="B430" i="34"/>
  <c r="B435" i="34"/>
  <c r="B436" i="34"/>
  <c r="B159" i="34"/>
  <c r="B105" i="34"/>
  <c r="B752" i="34"/>
  <c r="B753" i="34"/>
  <c r="B1333" i="34"/>
  <c r="B1334" i="34"/>
  <c r="B1169" i="34"/>
  <c r="B1170" i="34"/>
  <c r="B712" i="34"/>
  <c r="B751" i="34"/>
  <c r="B545" i="34"/>
  <c r="B655" i="34"/>
  <c r="B710" i="34"/>
  <c r="B514" i="34"/>
  <c r="B528" i="34"/>
  <c r="B533" i="34"/>
  <c r="B534" i="34"/>
  <c r="B504" i="34"/>
  <c r="B512" i="34"/>
  <c r="B472" i="34"/>
  <c r="B474" i="34"/>
  <c r="B489" i="34"/>
  <c r="B493" i="34"/>
  <c r="B498" i="34"/>
  <c r="B440" i="34"/>
  <c r="B441" i="34"/>
  <c r="B453" i="34"/>
  <c r="B469" i="34"/>
  <c r="B473" i="34"/>
  <c r="B513" i="34"/>
  <c r="B421" i="34"/>
  <c r="B422" i="34"/>
  <c r="B713" i="34"/>
  <c r="B714" i="34"/>
  <c r="B782" i="34"/>
  <c r="B881" i="34"/>
  <c r="B657" i="34"/>
  <c r="B694" i="34"/>
  <c r="B695" i="34"/>
  <c r="A422" i="34" l="1"/>
  <c r="S422" i="34"/>
  <c r="W422" i="34"/>
  <c r="T422" i="34"/>
  <c r="U422" i="34"/>
  <c r="R422" i="34"/>
  <c r="Z422" i="34"/>
  <c r="Q422" i="34"/>
  <c r="O422" i="34"/>
  <c r="P422" i="34"/>
  <c r="A533" i="34"/>
  <c r="T533" i="34"/>
  <c r="U533" i="34"/>
  <c r="R533" i="34"/>
  <c r="Z533" i="34"/>
  <c r="S533" i="34"/>
  <c r="W533" i="34"/>
  <c r="O533" i="34"/>
  <c r="P533" i="34"/>
  <c r="Q533" i="34"/>
  <c r="A714" i="34"/>
  <c r="S714" i="34"/>
  <c r="W714" i="34"/>
  <c r="T714" i="34"/>
  <c r="U714" i="34"/>
  <c r="R714" i="34"/>
  <c r="Z714" i="34"/>
  <c r="O714" i="34"/>
  <c r="P714" i="34"/>
  <c r="Q714" i="34"/>
  <c r="A441" i="34"/>
  <c r="T441" i="34"/>
  <c r="U441" i="34"/>
  <c r="R441" i="34"/>
  <c r="Z441" i="34"/>
  <c r="S441" i="34"/>
  <c r="W441" i="34"/>
  <c r="P441" i="34"/>
  <c r="Q441" i="34"/>
  <c r="O441" i="34"/>
  <c r="A657" i="34"/>
  <c r="U657" i="34"/>
  <c r="R657" i="34"/>
  <c r="Z657" i="34"/>
  <c r="S657" i="34"/>
  <c r="W657" i="34"/>
  <c r="T657" i="34"/>
  <c r="O657" i="34"/>
  <c r="P657" i="34"/>
  <c r="Q657" i="34"/>
  <c r="A713" i="34"/>
  <c r="U713" i="34"/>
  <c r="R713" i="34"/>
  <c r="Z713" i="34"/>
  <c r="S713" i="34"/>
  <c r="W713" i="34"/>
  <c r="T713" i="34"/>
  <c r="Q713" i="34"/>
  <c r="O713" i="34"/>
  <c r="P713" i="34"/>
  <c r="A473" i="34"/>
  <c r="T473" i="34"/>
  <c r="U473" i="34"/>
  <c r="R473" i="34"/>
  <c r="Z473" i="34"/>
  <c r="S473" i="34"/>
  <c r="W473" i="34"/>
  <c r="P473" i="34"/>
  <c r="Q473" i="34"/>
  <c r="O473" i="34"/>
  <c r="A440" i="34"/>
  <c r="R440" i="34"/>
  <c r="Z440" i="34"/>
  <c r="S440" i="34"/>
  <c r="W440" i="34"/>
  <c r="T440" i="34"/>
  <c r="U440" i="34"/>
  <c r="P440" i="34"/>
  <c r="Q440" i="34"/>
  <c r="O440" i="34"/>
  <c r="A474" i="34"/>
  <c r="R474" i="34"/>
  <c r="Z474" i="34"/>
  <c r="S474" i="34"/>
  <c r="W474" i="34"/>
  <c r="T474" i="34"/>
  <c r="U474" i="34"/>
  <c r="P474" i="34"/>
  <c r="O474" i="34"/>
  <c r="Q474" i="34"/>
  <c r="A534" i="34"/>
  <c r="R534" i="34"/>
  <c r="Z534" i="34"/>
  <c r="S534" i="34"/>
  <c r="W534" i="34"/>
  <c r="T534" i="34"/>
  <c r="U534" i="34"/>
  <c r="O534" i="34"/>
  <c r="P534" i="34"/>
  <c r="Q534" i="34"/>
  <c r="A710" i="34"/>
  <c r="S710" i="34"/>
  <c r="W710" i="34"/>
  <c r="T710" i="34"/>
  <c r="U710" i="34"/>
  <c r="R710" i="34"/>
  <c r="Z710" i="34"/>
  <c r="P710" i="34"/>
  <c r="O710" i="34"/>
  <c r="Q710" i="34"/>
  <c r="A712" i="34"/>
  <c r="S712" i="34"/>
  <c r="W712" i="34"/>
  <c r="T712" i="34"/>
  <c r="U712" i="34"/>
  <c r="R712" i="34"/>
  <c r="Z712" i="34"/>
  <c r="P712" i="34"/>
  <c r="O712" i="34"/>
  <c r="Q712" i="34"/>
  <c r="A1333" i="34"/>
  <c r="R1333" i="34"/>
  <c r="Z1333" i="34"/>
  <c r="S1333" i="34"/>
  <c r="W1333" i="34"/>
  <c r="T1333" i="34"/>
  <c r="U1333" i="34"/>
  <c r="P1333" i="34"/>
  <c r="O1333" i="34"/>
  <c r="Q1333" i="34"/>
  <c r="A159" i="34"/>
  <c r="W159" i="34"/>
  <c r="U159" i="34"/>
  <c r="Z159" i="34"/>
  <c r="Q159" i="34"/>
  <c r="O159" i="34"/>
  <c r="P159" i="34"/>
  <c r="A429" i="34"/>
  <c r="R429" i="34"/>
  <c r="S429" i="34"/>
  <c r="T429" i="34"/>
  <c r="U429" i="34"/>
  <c r="Z429" i="34"/>
  <c r="W429" i="34"/>
  <c r="O429" i="34"/>
  <c r="P429" i="34"/>
  <c r="Q429" i="34"/>
  <c r="A452" i="34"/>
  <c r="R452" i="34"/>
  <c r="Z452" i="34"/>
  <c r="S452" i="34"/>
  <c r="W452" i="34"/>
  <c r="T452" i="34"/>
  <c r="U452" i="34"/>
  <c r="Q452" i="34"/>
  <c r="O452" i="34"/>
  <c r="P452" i="34"/>
  <c r="A53" i="34"/>
  <c r="Z53" i="34"/>
  <c r="W53" i="34"/>
  <c r="U53" i="34"/>
  <c r="O53" i="34"/>
  <c r="P53" i="34"/>
  <c r="Q53" i="34"/>
  <c r="A774" i="34"/>
  <c r="W774" i="34"/>
  <c r="U774" i="34"/>
  <c r="Z774" i="34"/>
  <c r="Q774" i="34"/>
  <c r="P774" i="34"/>
  <c r="O774" i="34"/>
  <c r="A1129" i="34"/>
  <c r="T1129" i="34"/>
  <c r="U1129" i="34"/>
  <c r="R1129" i="34"/>
  <c r="Z1129" i="34"/>
  <c r="S1129" i="34"/>
  <c r="W1129" i="34"/>
  <c r="Q1129" i="34"/>
  <c r="O1129" i="34"/>
  <c r="P1129" i="34"/>
  <c r="A924" i="34"/>
  <c r="R924" i="34"/>
  <c r="Z924" i="34"/>
  <c r="S924" i="34"/>
  <c r="W924" i="34"/>
  <c r="T924" i="34"/>
  <c r="U924" i="34"/>
  <c r="P924" i="34"/>
  <c r="Q924" i="34"/>
  <c r="O924" i="34"/>
  <c r="A882" i="34"/>
  <c r="S882" i="34"/>
  <c r="W882" i="34"/>
  <c r="T882" i="34"/>
  <c r="U882" i="34"/>
  <c r="R882" i="34"/>
  <c r="Z882" i="34"/>
  <c r="O882" i="34"/>
  <c r="Q882" i="34"/>
  <c r="P882" i="34"/>
  <c r="A973" i="34"/>
  <c r="T973" i="34"/>
  <c r="U973" i="34"/>
  <c r="R973" i="34"/>
  <c r="Z973" i="34"/>
  <c r="S973" i="34"/>
  <c r="W973" i="34"/>
  <c r="O973" i="34"/>
  <c r="P973" i="34"/>
  <c r="Q973" i="34"/>
  <c r="A1299" i="34"/>
  <c r="R1299" i="34"/>
  <c r="Z1299" i="34"/>
  <c r="S1299" i="34"/>
  <c r="W1299" i="34"/>
  <c r="T1299" i="34"/>
  <c r="U1299" i="34"/>
  <c r="Q1299" i="34"/>
  <c r="P1299" i="34"/>
  <c r="O1299" i="34"/>
  <c r="A1013" i="34"/>
  <c r="T1013" i="34"/>
  <c r="U1013" i="34"/>
  <c r="R1013" i="34"/>
  <c r="Z1013" i="34"/>
  <c r="S1013" i="34"/>
  <c r="W1013" i="34"/>
  <c r="P1013" i="34"/>
  <c r="Q1013" i="34"/>
  <c r="O1013" i="34"/>
  <c r="A498" i="34"/>
  <c r="R498" i="34"/>
  <c r="Z498" i="34"/>
  <c r="S498" i="34"/>
  <c r="W498" i="34"/>
  <c r="T498" i="34"/>
  <c r="U498" i="34"/>
  <c r="O498" i="34"/>
  <c r="Q498" i="34"/>
  <c r="P498" i="34"/>
  <c r="A655" i="34"/>
  <c r="U655" i="34"/>
  <c r="R655" i="34"/>
  <c r="Z655" i="34"/>
  <c r="S655" i="34"/>
  <c r="W655" i="34"/>
  <c r="T655" i="34"/>
  <c r="O655" i="34"/>
  <c r="P655" i="34"/>
  <c r="Q655" i="34"/>
  <c r="A753" i="34"/>
  <c r="U753" i="34"/>
  <c r="R753" i="34"/>
  <c r="Z753" i="34"/>
  <c r="S753" i="34"/>
  <c r="W753" i="34"/>
  <c r="T753" i="34"/>
  <c r="Q753" i="34"/>
  <c r="O753" i="34"/>
  <c r="P753" i="34"/>
  <c r="A436" i="34"/>
  <c r="R436" i="34"/>
  <c r="Z436" i="34"/>
  <c r="S436" i="34"/>
  <c r="W436" i="34"/>
  <c r="T436" i="34"/>
  <c r="U436" i="34"/>
  <c r="Q436" i="34"/>
  <c r="O436" i="34"/>
  <c r="P436" i="34"/>
  <c r="A428" i="34"/>
  <c r="T428" i="34"/>
  <c r="U428" i="34"/>
  <c r="R428" i="34"/>
  <c r="Z428" i="34"/>
  <c r="W428" i="34"/>
  <c r="S428" i="34"/>
  <c r="P428" i="34"/>
  <c r="Q428" i="34"/>
  <c r="O428" i="34"/>
  <c r="A443" i="34"/>
  <c r="T443" i="34"/>
  <c r="U443" i="34"/>
  <c r="R443" i="34"/>
  <c r="Z443" i="34"/>
  <c r="S443" i="34"/>
  <c r="W443" i="34"/>
  <c r="P443" i="34"/>
  <c r="O443" i="34"/>
  <c r="Q443" i="34"/>
  <c r="A54" i="34"/>
  <c r="U54" i="34"/>
  <c r="Z54" i="34"/>
  <c r="W54" i="34"/>
  <c r="Q54" i="34"/>
  <c r="O54" i="34"/>
  <c r="P54" i="34"/>
  <c r="A775" i="34"/>
  <c r="U775" i="34"/>
  <c r="Z775" i="34"/>
  <c r="W775" i="34"/>
  <c r="P775" i="34"/>
  <c r="O775" i="34"/>
  <c r="Q775" i="34"/>
  <c r="A1159" i="34"/>
  <c r="T1159" i="34"/>
  <c r="U1159" i="34"/>
  <c r="R1159" i="34"/>
  <c r="Z1159" i="34"/>
  <c r="S1159" i="34"/>
  <c r="W1159" i="34"/>
  <c r="Q1159" i="34"/>
  <c r="O1159" i="34"/>
  <c r="P1159" i="34"/>
  <c r="A972" i="34"/>
  <c r="R972" i="34"/>
  <c r="Z972" i="34"/>
  <c r="S972" i="34"/>
  <c r="W972" i="34"/>
  <c r="T972" i="34"/>
  <c r="U972" i="34"/>
  <c r="P972" i="34"/>
  <c r="Q972" i="34"/>
  <c r="O972" i="34"/>
  <c r="A783" i="34"/>
  <c r="U783" i="34"/>
  <c r="R783" i="34"/>
  <c r="Z783" i="34"/>
  <c r="S783" i="34"/>
  <c r="W783" i="34"/>
  <c r="T783" i="34"/>
  <c r="P783" i="34"/>
  <c r="O783" i="34"/>
  <c r="Q783" i="34"/>
  <c r="A949" i="34"/>
  <c r="T949" i="34"/>
  <c r="U949" i="34"/>
  <c r="R949" i="34"/>
  <c r="Z949" i="34"/>
  <c r="S949" i="34"/>
  <c r="W949" i="34"/>
  <c r="P949" i="34"/>
  <c r="Q949" i="34"/>
  <c r="O949" i="34"/>
  <c r="A1292" i="34"/>
  <c r="T1292" i="34"/>
  <c r="U1292" i="34"/>
  <c r="R1292" i="34"/>
  <c r="Z1292" i="34"/>
  <c r="S1292" i="34"/>
  <c r="W1292" i="34"/>
  <c r="O1292" i="34"/>
  <c r="Q1292" i="34"/>
  <c r="P1292" i="34"/>
  <c r="A976" i="34"/>
  <c r="R976" i="34"/>
  <c r="Z976" i="34"/>
  <c r="S976" i="34"/>
  <c r="W976" i="34"/>
  <c r="T976" i="34"/>
  <c r="U976" i="34"/>
  <c r="Q976" i="34"/>
  <c r="O976" i="34"/>
  <c r="P976" i="34"/>
  <c r="A469" i="34"/>
  <c r="T469" i="34"/>
  <c r="U469" i="34"/>
  <c r="R469" i="34"/>
  <c r="Z469" i="34"/>
  <c r="S469" i="34"/>
  <c r="W469" i="34"/>
  <c r="P469" i="34"/>
  <c r="Q469" i="34"/>
  <c r="O469" i="34"/>
  <c r="A1170" i="34"/>
  <c r="R1170" i="34"/>
  <c r="Z1170" i="34"/>
  <c r="S1170" i="34"/>
  <c r="W1170" i="34"/>
  <c r="T1170" i="34"/>
  <c r="U1170" i="34"/>
  <c r="Q1170" i="34"/>
  <c r="P1170" i="34"/>
  <c r="O1170" i="34"/>
  <c r="A695" i="34"/>
  <c r="U695" i="34"/>
  <c r="R695" i="34"/>
  <c r="Z695" i="34"/>
  <c r="S695" i="34"/>
  <c r="W695" i="34"/>
  <c r="T695" i="34"/>
  <c r="P695" i="34"/>
  <c r="Q695" i="34"/>
  <c r="O695" i="34"/>
  <c r="A782" i="34"/>
  <c r="S782" i="34"/>
  <c r="W782" i="34"/>
  <c r="T782" i="34"/>
  <c r="U782" i="34"/>
  <c r="R782" i="34"/>
  <c r="Z782" i="34"/>
  <c r="O782" i="34"/>
  <c r="Q782" i="34"/>
  <c r="P782" i="34"/>
  <c r="A421" i="34"/>
  <c r="U421" i="34"/>
  <c r="R421" i="34"/>
  <c r="Z421" i="34"/>
  <c r="S421" i="34"/>
  <c r="W421" i="34"/>
  <c r="T421" i="34"/>
  <c r="P421" i="34"/>
  <c r="Q421" i="34"/>
  <c r="O421" i="34"/>
  <c r="A453" i="34"/>
  <c r="T453" i="34"/>
  <c r="U453" i="34"/>
  <c r="R453" i="34"/>
  <c r="Z453" i="34"/>
  <c r="S453" i="34"/>
  <c r="W453" i="34"/>
  <c r="P453" i="34"/>
  <c r="Q453" i="34"/>
  <c r="O453" i="34"/>
  <c r="A493" i="34"/>
  <c r="T493" i="34"/>
  <c r="U493" i="34"/>
  <c r="R493" i="34"/>
  <c r="Z493" i="34"/>
  <c r="S493" i="34"/>
  <c r="W493" i="34"/>
  <c r="O493" i="34"/>
  <c r="P493" i="34"/>
  <c r="Q493" i="34"/>
  <c r="A512" i="34"/>
  <c r="R512" i="34"/>
  <c r="Z512" i="34"/>
  <c r="S512" i="34"/>
  <c r="W512" i="34"/>
  <c r="T512" i="34"/>
  <c r="U512" i="34"/>
  <c r="O512" i="34"/>
  <c r="Q512" i="34"/>
  <c r="P512" i="34"/>
  <c r="A528" i="34"/>
  <c r="R528" i="34"/>
  <c r="Z528" i="34"/>
  <c r="S528" i="34"/>
  <c r="W528" i="34"/>
  <c r="T528" i="34"/>
  <c r="U528" i="34"/>
  <c r="P528" i="34"/>
  <c r="Q528" i="34"/>
  <c r="O528" i="34"/>
  <c r="A545" i="34"/>
  <c r="T545" i="34"/>
  <c r="U545" i="34"/>
  <c r="R545" i="34"/>
  <c r="Z545" i="34"/>
  <c r="S545" i="34"/>
  <c r="W545" i="34"/>
  <c r="O545" i="34"/>
  <c r="P545" i="34"/>
  <c r="Q545" i="34"/>
  <c r="A1169" i="34"/>
  <c r="T1169" i="34"/>
  <c r="U1169" i="34"/>
  <c r="R1169" i="34"/>
  <c r="Z1169" i="34"/>
  <c r="S1169" i="34"/>
  <c r="W1169" i="34"/>
  <c r="P1169" i="34"/>
  <c r="O1169" i="34"/>
  <c r="Q1169" i="34"/>
  <c r="A752" i="34"/>
  <c r="S752" i="34"/>
  <c r="W752" i="34"/>
  <c r="T752" i="34"/>
  <c r="U752" i="34"/>
  <c r="R752" i="34"/>
  <c r="Z752" i="34"/>
  <c r="O752" i="34"/>
  <c r="P752" i="34"/>
  <c r="Q752" i="34"/>
  <c r="A435" i="34"/>
  <c r="T435" i="34"/>
  <c r="R435" i="34"/>
  <c r="W435" i="34"/>
  <c r="S435" i="34"/>
  <c r="U435" i="34"/>
  <c r="Z435" i="34"/>
  <c r="O435" i="34"/>
  <c r="Q435" i="34"/>
  <c r="P435" i="34"/>
  <c r="A425" i="34"/>
  <c r="U425" i="34"/>
  <c r="R425" i="34"/>
  <c r="Z425" i="34"/>
  <c r="S425" i="34"/>
  <c r="W425" i="34"/>
  <c r="T425" i="34"/>
  <c r="P425" i="34"/>
  <c r="Q425" i="34"/>
  <c r="O425" i="34"/>
  <c r="A526" i="34"/>
  <c r="R526" i="34"/>
  <c r="Z526" i="34"/>
  <c r="S526" i="34"/>
  <c r="W526" i="34"/>
  <c r="T526" i="34"/>
  <c r="U526" i="34"/>
  <c r="O526" i="34"/>
  <c r="P526" i="34"/>
  <c r="Q526" i="34"/>
  <c r="A106" i="34"/>
  <c r="U106" i="34"/>
  <c r="Z106" i="34"/>
  <c r="W106" i="34"/>
  <c r="Q106" i="34"/>
  <c r="O106" i="34"/>
  <c r="P106" i="34"/>
  <c r="A776" i="34"/>
  <c r="W776" i="34"/>
  <c r="U776" i="34"/>
  <c r="Z776" i="34"/>
  <c r="P776" i="34"/>
  <c r="Q776" i="34"/>
  <c r="O776" i="34"/>
  <c r="A919" i="34"/>
  <c r="T919" i="34"/>
  <c r="R919" i="34"/>
  <c r="W919" i="34"/>
  <c r="S919" i="34"/>
  <c r="U919" i="34"/>
  <c r="Z919" i="34"/>
  <c r="P919" i="34"/>
  <c r="O919" i="34"/>
  <c r="Q919" i="34"/>
  <c r="A921" i="34"/>
  <c r="T921" i="34"/>
  <c r="Z921" i="34"/>
  <c r="R921" i="34"/>
  <c r="W921" i="34"/>
  <c r="S921" i="34"/>
  <c r="U921" i="34"/>
  <c r="O921" i="34"/>
  <c r="P921" i="34"/>
  <c r="Q921" i="34"/>
  <c r="A772" i="34"/>
  <c r="S772" i="34"/>
  <c r="W772" i="34"/>
  <c r="T772" i="34"/>
  <c r="U772" i="34"/>
  <c r="R772" i="34"/>
  <c r="Z772" i="34"/>
  <c r="O772" i="34"/>
  <c r="P772" i="34"/>
  <c r="Q772" i="34"/>
  <c r="A1332" i="34"/>
  <c r="T1332" i="34"/>
  <c r="U1332" i="34"/>
  <c r="R1332" i="34"/>
  <c r="Z1332" i="34"/>
  <c r="S1332" i="34"/>
  <c r="W1332" i="34"/>
  <c r="P1332" i="34"/>
  <c r="O1332" i="34"/>
  <c r="Q1332" i="34"/>
  <c r="A1021" i="34"/>
  <c r="T1021" i="34"/>
  <c r="U1021" i="34"/>
  <c r="R1021" i="34"/>
  <c r="Z1021" i="34"/>
  <c r="S1021" i="34"/>
  <c r="W1021" i="34"/>
  <c r="O1021" i="34"/>
  <c r="P1021" i="34"/>
  <c r="Q1021" i="34"/>
  <c r="A975" i="34"/>
  <c r="T975" i="34"/>
  <c r="U975" i="34"/>
  <c r="R975" i="34"/>
  <c r="Z975" i="34"/>
  <c r="S975" i="34"/>
  <c r="W975" i="34"/>
  <c r="O975" i="34"/>
  <c r="P975" i="34"/>
  <c r="Q975" i="34"/>
  <c r="A881" i="34"/>
  <c r="U881" i="34"/>
  <c r="R881" i="34"/>
  <c r="Z881" i="34"/>
  <c r="S881" i="34"/>
  <c r="W881" i="34"/>
  <c r="T881" i="34"/>
  <c r="Q881" i="34"/>
  <c r="O881" i="34"/>
  <c r="P881" i="34"/>
  <c r="A472" i="34"/>
  <c r="R472" i="34"/>
  <c r="Z472" i="34"/>
  <c r="S472" i="34"/>
  <c r="W472" i="34"/>
  <c r="T472" i="34"/>
  <c r="U472" i="34"/>
  <c r="P472" i="34"/>
  <c r="O472" i="34"/>
  <c r="Q472" i="34"/>
  <c r="A694" i="34"/>
  <c r="S694" i="34"/>
  <c r="W694" i="34"/>
  <c r="T694" i="34"/>
  <c r="U694" i="34"/>
  <c r="R694" i="34"/>
  <c r="Z694" i="34"/>
  <c r="O694" i="34"/>
  <c r="Q694" i="34"/>
  <c r="P694" i="34"/>
  <c r="A513" i="34"/>
  <c r="T513" i="34"/>
  <c r="U513" i="34"/>
  <c r="R513" i="34"/>
  <c r="Z513" i="34"/>
  <c r="S513" i="34"/>
  <c r="W513" i="34"/>
  <c r="O513" i="34"/>
  <c r="P513" i="34"/>
  <c r="Q513" i="34"/>
  <c r="A489" i="34"/>
  <c r="T489" i="34"/>
  <c r="U489" i="34"/>
  <c r="R489" i="34"/>
  <c r="Z489" i="34"/>
  <c r="S489" i="34"/>
  <c r="W489" i="34"/>
  <c r="P489" i="34"/>
  <c r="Q489" i="34"/>
  <c r="O489" i="34"/>
  <c r="A504" i="34"/>
  <c r="R504" i="34"/>
  <c r="Z504" i="34"/>
  <c r="S504" i="34"/>
  <c r="W504" i="34"/>
  <c r="T504" i="34"/>
  <c r="U504" i="34"/>
  <c r="O504" i="34"/>
  <c r="P504" i="34"/>
  <c r="Q504" i="34"/>
  <c r="A514" i="34"/>
  <c r="R514" i="34"/>
  <c r="Z514" i="34"/>
  <c r="S514" i="34"/>
  <c r="W514" i="34"/>
  <c r="T514" i="34"/>
  <c r="U514" i="34"/>
  <c r="P514" i="34"/>
  <c r="O514" i="34"/>
  <c r="Q514" i="34"/>
  <c r="A751" i="34"/>
  <c r="U751" i="34"/>
  <c r="R751" i="34"/>
  <c r="Z751" i="34"/>
  <c r="S751" i="34"/>
  <c r="W751" i="34"/>
  <c r="T751" i="34"/>
  <c r="P751" i="34"/>
  <c r="O751" i="34"/>
  <c r="Q751" i="34"/>
  <c r="A1334" i="34"/>
  <c r="T1334" i="34"/>
  <c r="U1334" i="34"/>
  <c r="R1334" i="34"/>
  <c r="Z1334" i="34"/>
  <c r="S1334" i="34"/>
  <c r="W1334" i="34"/>
  <c r="O1334" i="34"/>
  <c r="Q1334" i="34"/>
  <c r="P1334" i="34"/>
  <c r="A105" i="34"/>
  <c r="Z105" i="34"/>
  <c r="W105" i="34"/>
  <c r="U105" i="34"/>
  <c r="O105" i="34"/>
  <c r="P105" i="34"/>
  <c r="Q105" i="34"/>
  <c r="A430" i="34"/>
  <c r="R430" i="34"/>
  <c r="Z430" i="34"/>
  <c r="T430" i="34"/>
  <c r="U430" i="34"/>
  <c r="S430" i="34"/>
  <c r="W430" i="34"/>
  <c r="O430" i="34"/>
  <c r="P430" i="34"/>
  <c r="Q430" i="34"/>
  <c r="A424" i="34"/>
  <c r="S424" i="34"/>
  <c r="W424" i="34"/>
  <c r="T424" i="34"/>
  <c r="U424" i="34"/>
  <c r="R424" i="34"/>
  <c r="Z424" i="34"/>
  <c r="P424" i="34"/>
  <c r="Q424" i="34"/>
  <c r="O424" i="34"/>
  <c r="A1176" i="34"/>
  <c r="R1176" i="34"/>
  <c r="Z1176" i="34"/>
  <c r="S1176" i="34"/>
  <c r="W1176" i="34"/>
  <c r="T1176" i="34"/>
  <c r="U1176" i="34"/>
  <c r="P1176" i="34"/>
  <c r="O1176" i="34"/>
  <c r="Q1176" i="34"/>
  <c r="A773" i="34"/>
  <c r="U773" i="34"/>
  <c r="Z773" i="34"/>
  <c r="W773" i="34"/>
  <c r="Q773" i="34"/>
  <c r="O773" i="34"/>
  <c r="P773" i="34"/>
  <c r="A777" i="34"/>
  <c r="U777" i="34"/>
  <c r="Z777" i="34"/>
  <c r="W777" i="34"/>
  <c r="O777" i="34"/>
  <c r="P777" i="34"/>
  <c r="Q777" i="34"/>
  <c r="A527" i="34"/>
  <c r="T527" i="34"/>
  <c r="U527" i="34"/>
  <c r="R527" i="34"/>
  <c r="Z527" i="34"/>
  <c r="S527" i="34"/>
  <c r="W527" i="34"/>
  <c r="O527" i="34"/>
  <c r="P527" i="34"/>
  <c r="Q527" i="34"/>
  <c r="A920" i="34"/>
  <c r="R920" i="34"/>
  <c r="Z920" i="34"/>
  <c r="S920" i="34"/>
  <c r="W920" i="34"/>
  <c r="T920" i="34"/>
  <c r="U920" i="34"/>
  <c r="Q920" i="34"/>
  <c r="O920" i="34"/>
  <c r="P920" i="34"/>
  <c r="A974" i="34"/>
  <c r="R974" i="34"/>
  <c r="Z974" i="34"/>
  <c r="S974" i="34"/>
  <c r="W974" i="34"/>
  <c r="T974" i="34"/>
  <c r="U974" i="34"/>
  <c r="Q974" i="34"/>
  <c r="O974" i="34"/>
  <c r="P974" i="34"/>
  <c r="A1328" i="34"/>
  <c r="T1328" i="34"/>
  <c r="U1328" i="34"/>
  <c r="R1328" i="34"/>
  <c r="Z1328" i="34"/>
  <c r="S1328" i="34"/>
  <c r="W1328" i="34"/>
  <c r="Q1328" i="34"/>
  <c r="P1328" i="34"/>
  <c r="O1328" i="34"/>
  <c r="A1015" i="34"/>
  <c r="T1015" i="34"/>
  <c r="U1015" i="34"/>
  <c r="R1015" i="34"/>
  <c r="Z1015" i="34"/>
  <c r="S1015" i="34"/>
  <c r="W1015" i="34"/>
  <c r="Q1015" i="34"/>
  <c r="O1015" i="34"/>
  <c r="P1015" i="34"/>
  <c r="B227" i="34"/>
  <c r="B221" i="34"/>
  <c r="B220" i="34"/>
  <c r="B172" i="34"/>
  <c r="B169" i="34"/>
  <c r="B1089" i="34"/>
  <c r="B789" i="34"/>
  <c r="B781" i="34"/>
  <c r="B780" i="34"/>
  <c r="B84" i="34"/>
  <c r="B1245" i="34"/>
  <c r="B1244" i="34"/>
  <c r="B1208" i="34"/>
  <c r="B1228" i="34"/>
  <c r="B711" i="34"/>
  <c r="A781" i="34" l="1"/>
  <c r="U781" i="34"/>
  <c r="Z781" i="34"/>
  <c r="W781" i="34"/>
  <c r="O781" i="34"/>
  <c r="P781" i="34"/>
  <c r="Q781" i="34"/>
  <c r="A711" i="34"/>
  <c r="U711" i="34"/>
  <c r="R711" i="34"/>
  <c r="Z711" i="34"/>
  <c r="S711" i="34"/>
  <c r="W711" i="34"/>
  <c r="T711" i="34"/>
  <c r="P711" i="34"/>
  <c r="Q711" i="34"/>
  <c r="O711" i="34"/>
  <c r="A1245" i="34"/>
  <c r="R1245" i="34"/>
  <c r="Z1245" i="34"/>
  <c r="S1245" i="34"/>
  <c r="W1245" i="34"/>
  <c r="T1245" i="34"/>
  <c r="U1245" i="34"/>
  <c r="O1245" i="34"/>
  <c r="Q1245" i="34"/>
  <c r="P1245" i="34"/>
  <c r="A789" i="34"/>
  <c r="U789" i="34"/>
  <c r="Z789" i="34"/>
  <c r="W789" i="34"/>
  <c r="Q789" i="34"/>
  <c r="O789" i="34"/>
  <c r="P789" i="34"/>
  <c r="A220" i="34"/>
  <c r="U220" i="34"/>
  <c r="Z220" i="34"/>
  <c r="W220" i="34"/>
  <c r="P220" i="34"/>
  <c r="Q220" i="34"/>
  <c r="O220" i="34"/>
  <c r="A1089" i="34"/>
  <c r="U1089" i="34"/>
  <c r="Z1089" i="34"/>
  <c r="W1089" i="34"/>
  <c r="O1089" i="34"/>
  <c r="P1089" i="34"/>
  <c r="Q1089" i="34"/>
  <c r="A1244" i="34"/>
  <c r="T1244" i="34"/>
  <c r="U1244" i="34"/>
  <c r="R1244" i="34"/>
  <c r="Z1244" i="34"/>
  <c r="S1244" i="34"/>
  <c r="W1244" i="34"/>
  <c r="O1244" i="34"/>
  <c r="Q1244" i="34"/>
  <c r="P1244" i="34"/>
  <c r="A172" i="34"/>
  <c r="U172" i="34"/>
  <c r="Z172" i="34"/>
  <c r="W172" i="34"/>
  <c r="P172" i="34"/>
  <c r="Q172" i="34"/>
  <c r="O172" i="34"/>
  <c r="A1228" i="34"/>
  <c r="R1228" i="34"/>
  <c r="Z1228" i="34"/>
  <c r="T1228" i="34"/>
  <c r="U1228" i="34"/>
  <c r="S1228" i="34"/>
  <c r="W1228" i="34"/>
  <c r="O1228" i="34"/>
  <c r="Q1228" i="34"/>
  <c r="P1228" i="34"/>
  <c r="A84" i="34"/>
  <c r="U84" i="34"/>
  <c r="Z84" i="34"/>
  <c r="W84" i="34"/>
  <c r="P84" i="34"/>
  <c r="O84" i="34"/>
  <c r="Q84" i="34"/>
  <c r="A221" i="34"/>
  <c r="W221" i="34"/>
  <c r="U221" i="34"/>
  <c r="Z221" i="34"/>
  <c r="O221" i="34"/>
  <c r="P221" i="34"/>
  <c r="Q221" i="34"/>
  <c r="A1208" i="34"/>
  <c r="R1208" i="34"/>
  <c r="Z1208" i="34"/>
  <c r="S1208" i="34"/>
  <c r="W1208" i="34"/>
  <c r="T1208" i="34"/>
  <c r="U1208" i="34"/>
  <c r="P1208" i="34"/>
  <c r="O1208" i="34"/>
  <c r="Q1208" i="34"/>
  <c r="A780" i="34"/>
  <c r="W780" i="34"/>
  <c r="U780" i="34"/>
  <c r="Z780" i="34"/>
  <c r="O780" i="34"/>
  <c r="P780" i="34"/>
  <c r="Q780" i="34"/>
  <c r="A169" i="34"/>
  <c r="W169" i="34"/>
  <c r="U169" i="34"/>
  <c r="Z169" i="34"/>
  <c r="O169" i="34"/>
  <c r="P169" i="34"/>
  <c r="Q169" i="34"/>
  <c r="A227" i="34"/>
  <c r="W227" i="34"/>
  <c r="U227" i="34"/>
  <c r="Z227" i="34"/>
  <c r="Q227" i="34"/>
  <c r="P227" i="34"/>
  <c r="O227" i="34"/>
  <c r="A14" i="71"/>
  <c r="E97" i="71" s="1"/>
  <c r="A19" i="71"/>
  <c r="A20" i="71"/>
  <c r="A17" i="71"/>
  <c r="B85" i="34"/>
  <c r="A18" i="71"/>
  <c r="B345" i="34"/>
  <c r="A16" i="71"/>
  <c r="A15" i="71"/>
  <c r="T10" i="34"/>
  <c r="A345" i="34" l="1"/>
  <c r="U345" i="34"/>
  <c r="Z345" i="34"/>
  <c r="W345" i="34"/>
  <c r="P345" i="34"/>
  <c r="O345" i="34"/>
  <c r="Q345" i="34"/>
  <c r="A85" i="34"/>
  <c r="Z85" i="34"/>
  <c r="W85" i="34"/>
  <c r="U85" i="34"/>
  <c r="O85" i="34"/>
  <c r="P85" i="34"/>
  <c r="Q85" i="34"/>
  <c r="A96" i="71"/>
  <c r="H2" i="71"/>
  <c r="R10" i="34"/>
  <c r="E6" i="43" l="1"/>
  <c r="O8" i="43"/>
  <c r="N8" i="43"/>
  <c r="D13" i="15" l="1"/>
  <c r="C13" i="15"/>
  <c r="B760" i="34"/>
  <c r="B116" i="34"/>
  <c r="B816" i="34"/>
  <c r="B1280" i="34"/>
  <c r="B1413" i="34"/>
  <c r="B163" i="34"/>
  <c r="B179" i="34"/>
  <c r="B219" i="34"/>
  <c r="B344" i="34"/>
  <c r="B582" i="34"/>
  <c r="B463" i="34"/>
  <c r="A582" i="34" l="1"/>
  <c r="Z582" i="34"/>
  <c r="W582" i="34"/>
  <c r="U582" i="34"/>
  <c r="O582" i="34"/>
  <c r="P582" i="34"/>
  <c r="Q582" i="34"/>
  <c r="A116" i="34"/>
  <c r="W116" i="34"/>
  <c r="U116" i="34"/>
  <c r="Z116" i="34"/>
  <c r="O116" i="34"/>
  <c r="P116" i="34"/>
  <c r="Q116" i="34"/>
  <c r="A1413" i="34"/>
  <c r="Z1413" i="34"/>
  <c r="W1413" i="34"/>
  <c r="U1413" i="34"/>
  <c r="O1413" i="34"/>
  <c r="Q1413" i="34"/>
  <c r="P1413" i="34"/>
  <c r="A760" i="34"/>
  <c r="S760" i="34"/>
  <c r="W760" i="34"/>
  <c r="T760" i="34"/>
  <c r="U760" i="34"/>
  <c r="R760" i="34"/>
  <c r="Z760" i="34"/>
  <c r="P760" i="34"/>
  <c r="Q760" i="34"/>
  <c r="O760" i="34"/>
  <c r="A344" i="34"/>
  <c r="W344" i="34"/>
  <c r="U344" i="34"/>
  <c r="Z344" i="34"/>
  <c r="O344" i="34"/>
  <c r="Q344" i="34"/>
  <c r="P344" i="34"/>
  <c r="A219" i="34"/>
  <c r="W219" i="34"/>
  <c r="U219" i="34"/>
  <c r="Z219" i="34"/>
  <c r="O219" i="34"/>
  <c r="P219" i="34"/>
  <c r="Q219" i="34"/>
  <c r="A1280" i="34"/>
  <c r="U1280" i="34"/>
  <c r="Z1280" i="34"/>
  <c r="W1280" i="34"/>
  <c r="Q1280" i="34"/>
  <c r="P1280" i="34"/>
  <c r="O1280" i="34"/>
  <c r="A163" i="34"/>
  <c r="W163" i="34"/>
  <c r="U163" i="34"/>
  <c r="Z163" i="34"/>
  <c r="Q163" i="34"/>
  <c r="O163" i="34"/>
  <c r="P163" i="34"/>
  <c r="A463" i="34"/>
  <c r="T463" i="34"/>
  <c r="U463" i="34"/>
  <c r="R463" i="34"/>
  <c r="Z463" i="34"/>
  <c r="S463" i="34"/>
  <c r="W463" i="34"/>
  <c r="P463" i="34"/>
  <c r="O463" i="34"/>
  <c r="Q463" i="34"/>
  <c r="A179" i="34"/>
  <c r="W179" i="34"/>
  <c r="U179" i="34"/>
  <c r="Z179" i="34"/>
  <c r="Q179" i="34"/>
  <c r="O179" i="34"/>
  <c r="P179" i="34"/>
  <c r="A816" i="34"/>
  <c r="W816" i="34"/>
  <c r="U816" i="34"/>
  <c r="Z816" i="34"/>
  <c r="O816" i="34"/>
  <c r="P816" i="34"/>
  <c r="Q816" i="34"/>
  <c r="B886" i="34"/>
  <c r="C36" i="15"/>
  <c r="D36" i="15"/>
  <c r="C29" i="15"/>
  <c r="D29" i="15"/>
  <c r="D26" i="15"/>
  <c r="D27" i="15" s="1"/>
  <c r="C18" i="15"/>
  <c r="D18" i="15"/>
  <c r="D16" i="15"/>
  <c r="C16" i="15"/>
  <c r="D11" i="15"/>
  <c r="C11" i="15"/>
  <c r="A886" i="34" l="1"/>
  <c r="S886" i="34"/>
  <c r="W886" i="34"/>
  <c r="T886" i="34"/>
  <c r="U886" i="34"/>
  <c r="R886" i="34"/>
  <c r="Z886" i="34"/>
  <c r="Q886" i="34"/>
  <c r="P886" i="34"/>
  <c r="O886" i="34"/>
  <c r="A21" i="68"/>
  <c r="P13" i="64"/>
  <c r="P15" i="64"/>
  <c r="P16" i="64"/>
  <c r="P17" i="64"/>
  <c r="P18" i="64"/>
  <c r="P19" i="64"/>
  <c r="P20" i="64"/>
  <c r="P21" i="64"/>
  <c r="P22" i="64"/>
  <c r="P23" i="64"/>
  <c r="P24" i="64"/>
  <c r="P25" i="64"/>
  <c r="P26" i="64"/>
  <c r="P27" i="64"/>
  <c r="P28" i="64"/>
  <c r="P29" i="64"/>
  <c r="P31" i="64"/>
  <c r="P32" i="64"/>
  <c r="P33" i="64"/>
  <c r="A7" i="68" l="1"/>
  <c r="B20" i="68"/>
  <c r="A20" i="68" s="1"/>
  <c r="E20" i="68"/>
  <c r="A34" i="68"/>
  <c r="A35" i="68"/>
  <c r="F20" i="68"/>
  <c r="C20" i="68"/>
  <c r="A12" i="68"/>
  <c r="A8" i="68"/>
  <c r="A13" i="68"/>
  <c r="D20" i="68"/>
  <c r="E13" i="68"/>
  <c r="E11" i="68"/>
  <c r="E22" i="68" l="1"/>
  <c r="G20" i="68" s="1"/>
  <c r="A10" i="68"/>
  <c r="L14" i="64"/>
  <c r="L15" i="64"/>
  <c r="L16" i="64"/>
  <c r="J18" i="64"/>
  <c r="K18" i="64"/>
  <c r="H18" i="64"/>
  <c r="H20" i="68" l="1"/>
  <c r="L18" i="64"/>
  <c r="G22" i="68" l="1"/>
  <c r="B1998" i="34" l="1"/>
  <c r="B1999" i="34"/>
  <c r="B2000" i="34"/>
  <c r="B2001" i="34"/>
  <c r="B2002" i="34"/>
  <c r="P2001" i="34" l="1"/>
  <c r="Q2001" i="34"/>
  <c r="U2001" i="34"/>
  <c r="Z2001" i="34"/>
  <c r="O2001" i="34"/>
  <c r="W2001" i="34"/>
  <c r="Q2000" i="34"/>
  <c r="U2000" i="34"/>
  <c r="Z2000" i="34"/>
  <c r="O2000" i="34"/>
  <c r="W2000" i="34"/>
  <c r="P2000" i="34"/>
  <c r="Z1999" i="34"/>
  <c r="O1999" i="34"/>
  <c r="W1999" i="34"/>
  <c r="P1999" i="34"/>
  <c r="Q1999" i="34"/>
  <c r="U1999" i="34"/>
  <c r="O2002" i="34"/>
  <c r="W2002" i="34"/>
  <c r="P2002" i="34"/>
  <c r="Q2002" i="34"/>
  <c r="U2002" i="34"/>
  <c r="Z2002" i="34"/>
  <c r="A1998" i="34"/>
  <c r="O1998" i="34"/>
  <c r="W1998" i="34"/>
  <c r="P1998" i="34"/>
  <c r="Q1998" i="34"/>
  <c r="U1998" i="34"/>
  <c r="Z1998" i="34"/>
  <c r="A2000" i="34"/>
  <c r="A1999" i="34"/>
  <c r="A2001" i="34"/>
  <c r="A2002" i="34"/>
  <c r="I6" i="43"/>
  <c r="A19" i="12" l="1"/>
  <c r="E64" i="43" l="1"/>
  <c r="H11" i="43"/>
  <c r="A45" i="43"/>
  <c r="F83" i="43"/>
  <c r="A64" i="43"/>
  <c r="B49" i="43"/>
  <c r="G71" i="43"/>
  <c r="A68" i="43"/>
  <c r="D86" i="43"/>
  <c r="G73" i="43"/>
  <c r="D70" i="43"/>
  <c r="G57" i="43"/>
  <c r="G76" i="43"/>
  <c r="A48" i="43"/>
  <c r="C75" i="43"/>
  <c r="A65" i="43"/>
  <c r="C81" i="43"/>
  <c r="E57" i="43"/>
  <c r="B54" i="43"/>
  <c r="A82" i="43"/>
  <c r="H82" i="43" s="1"/>
  <c r="F71" i="43"/>
  <c r="G86" i="43"/>
  <c r="D61" i="43"/>
  <c r="C60" i="43"/>
  <c r="D45" i="43"/>
  <c r="F76" i="43"/>
  <c r="D73" i="43"/>
  <c r="D84" i="43"/>
  <c r="B74" i="43"/>
  <c r="C59" i="43"/>
  <c r="B58" i="43"/>
  <c r="C74" i="43"/>
  <c r="D53" i="43"/>
  <c r="B80" i="43"/>
  <c r="F60" i="43"/>
  <c r="A77" i="43"/>
  <c r="C53" i="43"/>
  <c r="G82" i="43"/>
  <c r="C70" i="43"/>
  <c r="G66" i="43"/>
  <c r="B83" i="43"/>
  <c r="G58" i="43"/>
  <c r="C46" i="43"/>
  <c r="G75" i="43"/>
  <c r="D72" i="43"/>
  <c r="B73" i="43"/>
  <c r="F47" i="43"/>
  <c r="G69" i="43"/>
  <c r="A55" i="43"/>
  <c r="C76" i="43"/>
  <c r="A52" i="43"/>
  <c r="E48" i="43"/>
  <c r="B78" i="43"/>
  <c r="E65" i="43"/>
  <c r="G81" i="43"/>
  <c r="E53" i="43"/>
  <c r="B79" i="43"/>
  <c r="C45" i="43"/>
  <c r="C64" i="43"/>
  <c r="B84" i="43"/>
  <c r="E71" i="43"/>
  <c r="E70" i="43"/>
  <c r="D69" i="43"/>
  <c r="B45" i="43"/>
  <c r="F74" i="43"/>
  <c r="B62" i="43"/>
  <c r="D71" i="43"/>
  <c r="C48" i="43"/>
  <c r="C77" i="43"/>
  <c r="F64" i="43"/>
  <c r="C61" i="43"/>
  <c r="G79" i="43"/>
  <c r="D58" i="43"/>
  <c r="F85" i="43"/>
  <c r="C66" i="43"/>
  <c r="E66" i="43"/>
  <c r="C51" i="43"/>
  <c r="B76" i="43"/>
  <c r="F57" i="43"/>
  <c r="B61" i="43"/>
  <c r="F84" i="43"/>
  <c r="A58" i="43"/>
  <c r="C68" i="43"/>
  <c r="E51" i="43"/>
  <c r="B82" i="43"/>
  <c r="G54" i="43"/>
  <c r="B65" i="43"/>
  <c r="A49" i="43"/>
  <c r="B50" i="43"/>
  <c r="A50" i="43"/>
  <c r="G64" i="43"/>
  <c r="C84" i="43"/>
  <c r="E67" i="43"/>
  <c r="A51" i="43"/>
  <c r="A85" i="43"/>
  <c r="H85" i="43" s="1"/>
  <c r="C80" i="43"/>
  <c r="D63" i="43"/>
  <c r="A76" i="43"/>
  <c r="D79" i="43"/>
  <c r="G49" i="43"/>
  <c r="E73" i="43"/>
  <c r="F55" i="43"/>
  <c r="B75" i="43"/>
  <c r="C47" i="43"/>
  <c r="F68" i="43"/>
  <c r="E83" i="43"/>
  <c r="F73" i="43"/>
  <c r="C86" i="43"/>
  <c r="F56" i="43"/>
  <c r="D47" i="43"/>
  <c r="E86" i="43"/>
  <c r="A71" i="43"/>
  <c r="F80" i="43"/>
  <c r="D49" i="43"/>
  <c r="A62" i="43"/>
  <c r="E74" i="43"/>
  <c r="A78" i="43"/>
  <c r="A59" i="43"/>
  <c r="D85" i="43"/>
  <c r="C55" i="43"/>
  <c r="G67" i="43"/>
  <c r="G56" i="43"/>
  <c r="C82" i="43"/>
  <c r="D50" i="43"/>
  <c r="C65" i="43"/>
  <c r="D66" i="43"/>
  <c r="C50" i="43"/>
  <c r="E49" i="43"/>
  <c r="C71" i="43"/>
  <c r="F63" i="43"/>
  <c r="E61" i="43"/>
  <c r="D80" i="43"/>
  <c r="E62" i="43"/>
  <c r="F45" i="43"/>
  <c r="A56" i="43"/>
  <c r="G70" i="43"/>
  <c r="A72" i="43"/>
  <c r="G55" i="43"/>
  <c r="A75" i="43"/>
  <c r="B55" i="43"/>
  <c r="F67" i="43"/>
  <c r="F48" i="43"/>
  <c r="E52" i="43"/>
  <c r="F53" i="43"/>
  <c r="E68" i="43"/>
  <c r="G78" i="43"/>
  <c r="F62" i="43"/>
  <c r="E63" i="43"/>
  <c r="F51" i="43"/>
  <c r="A84" i="43"/>
  <c r="H84" i="43" s="1"/>
  <c r="A66" i="43"/>
  <c r="G80" i="43"/>
  <c r="F50" i="43"/>
  <c r="D74" i="43"/>
  <c r="E75" i="43"/>
  <c r="D59" i="43"/>
  <c r="F69" i="43"/>
  <c r="E84" i="43"/>
  <c r="A73" i="43"/>
  <c r="G72" i="43"/>
  <c r="B46" i="43"/>
  <c r="D48" i="43"/>
  <c r="A61" i="43"/>
  <c r="D82" i="43"/>
  <c r="B48" i="43"/>
  <c r="B68" i="43"/>
  <c r="E54" i="43"/>
  <c r="B86" i="43"/>
  <c r="F65" i="43"/>
  <c r="C78" i="43"/>
  <c r="G59" i="43"/>
  <c r="D83" i="43"/>
  <c r="B56" i="43"/>
  <c r="C57" i="43"/>
  <c r="B72" i="43"/>
  <c r="D51" i="43"/>
  <c r="E82" i="43"/>
  <c r="F54" i="43"/>
  <c r="E69" i="43"/>
  <c r="B47" i="43"/>
  <c r="E50" i="43"/>
  <c r="G53" i="43"/>
  <c r="B64" i="43"/>
  <c r="A79" i="43"/>
  <c r="D67" i="43"/>
  <c r="A63" i="43"/>
  <c r="C73" i="43"/>
  <c r="B57" i="43"/>
  <c r="A46" i="43"/>
  <c r="E58" i="43"/>
  <c r="B71" i="43"/>
  <c r="B52" i="43"/>
  <c r="E55" i="43"/>
  <c r="C79" i="43"/>
  <c r="F49" i="43"/>
  <c r="C62" i="43"/>
  <c r="A53" i="43"/>
  <c r="G52" i="43"/>
  <c r="D65" i="43"/>
  <c r="G68" i="43"/>
  <c r="D81" i="43"/>
  <c r="D62" i="43"/>
  <c r="B66" i="43"/>
  <c r="D55" i="43"/>
  <c r="D77" i="43"/>
  <c r="E60" i="43"/>
  <c r="D75" i="43"/>
  <c r="F52" i="43"/>
  <c r="F78" i="43"/>
  <c r="C56" i="43"/>
  <c r="F59" i="43"/>
  <c r="C72" i="43"/>
  <c r="G84" i="43"/>
  <c r="G65" i="43"/>
  <c r="E76" i="43"/>
  <c r="C49" i="43"/>
  <c r="E59" i="43"/>
  <c r="E85" i="43"/>
  <c r="F86" i="43"/>
  <c r="F58" i="43"/>
  <c r="E81" i="43"/>
  <c r="C58" i="43"/>
  <c r="G48" i="43"/>
  <c r="B59" i="43"/>
  <c r="A74" i="43"/>
  <c r="G61" i="43"/>
  <c r="A86" i="43"/>
  <c r="H86" i="43" s="1"/>
  <c r="D60" i="43"/>
  <c r="F70" i="43"/>
  <c r="F46" i="43"/>
  <c r="A54" i="43"/>
  <c r="B77" i="43"/>
  <c r="E47" i="43"/>
  <c r="C69" i="43"/>
  <c r="G50" i="43"/>
  <c r="D52" i="43"/>
  <c r="C67" i="43"/>
  <c r="D68" i="43"/>
  <c r="C83" i="43"/>
  <c r="G60" i="43"/>
  <c r="D76" i="43"/>
  <c r="E77" i="43"/>
  <c r="D57" i="43"/>
  <c r="F82" i="43"/>
  <c r="B53" i="43"/>
  <c r="G74" i="43"/>
  <c r="D56" i="43"/>
  <c r="G77" i="43"/>
  <c r="B51" i="43"/>
  <c r="C52" i="43"/>
  <c r="B67" i="43"/>
  <c r="G45" i="43"/>
  <c r="E56" i="43"/>
  <c r="B69" i="43"/>
  <c r="F81" i="43"/>
  <c r="C63" i="43"/>
  <c r="F66" i="43"/>
  <c r="G85" i="43"/>
  <c r="A80" i="43"/>
  <c r="B81" i="43"/>
  <c r="B63" i="43"/>
  <c r="F75" i="43"/>
  <c r="G47" i="43"/>
  <c r="D78" i="43"/>
  <c r="A60" i="43"/>
  <c r="E72" i="43"/>
  <c r="B85" i="43"/>
  <c r="D46" i="43"/>
  <c r="B70" i="43"/>
  <c r="A70" i="43"/>
  <c r="E45" i="43"/>
  <c r="G63" i="43"/>
  <c r="C85" i="43"/>
  <c r="A47" i="43"/>
  <c r="A69" i="43"/>
  <c r="A81" i="43"/>
  <c r="G46" i="43"/>
  <c r="F61" i="43"/>
  <c r="G62" i="43"/>
  <c r="F77" i="43"/>
  <c r="A57" i="43"/>
  <c r="E80" i="43"/>
  <c r="B60" i="43"/>
  <c r="F72" i="43"/>
  <c r="C54" i="43"/>
  <c r="E78" i="43"/>
  <c r="F79" i="43"/>
  <c r="G51" i="43"/>
  <c r="D64" i="43"/>
  <c r="E46" i="43"/>
  <c r="D54" i="43"/>
  <c r="A67" i="43"/>
  <c r="E79" i="43"/>
  <c r="A83" i="43"/>
  <c r="H83" i="43" s="1"/>
  <c r="G83" i="43"/>
  <c r="A44" i="43"/>
  <c r="C44" i="43"/>
  <c r="E44" i="43"/>
  <c r="G44" i="43"/>
  <c r="D44" i="43"/>
  <c r="B44" i="43"/>
  <c r="F44" i="43"/>
  <c r="A12" i="43"/>
  <c r="G92" i="43" s="1"/>
  <c r="A7" i="60"/>
  <c r="A8" i="60" s="1"/>
  <c r="A9" i="60" s="1"/>
  <c r="A10" i="60" s="1"/>
  <c r="A12" i="60" s="1"/>
  <c r="A13" i="60" s="1"/>
  <c r="A14" i="60" s="1"/>
  <c r="A15" i="60" s="1"/>
  <c r="A16" i="60" s="1"/>
  <c r="A17" i="60" s="1"/>
  <c r="A18" i="60" s="1"/>
  <c r="A20" i="60" s="1"/>
  <c r="A22" i="60" s="1"/>
  <c r="A24" i="60" s="1"/>
  <c r="A25" i="60" s="1"/>
  <c r="A26" i="60" s="1"/>
  <c r="F2" i="43" l="1"/>
  <c r="A91" i="43"/>
  <c r="K21" i="34"/>
  <c r="K20" i="34"/>
  <c r="K17" i="34"/>
  <c r="K11" i="34"/>
  <c r="K10" i="34" l="1"/>
  <c r="B11" i="34"/>
  <c r="U11" i="34" s="1"/>
  <c r="B12" i="34"/>
  <c r="A12" i="34" s="1"/>
  <c r="B13" i="34"/>
  <c r="B15" i="34"/>
  <c r="B16" i="34"/>
  <c r="B22" i="34"/>
  <c r="B17" i="34"/>
  <c r="B19" i="34"/>
  <c r="B20" i="34"/>
  <c r="B21" i="34"/>
  <c r="B10" i="34"/>
  <c r="A21" i="34" l="1"/>
  <c r="Z21" i="34"/>
  <c r="W21" i="34"/>
  <c r="U21" i="34"/>
  <c r="O21" i="34"/>
  <c r="P21" i="34"/>
  <c r="Q21" i="34"/>
  <c r="A17" i="34"/>
  <c r="Z17" i="34"/>
  <c r="W17" i="34"/>
  <c r="U17" i="34"/>
  <c r="O17" i="34"/>
  <c r="P17" i="34"/>
  <c r="Q17" i="34"/>
  <c r="A13" i="34"/>
  <c r="Z13" i="34"/>
  <c r="W13" i="34"/>
  <c r="U13" i="34"/>
  <c r="P13" i="34"/>
  <c r="Q13" i="34"/>
  <c r="O13" i="34"/>
  <c r="A22" i="34"/>
  <c r="U22" i="34"/>
  <c r="Z22" i="34"/>
  <c r="W22" i="34"/>
  <c r="Q22" i="34"/>
  <c r="O22" i="34"/>
  <c r="P22" i="34"/>
  <c r="A20" i="34"/>
  <c r="U20" i="34"/>
  <c r="Z20" i="34"/>
  <c r="W20" i="34"/>
  <c r="P20" i="34"/>
  <c r="O20" i="34"/>
  <c r="Q20" i="34"/>
  <c r="A16" i="34"/>
  <c r="U16" i="34"/>
  <c r="Z16" i="34"/>
  <c r="W16" i="34"/>
  <c r="P16" i="34"/>
  <c r="O16" i="34"/>
  <c r="Q16" i="34"/>
  <c r="A19" i="34"/>
  <c r="Z19" i="34"/>
  <c r="W19" i="34"/>
  <c r="U19" i="34"/>
  <c r="P19" i="34"/>
  <c r="O19" i="34"/>
  <c r="Q19" i="34"/>
  <c r="A15" i="34"/>
  <c r="Z15" i="34"/>
  <c r="W15" i="34"/>
  <c r="U15" i="34"/>
  <c r="Q15" i="34"/>
  <c r="P15" i="34"/>
  <c r="O15" i="34"/>
  <c r="Z12" i="34"/>
  <c r="O12" i="34"/>
  <c r="W12" i="34"/>
  <c r="P12" i="34"/>
  <c r="Q12" i="34"/>
  <c r="U12" i="34"/>
  <c r="U10" i="34"/>
  <c r="O11" i="34"/>
  <c r="Z11" i="34"/>
  <c r="P11" i="34"/>
  <c r="Q11" i="34"/>
  <c r="P10" i="34"/>
  <c r="Z10" i="34"/>
  <c r="O10" i="34"/>
  <c r="G7" i="57"/>
  <c r="D20" i="12"/>
  <c r="C20" i="12"/>
  <c r="A142" i="42" l="1"/>
  <c r="E142" i="42"/>
  <c r="B142" i="42"/>
  <c r="F142" i="42"/>
  <c r="C142" i="42"/>
  <c r="G142" i="42"/>
  <c r="D142" i="42"/>
  <c r="H142" i="42"/>
  <c r="A128" i="42"/>
  <c r="E128" i="42"/>
  <c r="A129" i="42"/>
  <c r="E129" i="42"/>
  <c r="A130" i="42"/>
  <c r="E130" i="42"/>
  <c r="A131" i="42"/>
  <c r="E131" i="42"/>
  <c r="A132" i="42"/>
  <c r="E132" i="42"/>
  <c r="A133" i="42"/>
  <c r="E133" i="42"/>
  <c r="A134" i="42"/>
  <c r="E134" i="42"/>
  <c r="A135" i="42"/>
  <c r="E135" i="42"/>
  <c r="A136" i="42"/>
  <c r="E136" i="42"/>
  <c r="A137" i="42"/>
  <c r="E137" i="42"/>
  <c r="A138" i="42"/>
  <c r="E138" i="42"/>
  <c r="A139" i="42"/>
  <c r="E139" i="42"/>
  <c r="A140" i="42"/>
  <c r="E140" i="42"/>
  <c r="A141" i="42"/>
  <c r="E141" i="42"/>
  <c r="B128" i="42"/>
  <c r="F128" i="42"/>
  <c r="B129" i="42"/>
  <c r="F129" i="42"/>
  <c r="B130" i="42"/>
  <c r="F130" i="42"/>
  <c r="B131" i="42"/>
  <c r="F131" i="42"/>
  <c r="B132" i="42"/>
  <c r="F132" i="42"/>
  <c r="B133" i="42"/>
  <c r="F133" i="42"/>
  <c r="B134" i="42"/>
  <c r="F134" i="42"/>
  <c r="B135" i="42"/>
  <c r="F135" i="42"/>
  <c r="B136" i="42"/>
  <c r="F136" i="42"/>
  <c r="B137" i="42"/>
  <c r="F137" i="42"/>
  <c r="B138" i="42"/>
  <c r="F138" i="42"/>
  <c r="B139" i="42"/>
  <c r="F139" i="42"/>
  <c r="B140" i="42"/>
  <c r="F140" i="42"/>
  <c r="B141" i="42"/>
  <c r="F141" i="42"/>
  <c r="C128" i="42"/>
  <c r="G128" i="42"/>
  <c r="C129" i="42"/>
  <c r="G129" i="42"/>
  <c r="C130" i="42"/>
  <c r="G130" i="42"/>
  <c r="C131" i="42"/>
  <c r="G131" i="42"/>
  <c r="C132" i="42"/>
  <c r="G132" i="42"/>
  <c r="C133" i="42"/>
  <c r="G133" i="42"/>
  <c r="C134" i="42"/>
  <c r="G134" i="42"/>
  <c r="C135" i="42"/>
  <c r="G135" i="42"/>
  <c r="C136" i="42"/>
  <c r="G136" i="42"/>
  <c r="C137" i="42"/>
  <c r="G137" i="42"/>
  <c r="C138" i="42"/>
  <c r="G138" i="42"/>
  <c r="C139" i="42"/>
  <c r="G139" i="42"/>
  <c r="C140" i="42"/>
  <c r="G140" i="42"/>
  <c r="C141" i="42"/>
  <c r="G141" i="42"/>
  <c r="D128" i="42"/>
  <c r="H128" i="42"/>
  <c r="D129" i="42"/>
  <c r="H129" i="42"/>
  <c r="D130" i="42"/>
  <c r="H130" i="42"/>
  <c r="D131" i="42"/>
  <c r="H131" i="42"/>
  <c r="D132" i="42"/>
  <c r="H132" i="42"/>
  <c r="D133" i="42"/>
  <c r="H133" i="42"/>
  <c r="D134" i="42"/>
  <c r="H134" i="42"/>
  <c r="D135" i="42"/>
  <c r="H135" i="42"/>
  <c r="D136" i="42"/>
  <c r="H136" i="42"/>
  <c r="D137" i="42"/>
  <c r="H137" i="42"/>
  <c r="D138" i="42"/>
  <c r="H138" i="42"/>
  <c r="D139" i="42"/>
  <c r="H139" i="42"/>
  <c r="D140" i="42"/>
  <c r="H140" i="42"/>
  <c r="D141" i="42"/>
  <c r="H141" i="42"/>
  <c r="A111" i="42"/>
  <c r="E111" i="42"/>
  <c r="A112" i="42"/>
  <c r="E112" i="42"/>
  <c r="A113" i="42"/>
  <c r="E113" i="42"/>
  <c r="A114" i="42"/>
  <c r="E114" i="42"/>
  <c r="A115" i="42"/>
  <c r="E115" i="42"/>
  <c r="A116" i="42"/>
  <c r="E116" i="42"/>
  <c r="A117" i="42"/>
  <c r="E117" i="42"/>
  <c r="A118" i="42"/>
  <c r="E118" i="42"/>
  <c r="A119" i="42"/>
  <c r="E119" i="42"/>
  <c r="A120" i="42"/>
  <c r="E120" i="42"/>
  <c r="A121" i="42"/>
  <c r="E121" i="42"/>
  <c r="A122" i="42"/>
  <c r="E122" i="42"/>
  <c r="A123" i="42"/>
  <c r="E123" i="42"/>
  <c r="A124" i="42"/>
  <c r="E124" i="42"/>
  <c r="A125" i="42"/>
  <c r="E125" i="42"/>
  <c r="A126" i="42"/>
  <c r="E126" i="42"/>
  <c r="A127" i="42"/>
  <c r="E127" i="42"/>
  <c r="B111" i="42"/>
  <c r="F111" i="42"/>
  <c r="B112" i="42"/>
  <c r="F112" i="42"/>
  <c r="B113" i="42"/>
  <c r="F113" i="42"/>
  <c r="B114" i="42"/>
  <c r="F114" i="42"/>
  <c r="B115" i="42"/>
  <c r="F115" i="42"/>
  <c r="B116" i="42"/>
  <c r="F116" i="42"/>
  <c r="B117" i="42"/>
  <c r="F117" i="42"/>
  <c r="B118" i="42"/>
  <c r="F118" i="42"/>
  <c r="B119" i="42"/>
  <c r="F119" i="42"/>
  <c r="B120" i="42"/>
  <c r="F120" i="42"/>
  <c r="B121" i="42"/>
  <c r="F121" i="42"/>
  <c r="B122" i="42"/>
  <c r="F122" i="42"/>
  <c r="B123" i="42"/>
  <c r="F123" i="42"/>
  <c r="B124" i="42"/>
  <c r="F124" i="42"/>
  <c r="B125" i="42"/>
  <c r="F125" i="42"/>
  <c r="B126" i="42"/>
  <c r="F126" i="42"/>
  <c r="B127" i="42"/>
  <c r="F127" i="42"/>
  <c r="C111" i="42"/>
  <c r="G111" i="42"/>
  <c r="C112" i="42"/>
  <c r="G112" i="42"/>
  <c r="C113" i="42"/>
  <c r="G113" i="42"/>
  <c r="C114" i="42"/>
  <c r="G114" i="42"/>
  <c r="C115" i="42"/>
  <c r="G115" i="42"/>
  <c r="C116" i="42"/>
  <c r="G116" i="42"/>
  <c r="C117" i="42"/>
  <c r="G117" i="42"/>
  <c r="C118" i="42"/>
  <c r="G118" i="42"/>
  <c r="C119" i="42"/>
  <c r="G119" i="42"/>
  <c r="C120" i="42"/>
  <c r="G120" i="42"/>
  <c r="C121" i="42"/>
  <c r="G121" i="42"/>
  <c r="C122" i="42"/>
  <c r="G122" i="42"/>
  <c r="C123" i="42"/>
  <c r="G123" i="42"/>
  <c r="C124" i="42"/>
  <c r="G124" i="42"/>
  <c r="C125" i="42"/>
  <c r="G125" i="42"/>
  <c r="C126" i="42"/>
  <c r="G126" i="42"/>
  <c r="C127" i="42"/>
  <c r="G127" i="42"/>
  <c r="D111" i="42"/>
  <c r="H111" i="42"/>
  <c r="D112" i="42"/>
  <c r="H112" i="42"/>
  <c r="D113" i="42"/>
  <c r="H113" i="42"/>
  <c r="D114" i="42"/>
  <c r="H114" i="42"/>
  <c r="D115" i="42"/>
  <c r="H115" i="42"/>
  <c r="D116" i="42"/>
  <c r="H116" i="42"/>
  <c r="D117" i="42"/>
  <c r="H117" i="42"/>
  <c r="D118" i="42"/>
  <c r="H118" i="42"/>
  <c r="D119" i="42"/>
  <c r="H119" i="42"/>
  <c r="D120" i="42"/>
  <c r="H120" i="42"/>
  <c r="D121" i="42"/>
  <c r="H121" i="42"/>
  <c r="D122" i="42"/>
  <c r="H122" i="42"/>
  <c r="D123" i="42"/>
  <c r="H123" i="42"/>
  <c r="D124" i="42"/>
  <c r="H124" i="42"/>
  <c r="D125" i="42"/>
  <c r="H125" i="42"/>
  <c r="D126" i="42"/>
  <c r="H126" i="42"/>
  <c r="D127" i="42"/>
  <c r="H127" i="42"/>
  <c r="A90" i="42"/>
  <c r="E90" i="42"/>
  <c r="A91" i="42"/>
  <c r="E91" i="42"/>
  <c r="A92" i="42"/>
  <c r="E92" i="42"/>
  <c r="A93" i="42"/>
  <c r="E93" i="42"/>
  <c r="A94" i="42"/>
  <c r="E94" i="42"/>
  <c r="A95" i="42"/>
  <c r="E95" i="42"/>
  <c r="A96" i="42"/>
  <c r="E96" i="42"/>
  <c r="A97" i="42"/>
  <c r="E97" i="42"/>
  <c r="A98" i="42"/>
  <c r="E98" i="42"/>
  <c r="A99" i="42"/>
  <c r="E99" i="42"/>
  <c r="A100" i="42"/>
  <c r="E100" i="42"/>
  <c r="A101" i="42"/>
  <c r="E101" i="42"/>
  <c r="A102" i="42"/>
  <c r="E102" i="42"/>
  <c r="A103" i="42"/>
  <c r="E103" i="42"/>
  <c r="A104" i="42"/>
  <c r="E104" i="42"/>
  <c r="A105" i="42"/>
  <c r="E105" i="42"/>
  <c r="A106" i="42"/>
  <c r="E106" i="42"/>
  <c r="A107" i="42"/>
  <c r="E107" i="42"/>
  <c r="A108" i="42"/>
  <c r="E108" i="42"/>
  <c r="A109" i="42"/>
  <c r="E109" i="42"/>
  <c r="A110" i="42"/>
  <c r="E110" i="42"/>
  <c r="B90" i="42"/>
  <c r="F90" i="42"/>
  <c r="B91" i="42"/>
  <c r="F91" i="42"/>
  <c r="B92" i="42"/>
  <c r="F92" i="42"/>
  <c r="B93" i="42"/>
  <c r="F93" i="42"/>
  <c r="B94" i="42"/>
  <c r="F94" i="42"/>
  <c r="B95" i="42"/>
  <c r="F95" i="42"/>
  <c r="B96" i="42"/>
  <c r="F96" i="42"/>
  <c r="B97" i="42"/>
  <c r="F97" i="42"/>
  <c r="B98" i="42"/>
  <c r="F98" i="42"/>
  <c r="B99" i="42"/>
  <c r="F99" i="42"/>
  <c r="B100" i="42"/>
  <c r="F100" i="42"/>
  <c r="B101" i="42"/>
  <c r="F101" i="42"/>
  <c r="B102" i="42"/>
  <c r="F102" i="42"/>
  <c r="B103" i="42"/>
  <c r="F103" i="42"/>
  <c r="B104" i="42"/>
  <c r="F104" i="42"/>
  <c r="B105" i="42"/>
  <c r="F105" i="42"/>
  <c r="B106" i="42"/>
  <c r="F106" i="42"/>
  <c r="B107" i="42"/>
  <c r="F107" i="42"/>
  <c r="B108" i="42"/>
  <c r="F108" i="42"/>
  <c r="B109" i="42"/>
  <c r="F109" i="42"/>
  <c r="B110" i="42"/>
  <c r="F110" i="42"/>
  <c r="C90" i="42"/>
  <c r="G90" i="42"/>
  <c r="C91" i="42"/>
  <c r="G91" i="42"/>
  <c r="C92" i="42"/>
  <c r="G92" i="42"/>
  <c r="C93" i="42"/>
  <c r="G93" i="42"/>
  <c r="C94" i="42"/>
  <c r="G94" i="42"/>
  <c r="C95" i="42"/>
  <c r="G95" i="42"/>
  <c r="C96" i="42"/>
  <c r="G96" i="42"/>
  <c r="C97" i="42"/>
  <c r="G97" i="42"/>
  <c r="C98" i="42"/>
  <c r="G98" i="42"/>
  <c r="C99" i="42"/>
  <c r="G99" i="42"/>
  <c r="C100" i="42"/>
  <c r="G100" i="42"/>
  <c r="C101" i="42"/>
  <c r="G101" i="42"/>
  <c r="C102" i="42"/>
  <c r="G102" i="42"/>
  <c r="C103" i="42"/>
  <c r="G103" i="42"/>
  <c r="C104" i="42"/>
  <c r="G104" i="42"/>
  <c r="C105" i="42"/>
  <c r="G105" i="42"/>
  <c r="C106" i="42"/>
  <c r="G106" i="42"/>
  <c r="C107" i="42"/>
  <c r="G107" i="42"/>
  <c r="C108" i="42"/>
  <c r="G108" i="42"/>
  <c r="C109" i="42"/>
  <c r="G109" i="42"/>
  <c r="C110" i="42"/>
  <c r="G110" i="42"/>
  <c r="D90" i="42"/>
  <c r="H90" i="42"/>
  <c r="D91" i="42"/>
  <c r="H91" i="42"/>
  <c r="D92" i="42"/>
  <c r="H92" i="42"/>
  <c r="D93" i="42"/>
  <c r="H93" i="42"/>
  <c r="D94" i="42"/>
  <c r="H94" i="42"/>
  <c r="D95" i="42"/>
  <c r="H95" i="42"/>
  <c r="D96" i="42"/>
  <c r="H96" i="42"/>
  <c r="D97" i="42"/>
  <c r="H97" i="42"/>
  <c r="D98" i="42"/>
  <c r="H98" i="42"/>
  <c r="D99" i="42"/>
  <c r="H99" i="42"/>
  <c r="D100" i="42"/>
  <c r="H100" i="42"/>
  <c r="D101" i="42"/>
  <c r="H101" i="42"/>
  <c r="D102" i="42"/>
  <c r="H102" i="42"/>
  <c r="D103" i="42"/>
  <c r="H103" i="42"/>
  <c r="D104" i="42"/>
  <c r="H104" i="42"/>
  <c r="D105" i="42"/>
  <c r="H105" i="42"/>
  <c r="D106" i="42"/>
  <c r="H106" i="42"/>
  <c r="D107" i="42"/>
  <c r="H107" i="42"/>
  <c r="D108" i="42"/>
  <c r="H108" i="42"/>
  <c r="D109" i="42"/>
  <c r="H109" i="42"/>
  <c r="D110" i="42"/>
  <c r="H110" i="42"/>
  <c r="A88" i="42"/>
  <c r="E88" i="42"/>
  <c r="A89" i="42"/>
  <c r="E89" i="42"/>
  <c r="B88" i="42"/>
  <c r="F88" i="42"/>
  <c r="B89" i="42"/>
  <c r="F89" i="42"/>
  <c r="C88" i="42"/>
  <c r="G88" i="42"/>
  <c r="C89" i="42"/>
  <c r="G89" i="42"/>
  <c r="D88" i="42"/>
  <c r="H88" i="42"/>
  <c r="D89" i="42"/>
  <c r="H89" i="42"/>
  <c r="A67" i="42"/>
  <c r="E67" i="42"/>
  <c r="A68" i="42"/>
  <c r="E68" i="42"/>
  <c r="A69" i="42"/>
  <c r="E69" i="42"/>
  <c r="A70" i="42"/>
  <c r="E70" i="42"/>
  <c r="A71" i="42"/>
  <c r="E71" i="42"/>
  <c r="A72" i="42"/>
  <c r="E72" i="42"/>
  <c r="A73" i="42"/>
  <c r="E73" i="42"/>
  <c r="A74" i="42"/>
  <c r="E74" i="42"/>
  <c r="A75" i="42"/>
  <c r="E75" i="42"/>
  <c r="A76" i="42"/>
  <c r="E76" i="42"/>
  <c r="A77" i="42"/>
  <c r="E77" i="42"/>
  <c r="A78" i="42"/>
  <c r="E78" i="42"/>
  <c r="A79" i="42"/>
  <c r="E79" i="42"/>
  <c r="A80" i="42"/>
  <c r="E80" i="42"/>
  <c r="A81" i="42"/>
  <c r="E81" i="42"/>
  <c r="A82" i="42"/>
  <c r="E82" i="42"/>
  <c r="A83" i="42"/>
  <c r="E83" i="42"/>
  <c r="A84" i="42"/>
  <c r="E84" i="42"/>
  <c r="A85" i="42"/>
  <c r="E85" i="42"/>
  <c r="A86" i="42"/>
  <c r="E86" i="42"/>
  <c r="A87" i="42"/>
  <c r="E87" i="42"/>
  <c r="B67" i="42"/>
  <c r="F67" i="42"/>
  <c r="B68" i="42"/>
  <c r="F68" i="42"/>
  <c r="B69" i="42"/>
  <c r="F69" i="42"/>
  <c r="B70" i="42"/>
  <c r="F70" i="42"/>
  <c r="B71" i="42"/>
  <c r="F71" i="42"/>
  <c r="B72" i="42"/>
  <c r="F72" i="42"/>
  <c r="B73" i="42"/>
  <c r="F73" i="42"/>
  <c r="B74" i="42"/>
  <c r="F74" i="42"/>
  <c r="B75" i="42"/>
  <c r="F75" i="42"/>
  <c r="B76" i="42"/>
  <c r="F76" i="42"/>
  <c r="B77" i="42"/>
  <c r="F77" i="42"/>
  <c r="B78" i="42"/>
  <c r="F78" i="42"/>
  <c r="B79" i="42"/>
  <c r="F79" i="42"/>
  <c r="B80" i="42"/>
  <c r="F80" i="42"/>
  <c r="B81" i="42"/>
  <c r="F81" i="42"/>
  <c r="B82" i="42"/>
  <c r="F82" i="42"/>
  <c r="B83" i="42"/>
  <c r="F83" i="42"/>
  <c r="B84" i="42"/>
  <c r="F84" i="42"/>
  <c r="B85" i="42"/>
  <c r="F85" i="42"/>
  <c r="B86" i="42"/>
  <c r="F86" i="42"/>
  <c r="B87" i="42"/>
  <c r="F87" i="42"/>
  <c r="C67" i="42"/>
  <c r="G67" i="42"/>
  <c r="C68" i="42"/>
  <c r="G68" i="42"/>
  <c r="C69" i="42"/>
  <c r="G69" i="42"/>
  <c r="C70" i="42"/>
  <c r="G70" i="42"/>
  <c r="C71" i="42"/>
  <c r="G71" i="42"/>
  <c r="C72" i="42"/>
  <c r="G72" i="42"/>
  <c r="C73" i="42"/>
  <c r="G73" i="42"/>
  <c r="C74" i="42"/>
  <c r="G74" i="42"/>
  <c r="C75" i="42"/>
  <c r="G75" i="42"/>
  <c r="C76" i="42"/>
  <c r="G76" i="42"/>
  <c r="C77" i="42"/>
  <c r="G77" i="42"/>
  <c r="C78" i="42"/>
  <c r="G78" i="42"/>
  <c r="C79" i="42"/>
  <c r="G79" i="42"/>
  <c r="C80" i="42"/>
  <c r="G80" i="42"/>
  <c r="C81" i="42"/>
  <c r="G81" i="42"/>
  <c r="C82" i="42"/>
  <c r="G82" i="42"/>
  <c r="C83" i="42"/>
  <c r="G83" i="42"/>
  <c r="C84" i="42"/>
  <c r="G84" i="42"/>
  <c r="C85" i="42"/>
  <c r="G85" i="42"/>
  <c r="C86" i="42"/>
  <c r="G86" i="42"/>
  <c r="C87" i="42"/>
  <c r="G87" i="42"/>
  <c r="D67" i="42"/>
  <c r="H67" i="42"/>
  <c r="D68" i="42"/>
  <c r="H68" i="42"/>
  <c r="D69" i="42"/>
  <c r="H69" i="42"/>
  <c r="D70" i="42"/>
  <c r="H70" i="42"/>
  <c r="D71" i="42"/>
  <c r="H71" i="42"/>
  <c r="D72" i="42"/>
  <c r="H72" i="42"/>
  <c r="D73" i="42"/>
  <c r="H73" i="42"/>
  <c r="D74" i="42"/>
  <c r="H74" i="42"/>
  <c r="D75" i="42"/>
  <c r="H75" i="42"/>
  <c r="D76" i="42"/>
  <c r="H76" i="42"/>
  <c r="D77" i="42"/>
  <c r="H77" i="42"/>
  <c r="D78" i="42"/>
  <c r="H78" i="42"/>
  <c r="D79" i="42"/>
  <c r="H79" i="42"/>
  <c r="D80" i="42"/>
  <c r="H80" i="42"/>
  <c r="D81" i="42"/>
  <c r="H81" i="42"/>
  <c r="D82" i="42"/>
  <c r="H82" i="42"/>
  <c r="D83" i="42"/>
  <c r="H83" i="42"/>
  <c r="D84" i="42"/>
  <c r="H84" i="42"/>
  <c r="D85" i="42"/>
  <c r="H85" i="42"/>
  <c r="D86" i="42"/>
  <c r="H86" i="42"/>
  <c r="D87" i="42"/>
  <c r="H87" i="42"/>
  <c r="A50" i="42"/>
  <c r="E50" i="42"/>
  <c r="A51" i="42"/>
  <c r="E51" i="42"/>
  <c r="A52" i="42"/>
  <c r="E52" i="42"/>
  <c r="A53" i="42"/>
  <c r="E53" i="42"/>
  <c r="A54" i="42"/>
  <c r="E54" i="42"/>
  <c r="A55" i="42"/>
  <c r="E55" i="42"/>
  <c r="A56" i="42"/>
  <c r="E56" i="42"/>
  <c r="A57" i="42"/>
  <c r="E57" i="42"/>
  <c r="A58" i="42"/>
  <c r="E58" i="42"/>
  <c r="A59" i="42"/>
  <c r="E59" i="42"/>
  <c r="A60" i="42"/>
  <c r="E60" i="42"/>
  <c r="A61" i="42"/>
  <c r="E61" i="42"/>
  <c r="A62" i="42"/>
  <c r="E62" i="42"/>
  <c r="A63" i="42"/>
  <c r="E63" i="42"/>
  <c r="A64" i="42"/>
  <c r="E64" i="42"/>
  <c r="A65" i="42"/>
  <c r="E65" i="42"/>
  <c r="D66" i="42"/>
  <c r="H66" i="42"/>
  <c r="B50" i="42"/>
  <c r="F50" i="42"/>
  <c r="B51" i="42"/>
  <c r="F51" i="42"/>
  <c r="B52" i="42"/>
  <c r="F52" i="42"/>
  <c r="B53" i="42"/>
  <c r="F53" i="42"/>
  <c r="B54" i="42"/>
  <c r="F54" i="42"/>
  <c r="B55" i="42"/>
  <c r="F55" i="42"/>
  <c r="B56" i="42"/>
  <c r="F56" i="42"/>
  <c r="B57" i="42"/>
  <c r="F57" i="42"/>
  <c r="B58" i="42"/>
  <c r="F58" i="42"/>
  <c r="B59" i="42"/>
  <c r="F59" i="42"/>
  <c r="B60" i="42"/>
  <c r="F60" i="42"/>
  <c r="B61" i="42"/>
  <c r="F61" i="42"/>
  <c r="B62" i="42"/>
  <c r="F62" i="42"/>
  <c r="B63" i="42"/>
  <c r="F63" i="42"/>
  <c r="B64" i="42"/>
  <c r="F64" i="42"/>
  <c r="B65" i="42"/>
  <c r="F65" i="42"/>
  <c r="A66" i="42"/>
  <c r="E66" i="42"/>
  <c r="C50" i="42"/>
  <c r="G50" i="42"/>
  <c r="C51" i="42"/>
  <c r="G51" i="42"/>
  <c r="C52" i="42"/>
  <c r="G52" i="42"/>
  <c r="C53" i="42"/>
  <c r="G53" i="42"/>
  <c r="C54" i="42"/>
  <c r="G54" i="42"/>
  <c r="C55" i="42"/>
  <c r="G55" i="42"/>
  <c r="C56" i="42"/>
  <c r="G56" i="42"/>
  <c r="C57" i="42"/>
  <c r="G57" i="42"/>
  <c r="C58" i="42"/>
  <c r="G58" i="42"/>
  <c r="C59" i="42"/>
  <c r="G59" i="42"/>
  <c r="C60" i="42"/>
  <c r="G60" i="42"/>
  <c r="C61" i="42"/>
  <c r="G61" i="42"/>
  <c r="C62" i="42"/>
  <c r="G62" i="42"/>
  <c r="C63" i="42"/>
  <c r="G63" i="42"/>
  <c r="C64" i="42"/>
  <c r="G64" i="42"/>
  <c r="C65" i="42"/>
  <c r="G65" i="42"/>
  <c r="B66" i="42"/>
  <c r="F66" i="42"/>
  <c r="D50" i="42"/>
  <c r="H50" i="42"/>
  <c r="D51" i="42"/>
  <c r="H51" i="42"/>
  <c r="D52" i="42"/>
  <c r="H52" i="42"/>
  <c r="D53" i="42"/>
  <c r="H53" i="42"/>
  <c r="D54" i="42"/>
  <c r="H54" i="42"/>
  <c r="D55" i="42"/>
  <c r="H55" i="42"/>
  <c r="D56" i="42"/>
  <c r="H56" i="42"/>
  <c r="D57" i="42"/>
  <c r="H57" i="42"/>
  <c r="D58" i="42"/>
  <c r="H58" i="42"/>
  <c r="D59" i="42"/>
  <c r="H59" i="42"/>
  <c r="D60" i="42"/>
  <c r="H60" i="42"/>
  <c r="D61" i="42"/>
  <c r="H61" i="42"/>
  <c r="D62" i="42"/>
  <c r="H62" i="42"/>
  <c r="D63" i="42"/>
  <c r="H63" i="42"/>
  <c r="D64" i="42"/>
  <c r="H64" i="42"/>
  <c r="D65" i="42"/>
  <c r="H65" i="42"/>
  <c r="C66" i="42"/>
  <c r="G66" i="42"/>
  <c r="A41" i="73"/>
  <c r="F41" i="73"/>
  <c r="A42" i="73"/>
  <c r="I42" i="73"/>
  <c r="D43" i="73"/>
  <c r="E43" i="73" s="1"/>
  <c r="H43" i="73"/>
  <c r="C44" i="73"/>
  <c r="H44" i="73"/>
  <c r="C45" i="73"/>
  <c r="H45" i="73"/>
  <c r="C46" i="73"/>
  <c r="G46" i="73"/>
  <c r="B47" i="73"/>
  <c r="F47" i="73"/>
  <c r="A48" i="73"/>
  <c r="F48" i="73"/>
  <c r="A49" i="73"/>
  <c r="F49" i="73"/>
  <c r="A50" i="73"/>
  <c r="I50" i="73"/>
  <c r="B41" i="73"/>
  <c r="G41" i="73"/>
  <c r="B42" i="73"/>
  <c r="F42" i="73"/>
  <c r="A43" i="73"/>
  <c r="I43" i="73"/>
  <c r="D44" i="73"/>
  <c r="E44" i="73" s="1"/>
  <c r="I44" i="73"/>
  <c r="D45" i="73"/>
  <c r="E45" i="73" s="1"/>
  <c r="I45" i="73"/>
  <c r="D46" i="73"/>
  <c r="E46" i="73" s="1"/>
  <c r="H46" i="73"/>
  <c r="C47" i="73"/>
  <c r="G47" i="73"/>
  <c r="B48" i="73"/>
  <c r="G48" i="73"/>
  <c r="B49" i="73"/>
  <c r="G49" i="73"/>
  <c r="B50" i="73"/>
  <c r="F50" i="73"/>
  <c r="C41" i="73"/>
  <c r="H41" i="73"/>
  <c r="C42" i="73"/>
  <c r="G42" i="73"/>
  <c r="B43" i="73"/>
  <c r="F43" i="73"/>
  <c r="A44" i="73"/>
  <c r="F44" i="73"/>
  <c r="A45" i="73"/>
  <c r="F45" i="73"/>
  <c r="A46" i="73"/>
  <c r="I46" i="73"/>
  <c r="D47" i="73"/>
  <c r="E47" i="73" s="1"/>
  <c r="H47" i="73"/>
  <c r="C48" i="73"/>
  <c r="H48" i="73"/>
  <c r="C49" i="73"/>
  <c r="H49" i="73"/>
  <c r="C50" i="73"/>
  <c r="G50" i="73"/>
  <c r="D41" i="73"/>
  <c r="E41" i="73" s="1"/>
  <c r="I41" i="73"/>
  <c r="D42" i="73"/>
  <c r="E42" i="73" s="1"/>
  <c r="H42" i="73"/>
  <c r="C43" i="73"/>
  <c r="G43" i="73"/>
  <c r="B44" i="73"/>
  <c r="G44" i="73"/>
  <c r="B45" i="73"/>
  <c r="G45" i="73"/>
  <c r="B46" i="73"/>
  <c r="F46" i="73"/>
  <c r="A47" i="73"/>
  <c r="I47" i="73"/>
  <c r="D48" i="73"/>
  <c r="E48" i="73" s="1"/>
  <c r="I48" i="73"/>
  <c r="D49" i="73"/>
  <c r="E49" i="73" s="1"/>
  <c r="I49" i="73"/>
  <c r="D50" i="73"/>
  <c r="E50" i="73" s="1"/>
  <c r="H50" i="73"/>
  <c r="C19" i="74"/>
  <c r="B33" i="74"/>
  <c r="A30" i="74"/>
  <c r="A23" i="74"/>
  <c r="F30" i="74"/>
  <c r="B17" i="75"/>
  <c r="E18" i="74"/>
  <c r="L18" i="74" s="1"/>
  <c r="B24" i="74"/>
  <c r="D22" i="77"/>
  <c r="E19" i="77"/>
  <c r="I19" i="77" s="1"/>
  <c r="A16" i="74"/>
  <c r="B26" i="74"/>
  <c r="F16" i="74"/>
  <c r="D25" i="74"/>
  <c r="A33" i="74"/>
  <c r="E21" i="74"/>
  <c r="L21" i="74" s="1"/>
  <c r="B32" i="74"/>
  <c r="E20" i="74"/>
  <c r="L20" i="74" s="1"/>
  <c r="F19" i="75"/>
  <c r="D17" i="75"/>
  <c r="F17" i="77"/>
  <c r="B29" i="77"/>
  <c r="C27" i="77"/>
  <c r="C22" i="77"/>
  <c r="A32" i="74"/>
  <c r="A22" i="74"/>
  <c r="E29" i="74"/>
  <c r="C20" i="74"/>
  <c r="A28" i="74"/>
  <c r="B17" i="74"/>
  <c r="C26" i="74"/>
  <c r="B16" i="75"/>
  <c r="C18" i="75"/>
  <c r="C21" i="77"/>
  <c r="D29" i="77"/>
  <c r="A28" i="77"/>
  <c r="E29" i="77"/>
  <c r="E17" i="78"/>
  <c r="E24" i="77"/>
  <c r="B21" i="77"/>
  <c r="F26" i="77"/>
  <c r="B18" i="77"/>
  <c r="B29" i="74"/>
  <c r="A19" i="74"/>
  <c r="F27" i="74"/>
  <c r="C16" i="74"/>
  <c r="C25" i="74"/>
  <c r="C23" i="74"/>
  <c r="C17" i="75"/>
  <c r="B20" i="75"/>
  <c r="F25" i="77"/>
  <c r="C28" i="77"/>
  <c r="A18" i="77"/>
  <c r="B21" i="78"/>
  <c r="D18" i="78"/>
  <c r="C20" i="78"/>
  <c r="E24" i="78"/>
  <c r="C16" i="78"/>
  <c r="A23" i="78"/>
  <c r="F23" i="78"/>
  <c r="E25" i="78"/>
  <c r="C19" i="78"/>
  <c r="A22" i="78"/>
  <c r="D17" i="78"/>
  <c r="E32" i="74"/>
  <c r="L32" i="74" s="1"/>
  <c r="F29" i="74"/>
  <c r="F26" i="74"/>
  <c r="F24" i="74"/>
  <c r="E22" i="74"/>
  <c r="H22" i="74" s="1"/>
  <c r="E19" i="74"/>
  <c r="G19" i="74" s="1"/>
  <c r="D16" i="74"/>
  <c r="F33" i="74"/>
  <c r="C30" i="74"/>
  <c r="B28" i="74"/>
  <c r="A26" i="74"/>
  <c r="E23" i="74"/>
  <c r="L23" i="74" s="1"/>
  <c r="B21" i="74"/>
  <c r="C17" i="74"/>
  <c r="E33" i="74"/>
  <c r="B31" i="74"/>
  <c r="E28" i="74"/>
  <c r="L28" i="74" s="1"/>
  <c r="D26" i="74"/>
  <c r="C22" i="74"/>
  <c r="B20" i="74"/>
  <c r="F17" i="74"/>
  <c r="F32" i="74"/>
  <c r="E30" i="74"/>
  <c r="D27" i="74"/>
  <c r="C24" i="74"/>
  <c r="D21" i="74"/>
  <c r="B19" i="74"/>
  <c r="A17" i="74"/>
  <c r="A18" i="75"/>
  <c r="D20" i="75"/>
  <c r="F17" i="75"/>
  <c r="A19" i="75"/>
  <c r="F20" i="75"/>
  <c r="B18" i="75"/>
  <c r="D26" i="77"/>
  <c r="C25" i="77"/>
  <c r="F27" i="77"/>
  <c r="F19" i="77"/>
  <c r="E26" i="77"/>
  <c r="I26" i="77" s="1"/>
  <c r="E18" i="77"/>
  <c r="D17" i="77"/>
  <c r="F16" i="77"/>
  <c r="B23" i="77"/>
  <c r="A30" i="77"/>
  <c r="A22" i="77"/>
  <c r="B16" i="77"/>
  <c r="F28" i="77"/>
  <c r="F18" i="77"/>
  <c r="E21" i="77"/>
  <c r="C26" i="77"/>
  <c r="B20" i="77"/>
  <c r="D19" i="78"/>
  <c r="E19" i="78"/>
  <c r="C22" i="78"/>
  <c r="A25" i="78"/>
  <c r="F17" i="78"/>
  <c r="D20" i="78"/>
  <c r="B23" i="78"/>
  <c r="F25" i="78"/>
  <c r="E18" i="78"/>
  <c r="C21" i="78"/>
  <c r="D16" i="78"/>
  <c r="E16" i="74"/>
  <c r="L16" i="74" s="1"/>
  <c r="D31" i="74"/>
  <c r="I31" i="74" s="1"/>
  <c r="C28" i="74"/>
  <c r="E25" i="74"/>
  <c r="L25" i="74" s="1"/>
  <c r="F23" i="74"/>
  <c r="C21" i="74"/>
  <c r="D18" i="74"/>
  <c r="D32" i="74"/>
  <c r="I32" i="74" s="1"/>
  <c r="A29" i="74"/>
  <c r="B27" i="74"/>
  <c r="E24" i="74"/>
  <c r="H24" i="74" s="1"/>
  <c r="D22" i="74"/>
  <c r="D19" i="74"/>
  <c r="C32" i="74"/>
  <c r="B30" i="74"/>
  <c r="E27" i="74"/>
  <c r="D24" i="74"/>
  <c r="A21" i="74"/>
  <c r="F18" i="74"/>
  <c r="B16" i="74"/>
  <c r="E31" i="74"/>
  <c r="L31" i="74" s="1"/>
  <c r="C29" i="74"/>
  <c r="F25" i="74"/>
  <c r="F22" i="74"/>
  <c r="A20" i="74"/>
  <c r="A18" i="74"/>
  <c r="A20" i="75"/>
  <c r="A16" i="75"/>
  <c r="B19" i="75"/>
  <c r="D16" i="75"/>
  <c r="A17" i="75"/>
  <c r="D19" i="75"/>
  <c r="A16" i="77"/>
  <c r="D18" i="77"/>
  <c r="C17" i="77"/>
  <c r="F23" i="77"/>
  <c r="E30" i="77"/>
  <c r="I30" i="77" s="1"/>
  <c r="E22" i="77"/>
  <c r="D25" i="77"/>
  <c r="C24" i="77"/>
  <c r="B27" i="77"/>
  <c r="B19" i="77"/>
  <c r="A26" i="77"/>
  <c r="D28" i="77"/>
  <c r="C23" i="77"/>
  <c r="F22" i="77"/>
  <c r="E27" i="77"/>
  <c r="K27" i="77" s="1"/>
  <c r="D27" i="77"/>
  <c r="B28" i="77"/>
  <c r="A21" i="77"/>
  <c r="C18" i="78"/>
  <c r="A21" i="78"/>
  <c r="E23" i="78"/>
  <c r="B16" i="78"/>
  <c r="B19" i="78"/>
  <c r="F21" i="78"/>
  <c r="D24" i="78"/>
  <c r="C17" i="78"/>
  <c r="A20" i="78"/>
  <c r="A24" i="78"/>
  <c r="B20" i="78"/>
  <c r="C33" i="74"/>
  <c r="D30" i="74"/>
  <c r="I30" i="74" s="1"/>
  <c r="C27" i="74"/>
  <c r="A25" i="74"/>
  <c r="B23" i="74"/>
  <c r="D20" i="74"/>
  <c r="D17" i="74"/>
  <c r="C31" i="74"/>
  <c r="F28" i="74"/>
  <c r="E26" i="74"/>
  <c r="L26" i="74" s="1"/>
  <c r="A24" i="74"/>
  <c r="F21" i="74"/>
  <c r="C18" i="74"/>
  <c r="F31" i="74"/>
  <c r="D29" i="74"/>
  <c r="I29" i="74" s="1"/>
  <c r="A27" i="74"/>
  <c r="D23" i="74"/>
  <c r="F20" i="74"/>
  <c r="B18" i="74"/>
  <c r="D33" i="74"/>
  <c r="I33" i="74" s="1"/>
  <c r="A31" i="74"/>
  <c r="D28" i="74"/>
  <c r="I28" i="74" s="1"/>
  <c r="B25" i="74"/>
  <c r="B22" i="74"/>
  <c r="F19" i="74"/>
  <c r="E17" i="74"/>
  <c r="C19" i="75"/>
  <c r="F16" i="75"/>
  <c r="D18" i="75"/>
  <c r="C20" i="75"/>
  <c r="C16" i="75"/>
  <c r="F18" i="75"/>
  <c r="D30" i="77"/>
  <c r="C29" i="77"/>
  <c r="F29" i="77"/>
  <c r="F21" i="77"/>
  <c r="E28" i="77"/>
  <c r="E20" i="77"/>
  <c r="D21" i="77"/>
  <c r="C20" i="77"/>
  <c r="B25" i="77"/>
  <c r="B17" i="77"/>
  <c r="A24" i="77"/>
  <c r="D24" i="77"/>
  <c r="F30" i="77"/>
  <c r="F20" i="77"/>
  <c r="E25" i="77"/>
  <c r="J25" i="77" s="1"/>
  <c r="D23" i="77"/>
  <c r="B26" i="77"/>
  <c r="A17" i="78"/>
  <c r="A19" i="78"/>
  <c r="E21" i="78"/>
  <c r="C24" i="78"/>
  <c r="B17" i="78"/>
  <c r="F19" i="78"/>
  <c r="D22" i="78"/>
  <c r="B25" i="78"/>
  <c r="A18" i="78"/>
  <c r="E20" i="78"/>
  <c r="E16" i="75"/>
  <c r="I16" i="75" s="1"/>
  <c r="F20" i="78"/>
  <c r="F22" i="78"/>
  <c r="D23" i="78"/>
  <c r="D25" i="78"/>
  <c r="E16" i="78"/>
  <c r="E22" i="78"/>
  <c r="C25" i="78"/>
  <c r="B18" i="78"/>
  <c r="D21" i="78"/>
  <c r="B24" i="78"/>
  <c r="A16" i="78"/>
  <c r="H3" i="78" s="1"/>
  <c r="C23" i="78"/>
  <c r="F16" i="78"/>
  <c r="F18" i="78"/>
  <c r="B22" i="78"/>
  <c r="F24" i="78"/>
  <c r="E17" i="75"/>
  <c r="E18" i="75"/>
  <c r="E19" i="75"/>
  <c r="E20" i="75"/>
  <c r="J20" i="75" s="1"/>
  <c r="E17" i="77"/>
  <c r="K17" i="77" s="1"/>
  <c r="D19" i="77"/>
  <c r="C18" i="77"/>
  <c r="B24" i="77"/>
  <c r="A29" i="77"/>
  <c r="A20" i="77"/>
  <c r="D20" i="77"/>
  <c r="C19" i="77"/>
  <c r="F24" i="77"/>
  <c r="D16" i="77"/>
  <c r="E23" i="77"/>
  <c r="K23" i="77" s="1"/>
  <c r="C16" i="77"/>
  <c r="C30" i="77"/>
  <c r="B30" i="77"/>
  <c r="B22" i="77"/>
  <c r="A27" i="77"/>
  <c r="A19" i="77"/>
  <c r="A17" i="77"/>
  <c r="A25" i="77"/>
  <c r="E16" i="77"/>
  <c r="J16" i="77" s="1"/>
  <c r="A23" i="77"/>
  <c r="C18" i="73"/>
  <c r="C26" i="73"/>
  <c r="B34" i="73"/>
  <c r="H18" i="73"/>
  <c r="H26" i="73"/>
  <c r="G34" i="73"/>
  <c r="C12" i="73"/>
  <c r="D20" i="73"/>
  <c r="E20" i="73" s="1"/>
  <c r="D28" i="73"/>
  <c r="E28" i="73" s="1"/>
  <c r="C36" i="73"/>
  <c r="I21" i="73"/>
  <c r="H29" i="73"/>
  <c r="H37" i="73"/>
  <c r="I22" i="73"/>
  <c r="H30" i="73"/>
  <c r="H38" i="73"/>
  <c r="A15" i="73"/>
  <c r="A23" i="73"/>
  <c r="D31" i="73"/>
  <c r="E31" i="73" s="1"/>
  <c r="D39" i="73"/>
  <c r="E39" i="73" s="1"/>
  <c r="G16" i="73"/>
  <c r="G24" i="73"/>
  <c r="F32" i="73"/>
  <c r="I40" i="73"/>
  <c r="B18" i="73"/>
  <c r="B26" i="73"/>
  <c r="A34" i="73"/>
  <c r="B19" i="73"/>
  <c r="B27" i="73"/>
  <c r="A35" i="73"/>
  <c r="H19" i="73"/>
  <c r="H27" i="73"/>
  <c r="G35" i="73"/>
  <c r="C13" i="73"/>
  <c r="D21" i="73"/>
  <c r="E21" i="73" s="1"/>
  <c r="C29" i="73"/>
  <c r="C37" i="73"/>
  <c r="H22" i="73"/>
  <c r="G30" i="73"/>
  <c r="G38" i="73"/>
  <c r="I23" i="73"/>
  <c r="H31" i="73"/>
  <c r="H39" i="73"/>
  <c r="A16" i="73"/>
  <c r="A24" i="73"/>
  <c r="D32" i="73"/>
  <c r="E32" i="73" s="1"/>
  <c r="D40" i="73"/>
  <c r="E40" i="73" s="1"/>
  <c r="F17" i="73"/>
  <c r="F25" i="73"/>
  <c r="I33" i="73"/>
  <c r="A19" i="73"/>
  <c r="A27" i="73"/>
  <c r="D35" i="73"/>
  <c r="E35" i="73" s="1"/>
  <c r="H11" i="73"/>
  <c r="A11" i="73"/>
  <c r="A12" i="73"/>
  <c r="B20" i="73"/>
  <c r="B28" i="73"/>
  <c r="A36" i="73"/>
  <c r="G12" i="73"/>
  <c r="H20" i="73"/>
  <c r="G28" i="73"/>
  <c r="G36" i="73"/>
  <c r="B14" i="73"/>
  <c r="C22" i="73"/>
  <c r="B30" i="73"/>
  <c r="B38" i="73"/>
  <c r="H23" i="73"/>
  <c r="G31" i="73"/>
  <c r="G39" i="73"/>
  <c r="H32" i="73"/>
  <c r="G40" i="73"/>
  <c r="A17" i="73"/>
  <c r="A25" i="73"/>
  <c r="D33" i="73"/>
  <c r="E33" i="73" s="1"/>
  <c r="I18" i="73"/>
  <c r="I26" i="73"/>
  <c r="H34" i="73"/>
  <c r="D12" i="73"/>
  <c r="E12" i="73" s="1"/>
  <c r="A20" i="73"/>
  <c r="A28" i="73"/>
  <c r="D36" i="73"/>
  <c r="E36" i="73" s="1"/>
  <c r="A13" i="73"/>
  <c r="B21" i="73"/>
  <c r="A29" i="73"/>
  <c r="A37" i="73"/>
  <c r="F13" i="73"/>
  <c r="G21" i="73"/>
  <c r="F29" i="73"/>
  <c r="F37" i="73"/>
  <c r="B15" i="73"/>
  <c r="B23" i="73"/>
  <c r="A31" i="73"/>
  <c r="A39" i="73"/>
  <c r="G32" i="73"/>
  <c r="F40" i="73"/>
  <c r="H17" i="73"/>
  <c r="H25" i="73"/>
  <c r="G33" i="73"/>
  <c r="D18" i="73"/>
  <c r="E18" i="73" s="1"/>
  <c r="D26" i="73"/>
  <c r="E26" i="73" s="1"/>
  <c r="C34" i="73"/>
  <c r="I19" i="73"/>
  <c r="I27" i="73"/>
  <c r="H35" i="73"/>
  <c r="D13" i="73"/>
  <c r="E13" i="73" s="1"/>
  <c r="A21" i="73"/>
  <c r="D29" i="73"/>
  <c r="E29" i="73" s="1"/>
  <c r="D37" i="73"/>
  <c r="E37" i="73" s="1"/>
  <c r="B11" i="73"/>
  <c r="C11" i="73"/>
  <c r="D14" i="73"/>
  <c r="E14" i="73" s="1"/>
  <c r="A22" i="73"/>
  <c r="D30" i="73"/>
  <c r="E30" i="73" s="1"/>
  <c r="D38" i="73"/>
  <c r="E38" i="73" s="1"/>
  <c r="F14" i="73"/>
  <c r="F22" i="73"/>
  <c r="I30" i="73"/>
  <c r="I38" i="73"/>
  <c r="B16" i="73"/>
  <c r="B24" i="73"/>
  <c r="A32" i="73"/>
  <c r="A40" i="73"/>
  <c r="G17" i="73"/>
  <c r="G25" i="73"/>
  <c r="F33" i="73"/>
  <c r="G18" i="73"/>
  <c r="G26" i="73"/>
  <c r="F34" i="73"/>
  <c r="C19" i="73"/>
  <c r="C27" i="73"/>
  <c r="B35" i="73"/>
  <c r="H12" i="73"/>
  <c r="I20" i="73"/>
  <c r="H28" i="73"/>
  <c r="H36" i="73"/>
  <c r="C14" i="73"/>
  <c r="D22" i="73"/>
  <c r="E22" i="73" s="1"/>
  <c r="C30" i="73"/>
  <c r="C38" i="73"/>
  <c r="D15" i="73"/>
  <c r="E15" i="73" s="1"/>
  <c r="D23" i="73"/>
  <c r="E23" i="73" s="1"/>
  <c r="C31" i="73"/>
  <c r="C39" i="73"/>
  <c r="F15" i="73"/>
  <c r="F23" i="73"/>
  <c r="I31" i="73"/>
  <c r="I39" i="73"/>
  <c r="B17" i="73"/>
  <c r="B25" i="73"/>
  <c r="A33" i="73"/>
  <c r="F18" i="73"/>
  <c r="F26" i="73"/>
  <c r="I34" i="73"/>
  <c r="G19" i="73"/>
  <c r="G27" i="73"/>
  <c r="F35" i="73"/>
  <c r="B12" i="73"/>
  <c r="C20" i="73"/>
  <c r="C28" i="73"/>
  <c r="B36" i="73"/>
  <c r="G13" i="73"/>
  <c r="H21" i="73"/>
  <c r="G29" i="73"/>
  <c r="G37" i="73"/>
  <c r="C15" i="73"/>
  <c r="C23" i="73"/>
  <c r="B31" i="73"/>
  <c r="B39" i="73"/>
  <c r="I11" i="73"/>
  <c r="D11" i="73"/>
  <c r="E11" i="73" s="1"/>
  <c r="D16" i="73"/>
  <c r="E16" i="73" s="1"/>
  <c r="D24" i="73"/>
  <c r="E24" i="73" s="1"/>
  <c r="C32" i="73"/>
  <c r="C40" i="73"/>
  <c r="F16" i="73"/>
  <c r="F24" i="73"/>
  <c r="I32" i="73"/>
  <c r="H40" i="73"/>
  <c r="A18" i="73"/>
  <c r="A26" i="73"/>
  <c r="D34" i="73"/>
  <c r="E34" i="73" s="1"/>
  <c r="F19" i="73"/>
  <c r="F27" i="73"/>
  <c r="I35" i="73"/>
  <c r="F11" i="73"/>
  <c r="F12" i="73"/>
  <c r="G20" i="73"/>
  <c r="F28" i="73"/>
  <c r="F36" i="73"/>
  <c r="B13" i="73"/>
  <c r="C21" i="73"/>
  <c r="B29" i="73"/>
  <c r="B37" i="73"/>
  <c r="G14" i="73"/>
  <c r="G22" i="73"/>
  <c r="F30" i="73"/>
  <c r="F38" i="73"/>
  <c r="C16" i="73"/>
  <c r="C24" i="73"/>
  <c r="B32" i="73"/>
  <c r="B40" i="73"/>
  <c r="D17" i="73"/>
  <c r="E17" i="73" s="1"/>
  <c r="D25" i="73"/>
  <c r="E25" i="73" s="1"/>
  <c r="C33" i="73"/>
  <c r="I17" i="73"/>
  <c r="I25" i="73"/>
  <c r="H33" i="73"/>
  <c r="D19" i="73"/>
  <c r="E19" i="73" s="1"/>
  <c r="D27" i="73"/>
  <c r="E27" i="73" s="1"/>
  <c r="C35" i="73"/>
  <c r="I12" i="73"/>
  <c r="F20" i="73"/>
  <c r="I28" i="73"/>
  <c r="I36" i="73"/>
  <c r="F21" i="73"/>
  <c r="I29" i="73"/>
  <c r="I37" i="73"/>
  <c r="A14" i="73"/>
  <c r="H55" i="73" s="1"/>
  <c r="B22" i="73"/>
  <c r="A30" i="73"/>
  <c r="A38" i="73"/>
  <c r="G15" i="73"/>
  <c r="G23" i="73"/>
  <c r="F31" i="73"/>
  <c r="F39" i="73"/>
  <c r="C17" i="73"/>
  <c r="C25" i="73"/>
  <c r="B33" i="73"/>
  <c r="G11" i="73"/>
  <c r="I17" i="74" l="1"/>
  <c r="G19" i="77"/>
  <c r="I19" i="74"/>
  <c r="I18" i="75"/>
  <c r="I16" i="74"/>
  <c r="K29" i="77"/>
  <c r="H24" i="77"/>
  <c r="H20" i="77"/>
  <c r="J19" i="77"/>
  <c r="G28" i="77"/>
  <c r="L18" i="77"/>
  <c r="L21" i="77"/>
  <c r="H21" i="74"/>
  <c r="F2" i="73"/>
  <c r="A54" i="73"/>
  <c r="G30" i="74"/>
  <c r="G27" i="74"/>
  <c r="L19" i="74"/>
  <c r="G21" i="74"/>
  <c r="J21" i="74"/>
  <c r="H19" i="74"/>
  <c r="J20" i="74"/>
  <c r="L25" i="77"/>
  <c r="J38" i="77"/>
  <c r="H3" i="77"/>
  <c r="I28" i="75"/>
  <c r="G3" i="75"/>
  <c r="C40" i="74"/>
  <c r="J3" i="74"/>
  <c r="G33" i="74"/>
  <c r="G29" i="74"/>
  <c r="M21" i="74"/>
  <c r="I23" i="74"/>
  <c r="I22" i="77"/>
  <c r="I25" i="74"/>
  <c r="G29" i="77"/>
  <c r="J33" i="74"/>
  <c r="I21" i="74"/>
  <c r="C27" i="75"/>
  <c r="H29" i="77"/>
  <c r="L29" i="77"/>
  <c r="I27" i="74"/>
  <c r="H33" i="74"/>
  <c r="L33" i="74"/>
  <c r="I29" i="77"/>
  <c r="J29" i="77"/>
  <c r="K18" i="74"/>
  <c r="J24" i="77"/>
  <c r="H18" i="74"/>
  <c r="M18" i="74"/>
  <c r="G18" i="74"/>
  <c r="J29" i="74"/>
  <c r="L29" i="74"/>
  <c r="K24" i="77"/>
  <c r="H29" i="74"/>
  <c r="J18" i="74"/>
  <c r="J41" i="74"/>
  <c r="G24" i="77"/>
  <c r="H18" i="77"/>
  <c r="H19" i="75"/>
  <c r="J22" i="74"/>
  <c r="L24" i="77"/>
  <c r="H25" i="74"/>
  <c r="G23" i="74"/>
  <c r="J24" i="74"/>
  <c r="L24" i="74"/>
  <c r="H30" i="77"/>
  <c r="M20" i="74"/>
  <c r="H26" i="74"/>
  <c r="K23" i="74"/>
  <c r="G30" i="77"/>
  <c r="L22" i="74"/>
  <c r="K18" i="77"/>
  <c r="K22" i="74"/>
  <c r="J28" i="74"/>
  <c r="I25" i="77"/>
  <c r="K25" i="77"/>
  <c r="H25" i="77"/>
  <c r="K21" i="74"/>
  <c r="G26" i="77"/>
  <c r="F22" i="75"/>
  <c r="M30" i="74"/>
  <c r="I24" i="74"/>
  <c r="H16" i="75"/>
  <c r="H23" i="74"/>
  <c r="G26" i="74"/>
  <c r="G31" i="74"/>
  <c r="J25" i="74"/>
  <c r="H16" i="74"/>
  <c r="H20" i="74"/>
  <c r="K30" i="74"/>
  <c r="K33" i="74"/>
  <c r="K24" i="74"/>
  <c r="M23" i="74"/>
  <c r="M26" i="74"/>
  <c r="M25" i="74"/>
  <c r="C37" i="77"/>
  <c r="K19" i="77"/>
  <c r="L19" i="77"/>
  <c r="K30" i="77"/>
  <c r="L26" i="77"/>
  <c r="L30" i="74"/>
  <c r="H17" i="75"/>
  <c r="J30" i="77"/>
  <c r="J16" i="75"/>
  <c r="J30" i="74"/>
  <c r="J26" i="74"/>
  <c r="G24" i="74"/>
  <c r="G25" i="74"/>
  <c r="K20" i="74"/>
  <c r="G16" i="74"/>
  <c r="M33" i="74"/>
  <c r="M24" i="74"/>
  <c r="H19" i="77"/>
  <c r="L30" i="77"/>
  <c r="H26" i="77"/>
  <c r="K26" i="77"/>
  <c r="G16" i="75"/>
  <c r="H30" i="74"/>
  <c r="J31" i="74"/>
  <c r="J16" i="74"/>
  <c r="G20" i="74"/>
  <c r="K16" i="74"/>
  <c r="K26" i="74"/>
  <c r="M16" i="74"/>
  <c r="J26" i="77"/>
  <c r="I28" i="77"/>
  <c r="L17" i="74"/>
  <c r="I26" i="74"/>
  <c r="J28" i="77"/>
  <c r="J27" i="77"/>
  <c r="I21" i="77"/>
  <c r="J20" i="77"/>
  <c r="J21" i="77"/>
  <c r="J23" i="74"/>
  <c r="K25" i="74"/>
  <c r="G25" i="77"/>
  <c r="J17" i="77"/>
  <c r="H27" i="74"/>
  <c r="K27" i="74"/>
  <c r="I27" i="77"/>
  <c r="K21" i="77"/>
  <c r="J19" i="74"/>
  <c r="J27" i="74"/>
  <c r="K17" i="74"/>
  <c r="K29" i="74"/>
  <c r="K19" i="74"/>
  <c r="M31" i="74"/>
  <c r="L27" i="74"/>
  <c r="M29" i="74"/>
  <c r="H27" i="77"/>
  <c r="G21" i="77"/>
  <c r="K31" i="74"/>
  <c r="L27" i="77"/>
  <c r="G27" i="77"/>
  <c r="H21" i="77"/>
  <c r="M17" i="74"/>
  <c r="H31" i="74"/>
  <c r="I20" i="77"/>
  <c r="G17" i="74"/>
  <c r="K20" i="77"/>
  <c r="M19" i="74"/>
  <c r="H17" i="74"/>
  <c r="G20" i="77"/>
  <c r="J17" i="74"/>
  <c r="K28" i="74"/>
  <c r="L20" i="77"/>
  <c r="G22" i="77"/>
  <c r="M27" i="74"/>
  <c r="M28" i="74"/>
  <c r="J17" i="75"/>
  <c r="G28" i="74"/>
  <c r="G22" i="74"/>
  <c r="H32" i="74"/>
  <c r="M32" i="74"/>
  <c r="L28" i="77"/>
  <c r="H28" i="77"/>
  <c r="L22" i="77"/>
  <c r="I18" i="77"/>
  <c r="I17" i="75"/>
  <c r="H28" i="74"/>
  <c r="J32" i="74"/>
  <c r="K32" i="74"/>
  <c r="M22" i="74"/>
  <c r="K28" i="77"/>
  <c r="H22" i="77"/>
  <c r="K22" i="77"/>
  <c r="J18" i="77"/>
  <c r="G18" i="77"/>
  <c r="F32" i="77"/>
  <c r="G17" i="75"/>
  <c r="G32" i="74"/>
  <c r="J22" i="77"/>
  <c r="F35" i="74"/>
  <c r="G18" i="75"/>
  <c r="F27" i="78"/>
  <c r="J18" i="75"/>
  <c r="G17" i="77"/>
  <c r="H18" i="75"/>
  <c r="L17" i="77"/>
  <c r="I20" i="74"/>
  <c r="I24" i="77"/>
  <c r="H17" i="77"/>
  <c r="L16" i="77"/>
  <c r="J19" i="75"/>
  <c r="I17" i="77"/>
  <c r="I18" i="74"/>
  <c r="I22" i="74"/>
  <c r="I16" i="77"/>
  <c r="H16" i="77"/>
  <c r="K16" i="77"/>
  <c r="G16" i="77"/>
  <c r="G19" i="75"/>
  <c r="I19" i="75"/>
  <c r="G20" i="75"/>
  <c r="I20" i="75"/>
  <c r="H20" i="75"/>
  <c r="I23" i="77"/>
  <c r="L23" i="77"/>
  <c r="H23" i="77"/>
  <c r="J23" i="77"/>
  <c r="G23" i="77"/>
  <c r="C32" i="78"/>
  <c r="J33" i="78"/>
  <c r="H17" i="78"/>
  <c r="G17" i="78"/>
  <c r="L17" i="78"/>
  <c r="I17" i="78"/>
  <c r="K17" i="78"/>
  <c r="J17" i="78"/>
  <c r="H25" i="78"/>
  <c r="I25" i="78"/>
  <c r="J25" i="78"/>
  <c r="G25" i="78"/>
  <c r="L25" i="78"/>
  <c r="K25" i="78"/>
  <c r="K21" i="78"/>
  <c r="H21" i="78"/>
  <c r="I21" i="78"/>
  <c r="G21" i="78"/>
  <c r="L21" i="78"/>
  <c r="J21" i="78"/>
  <c r="K24" i="78"/>
  <c r="H24" i="78"/>
  <c r="J24" i="78"/>
  <c r="L24" i="78"/>
  <c r="I24" i="78"/>
  <c r="G24" i="78"/>
  <c r="H19" i="78"/>
  <c r="J19" i="78"/>
  <c r="L19" i="78"/>
  <c r="G19" i="78"/>
  <c r="K19" i="78"/>
  <c r="I19" i="78"/>
  <c r="K16" i="78"/>
  <c r="J16" i="78"/>
  <c r="I16" i="78"/>
  <c r="H16" i="78"/>
  <c r="L16" i="78"/>
  <c r="G16" i="78"/>
  <c r="H23" i="78"/>
  <c r="K23" i="78"/>
  <c r="L23" i="78"/>
  <c r="J23" i="78"/>
  <c r="I23" i="78"/>
  <c r="G23" i="78"/>
  <c r="K20" i="78"/>
  <c r="H20" i="78"/>
  <c r="I20" i="78"/>
  <c r="L20" i="78"/>
  <c r="J20" i="78"/>
  <c r="G20" i="78"/>
  <c r="K18" i="78"/>
  <c r="G18" i="78"/>
  <c r="I18" i="78"/>
  <c r="H18" i="78"/>
  <c r="J18" i="78"/>
  <c r="L18" i="78"/>
  <c r="K22" i="78"/>
  <c r="J22" i="78"/>
  <c r="I22" i="78"/>
  <c r="G22" i="78"/>
  <c r="H22" i="78"/>
  <c r="L22" i="78"/>
  <c r="D6" i="73"/>
  <c r="L35" i="74" l="1"/>
  <c r="L36" i="74" s="1"/>
  <c r="L37" i="74" s="1"/>
  <c r="K32" i="77"/>
  <c r="K33" i="77" s="1"/>
  <c r="K34" i="77" s="1"/>
  <c r="J35" i="74"/>
  <c r="J36" i="74" s="1"/>
  <c r="J37" i="74" s="1"/>
  <c r="G35" i="74"/>
  <c r="G36" i="74" s="1"/>
  <c r="K35" i="74"/>
  <c r="K36" i="74" s="1"/>
  <c r="K37" i="74" s="1"/>
  <c r="M35" i="74"/>
  <c r="M36" i="74" s="1"/>
  <c r="M37" i="74" s="1"/>
  <c r="H35" i="74"/>
  <c r="H36" i="74" s="1"/>
  <c r="H37" i="74" s="1"/>
  <c r="J32" i="77"/>
  <c r="J33" i="77" s="1"/>
  <c r="J34" i="77" s="1"/>
  <c r="J22" i="75"/>
  <c r="J23" i="75" s="1"/>
  <c r="J24" i="75" s="1"/>
  <c r="H22" i="75"/>
  <c r="H23" i="75" s="1"/>
  <c r="H24" i="75" s="1"/>
  <c r="I35" i="74"/>
  <c r="I36" i="74" s="1"/>
  <c r="I37" i="74" s="1"/>
  <c r="L32" i="77"/>
  <c r="L33" i="77" s="1"/>
  <c r="L34" i="77" s="1"/>
  <c r="I32" i="77"/>
  <c r="I33" i="77" s="1"/>
  <c r="I34" i="77" s="1"/>
  <c r="H32" i="77"/>
  <c r="H33" i="77" s="1"/>
  <c r="H34" i="77" s="1"/>
  <c r="G32" i="77"/>
  <c r="G33" i="77" s="1"/>
  <c r="G22" i="75"/>
  <c r="G23" i="75" s="1"/>
  <c r="I22" i="75"/>
  <c r="I23" i="75" s="1"/>
  <c r="I24" i="75" s="1"/>
  <c r="G27" i="78"/>
  <c r="J27" i="78"/>
  <c r="J28" i="78" s="1"/>
  <c r="J29" i="78" s="1"/>
  <c r="L27" i="78"/>
  <c r="L28" i="78" s="1"/>
  <c r="L29" i="78" s="1"/>
  <c r="K27" i="78"/>
  <c r="K28" i="78" s="1"/>
  <c r="K29" i="78" s="1"/>
  <c r="H27" i="78"/>
  <c r="H28" i="78" s="1"/>
  <c r="H29" i="78" s="1"/>
  <c r="I27" i="78"/>
  <c r="I28" i="78" s="1"/>
  <c r="I29" i="78" s="1"/>
  <c r="C31" i="15"/>
  <c r="C49" i="15" s="1"/>
  <c r="D31" i="15"/>
  <c r="F36" i="74" l="1"/>
  <c r="F37" i="74" s="1"/>
  <c r="G34" i="77"/>
  <c r="F33" i="77"/>
  <c r="F34" i="77" s="1"/>
  <c r="G28" i="78"/>
  <c r="G24" i="75"/>
  <c r="F23" i="75"/>
  <c r="F24" i="75" s="1"/>
  <c r="G37" i="74"/>
  <c r="D33" i="15"/>
  <c r="D49" i="15" s="1"/>
  <c r="G29" i="78" l="1"/>
  <c r="F28" i="78"/>
  <c r="F29" i="78" s="1"/>
  <c r="B11" i="61"/>
  <c r="H134" i="60"/>
  <c r="H88" i="60"/>
  <c r="A87" i="60"/>
  <c r="H75" i="60"/>
  <c r="D36" i="60" s="1"/>
  <c r="C75" i="60"/>
  <c r="H28" i="60"/>
  <c r="C28" i="60"/>
  <c r="A31" i="58"/>
  <c r="I13" i="58"/>
  <c r="C8" i="58"/>
  <c r="A73" i="57"/>
  <c r="L13" i="57"/>
  <c r="K13" i="57"/>
  <c r="I7" i="57"/>
  <c r="C7" i="56"/>
  <c r="D5" i="56"/>
  <c r="L13" i="54"/>
  <c r="J13" i="14"/>
  <c r="I13" i="14"/>
  <c r="M17" i="39"/>
  <c r="H17" i="39"/>
  <c r="C11" i="39"/>
  <c r="M7" i="39"/>
  <c r="L7" i="39"/>
  <c r="L6" i="39"/>
  <c r="H4" i="39"/>
  <c r="L1" i="39"/>
  <c r="I14" i="47"/>
  <c r="H14" i="47"/>
  <c r="E8" i="47"/>
  <c r="Y10" i="34"/>
  <c r="X10" i="34"/>
  <c r="V7" i="34"/>
  <c r="V1796" i="34" l="1"/>
  <c r="V1800" i="34"/>
  <c r="V1804" i="34"/>
  <c r="V1808" i="34"/>
  <c r="V1812" i="34"/>
  <c r="V1816" i="34"/>
  <c r="V1820" i="34"/>
  <c r="V1824" i="34"/>
  <c r="V1828" i="34"/>
  <c r="V1832" i="34"/>
  <c r="V1836" i="34"/>
  <c r="V1840" i="34"/>
  <c r="V1844" i="34"/>
  <c r="V1848" i="34"/>
  <c r="V1852" i="34"/>
  <c r="V1856" i="34"/>
  <c r="V1860" i="34"/>
  <c r="V1864" i="34"/>
  <c r="V1868" i="34"/>
  <c r="V1872" i="34"/>
  <c r="V1876" i="34"/>
  <c r="V1880" i="34"/>
  <c r="V1884" i="34"/>
  <c r="V1888" i="34"/>
  <c r="V1892" i="34"/>
  <c r="V1896" i="34"/>
  <c r="V1900" i="34"/>
  <c r="V1904" i="34"/>
  <c r="V1908" i="34"/>
  <c r="V1912" i="34"/>
  <c r="V1916" i="34"/>
  <c r="V1920" i="34"/>
  <c r="V1924" i="34"/>
  <c r="V1928" i="34"/>
  <c r="V1932" i="34"/>
  <c r="V1936" i="34"/>
  <c r="V1940" i="34"/>
  <c r="V1944" i="34"/>
  <c r="V1948" i="34"/>
  <c r="V1952" i="34"/>
  <c r="V1956" i="34"/>
  <c r="V1960" i="34"/>
  <c r="V1964" i="34"/>
  <c r="V1968" i="34"/>
  <c r="V1972" i="34"/>
  <c r="V1976" i="34"/>
  <c r="V1795" i="34"/>
  <c r="V1799" i="34"/>
  <c r="V1803" i="34"/>
  <c r="V1807" i="34"/>
  <c r="V1811" i="34"/>
  <c r="V1815" i="34"/>
  <c r="V1819" i="34"/>
  <c r="V1823" i="34"/>
  <c r="V1827" i="34"/>
  <c r="V1831" i="34"/>
  <c r="V1835" i="34"/>
  <c r="V1839" i="34"/>
  <c r="V1843" i="34"/>
  <c r="V1847" i="34"/>
  <c r="V1851" i="34"/>
  <c r="V1855" i="34"/>
  <c r="V1859" i="34"/>
  <c r="V1863" i="34"/>
  <c r="V1867" i="34"/>
  <c r="V1871" i="34"/>
  <c r="V1875" i="34"/>
  <c r="V1879" i="34"/>
  <c r="V1883" i="34"/>
  <c r="V1887" i="34"/>
  <c r="V1891" i="34"/>
  <c r="V1895" i="34"/>
  <c r="V1899" i="34"/>
  <c r="V1903" i="34"/>
  <c r="V1907" i="34"/>
  <c r="V1911" i="34"/>
  <c r="V1915" i="34"/>
  <c r="V1919" i="34"/>
  <c r="V1923" i="34"/>
  <c r="V1927" i="34"/>
  <c r="V1931" i="34"/>
  <c r="V1935" i="34"/>
  <c r="V1939" i="34"/>
  <c r="V1943" i="34"/>
  <c r="V1947" i="34"/>
  <c r="V1951" i="34"/>
  <c r="V1955" i="34"/>
  <c r="V1959" i="34"/>
  <c r="V1963" i="34"/>
  <c r="V1967" i="34"/>
  <c r="V1971" i="34"/>
  <c r="V1975" i="34"/>
  <c r="V1794" i="34"/>
  <c r="V1798" i="34"/>
  <c r="V1802" i="34"/>
  <c r="V1806" i="34"/>
  <c r="V1810" i="34"/>
  <c r="V1814" i="34"/>
  <c r="V1818" i="34"/>
  <c r="V1822" i="34"/>
  <c r="V1826" i="34"/>
  <c r="V1830" i="34"/>
  <c r="V1834" i="34"/>
  <c r="V1838" i="34"/>
  <c r="V1842" i="34"/>
  <c r="V1846" i="34"/>
  <c r="V1850" i="34"/>
  <c r="V1854" i="34"/>
  <c r="V1858" i="34"/>
  <c r="V1862" i="34"/>
  <c r="V1866" i="34"/>
  <c r="V1870" i="34"/>
  <c r="V1874" i="34"/>
  <c r="V1878" i="34"/>
  <c r="V1882" i="34"/>
  <c r="V1886" i="34"/>
  <c r="V1890" i="34"/>
  <c r="V1894" i="34"/>
  <c r="V1898" i="34"/>
  <c r="V1902" i="34"/>
  <c r="V1906" i="34"/>
  <c r="V1910" i="34"/>
  <c r="V1914" i="34"/>
  <c r="V1918" i="34"/>
  <c r="V1922" i="34"/>
  <c r="V1926" i="34"/>
  <c r="V1930" i="34"/>
  <c r="V1934" i="34"/>
  <c r="V1938" i="34"/>
  <c r="V1942" i="34"/>
  <c r="V1946" i="34"/>
  <c r="V1950" i="34"/>
  <c r="V1954" i="34"/>
  <c r="V1958" i="34"/>
  <c r="V1962" i="34"/>
  <c r="V1966" i="34"/>
  <c r="V1970" i="34"/>
  <c r="V1974" i="34"/>
  <c r="V1978" i="34"/>
  <c r="V1793" i="34"/>
  <c r="V1797" i="34"/>
  <c r="V1801" i="34"/>
  <c r="V1805" i="34"/>
  <c r="V1809" i="34"/>
  <c r="V1813" i="34"/>
  <c r="V1817" i="34"/>
  <c r="V1821" i="34"/>
  <c r="V1825" i="34"/>
  <c r="V1829" i="34"/>
  <c r="V1833" i="34"/>
  <c r="V1837" i="34"/>
  <c r="V1841" i="34"/>
  <c r="V1845" i="34"/>
  <c r="V1849" i="34"/>
  <c r="V1853" i="34"/>
  <c r="V1857" i="34"/>
  <c r="V1861" i="34"/>
  <c r="V1865" i="34"/>
  <c r="V1869" i="34"/>
  <c r="V1873" i="34"/>
  <c r="V1877" i="34"/>
  <c r="V1881" i="34"/>
  <c r="V1885" i="34"/>
  <c r="V1889" i="34"/>
  <c r="V1893" i="34"/>
  <c r="V1897" i="34"/>
  <c r="V1901" i="34"/>
  <c r="V1905" i="34"/>
  <c r="V1909" i="34"/>
  <c r="V1913" i="34"/>
  <c r="V1917" i="34"/>
  <c r="V1921" i="34"/>
  <c r="V1925" i="34"/>
  <c r="V1929" i="34"/>
  <c r="V1933" i="34"/>
  <c r="V1937" i="34"/>
  <c r="V1941" i="34"/>
  <c r="V1945" i="34"/>
  <c r="V1949" i="34"/>
  <c r="V1953" i="34"/>
  <c r="V1957" i="34"/>
  <c r="V1961" i="34"/>
  <c r="V1965" i="34"/>
  <c r="V1969" i="34"/>
  <c r="V1973" i="34"/>
  <c r="V1977" i="34"/>
  <c r="V1979" i="34"/>
  <c r="V1983" i="34"/>
  <c r="V1987" i="34"/>
  <c r="V1991" i="34"/>
  <c r="V1995" i="34"/>
  <c r="V1993" i="34"/>
  <c r="V1997" i="34"/>
  <c r="V1982" i="34"/>
  <c r="V1986" i="34"/>
  <c r="V1990" i="34"/>
  <c r="V1994" i="34"/>
  <c r="V1998" i="34"/>
  <c r="V2002" i="34"/>
  <c r="V1989" i="34"/>
  <c r="V1981" i="34"/>
  <c r="V1985" i="34"/>
  <c r="V1980" i="34"/>
  <c r="V1984" i="34"/>
  <c r="V1988" i="34"/>
  <c r="V1992" i="34"/>
  <c r="V1996" i="34"/>
  <c r="V2000" i="34"/>
  <c r="V1999" i="34"/>
  <c r="V2001" i="34"/>
  <c r="V12" i="34"/>
  <c r="D94" i="60"/>
  <c r="F121" i="60"/>
  <c r="E95" i="60"/>
  <c r="F96" i="60"/>
  <c r="D98" i="60"/>
  <c r="E100" i="60"/>
  <c r="F101" i="60"/>
  <c r="D103" i="60"/>
  <c r="E104" i="60"/>
  <c r="F105" i="60"/>
  <c r="D107" i="60"/>
  <c r="E108" i="60"/>
  <c r="F109" i="60"/>
  <c r="D112" i="60"/>
  <c r="E113" i="60"/>
  <c r="F114" i="60"/>
  <c r="D116" i="60"/>
  <c r="E117" i="60"/>
  <c r="F118" i="60"/>
  <c r="D120" i="60"/>
  <c r="E121" i="60"/>
  <c r="F122" i="60"/>
  <c r="D124" i="60"/>
  <c r="E125" i="60"/>
  <c r="F126" i="60"/>
  <c r="D128" i="60"/>
  <c r="E130" i="60"/>
  <c r="F95" i="60"/>
  <c r="D97" i="60"/>
  <c r="E98" i="60"/>
  <c r="F100" i="60"/>
  <c r="D102" i="60"/>
  <c r="E103" i="60"/>
  <c r="F104" i="60"/>
  <c r="D106" i="60"/>
  <c r="E107" i="60"/>
  <c r="F108" i="60"/>
  <c r="D111" i="60"/>
  <c r="E112" i="60"/>
  <c r="F113" i="60"/>
  <c r="D115" i="60"/>
  <c r="E116" i="60"/>
  <c r="F117" i="60"/>
  <c r="D119" i="60"/>
  <c r="E120" i="60"/>
  <c r="D123" i="60"/>
  <c r="E124" i="60"/>
  <c r="D96" i="60"/>
  <c r="E97" i="60"/>
  <c r="F98" i="60"/>
  <c r="D101" i="60"/>
  <c r="E102" i="60"/>
  <c r="F103" i="60"/>
  <c r="D105" i="60"/>
  <c r="E106" i="60"/>
  <c r="F107" i="60"/>
  <c r="D109" i="60"/>
  <c r="E111" i="60"/>
  <c r="F112" i="60"/>
  <c r="D114" i="60"/>
  <c r="E115" i="60"/>
  <c r="F116" i="60"/>
  <c r="D95" i="60"/>
  <c r="G95" i="60" s="1"/>
  <c r="E96" i="60"/>
  <c r="F97" i="60"/>
  <c r="D100" i="60"/>
  <c r="E101" i="60"/>
  <c r="F102" i="60"/>
  <c r="D104" i="60"/>
  <c r="E105" i="60"/>
  <c r="F106" i="60"/>
  <c r="D108" i="60"/>
  <c r="E109" i="60"/>
  <c r="F111" i="60"/>
  <c r="D113" i="60"/>
  <c r="G113" i="60" s="1"/>
  <c r="E114" i="60"/>
  <c r="F115" i="60"/>
  <c r="D117" i="60"/>
  <c r="E118" i="60"/>
  <c r="F119" i="60"/>
  <c r="D121" i="60"/>
  <c r="F120" i="60"/>
  <c r="F123" i="60"/>
  <c r="D126" i="60"/>
  <c r="F127" i="60"/>
  <c r="F130" i="60"/>
  <c r="D132" i="60"/>
  <c r="D122" i="60"/>
  <c r="F124" i="60"/>
  <c r="E126" i="60"/>
  <c r="E128" i="60"/>
  <c r="D131" i="60"/>
  <c r="E132" i="60"/>
  <c r="D118" i="60"/>
  <c r="E122" i="60"/>
  <c r="D125" i="60"/>
  <c r="D127" i="60"/>
  <c r="F128" i="60"/>
  <c r="E131" i="60"/>
  <c r="F132" i="60"/>
  <c r="E119" i="60"/>
  <c r="E123" i="60"/>
  <c r="F125" i="60"/>
  <c r="E127" i="60"/>
  <c r="D130" i="60"/>
  <c r="F131" i="60"/>
  <c r="E94" i="60"/>
  <c r="F94" i="60"/>
  <c r="E84" i="60"/>
  <c r="F86" i="60"/>
  <c r="F84" i="60"/>
  <c r="E83" i="60"/>
  <c r="D86" i="60"/>
  <c r="F83" i="60"/>
  <c r="D84" i="60"/>
  <c r="E86" i="60"/>
  <c r="F37" i="60"/>
  <c r="F38" i="60"/>
  <c r="F39" i="60"/>
  <c r="F40" i="60"/>
  <c r="F41" i="60"/>
  <c r="F42" i="60"/>
  <c r="F43" i="60"/>
  <c r="F44" i="60"/>
  <c r="F45" i="60"/>
  <c r="F46" i="60"/>
  <c r="F47" i="60"/>
  <c r="F48" i="60"/>
  <c r="F49" i="60"/>
  <c r="F50" i="60"/>
  <c r="F51" i="60"/>
  <c r="F52" i="60"/>
  <c r="F54" i="60"/>
  <c r="F55" i="60"/>
  <c r="F56" i="60"/>
  <c r="F57" i="60"/>
  <c r="F58" i="60"/>
  <c r="F59" i="60"/>
  <c r="F60" i="60"/>
  <c r="F61" i="60"/>
  <c r="F62" i="60"/>
  <c r="F63" i="60"/>
  <c r="F64" i="60"/>
  <c r="F65" i="60"/>
  <c r="F67" i="60"/>
  <c r="F68" i="60"/>
  <c r="F69" i="60"/>
  <c r="F70" i="60"/>
  <c r="F71" i="60"/>
  <c r="F72" i="60"/>
  <c r="F73" i="60"/>
  <c r="D37" i="60"/>
  <c r="D38" i="60"/>
  <c r="D39" i="60"/>
  <c r="D40" i="60"/>
  <c r="D41" i="60"/>
  <c r="D42" i="60"/>
  <c r="D43" i="60"/>
  <c r="D44" i="60"/>
  <c r="D45" i="60"/>
  <c r="D46" i="60"/>
  <c r="D47" i="60"/>
  <c r="D48" i="60"/>
  <c r="D49" i="60"/>
  <c r="D50" i="60"/>
  <c r="D51" i="60"/>
  <c r="D52" i="60"/>
  <c r="D54" i="60"/>
  <c r="D55" i="60"/>
  <c r="D56" i="60"/>
  <c r="D57" i="60"/>
  <c r="D58" i="60"/>
  <c r="D59" i="60"/>
  <c r="D60" i="60"/>
  <c r="D61" i="60"/>
  <c r="D62" i="60"/>
  <c r="D63" i="60"/>
  <c r="D64" i="60"/>
  <c r="D65" i="60"/>
  <c r="D67" i="60"/>
  <c r="D68" i="60"/>
  <c r="D69" i="60"/>
  <c r="D70" i="60"/>
  <c r="D71" i="60"/>
  <c r="D72" i="60"/>
  <c r="D73" i="60"/>
  <c r="E37" i="60"/>
  <c r="E38" i="60"/>
  <c r="E39" i="60"/>
  <c r="E40" i="60"/>
  <c r="E41" i="60"/>
  <c r="E42" i="60"/>
  <c r="E43" i="60"/>
  <c r="E44" i="60"/>
  <c r="E45" i="60"/>
  <c r="E46" i="60"/>
  <c r="E47" i="60"/>
  <c r="E48" i="60"/>
  <c r="E49" i="60"/>
  <c r="E50" i="60"/>
  <c r="E51" i="60"/>
  <c r="E52" i="60"/>
  <c r="E54" i="60"/>
  <c r="E55" i="60"/>
  <c r="E56" i="60"/>
  <c r="E57" i="60"/>
  <c r="E58" i="60"/>
  <c r="E59" i="60"/>
  <c r="E60" i="60"/>
  <c r="E61" i="60"/>
  <c r="E62" i="60"/>
  <c r="E63" i="60"/>
  <c r="E64" i="60"/>
  <c r="E65" i="60"/>
  <c r="E67" i="60"/>
  <c r="E68" i="60"/>
  <c r="E69" i="60"/>
  <c r="E70" i="60"/>
  <c r="E71" i="60"/>
  <c r="E72" i="60"/>
  <c r="E73" i="60"/>
  <c r="E36" i="60"/>
  <c r="F36" i="60"/>
  <c r="W10" i="34"/>
  <c r="V11" i="34"/>
  <c r="W11" i="34"/>
  <c r="B63" i="57"/>
  <c r="F63" i="57"/>
  <c r="C64" i="57"/>
  <c r="G64" i="57"/>
  <c r="D65" i="57"/>
  <c r="I65" i="57"/>
  <c r="E66" i="57"/>
  <c r="B67" i="57"/>
  <c r="F67" i="57"/>
  <c r="C68" i="57"/>
  <c r="G68" i="57"/>
  <c r="D69" i="57"/>
  <c r="I69" i="57"/>
  <c r="E70" i="57"/>
  <c r="B71" i="57"/>
  <c r="F71" i="57"/>
  <c r="C72" i="57"/>
  <c r="G72" i="57"/>
  <c r="C63" i="57"/>
  <c r="G63" i="57"/>
  <c r="D64" i="57"/>
  <c r="I64" i="57"/>
  <c r="E65" i="57"/>
  <c r="B66" i="57"/>
  <c r="F66" i="57"/>
  <c r="C67" i="57"/>
  <c r="G67" i="57"/>
  <c r="D68" i="57"/>
  <c r="I68" i="57"/>
  <c r="E69" i="57"/>
  <c r="B70" i="57"/>
  <c r="F70" i="57"/>
  <c r="C71" i="57"/>
  <c r="G71" i="57"/>
  <c r="D72" i="57"/>
  <c r="I72" i="57"/>
  <c r="D63" i="57"/>
  <c r="I63" i="57"/>
  <c r="J63" i="57" s="1"/>
  <c r="E64" i="57"/>
  <c r="B65" i="57"/>
  <c r="F65" i="57"/>
  <c r="C66" i="57"/>
  <c r="G66" i="57"/>
  <c r="D67" i="57"/>
  <c r="I67" i="57"/>
  <c r="E68" i="57"/>
  <c r="B69" i="57"/>
  <c r="F69" i="57"/>
  <c r="C70" i="57"/>
  <c r="G70" i="57"/>
  <c r="D71" i="57"/>
  <c r="I71" i="57"/>
  <c r="E72" i="57"/>
  <c r="E63" i="57"/>
  <c r="B64" i="57"/>
  <c r="F64" i="57"/>
  <c r="C65" i="57"/>
  <c r="G65" i="57"/>
  <c r="D66" i="57"/>
  <c r="I66" i="57"/>
  <c r="E67" i="57"/>
  <c r="B68" i="57"/>
  <c r="F68" i="57"/>
  <c r="C69" i="57"/>
  <c r="G69" i="57"/>
  <c r="D70" i="57"/>
  <c r="I70" i="57"/>
  <c r="E71" i="57"/>
  <c r="B72" i="57"/>
  <c r="F72" i="57"/>
  <c r="B39" i="57"/>
  <c r="F39" i="57"/>
  <c r="C40" i="57"/>
  <c r="G40" i="57"/>
  <c r="D41" i="57"/>
  <c r="I41" i="57"/>
  <c r="E42" i="57"/>
  <c r="B43" i="57"/>
  <c r="F43" i="57"/>
  <c r="C44" i="57"/>
  <c r="G44" i="57"/>
  <c r="D45" i="57"/>
  <c r="I45" i="57"/>
  <c r="E46" i="57"/>
  <c r="B47" i="57"/>
  <c r="F47" i="57"/>
  <c r="C48" i="57"/>
  <c r="G48" i="57"/>
  <c r="D49" i="57"/>
  <c r="I49" i="57"/>
  <c r="E50" i="57"/>
  <c r="B51" i="57"/>
  <c r="F51" i="57"/>
  <c r="C52" i="57"/>
  <c r="G52" i="57"/>
  <c r="D53" i="57"/>
  <c r="I53" i="57"/>
  <c r="E54" i="57"/>
  <c r="B55" i="57"/>
  <c r="F55" i="57"/>
  <c r="C56" i="57"/>
  <c r="G56" i="57"/>
  <c r="D57" i="57"/>
  <c r="I57" i="57"/>
  <c r="E58" i="57"/>
  <c r="B59" i="57"/>
  <c r="F59" i="57"/>
  <c r="C60" i="57"/>
  <c r="G60" i="57"/>
  <c r="D61" i="57"/>
  <c r="I61" i="57"/>
  <c r="D62" i="57"/>
  <c r="I62" i="57"/>
  <c r="C39" i="57"/>
  <c r="G39" i="57"/>
  <c r="D40" i="57"/>
  <c r="I40" i="57"/>
  <c r="E41" i="57"/>
  <c r="B42" i="57"/>
  <c r="C43" i="57"/>
  <c r="G43" i="57"/>
  <c r="D44" i="57"/>
  <c r="I44" i="57"/>
  <c r="E45" i="57"/>
  <c r="B46" i="57"/>
  <c r="F46" i="57"/>
  <c r="C47" i="57"/>
  <c r="G47" i="57"/>
  <c r="D48" i="57"/>
  <c r="I48" i="57"/>
  <c r="E49" i="57"/>
  <c r="B50" i="57"/>
  <c r="F50" i="57"/>
  <c r="C51" i="57"/>
  <c r="G51" i="57"/>
  <c r="D52" i="57"/>
  <c r="I52" i="57"/>
  <c r="E53" i="57"/>
  <c r="B54" i="57"/>
  <c r="F54" i="57"/>
  <c r="C55" i="57"/>
  <c r="G55" i="57"/>
  <c r="D56" i="57"/>
  <c r="I56" i="57"/>
  <c r="E57" i="57"/>
  <c r="B58" i="57"/>
  <c r="F58" i="57"/>
  <c r="C59" i="57"/>
  <c r="G59" i="57"/>
  <c r="D60" i="57"/>
  <c r="I60" i="57"/>
  <c r="E61" i="57"/>
  <c r="E62" i="57"/>
  <c r="D39" i="57"/>
  <c r="I39" i="57"/>
  <c r="E40" i="57"/>
  <c r="B41" i="57"/>
  <c r="F41" i="57"/>
  <c r="C42" i="57"/>
  <c r="G42" i="57"/>
  <c r="D43" i="57"/>
  <c r="I43" i="57"/>
  <c r="E44" i="57"/>
  <c r="B45" i="57"/>
  <c r="F45" i="57"/>
  <c r="C46" i="57"/>
  <c r="G46" i="57"/>
  <c r="D47" i="57"/>
  <c r="I47" i="57"/>
  <c r="E48" i="57"/>
  <c r="B49" i="57"/>
  <c r="F49" i="57"/>
  <c r="C50" i="57"/>
  <c r="H2" i="55" s="1"/>
  <c r="G50" i="57"/>
  <c r="D51" i="57"/>
  <c r="I51" i="57"/>
  <c r="E52" i="57"/>
  <c r="B53" i="57"/>
  <c r="F53" i="57"/>
  <c r="C54" i="57"/>
  <c r="G54" i="57"/>
  <c r="D55" i="57"/>
  <c r="I55" i="57"/>
  <c r="E56" i="57"/>
  <c r="B57" i="57"/>
  <c r="F57" i="57"/>
  <c r="C58" i="57"/>
  <c r="G58" i="57"/>
  <c r="D59" i="57"/>
  <c r="I59" i="57"/>
  <c r="E60" i="57"/>
  <c r="B61" i="57"/>
  <c r="F61" i="57"/>
  <c r="B62" i="57"/>
  <c r="F62" i="57"/>
  <c r="E39" i="57"/>
  <c r="B40" i="57"/>
  <c r="F40" i="57"/>
  <c r="H40" i="57" s="1"/>
  <c r="C41" i="57"/>
  <c r="G41" i="57"/>
  <c r="D42" i="57"/>
  <c r="I42" i="57"/>
  <c r="E43" i="57"/>
  <c r="B44" i="57"/>
  <c r="F44" i="57"/>
  <c r="H44" i="57" s="1"/>
  <c r="C45" i="57"/>
  <c r="G45" i="57"/>
  <c r="D46" i="57"/>
  <c r="I46" i="57"/>
  <c r="E47" i="57"/>
  <c r="B48" i="57"/>
  <c r="F48" i="57"/>
  <c r="H48" i="57" s="1"/>
  <c r="C49" i="57"/>
  <c r="G49" i="57"/>
  <c r="D50" i="57"/>
  <c r="I50" i="57"/>
  <c r="E51" i="57"/>
  <c r="B52" i="57"/>
  <c r="F52" i="57"/>
  <c r="H52" i="57" s="1"/>
  <c r="C53" i="57"/>
  <c r="G53" i="57"/>
  <c r="D54" i="57"/>
  <c r="I54" i="57"/>
  <c r="E55" i="57"/>
  <c r="B56" i="57"/>
  <c r="F56" i="57"/>
  <c r="H56" i="57" s="1"/>
  <c r="C57" i="57"/>
  <c r="G57" i="57"/>
  <c r="D58" i="57"/>
  <c r="I58" i="57"/>
  <c r="E59" i="57"/>
  <c r="B60" i="57"/>
  <c r="F60" i="57"/>
  <c r="H60" i="57" s="1"/>
  <c r="C61" i="57"/>
  <c r="G61" i="57"/>
  <c r="C62" i="57"/>
  <c r="G62" i="57"/>
  <c r="B25" i="57"/>
  <c r="F25" i="57"/>
  <c r="C26" i="57"/>
  <c r="G26" i="57"/>
  <c r="D27" i="57"/>
  <c r="I27" i="57"/>
  <c r="E28" i="57"/>
  <c r="B29" i="57"/>
  <c r="F29" i="57"/>
  <c r="C30" i="57"/>
  <c r="G30" i="57"/>
  <c r="D31" i="57"/>
  <c r="I31" i="57"/>
  <c r="E32" i="57"/>
  <c r="B33" i="57"/>
  <c r="F33" i="57"/>
  <c r="E34" i="57"/>
  <c r="C35" i="57"/>
  <c r="G35" i="57"/>
  <c r="E36" i="57"/>
  <c r="D37" i="57"/>
  <c r="I37" i="57"/>
  <c r="C38" i="57"/>
  <c r="G38" i="57"/>
  <c r="C25" i="57"/>
  <c r="G25" i="57"/>
  <c r="D26" i="57"/>
  <c r="I26" i="57"/>
  <c r="E27" i="57"/>
  <c r="B28" i="57"/>
  <c r="F28" i="57"/>
  <c r="C29" i="57"/>
  <c r="G29" i="57"/>
  <c r="D30" i="57"/>
  <c r="I30" i="57"/>
  <c r="E31" i="57"/>
  <c r="B32" i="57"/>
  <c r="F32" i="57"/>
  <c r="C33" i="57"/>
  <c r="G33" i="57"/>
  <c r="B34" i="57"/>
  <c r="F34" i="57"/>
  <c r="D35" i="57"/>
  <c r="I35" i="57"/>
  <c r="B36" i="57"/>
  <c r="F36" i="57"/>
  <c r="E37" i="57"/>
  <c r="D38" i="57"/>
  <c r="I38" i="57"/>
  <c r="D25" i="57"/>
  <c r="I25" i="57"/>
  <c r="E26" i="57"/>
  <c r="B27" i="57"/>
  <c r="F27" i="57"/>
  <c r="C28" i="57"/>
  <c r="G28" i="57"/>
  <c r="D29" i="57"/>
  <c r="I29" i="57"/>
  <c r="E30" i="57"/>
  <c r="B31" i="57"/>
  <c r="F31" i="57"/>
  <c r="C32" i="57"/>
  <c r="G32" i="57"/>
  <c r="D33" i="57"/>
  <c r="I33" i="57"/>
  <c r="C34" i="57"/>
  <c r="G34" i="57"/>
  <c r="E35" i="57"/>
  <c r="C36" i="57"/>
  <c r="G36" i="57"/>
  <c r="B37" i="57"/>
  <c r="F37" i="57"/>
  <c r="E38" i="57"/>
  <c r="E25" i="57"/>
  <c r="B26" i="57"/>
  <c r="F26" i="57"/>
  <c r="H26" i="57" s="1"/>
  <c r="C27" i="57"/>
  <c r="G27" i="57"/>
  <c r="D28" i="57"/>
  <c r="I28" i="57"/>
  <c r="E29" i="57"/>
  <c r="B30" i="57"/>
  <c r="F30" i="57"/>
  <c r="C31" i="57"/>
  <c r="G31" i="57"/>
  <c r="D32" i="57"/>
  <c r="I32" i="57"/>
  <c r="E33" i="57"/>
  <c r="D34" i="57"/>
  <c r="I34" i="57"/>
  <c r="B35" i="57"/>
  <c r="F35" i="57"/>
  <c r="D36" i="57"/>
  <c r="I36" i="57"/>
  <c r="C37" i="57"/>
  <c r="G37" i="57"/>
  <c r="B38" i="57"/>
  <c r="F38" i="57"/>
  <c r="L14" i="54"/>
  <c r="L15" i="54" s="1"/>
  <c r="L16" i="54" s="1"/>
  <c r="L18" i="54"/>
  <c r="L19" i="54" s="1"/>
  <c r="D83" i="60"/>
  <c r="G83" i="60" s="1"/>
  <c r="D19" i="57"/>
  <c r="D20" i="57"/>
  <c r="D22" i="57"/>
  <c r="D23" i="57"/>
  <c r="D24" i="57"/>
  <c r="D15" i="57"/>
  <c r="D16" i="57"/>
  <c r="D21" i="57"/>
  <c r="D14" i="57"/>
  <c r="D18" i="57"/>
  <c r="D17" i="57"/>
  <c r="E15" i="58"/>
  <c r="E16" i="58"/>
  <c r="E17" i="58"/>
  <c r="E19" i="58"/>
  <c r="E20" i="58"/>
  <c r="E21" i="58"/>
  <c r="E22" i="58"/>
  <c r="E23" i="58"/>
  <c r="E24" i="58"/>
  <c r="I24" i="58" s="1"/>
  <c r="E25" i="58"/>
  <c r="I25" i="58" s="1"/>
  <c r="E26" i="58"/>
  <c r="I26" i="58" s="1"/>
  <c r="E14" i="58"/>
  <c r="E27" i="58"/>
  <c r="I27" i="58" s="1"/>
  <c r="E28" i="58"/>
  <c r="I28" i="58" s="1"/>
  <c r="E29" i="58"/>
  <c r="I29" i="58" s="1"/>
  <c r="E30" i="58"/>
  <c r="I30" i="58" s="1"/>
  <c r="E18" i="58"/>
  <c r="Q10" i="34"/>
  <c r="A10" i="34"/>
  <c r="A11" i="34"/>
  <c r="G14" i="57"/>
  <c r="G16" i="57"/>
  <c r="A14" i="14"/>
  <c r="E164" i="14" s="1"/>
  <c r="G2" i="56"/>
  <c r="F15" i="56"/>
  <c r="K15" i="34"/>
  <c r="K12" i="34"/>
  <c r="K16" i="34"/>
  <c r="K13" i="34"/>
  <c r="E17" i="57"/>
  <c r="E21" i="57"/>
  <c r="E18" i="57"/>
  <c r="E22" i="57"/>
  <c r="E19" i="57"/>
  <c r="E23" i="57"/>
  <c r="E14" i="57"/>
  <c r="E20" i="57"/>
  <c r="E24" i="57"/>
  <c r="E15" i="57"/>
  <c r="E16" i="57"/>
  <c r="V10" i="34"/>
  <c r="H14" i="14"/>
  <c r="C14" i="14"/>
  <c r="G14" i="14"/>
  <c r="D14" i="14"/>
  <c r="E14" i="14"/>
  <c r="B14" i="14"/>
  <c r="H29" i="58"/>
  <c r="C29" i="58"/>
  <c r="H27" i="58"/>
  <c r="C27" i="58"/>
  <c r="H25" i="58"/>
  <c r="C25" i="58"/>
  <c r="H23" i="58"/>
  <c r="C23" i="58"/>
  <c r="H21" i="58"/>
  <c r="C21" i="58"/>
  <c r="H19" i="58"/>
  <c r="C19" i="58"/>
  <c r="H17" i="58"/>
  <c r="C17" i="58"/>
  <c r="H15" i="58"/>
  <c r="C15" i="58"/>
  <c r="D30" i="58"/>
  <c r="G29" i="58"/>
  <c r="B29" i="58"/>
  <c r="F29" i="58" s="1"/>
  <c r="D28" i="58"/>
  <c r="G27" i="58"/>
  <c r="B27" i="58"/>
  <c r="F27" i="58" s="1"/>
  <c r="D26" i="58"/>
  <c r="G25" i="58"/>
  <c r="B25" i="58"/>
  <c r="F25" i="58" s="1"/>
  <c r="D24" i="58"/>
  <c r="G23" i="58"/>
  <c r="B23" i="58"/>
  <c r="F23" i="58" s="1"/>
  <c r="D22" i="58"/>
  <c r="G21" i="58"/>
  <c r="B21" i="58"/>
  <c r="F21" i="58" s="1"/>
  <c r="D20" i="58"/>
  <c r="G19" i="58"/>
  <c r="B19" i="58"/>
  <c r="F19" i="58" s="1"/>
  <c r="D18" i="58"/>
  <c r="G17" i="58"/>
  <c r="B17" i="58"/>
  <c r="F17" i="58" s="1"/>
  <c r="D16" i="58"/>
  <c r="G15" i="58"/>
  <c r="B15" i="58"/>
  <c r="F15" i="58" s="1"/>
  <c r="D14" i="58"/>
  <c r="H30" i="58"/>
  <c r="C30" i="58"/>
  <c r="H28" i="58"/>
  <c r="C28" i="58"/>
  <c r="H26" i="58"/>
  <c r="C26" i="58"/>
  <c r="H24" i="58"/>
  <c r="C24" i="58"/>
  <c r="H22" i="58"/>
  <c r="C22" i="58"/>
  <c r="H20" i="58"/>
  <c r="C20" i="58"/>
  <c r="H18" i="58"/>
  <c r="C18" i="58"/>
  <c r="H16" i="58"/>
  <c r="C16" i="58"/>
  <c r="H14" i="58"/>
  <c r="C14" i="58"/>
  <c r="G30" i="58"/>
  <c r="B30" i="58"/>
  <c r="F30" i="58" s="1"/>
  <c r="D29" i="58"/>
  <c r="G28" i="58"/>
  <c r="B28" i="58"/>
  <c r="A28" i="58" s="1"/>
  <c r="D27" i="58"/>
  <c r="G26" i="58"/>
  <c r="B26" i="58"/>
  <c r="F26" i="58" s="1"/>
  <c r="D25" i="58"/>
  <c r="G24" i="58"/>
  <c r="B24" i="58"/>
  <c r="A24" i="58" s="1"/>
  <c r="D23" i="58"/>
  <c r="G22" i="58"/>
  <c r="B22" i="58"/>
  <c r="F22" i="58" s="1"/>
  <c r="D21" i="58"/>
  <c r="G20" i="58"/>
  <c r="B20" i="58"/>
  <c r="D19" i="58"/>
  <c r="G18" i="58"/>
  <c r="B18" i="58"/>
  <c r="F18" i="58" s="1"/>
  <c r="D17" i="58"/>
  <c r="G16" i="58"/>
  <c r="B16" i="58"/>
  <c r="F16" i="58" s="1"/>
  <c r="D15" i="58"/>
  <c r="G14" i="58"/>
  <c r="B14" i="58"/>
  <c r="I36" i="58" s="1"/>
  <c r="F24" i="57"/>
  <c r="B24" i="57"/>
  <c r="I22" i="57"/>
  <c r="G21" i="57"/>
  <c r="C21" i="57"/>
  <c r="F20" i="57"/>
  <c r="B20" i="57"/>
  <c r="I23" i="57"/>
  <c r="G22" i="57"/>
  <c r="C22" i="57"/>
  <c r="F21" i="57"/>
  <c r="B21" i="57"/>
  <c r="I19" i="57"/>
  <c r="I24" i="57"/>
  <c r="G23" i="57"/>
  <c r="C23" i="57"/>
  <c r="F22" i="57"/>
  <c r="B22" i="57"/>
  <c r="I20" i="57"/>
  <c r="G24" i="57"/>
  <c r="C24" i="57"/>
  <c r="F23" i="57"/>
  <c r="B23" i="57"/>
  <c r="I21" i="57"/>
  <c r="I18" i="57"/>
  <c r="G17" i="57"/>
  <c r="C17" i="57"/>
  <c r="F16" i="57"/>
  <c r="B16" i="57"/>
  <c r="I14" i="57"/>
  <c r="C20" i="57"/>
  <c r="G18" i="57"/>
  <c r="C18" i="57"/>
  <c r="F17" i="57"/>
  <c r="B17" i="57"/>
  <c r="I15" i="57"/>
  <c r="C14" i="57"/>
  <c r="J3" i="57" s="1"/>
  <c r="G19" i="57"/>
  <c r="C19" i="57"/>
  <c r="F18" i="57"/>
  <c r="B18" i="57"/>
  <c r="I16" i="57"/>
  <c r="G15" i="57"/>
  <c r="C15" i="57"/>
  <c r="F14" i="57"/>
  <c r="B14" i="57"/>
  <c r="A14" i="57" s="1"/>
  <c r="J77" i="57" s="1"/>
  <c r="G20" i="57"/>
  <c r="F19" i="57"/>
  <c r="B19" i="57"/>
  <c r="I17" i="57"/>
  <c r="C16" i="57"/>
  <c r="F15" i="57"/>
  <c r="B15" i="57"/>
  <c r="I13" i="61"/>
  <c r="I14" i="61" s="1"/>
  <c r="C13" i="61"/>
  <c r="C14" i="61" s="1"/>
  <c r="B28" i="56" l="1"/>
  <c r="F28" i="56"/>
  <c r="H28" i="56" s="1"/>
  <c r="G28" i="56"/>
  <c r="A9" i="56"/>
  <c r="B19" i="56"/>
  <c r="F20" i="56"/>
  <c r="G21" i="56"/>
  <c r="B23" i="56"/>
  <c r="F24" i="56"/>
  <c r="G25" i="56"/>
  <c r="F27" i="56"/>
  <c r="F19" i="56"/>
  <c r="G20" i="56"/>
  <c r="B22" i="56"/>
  <c r="F23" i="56"/>
  <c r="G24" i="56"/>
  <c r="B26" i="56"/>
  <c r="G19" i="56"/>
  <c r="B21" i="56"/>
  <c r="F22" i="56"/>
  <c r="G23" i="56"/>
  <c r="B25" i="56"/>
  <c r="F26" i="56"/>
  <c r="G27" i="56"/>
  <c r="B20" i="56"/>
  <c r="F21" i="56"/>
  <c r="H21" i="56" s="1"/>
  <c r="G22" i="56"/>
  <c r="B24" i="56"/>
  <c r="F25" i="56"/>
  <c r="H25" i="56" s="1"/>
  <c r="G26" i="56"/>
  <c r="B27" i="56"/>
  <c r="G6" i="56"/>
  <c r="G7" i="56"/>
  <c r="G97" i="60"/>
  <c r="G94" i="60"/>
  <c r="G84" i="60"/>
  <c r="G96" i="60"/>
  <c r="G130" i="60"/>
  <c r="G108" i="60"/>
  <c r="G118" i="60"/>
  <c r="G117" i="60"/>
  <c r="G100" i="60"/>
  <c r="G36" i="60"/>
  <c r="G121" i="60"/>
  <c r="G104" i="60"/>
  <c r="G127" i="60"/>
  <c r="G131" i="60"/>
  <c r="G122" i="60"/>
  <c r="G109" i="60"/>
  <c r="G111" i="60"/>
  <c r="G128" i="60"/>
  <c r="G112" i="60"/>
  <c r="G125" i="60"/>
  <c r="G126" i="60"/>
  <c r="G114" i="60"/>
  <c r="G115" i="60"/>
  <c r="G116" i="60"/>
  <c r="G98" i="60"/>
  <c r="G132" i="60"/>
  <c r="G101" i="60"/>
  <c r="G119" i="60"/>
  <c r="G102" i="60"/>
  <c r="G120" i="60"/>
  <c r="G103" i="60"/>
  <c r="G105" i="60"/>
  <c r="G123" i="60"/>
  <c r="G106" i="60"/>
  <c r="G124" i="60"/>
  <c r="G107" i="60"/>
  <c r="G86" i="60"/>
  <c r="G72" i="60"/>
  <c r="I72" i="60" s="1"/>
  <c r="G68" i="60"/>
  <c r="I68" i="60" s="1"/>
  <c r="G63" i="60"/>
  <c r="I63" i="60" s="1"/>
  <c r="G59" i="60"/>
  <c r="G55" i="60"/>
  <c r="I55" i="60" s="1"/>
  <c r="G50" i="60"/>
  <c r="I50" i="60" s="1"/>
  <c r="G46" i="60"/>
  <c r="I46" i="60" s="1"/>
  <c r="G42" i="60"/>
  <c r="G38" i="60"/>
  <c r="G73" i="60"/>
  <c r="I73" i="60" s="1"/>
  <c r="G69" i="60"/>
  <c r="I69" i="60" s="1"/>
  <c r="G64" i="60"/>
  <c r="G60" i="60"/>
  <c r="G56" i="60"/>
  <c r="I56" i="60" s="1"/>
  <c r="G51" i="60"/>
  <c r="I51" i="60" s="1"/>
  <c r="G47" i="60"/>
  <c r="G43" i="60"/>
  <c r="G39" i="60"/>
  <c r="I39" i="60" s="1"/>
  <c r="G71" i="60"/>
  <c r="I71" i="60" s="1"/>
  <c r="G67" i="60"/>
  <c r="G62" i="60"/>
  <c r="I62" i="60" s="1"/>
  <c r="G58" i="60"/>
  <c r="I58" i="60" s="1"/>
  <c r="G54" i="60"/>
  <c r="I54" i="60" s="1"/>
  <c r="G49" i="60"/>
  <c r="G45" i="60"/>
  <c r="I45" i="60" s="1"/>
  <c r="G41" i="60"/>
  <c r="I41" i="60" s="1"/>
  <c r="G37" i="60"/>
  <c r="G70" i="60"/>
  <c r="G65" i="60"/>
  <c r="G61" i="60"/>
  <c r="G57" i="60"/>
  <c r="I57" i="60" s="1"/>
  <c r="G52" i="60"/>
  <c r="G48" i="60"/>
  <c r="G44" i="60"/>
  <c r="I44" i="60" s="1"/>
  <c r="G40" i="60"/>
  <c r="I40" i="60" s="1"/>
  <c r="H30" i="57"/>
  <c r="J67" i="57"/>
  <c r="A30" i="47"/>
  <c r="K2012" i="34"/>
  <c r="J426" i="55" s="1" a="1"/>
  <c r="J426" i="55" s="1"/>
  <c r="D30" i="47"/>
  <c r="F30" i="47"/>
  <c r="G30" i="47"/>
  <c r="B30" i="47"/>
  <c r="E30" i="47"/>
  <c r="C30" i="47"/>
  <c r="H2" i="14"/>
  <c r="A21" i="47"/>
  <c r="E21" i="47"/>
  <c r="B22" i="47"/>
  <c r="F22" i="47"/>
  <c r="C23" i="47"/>
  <c r="G23" i="47"/>
  <c r="D24" i="47"/>
  <c r="A25" i="47"/>
  <c r="E25" i="47"/>
  <c r="A26" i="47"/>
  <c r="E26" i="47"/>
  <c r="D27" i="47"/>
  <c r="C28" i="47"/>
  <c r="G28" i="47"/>
  <c r="C29" i="47"/>
  <c r="G29" i="47"/>
  <c r="E29" i="47"/>
  <c r="B21" i="47"/>
  <c r="F21" i="47"/>
  <c r="C22" i="47"/>
  <c r="G22" i="47"/>
  <c r="D23" i="47"/>
  <c r="A24" i="47"/>
  <c r="E24" i="47"/>
  <c r="B25" i="47"/>
  <c r="F25" i="47"/>
  <c r="B26" i="47"/>
  <c r="F26" i="47"/>
  <c r="A27" i="47"/>
  <c r="E27" i="47"/>
  <c r="D28" i="47"/>
  <c r="A29" i="47"/>
  <c r="C21" i="47"/>
  <c r="G21" i="47"/>
  <c r="D22" i="47"/>
  <c r="A23" i="47"/>
  <c r="E23" i="47"/>
  <c r="B24" i="47"/>
  <c r="F24" i="47"/>
  <c r="C25" i="47"/>
  <c r="G25" i="47"/>
  <c r="C26" i="47"/>
  <c r="G26" i="47"/>
  <c r="B27" i="47"/>
  <c r="F27" i="47"/>
  <c r="A28" i="47"/>
  <c r="E28" i="47"/>
  <c r="D21" i="47"/>
  <c r="A22" i="47"/>
  <c r="E22" i="47"/>
  <c r="B23" i="47"/>
  <c r="F23" i="47"/>
  <c r="C24" i="47"/>
  <c r="G24" i="47"/>
  <c r="D25" i="47"/>
  <c r="D26" i="47"/>
  <c r="C27" i="47"/>
  <c r="G27" i="47"/>
  <c r="B28" i="47"/>
  <c r="F28" i="47"/>
  <c r="B29" i="47"/>
  <c r="F29" i="47"/>
  <c r="D29" i="47"/>
  <c r="G2" i="61"/>
  <c r="F3" i="68"/>
  <c r="A35" i="58"/>
  <c r="F2" i="58"/>
  <c r="B76" i="57"/>
  <c r="A163" i="14"/>
  <c r="I127" i="60"/>
  <c r="I125" i="60"/>
  <c r="I120" i="60"/>
  <c r="I104" i="60"/>
  <c r="I132" i="60"/>
  <c r="I130" i="60"/>
  <c r="I109" i="60"/>
  <c r="I107" i="60"/>
  <c r="I126" i="60"/>
  <c r="I115" i="60"/>
  <c r="I113" i="60"/>
  <c r="I102" i="60"/>
  <c r="I118" i="60"/>
  <c r="I116" i="60"/>
  <c r="I124" i="60"/>
  <c r="I121" i="60"/>
  <c r="I105" i="60"/>
  <c r="I103" i="60"/>
  <c r="I101" i="60"/>
  <c r="I131" i="60"/>
  <c r="I128" i="60"/>
  <c r="I108" i="60"/>
  <c r="I96" i="60"/>
  <c r="I114" i="60"/>
  <c r="I112" i="60"/>
  <c r="I119" i="60"/>
  <c r="I117" i="60"/>
  <c r="G18" i="56"/>
  <c r="G17" i="56"/>
  <c r="J50" i="57"/>
  <c r="A32" i="56"/>
  <c r="B17" i="56"/>
  <c r="D17" i="56" s="1"/>
  <c r="J54" i="57"/>
  <c r="J55" i="57"/>
  <c r="J39" i="57"/>
  <c r="M8" i="39"/>
  <c r="I111" i="60"/>
  <c r="J58" i="57"/>
  <c r="J59" i="57"/>
  <c r="J43" i="57"/>
  <c r="J51" i="57"/>
  <c r="J33" i="57"/>
  <c r="J46" i="57"/>
  <c r="J47" i="57"/>
  <c r="J29" i="57"/>
  <c r="J28" i="57"/>
  <c r="J32" i="57"/>
  <c r="J25" i="57"/>
  <c r="J64" i="57"/>
  <c r="H64" i="57"/>
  <c r="H69" i="57"/>
  <c r="J69" i="57"/>
  <c r="H70" i="57"/>
  <c r="J70" i="57"/>
  <c r="H71" i="57"/>
  <c r="J71" i="57"/>
  <c r="H68" i="57"/>
  <c r="J68" i="57"/>
  <c r="J72" i="57"/>
  <c r="H72" i="57"/>
  <c r="H63" i="57"/>
  <c r="H65" i="57"/>
  <c r="J65" i="57"/>
  <c r="H66" i="57"/>
  <c r="J66" i="57"/>
  <c r="H67" i="57"/>
  <c r="H62" i="57"/>
  <c r="J62" i="57"/>
  <c r="H53" i="57"/>
  <c r="J52" i="57"/>
  <c r="H50" i="57"/>
  <c r="J49" i="57"/>
  <c r="H47" i="57"/>
  <c r="H57" i="57"/>
  <c r="H41" i="57"/>
  <c r="J56" i="57"/>
  <c r="H54" i="57"/>
  <c r="J40" i="57"/>
  <c r="J53" i="57"/>
  <c r="H51" i="57"/>
  <c r="H61" i="57"/>
  <c r="J61" i="57"/>
  <c r="H45" i="57"/>
  <c r="J60" i="57"/>
  <c r="H58" i="57"/>
  <c r="J44" i="57"/>
  <c r="J57" i="57"/>
  <c r="H55" i="57"/>
  <c r="J41" i="57"/>
  <c r="H39" i="57"/>
  <c r="H49" i="57"/>
  <c r="J48" i="57"/>
  <c r="H46" i="57"/>
  <c r="H59" i="57"/>
  <c r="J45" i="57"/>
  <c r="H43" i="57"/>
  <c r="H35" i="57"/>
  <c r="J35" i="57"/>
  <c r="H37" i="57"/>
  <c r="J37" i="57"/>
  <c r="J26" i="57"/>
  <c r="H33" i="57"/>
  <c r="J30" i="57"/>
  <c r="H28" i="57"/>
  <c r="J38" i="57"/>
  <c r="H38" i="57"/>
  <c r="H27" i="57"/>
  <c r="J36" i="57"/>
  <c r="H36" i="57"/>
  <c r="H34" i="57"/>
  <c r="J34" i="57"/>
  <c r="H32" i="57"/>
  <c r="J27" i="57"/>
  <c r="H25" i="57"/>
  <c r="H31" i="57"/>
  <c r="J31" i="57"/>
  <c r="H29" i="57"/>
  <c r="I106" i="60"/>
  <c r="I123" i="60"/>
  <c r="I122" i="60"/>
  <c r="I38" i="60"/>
  <c r="I61" i="60"/>
  <c r="I43" i="60"/>
  <c r="I67" i="60"/>
  <c r="I70" i="60"/>
  <c r="I48" i="60"/>
  <c r="I37" i="60"/>
  <c r="I60" i="60"/>
  <c r="I42" i="60"/>
  <c r="I65" i="60"/>
  <c r="I36" i="60"/>
  <c r="I59" i="60"/>
  <c r="I49" i="60"/>
  <c r="I64" i="60"/>
  <c r="I52" i="60"/>
  <c r="I47" i="60"/>
  <c r="M9" i="39"/>
  <c r="H159" i="14"/>
  <c r="G159" i="14"/>
  <c r="I16" i="73"/>
  <c r="H16" i="73"/>
  <c r="I13" i="73"/>
  <c r="H13" i="73"/>
  <c r="I15" i="73"/>
  <c r="H15" i="73"/>
  <c r="I14" i="73"/>
  <c r="H14" i="73"/>
  <c r="F17" i="56"/>
  <c r="D6" i="56"/>
  <c r="B18" i="56"/>
  <c r="D18" i="56" s="1"/>
  <c r="F18" i="56"/>
  <c r="H92" i="71"/>
  <c r="J14" i="71"/>
  <c r="I14" i="71"/>
  <c r="G92" i="71"/>
  <c r="I14" i="14"/>
  <c r="F20" i="47"/>
  <c r="B12" i="61"/>
  <c r="D13" i="61"/>
  <c r="D14" i="61" s="1"/>
  <c r="G13" i="61"/>
  <c r="G14" i="61" s="1"/>
  <c r="E13" i="61"/>
  <c r="E14" i="61" s="1"/>
  <c r="G15" i="47"/>
  <c r="G18" i="47"/>
  <c r="F16" i="47"/>
  <c r="H19" i="57"/>
  <c r="H21" i="57"/>
  <c r="B20" i="47"/>
  <c r="D15" i="47"/>
  <c r="F17" i="47"/>
  <c r="B18" i="47"/>
  <c r="E18" i="47"/>
  <c r="C20" i="47"/>
  <c r="D18" i="47"/>
  <c r="E16" i="47"/>
  <c r="F18" i="47"/>
  <c r="D16" i="47"/>
  <c r="E15" i="47"/>
  <c r="D17" i="47"/>
  <c r="G17" i="47"/>
  <c r="E17" i="47"/>
  <c r="D19" i="47"/>
  <c r="C15" i="47"/>
  <c r="B15" i="47"/>
  <c r="E19" i="47"/>
  <c r="F19" i="47"/>
  <c r="A19" i="47"/>
  <c r="B16" i="47"/>
  <c r="A20" i="47"/>
  <c r="B17" i="47"/>
  <c r="A17" i="47"/>
  <c r="G19" i="47"/>
  <c r="G16" i="47"/>
  <c r="C17" i="47"/>
  <c r="C19" i="47"/>
  <c r="E20" i="47"/>
  <c r="C18" i="47"/>
  <c r="A16" i="47"/>
  <c r="D20" i="47"/>
  <c r="B19" i="47"/>
  <c r="A14" i="58"/>
  <c r="A15" i="58" s="1"/>
  <c r="A16" i="58" s="1"/>
  <c r="A17" i="58" s="1"/>
  <c r="A18" i="58" s="1"/>
  <c r="A19" i="58" s="1"/>
  <c r="A20" i="58" s="1"/>
  <c r="A21" i="58" s="1"/>
  <c r="A22" i="58" s="1"/>
  <c r="A23" i="58" s="1"/>
  <c r="F24" i="58"/>
  <c r="A27" i="58"/>
  <c r="J14" i="14"/>
  <c r="J15" i="14" s="1"/>
  <c r="G32" i="58"/>
  <c r="A29" i="58"/>
  <c r="A26" i="58"/>
  <c r="A18" i="47"/>
  <c r="C16" i="47"/>
  <c r="A15" i="47"/>
  <c r="E37" i="47" s="1"/>
  <c r="G20" i="47"/>
  <c r="H32" i="58"/>
  <c r="I14" i="58"/>
  <c r="I15" i="58" s="1"/>
  <c r="I16" i="58" s="1"/>
  <c r="I17" i="58" s="1"/>
  <c r="I18" i="58" s="1"/>
  <c r="I19" i="58" s="1"/>
  <c r="I20" i="58" s="1"/>
  <c r="I21" i="58" s="1"/>
  <c r="I22" i="58" s="1"/>
  <c r="I23" i="58" s="1"/>
  <c r="F20" i="58"/>
  <c r="F28" i="58"/>
  <c r="F14" i="58"/>
  <c r="A25" i="58"/>
  <c r="A30" i="58"/>
  <c r="E5" i="58"/>
  <c r="J22" i="57"/>
  <c r="H15" i="57"/>
  <c r="J14" i="57"/>
  <c r="J19" i="57"/>
  <c r="J18" i="57"/>
  <c r="A15" i="57"/>
  <c r="A16" i="57" s="1"/>
  <c r="A17" i="57" s="1"/>
  <c r="A18" i="57" s="1"/>
  <c r="A19" i="57" s="1"/>
  <c r="A20" i="57" s="1"/>
  <c r="A21" i="57" s="1"/>
  <c r="A22" i="57" s="1"/>
  <c r="A23" i="57" s="1"/>
  <c r="A24" i="57" s="1"/>
  <c r="A25" i="57" s="1"/>
  <c r="A26" i="57" s="1"/>
  <c r="A27" i="57" s="1"/>
  <c r="A28" i="57" s="1"/>
  <c r="A29" i="57" s="1"/>
  <c r="A30" i="57" s="1"/>
  <c r="A31" i="57" s="1"/>
  <c r="A32" i="57" s="1"/>
  <c r="A33" i="57" s="1"/>
  <c r="A34" i="57" s="1"/>
  <c r="A35" i="57" s="1"/>
  <c r="A36" i="57" s="1"/>
  <c r="A37" i="57" s="1"/>
  <c r="A38" i="57" s="1"/>
  <c r="A39" i="57" s="1"/>
  <c r="A40" i="57" s="1"/>
  <c r="A41" i="57" s="1"/>
  <c r="A42" i="57" s="1"/>
  <c r="A43" i="57" s="1"/>
  <c r="A44" i="57" s="1"/>
  <c r="A45" i="57" s="1"/>
  <c r="A46" i="57" s="1"/>
  <c r="A47" i="57" s="1"/>
  <c r="A48" i="57" s="1"/>
  <c r="A49" i="57" s="1"/>
  <c r="A50" i="57" s="1"/>
  <c r="A51" i="57" s="1"/>
  <c r="A52" i="57" s="1"/>
  <c r="A53" i="57" s="1"/>
  <c r="A54" i="57" s="1"/>
  <c r="A55" i="57" s="1"/>
  <c r="A56" i="57" s="1"/>
  <c r="A57" i="57" s="1"/>
  <c r="A58" i="57" s="1"/>
  <c r="A59" i="57" s="1"/>
  <c r="A60" i="57" s="1"/>
  <c r="A61" i="57" s="1"/>
  <c r="A62" i="57" s="1"/>
  <c r="A63" i="57" s="1"/>
  <c r="A64" i="57" s="1"/>
  <c r="A65" i="57" s="1"/>
  <c r="A66" i="57" s="1"/>
  <c r="A67" i="57" s="1"/>
  <c r="A68" i="57" s="1"/>
  <c r="A69" i="57" s="1"/>
  <c r="A70" i="57" s="1"/>
  <c r="A71" i="57" s="1"/>
  <c r="A72" i="57" s="1"/>
  <c r="G74" i="57"/>
  <c r="J24" i="57"/>
  <c r="I74" i="57"/>
  <c r="H14" i="57"/>
  <c r="H22" i="57"/>
  <c r="J15" i="57"/>
  <c r="H20" i="57"/>
  <c r="K14" i="57"/>
  <c r="K15" i="57" s="1"/>
  <c r="K16" i="57" s="1"/>
  <c r="K17" i="57" s="1"/>
  <c r="K18" i="57" s="1"/>
  <c r="K19" i="57" s="1"/>
  <c r="K20" i="57" s="1"/>
  <c r="K21" i="57" s="1"/>
  <c r="K22" i="57" s="1"/>
  <c r="K23" i="57" s="1"/>
  <c r="K24" i="57" s="1"/>
  <c r="K25" i="57" s="1"/>
  <c r="K26" i="57" s="1"/>
  <c r="K27" i="57" s="1"/>
  <c r="K28" i="57" s="1"/>
  <c r="K29" i="57" s="1"/>
  <c r="K30" i="57" s="1"/>
  <c r="K31" i="57" s="1"/>
  <c r="K32" i="57" s="1"/>
  <c r="K33" i="57" s="1"/>
  <c r="K34" i="57" s="1"/>
  <c r="K35" i="57" s="1"/>
  <c r="K36" i="57" s="1"/>
  <c r="K37" i="57" s="1"/>
  <c r="K38" i="57" s="1"/>
  <c r="K39" i="57" s="1"/>
  <c r="K40" i="57" s="1"/>
  <c r="K41" i="57" s="1"/>
  <c r="K42" i="57" s="1"/>
  <c r="K43" i="57" s="1"/>
  <c r="K44" i="57" s="1"/>
  <c r="K45" i="57" s="1"/>
  <c r="K46" i="57" s="1"/>
  <c r="K47" i="57" s="1"/>
  <c r="K48" i="57" s="1"/>
  <c r="K49" i="57" s="1"/>
  <c r="K50" i="57" s="1"/>
  <c r="K51" i="57" s="1"/>
  <c r="K52" i="57" s="1"/>
  <c r="K53" i="57" s="1"/>
  <c r="K54" i="57" s="1"/>
  <c r="K55" i="57" s="1"/>
  <c r="K56" i="57" s="1"/>
  <c r="K57" i="57" s="1"/>
  <c r="K58" i="57" s="1"/>
  <c r="K59" i="57" s="1"/>
  <c r="K60" i="57" s="1"/>
  <c r="K61" i="57" s="1"/>
  <c r="K62" i="57" s="1"/>
  <c r="K63" i="57" s="1"/>
  <c r="K64" i="57" s="1"/>
  <c r="K65" i="57" s="1"/>
  <c r="K66" i="57" s="1"/>
  <c r="K67" i="57" s="1"/>
  <c r="K68" i="57" s="1"/>
  <c r="K69" i="57" s="1"/>
  <c r="K70" i="57" s="1"/>
  <c r="K71" i="57" s="1"/>
  <c r="K72" i="57" s="1"/>
  <c r="H17" i="57"/>
  <c r="J23" i="57"/>
  <c r="H24" i="57"/>
  <c r="J20" i="57"/>
  <c r="J16" i="57"/>
  <c r="J21" i="57"/>
  <c r="J17" i="57"/>
  <c r="H23" i="57"/>
  <c r="H16" i="57"/>
  <c r="H18" i="57"/>
  <c r="B13" i="61"/>
  <c r="I15" i="14" l="1"/>
  <c r="I16" i="14" s="1"/>
  <c r="E18" i="12" a="1"/>
  <c r="E18" i="12" s="1"/>
  <c r="F18" i="12" a="1"/>
  <c r="F18" i="12" s="1"/>
  <c r="H27" i="56"/>
  <c r="H26" i="56"/>
  <c r="H24" i="56"/>
  <c r="H22" i="56"/>
  <c r="H23" i="56"/>
  <c r="H20" i="56"/>
  <c r="H19" i="56"/>
  <c r="A28" i="56"/>
  <c r="D28" i="56"/>
  <c r="D24" i="56"/>
  <c r="D23" i="56"/>
  <c r="D27" i="56"/>
  <c r="D21" i="56"/>
  <c r="D25" i="56"/>
  <c r="D22" i="56"/>
  <c r="D20" i="56"/>
  <c r="D26" i="56"/>
  <c r="D19" i="56"/>
  <c r="F32" i="56"/>
  <c r="E6" i="70" a="1"/>
  <c r="E6" i="70" s="1"/>
  <c r="F10" i="70" a="1"/>
  <c r="F10" i="70" s="1"/>
  <c r="F6" i="70" a="1"/>
  <c r="F6" i="70" s="1"/>
  <c r="E14" i="70" a="1"/>
  <c r="E14" i="70" s="1"/>
  <c r="F18" i="70" a="1"/>
  <c r="F18" i="70" s="1"/>
  <c r="E21" i="70" a="1"/>
  <c r="E21" i="70" s="1"/>
  <c r="E10" i="70" a="1"/>
  <c r="E10" i="70" s="1"/>
  <c r="E35" i="70" a="1"/>
  <c r="E35" i="70" s="1"/>
  <c r="F21" i="70" a="1"/>
  <c r="F21" i="70" s="1"/>
  <c r="F14" i="70" a="1"/>
  <c r="F14" i="70" s="1"/>
  <c r="F35" i="70" a="1"/>
  <c r="F35" i="70" s="1"/>
  <c r="E18" i="70" a="1"/>
  <c r="E18" i="70" s="1"/>
  <c r="F29" i="70" a="1"/>
  <c r="F29" i="70" s="1"/>
  <c r="E28" i="70" a="1"/>
  <c r="E28" i="70" s="1"/>
  <c r="E34" i="70" a="1"/>
  <c r="E34" i="70" s="1"/>
  <c r="E31" i="70" a="1"/>
  <c r="E31" i="70" s="1"/>
  <c r="E29" i="70" a="1"/>
  <c r="E29" i="70" s="1"/>
  <c r="F28" i="70" a="1"/>
  <c r="F28" i="70" s="1"/>
  <c r="F34" i="70" a="1"/>
  <c r="F34" i="70" s="1"/>
  <c r="F31" i="70" a="1"/>
  <c r="F31" i="70" s="1"/>
  <c r="F8" i="70" a="1"/>
  <c r="F8" i="70" s="1"/>
  <c r="E33" i="70" a="1"/>
  <c r="E33" i="70" s="1"/>
  <c r="F33" i="70" a="1"/>
  <c r="F33" i="70" s="1"/>
  <c r="E8" i="70" a="1"/>
  <c r="E8" i="70" s="1"/>
  <c r="F20" i="70" a="1"/>
  <c r="F20" i="70" s="1"/>
  <c r="E20" i="70" a="1"/>
  <c r="E20" i="70" s="1"/>
  <c r="F12" i="70" a="1"/>
  <c r="F12" i="70" s="1"/>
  <c r="E12" i="70" a="1"/>
  <c r="E12" i="70" s="1"/>
  <c r="F32" i="70" a="1"/>
  <c r="F32" i="70" s="1"/>
  <c r="E32" i="70" a="1"/>
  <c r="E32" i="70" s="1"/>
  <c r="J383" i="55" a="1"/>
  <c r="J383" i="55" s="1"/>
  <c r="J404" i="55" a="1"/>
  <c r="J404" i="55" s="1"/>
  <c r="H346" i="55" a="1"/>
  <c r="H346" i="55" s="1"/>
  <c r="J361" i="55" a="1"/>
  <c r="J361" i="55" s="1"/>
  <c r="H383" i="55" a="1"/>
  <c r="H383" i="55" s="1"/>
  <c r="L383" i="55" s="1"/>
  <c r="H416" i="55" a="1"/>
  <c r="H416" i="55" s="1"/>
  <c r="H292" i="55" a="1"/>
  <c r="H292" i="55" s="1"/>
  <c r="J334" i="55" a="1"/>
  <c r="J334" i="55" s="1"/>
  <c r="H418" i="55" a="1"/>
  <c r="H418" i="55" s="1"/>
  <c r="H318" i="55" a="1"/>
  <c r="H318" i="55" s="1"/>
  <c r="J347" i="55" a="1"/>
  <c r="J347" i="55" s="1"/>
  <c r="H360" i="55" a="1"/>
  <c r="H360" i="55" s="1"/>
  <c r="J318" i="55" a="1"/>
  <c r="J318" i="55" s="1"/>
  <c r="H347" i="55" a="1"/>
  <c r="H347" i="55" s="1"/>
  <c r="J335" i="55" a="1"/>
  <c r="J335" i="55" s="1"/>
  <c r="J360" i="55" a="1"/>
  <c r="J360" i="55" s="1"/>
  <c r="J333" i="55" a="1"/>
  <c r="J333" i="55" s="1"/>
  <c r="H429" i="55" a="1"/>
  <c r="H429" i="55" s="1"/>
  <c r="H428" i="55" a="1"/>
  <c r="H428" i="55" s="1"/>
  <c r="J391" i="55" a="1"/>
  <c r="J391" i="55" s="1"/>
  <c r="H423" i="55" a="1"/>
  <c r="H423" i="55" s="1"/>
  <c r="H391" i="55" a="1"/>
  <c r="H391" i="55" s="1"/>
  <c r="J331" i="55" a="1"/>
  <c r="J331" i="55" s="1"/>
  <c r="J356" i="55" a="1"/>
  <c r="J356" i="55" s="1"/>
  <c r="H417" i="55" a="1"/>
  <c r="H417" i="55" s="1"/>
  <c r="J423" i="55" a="1"/>
  <c r="J423" i="55" s="1"/>
  <c r="H334" i="55" a="1"/>
  <c r="H334" i="55" s="1"/>
  <c r="H356" i="55" a="1"/>
  <c r="H356" i="55" s="1"/>
  <c r="L356" i="55" s="1"/>
  <c r="J417" i="55" a="1"/>
  <c r="J417" i="55" s="1"/>
  <c r="J418" i="55" a="1"/>
  <c r="J418" i="55" s="1"/>
  <c r="H361" i="55" a="1"/>
  <c r="H361" i="55" s="1"/>
  <c r="J348" i="55" a="1"/>
  <c r="J348" i="55" s="1"/>
  <c r="J349" i="55" a="1"/>
  <c r="J349" i="55" s="1"/>
  <c r="H333" i="55" a="1"/>
  <c r="H333" i="55" s="1"/>
  <c r="J292" i="55" a="1"/>
  <c r="J292" i="55" s="1"/>
  <c r="H387" i="55" a="1"/>
  <c r="H387" i="55" s="1"/>
  <c r="H349" i="55" a="1"/>
  <c r="H349" i="55" s="1"/>
  <c r="J428" i="55" a="1"/>
  <c r="J428" i="55" s="1"/>
  <c r="J387" i="55" a="1"/>
  <c r="J387" i="55" s="1"/>
  <c r="H331" i="55" a="1"/>
  <c r="H331" i="55" s="1"/>
  <c r="J416" i="55" a="1"/>
  <c r="J416" i="55" s="1"/>
  <c r="H335" i="55" a="1"/>
  <c r="H335" i="55" s="1"/>
  <c r="H404" i="55" a="1"/>
  <c r="H404" i="55" s="1"/>
  <c r="J346" i="55" a="1"/>
  <c r="J346" i="55" s="1"/>
  <c r="H348" i="55" a="1"/>
  <c r="H348" i="55" s="1"/>
  <c r="J429" i="55" a="1"/>
  <c r="J429" i="55" s="1"/>
  <c r="H434" i="55" a="1"/>
  <c r="H434" i="55" s="1"/>
  <c r="J435" i="55" a="1"/>
  <c r="J435" i="55" s="1"/>
  <c r="H329" i="55" a="1"/>
  <c r="H329" i="55" s="1"/>
  <c r="J434" i="55" a="1"/>
  <c r="J434" i="55" s="1"/>
  <c r="H435" i="55" a="1"/>
  <c r="H435" i="55" s="1"/>
  <c r="J329" i="55" a="1"/>
  <c r="J329" i="55" s="1"/>
  <c r="H367" i="55" a="1"/>
  <c r="H367" i="55" s="1"/>
  <c r="H390" i="55" a="1"/>
  <c r="H390" i="55" s="1"/>
  <c r="J336" i="55" a="1"/>
  <c r="J336" i="55" s="1"/>
  <c r="J340" i="55" a="1"/>
  <c r="J340" i="55" s="1"/>
  <c r="H192" i="55" a="1"/>
  <c r="H192" i="55" s="1"/>
  <c r="J199" i="55" a="1"/>
  <c r="J199" i="55" s="1"/>
  <c r="J293" i="55" a="1"/>
  <c r="J293" i="55" s="1"/>
  <c r="J275" i="55" a="1"/>
  <c r="J275" i="55" s="1"/>
  <c r="H271" i="55" a="1"/>
  <c r="H271" i="55" s="1"/>
  <c r="J85" i="55" a="1"/>
  <c r="J85" i="55" s="1"/>
  <c r="H325" i="55" a="1"/>
  <c r="H325" i="55" s="1"/>
  <c r="H419" i="55" a="1"/>
  <c r="H419" i="55" s="1"/>
  <c r="J297" i="55" a="1"/>
  <c r="J297" i="55" s="1"/>
  <c r="J433" i="55" a="1"/>
  <c r="J433" i="55" s="1"/>
  <c r="H400" i="55" a="1"/>
  <c r="H400" i="55" s="1"/>
  <c r="J419" i="55" a="1"/>
  <c r="J419" i="55" s="1"/>
  <c r="H394" i="55" a="1"/>
  <c r="H394" i="55" s="1"/>
  <c r="J192" i="55" a="1"/>
  <c r="J192" i="55" s="1"/>
  <c r="H276" i="55" a="1"/>
  <c r="H276" i="55" s="1"/>
  <c r="J203" i="55" a="1"/>
  <c r="J203" i="55" s="1"/>
  <c r="H336" i="55" a="1"/>
  <c r="H336" i="55" s="1"/>
  <c r="J390" i="55" a="1"/>
  <c r="J390" i="55" s="1"/>
  <c r="H199" i="55" a="1"/>
  <c r="H199" i="55" s="1"/>
  <c r="H340" i="55" a="1"/>
  <c r="H340" i="55" s="1"/>
  <c r="J400" i="55" a="1"/>
  <c r="J400" i="55" s="1"/>
  <c r="J271" i="55" a="1"/>
  <c r="J271" i="55" s="1"/>
  <c r="H293" i="55" a="1"/>
  <c r="H293" i="55" s="1"/>
  <c r="J325" i="55" a="1"/>
  <c r="J325" i="55" s="1"/>
  <c r="H85" i="55" a="1"/>
  <c r="H85" i="55" s="1"/>
  <c r="H297" i="55" a="1"/>
  <c r="H297" i="55" s="1"/>
  <c r="J367" i="55" a="1"/>
  <c r="J367" i="55" s="1"/>
  <c r="H433" i="55" a="1"/>
  <c r="H433" i="55" s="1"/>
  <c r="H275" i="55" a="1"/>
  <c r="H275" i="55" s="1"/>
  <c r="J394" i="55" a="1"/>
  <c r="J394" i="55" s="1"/>
  <c r="H203" i="55" a="1"/>
  <c r="H203" i="55" s="1"/>
  <c r="J276" i="55" a="1"/>
  <c r="J276" i="55" s="1"/>
  <c r="H411" i="55" a="1"/>
  <c r="H411" i="55" s="1"/>
  <c r="H277" i="55" a="1"/>
  <c r="H277" i="55" s="1"/>
  <c r="H368" i="55" a="1"/>
  <c r="H368" i="55" s="1"/>
  <c r="H412" i="55" a="1"/>
  <c r="H412" i="55" s="1"/>
  <c r="J414" i="55" a="1"/>
  <c r="J414" i="55" s="1"/>
  <c r="J368" i="55" a="1"/>
  <c r="J368" i="55" s="1"/>
  <c r="H415" i="55" a="1"/>
  <c r="H415" i="55" s="1"/>
  <c r="H355" i="55" a="1"/>
  <c r="H355" i="55" s="1"/>
  <c r="H379" i="55" a="1"/>
  <c r="H379" i="55" s="1"/>
  <c r="H353" i="55" a="1"/>
  <c r="H353" i="55" s="1"/>
  <c r="J355" i="55" a="1"/>
  <c r="J355" i="55" s="1"/>
  <c r="J277" i="55" a="1"/>
  <c r="J277" i="55" s="1"/>
  <c r="H373" i="55" a="1"/>
  <c r="H373" i="55" s="1"/>
  <c r="H414" i="55" a="1"/>
  <c r="H414" i="55" s="1"/>
  <c r="J306" i="55" a="1"/>
  <c r="J306" i="55" s="1"/>
  <c r="J338" i="55" a="1"/>
  <c r="J338" i="55" s="1"/>
  <c r="J351" i="55" a="1"/>
  <c r="J351" i="55" s="1"/>
  <c r="H307" i="55" a="1"/>
  <c r="H307" i="55" s="1"/>
  <c r="H378" i="55" a="1"/>
  <c r="H378" i="55" s="1"/>
  <c r="J379" i="55" a="1"/>
  <c r="J379" i="55" s="1"/>
  <c r="J366" i="55" a="1"/>
  <c r="J366" i="55" s="1"/>
  <c r="J411" i="55" a="1"/>
  <c r="J411" i="55" s="1"/>
  <c r="H182" i="55" a="1"/>
  <c r="H182" i="55" s="1"/>
  <c r="H305" i="55" a="1"/>
  <c r="H305" i="55" s="1"/>
  <c r="H432" i="55" a="1"/>
  <c r="H432" i="55" s="1"/>
  <c r="H306" i="55" a="1"/>
  <c r="H306" i="55" s="1"/>
  <c r="H366" i="55" a="1"/>
  <c r="H366" i="55" s="1"/>
  <c r="J320" i="55" a="1"/>
  <c r="J320" i="55" s="1"/>
  <c r="H351" i="55" a="1"/>
  <c r="H351" i="55" s="1"/>
  <c r="H425" i="55" a="1"/>
  <c r="H425" i="55" s="1"/>
  <c r="H410" i="55" a="1"/>
  <c r="H410" i="55" s="1"/>
  <c r="J373" i="55" a="1"/>
  <c r="J373" i="55" s="1"/>
  <c r="J378" i="55" a="1"/>
  <c r="J378" i="55" s="1"/>
  <c r="J182" i="55" a="1"/>
  <c r="J182" i="55" s="1"/>
  <c r="J305" i="55" a="1"/>
  <c r="J305" i="55" s="1"/>
  <c r="H313" i="55" a="1"/>
  <c r="H313" i="55" s="1"/>
  <c r="H426" i="55" a="1"/>
  <c r="H426" i="55" s="1"/>
  <c r="L426" i="55" s="1"/>
  <c r="H320" i="55" a="1"/>
  <c r="H320" i="55" s="1"/>
  <c r="J412" i="55" a="1"/>
  <c r="J412" i="55" s="1"/>
  <c r="J353" i="55" a="1"/>
  <c r="J353" i="55" s="1"/>
  <c r="J415" i="55" a="1"/>
  <c r="J415" i="55" s="1"/>
  <c r="H338" i="55" a="1"/>
  <c r="H338" i="55" s="1"/>
  <c r="J307" i="55" a="1"/>
  <c r="J307" i="55" s="1"/>
  <c r="J432" i="55" a="1"/>
  <c r="J432" i="55" s="1"/>
  <c r="J425" i="55" a="1"/>
  <c r="J425" i="55" s="1"/>
  <c r="J410" i="55" a="1"/>
  <c r="J410" i="55" s="1"/>
  <c r="J313" i="55" a="1"/>
  <c r="J313" i="55" s="1"/>
  <c r="J221" i="55" a="1"/>
  <c r="J221" i="55" s="1"/>
  <c r="J430" i="55" a="1"/>
  <c r="J430" i="55" s="1"/>
  <c r="H430" i="55" a="1"/>
  <c r="H430" i="55" s="1"/>
  <c r="H221" i="55" a="1"/>
  <c r="H221" i="55" s="1"/>
  <c r="H466" i="55" a="1"/>
  <c r="H466" i="55" s="1"/>
  <c r="J466" i="55" a="1"/>
  <c r="J466" i="55" s="1"/>
  <c r="F23" i="15" a="1"/>
  <c r="F23" i="15" s="1"/>
  <c r="E23" i="15" a="1"/>
  <c r="E23" i="15" s="1"/>
  <c r="J454" i="55" a="1"/>
  <c r="J454" i="55" s="1"/>
  <c r="J464" i="55" a="1"/>
  <c r="J464" i="55" s="1"/>
  <c r="J17" i="55" a="1"/>
  <c r="J17" i="55" s="1"/>
  <c r="J70" i="55" a="1"/>
  <c r="J70" i="55" s="1"/>
  <c r="J187" i="55" a="1"/>
  <c r="J187" i="55" s="1"/>
  <c r="J290" i="55" a="1"/>
  <c r="J290" i="55" s="1"/>
  <c r="H324" i="55" a="1"/>
  <c r="H324" i="55" s="1"/>
  <c r="H225" i="55" a="1"/>
  <c r="H225" i="55" s="1"/>
  <c r="J92" i="55" a="1"/>
  <c r="J92" i="55" s="1"/>
  <c r="H459" i="55" a="1"/>
  <c r="H459" i="55" s="1"/>
  <c r="H465" i="55" a="1"/>
  <c r="H465" i="55" s="1"/>
  <c r="J459" i="55" a="1"/>
  <c r="J459" i="55" s="1"/>
  <c r="H384" i="55" a="1"/>
  <c r="H384" i="55" s="1"/>
  <c r="H399" i="55" a="1"/>
  <c r="H399" i="55" s="1"/>
  <c r="H289" i="55" a="1"/>
  <c r="H289" i="55" s="1"/>
  <c r="J145" i="55" a="1"/>
  <c r="J145" i="55" s="1"/>
  <c r="H23" i="55" a="1"/>
  <c r="H23" i="55" s="1"/>
  <c r="H155" i="55" a="1"/>
  <c r="H155" i="55" s="1"/>
  <c r="J186" i="55" a="1"/>
  <c r="J186" i="55" s="1"/>
  <c r="H161" i="55" a="1"/>
  <c r="H161" i="55" s="1"/>
  <c r="J461" i="55" a="1"/>
  <c r="J461" i="55" s="1"/>
  <c r="H363" i="55" a="1"/>
  <c r="H363" i="55" s="1"/>
  <c r="H319" i="55" a="1"/>
  <c r="H319" i="55" s="1"/>
  <c r="J283" i="55" a="1"/>
  <c r="J283" i="55" s="1"/>
  <c r="H136" i="55" a="1"/>
  <c r="H136" i="55" s="1"/>
  <c r="J116" i="55" a="1"/>
  <c r="J116" i="55" s="1"/>
  <c r="H184" i="55" a="1"/>
  <c r="H184" i="55" s="1"/>
  <c r="H166" i="55" a="1"/>
  <c r="H166" i="55" s="1"/>
  <c r="H451" i="55" a="1"/>
  <c r="H451" i="55" s="1"/>
  <c r="H448" i="55" a="1"/>
  <c r="H448" i="55" s="1"/>
  <c r="H461" i="55" a="1"/>
  <c r="H461" i="55" s="1"/>
  <c r="J460" i="55" a="1"/>
  <c r="J460" i="55" s="1"/>
  <c r="J228" i="55" a="1"/>
  <c r="J228" i="55" s="1"/>
  <c r="J406" i="55" a="1"/>
  <c r="J406" i="55" s="1"/>
  <c r="J60" i="55" a="1"/>
  <c r="J60" i="55" s="1"/>
  <c r="J90" i="55" a="1"/>
  <c r="J90" i="55" s="1"/>
  <c r="J166" i="55" a="1"/>
  <c r="J166" i="55" s="1"/>
  <c r="H280" i="55" a="1"/>
  <c r="H280" i="55" s="1"/>
  <c r="H323" i="55" a="1"/>
  <c r="H323" i="55" s="1"/>
  <c r="H150" i="55" a="1"/>
  <c r="H150" i="55" s="1"/>
  <c r="H18" i="55" a="1"/>
  <c r="H18" i="55" s="1"/>
  <c r="J405" i="55" a="1"/>
  <c r="J405" i="55" s="1"/>
  <c r="J364" i="55" a="1"/>
  <c r="J364" i="55" s="1"/>
  <c r="J58" i="55" a="1"/>
  <c r="J58" i="55" s="1"/>
  <c r="J41" i="55" a="1"/>
  <c r="J41" i="55" s="1"/>
  <c r="H309" i="55" a="1"/>
  <c r="H309" i="55" s="1"/>
  <c r="H44" i="55" a="1"/>
  <c r="H44" i="55" s="1"/>
  <c r="J94" i="55" a="1"/>
  <c r="J94" i="55" s="1"/>
  <c r="H290" i="55" a="1"/>
  <c r="H290" i="55" s="1"/>
  <c r="J68" i="55" a="1"/>
  <c r="J68" i="55" s="1"/>
  <c r="H458" i="55" a="1"/>
  <c r="H458" i="55" s="1"/>
  <c r="J371" i="55" a="1"/>
  <c r="J371" i="55" s="1"/>
  <c r="H283" i="55" a="1"/>
  <c r="H283" i="55" s="1"/>
  <c r="J212" i="55" a="1"/>
  <c r="J212" i="55" s="1"/>
  <c r="J422" i="55" a="1"/>
  <c r="J422" i="55" s="1"/>
  <c r="J119" i="55" a="1"/>
  <c r="J119" i="55" s="1"/>
  <c r="H405" i="55" a="1"/>
  <c r="H405" i="55" s="1"/>
  <c r="H364" i="55" a="1"/>
  <c r="H364" i="55" s="1"/>
  <c r="H58" i="55" a="1"/>
  <c r="H58" i="55" s="1"/>
  <c r="H41" i="55" a="1"/>
  <c r="H41" i="55" s="1"/>
  <c r="H303" i="55" a="1"/>
  <c r="H303" i="55" s="1"/>
  <c r="J278" i="55" a="1"/>
  <c r="J278" i="55" s="1"/>
  <c r="J309" i="55" a="1"/>
  <c r="J309" i="55" s="1"/>
  <c r="J44" i="55" a="1"/>
  <c r="J44" i="55" s="1"/>
  <c r="H403" i="55" a="1"/>
  <c r="H403" i="55" s="1"/>
  <c r="H377" i="55" a="1"/>
  <c r="H377" i="55" s="1"/>
  <c r="H135" i="55" a="1"/>
  <c r="H135" i="55" s="1"/>
  <c r="J407" i="55" a="1"/>
  <c r="J407" i="55" s="1"/>
  <c r="J121" i="55" a="1"/>
  <c r="J121" i="55" s="1"/>
  <c r="J26" i="55" a="1"/>
  <c r="J26" i="55" s="1"/>
  <c r="H116" i="55" a="1"/>
  <c r="H116" i="55" s="1"/>
  <c r="J110" i="55" a="1"/>
  <c r="J110" i="55" s="1"/>
  <c r="H183" i="55" a="1"/>
  <c r="H183" i="55" s="1"/>
  <c r="J440" i="55" a="1"/>
  <c r="J440" i="55" s="1"/>
  <c r="J409" i="55" a="1"/>
  <c r="J409" i="55" s="1"/>
  <c r="J137" i="55" a="1"/>
  <c r="J137" i="55" s="1"/>
  <c r="J234" i="55" a="1"/>
  <c r="J234" i="55" s="1"/>
  <c r="J155" i="55" a="1"/>
  <c r="J155" i="55" s="1"/>
  <c r="H138" i="55" a="1"/>
  <c r="H138" i="55" s="1"/>
  <c r="H345" i="55" a="1"/>
  <c r="H345" i="55" s="1"/>
  <c r="H95" i="55" a="1"/>
  <c r="H95" i="55" s="1"/>
  <c r="H124" i="55" a="1"/>
  <c r="H124" i="55" s="1"/>
  <c r="H115" i="55" a="1"/>
  <c r="H115" i="55" s="1"/>
  <c r="J310" i="55" a="1"/>
  <c r="J310" i="55" s="1"/>
  <c r="J139" i="55" a="1"/>
  <c r="J139" i="55" s="1"/>
  <c r="J206" i="55" a="1"/>
  <c r="J206" i="55" s="1"/>
  <c r="H105" i="55" a="1"/>
  <c r="H105" i="55" s="1"/>
  <c r="H96" i="55" a="1"/>
  <c r="H96" i="55" s="1"/>
  <c r="H126" i="55" a="1"/>
  <c r="H126" i="55" s="1"/>
  <c r="H254" i="55" a="1"/>
  <c r="H254" i="55" s="1"/>
  <c r="H370" i="55" a="1"/>
  <c r="H370" i="55" s="1"/>
  <c r="H163" i="55" a="1"/>
  <c r="H163" i="55" s="1"/>
  <c r="H198" i="55" a="1"/>
  <c r="H198" i="55" s="1"/>
  <c r="H372" i="55" a="1"/>
  <c r="H372" i="55" s="1"/>
  <c r="J288" i="55" a="1"/>
  <c r="J288" i="55" s="1"/>
  <c r="J365" i="55" a="1"/>
  <c r="J365" i="55" s="1"/>
  <c r="J154" i="55" a="1"/>
  <c r="J154" i="55" s="1"/>
  <c r="J89" i="55" a="1"/>
  <c r="J89" i="55" s="1"/>
  <c r="H398" i="55" a="1"/>
  <c r="H398" i="55" s="1"/>
  <c r="H381" i="55" a="1"/>
  <c r="H381" i="55" s="1"/>
  <c r="H153" i="55" a="1"/>
  <c r="H153" i="55" s="1"/>
  <c r="J350" i="55" a="1"/>
  <c r="J350" i="55" s="1"/>
  <c r="J164" i="55" a="1"/>
  <c r="J164" i="55" s="1"/>
  <c r="J42" i="55" a="1"/>
  <c r="J42" i="55" s="1"/>
  <c r="H123" i="55" a="1"/>
  <c r="H123" i="55" s="1"/>
  <c r="H187" i="55" a="1"/>
  <c r="H187" i="55" s="1"/>
  <c r="J321" i="55" a="1"/>
  <c r="J321" i="55" s="1"/>
  <c r="H357" i="55" a="1"/>
  <c r="H357" i="55" s="1"/>
  <c r="H62" i="55" a="1"/>
  <c r="H62" i="55" s="1"/>
  <c r="J452" i="55" a="1"/>
  <c r="J452" i="55" s="1"/>
  <c r="H102" i="55" a="1"/>
  <c r="H102" i="55" s="1"/>
  <c r="H388" i="55" a="1"/>
  <c r="H388" i="55" s="1"/>
  <c r="H301" i="55" a="1"/>
  <c r="H301" i="55" s="1"/>
  <c r="H195" i="55" a="1"/>
  <c r="H195" i="55" s="1"/>
  <c r="H385" i="55" a="1"/>
  <c r="H385" i="55" s="1"/>
  <c r="H321" i="55" a="1"/>
  <c r="H321" i="55" s="1"/>
  <c r="H332" i="55" a="1"/>
  <c r="H332" i="55" s="1"/>
  <c r="J436" i="55" a="1"/>
  <c r="J436" i="55" s="1"/>
  <c r="J457" i="55" a="1"/>
  <c r="J457" i="55" s="1"/>
  <c r="H382" i="55" a="1"/>
  <c r="H382" i="55" s="1"/>
  <c r="J362" i="55" a="1"/>
  <c r="J362" i="55" s="1"/>
  <c r="J374" i="55" a="1"/>
  <c r="J374" i="55" s="1"/>
  <c r="H284" i="55" a="1"/>
  <c r="H284" i="55" s="1"/>
  <c r="H279" i="55" a="1"/>
  <c r="H279" i="55" s="1"/>
  <c r="J131" i="55" a="1"/>
  <c r="J131" i="55" s="1"/>
  <c r="H288" i="55" a="1"/>
  <c r="H288" i="55" s="1"/>
  <c r="J191" i="55" a="1"/>
  <c r="J191" i="55" s="1"/>
  <c r="J389" i="55" a="1"/>
  <c r="J389" i="55" s="1"/>
  <c r="J62" i="55" a="1"/>
  <c r="J62" i="55" s="1"/>
  <c r="H455" i="55" a="1"/>
  <c r="H455" i="55" s="1"/>
  <c r="J316" i="55" a="1"/>
  <c r="J316" i="55" s="1"/>
  <c r="H439" i="55" a="1"/>
  <c r="H439" i="55" s="1"/>
  <c r="H374" i="55" a="1"/>
  <c r="H374" i="55" s="1"/>
  <c r="J450" i="55" a="1"/>
  <c r="J450" i="55" s="1"/>
  <c r="H444" i="55" a="1"/>
  <c r="H444" i="55" s="1"/>
  <c r="H165" i="55" a="1"/>
  <c r="H165" i="55" s="1"/>
  <c r="H328" i="55" a="1"/>
  <c r="H328" i="55" s="1"/>
  <c r="J272" i="55" a="1"/>
  <c r="J272" i="55" s="1"/>
  <c r="J165" i="55" a="1"/>
  <c r="J165" i="55" s="1"/>
  <c r="H132" i="55" a="1"/>
  <c r="H132" i="55" s="1"/>
  <c r="H190" i="55" a="1"/>
  <c r="H190" i="55" s="1"/>
  <c r="H462" i="55" a="1"/>
  <c r="H462" i="55" s="1"/>
  <c r="H145" i="55" a="1"/>
  <c r="H145" i="55" s="1"/>
  <c r="J398" i="55" a="1"/>
  <c r="J398" i="55" s="1"/>
  <c r="J381" i="55" a="1"/>
  <c r="J381" i="55" s="1"/>
  <c r="J153" i="55" a="1"/>
  <c r="J153" i="55" s="1"/>
  <c r="J357" i="55" a="1"/>
  <c r="J357" i="55" s="1"/>
  <c r="H31" i="55" a="1"/>
  <c r="H31" i="55" s="1"/>
  <c r="H350" i="55" a="1"/>
  <c r="H350" i="55" s="1"/>
  <c r="H164" i="55" a="1"/>
  <c r="H164" i="55" s="1"/>
  <c r="H42" i="55" a="1"/>
  <c r="H42" i="55" s="1"/>
  <c r="J322" i="55" a="1"/>
  <c r="J322" i="55" s="1"/>
  <c r="J376" i="55" a="1"/>
  <c r="J376" i="55" s="1"/>
  <c r="J160" i="55" a="1"/>
  <c r="J160" i="55" s="1"/>
  <c r="H252" i="55" a="1"/>
  <c r="H252" i="55" s="1"/>
  <c r="H375" i="55" a="1"/>
  <c r="H375" i="55" s="1"/>
  <c r="H117" i="55" a="1"/>
  <c r="H117" i="55" s="1"/>
  <c r="J72" i="55" a="1"/>
  <c r="J72" i="55" s="1"/>
  <c r="J87" i="55" a="1"/>
  <c r="J87" i="55" s="1"/>
  <c r="J189" i="55" a="1"/>
  <c r="J189" i="55" s="1"/>
  <c r="H454" i="55" a="1"/>
  <c r="H454" i="55" s="1"/>
  <c r="H436" i="55" a="1"/>
  <c r="H436" i="55" s="1"/>
  <c r="J38" i="55" a="1"/>
  <c r="J38" i="55" s="1"/>
  <c r="J319" i="55" a="1"/>
  <c r="J319" i="55" s="1"/>
  <c r="J447" i="55" a="1"/>
  <c r="J447" i="55" s="1"/>
  <c r="H302" i="55" a="1"/>
  <c r="H302" i="55" s="1"/>
  <c r="H110" i="55" a="1"/>
  <c r="H110" i="55" s="1"/>
  <c r="H322" i="55" a="1"/>
  <c r="H322" i="55" s="1"/>
  <c r="H376" i="55" a="1"/>
  <c r="H376" i="55" s="1"/>
  <c r="H160" i="55" a="1"/>
  <c r="H160" i="55" s="1"/>
  <c r="H311" i="55" a="1"/>
  <c r="H311" i="55" s="1"/>
  <c r="H54" i="55" a="1"/>
  <c r="H54" i="55" s="1"/>
  <c r="J252" i="55" a="1"/>
  <c r="J252" i="55" s="1"/>
  <c r="J375" i="55" a="1"/>
  <c r="J375" i="55" s="1"/>
  <c r="J117" i="55" a="1"/>
  <c r="J117" i="55" s="1"/>
  <c r="H231" i="55" a="1"/>
  <c r="H231" i="55" s="1"/>
  <c r="H157" i="55" a="1"/>
  <c r="H157" i="55" s="1"/>
  <c r="H151" i="55" a="1"/>
  <c r="H151" i="55" s="1"/>
  <c r="J413" i="55" a="1"/>
  <c r="J413" i="55" s="1"/>
  <c r="J369" i="55" a="1"/>
  <c r="J369" i="55" s="1"/>
  <c r="J130" i="55" a="1"/>
  <c r="J130" i="55" s="1"/>
  <c r="J158" i="55" a="1"/>
  <c r="J158" i="55" s="1"/>
  <c r="J15" i="55" a="1"/>
  <c r="J15" i="55" s="1"/>
  <c r="H191" i="55" a="1"/>
  <c r="H191" i="55" s="1"/>
  <c r="J462" i="55" a="1"/>
  <c r="J462" i="55" s="1"/>
  <c r="J327" i="55" a="1"/>
  <c r="J327" i="55" s="1"/>
  <c r="J144" i="55" a="1"/>
  <c r="J144" i="55" s="1"/>
  <c r="J43" i="55" a="1"/>
  <c r="J43" i="55" s="1"/>
  <c r="J148" i="55" a="1"/>
  <c r="J148" i="55" s="1"/>
  <c r="H386" i="55" a="1"/>
  <c r="H386" i="55" s="1"/>
  <c r="H358" i="55" a="1"/>
  <c r="H358" i="55" s="1"/>
  <c r="H112" i="55" a="1"/>
  <c r="H112" i="55" s="1"/>
  <c r="H113" i="55" a="1"/>
  <c r="H113" i="55" s="1"/>
  <c r="H88" i="55" a="1"/>
  <c r="H88" i="55" s="1"/>
  <c r="J408" i="55" a="1"/>
  <c r="J408" i="55" s="1"/>
  <c r="J129" i="55" a="1"/>
  <c r="J129" i="55" s="1"/>
  <c r="J39" i="55" a="1"/>
  <c r="J39" i="55" s="1"/>
  <c r="H273" i="55" a="1"/>
  <c r="H273" i="55" s="1"/>
  <c r="H101" i="55" a="1"/>
  <c r="H101" i="55" s="1"/>
  <c r="H76" i="55" a="1"/>
  <c r="H76" i="55" s="1"/>
  <c r="H104" i="55" a="1"/>
  <c r="H104" i="55" s="1"/>
  <c r="J280" i="55" a="1"/>
  <c r="J280" i="55" s="1"/>
  <c r="J23" i="55" a="1"/>
  <c r="J23" i="55" s="1"/>
  <c r="H427" i="55" a="1"/>
  <c r="H427" i="55" s="1"/>
  <c r="H146" i="55" a="1"/>
  <c r="H146" i="55" s="1"/>
  <c r="H30" i="55" a="1"/>
  <c r="H30" i="55" s="1"/>
  <c r="H131" i="55" a="1"/>
  <c r="H131" i="55" s="1"/>
  <c r="J102" i="55" a="1"/>
  <c r="J102" i="55" s="1"/>
  <c r="J315" i="55" a="1"/>
  <c r="J315" i="55" s="1"/>
  <c r="J380" i="55" a="1"/>
  <c r="J380" i="55" s="1"/>
  <c r="J141" i="55" a="1"/>
  <c r="J141" i="55" s="1"/>
  <c r="J47" i="55" a="1"/>
  <c r="J47" i="55" s="1"/>
  <c r="H344" i="55" a="1"/>
  <c r="H344" i="55" s="1"/>
  <c r="H86" i="55" a="1"/>
  <c r="H86" i="55" s="1"/>
  <c r="H122" i="55" a="1"/>
  <c r="H122" i="55" s="1"/>
  <c r="J341" i="55" a="1"/>
  <c r="J341" i="55" s="1"/>
  <c r="J46" i="55" a="1"/>
  <c r="J46" i="55" s="1"/>
  <c r="J20" i="55" a="1"/>
  <c r="J20" i="55" s="1"/>
  <c r="J162" i="55" a="1"/>
  <c r="J162" i="55" s="1"/>
  <c r="H19" i="55" a="1"/>
  <c r="H19" i="55" s="1"/>
  <c r="H106" i="55" a="1"/>
  <c r="H106" i="55" s="1"/>
  <c r="H197" i="55" a="1"/>
  <c r="H197" i="55" s="1"/>
  <c r="J238" i="55" a="1"/>
  <c r="J238" i="55" s="1"/>
  <c r="J438" i="55" a="1"/>
  <c r="J438" i="55" s="1"/>
  <c r="H193" i="55" a="1"/>
  <c r="H193" i="55" s="1"/>
  <c r="J359" i="55" a="1"/>
  <c r="J359" i="55" s="1"/>
  <c r="H68" i="55" a="1"/>
  <c r="H68" i="55" s="1"/>
  <c r="H98" i="55" a="1"/>
  <c r="H98" i="55" s="1"/>
  <c r="H255" i="55" a="1"/>
  <c r="H255" i="55" s="1"/>
  <c r="J279" i="55" a="1"/>
  <c r="J279" i="55" s="1"/>
  <c r="J443" i="55" a="1"/>
  <c r="J443" i="55" s="1"/>
  <c r="H437" i="55" a="1"/>
  <c r="H437" i="55" s="1"/>
  <c r="J339" i="55" a="1"/>
  <c r="J339" i="55" s="1"/>
  <c r="H445" i="55" a="1"/>
  <c r="H445" i="55" s="1"/>
  <c r="H438" i="55" a="1"/>
  <c r="H438" i="55" s="1"/>
  <c r="J458" i="55" a="1"/>
  <c r="J458" i="55" s="1"/>
  <c r="H450" i="55" a="1"/>
  <c r="H450" i="55" s="1"/>
  <c r="J344" i="55" a="1"/>
  <c r="J344" i="55" s="1"/>
  <c r="J86" i="55" a="1"/>
  <c r="J86" i="55" s="1"/>
  <c r="J122" i="55" a="1"/>
  <c r="J122" i="55" s="1"/>
  <c r="J104" i="55" a="1"/>
  <c r="J104" i="55" s="1"/>
  <c r="H22" i="55" a="1"/>
  <c r="H22" i="55" s="1"/>
  <c r="H341" i="55" a="1"/>
  <c r="H341" i="55" s="1"/>
  <c r="H46" i="55" a="1"/>
  <c r="H46" i="55" s="1"/>
  <c r="H20" i="55" a="1"/>
  <c r="H20" i="55" s="1"/>
  <c r="H162" i="55" a="1"/>
  <c r="H162" i="55" s="1"/>
  <c r="J103" i="55" a="1"/>
  <c r="J103" i="55" s="1"/>
  <c r="J128" i="55" a="1"/>
  <c r="J128" i="55" s="1"/>
  <c r="H232" i="55" a="1"/>
  <c r="H232" i="55" s="1"/>
  <c r="H143" i="55" a="1"/>
  <c r="H143" i="55" s="1"/>
  <c r="H91" i="55" a="1"/>
  <c r="H91" i="55" s="1"/>
  <c r="H32" i="55" a="1"/>
  <c r="H32" i="55" s="1"/>
  <c r="J210" i="55" a="1"/>
  <c r="J210" i="55" s="1"/>
  <c r="H339" i="55" a="1"/>
  <c r="H339" i="55" s="1"/>
  <c r="H389" i="55" a="1"/>
  <c r="H389" i="55" s="1"/>
  <c r="J74" i="55" a="1"/>
  <c r="J74" i="55" s="1"/>
  <c r="J455" i="55" a="1"/>
  <c r="J455" i="55" s="1"/>
  <c r="H15" i="55" a="1"/>
  <c r="H15" i="55" s="1"/>
  <c r="H103" i="55" a="1"/>
  <c r="H103" i="55" s="1"/>
  <c r="H128" i="55" a="1"/>
  <c r="H128" i="55" s="1"/>
  <c r="H149" i="55" a="1"/>
  <c r="H149" i="55" s="1"/>
  <c r="J19" i="55" a="1"/>
  <c r="J19" i="55" s="1"/>
  <c r="J232" i="55" a="1"/>
  <c r="J232" i="55" s="1"/>
  <c r="J143" i="55" a="1"/>
  <c r="J143" i="55" s="1"/>
  <c r="J91" i="55" a="1"/>
  <c r="J91" i="55" s="1"/>
  <c r="H409" i="55" a="1"/>
  <c r="H409" i="55" s="1"/>
  <c r="H137" i="55" a="1"/>
  <c r="H137" i="55" s="1"/>
  <c r="H234" i="55" a="1"/>
  <c r="H234" i="55" s="1"/>
  <c r="J345" i="55" a="1"/>
  <c r="J345" i="55" s="1"/>
  <c r="J95" i="55" a="1"/>
  <c r="J95" i="55" s="1"/>
  <c r="J124" i="55" a="1"/>
  <c r="J124" i="55" s="1"/>
  <c r="J115" i="55" a="1"/>
  <c r="J115" i="55" s="1"/>
  <c r="J21" i="55" a="1"/>
  <c r="J21" i="55" s="1"/>
  <c r="H217" i="55" a="1"/>
  <c r="H217" i="55" s="1"/>
  <c r="J456" i="55" a="1"/>
  <c r="J456" i="55" s="1"/>
  <c r="J403" i="55" a="1"/>
  <c r="J403" i="55" s="1"/>
  <c r="J377" i="55" a="1"/>
  <c r="J377" i="55" s="1"/>
  <c r="J135" i="55" a="1"/>
  <c r="J135" i="55" s="1"/>
  <c r="J301" i="55" a="1"/>
  <c r="J301" i="55" s="1"/>
  <c r="H285" i="55" a="1"/>
  <c r="H285" i="55" s="1"/>
  <c r="H407" i="55" a="1"/>
  <c r="H407" i="55" s="1"/>
  <c r="H121" i="55" a="1"/>
  <c r="H121" i="55" s="1"/>
  <c r="H26" i="55" a="1"/>
  <c r="H26" i="55" s="1"/>
  <c r="J254" i="55" a="1"/>
  <c r="J254" i="55" s="1"/>
  <c r="J370" i="55" a="1"/>
  <c r="J370" i="55" s="1"/>
  <c r="J163" i="55" a="1"/>
  <c r="J163" i="55" s="1"/>
  <c r="J198" i="55" a="1"/>
  <c r="J198" i="55" s="1"/>
  <c r="H365" i="55" a="1"/>
  <c r="H365" i="55" s="1"/>
  <c r="H154" i="55" a="1"/>
  <c r="H154" i="55" s="1"/>
  <c r="H89" i="55" a="1"/>
  <c r="H89" i="55" s="1"/>
  <c r="J302" i="55" a="1"/>
  <c r="J302" i="55" s="1"/>
  <c r="J31" i="55" a="1"/>
  <c r="J31" i="55" s="1"/>
  <c r="J185" i="55" a="1"/>
  <c r="J185" i="55" s="1"/>
  <c r="H310" i="55" a="1"/>
  <c r="H310" i="55" s="1"/>
  <c r="H139" i="55" a="1"/>
  <c r="H139" i="55" s="1"/>
  <c r="H206" i="55" a="1"/>
  <c r="H206" i="55" s="1"/>
  <c r="H119" i="55" a="1"/>
  <c r="H119" i="55" s="1"/>
  <c r="J56" i="55" a="1"/>
  <c r="J56" i="55" s="1"/>
  <c r="J105" i="55" a="1"/>
  <c r="J105" i="55" s="1"/>
  <c r="J96" i="55" a="1"/>
  <c r="J96" i="55" s="1"/>
  <c r="J126" i="55" a="1"/>
  <c r="J126" i="55" s="1"/>
  <c r="H317" i="55" a="1"/>
  <c r="H317" i="55" s="1"/>
  <c r="H140" i="55" a="1"/>
  <c r="H140" i="55" s="1"/>
  <c r="H55" i="55" a="1"/>
  <c r="H55" i="55" s="1"/>
  <c r="J152" i="55" a="1"/>
  <c r="J152" i="55" s="1"/>
  <c r="J204" i="55" a="1"/>
  <c r="J204" i="55" s="1"/>
  <c r="J125" i="55" a="1"/>
  <c r="J125" i="55" s="1"/>
  <c r="H272" i="55" a="1"/>
  <c r="H272" i="55" s="1"/>
  <c r="J332" i="55" a="1"/>
  <c r="J332" i="55" s="1"/>
  <c r="H457" i="55" a="1"/>
  <c r="H457" i="55" s="1"/>
  <c r="J132" i="55" a="1"/>
  <c r="J132" i="55" s="1"/>
  <c r="J256" i="55" a="1"/>
  <c r="J256" i="55" s="1"/>
  <c r="H142" i="55" a="1"/>
  <c r="H142" i="55" s="1"/>
  <c r="J285" i="55" a="1"/>
  <c r="J285" i="55" s="1"/>
  <c r="H189" i="55" a="1"/>
  <c r="H189" i="55" s="1"/>
  <c r="J317" i="55" a="1"/>
  <c r="J317" i="55" s="1"/>
  <c r="J140" i="55" a="1"/>
  <c r="J140" i="55" s="1"/>
  <c r="J55" i="55" a="1"/>
  <c r="J55" i="55" s="1"/>
  <c r="J161" i="55" a="1"/>
  <c r="J161" i="55" s="1"/>
  <c r="H152" i="55" a="1"/>
  <c r="H152" i="55" s="1"/>
  <c r="H204" i="55" a="1"/>
  <c r="H204" i="55" s="1"/>
  <c r="H125" i="55" a="1"/>
  <c r="H125" i="55" s="1"/>
  <c r="J308" i="55" a="1"/>
  <c r="J308" i="55" s="1"/>
  <c r="J83" i="55" a="1"/>
  <c r="J83" i="55" s="1"/>
  <c r="J45" i="55" a="1"/>
  <c r="J45" i="55" s="1"/>
  <c r="H424" i="55" a="1"/>
  <c r="H424" i="55" s="1"/>
  <c r="H99" i="55" a="1"/>
  <c r="H99" i="55" s="1"/>
  <c r="H244" i="55" a="1"/>
  <c r="H244" i="55" s="1"/>
  <c r="H156" i="55" a="1"/>
  <c r="H156" i="55" s="1"/>
  <c r="H359" i="55" a="1"/>
  <c r="H359" i="55" s="1"/>
  <c r="H330" i="55" a="1"/>
  <c r="H330" i="55" s="1"/>
  <c r="H316" i="55" a="1"/>
  <c r="H316" i="55" s="1"/>
  <c r="H460" i="55" a="1"/>
  <c r="H460" i="55" s="1"/>
  <c r="J136" i="55" a="1"/>
  <c r="J136" i="55" s="1"/>
  <c r="H97" i="55" a="1"/>
  <c r="H97" i="55" s="1"/>
  <c r="J190" i="55" a="1"/>
  <c r="J190" i="55" s="1"/>
  <c r="J363" i="55" a="1"/>
  <c r="J363" i="55" s="1"/>
  <c r="H21" i="55" a="1"/>
  <c r="H21" i="55" s="1"/>
  <c r="H308" i="55" a="1"/>
  <c r="H308" i="55" s="1"/>
  <c r="H83" i="55" a="1"/>
  <c r="H83" i="55" s="1"/>
  <c r="H45" i="55" a="1"/>
  <c r="H45" i="55" s="1"/>
  <c r="H100" i="55" a="1"/>
  <c r="H100" i="55" s="1"/>
  <c r="J424" i="55" a="1"/>
  <c r="J424" i="55" s="1"/>
  <c r="J99" i="55" a="1"/>
  <c r="J99" i="55" s="1"/>
  <c r="J244" i="55" a="1"/>
  <c r="J244" i="55" s="1"/>
  <c r="J156" i="55" a="1"/>
  <c r="J156" i="55" s="1"/>
  <c r="H327" i="55" a="1"/>
  <c r="H327" i="55" s="1"/>
  <c r="H144" i="55" a="1"/>
  <c r="H144" i="55" s="1"/>
  <c r="H43" i="55" a="1"/>
  <c r="H43" i="55" s="1"/>
  <c r="J358" i="55" a="1"/>
  <c r="J358" i="55" s="1"/>
  <c r="J112" i="55" a="1"/>
  <c r="J112" i="55" s="1"/>
  <c r="J113" i="55" a="1"/>
  <c r="J113" i="55" s="1"/>
  <c r="J311" i="55" a="1"/>
  <c r="J311" i="55" s="1"/>
  <c r="H17" i="55" a="1"/>
  <c r="H17" i="55" s="1"/>
  <c r="L17" i="55" s="1"/>
  <c r="J388" i="55" a="1"/>
  <c r="J388" i="55" s="1"/>
  <c r="J231" i="55" a="1"/>
  <c r="J231" i="55" s="1"/>
  <c r="J157" i="55" a="1"/>
  <c r="J157" i="55" s="1"/>
  <c r="J151" i="55" a="1"/>
  <c r="J151" i="55" s="1"/>
  <c r="J142" i="55" a="1"/>
  <c r="J142" i="55" s="1"/>
  <c r="J98" i="55" a="1"/>
  <c r="J98" i="55" s="1"/>
  <c r="H413" i="55" a="1"/>
  <c r="H413" i="55" s="1"/>
  <c r="H369" i="55" a="1"/>
  <c r="H369" i="55" s="1"/>
  <c r="H130" i="55" a="1"/>
  <c r="H130" i="55" s="1"/>
  <c r="H158" i="55" a="1"/>
  <c r="H158" i="55" s="1"/>
  <c r="J427" i="55" a="1"/>
  <c r="J427" i="55" s="1"/>
  <c r="J146" i="55" a="1"/>
  <c r="J146" i="55" s="1"/>
  <c r="J30" i="55" a="1"/>
  <c r="J30" i="55" s="1"/>
  <c r="H315" i="55" a="1"/>
  <c r="H315" i="55" s="1"/>
  <c r="H380" i="55" a="1"/>
  <c r="H380" i="55" s="1"/>
  <c r="H141" i="55" a="1"/>
  <c r="H141" i="55" s="1"/>
  <c r="H47" i="55" a="1"/>
  <c r="H47" i="55" s="1"/>
  <c r="J22" i="55" a="1"/>
  <c r="J22" i="55" s="1"/>
  <c r="J194" i="55" a="1"/>
  <c r="J194" i="55" s="1"/>
  <c r="H408" i="55" a="1"/>
  <c r="H408" i="55" s="1"/>
  <c r="H129" i="55" a="1"/>
  <c r="H129" i="55" s="1"/>
  <c r="H39" i="55" a="1"/>
  <c r="H39" i="55" s="1"/>
  <c r="H134" i="55" a="1"/>
  <c r="H134" i="55" s="1"/>
  <c r="J281" i="55" a="1"/>
  <c r="J281" i="55" s="1"/>
  <c r="J273" i="55" a="1"/>
  <c r="J273" i="55" s="1"/>
  <c r="J101" i="55" a="1"/>
  <c r="J101" i="55" s="1"/>
  <c r="J76" i="55" a="1"/>
  <c r="J76" i="55" s="1"/>
  <c r="H228" i="55" a="1"/>
  <c r="H228" i="55" s="1"/>
  <c r="H406" i="55" a="1"/>
  <c r="H406" i="55" s="1"/>
  <c r="H60" i="55" a="1"/>
  <c r="H60" i="55" s="1"/>
  <c r="H90" i="55" a="1"/>
  <c r="H90" i="55" s="1"/>
  <c r="J323" i="55" a="1"/>
  <c r="J323" i="55" s="1"/>
  <c r="J150" i="55" a="1"/>
  <c r="J150" i="55" s="1"/>
  <c r="J18" i="55" a="1"/>
  <c r="J18" i="55" s="1"/>
  <c r="J149" i="55" a="1"/>
  <c r="J149" i="55" s="1"/>
  <c r="H278" i="55" a="1"/>
  <c r="H278" i="55" s="1"/>
  <c r="H25" i="55" a="1"/>
  <c r="H25" i="55" s="1"/>
  <c r="J445" i="55" a="1"/>
  <c r="J445" i="55" s="1"/>
  <c r="H362" i="55" a="1"/>
  <c r="H362" i="55" s="1"/>
  <c r="J134" i="55" a="1"/>
  <c r="J134" i="55" s="1"/>
  <c r="H94" i="55" a="1"/>
  <c r="H94" i="55" s="1"/>
  <c r="J217" i="55" a="1"/>
  <c r="J217" i="55" s="1"/>
  <c r="H148" i="55" a="1"/>
  <c r="H148" i="55" s="1"/>
  <c r="H92" i="55" a="1"/>
  <c r="H92" i="55" s="1"/>
  <c r="H186" i="55" a="1"/>
  <c r="H186" i="55" s="1"/>
  <c r="H440" i="55" a="1"/>
  <c r="H440" i="55" s="1"/>
  <c r="J451" i="55" a="1"/>
  <c r="J451" i="55" s="1"/>
  <c r="J324" i="55" a="1"/>
  <c r="J324" i="55" s="1"/>
  <c r="J439" i="55" a="1"/>
  <c r="J439" i="55" s="1"/>
  <c r="H452" i="55" a="1"/>
  <c r="H452" i="55" s="1"/>
  <c r="H256" i="55" a="1"/>
  <c r="H256" i="55" s="1"/>
  <c r="J54" i="55" a="1"/>
  <c r="J54" i="55" s="1"/>
  <c r="J25" i="55" a="1"/>
  <c r="J25" i="55" s="1"/>
  <c r="H56" i="55" a="1"/>
  <c r="H56" i="55" s="1"/>
  <c r="H188" i="55" a="1"/>
  <c r="H188" i="55" s="1"/>
  <c r="H70" i="55" a="1"/>
  <c r="H70" i="55" s="1"/>
  <c r="J453" i="55" a="1"/>
  <c r="J453" i="55" s="1"/>
  <c r="J225" i="55" a="1"/>
  <c r="J225" i="55" s="1"/>
  <c r="H282" i="55" a="1"/>
  <c r="H282" i="55" s="1"/>
  <c r="J123" i="55" a="1"/>
  <c r="J123" i="55" s="1"/>
  <c r="J444" i="55" a="1"/>
  <c r="J444" i="55" s="1"/>
  <c r="H212" i="55" a="1"/>
  <c r="H212" i="55" s="1"/>
  <c r="J97" i="55" a="1"/>
  <c r="J97" i="55" s="1"/>
  <c r="J106" i="55" a="1"/>
  <c r="J106" i="55" s="1"/>
  <c r="H453" i="55" a="1"/>
  <c r="H453" i="55" s="1"/>
  <c r="J255" i="55" a="1"/>
  <c r="J255" i="55" s="1"/>
  <c r="J382" i="55" a="1"/>
  <c r="J382" i="55" s="1"/>
  <c r="H449" i="55" a="1"/>
  <c r="H449" i="55" s="1"/>
  <c r="H446" i="55" a="1"/>
  <c r="H446" i="55" s="1"/>
  <c r="J448" i="55" a="1"/>
  <c r="J448" i="55" s="1"/>
  <c r="J193" i="55" a="1"/>
  <c r="J193" i="55" s="1"/>
  <c r="J284" i="55" a="1"/>
  <c r="J284" i="55" s="1"/>
  <c r="J303" i="55" a="1"/>
  <c r="J303" i="55" s="1"/>
  <c r="J330" i="55" a="1"/>
  <c r="J330" i="55" s="1"/>
  <c r="H72" i="55" a="1"/>
  <c r="H72" i="55" s="1"/>
  <c r="J24" i="55" a="1"/>
  <c r="J24" i="55" s="1"/>
  <c r="J372" i="55" a="1"/>
  <c r="J372" i="55" s="1"/>
  <c r="J463" i="55" a="1"/>
  <c r="J463" i="55" s="1"/>
  <c r="J442" i="55" a="1"/>
  <c r="J442" i="55" s="1"/>
  <c r="H74" i="55" a="1"/>
  <c r="H74" i="55" s="1"/>
  <c r="H16" i="55" a="1"/>
  <c r="H16" i="55" s="1"/>
  <c r="H194" i="55" a="1"/>
  <c r="H194" i="55" s="1"/>
  <c r="H281" i="55" a="1"/>
  <c r="H281" i="55" s="1"/>
  <c r="H442" i="55" a="1"/>
  <c r="H442" i="55" s="1"/>
  <c r="J399" i="55" a="1"/>
  <c r="J399" i="55" s="1"/>
  <c r="H286" i="55" a="1"/>
  <c r="H286" i="55" s="1"/>
  <c r="H456" i="55" a="1"/>
  <c r="H456" i="55" s="1"/>
  <c r="H447" i="55" a="1"/>
  <c r="H447" i="55" s="1"/>
  <c r="J188" i="55" a="1"/>
  <c r="J188" i="55" s="1"/>
  <c r="H38" i="55" a="1"/>
  <c r="H38" i="55" s="1"/>
  <c r="H238" i="55" a="1"/>
  <c r="H238" i="55" s="1"/>
  <c r="J386" i="55" a="1"/>
  <c r="J386" i="55" s="1"/>
  <c r="H443" i="55" a="1"/>
  <c r="H443" i="55" s="1"/>
  <c r="J282" i="55" a="1"/>
  <c r="J282" i="55" s="1"/>
  <c r="J384" i="55" a="1"/>
  <c r="J384" i="55" s="1"/>
  <c r="H24" i="55" a="1"/>
  <c r="H24" i="55" s="1"/>
  <c r="H441" i="55" a="1"/>
  <c r="H441" i="55" s="1"/>
  <c r="J465" i="55" a="1"/>
  <c r="J465" i="55" s="1"/>
  <c r="J184" i="55" a="1"/>
  <c r="J184" i="55" s="1"/>
  <c r="J286" i="55" a="1"/>
  <c r="J286" i="55" s="1"/>
  <c r="J100" i="55" a="1"/>
  <c r="J100" i="55" s="1"/>
  <c r="J197" i="55" a="1"/>
  <c r="J197" i="55" s="1"/>
  <c r="H87" i="55" a="1"/>
  <c r="H87" i="55" s="1"/>
  <c r="J88" i="55" a="1"/>
  <c r="J88" i="55" s="1"/>
  <c r="J289" i="55" a="1"/>
  <c r="J289" i="55" s="1"/>
  <c r="J446" i="55" a="1"/>
  <c r="J446" i="55" s="1"/>
  <c r="J449" i="55" a="1"/>
  <c r="J449" i="55" s="1"/>
  <c r="H422" i="55" a="1"/>
  <c r="H422" i="55" s="1"/>
  <c r="J287" i="55" a="1"/>
  <c r="J287" i="55" s="1"/>
  <c r="H185" i="55" a="1"/>
  <c r="H185" i="55" s="1"/>
  <c r="J138" i="55" a="1"/>
  <c r="J138" i="55" s="1"/>
  <c r="H210" i="55" a="1"/>
  <c r="H210" i="55" s="1"/>
  <c r="J16" i="55" a="1"/>
  <c r="J16" i="55" s="1"/>
  <c r="H464" i="55" a="1"/>
  <c r="H464" i="55" s="1"/>
  <c r="H463" i="55" a="1"/>
  <c r="H463" i="55" s="1"/>
  <c r="J441" i="55" a="1"/>
  <c r="J441" i="55" s="1"/>
  <c r="J328" i="55" a="1"/>
  <c r="J328" i="55" s="1"/>
  <c r="H371" i="55" a="1"/>
  <c r="H371" i="55" s="1"/>
  <c r="L371" i="55" s="1"/>
  <c r="J183" i="55" a="1"/>
  <c r="J183" i="55" s="1"/>
  <c r="J32" i="55" a="1"/>
  <c r="J32" i="55" s="1"/>
  <c r="J385" i="55" a="1"/>
  <c r="J385" i="55" s="1"/>
  <c r="J195" i="55" a="1"/>
  <c r="J195" i="55" s="1"/>
  <c r="H287" i="55" a="1"/>
  <c r="H287" i="55" s="1"/>
  <c r="J437" i="55" a="1"/>
  <c r="J437" i="55" s="1"/>
  <c r="H120" i="55" a="1"/>
  <c r="H120" i="55" s="1"/>
  <c r="H177" i="55" a="1"/>
  <c r="H177" i="55" s="1"/>
  <c r="H111" i="55" a="1"/>
  <c r="H111" i="55" s="1"/>
  <c r="H178" i="55" a="1"/>
  <c r="H178" i="55" s="1"/>
  <c r="H114" i="55" a="1"/>
  <c r="H114" i="55" s="1"/>
  <c r="H64" i="55" a="1"/>
  <c r="H64" i="55" s="1"/>
  <c r="J75" i="55" a="1"/>
  <c r="J75" i="55" s="1"/>
  <c r="J172" i="55" a="1"/>
  <c r="J172" i="55" s="1"/>
  <c r="H108" i="55" a="1"/>
  <c r="H108" i="55" s="1"/>
  <c r="H173" i="55" a="1"/>
  <c r="H173" i="55" s="1"/>
  <c r="H402" i="55" a="1"/>
  <c r="H402" i="55" s="1"/>
  <c r="J78" i="55" a="1"/>
  <c r="J78" i="55" s="1"/>
  <c r="H241" i="55" a="1"/>
  <c r="H241" i="55" s="1"/>
  <c r="J35" i="55" a="1"/>
  <c r="J35" i="55" s="1"/>
  <c r="J402" i="55" a="1"/>
  <c r="J402" i="55" s="1"/>
  <c r="J266" i="55" a="1"/>
  <c r="J266" i="55" s="1"/>
  <c r="H274" i="55" a="1"/>
  <c r="H274" i="55" s="1"/>
  <c r="J326" i="55" a="1"/>
  <c r="J326" i="55" s="1"/>
  <c r="J118" i="55" a="1"/>
  <c r="J118" i="55" s="1"/>
  <c r="H181" i="55" a="1"/>
  <c r="H181" i="55" s="1"/>
  <c r="J114" i="55" a="1"/>
  <c r="J114" i="55" s="1"/>
  <c r="H59" i="55" a="1"/>
  <c r="H59" i="55" s="1"/>
  <c r="J77" i="55" a="1"/>
  <c r="J77" i="55" s="1"/>
  <c r="J352" i="55" a="1"/>
  <c r="J352" i="55" s="1"/>
  <c r="H79" i="55" a="1"/>
  <c r="H79" i="55" s="1"/>
  <c r="J354" i="55" a="1"/>
  <c r="J354" i="55" s="1"/>
  <c r="J36" i="55" a="1"/>
  <c r="J36" i="55" s="1"/>
  <c r="J241" i="55" a="1"/>
  <c r="J241" i="55" s="1"/>
  <c r="H352" i="55" a="1"/>
  <c r="H352" i="55" s="1"/>
  <c r="J71" i="55" a="1"/>
  <c r="J71" i="55" s="1"/>
  <c r="H264" i="55" a="1"/>
  <c r="H264" i="55" s="1"/>
  <c r="J33" i="55" a="1"/>
  <c r="J33" i="55" s="1"/>
  <c r="H395" i="55" a="1"/>
  <c r="H395" i="55" s="1"/>
  <c r="H229" i="55" a="1"/>
  <c r="H229" i="55" s="1"/>
  <c r="H326" i="55" a="1"/>
  <c r="H326" i="55" s="1"/>
  <c r="J421" i="55" a="1"/>
  <c r="J421" i="55" s="1"/>
  <c r="J111" i="55" a="1"/>
  <c r="J111" i="55" s="1"/>
  <c r="J93" i="55" a="1"/>
  <c r="J93" i="55" s="1"/>
  <c r="H172" i="55" a="1"/>
  <c r="H172" i="55" s="1"/>
  <c r="J133" i="55" a="1"/>
  <c r="J133" i="55" s="1"/>
  <c r="J108" i="55" a="1"/>
  <c r="J108" i="55" s="1"/>
  <c r="J173" i="55" a="1"/>
  <c r="J173" i="55" s="1"/>
  <c r="J81" i="55" a="1"/>
  <c r="J81" i="55" s="1"/>
  <c r="H66" i="55" a="1"/>
  <c r="H66" i="55" s="1"/>
  <c r="J40" i="55" a="1"/>
  <c r="J40" i="55" s="1"/>
  <c r="H77" i="55" a="1"/>
  <c r="H77" i="55" s="1"/>
  <c r="H266" i="55" a="1"/>
  <c r="H266" i="55" s="1"/>
  <c r="J180" i="55" a="1"/>
  <c r="J180" i="55" s="1"/>
  <c r="H78" i="55" a="1"/>
  <c r="H78" i="55" s="1"/>
  <c r="J127" i="55" a="1"/>
  <c r="J127" i="55" s="1"/>
  <c r="J84" i="55" a="1"/>
  <c r="J84" i="55" s="1"/>
  <c r="H133" i="55" a="1"/>
  <c r="H133" i="55" s="1"/>
  <c r="H69" i="55" a="1"/>
  <c r="H69" i="55" s="1"/>
  <c r="J120" i="55" a="1"/>
  <c r="J120" i="55" s="1"/>
  <c r="J37" i="55" a="1"/>
  <c r="J37" i="55" s="1"/>
  <c r="J401" i="55" a="1"/>
  <c r="J401" i="55" s="1"/>
  <c r="H312" i="55" a="1"/>
  <c r="H312" i="55" s="1"/>
  <c r="J79" i="55" a="1"/>
  <c r="J79" i="55" s="1"/>
  <c r="H36" i="55" a="1"/>
  <c r="H36" i="55" s="1"/>
  <c r="H73" i="55" a="1"/>
  <c r="H73" i="55" s="1"/>
  <c r="J34" i="55" a="1"/>
  <c r="J34" i="55" s="1"/>
  <c r="H81" i="55" a="1"/>
  <c r="H81" i="55" s="1"/>
  <c r="J312" i="55" a="1"/>
  <c r="J312" i="55" s="1"/>
  <c r="J395" i="55" a="1"/>
  <c r="J395" i="55" s="1"/>
  <c r="H33" i="55" a="1"/>
  <c r="H33" i="55" s="1"/>
  <c r="J229" i="55" a="1"/>
  <c r="J229" i="55" s="1"/>
  <c r="H202" i="55" a="1"/>
  <c r="H202" i="55" s="1"/>
  <c r="J59" i="55" a="1"/>
  <c r="J59" i="55" s="1"/>
  <c r="J171" i="55" a="1"/>
  <c r="J171" i="55" s="1"/>
  <c r="H300" i="55" a="1"/>
  <c r="H300" i="55" s="1"/>
  <c r="H93" i="55" a="1"/>
  <c r="H93" i="55" s="1"/>
  <c r="J65" i="55" a="1"/>
  <c r="J65" i="55" s="1"/>
  <c r="J67" i="55" a="1"/>
  <c r="J67" i="55" s="1"/>
  <c r="J63" i="55" a="1"/>
  <c r="J63" i="55" s="1"/>
  <c r="J66" i="55" a="1"/>
  <c r="J66" i="55" s="1"/>
  <c r="H127" i="55" a="1"/>
  <c r="H127" i="55" s="1"/>
  <c r="H84" i="55" a="1"/>
  <c r="H84" i="55" s="1"/>
  <c r="J343" i="55" a="1"/>
  <c r="J343" i="55" s="1"/>
  <c r="J337" i="55" a="1"/>
  <c r="J337" i="55" s="1"/>
  <c r="H40" i="55" a="1"/>
  <c r="H40" i="55" s="1"/>
  <c r="H109" i="55" a="1"/>
  <c r="H109" i="55" s="1"/>
  <c r="H354" i="55" a="1"/>
  <c r="H354" i="55" s="1"/>
  <c r="J64" i="55" a="1"/>
  <c r="J64" i="55" s="1"/>
  <c r="H107" i="55" a="1"/>
  <c r="H107" i="55" s="1"/>
  <c r="J48" i="55" a="1"/>
  <c r="J48" i="55" s="1"/>
  <c r="J181" i="55" a="1"/>
  <c r="J181" i="55" s="1"/>
  <c r="J109" i="55" a="1"/>
  <c r="J109" i="55" s="1"/>
  <c r="H67" i="55" a="1"/>
  <c r="H67" i="55" s="1"/>
  <c r="H393" i="55" a="1"/>
  <c r="H393" i="55" s="1"/>
  <c r="H147" i="55" a="1"/>
  <c r="H147" i="55" s="1"/>
  <c r="H196" i="55" a="1"/>
  <c r="H196" i="55" s="1"/>
  <c r="H37" i="55" a="1"/>
  <c r="H37" i="55" s="1"/>
  <c r="H75" i="55" a="1"/>
  <c r="H75" i="55" s="1"/>
  <c r="J196" i="55" a="1"/>
  <c r="J196" i="55" s="1"/>
  <c r="H167" i="55" a="1"/>
  <c r="H167" i="55" s="1"/>
  <c r="H180" i="55" a="1"/>
  <c r="H180" i="55" s="1"/>
  <c r="J73" i="55" a="1"/>
  <c r="J73" i="55" s="1"/>
  <c r="H34" i="55" a="1"/>
  <c r="H34" i="55" s="1"/>
  <c r="J300" i="55" a="1"/>
  <c r="J300" i="55" s="1"/>
  <c r="H35" i="55" a="1"/>
  <c r="H35" i="55" s="1"/>
  <c r="H337" i="55" a="1"/>
  <c r="H337" i="55" s="1"/>
  <c r="H421" i="55" a="1"/>
  <c r="H421" i="55" s="1"/>
  <c r="H420" i="55" a="1"/>
  <c r="H420" i="55" s="1"/>
  <c r="J202" i="55" a="1"/>
  <c r="J202" i="55" s="1"/>
  <c r="H343" i="55" a="1"/>
  <c r="H343" i="55" s="1"/>
  <c r="J147" i="55" a="1"/>
  <c r="J147" i="55" s="1"/>
  <c r="H118" i="55" a="1"/>
  <c r="H118" i="55" s="1"/>
  <c r="H65" i="55" a="1"/>
  <c r="H65" i="55" s="1"/>
  <c r="J107" i="55" a="1"/>
  <c r="J107" i="55" s="1"/>
  <c r="J177" i="55" a="1"/>
  <c r="J177" i="55" s="1"/>
  <c r="H63" i="55" a="1"/>
  <c r="H63" i="55" s="1"/>
  <c r="J69" i="55" a="1"/>
  <c r="J69" i="55" s="1"/>
  <c r="J167" i="55" a="1"/>
  <c r="J167" i="55" s="1"/>
  <c r="H401" i="55" a="1"/>
  <c r="H401" i="55" s="1"/>
  <c r="J420" i="55" a="1"/>
  <c r="J420" i="55" s="1"/>
  <c r="J274" i="55" a="1"/>
  <c r="J274" i="55" s="1"/>
  <c r="H171" i="55" a="1"/>
  <c r="H171" i="55" s="1"/>
  <c r="H71" i="55" a="1"/>
  <c r="H71" i="55" s="1"/>
  <c r="J431" i="55" a="1"/>
  <c r="J431" i="55" s="1"/>
  <c r="J264" i="55" a="1"/>
  <c r="J264" i="55" s="1"/>
  <c r="J393" i="55" a="1"/>
  <c r="J393" i="55" s="1"/>
  <c r="H431" i="55" a="1"/>
  <c r="H431" i="55" s="1"/>
  <c r="H48" i="55" a="1"/>
  <c r="H48" i="55" s="1"/>
  <c r="J178" i="55" a="1"/>
  <c r="J178" i="55" s="1"/>
  <c r="E8" i="12" a="1"/>
  <c r="E8" i="12" s="1"/>
  <c r="E14" i="12" a="1"/>
  <c r="E14" i="12" s="1"/>
  <c r="E17" i="12" a="1"/>
  <c r="E17" i="12" s="1"/>
  <c r="F17" i="12" a="1"/>
  <c r="F17" i="12" s="1"/>
  <c r="E16" i="12" a="1"/>
  <c r="E16" i="12" s="1"/>
  <c r="E13" i="12" a="1"/>
  <c r="E13" i="12" s="1"/>
  <c r="F8" i="12" a="1"/>
  <c r="F8" i="12" s="1"/>
  <c r="E10" i="12" a="1"/>
  <c r="E10" i="12" s="1"/>
  <c r="F11" i="12" a="1"/>
  <c r="F11" i="12" s="1"/>
  <c r="E12" i="12" a="1"/>
  <c r="E12" i="12" s="1"/>
  <c r="F13" i="12" a="1"/>
  <c r="F13" i="12" s="1"/>
  <c r="F16" i="12" a="1"/>
  <c r="F16" i="12" s="1"/>
  <c r="E11" i="12" a="1"/>
  <c r="E11" i="12" s="1"/>
  <c r="F12" i="12" a="1"/>
  <c r="F12" i="12" s="1"/>
  <c r="E9" i="12" a="1"/>
  <c r="E9" i="12" s="1"/>
  <c r="F15" i="12" a="1"/>
  <c r="F15" i="12" s="1"/>
  <c r="F14" i="12" a="1"/>
  <c r="F14" i="12" s="1"/>
  <c r="F9" i="12" a="1"/>
  <c r="F9" i="12" s="1"/>
  <c r="F10" i="12" a="1"/>
  <c r="F10" i="12" s="1"/>
  <c r="E15" i="12" a="1"/>
  <c r="E15" i="12" s="1"/>
  <c r="J240" i="55" a="1"/>
  <c r="J240" i="55" s="1"/>
  <c r="J269" i="55" a="1"/>
  <c r="J269" i="55" s="1"/>
  <c r="J223" i="55" a="1"/>
  <c r="J223" i="55" s="1"/>
  <c r="H53" i="55" a="1"/>
  <c r="H53" i="55" s="1"/>
  <c r="H258" i="55" a="1"/>
  <c r="H258" i="55" s="1"/>
  <c r="J220" i="55" a="1"/>
  <c r="J220" i="55" s="1"/>
  <c r="H246" i="55" a="1"/>
  <c r="H246" i="55" s="1"/>
  <c r="H260" i="55" a="1"/>
  <c r="H260" i="55" s="1"/>
  <c r="E37" i="15" a="1"/>
  <c r="E37" i="15" s="1"/>
  <c r="J179" i="55" a="1"/>
  <c r="J179" i="55" s="1"/>
  <c r="J201" i="55" a="1"/>
  <c r="J201" i="55" s="1"/>
  <c r="J295" i="55" a="1"/>
  <c r="J295" i="55" s="1"/>
  <c r="H342" i="55" a="1"/>
  <c r="H342" i="55" s="1"/>
  <c r="H50" i="55" a="1"/>
  <c r="H50" i="55" s="1"/>
  <c r="H159" i="55" a="1"/>
  <c r="H159" i="55" s="1"/>
  <c r="J236" i="55" a="1"/>
  <c r="J236" i="55" s="1"/>
  <c r="H51" i="55" a="1"/>
  <c r="H51" i="55" s="1"/>
  <c r="H270" i="55" a="1"/>
  <c r="H270" i="55" s="1"/>
  <c r="H294" i="55" a="1"/>
  <c r="H294" i="55" s="1"/>
  <c r="H214" i="55" a="1"/>
  <c r="H214" i="55" s="1"/>
  <c r="H12" i="55" a="1"/>
  <c r="H12" i="55" s="1"/>
  <c r="J396" i="55" a="1"/>
  <c r="J396" i="55" s="1"/>
  <c r="J214" i="55" a="1"/>
  <c r="J214" i="55" s="1"/>
  <c r="H201" i="55" a="1"/>
  <c r="H201" i="55" s="1"/>
  <c r="J208" i="55" a="1"/>
  <c r="J208" i="55" s="1"/>
  <c r="J215" i="55" a="1"/>
  <c r="J215" i="55" s="1"/>
  <c r="J57" i="55" a="1"/>
  <c r="J57" i="55" s="1"/>
  <c r="J12" i="55" a="1"/>
  <c r="J12" i="55" s="1"/>
  <c r="H169" i="55" a="1"/>
  <c r="H169" i="55" s="1"/>
  <c r="J226" i="55" a="1"/>
  <c r="J226" i="55" s="1"/>
  <c r="H237" i="55" a="1"/>
  <c r="H237" i="55" s="1"/>
  <c r="H208" i="55" a="1"/>
  <c r="H208" i="55" s="1"/>
  <c r="J299" i="55" a="1"/>
  <c r="J299" i="55" s="1"/>
  <c r="J49" i="55" a="1"/>
  <c r="J49" i="55" s="1"/>
  <c r="H216" i="55" a="1"/>
  <c r="H216" i="55" s="1"/>
  <c r="J13" i="55" a="1"/>
  <c r="J13" i="55" s="1"/>
  <c r="H220" i="55" a="1"/>
  <c r="H220" i="55" s="1"/>
  <c r="H176" i="55" a="1"/>
  <c r="H176" i="55" s="1"/>
  <c r="H57" i="55" a="1"/>
  <c r="H57" i="55" s="1"/>
  <c r="H396" i="55" a="1"/>
  <c r="H396" i="55" s="1"/>
  <c r="J392" i="55" a="1"/>
  <c r="J392" i="55" s="1"/>
  <c r="J175" i="55" a="1"/>
  <c r="J175" i="55" s="1"/>
  <c r="J239" i="55" a="1"/>
  <c r="J239" i="55" s="1"/>
  <c r="H245" i="55" a="1"/>
  <c r="H245" i="55" s="1"/>
  <c r="H215" i="55" a="1"/>
  <c r="H215" i="55" s="1"/>
  <c r="J242" i="55" a="1"/>
  <c r="J242" i="55" s="1"/>
  <c r="J243" i="55" a="1"/>
  <c r="J243" i="55" s="1"/>
  <c r="H207" i="55" a="1"/>
  <c r="H207" i="55" s="1"/>
  <c r="H226" i="55" a="1"/>
  <c r="H226" i="55" s="1"/>
  <c r="J29" i="55" a="1"/>
  <c r="J29" i="55" s="1"/>
  <c r="J159" i="55" a="1"/>
  <c r="J159" i="55" s="1"/>
  <c r="H242" i="55" a="1"/>
  <c r="H242" i="55" s="1"/>
  <c r="J250" i="55" a="1"/>
  <c r="J250" i="55" s="1"/>
  <c r="J270" i="55" a="1"/>
  <c r="J270" i="55" s="1"/>
  <c r="H243" i="55" a="1"/>
  <c r="H243" i="55" s="1"/>
  <c r="J342" i="55" a="1"/>
  <c r="J342" i="55" s="1"/>
  <c r="J169" i="55" a="1"/>
  <c r="J169" i="55" s="1"/>
  <c r="J230" i="55" a="1"/>
  <c r="J230" i="55" s="1"/>
  <c r="J219" i="55" a="1"/>
  <c r="J219" i="55" s="1"/>
  <c r="H253" i="55" a="1"/>
  <c r="H253" i="55" s="1"/>
  <c r="J51" i="55" a="1"/>
  <c r="J51" i="55" s="1"/>
  <c r="J50" i="55" a="1"/>
  <c r="J50" i="55" s="1"/>
  <c r="H175" i="55" a="1"/>
  <c r="H175" i="55" s="1"/>
  <c r="J52" i="55" a="1"/>
  <c r="J52" i="55" s="1"/>
  <c r="J61" i="55" a="1"/>
  <c r="J61" i="55" s="1"/>
  <c r="J237" i="55" a="1"/>
  <c r="J237" i="55" s="1"/>
  <c r="H179" i="55" a="1"/>
  <c r="H179" i="55" s="1"/>
  <c r="J245" i="55" a="1"/>
  <c r="J245" i="55" s="1"/>
  <c r="H268" i="55" a="1"/>
  <c r="H268" i="55" s="1"/>
  <c r="H219" i="55" a="1"/>
  <c r="H219" i="55" s="1"/>
  <c r="J268" i="55" a="1"/>
  <c r="J268" i="55" s="1"/>
  <c r="J253" i="55" a="1"/>
  <c r="J253" i="55" s="1"/>
  <c r="H239" i="55" a="1"/>
  <c r="H239" i="55" s="1"/>
  <c r="H295" i="55" a="1"/>
  <c r="H295" i="55" s="1"/>
  <c r="H392" i="55" a="1"/>
  <c r="H392" i="55" s="1"/>
  <c r="H52" i="55" a="1"/>
  <c r="H52" i="55" s="1"/>
  <c r="H29" i="55" a="1"/>
  <c r="H29" i="55" s="1"/>
  <c r="H298" i="55" a="1"/>
  <c r="H298" i="55" s="1"/>
  <c r="H230" i="55" a="1"/>
  <c r="H230" i="55" s="1"/>
  <c r="H61" i="55" a="1"/>
  <c r="H61" i="55" s="1"/>
  <c r="H250" i="55" a="1"/>
  <c r="H250" i="55" s="1"/>
  <c r="J207" i="55" a="1"/>
  <c r="J207" i="55" s="1"/>
  <c r="H211" i="55" a="1"/>
  <c r="H211" i="55" s="1"/>
  <c r="H236" i="55" a="1"/>
  <c r="H236" i="55" s="1"/>
  <c r="J291" i="55" a="1"/>
  <c r="J291" i="55" s="1"/>
  <c r="J262" i="55" a="1"/>
  <c r="J262" i="55" s="1"/>
  <c r="J170" i="55" a="1"/>
  <c r="J170" i="55" s="1"/>
  <c r="J209" i="55" a="1"/>
  <c r="J209" i="55" s="1"/>
  <c r="J211" i="55" a="1"/>
  <c r="J211" i="55" s="1"/>
  <c r="H240" i="55" a="1"/>
  <c r="H240" i="55" s="1"/>
  <c r="H269" i="55" a="1"/>
  <c r="H269" i="55" s="1"/>
  <c r="H168" i="55" a="1"/>
  <c r="H168" i="55" s="1"/>
  <c r="H200" i="55" a="1"/>
  <c r="H200" i="55" s="1"/>
  <c r="J263" i="55" a="1"/>
  <c r="J263" i="55" s="1"/>
  <c r="J260" i="55" a="1"/>
  <c r="J260" i="55" s="1"/>
  <c r="J298" i="55" a="1"/>
  <c r="J298" i="55" s="1"/>
  <c r="J294" i="55" a="1"/>
  <c r="J294" i="55" s="1"/>
  <c r="H13" i="55" a="1"/>
  <c r="H13" i="55" s="1"/>
  <c r="J227" i="55" a="1"/>
  <c r="J227" i="55" s="1"/>
  <c r="H82" i="55" a="1"/>
  <c r="H82" i="55" s="1"/>
  <c r="J233" i="55" a="1"/>
  <c r="J233" i="55" s="1"/>
  <c r="H233" i="55" a="1"/>
  <c r="H233" i="55" s="1"/>
  <c r="H304" i="55" a="1"/>
  <c r="H304" i="55" s="1"/>
  <c r="J249" i="55" a="1"/>
  <c r="J249" i="55" s="1"/>
  <c r="J176" i="55" a="1"/>
  <c r="J176" i="55" s="1"/>
  <c r="H218" i="55" a="1"/>
  <c r="H218" i="55" s="1"/>
  <c r="H291" i="55" a="1"/>
  <c r="H291" i="55" s="1"/>
  <c r="J174" i="55" a="1"/>
  <c r="J174" i="55" s="1"/>
  <c r="H80" i="55" a="1"/>
  <c r="H80" i="55" s="1"/>
  <c r="J397" i="55" a="1"/>
  <c r="J397" i="55" s="1"/>
  <c r="J246" i="55" a="1"/>
  <c r="J246" i="55" s="1"/>
  <c r="H14" i="55" a="1"/>
  <c r="H14" i="55" s="1"/>
  <c r="J258" i="55" a="1"/>
  <c r="J258" i="55" s="1"/>
  <c r="H28" i="55" a="1"/>
  <c r="H28" i="55" s="1"/>
  <c r="J261" i="55" a="1"/>
  <c r="J261" i="55" s="1"/>
  <c r="J259" i="55" a="1"/>
  <c r="J259" i="55" s="1"/>
  <c r="H257" i="55" a="1"/>
  <c r="H257" i="55" s="1"/>
  <c r="J257" i="55" a="1"/>
  <c r="J257" i="55" s="1"/>
  <c r="H174" i="55" a="1"/>
  <c r="H174" i="55" s="1"/>
  <c r="J168" i="55" a="1"/>
  <c r="J168" i="55" s="1"/>
  <c r="J304" i="55" a="1"/>
  <c r="J304" i="55" s="1"/>
  <c r="J222" i="55" a="1"/>
  <c r="J222" i="55" s="1"/>
  <c r="H205" i="55" a="1"/>
  <c r="H205" i="55" s="1"/>
  <c r="J14" i="55" a="1"/>
  <c r="J14" i="55" s="1"/>
  <c r="H251" i="55" a="1"/>
  <c r="H251" i="55" s="1"/>
  <c r="J296" i="55" a="1"/>
  <c r="J296" i="55" s="1"/>
  <c r="H267" i="55" a="1"/>
  <c r="H267" i="55" s="1"/>
  <c r="H249" i="55" a="1"/>
  <c r="H249" i="55" s="1"/>
  <c r="H261" i="55" a="1"/>
  <c r="H261" i="55" s="1"/>
  <c r="J251" i="55" a="1"/>
  <c r="J251" i="55" s="1"/>
  <c r="H265" i="55" a="1"/>
  <c r="H265" i="55" s="1"/>
  <c r="H248" i="55" a="1"/>
  <c r="H248" i="55" s="1"/>
  <c r="J82" i="55" a="1"/>
  <c r="J82" i="55" s="1"/>
  <c r="H222" i="55" a="1"/>
  <c r="H222" i="55" s="1"/>
  <c r="J235" i="55" a="1"/>
  <c r="J235" i="55" s="1"/>
  <c r="H247" i="55" a="1"/>
  <c r="H247" i="55" s="1"/>
  <c r="J213" i="55" a="1"/>
  <c r="J213" i="55" s="1"/>
  <c r="H262" i="55" a="1"/>
  <c r="H262" i="55" s="1"/>
  <c r="H209" i="55" a="1"/>
  <c r="H209" i="55" s="1"/>
  <c r="H213" i="55" a="1"/>
  <c r="H213" i="55" s="1"/>
  <c r="H49" i="55" a="1"/>
  <c r="H49" i="55" s="1"/>
  <c r="H170" i="55" a="1"/>
  <c r="H170" i="55" s="1"/>
  <c r="J224" i="55" a="1"/>
  <c r="J224" i="55" s="1"/>
  <c r="H296" i="55" a="1"/>
  <c r="H296" i="55" s="1"/>
  <c r="J200" i="55" a="1"/>
  <c r="J200" i="55" s="1"/>
  <c r="J80" i="55" a="1"/>
  <c r="J80" i="55" s="1"/>
  <c r="H224" i="55" a="1"/>
  <c r="H224" i="55" s="1"/>
  <c r="J218" i="55" a="1"/>
  <c r="J218" i="55" s="1"/>
  <c r="H299" i="55" a="1"/>
  <c r="H299" i="55" s="1"/>
  <c r="H223" i="55" a="1"/>
  <c r="H223" i="55" s="1"/>
  <c r="J248" i="55" a="1"/>
  <c r="J248" i="55" s="1"/>
  <c r="H259" i="55" a="1"/>
  <c r="H259" i="55" s="1"/>
  <c r="H227" i="55" a="1"/>
  <c r="H227" i="55" s="1"/>
  <c r="J265" i="55" a="1"/>
  <c r="J265" i="55" s="1"/>
  <c r="H27" i="55" a="1"/>
  <c r="H27" i="55" s="1"/>
  <c r="J247" i="55" a="1"/>
  <c r="J247" i="55" s="1"/>
  <c r="H235" i="55" a="1"/>
  <c r="H235" i="55" s="1"/>
  <c r="J28" i="55" a="1"/>
  <c r="J28" i="55" s="1"/>
  <c r="J314" i="55" a="1"/>
  <c r="J314" i="55" s="1"/>
  <c r="J216" i="55" a="1"/>
  <c r="J216" i="55" s="1"/>
  <c r="J27" i="55" a="1"/>
  <c r="J27" i="55" s="1"/>
  <c r="J205" i="55" a="1"/>
  <c r="J205" i="55" s="1"/>
  <c r="H314" i="55" a="1"/>
  <c r="H314" i="55" s="1"/>
  <c r="H263" i="55" a="1"/>
  <c r="H263" i="55" s="1"/>
  <c r="J53" i="55" a="1"/>
  <c r="J53" i="55" s="1"/>
  <c r="H397" i="55" a="1"/>
  <c r="H397" i="55" s="1"/>
  <c r="J267" i="55" a="1"/>
  <c r="J267" i="55" s="1"/>
  <c r="F37" i="15" a="1"/>
  <c r="F37" i="15" s="1"/>
  <c r="G3" i="47"/>
  <c r="C36" i="47"/>
  <c r="H17" i="56"/>
  <c r="H18" i="56"/>
  <c r="G3" i="56"/>
  <c r="G4" i="56"/>
  <c r="G134" i="60"/>
  <c r="G75" i="60"/>
  <c r="I100" i="60"/>
  <c r="I97" i="60"/>
  <c r="I98" i="60"/>
  <c r="I95" i="60"/>
  <c r="I86" i="60"/>
  <c r="I84" i="60"/>
  <c r="I15" i="71"/>
  <c r="J15" i="71"/>
  <c r="A17" i="56"/>
  <c r="A18" i="56" s="1"/>
  <c r="A19" i="56" s="1"/>
  <c r="A20" i="56" s="1"/>
  <c r="A21" i="56" s="1"/>
  <c r="A22" i="56" s="1"/>
  <c r="A23" i="56" s="1"/>
  <c r="A24" i="56" s="1"/>
  <c r="A25" i="56" s="1"/>
  <c r="A26" i="56" s="1"/>
  <c r="A27" i="56" s="1"/>
  <c r="I93" i="71"/>
  <c r="J93" i="71"/>
  <c r="A41" i="43"/>
  <c r="D43" i="43"/>
  <c r="E41" i="43"/>
  <c r="B42" i="43"/>
  <c r="D41" i="43"/>
  <c r="F42" i="43"/>
  <c r="A42" i="43"/>
  <c r="C43" i="43"/>
  <c r="E42" i="43"/>
  <c r="G43" i="43"/>
  <c r="B43" i="43"/>
  <c r="F43" i="43"/>
  <c r="C41" i="43"/>
  <c r="G41" i="43"/>
  <c r="D42" i="43"/>
  <c r="A43" i="43"/>
  <c r="E43" i="43"/>
  <c r="B41" i="43"/>
  <c r="F41" i="43"/>
  <c r="C42" i="43"/>
  <c r="G42" i="43"/>
  <c r="I160" i="14"/>
  <c r="F15" i="43"/>
  <c r="F21" i="43"/>
  <c r="G32" i="43"/>
  <c r="G16" i="43"/>
  <c r="G31" i="43"/>
  <c r="G15" i="43"/>
  <c r="F19" i="43"/>
  <c r="G14" i="43"/>
  <c r="G20" i="43"/>
  <c r="G13" i="43"/>
  <c r="G29" i="43"/>
  <c r="F12" i="43"/>
  <c r="F16" i="43"/>
  <c r="F17" i="43"/>
  <c r="H5" i="39"/>
  <c r="M16" i="39" s="1"/>
  <c r="F13" i="43"/>
  <c r="G25" i="43"/>
  <c r="F36" i="43"/>
  <c r="F23" i="43"/>
  <c r="F33" i="43"/>
  <c r="F24" i="43"/>
  <c r="F29" i="43"/>
  <c r="G39" i="43"/>
  <c r="F34" i="43"/>
  <c r="G36" i="43"/>
  <c r="F30" i="43"/>
  <c r="G27" i="43"/>
  <c r="G37" i="43"/>
  <c r="G28" i="43"/>
  <c r="G33" i="43"/>
  <c r="G23" i="43"/>
  <c r="G35" i="43"/>
  <c r="F22" i="43"/>
  <c r="G34" i="43"/>
  <c r="F14" i="43"/>
  <c r="F37" i="43"/>
  <c r="G24" i="43"/>
  <c r="F27" i="43"/>
  <c r="G30" i="43"/>
  <c r="G21" i="43"/>
  <c r="G19" i="43"/>
  <c r="G12" i="43"/>
  <c r="G26" i="43"/>
  <c r="G17" i="43"/>
  <c r="F28" i="43"/>
  <c r="G22" i="43"/>
  <c r="F25" i="43"/>
  <c r="G18" i="43"/>
  <c r="G40" i="43"/>
  <c r="F20" i="43"/>
  <c r="F26" i="43"/>
  <c r="F31" i="43"/>
  <c r="F40" i="43"/>
  <c r="F39" i="43"/>
  <c r="F35" i="43"/>
  <c r="G38" i="43"/>
  <c r="F18" i="43"/>
  <c r="F32" i="43"/>
  <c r="B14" i="61"/>
  <c r="I13" i="42"/>
  <c r="J160" i="14"/>
  <c r="I32" i="58"/>
  <c r="G32" i="47"/>
  <c r="B21" i="42"/>
  <c r="E37" i="43"/>
  <c r="E39" i="43"/>
  <c r="D34" i="43"/>
  <c r="B32" i="43"/>
  <c r="E27" i="43"/>
  <c r="C25" i="43"/>
  <c r="A23" i="43"/>
  <c r="D18" i="43"/>
  <c r="B16" i="43"/>
  <c r="B39" i="43"/>
  <c r="E32" i="43"/>
  <c r="E29" i="43"/>
  <c r="E26" i="43"/>
  <c r="D23" i="43"/>
  <c r="D20" i="43"/>
  <c r="D17" i="43"/>
  <c r="C14" i="43"/>
  <c r="E38" i="43"/>
  <c r="C35" i="43"/>
  <c r="C32" i="43"/>
  <c r="B29" i="43"/>
  <c r="B26" i="43"/>
  <c r="B23" i="43"/>
  <c r="A20" i="43"/>
  <c r="A17" i="43"/>
  <c r="A14" i="43"/>
  <c r="D37" i="43"/>
  <c r="C34" i="43"/>
  <c r="C31" i="43"/>
  <c r="C28" i="43"/>
  <c r="B25" i="43"/>
  <c r="B22" i="43"/>
  <c r="B19" i="43"/>
  <c r="A16" i="43"/>
  <c r="A13" i="43"/>
  <c r="A34" i="43"/>
  <c r="A40" i="43"/>
  <c r="B27" i="43"/>
  <c r="D32" i="43"/>
  <c r="C20" i="43"/>
  <c r="E25" i="43"/>
  <c r="D13" i="43"/>
  <c r="C39" i="43"/>
  <c r="B36" i="43"/>
  <c r="E31" i="43"/>
  <c r="C29" i="43"/>
  <c r="A27" i="43"/>
  <c r="D22" i="43"/>
  <c r="B20" i="43"/>
  <c r="E15" i="43"/>
  <c r="C13" i="43"/>
  <c r="C38" i="43"/>
  <c r="E16" i="43"/>
  <c r="E13" i="43"/>
  <c r="E34" i="43"/>
  <c r="D31" i="43"/>
  <c r="D28" i="43"/>
  <c r="D25" i="43"/>
  <c r="C22" i="43"/>
  <c r="C19" i="43"/>
  <c r="C16" i="43"/>
  <c r="B13" i="43"/>
  <c r="E40" i="43"/>
  <c r="E36" i="43"/>
  <c r="E33" i="43"/>
  <c r="E30" i="43"/>
  <c r="D27" i="43"/>
  <c r="D24" i="43"/>
  <c r="D21" i="43"/>
  <c r="C18" i="43"/>
  <c r="C15" i="43"/>
  <c r="C12" i="43"/>
  <c r="C36" i="43"/>
  <c r="A24" i="43"/>
  <c r="D29" i="43"/>
  <c r="B17" i="43"/>
  <c r="E22" i="43"/>
  <c r="A38" i="43"/>
  <c r="E35" i="43"/>
  <c r="C33" i="43"/>
  <c r="A31" i="43"/>
  <c r="D26" i="43"/>
  <c r="B24" i="43"/>
  <c r="E19" i="43"/>
  <c r="C17" i="43"/>
  <c r="A15" i="43"/>
  <c r="D40" i="43"/>
  <c r="B38" i="43"/>
  <c r="C40" i="43"/>
  <c r="C37" i="43"/>
  <c r="A35" i="43"/>
  <c r="D30" i="43"/>
  <c r="B28" i="43"/>
  <c r="E23" i="43"/>
  <c r="C21" i="43"/>
  <c r="A19" i="43"/>
  <c r="D14" i="43"/>
  <c r="B12" i="43"/>
  <c r="B40" i="43"/>
  <c r="D36" i="43"/>
  <c r="D33" i="43"/>
  <c r="C30" i="43"/>
  <c r="C27" i="43"/>
  <c r="C24" i="43"/>
  <c r="B21" i="43"/>
  <c r="B18" i="43"/>
  <c r="B15" i="43"/>
  <c r="A36" i="43"/>
  <c r="A33" i="43"/>
  <c r="A30" i="43"/>
  <c r="D38" i="43"/>
  <c r="B35" i="43"/>
  <c r="A32" i="43"/>
  <c r="A29" i="43"/>
  <c r="A26" i="43"/>
  <c r="A37" i="43"/>
  <c r="E12" i="43"/>
  <c r="B30" i="43"/>
  <c r="A18" i="43"/>
  <c r="D35" i="43"/>
  <c r="C23" i="43"/>
  <c r="E28" i="43"/>
  <c r="D16" i="43"/>
  <c r="B31" i="43"/>
  <c r="E24" i="43"/>
  <c r="D12" i="43"/>
  <c r="E17" i="43"/>
  <c r="A21" i="43"/>
  <c r="A39" i="43"/>
  <c r="A28" i="43"/>
  <c r="E21" i="43"/>
  <c r="D39" i="43"/>
  <c r="E14" i="43"/>
  <c r="C26" i="43"/>
  <c r="B37" i="43"/>
  <c r="A25" i="43"/>
  <c r="E18" i="43"/>
  <c r="B14" i="43"/>
  <c r="B34" i="43"/>
  <c r="A22" i="43"/>
  <c r="D15" i="43"/>
  <c r="E20" i="43"/>
  <c r="B33" i="43"/>
  <c r="D19" i="43"/>
  <c r="A16" i="42"/>
  <c r="H49" i="42"/>
  <c r="H47" i="42"/>
  <c r="H45" i="42"/>
  <c r="H43" i="42"/>
  <c r="H41" i="42"/>
  <c r="H39" i="42"/>
  <c r="H37" i="42"/>
  <c r="H35" i="42"/>
  <c r="H33" i="42"/>
  <c r="H31" i="42"/>
  <c r="H29" i="42"/>
  <c r="H27" i="42"/>
  <c r="H25" i="42"/>
  <c r="H23" i="42"/>
  <c r="H21" i="42"/>
  <c r="H19" i="42"/>
  <c r="H17" i="42"/>
  <c r="E18" i="42"/>
  <c r="D48" i="42"/>
  <c r="D45" i="42"/>
  <c r="H42" i="42"/>
  <c r="D40" i="42"/>
  <c r="D37" i="42"/>
  <c r="H34" i="42"/>
  <c r="D32" i="42"/>
  <c r="D29" i="42"/>
  <c r="H26" i="42"/>
  <c r="D24" i="42"/>
  <c r="D21" i="42"/>
  <c r="H18" i="42"/>
  <c r="A48" i="42"/>
  <c r="C45" i="42"/>
  <c r="F42" i="42"/>
  <c r="A40" i="42"/>
  <c r="C37" i="42"/>
  <c r="F34" i="42"/>
  <c r="A32" i="42"/>
  <c r="C29" i="42"/>
  <c r="F26" i="42"/>
  <c r="A24" i="42"/>
  <c r="C21" i="42"/>
  <c r="F18" i="42"/>
  <c r="B16" i="42"/>
  <c r="B14" i="42"/>
  <c r="G47" i="42"/>
  <c r="B45" i="42"/>
  <c r="E42" i="42"/>
  <c r="G39" i="42"/>
  <c r="B37" i="42"/>
  <c r="E34" i="42"/>
  <c r="G31" i="42"/>
  <c r="B29" i="42"/>
  <c r="E26" i="42"/>
  <c r="G23" i="42"/>
  <c r="C48" i="42"/>
  <c r="F45" i="42"/>
  <c r="A43" i="42"/>
  <c r="C40" i="42"/>
  <c r="F37" i="42"/>
  <c r="A35" i="42"/>
  <c r="C32" i="42"/>
  <c r="F29" i="42"/>
  <c r="A27" i="42"/>
  <c r="C24" i="42"/>
  <c r="F21" i="42"/>
  <c r="A19" i="42"/>
  <c r="D16" i="42"/>
  <c r="D14" i="42"/>
  <c r="B48" i="42"/>
  <c r="E45" i="42"/>
  <c r="G42" i="42"/>
  <c r="B40" i="42"/>
  <c r="E37" i="42"/>
  <c r="G34" i="42"/>
  <c r="B32" i="42"/>
  <c r="E29" i="42"/>
  <c r="G26" i="42"/>
  <c r="B24" i="42"/>
  <c r="E21" i="42"/>
  <c r="G18" i="42"/>
  <c r="C16" i="42"/>
  <c r="C14" i="42"/>
  <c r="B19" i="42"/>
  <c r="G19" i="42"/>
  <c r="D47" i="42"/>
  <c r="H44" i="42"/>
  <c r="D42" i="42"/>
  <c r="D39" i="42"/>
  <c r="H36" i="42"/>
  <c r="D34" i="42"/>
  <c r="D31" i="42"/>
  <c r="H28" i="42"/>
  <c r="D26" i="42"/>
  <c r="D23" i="42"/>
  <c r="H20" i="42"/>
  <c r="D18" i="42"/>
  <c r="C47" i="42"/>
  <c r="F44" i="42"/>
  <c r="A42" i="42"/>
  <c r="C39" i="42"/>
  <c r="F36" i="42"/>
  <c r="A34" i="42"/>
  <c r="C31" i="42"/>
  <c r="F28" i="42"/>
  <c r="A26" i="42"/>
  <c r="C23" i="42"/>
  <c r="F20" i="42"/>
  <c r="A18" i="42"/>
  <c r="F15" i="42"/>
  <c r="G49" i="42"/>
  <c r="B47" i="42"/>
  <c r="E44" i="42"/>
  <c r="G41" i="42"/>
  <c r="B39" i="42"/>
  <c r="E36" i="42"/>
  <c r="G33" i="42"/>
  <c r="B31" i="42"/>
  <c r="E28" i="42"/>
  <c r="G25" i="42"/>
  <c r="B23" i="42"/>
  <c r="F47" i="42"/>
  <c r="A45" i="42"/>
  <c r="C42" i="42"/>
  <c r="F39" i="42"/>
  <c r="A37" i="42"/>
  <c r="C34" i="42"/>
  <c r="F31" i="42"/>
  <c r="A29" i="42"/>
  <c r="C26" i="42"/>
  <c r="F23" i="42"/>
  <c r="A21" i="42"/>
  <c r="C18" i="42"/>
  <c r="H15" i="42"/>
  <c r="E47" i="42"/>
  <c r="G44" i="42"/>
  <c r="B42" i="42"/>
  <c r="E39" i="42"/>
  <c r="G36" i="42"/>
  <c r="B34" i="42"/>
  <c r="E31" i="42"/>
  <c r="G28" i="42"/>
  <c r="B26" i="42"/>
  <c r="E23" i="42"/>
  <c r="G20" i="42"/>
  <c r="B18" i="42"/>
  <c r="G15" i="42"/>
  <c r="G21" i="42"/>
  <c r="E22" i="42"/>
  <c r="E15" i="42"/>
  <c r="D49" i="42"/>
  <c r="H46" i="42"/>
  <c r="D44" i="42"/>
  <c r="D41" i="42"/>
  <c r="H38" i="42"/>
  <c r="D36" i="42"/>
  <c r="D33" i="42"/>
  <c r="H30" i="42"/>
  <c r="D28" i="42"/>
  <c r="D25" i="42"/>
  <c r="H22" i="42"/>
  <c r="D20" i="42"/>
  <c r="D17" i="42"/>
  <c r="C49" i="42"/>
  <c r="F46" i="42"/>
  <c r="A44" i="42"/>
  <c r="C41" i="42"/>
  <c r="F38" i="42"/>
  <c r="A36" i="42"/>
  <c r="C33" i="42"/>
  <c r="F30" i="42"/>
  <c r="A28" i="42"/>
  <c r="C25" i="42"/>
  <c r="F22" i="42"/>
  <c r="A20" i="42"/>
  <c r="C17" i="42"/>
  <c r="B15" i="42"/>
  <c r="B49" i="42"/>
  <c r="E46" i="42"/>
  <c r="G43" i="42"/>
  <c r="B41" i="42"/>
  <c r="E38" i="42"/>
  <c r="G35" i="42"/>
  <c r="B33" i="42"/>
  <c r="E30" i="42"/>
  <c r="G27" i="42"/>
  <c r="B25" i="42"/>
  <c r="F49" i="42"/>
  <c r="A47" i="42"/>
  <c r="C44" i="42"/>
  <c r="F41" i="42"/>
  <c r="A39" i="42"/>
  <c r="C36" i="42"/>
  <c r="F33" i="42"/>
  <c r="A31" i="42"/>
  <c r="C28" i="42"/>
  <c r="F25" i="42"/>
  <c r="A23" i="42"/>
  <c r="C20" i="42"/>
  <c r="F17" i="42"/>
  <c r="D15" i="42"/>
  <c r="E49" i="42"/>
  <c r="G46" i="42"/>
  <c r="B44" i="42"/>
  <c r="E41" i="42"/>
  <c r="G38" i="42"/>
  <c r="B36" i="42"/>
  <c r="E33" i="42"/>
  <c r="G30" i="42"/>
  <c r="B28" i="42"/>
  <c r="E25" i="42"/>
  <c r="G22" i="42"/>
  <c r="B20" i="42"/>
  <c r="E17" i="42"/>
  <c r="C15" i="42"/>
  <c r="E14" i="42"/>
  <c r="A15" i="42"/>
  <c r="G17" i="42"/>
  <c r="A14" i="42"/>
  <c r="G2" i="42" s="1"/>
  <c r="H48" i="42"/>
  <c r="D46" i="42"/>
  <c r="D43" i="42"/>
  <c r="H40" i="42"/>
  <c r="D38" i="42"/>
  <c r="D35" i="42"/>
  <c r="H32" i="42"/>
  <c r="D30" i="42"/>
  <c r="D27" i="42"/>
  <c r="H24" i="42"/>
  <c r="D22" i="42"/>
  <c r="D19" i="42"/>
  <c r="H16" i="42"/>
  <c r="F48" i="42"/>
  <c r="A46" i="42"/>
  <c r="C43" i="42"/>
  <c r="F40" i="42"/>
  <c r="A38" i="42"/>
  <c r="C35" i="42"/>
  <c r="F32" i="42"/>
  <c r="A30" i="42"/>
  <c r="C27" i="42"/>
  <c r="F24" i="42"/>
  <c r="A22" i="42"/>
  <c r="C19" i="42"/>
  <c r="F16" i="42"/>
  <c r="F14" i="42"/>
  <c r="E48" i="42"/>
  <c r="G45" i="42"/>
  <c r="B43" i="42"/>
  <c r="E40" i="42"/>
  <c r="G37" i="42"/>
  <c r="B35" i="42"/>
  <c r="E32" i="42"/>
  <c r="G29" i="42"/>
  <c r="B27" i="42"/>
  <c r="E24" i="42"/>
  <c r="A49" i="42"/>
  <c r="C46" i="42"/>
  <c r="F43" i="42"/>
  <c r="A41" i="42"/>
  <c r="C38" i="42"/>
  <c r="F35" i="42"/>
  <c r="A33" i="42"/>
  <c r="C30" i="42"/>
  <c r="F27" i="42"/>
  <c r="A25" i="42"/>
  <c r="C22" i="42"/>
  <c r="F19" i="42"/>
  <c r="A17" i="42"/>
  <c r="H14" i="42"/>
  <c r="G48" i="42"/>
  <c r="B46" i="42"/>
  <c r="E43" i="42"/>
  <c r="G40" i="42"/>
  <c r="B38" i="42"/>
  <c r="E35" i="42"/>
  <c r="G32" i="42"/>
  <c r="B30" i="42"/>
  <c r="E27" i="42"/>
  <c r="G24" i="42"/>
  <c r="B22" i="42"/>
  <c r="E19" i="42"/>
  <c r="G16" i="42"/>
  <c r="G14" i="42"/>
  <c r="E16" i="42"/>
  <c r="B17" i="42"/>
  <c r="E20" i="42"/>
  <c r="C10" i="39"/>
  <c r="C15" i="39"/>
  <c r="C12" i="39"/>
  <c r="K74" i="57"/>
  <c r="L14" i="57"/>
  <c r="L15" i="57" s="1"/>
  <c r="L16" i="57" s="1"/>
  <c r="L17" i="57" s="1"/>
  <c r="L18" i="57" s="1"/>
  <c r="L19" i="57" s="1"/>
  <c r="L20" i="57" s="1"/>
  <c r="L21" i="57" s="1"/>
  <c r="L22" i="57" s="1"/>
  <c r="L23" i="57" s="1"/>
  <c r="L24" i="57" s="1"/>
  <c r="L25" i="57" s="1"/>
  <c r="L26" i="57" s="1"/>
  <c r="L27" i="57" s="1"/>
  <c r="L28" i="57" s="1"/>
  <c r="L29" i="57" s="1"/>
  <c r="L30" i="57" s="1"/>
  <c r="L31" i="57" s="1"/>
  <c r="L32" i="57" s="1"/>
  <c r="L33" i="57" s="1"/>
  <c r="L34" i="57" s="1"/>
  <c r="L35" i="57" s="1"/>
  <c r="L36" i="57" s="1"/>
  <c r="L37" i="57" s="1"/>
  <c r="L38" i="57" s="1"/>
  <c r="L39" i="57" s="1"/>
  <c r="L40" i="57" s="1"/>
  <c r="L41" i="57" s="1"/>
  <c r="H18" i="12" l="1"/>
  <c r="J16" i="14"/>
  <c r="J17" i="14" s="1"/>
  <c r="G18" i="12"/>
  <c r="G10" i="70"/>
  <c r="H14" i="70"/>
  <c r="L333" i="55"/>
  <c r="H21" i="70"/>
  <c r="H6" i="70"/>
  <c r="H35" i="70"/>
  <c r="G29" i="70"/>
  <c r="G18" i="70"/>
  <c r="G20" i="70"/>
  <c r="G14" i="70"/>
  <c r="H10" i="70"/>
  <c r="G6" i="70"/>
  <c r="G8" i="70"/>
  <c r="G35" i="70"/>
  <c r="G21" i="70"/>
  <c r="H18" i="70"/>
  <c r="H31" i="70"/>
  <c r="H34" i="70"/>
  <c r="H33" i="70"/>
  <c r="H28" i="70"/>
  <c r="G31" i="70"/>
  <c r="G34" i="70"/>
  <c r="G28" i="70"/>
  <c r="H29" i="70"/>
  <c r="G33" i="70"/>
  <c r="H20" i="70"/>
  <c r="H8" i="70"/>
  <c r="H12" i="70"/>
  <c r="H32" i="70"/>
  <c r="G32" i="70"/>
  <c r="G12" i="70"/>
  <c r="L212" i="55"/>
  <c r="L406" i="55"/>
  <c r="L464" i="55"/>
  <c r="L228" i="55"/>
  <c r="L334" i="55"/>
  <c r="L391" i="55"/>
  <c r="L348" i="55"/>
  <c r="L404" i="55"/>
  <c r="L422" i="55"/>
  <c r="L331" i="55"/>
  <c r="L347" i="55"/>
  <c r="L335" i="55"/>
  <c r="L361" i="55"/>
  <c r="L349" i="55"/>
  <c r="L428" i="55"/>
  <c r="L387" i="55"/>
  <c r="L429" i="55"/>
  <c r="L292" i="55"/>
  <c r="L346" i="55"/>
  <c r="L417" i="55"/>
  <c r="L423" i="55"/>
  <c r="L318" i="55"/>
  <c r="L416" i="55"/>
  <c r="L360" i="55"/>
  <c r="L418" i="55"/>
  <c r="L367" i="55"/>
  <c r="L435" i="55"/>
  <c r="L275" i="55"/>
  <c r="L329" i="55"/>
  <c r="L338" i="55"/>
  <c r="L434" i="55"/>
  <c r="L306" i="55"/>
  <c r="L199" i="55"/>
  <c r="L433" i="55"/>
  <c r="L81" i="55"/>
  <c r="L40" i="55"/>
  <c r="L340" i="55"/>
  <c r="L67" i="55"/>
  <c r="L33" i="55"/>
  <c r="L203" i="55"/>
  <c r="L411" i="55"/>
  <c r="L85" i="55"/>
  <c r="L414" i="55"/>
  <c r="L320" i="55"/>
  <c r="L366" i="55"/>
  <c r="L276" i="55"/>
  <c r="L394" i="55"/>
  <c r="L351" i="55"/>
  <c r="L419" i="55"/>
  <c r="L390" i="55"/>
  <c r="L297" i="55"/>
  <c r="L336" i="55"/>
  <c r="L400" i="55"/>
  <c r="L271" i="55"/>
  <c r="L192" i="55"/>
  <c r="L293" i="55"/>
  <c r="L325" i="55"/>
  <c r="L410" i="55"/>
  <c r="L305" i="55"/>
  <c r="L355" i="55"/>
  <c r="L425" i="55"/>
  <c r="L182" i="55"/>
  <c r="L373" i="55"/>
  <c r="L415" i="55"/>
  <c r="L412" i="55"/>
  <c r="L378" i="55"/>
  <c r="L353" i="55"/>
  <c r="L368" i="55"/>
  <c r="L313" i="55"/>
  <c r="L432" i="55"/>
  <c r="L307" i="55"/>
  <c r="L379" i="55"/>
  <c r="L277" i="55"/>
  <c r="L87" i="55"/>
  <c r="L454" i="55"/>
  <c r="L172" i="55"/>
  <c r="L60" i="55"/>
  <c r="L310" i="55"/>
  <c r="L89" i="55"/>
  <c r="L221" i="55"/>
  <c r="L206" i="55"/>
  <c r="L365" i="55"/>
  <c r="L238" i="55"/>
  <c r="L369" i="55"/>
  <c r="L154" i="55"/>
  <c r="L94" i="55"/>
  <c r="L288" i="55"/>
  <c r="L430" i="55"/>
  <c r="L145" i="55"/>
  <c r="L466" i="55"/>
  <c r="L139" i="55"/>
  <c r="L26" i="55"/>
  <c r="L452" i="55"/>
  <c r="L460" i="55"/>
  <c r="L119" i="55"/>
  <c r="L234" i="55"/>
  <c r="L443" i="55"/>
  <c r="L137" i="55"/>
  <c r="L278" i="55"/>
  <c r="L327" i="55"/>
  <c r="L130" i="55"/>
  <c r="L186" i="55"/>
  <c r="L90" i="55"/>
  <c r="L70" i="55"/>
  <c r="L92" i="55"/>
  <c r="L189" i="55"/>
  <c r="L144" i="55"/>
  <c r="L316" i="55"/>
  <c r="L158" i="55"/>
  <c r="L408" i="55"/>
  <c r="L450" i="55"/>
  <c r="L392" i="55"/>
  <c r="L210" i="55"/>
  <c r="L74" i="55"/>
  <c r="L380" i="55"/>
  <c r="L157" i="55"/>
  <c r="L389" i="55"/>
  <c r="L164" i="55"/>
  <c r="L236" i="55"/>
  <c r="L453" i="55"/>
  <c r="L141" i="55"/>
  <c r="L220" i="55"/>
  <c r="L350" i="55"/>
  <c r="L72" i="55"/>
  <c r="L457" i="55"/>
  <c r="L185" i="55"/>
  <c r="L447" i="55"/>
  <c r="L148" i="55"/>
  <c r="L39" i="55"/>
  <c r="L377" i="55"/>
  <c r="L38" i="55"/>
  <c r="L362" i="55"/>
  <c r="L315" i="55"/>
  <c r="L131" i="55"/>
  <c r="L272" i="55"/>
  <c r="L440" i="55"/>
  <c r="L110" i="55"/>
  <c r="L290" i="55"/>
  <c r="L43" i="55"/>
  <c r="L407" i="55"/>
  <c r="L42" i="55"/>
  <c r="H13" i="12"/>
  <c r="L463" i="55"/>
  <c r="L15" i="55"/>
  <c r="L20" i="55"/>
  <c r="L438" i="55"/>
  <c r="L46" i="55"/>
  <c r="L341" i="55"/>
  <c r="L162" i="55"/>
  <c r="L436" i="55"/>
  <c r="L405" i="55"/>
  <c r="L25" i="55"/>
  <c r="L75" i="55"/>
  <c r="L68" i="55"/>
  <c r="L187" i="55"/>
  <c r="L461" i="55"/>
  <c r="L413" i="55"/>
  <c r="L409" i="55"/>
  <c r="L321" i="55"/>
  <c r="L129" i="55"/>
  <c r="L359" i="55"/>
  <c r="L121" i="55"/>
  <c r="L191" i="55"/>
  <c r="L116" i="55"/>
  <c r="L47" i="55"/>
  <c r="L58" i="55"/>
  <c r="L283" i="55"/>
  <c r="L21" i="55"/>
  <c r="L36" i="55"/>
  <c r="L77" i="55"/>
  <c r="H14" i="12"/>
  <c r="L442" i="55"/>
  <c r="L441" i="55"/>
  <c r="L456" i="55"/>
  <c r="L56" i="55"/>
  <c r="L352" i="55"/>
  <c r="L16" i="55"/>
  <c r="L446" i="55"/>
  <c r="L317" i="55"/>
  <c r="L462" i="55"/>
  <c r="L459" i="55"/>
  <c r="L171" i="55"/>
  <c r="L34" i="55"/>
  <c r="L93" i="55"/>
  <c r="L24" i="55"/>
  <c r="L256" i="55"/>
  <c r="L330" i="55"/>
  <c r="L128" i="55"/>
  <c r="L322" i="55"/>
  <c r="H468" i="55"/>
  <c r="L287" i="55"/>
  <c r="L45" i="55"/>
  <c r="L103" i="55"/>
  <c r="L122" i="55"/>
  <c r="L398" i="55"/>
  <c r="L364" i="55"/>
  <c r="L295" i="55"/>
  <c r="L118" i="55"/>
  <c r="L35" i="55"/>
  <c r="L180" i="55"/>
  <c r="L266" i="55"/>
  <c r="L281" i="55"/>
  <c r="L83" i="55"/>
  <c r="L125" i="55"/>
  <c r="L160" i="55"/>
  <c r="J468" i="55"/>
  <c r="L343" i="55"/>
  <c r="L134" i="55"/>
  <c r="L100" i="55"/>
  <c r="L244" i="55"/>
  <c r="L152" i="55"/>
  <c r="L140" i="55"/>
  <c r="L285" i="55"/>
  <c r="L217" i="55"/>
  <c r="L339" i="55"/>
  <c r="L98" i="55"/>
  <c r="L19" i="55"/>
  <c r="L427" i="55"/>
  <c r="L76" i="55"/>
  <c r="L112" i="55"/>
  <c r="L54" i="55"/>
  <c r="L328" i="55"/>
  <c r="L374" i="55"/>
  <c r="L279" i="55"/>
  <c r="L382" i="55"/>
  <c r="L195" i="55"/>
  <c r="L388" i="55"/>
  <c r="L381" i="55"/>
  <c r="L163" i="55"/>
  <c r="L115" i="55"/>
  <c r="L138" i="55"/>
  <c r="L183" i="55"/>
  <c r="L458" i="55"/>
  <c r="L309" i="55"/>
  <c r="L280" i="55"/>
  <c r="L448" i="55"/>
  <c r="L184" i="55"/>
  <c r="L161" i="55"/>
  <c r="L23" i="55"/>
  <c r="L399" i="55"/>
  <c r="L465" i="55"/>
  <c r="L225" i="55"/>
  <c r="L99" i="55"/>
  <c r="L32" i="55"/>
  <c r="L232" i="55"/>
  <c r="L22" i="55"/>
  <c r="L101" i="55"/>
  <c r="L358" i="55"/>
  <c r="L151" i="55"/>
  <c r="L311" i="55"/>
  <c r="L117" i="55"/>
  <c r="L190" i="55"/>
  <c r="L444" i="55"/>
  <c r="L455" i="55"/>
  <c r="L284" i="55"/>
  <c r="L62" i="55"/>
  <c r="L123" i="55"/>
  <c r="L370" i="55"/>
  <c r="L126" i="55"/>
  <c r="L124" i="55"/>
  <c r="L403" i="55"/>
  <c r="L18" i="55"/>
  <c r="L136" i="55"/>
  <c r="L363" i="55"/>
  <c r="L37" i="55"/>
  <c r="L449" i="55"/>
  <c r="L282" i="55"/>
  <c r="L97" i="55"/>
  <c r="L424" i="55"/>
  <c r="L91" i="55"/>
  <c r="L197" i="55"/>
  <c r="L86" i="55"/>
  <c r="L30" i="55"/>
  <c r="L273" i="55"/>
  <c r="L88" i="55"/>
  <c r="L386" i="55"/>
  <c r="L302" i="55"/>
  <c r="L375" i="55"/>
  <c r="L31" i="55"/>
  <c r="L132" i="55"/>
  <c r="L439" i="55"/>
  <c r="L385" i="55"/>
  <c r="L301" i="55"/>
  <c r="L102" i="55"/>
  <c r="L357" i="55"/>
  <c r="L372" i="55"/>
  <c r="L254" i="55"/>
  <c r="L96" i="55"/>
  <c r="L95" i="55"/>
  <c r="L303" i="55"/>
  <c r="L44" i="55"/>
  <c r="L150" i="55"/>
  <c r="L451" i="55"/>
  <c r="L384" i="55"/>
  <c r="L324" i="55"/>
  <c r="L223" i="55"/>
  <c r="L71" i="55"/>
  <c r="L401" i="55"/>
  <c r="L127" i="55"/>
  <c r="L78" i="55"/>
  <c r="L326" i="55"/>
  <c r="L286" i="55"/>
  <c r="L194" i="55"/>
  <c r="L188" i="55"/>
  <c r="L308" i="55"/>
  <c r="L156" i="55"/>
  <c r="L204" i="55"/>
  <c r="L142" i="55"/>
  <c r="L55" i="55"/>
  <c r="L149" i="55"/>
  <c r="L143" i="55"/>
  <c r="L445" i="55"/>
  <c r="L437" i="55"/>
  <c r="L255" i="55"/>
  <c r="L193" i="55"/>
  <c r="L106" i="55"/>
  <c r="L344" i="55"/>
  <c r="L146" i="55"/>
  <c r="L104" i="55"/>
  <c r="L113" i="55"/>
  <c r="L231" i="55"/>
  <c r="L376" i="55"/>
  <c r="L252" i="55"/>
  <c r="L165" i="55"/>
  <c r="L332" i="55"/>
  <c r="L153" i="55"/>
  <c r="L198" i="55"/>
  <c r="L105" i="55"/>
  <c r="L345" i="55"/>
  <c r="L135" i="55"/>
  <c r="L41" i="55"/>
  <c r="L323" i="55"/>
  <c r="L166" i="55"/>
  <c r="L319" i="55"/>
  <c r="L155" i="55"/>
  <c r="L289" i="55"/>
  <c r="L63" i="55"/>
  <c r="L337" i="55"/>
  <c r="L421" i="55"/>
  <c r="L167" i="55"/>
  <c r="L147" i="55"/>
  <c r="L393" i="55"/>
  <c r="L48" i="55"/>
  <c r="L84" i="55"/>
  <c r="L65" i="55"/>
  <c r="L312" i="55"/>
  <c r="L354" i="55"/>
  <c r="L133" i="55"/>
  <c r="L402" i="55"/>
  <c r="L300" i="55"/>
  <c r="L196" i="55"/>
  <c r="L107" i="55"/>
  <c r="L395" i="55"/>
  <c r="L178" i="55"/>
  <c r="L69" i="55"/>
  <c r="L79" i="55"/>
  <c r="L59" i="55"/>
  <c r="L241" i="55"/>
  <c r="L173" i="55"/>
  <c r="L111" i="55"/>
  <c r="L431" i="55"/>
  <c r="L420" i="55"/>
  <c r="L202" i="55"/>
  <c r="L73" i="55"/>
  <c r="L66" i="55"/>
  <c r="L108" i="55"/>
  <c r="L64" i="55"/>
  <c r="L177" i="55"/>
  <c r="L109" i="55"/>
  <c r="L229" i="55"/>
  <c r="L264" i="55"/>
  <c r="L181" i="55"/>
  <c r="L274" i="55"/>
  <c r="L114" i="55"/>
  <c r="L120" i="55"/>
  <c r="L216" i="55"/>
  <c r="G11" i="12"/>
  <c r="H17" i="12"/>
  <c r="L227" i="55"/>
  <c r="G17" i="12"/>
  <c r="H16" i="12"/>
  <c r="H8" i="12"/>
  <c r="H9" i="12"/>
  <c r="G8" i="12"/>
  <c r="H12" i="12"/>
  <c r="H10" i="12"/>
  <c r="G15" i="12"/>
  <c r="G9" i="12"/>
  <c r="G16" i="12"/>
  <c r="G14" i="12"/>
  <c r="G10" i="12"/>
  <c r="H15" i="12"/>
  <c r="G12" i="12"/>
  <c r="H11" i="12"/>
  <c r="G13" i="12"/>
  <c r="L53" i="55"/>
  <c r="L179" i="55"/>
  <c r="L299" i="55"/>
  <c r="L13" i="55"/>
  <c r="L269" i="55"/>
  <c r="L258" i="55"/>
  <c r="L396" i="55"/>
  <c r="L176" i="55"/>
  <c r="L49" i="55"/>
  <c r="L246" i="55"/>
  <c r="L201" i="55"/>
  <c r="L263" i="55"/>
  <c r="L57" i="55"/>
  <c r="L239" i="55"/>
  <c r="L397" i="55"/>
  <c r="L262" i="55"/>
  <c r="L245" i="55"/>
  <c r="L219" i="55"/>
  <c r="L175" i="55"/>
  <c r="L226" i="55"/>
  <c r="L259" i="55"/>
  <c r="L174" i="55"/>
  <c r="L61" i="55"/>
  <c r="L230" i="55"/>
  <c r="L215" i="55"/>
  <c r="L233" i="55"/>
  <c r="L170" i="55"/>
  <c r="L200" i="55"/>
  <c r="L209" i="55"/>
  <c r="L250" i="55"/>
  <c r="L242" i="55"/>
  <c r="L208" i="55"/>
  <c r="L235" i="55"/>
  <c r="L222" i="55"/>
  <c r="L261" i="55"/>
  <c r="L168" i="55"/>
  <c r="L314" i="55"/>
  <c r="L29" i="55"/>
  <c r="L52" i="55"/>
  <c r="L211" i="55"/>
  <c r="L237" i="55"/>
  <c r="L169" i="55"/>
  <c r="L294" i="55"/>
  <c r="L50" i="55"/>
  <c r="L298" i="55"/>
  <c r="L268" i="55"/>
  <c r="L207" i="55"/>
  <c r="L342" i="55"/>
  <c r="L253" i="55"/>
  <c r="L51" i="55"/>
  <c r="L296" i="55"/>
  <c r="L249" i="55"/>
  <c r="L291" i="55"/>
  <c r="L243" i="55"/>
  <c r="L12" i="55"/>
  <c r="L214" i="55"/>
  <c r="L270" i="55"/>
  <c r="L159" i="55"/>
  <c r="L260" i="55"/>
  <c r="L213" i="55"/>
  <c r="L224" i="55"/>
  <c r="L248" i="55"/>
  <c r="L251" i="55"/>
  <c r="L205" i="55"/>
  <c r="L28" i="55"/>
  <c r="L304" i="55"/>
  <c r="L247" i="55"/>
  <c r="L265" i="55"/>
  <c r="L80" i="55"/>
  <c r="L267" i="55"/>
  <c r="L218" i="55"/>
  <c r="L82" i="55"/>
  <c r="L27" i="55"/>
  <c r="L257" i="55"/>
  <c r="L14" i="55"/>
  <c r="L240" i="55"/>
  <c r="I37" i="15"/>
  <c r="A6" i="42"/>
  <c r="A148" i="42"/>
  <c r="I149" i="42"/>
  <c r="I94" i="60"/>
  <c r="H29" i="56"/>
  <c r="I16" i="71"/>
  <c r="J16" i="71"/>
  <c r="G88" i="43"/>
  <c r="G144" i="42"/>
  <c r="I14" i="42"/>
  <c r="I15" i="42" s="1"/>
  <c r="I16" i="42" s="1"/>
  <c r="I17" i="42" s="1"/>
  <c r="I18" i="42" s="1"/>
  <c r="I19" i="42" s="1"/>
  <c r="I20" i="42" s="1"/>
  <c r="I21" i="42" s="1"/>
  <c r="I22" i="42" s="1"/>
  <c r="I23" i="42" s="1"/>
  <c r="I24" i="42" s="1"/>
  <c r="I25" i="42" s="1"/>
  <c r="I26" i="42" s="1"/>
  <c r="I27" i="42" s="1"/>
  <c r="I28" i="42" s="1"/>
  <c r="I29" i="42" s="1"/>
  <c r="I30" i="42" s="1"/>
  <c r="I31" i="42" s="1"/>
  <c r="I32" i="42" s="1"/>
  <c r="I33" i="42" s="1"/>
  <c r="I34" i="42" s="1"/>
  <c r="I35" i="42" s="1"/>
  <c r="I36" i="42" s="1"/>
  <c r="I37" i="42" s="1"/>
  <c r="I38" i="42" s="1"/>
  <c r="I39" i="42" s="1"/>
  <c r="I40" i="42" s="1"/>
  <c r="I41" i="42" s="1"/>
  <c r="I42" i="42" s="1"/>
  <c r="I43" i="42" s="1"/>
  <c r="I44" i="42" s="1"/>
  <c r="I45" i="42" s="1"/>
  <c r="I46" i="42" s="1"/>
  <c r="I47" i="42" s="1"/>
  <c r="I48" i="42" s="1"/>
  <c r="I49" i="42" s="1"/>
  <c r="I50" i="42" s="1"/>
  <c r="I51" i="42" s="1"/>
  <c r="I52" i="42" s="1"/>
  <c r="I53" i="42" s="1"/>
  <c r="I54" i="42" s="1"/>
  <c r="I55" i="42" s="1"/>
  <c r="I56" i="42" s="1"/>
  <c r="I57" i="42" s="1"/>
  <c r="I58" i="42" s="1"/>
  <c r="I59" i="42" s="1"/>
  <c r="I60" i="42" s="1"/>
  <c r="I61" i="42" s="1"/>
  <c r="I62" i="42" s="1"/>
  <c r="I63" i="42" s="1"/>
  <c r="I64" i="42" s="1"/>
  <c r="I65" i="42" s="1"/>
  <c r="I66" i="42" s="1"/>
  <c r="I67" i="42" s="1"/>
  <c r="I68" i="42" s="1"/>
  <c r="I69" i="42" s="1"/>
  <c r="I70" i="42" s="1"/>
  <c r="I71" i="42" s="1"/>
  <c r="I72" i="42" s="1"/>
  <c r="I73" i="42" s="1"/>
  <c r="I74" i="42" s="1"/>
  <c r="I75" i="42" s="1"/>
  <c r="I76" i="42" s="1"/>
  <c r="I77" i="42" s="1"/>
  <c r="I78" i="42" s="1"/>
  <c r="I79" i="42" s="1"/>
  <c r="I80" i="42" s="1"/>
  <c r="I81" i="42" s="1"/>
  <c r="I82" i="42" s="1"/>
  <c r="I83" i="42" s="1"/>
  <c r="I84" i="42" s="1"/>
  <c r="I85" i="42" s="1"/>
  <c r="I86" i="42" s="1"/>
  <c r="I87" i="42" s="1"/>
  <c r="I88" i="42" s="1"/>
  <c r="I89" i="42" s="1"/>
  <c r="I90" i="42" s="1"/>
  <c r="I91" i="42" s="1"/>
  <c r="I92" i="42" s="1"/>
  <c r="I93" i="42" s="1"/>
  <c r="I94" i="42" s="1"/>
  <c r="I95" i="42" s="1"/>
  <c r="I96" i="42" s="1"/>
  <c r="I97" i="42" s="1"/>
  <c r="I98" i="42" s="1"/>
  <c r="I99" i="42" s="1"/>
  <c r="I100" i="42" s="1"/>
  <c r="I101" i="42" s="1"/>
  <c r="I102" i="42" s="1"/>
  <c r="I103" i="42" s="1"/>
  <c r="I104" i="42" s="1"/>
  <c r="I105" i="42" s="1"/>
  <c r="I106" i="42" s="1"/>
  <c r="I107" i="42" s="1"/>
  <c r="I108" i="42" s="1"/>
  <c r="I109" i="42" s="1"/>
  <c r="I110" i="42" s="1"/>
  <c r="I111" i="42" s="1"/>
  <c r="I112" i="42" s="1"/>
  <c r="I113" i="42" s="1"/>
  <c r="I114" i="42" s="1"/>
  <c r="I115" i="42" s="1"/>
  <c r="I116" i="42" s="1"/>
  <c r="I117" i="42" s="1"/>
  <c r="I118" i="42" s="1"/>
  <c r="I119" i="42" s="1"/>
  <c r="I120" i="42" s="1"/>
  <c r="I121" i="42" s="1"/>
  <c r="I122" i="42" s="1"/>
  <c r="I123" i="42" s="1"/>
  <c r="I124" i="42" s="1"/>
  <c r="I125" i="42" s="1"/>
  <c r="I126" i="42" s="1"/>
  <c r="I127" i="42" s="1"/>
  <c r="I128" i="42" s="1"/>
  <c r="I129" i="42" s="1"/>
  <c r="I130" i="42" s="1"/>
  <c r="I131" i="42" s="1"/>
  <c r="I132" i="42" s="1"/>
  <c r="I133" i="42" s="1"/>
  <c r="I134" i="42" s="1"/>
  <c r="I135" i="42" s="1"/>
  <c r="I136" i="42" s="1"/>
  <c r="I137" i="42" s="1"/>
  <c r="I138" i="42" s="1"/>
  <c r="I139" i="42" s="1"/>
  <c r="I140" i="42" s="1"/>
  <c r="I141" i="42" s="1"/>
  <c r="I142" i="42" s="1"/>
  <c r="E159" i="42"/>
  <c r="H144" i="42"/>
  <c r="A31" i="56"/>
  <c r="I17" i="14" l="1"/>
  <c r="I18" i="14" s="1"/>
  <c r="L468" i="55"/>
  <c r="J17" i="71"/>
  <c r="I17" i="71"/>
  <c r="I145" i="42"/>
  <c r="J18" i="14" l="1"/>
  <c r="J19" i="14" s="1"/>
  <c r="I18" i="71"/>
  <c r="J18" i="71"/>
  <c r="I19" i="14" l="1"/>
  <c r="I20" i="14" s="1"/>
  <c r="J19" i="71"/>
  <c r="I19" i="71"/>
  <c r="J20" i="14" l="1"/>
  <c r="J21" i="14" s="1"/>
  <c r="I20" i="71"/>
  <c r="J20" i="71"/>
  <c r="I21" i="14" l="1"/>
  <c r="I22" i="14" s="1"/>
  <c r="J21" i="71"/>
  <c r="I21" i="71"/>
  <c r="J22" i="14" l="1"/>
  <c r="J23" i="14" s="1"/>
  <c r="J22" i="71"/>
  <c r="I22" i="71"/>
  <c r="I23" i="14" l="1"/>
  <c r="I24" i="14" s="1"/>
  <c r="I23" i="71"/>
  <c r="J23" i="71"/>
  <c r="F15" i="47"/>
  <c r="J24" i="14" l="1"/>
  <c r="J25" i="14" s="1"/>
  <c r="J24" i="71"/>
  <c r="I24" i="71"/>
  <c r="F32" i="47"/>
  <c r="I33" i="47" s="1"/>
  <c r="H15" i="47"/>
  <c r="I15" i="47"/>
  <c r="I25" i="14" l="1"/>
  <c r="I26" i="14" s="1"/>
  <c r="J25" i="71"/>
  <c r="I25" i="71"/>
  <c r="H33" i="47"/>
  <c r="I16" i="47"/>
  <c r="H16" i="47"/>
  <c r="J26" i="14" l="1"/>
  <c r="J27" i="14" s="1"/>
  <c r="J26" i="71"/>
  <c r="I26" i="71"/>
  <c r="H17" i="47"/>
  <c r="I17" i="47"/>
  <c r="I27" i="14" l="1"/>
  <c r="I28" i="14" s="1"/>
  <c r="I27" i="71"/>
  <c r="J27" i="71"/>
  <c r="I18" i="47"/>
  <c r="H18" i="47"/>
  <c r="J28" i="14" l="1"/>
  <c r="J29" i="14" s="1"/>
  <c r="I28" i="71"/>
  <c r="J28" i="71"/>
  <c r="H19" i="47"/>
  <c r="I19" i="47"/>
  <c r="I29" i="14" l="1"/>
  <c r="I30" i="14" s="1"/>
  <c r="J29" i="71"/>
  <c r="I29" i="71"/>
  <c r="I20" i="47"/>
  <c r="H20" i="47"/>
  <c r="J30" i="14" l="1"/>
  <c r="J31" i="14" s="1"/>
  <c r="J30" i="71"/>
  <c r="J31" i="71" s="1"/>
  <c r="J32" i="71" s="1"/>
  <c r="J33" i="71" s="1"/>
  <c r="J34" i="71" s="1"/>
  <c r="J35" i="71" s="1"/>
  <c r="J36" i="71" s="1"/>
  <c r="J37" i="71" s="1"/>
  <c r="J38" i="71" s="1"/>
  <c r="J39" i="71" s="1"/>
  <c r="J40" i="71" s="1"/>
  <c r="J41" i="71" s="1"/>
  <c r="J42" i="71" s="1"/>
  <c r="J43" i="71" s="1"/>
  <c r="J44" i="71" s="1"/>
  <c r="J45" i="71" s="1"/>
  <c r="J46" i="71" s="1"/>
  <c r="J47" i="71" s="1"/>
  <c r="J48" i="71" s="1"/>
  <c r="J49" i="71" s="1"/>
  <c r="J50" i="71" s="1"/>
  <c r="J51" i="71" s="1"/>
  <c r="J52" i="71" s="1"/>
  <c r="J53" i="71" s="1"/>
  <c r="J54" i="71" s="1"/>
  <c r="J55" i="71" s="1"/>
  <c r="J56" i="71" s="1"/>
  <c r="J57" i="71" s="1"/>
  <c r="J58" i="71" s="1"/>
  <c r="J59" i="71" s="1"/>
  <c r="J60" i="71" s="1"/>
  <c r="J61" i="71" s="1"/>
  <c r="J62" i="71" s="1"/>
  <c r="J63" i="71" s="1"/>
  <c r="J64" i="71" s="1"/>
  <c r="J65" i="71" s="1"/>
  <c r="J66" i="71" s="1"/>
  <c r="J67" i="71" s="1"/>
  <c r="J68" i="71" s="1"/>
  <c r="J69" i="71" s="1"/>
  <c r="J70" i="71" s="1"/>
  <c r="J71" i="71" s="1"/>
  <c r="J72" i="71" s="1"/>
  <c r="J73" i="71" s="1"/>
  <c r="J74" i="71" s="1"/>
  <c r="J75" i="71" s="1"/>
  <c r="J76" i="71" s="1"/>
  <c r="J77" i="71" s="1"/>
  <c r="J78" i="71" s="1"/>
  <c r="J79" i="71" s="1"/>
  <c r="J80" i="71" s="1"/>
  <c r="J81" i="71" s="1"/>
  <c r="J82" i="71" s="1"/>
  <c r="J83" i="71" s="1"/>
  <c r="I30" i="71"/>
  <c r="I31" i="71" s="1"/>
  <c r="I32" i="71" s="1"/>
  <c r="I33" i="71" s="1"/>
  <c r="I34" i="71" s="1"/>
  <c r="I35" i="71" s="1"/>
  <c r="I36" i="71" s="1"/>
  <c r="I37" i="71" s="1"/>
  <c r="I38" i="71" s="1"/>
  <c r="I39" i="71" s="1"/>
  <c r="I40" i="71" s="1"/>
  <c r="I41" i="71" s="1"/>
  <c r="I42" i="71" s="1"/>
  <c r="I43" i="71" s="1"/>
  <c r="I44" i="71" s="1"/>
  <c r="I45" i="71" s="1"/>
  <c r="I46" i="71" s="1"/>
  <c r="I47" i="71" s="1"/>
  <c r="I48" i="71" s="1"/>
  <c r="I49" i="71" s="1"/>
  <c r="I50" i="71" s="1"/>
  <c r="I51" i="71" s="1"/>
  <c r="I52" i="71" s="1"/>
  <c r="I53" i="71" s="1"/>
  <c r="I54" i="71" s="1"/>
  <c r="I55" i="71" s="1"/>
  <c r="I56" i="71" s="1"/>
  <c r="I57" i="71" s="1"/>
  <c r="I58" i="71" s="1"/>
  <c r="I59" i="71" s="1"/>
  <c r="I60" i="71" s="1"/>
  <c r="I61" i="71" s="1"/>
  <c r="I62" i="71" s="1"/>
  <c r="I63" i="71" s="1"/>
  <c r="I64" i="71" s="1"/>
  <c r="I65" i="71" s="1"/>
  <c r="I66" i="71" s="1"/>
  <c r="I67" i="71" s="1"/>
  <c r="I68" i="71" s="1"/>
  <c r="I69" i="71" s="1"/>
  <c r="I70" i="71" s="1"/>
  <c r="I71" i="71" s="1"/>
  <c r="I72" i="71" s="1"/>
  <c r="I73" i="71" s="1"/>
  <c r="I74" i="71" s="1"/>
  <c r="I75" i="71" s="1"/>
  <c r="I76" i="71" s="1"/>
  <c r="I77" i="71" s="1"/>
  <c r="I78" i="71" s="1"/>
  <c r="I79" i="71" s="1"/>
  <c r="I80" i="71" s="1"/>
  <c r="I81" i="71" s="1"/>
  <c r="I82" i="71" s="1"/>
  <c r="I83" i="71" s="1"/>
  <c r="H21" i="47"/>
  <c r="I21" i="47"/>
  <c r="F38" i="43"/>
  <c r="F88" i="43" s="1"/>
  <c r="H12" i="43"/>
  <c r="H13" i="43" s="1"/>
  <c r="H14" i="43" s="1"/>
  <c r="H15" i="43" s="1"/>
  <c r="H16" i="43" s="1"/>
  <c r="H17" i="43" s="1"/>
  <c r="H18" i="43" s="1"/>
  <c r="H19" i="43" s="1"/>
  <c r="H20" i="43" s="1"/>
  <c r="H21" i="43" s="1"/>
  <c r="H22" i="43" s="1"/>
  <c r="H23" i="43" s="1"/>
  <c r="H24" i="43" s="1"/>
  <c r="H25" i="43" s="1"/>
  <c r="H26" i="43" s="1"/>
  <c r="H27" i="43" s="1"/>
  <c r="H28" i="43" s="1"/>
  <c r="H29" i="43" s="1"/>
  <c r="H30" i="43" s="1"/>
  <c r="H31" i="43" s="1"/>
  <c r="H32" i="43" s="1"/>
  <c r="H33" i="43" s="1"/>
  <c r="H34" i="43" s="1"/>
  <c r="H35" i="43" s="1"/>
  <c r="H36" i="43" s="1"/>
  <c r="H37" i="43" s="1"/>
  <c r="I31" i="14" l="1"/>
  <c r="I32" i="14" s="1"/>
  <c r="I22" i="47"/>
  <c r="H22" i="47"/>
  <c r="H38" i="43"/>
  <c r="H39" i="43" s="1"/>
  <c r="H40" i="43" s="1"/>
  <c r="H41" i="43" s="1"/>
  <c r="H42" i="43" s="1"/>
  <c r="H43" i="43" s="1"/>
  <c r="H44" i="43" s="1"/>
  <c r="H45" i="43" s="1"/>
  <c r="H46" i="43" s="1"/>
  <c r="H47" i="43" s="1"/>
  <c r="H48" i="43" s="1"/>
  <c r="H49" i="43" s="1"/>
  <c r="H50" i="43" s="1"/>
  <c r="H51" i="43" s="1"/>
  <c r="H52" i="43" s="1"/>
  <c r="H53" i="43" s="1"/>
  <c r="H54" i="43" s="1"/>
  <c r="H55" i="43" s="1"/>
  <c r="H56" i="43" s="1"/>
  <c r="H57" i="43" s="1"/>
  <c r="H58" i="43" s="1"/>
  <c r="H59" i="43" s="1"/>
  <c r="H60" i="43" s="1"/>
  <c r="H61" i="43" s="1"/>
  <c r="H62" i="43" s="1"/>
  <c r="H63" i="43" s="1"/>
  <c r="H64" i="43" s="1"/>
  <c r="H65" i="43" s="1"/>
  <c r="H66" i="43" s="1"/>
  <c r="H67" i="43" s="1"/>
  <c r="H68" i="43" s="1"/>
  <c r="H69" i="43" s="1"/>
  <c r="H70" i="43" s="1"/>
  <c r="H71" i="43" s="1"/>
  <c r="H72" i="43" s="1"/>
  <c r="H73" i="43" s="1"/>
  <c r="H74" i="43" s="1"/>
  <c r="H75" i="43" s="1"/>
  <c r="H76" i="43" s="1"/>
  <c r="H77" i="43" s="1"/>
  <c r="H78" i="43" s="1"/>
  <c r="H79" i="43" s="1"/>
  <c r="H80" i="43" s="1"/>
  <c r="H81" i="43" s="1"/>
  <c r="H88" i="43"/>
  <c r="H89" i="43" s="1"/>
  <c r="J32" i="14" l="1"/>
  <c r="J33" i="14" s="1"/>
  <c r="I23" i="47"/>
  <c r="H23" i="47"/>
  <c r="I33" i="14" l="1"/>
  <c r="I34" i="14" s="1"/>
  <c r="H24" i="47"/>
  <c r="I24" i="47"/>
  <c r="J34" i="14" l="1"/>
  <c r="J35" i="14" s="1"/>
  <c r="I25" i="47"/>
  <c r="H25" i="47"/>
  <c r="I35" i="14" l="1"/>
  <c r="I36" i="14" s="1"/>
  <c r="H26" i="47"/>
  <c r="I26" i="47"/>
  <c r="J36" i="14" l="1"/>
  <c r="J37" i="14" s="1"/>
  <c r="I27" i="47"/>
  <c r="H27" i="47"/>
  <c r="I37" i="14" l="1"/>
  <c r="I38" i="14" s="1"/>
  <c r="H28" i="47"/>
  <c r="I28" i="47"/>
  <c r="J38" i="14" l="1"/>
  <c r="J39" i="14" s="1"/>
  <c r="I29" i="47"/>
  <c r="H29" i="47"/>
  <c r="I39" i="14" l="1"/>
  <c r="I40" i="14" s="1"/>
  <c r="H30" i="47"/>
  <c r="I30" i="47"/>
  <c r="J40" i="14" l="1"/>
  <c r="J41" i="14" s="1"/>
  <c r="G88" i="60"/>
  <c r="A41" i="60"/>
  <c r="A42" i="60" s="1"/>
  <c r="A43" i="60" s="1"/>
  <c r="A44" i="60" s="1"/>
  <c r="A45" i="60" s="1"/>
  <c r="A46" i="60" s="1"/>
  <c r="A47" i="60" s="1"/>
  <c r="A48" i="60" s="1"/>
  <c r="A49" i="60" s="1"/>
  <c r="A50" i="60" s="1"/>
  <c r="A51" i="60" s="1"/>
  <c r="A52" i="60" s="1"/>
  <c r="A54" i="60" s="1"/>
  <c r="A55" i="60" s="1"/>
  <c r="A56" i="60" s="1"/>
  <c r="A57" i="60" s="1"/>
  <c r="A58" i="60" s="1"/>
  <c r="A59" i="60" s="1"/>
  <c r="A60" i="60" s="1"/>
  <c r="A61" i="60" s="1"/>
  <c r="A62" i="60" s="1"/>
  <c r="A63" i="60" s="1"/>
  <c r="A64" i="60" s="1"/>
  <c r="A65" i="60" s="1"/>
  <c r="A67" i="60" s="1"/>
  <c r="A68" i="60" s="1"/>
  <c r="A69" i="60" s="1"/>
  <c r="A70" i="60" s="1"/>
  <c r="A71" i="60" s="1"/>
  <c r="A72" i="60" s="1"/>
  <c r="A73" i="60" s="1"/>
  <c r="I41" i="14" l="1"/>
  <c r="I42" i="14" s="1"/>
  <c r="I83" i="60"/>
  <c r="J42" i="14" l="1"/>
  <c r="J43" i="14" s="1"/>
  <c r="F42" i="57"/>
  <c r="I43" i="14" l="1"/>
  <c r="I44" i="14" s="1"/>
  <c r="J42" i="57"/>
  <c r="J74" i="57" s="1"/>
  <c r="H42" i="57"/>
  <c r="J44" i="14" l="1"/>
  <c r="J45" i="14" s="1"/>
  <c r="I24" i="73"/>
  <c r="H24" i="73"/>
  <c r="H10" i="73"/>
  <c r="I10" i="73"/>
  <c r="H74" i="57"/>
  <c r="L74" i="57" s="1"/>
  <c r="L42" i="57"/>
  <c r="L43" i="57" s="1"/>
  <c r="L44" i="57" s="1"/>
  <c r="L45" i="57" s="1"/>
  <c r="L46" i="57" s="1"/>
  <c r="L47" i="57" s="1"/>
  <c r="L48" i="57" s="1"/>
  <c r="L49" i="57" s="1"/>
  <c r="L50" i="57" s="1"/>
  <c r="L51" i="57" s="1"/>
  <c r="L52" i="57" s="1"/>
  <c r="L53" i="57" s="1"/>
  <c r="L54" i="57" s="1"/>
  <c r="L55" i="57" s="1"/>
  <c r="L56" i="57" s="1"/>
  <c r="L57" i="57" s="1"/>
  <c r="L58" i="57" s="1"/>
  <c r="L59" i="57" s="1"/>
  <c r="L60" i="57" s="1"/>
  <c r="L61" i="57" s="1"/>
  <c r="L62" i="57" s="1"/>
  <c r="L63" i="57" s="1"/>
  <c r="L64" i="57" s="1"/>
  <c r="L65" i="57" s="1"/>
  <c r="L66" i="57" s="1"/>
  <c r="L67" i="57" s="1"/>
  <c r="L68" i="57" s="1"/>
  <c r="L69" i="57" s="1"/>
  <c r="L70" i="57" s="1"/>
  <c r="L71" i="57" s="1"/>
  <c r="L72" i="57" s="1"/>
  <c r="I45" i="14" l="1"/>
  <c r="I46" i="14" s="1"/>
  <c r="I52" i="73"/>
  <c r="H52" i="73"/>
  <c r="J46" i="14" l="1"/>
  <c r="J47" i="14" s="1"/>
  <c r="A96" i="60"/>
  <c r="A97" i="60" s="1"/>
  <c r="A98" i="60" s="1"/>
  <c r="A100" i="60" s="1"/>
  <c r="A101" i="60" s="1"/>
  <c r="A102" i="60" s="1"/>
  <c r="A103" i="60" s="1"/>
  <c r="A104" i="60" s="1"/>
  <c r="A105" i="60" s="1"/>
  <c r="A106" i="60" s="1"/>
  <c r="A107" i="60" s="1"/>
  <c r="A108" i="60" s="1"/>
  <c r="A109" i="60" s="1"/>
  <c r="A111" i="60" s="1"/>
  <c r="A112" i="60" s="1"/>
  <c r="A113" i="60" s="1"/>
  <c r="A114" i="60" s="1"/>
  <c r="A115" i="60" s="1"/>
  <c r="A116" i="60" s="1"/>
  <c r="A117" i="60" s="1"/>
  <c r="A118" i="60" s="1"/>
  <c r="A119" i="60" s="1"/>
  <c r="A120" i="60" s="1"/>
  <c r="A121" i="60" s="1"/>
  <c r="A122" i="60" s="1"/>
  <c r="A123" i="60" s="1"/>
  <c r="A124" i="60" s="1"/>
  <c r="A125" i="60" s="1"/>
  <c r="A126" i="60" s="1"/>
  <c r="A127" i="60" s="1"/>
  <c r="A128" i="60" s="1"/>
  <c r="A130" i="60" s="1"/>
  <c r="A131" i="60" s="1"/>
  <c r="A132" i="60" s="1"/>
  <c r="I47" i="14" l="1"/>
  <c r="I48" i="14" s="1"/>
  <c r="F45" i="15" a="1"/>
  <c r="F45" i="15" s="1"/>
  <c r="D13" i="39"/>
  <c r="F46" i="15" a="1"/>
  <c r="F46" i="15" s="1"/>
  <c r="F48" i="15" a="1"/>
  <c r="F48" i="15" s="1"/>
  <c r="F43" i="15" a="1"/>
  <c r="F43" i="15" s="1"/>
  <c r="E45" i="15" a="1"/>
  <c r="E45" i="15" s="1"/>
  <c r="I45" i="15" s="1"/>
  <c r="F16" i="70" a="1"/>
  <c r="F16" i="70" s="1"/>
  <c r="E46" i="15" a="1"/>
  <c r="E46" i="15" s="1"/>
  <c r="F38" i="15" a="1"/>
  <c r="F38" i="15" s="1"/>
  <c r="F39" i="15" s="1"/>
  <c r="E42" i="15" a="1"/>
  <c r="E42" i="15" s="1"/>
  <c r="E44" i="15" a="1"/>
  <c r="E44" i="15" s="1"/>
  <c r="F24" i="70" a="1"/>
  <c r="F24" i="70" s="1"/>
  <c r="E43" i="15" a="1"/>
  <c r="E43" i="15" s="1"/>
  <c r="I43" i="15" s="1"/>
  <c r="E25" i="15" a="1"/>
  <c r="E25" i="15" s="1"/>
  <c r="E7" i="12" a="1"/>
  <c r="E7" i="12" s="1"/>
  <c r="E21" i="15" a="1"/>
  <c r="E21" i="15" s="1"/>
  <c r="E40" i="15" a="1"/>
  <c r="E40" i="15" s="1"/>
  <c r="F19" i="15" a="1"/>
  <c r="F19" i="15" s="1"/>
  <c r="E24" i="15" a="1"/>
  <c r="E24" i="15" s="1"/>
  <c r="F30" i="15" a="1"/>
  <c r="F30" i="15" s="1"/>
  <c r="E27" i="70" a="1"/>
  <c r="E27" i="70" s="1"/>
  <c r="E23" i="70" a="1"/>
  <c r="E23" i="70" s="1"/>
  <c r="E41" i="15" a="1"/>
  <c r="E41" i="15" s="1"/>
  <c r="E47" i="15" a="1"/>
  <c r="E47" i="15" s="1"/>
  <c r="F21" i="15" a="1"/>
  <c r="F21" i="15" s="1"/>
  <c r="E19" i="15" a="1"/>
  <c r="E19" i="15" s="1"/>
  <c r="F19" i="70" a="1"/>
  <c r="F19" i="70" s="1"/>
  <c r="E28" i="15" a="1"/>
  <c r="E28" i="15" s="1"/>
  <c r="F7" i="70" a="1"/>
  <c r="F7" i="70" s="1"/>
  <c r="E12" i="15" a="1"/>
  <c r="E12" i="15" s="1"/>
  <c r="F14" i="15" a="1"/>
  <c r="F14" i="15" s="1"/>
  <c r="E30" i="70" a="1"/>
  <c r="E30" i="70" s="1"/>
  <c r="E15" i="70" a="1"/>
  <c r="E15" i="70" s="1"/>
  <c r="F22" i="15" a="1"/>
  <c r="F22" i="15" s="1"/>
  <c r="F13" i="70" a="1"/>
  <c r="F13" i="70" s="1"/>
  <c r="F35" i="15" a="1"/>
  <c r="F35" i="15" s="1"/>
  <c r="E38" i="15" a="1"/>
  <c r="E38" i="15" s="1"/>
  <c r="E39" i="15" s="1"/>
  <c r="F32" i="15" a="1"/>
  <c r="F32" i="15" s="1"/>
  <c r="F6" i="12" a="1"/>
  <c r="F6" i="12" s="1"/>
  <c r="F27" i="70" a="1"/>
  <c r="F27" i="70" s="1"/>
  <c r="E13" i="70" a="1"/>
  <c r="E13" i="70" s="1"/>
  <c r="F10" i="15" a="1"/>
  <c r="F10" i="15" s="1"/>
  <c r="E19" i="70" a="1"/>
  <c r="E19" i="70" s="1"/>
  <c r="F15" i="70" a="1"/>
  <c r="F15" i="70" s="1"/>
  <c r="E7" i="70" a="1"/>
  <c r="E7" i="70" s="1"/>
  <c r="E14" i="15" a="1"/>
  <c r="E14" i="15" s="1"/>
  <c r="F30" i="70" a="1"/>
  <c r="F30" i="70" s="1"/>
  <c r="E24" i="70" a="1"/>
  <c r="E24" i="70" s="1"/>
  <c r="F34" i="15" a="1"/>
  <c r="F34" i="15" s="1"/>
  <c r="E20" i="15" a="1"/>
  <c r="E20" i="15" s="1"/>
  <c r="H469" i="55" s="1"/>
  <c r="E10" i="15" a="1"/>
  <c r="E10" i="15" s="1"/>
  <c r="F23" i="70" a="1"/>
  <c r="F23" i="70" s="1"/>
  <c r="F26" i="70" a="1"/>
  <c r="F26" i="70" s="1"/>
  <c r="E22" i="15" a="1"/>
  <c r="E22" i="15" s="1"/>
  <c r="F15" i="15" a="1"/>
  <c r="F15" i="15" s="1"/>
  <c r="E17" i="15" a="1"/>
  <c r="E17" i="15" s="1"/>
  <c r="E30" i="15" a="1"/>
  <c r="E30" i="15" s="1"/>
  <c r="F12" i="15" a="1"/>
  <c r="F12" i="15" s="1"/>
  <c r="F7" i="12" a="1"/>
  <c r="F7" i="12" s="1"/>
  <c r="E32" i="15" a="1"/>
  <c r="E32" i="15" s="1"/>
  <c r="F17" i="15" a="1"/>
  <c r="F17" i="15" s="1"/>
  <c r="E16" i="70" a="1"/>
  <c r="E16" i="70" s="1"/>
  <c r="F24" i="15" a="1"/>
  <c r="F24" i="15" s="1"/>
  <c r="E15" i="15" a="1"/>
  <c r="E15" i="15" s="1"/>
  <c r="F25" i="15" a="1"/>
  <c r="F25" i="15" s="1"/>
  <c r="F20" i="15" a="1"/>
  <c r="F20" i="15" s="1"/>
  <c r="J469" i="55" s="1"/>
  <c r="E6" i="12" a="1"/>
  <c r="E6" i="12" s="1"/>
  <c r="E35" i="15" a="1"/>
  <c r="E35" i="15" s="1"/>
  <c r="E48" i="15" a="1"/>
  <c r="E48" i="15" s="1"/>
  <c r="F28" i="15" a="1"/>
  <c r="F28" i="15" s="1"/>
  <c r="F22" i="70" a="1"/>
  <c r="F22" i="70" s="1"/>
  <c r="E34" i="15" a="1"/>
  <c r="E34" i="15" s="1"/>
  <c r="E22" i="70" a="1"/>
  <c r="E22" i="70" s="1"/>
  <c r="C14" i="39"/>
  <c r="J48" i="14" l="1"/>
  <c r="J49" i="14" s="1"/>
  <c r="I46" i="15"/>
  <c r="I48" i="15"/>
  <c r="G22" i="15"/>
  <c r="H24" i="15"/>
  <c r="G16" i="70"/>
  <c r="G24" i="70"/>
  <c r="H23" i="70"/>
  <c r="F25" i="70" a="1"/>
  <c r="F25" i="70" s="1"/>
  <c r="F17" i="70" a="1"/>
  <c r="F17" i="70" s="1"/>
  <c r="F9" i="70" a="1"/>
  <c r="F9" i="70" s="1"/>
  <c r="E25" i="70" a="1"/>
  <c r="E25" i="70" s="1"/>
  <c r="E9" i="70" a="1"/>
  <c r="E9" i="70" s="1"/>
  <c r="E11" i="70" a="1"/>
  <c r="E11" i="70" s="1"/>
  <c r="E17" i="70" a="1"/>
  <c r="E17" i="70" s="1"/>
  <c r="F11" i="70" a="1"/>
  <c r="F11" i="70" s="1"/>
  <c r="H27" i="70"/>
  <c r="H7" i="12"/>
  <c r="G7" i="70"/>
  <c r="G19" i="70"/>
  <c r="G13" i="70"/>
  <c r="G19" i="15"/>
  <c r="H34" i="15"/>
  <c r="G30" i="70"/>
  <c r="H22" i="70"/>
  <c r="H15" i="70"/>
  <c r="E36" i="15"/>
  <c r="G35" i="15"/>
  <c r="G15" i="15"/>
  <c r="I15" i="15" s="1"/>
  <c r="E16" i="15"/>
  <c r="G32" i="15"/>
  <c r="E33" i="15"/>
  <c r="H15" i="15"/>
  <c r="H16" i="15" s="1"/>
  <c r="F16" i="15"/>
  <c r="G14" i="15"/>
  <c r="F11" i="15"/>
  <c r="H10" i="15"/>
  <c r="H11" i="15" s="1"/>
  <c r="H6" i="12"/>
  <c r="F20" i="12"/>
  <c r="F22" i="12" s="1"/>
  <c r="I38" i="15"/>
  <c r="I39" i="15"/>
  <c r="H22" i="15"/>
  <c r="E13" i="15"/>
  <c r="G12" i="15"/>
  <c r="G13" i="15" s="1"/>
  <c r="G28" i="15"/>
  <c r="E29" i="15"/>
  <c r="F31" i="15"/>
  <c r="H30" i="15"/>
  <c r="H31" i="15" s="1"/>
  <c r="G24" i="15"/>
  <c r="H16" i="70"/>
  <c r="F41" i="15" a="1"/>
  <c r="F41" i="15" s="1"/>
  <c r="I41" i="15" s="1"/>
  <c r="H28" i="15"/>
  <c r="F29" i="15"/>
  <c r="G6" i="12"/>
  <c r="E20" i="12"/>
  <c r="E22" i="12" s="1"/>
  <c r="F13" i="15"/>
  <c r="H12" i="15"/>
  <c r="H13" i="15" s="1"/>
  <c r="F36" i="15"/>
  <c r="H35" i="15"/>
  <c r="G15" i="70"/>
  <c r="H19" i="15"/>
  <c r="G25" i="15"/>
  <c r="G26" i="15" s="1"/>
  <c r="E26" i="15"/>
  <c r="E27" i="15" s="1"/>
  <c r="F42" i="15" a="1"/>
  <c r="F42" i="15" s="1"/>
  <c r="I42" i="15" s="1"/>
  <c r="F18" i="15"/>
  <c r="H17" i="15"/>
  <c r="E31" i="15"/>
  <c r="G30" i="15"/>
  <c r="G31" i="15" s="1"/>
  <c r="E11" i="15"/>
  <c r="G10" i="15"/>
  <c r="G11" i="15" s="1"/>
  <c r="H23" i="15"/>
  <c r="G23" i="70"/>
  <c r="G21" i="15"/>
  <c r="H24" i="70"/>
  <c r="F44" i="15" a="1"/>
  <c r="F44" i="15" s="1"/>
  <c r="I44" i="15" s="1"/>
  <c r="F47" i="15" a="1"/>
  <c r="F47" i="15" s="1"/>
  <c r="I47" i="15" s="1"/>
  <c r="F40" i="15" a="1"/>
  <c r="F40" i="15" s="1"/>
  <c r="I40" i="15" s="1"/>
  <c r="H20" i="15"/>
  <c r="G22" i="70"/>
  <c r="G34" i="15"/>
  <c r="F26" i="15"/>
  <c r="F27" i="15" s="1"/>
  <c r="H25" i="15"/>
  <c r="H26" i="15" s="1"/>
  <c r="G17" i="15"/>
  <c r="E18" i="15"/>
  <c r="G20" i="15"/>
  <c r="L469" i="55" s="1"/>
  <c r="H30" i="70"/>
  <c r="G23" i="15"/>
  <c r="H32" i="15"/>
  <c r="F33" i="15"/>
  <c r="H13" i="70"/>
  <c r="H14" i="15"/>
  <c r="H7" i="70"/>
  <c r="H19" i="70"/>
  <c r="H21" i="15"/>
  <c r="G27" i="70"/>
  <c r="G7" i="12"/>
  <c r="E26" i="70" a="1"/>
  <c r="E26" i="70" s="1"/>
  <c r="G26" i="70" s="1"/>
  <c r="I49" i="14" l="1"/>
  <c r="I50" i="14" s="1"/>
  <c r="E49" i="15"/>
  <c r="F49" i="15"/>
  <c r="G17" i="70"/>
  <c r="G9" i="70"/>
  <c r="H33" i="15"/>
  <c r="G25" i="70"/>
  <c r="H11" i="70"/>
  <c r="H29" i="15"/>
  <c r="H17" i="70"/>
  <c r="H25" i="70"/>
  <c r="G11" i="70"/>
  <c r="H9" i="70"/>
  <c r="G18" i="15"/>
  <c r="G27" i="15"/>
  <c r="G20" i="12"/>
  <c r="F37" i="70"/>
  <c r="F39" i="70" s="1"/>
  <c r="E37" i="70"/>
  <c r="E39" i="70" s="1"/>
  <c r="H26" i="70"/>
  <c r="H18" i="15"/>
  <c r="H20" i="12"/>
  <c r="G16" i="15"/>
  <c r="H27" i="15"/>
  <c r="G33" i="15"/>
  <c r="G36" i="15"/>
  <c r="H36" i="15"/>
  <c r="G29" i="15"/>
  <c r="J50" i="14" l="1"/>
  <c r="J51" i="14" s="1"/>
  <c r="H49" i="15"/>
  <c r="G49" i="15"/>
  <c r="G37" i="70"/>
  <c r="H37" i="70"/>
  <c r="I51" i="14" l="1"/>
  <c r="I52" i="14" s="1"/>
  <c r="H51" i="15"/>
  <c r="J51" i="15" s="1"/>
  <c r="E16" i="60"/>
  <c r="E8" i="60"/>
  <c r="E14" i="60"/>
  <c r="E20" i="60"/>
  <c r="E12" i="60"/>
  <c r="E22" i="60"/>
  <c r="E9" i="60"/>
  <c r="E15" i="60"/>
  <c r="E24" i="60"/>
  <c r="E13" i="60"/>
  <c r="E25" i="60"/>
  <c r="E10" i="60"/>
  <c r="E17" i="60"/>
  <c r="E26" i="60"/>
  <c r="E18" i="60"/>
  <c r="F14" i="60"/>
  <c r="F13" i="60"/>
  <c r="F20" i="60"/>
  <c r="F18" i="60"/>
  <c r="F12" i="60"/>
  <c r="F16" i="60"/>
  <c r="F22" i="60"/>
  <c r="F26" i="60"/>
  <c r="F25" i="60"/>
  <c r="F10" i="60"/>
  <c r="F24" i="60"/>
  <c r="F17" i="60"/>
  <c r="F8" i="60"/>
  <c r="F9" i="60"/>
  <c r="F15" i="60"/>
  <c r="D22" i="60"/>
  <c r="D26" i="60"/>
  <c r="E7" i="60"/>
  <c r="D16" i="60"/>
  <c r="G16" i="60" s="1"/>
  <c r="I16" i="60" s="1"/>
  <c r="D8" i="60"/>
  <c r="G8" i="60" s="1"/>
  <c r="D10" i="60"/>
  <c r="G10" i="60" s="1"/>
  <c r="I10" i="60" s="1"/>
  <c r="F7" i="60"/>
  <c r="D18" i="60"/>
  <c r="D14" i="60"/>
  <c r="G14" i="60" s="1"/>
  <c r="I14" i="60" s="1"/>
  <c r="D9" i="60"/>
  <c r="D25" i="60"/>
  <c r="D12" i="60"/>
  <c r="G12" i="60" s="1"/>
  <c r="I12" i="60" s="1"/>
  <c r="D20" i="60"/>
  <c r="D17" i="60"/>
  <c r="D15" i="60"/>
  <c r="D13" i="60"/>
  <c r="G13" i="60" s="1"/>
  <c r="I13" i="60" s="1"/>
  <c r="D7" i="60"/>
  <c r="G7" i="60" s="1"/>
  <c r="D24" i="60"/>
  <c r="J52" i="14" l="1"/>
  <c r="J53" i="14" s="1"/>
  <c r="G15" i="60"/>
  <c r="I15" i="60" s="1"/>
  <c r="I8" i="60"/>
  <c r="G22" i="60"/>
  <c r="I22" i="60" s="1"/>
  <c r="G24" i="60"/>
  <c r="I24" i="60" s="1"/>
  <c r="G20" i="60"/>
  <c r="I20" i="60" s="1"/>
  <c r="G18" i="60"/>
  <c r="I18" i="60" s="1"/>
  <c r="G17" i="60"/>
  <c r="I17" i="60" s="1"/>
  <c r="G25" i="60"/>
  <c r="I25" i="60" s="1"/>
  <c r="G9" i="60"/>
  <c r="I9" i="60" s="1"/>
  <c r="G26" i="60"/>
  <c r="I26" i="60" s="1"/>
  <c r="I7" i="60"/>
  <c r="I53" i="14" l="1"/>
  <c r="I54" i="14" s="1"/>
  <c r="G28" i="60"/>
  <c r="G139" i="60" s="1"/>
  <c r="J54" i="14" l="1"/>
  <c r="J55" i="14" s="1"/>
  <c r="I55" i="14" l="1"/>
  <c r="I56" i="14" s="1"/>
  <c r="J56" i="14" l="1"/>
  <c r="J57" i="14" s="1"/>
  <c r="I57" i="14" l="1"/>
  <c r="I58" i="14" s="1"/>
  <c r="J58" i="14" l="1"/>
  <c r="J59" i="14" s="1"/>
  <c r="I59" i="14" l="1"/>
  <c r="I60" i="14" s="1"/>
  <c r="J60" i="14" l="1"/>
  <c r="J61" i="14" s="1"/>
  <c r="I61" i="14" l="1"/>
  <c r="I62" i="14" s="1"/>
  <c r="J62" i="14" l="1"/>
  <c r="J63" i="14" s="1"/>
  <c r="I63" i="14" l="1"/>
  <c r="I64" i="14" s="1"/>
  <c r="J64" i="14" l="1"/>
  <c r="J65" i="14" s="1"/>
  <c r="I65" i="14" l="1"/>
  <c r="I66" i="14" s="1"/>
  <c r="J66" i="14" l="1"/>
  <c r="J67" i="14" s="1"/>
  <c r="I67" i="14" l="1"/>
  <c r="I68" i="14" s="1"/>
  <c r="J68" i="14" l="1"/>
  <c r="J69" i="14" s="1"/>
  <c r="I69" i="14" l="1"/>
  <c r="I70" i="14" s="1"/>
  <c r="J70" i="14" l="1"/>
  <c r="J71" i="14" s="1"/>
  <c r="I71" i="14" l="1"/>
  <c r="I72" i="14" s="1"/>
  <c r="J72" i="14" l="1"/>
  <c r="J73" i="14" s="1"/>
  <c r="I73" i="14" l="1"/>
  <c r="I74" i="14" s="1"/>
  <c r="J74" i="14" l="1"/>
  <c r="J75" i="14" s="1"/>
  <c r="I75" i="14" l="1"/>
  <c r="I76" i="14" s="1"/>
  <c r="J76" i="14" l="1"/>
  <c r="J77" i="14" s="1"/>
  <c r="I77" i="14" l="1"/>
  <c r="I78" i="14" s="1"/>
  <c r="J78" i="14" l="1"/>
  <c r="J79" i="14" s="1"/>
  <c r="I79" i="14" l="1"/>
  <c r="I80" i="14" s="1"/>
  <c r="J80" i="14" l="1"/>
  <c r="J81" i="14" s="1"/>
  <c r="I81" i="14" l="1"/>
  <c r="I82" i="14" s="1"/>
  <c r="J82" i="14" l="1"/>
  <c r="J83" i="14" s="1"/>
  <c r="I83" i="14" l="1"/>
  <c r="I84" i="14" s="1"/>
  <c r="J84" i="14" l="1"/>
  <c r="J85" i="14" s="1"/>
  <c r="I85" i="14" l="1"/>
  <c r="I86" i="14" s="1"/>
  <c r="J86" i="14" l="1"/>
  <c r="J87" i="14" s="1"/>
  <c r="I87" i="14" l="1"/>
  <c r="I88" i="14" s="1"/>
  <c r="J88" i="14" l="1"/>
  <c r="J89" i="14" s="1"/>
  <c r="I89" i="14" l="1"/>
  <c r="I90" i="14" s="1"/>
  <c r="J90" i="14" l="1"/>
  <c r="J91" i="14" s="1"/>
  <c r="I91" i="14" l="1"/>
  <c r="I92" i="14" s="1"/>
  <c r="J92" i="14" l="1"/>
  <c r="J93" i="14" s="1"/>
  <c r="I93" i="14" l="1"/>
  <c r="I94" i="14" s="1"/>
  <c r="J94" i="14" l="1"/>
  <c r="J95" i="14" s="1"/>
  <c r="I95" i="14" l="1"/>
  <c r="I96" i="14" s="1"/>
  <c r="J96" i="14" l="1"/>
  <c r="J97" i="14" s="1"/>
  <c r="I97" i="14" l="1"/>
  <c r="I98" i="14" s="1"/>
  <c r="J98" i="14" l="1"/>
  <c r="J99" i="14" s="1"/>
  <c r="I99" i="14" l="1"/>
  <c r="I100" i="14" s="1"/>
  <c r="J100" i="14" l="1"/>
  <c r="J101" i="14" s="1"/>
  <c r="I101" i="14" l="1"/>
  <c r="I102" i="14" s="1"/>
  <c r="J102" i="14" l="1"/>
  <c r="J103" i="14" s="1"/>
  <c r="I103" i="14" l="1"/>
  <c r="I104" i="14" s="1"/>
  <c r="J104" i="14" l="1"/>
  <c r="J105" i="14" s="1"/>
  <c r="I105" i="14" l="1"/>
  <c r="I106" i="14" s="1"/>
  <c r="J106" i="14" l="1"/>
  <c r="J107" i="14" s="1"/>
  <c r="I107" i="14" l="1"/>
  <c r="I108" i="14" s="1"/>
  <c r="J108" i="14" l="1"/>
  <c r="J109" i="14" s="1"/>
  <c r="I109" i="14" l="1"/>
  <c r="I110" i="14" s="1"/>
  <c r="J110" i="14" l="1"/>
  <c r="J111" i="14" s="1"/>
  <c r="I111" i="14" l="1"/>
  <c r="I112" i="14" s="1"/>
  <c r="J112" i="14" l="1"/>
  <c r="J113" i="14" s="1"/>
  <c r="I113" i="14" l="1"/>
  <c r="I114" i="14" s="1"/>
  <c r="J114" i="14" l="1"/>
  <c r="J115" i="14" s="1"/>
  <c r="I115" i="14" l="1"/>
  <c r="I116" i="14" s="1"/>
  <c r="J116" i="14" l="1"/>
  <c r="J117" i="14" s="1"/>
  <c r="I117" i="14" l="1"/>
  <c r="I118" i="14" s="1"/>
  <c r="J118" i="14" l="1"/>
  <c r="J119" i="14" s="1"/>
  <c r="I119" i="14" l="1"/>
  <c r="I120" i="14" s="1"/>
  <c r="J120" i="14" l="1"/>
  <c r="J121" i="14" s="1"/>
  <c r="I121" i="14" l="1"/>
  <c r="I122" i="14" s="1"/>
  <c r="J122" i="14" l="1"/>
  <c r="J123" i="14" s="1"/>
  <c r="I123" i="14" l="1"/>
  <c r="I124" i="14" s="1"/>
  <c r="J124" i="14" l="1"/>
  <c r="J125" i="14" s="1"/>
  <c r="I125" i="14" l="1"/>
  <c r="I126" i="14" s="1"/>
  <c r="J126" i="14" l="1"/>
  <c r="J127" i="14" s="1"/>
  <c r="I127" i="14" l="1"/>
  <c r="I128" i="14" s="1"/>
  <c r="J128" i="14" l="1"/>
  <c r="J129" i="14" s="1"/>
  <c r="I129" i="14" l="1"/>
  <c r="I130" i="14" s="1"/>
  <c r="J130" i="14" l="1"/>
  <c r="J131" i="14" s="1"/>
  <c r="I131" i="14" l="1"/>
  <c r="I132" i="14" s="1"/>
  <c r="J132" i="14" l="1"/>
  <c r="J133" i="14" s="1"/>
  <c r="I133" i="14" l="1"/>
  <c r="I134" i="14" s="1"/>
  <c r="J134" i="14" l="1"/>
  <c r="J135" i="14" s="1"/>
  <c r="I135" i="14" l="1"/>
  <c r="I136" i="14" s="1"/>
  <c r="J136" i="14" l="1"/>
  <c r="J137" i="14" s="1"/>
  <c r="I137" i="14" l="1"/>
  <c r="I138" i="14" s="1"/>
  <c r="J138" i="14" l="1"/>
  <c r="J139" i="14" s="1"/>
  <c r="I139" i="14" l="1"/>
  <c r="I140" i="14" s="1"/>
  <c r="J140" i="14" l="1"/>
  <c r="J141" i="14" s="1"/>
  <c r="I141" i="14" l="1"/>
  <c r="I142" i="14" s="1"/>
  <c r="J142" i="14" l="1"/>
  <c r="J143" i="14" s="1"/>
  <c r="I143" i="14" l="1"/>
  <c r="I144" i="14" s="1"/>
  <c r="J144" i="14" l="1"/>
  <c r="J145" i="14" s="1"/>
  <c r="I145" i="14" l="1"/>
  <c r="I146" i="14" s="1"/>
  <c r="J146" i="14" l="1"/>
  <c r="J147" i="14" s="1"/>
  <c r="I147" i="14" l="1"/>
  <c r="I148" i="14" s="1"/>
  <c r="J148" i="14" l="1"/>
  <c r="J149" i="14" s="1"/>
  <c r="I149" i="14" l="1"/>
  <c r="I150" i="14" s="1"/>
  <c r="J150" i="14" l="1"/>
  <c r="J151" i="14" s="1"/>
  <c r="I151" i="14" l="1"/>
  <c r="I152" i="14" s="1"/>
  <c r="J152" i="14" l="1"/>
  <c r="J153" i="14" s="1"/>
  <c r="I153" i="14" l="1"/>
  <c r="I154" i="14" s="1"/>
  <c r="J154" i="14" l="1"/>
  <c r="J155" i="14" s="1"/>
  <c r="I155" i="14" l="1"/>
  <c r="I156" i="14" s="1"/>
  <c r="J156" i="14" l="1"/>
</calcChain>
</file>

<file path=xl/sharedStrings.xml><?xml version="1.0" encoding="utf-8"?>
<sst xmlns="http://schemas.openxmlformats.org/spreadsheetml/2006/main" count="14814" uniqueCount="1530">
  <si>
    <t>Diễn giải</t>
  </si>
  <si>
    <t>Chứng từ</t>
  </si>
  <si>
    <t>A</t>
  </si>
  <si>
    <t>B</t>
  </si>
  <si>
    <t>C</t>
  </si>
  <si>
    <t>D</t>
  </si>
  <si>
    <t>E</t>
  </si>
  <si>
    <t>- Số dư đầu kỳ</t>
  </si>
  <si>
    <t>331</t>
  </si>
  <si>
    <t>1331</t>
  </si>
  <si>
    <t>- Số dư cuối kỳ</t>
  </si>
  <si>
    <t>Người ghi sổ</t>
  </si>
  <si>
    <t>Kế toán trưởng</t>
  </si>
  <si>
    <t>(Ký, họ tên)</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</si>
  <si>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</si>
  <si>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</si>
  <si>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</si>
  <si>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</si>
  <si>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</si>
  <si>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</si>
  <si>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</si>
  <si>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</si>
  <si>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</si>
  <si>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</si>
  <si>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</si>
  <si>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</si>
  <si>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</si>
  <si>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</si>
  <si>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</si>
  <si>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</si>
  <si>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</si>
  <si>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</si>
  <si>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</si>
  <si>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</si>
  <si>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</si>
  <si>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</si>
  <si>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</si>
  <si>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</si>
  <si>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</si>
  <si>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</si>
  <si>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515</t>
  </si>
  <si>
    <t>SỐ DƯ CUỐI KỲ</t>
  </si>
  <si>
    <t>NỢ</t>
  </si>
  <si>
    <t>CÓ</t>
  </si>
  <si>
    <t>Khách Hàng</t>
  </si>
  <si>
    <t>Đối tượng:</t>
  </si>
  <si>
    <t>Mẫu số S31-DN</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</si>
  <si>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</si>
  <si>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</si>
  <si>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</si>
  <si>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</si>
  <si>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</si>
  <si>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</si>
  <si>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</si>
  <si>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</si>
  <si>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</si>
  <si>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</si>
  <si>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</si>
  <si>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</si>
  <si>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</si>
  <si>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</si>
  <si>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</si>
  <si>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</si>
  <si>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</si>
  <si>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</si>
  <si>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</si>
  <si>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</si>
  <si>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</si>
  <si>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</si>
  <si>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</si>
  <si>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</si>
  <si>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</si>
  <si>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</si>
  <si>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</si>
  <si>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</si>
  <si>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</si>
  <si>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</si>
  <si>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</si>
  <si>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</si>
  <si>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</si>
  <si>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</si>
  <si>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</si>
  <si>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</si>
  <si>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</si>
  <si>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</si>
  <si>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</si>
  <si>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</si>
  <si>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</si>
  <si>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</si>
  <si>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</si>
  <si>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</si>
  <si>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</si>
  <si>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</si>
  <si>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NHẬT KÝ - SỔ CÁI</t>
  </si>
  <si>
    <t>Số hiệu TKĐƯ</t>
  </si>
  <si>
    <t>BTKC</t>
  </si>
  <si>
    <t>Kết chuyển chi phí tài chính</t>
  </si>
  <si>
    <t>K/C chi phí quản lý doanh nghiệp</t>
  </si>
  <si>
    <t>K/C doanh thu hoạt động tài chính</t>
  </si>
  <si>
    <t>K/C thu nhập khác</t>
  </si>
  <si>
    <t>K/C chi phí khác</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</si>
  <si>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</si>
  <si>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</si>
  <si>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</si>
  <si>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</si>
  <si>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</si>
  <si>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</si>
  <si>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</si>
  <si>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</si>
  <si>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</si>
  <si>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</si>
  <si>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</si>
  <si>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</si>
  <si>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</si>
  <si>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</si>
  <si>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</si>
  <si>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Số chứng từ</t>
  </si>
  <si>
    <t>TM</t>
  </si>
  <si>
    <t>Số tiền:</t>
  </si>
  <si>
    <t>Mẫu số S07-DN</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</si>
  <si>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</si>
  <si>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</si>
  <si>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</si>
  <si>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</si>
  <si>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</si>
  <si>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</si>
  <si>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</si>
  <si>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</si>
  <si>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</si>
  <si>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</si>
  <si>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</si>
  <si>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</si>
  <si>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</si>
  <si>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</si>
  <si>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</si>
  <si>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</si>
  <si>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</si>
  <si>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SỔ TIỀN GỬI NGÂN HÀNG</t>
  </si>
  <si>
    <t>Ngày, tháng ghi sổ</t>
  </si>
  <si>
    <t>Số tiền</t>
  </si>
  <si>
    <t>Ngày, tháng</t>
  </si>
  <si>
    <t>Thu (gửi vào)</t>
  </si>
  <si>
    <t>Chi (rút ra)</t>
  </si>
  <si>
    <t>Còn lại</t>
  </si>
  <si>
    <t>Số dư đầu kỳ</t>
  </si>
  <si>
    <t>Mẫu số S38-DN</t>
  </si>
  <si>
    <t>SỔ CHI TIẾT CÁC TÀI KHOẢN</t>
  </si>
  <si>
    <t>(Dùng cho các TK: 136, 138, 141, 157, 161, 171, 221, 222, 242, 244, 333, 334, 335, 336, 338, 344, 352, 353, 356,  411, 421, 441,  461, 466, ...)</t>
  </si>
  <si>
    <t xml:space="preserve"> Tài khoản: </t>
  </si>
  <si>
    <t xml:space="preserve"> Đối tượng:</t>
  </si>
  <si>
    <t>K/C Thu nhập sau thuế</t>
  </si>
  <si>
    <t>Võ Uyên Phương</t>
  </si>
  <si>
    <t>- Sổ này có  01 trang, đánh số từ trang 01 đến trang 01</t>
  </si>
  <si>
    <t>- Sổ này có 04 trang, đánh từ trang 01 đến trang 04</t>
  </si>
  <si>
    <t>Mẫu số: S08 – DNN</t>
  </si>
  <si>
    <t>- Sổ này có 01 trang, đánh từ trang 01 đến trang 01</t>
  </si>
  <si>
    <t>- Sổ này có 02 trang, đánh từ trang 01 đến trang 02</t>
  </si>
  <si>
    <t>Số tiền phát sinh (VND)</t>
  </si>
  <si>
    <t xml:space="preserve">Số hiệu tài khoản tại nơi gửi: </t>
  </si>
  <si>
    <t>152</t>
  </si>
  <si>
    <t>154</t>
  </si>
  <si>
    <t xml:space="preserve"> Chi phí sản xuất, kinh doanh dở dang </t>
  </si>
  <si>
    <t>632</t>
  </si>
  <si>
    <t xml:space="preserve"> Giá vốn hàng bán </t>
  </si>
  <si>
    <t>5112</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</si>
  <si>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</si>
  <si>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</si>
  <si>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</si>
  <si>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</si>
  <si>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</si>
  <si>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</si>
  <si>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</si>
  <si>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</si>
  <si>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</si>
  <si>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</si>
  <si>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Sổ này có ……..trang, đánh số từ trang 01 đến trang ……..</t>
  </si>
  <si>
    <t>Mẫu số S11-DN</t>
  </si>
  <si>
    <t>BẢNG TỔNG HỢP CHI TIẾT 
VẬT LIỆU, DỤNG CỤ, SẢN PHẨM,HÀNG HOÁ</t>
  </si>
  <si>
    <t>Tài khoản: 152</t>
  </si>
  <si>
    <t>Năm: 2014</t>
  </si>
  <si>
    <t>Xuất Nhập Tồn Năm 2014</t>
  </si>
  <si>
    <t>Tên, quy cách vật liệu, dụng cụ, sản phẩm hàng hóa</t>
  </si>
  <si>
    <t>Đơn vị tính</t>
  </si>
  <si>
    <t>Tồn đầu kỳ</t>
  </si>
  <si>
    <t>Nhập trong kỳ</t>
  </si>
  <si>
    <t>Xuất trong kỳ</t>
  </si>
  <si>
    <t>Tồn cuối kỳ</t>
  </si>
  <si>
    <t>SL</t>
  </si>
  <si>
    <t>Tiền</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</si>
  <si>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</si>
  <si>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</si>
  <si>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</si>
  <si>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</si>
  <si>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</si>
  <si>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</si>
  <si>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</si>
  <si>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</si>
  <si>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</si>
  <si>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</si>
  <si>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</si>
  <si>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</si>
  <si>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</si>
  <si>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</si>
  <si>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</si>
  <si>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</si>
  <si>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</si>
  <si>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</si>
  <si>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</si>
  <si>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</si>
  <si>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</si>
  <si>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</si>
  <si>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</si>
  <si>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</si>
  <si>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</si>
  <si>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</si>
  <si>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</si>
  <si>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</si>
  <si>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</si>
  <si>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</si>
  <si>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</si>
  <si>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</si>
  <si>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</si>
  <si>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</si>
  <si>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</si>
  <si>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</si>
  <si>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</si>
  <si>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MẶT HÀNG</t>
  </si>
  <si>
    <t>SL TP</t>
  </si>
  <si>
    <t>ĐG</t>
  </si>
  <si>
    <t>CP NVL C</t>
  </si>
  <si>
    <t>CP NVL P</t>
  </si>
  <si>
    <t>TỔNG CPSXC</t>
  </si>
  <si>
    <t>ĐƠN GIÁ</t>
  </si>
  <si>
    <t>TT</t>
  </si>
  <si>
    <t>CỘNG</t>
  </si>
  <si>
    <t>Mẫu số S37-DN</t>
  </si>
  <si>
    <t>THẺ TÍNH GIÁ THÀNH SẢN PHẨM, DỊCH VỤ</t>
  </si>
  <si>
    <t xml:space="preserve">Tên sản phẩm, dịch vụ: </t>
  </si>
  <si>
    <t>Chỉ tiêu</t>
  </si>
  <si>
    <t>Tổng số tiền</t>
  </si>
  <si>
    <t>Chia ra theo khoản mục</t>
  </si>
  <si>
    <t>Nhân công</t>
  </si>
  <si>
    <t xml:space="preserve">Nhiên liệu </t>
  </si>
  <si>
    <t>Sản xuất chung</t>
  </si>
  <si>
    <t>1. SXKD dở dang đầu kỳ</t>
  </si>
  <si>
    <t>2. Chi phí SXKD phát sinh trong kỳ</t>
  </si>
  <si>
    <t>3. Giá thành sản phẩm, dịch vụ trong kỳ</t>
  </si>
  <si>
    <t>4. Chi phí SXKD dở dang cuối kỳ</t>
  </si>
  <si>
    <t>Nguời ghi sổ</t>
  </si>
  <si>
    <t>Nhập xuất kho</t>
  </si>
  <si>
    <t>131</t>
  </si>
  <si>
    <t>641</t>
  </si>
  <si>
    <t>3341</t>
  </si>
  <si>
    <t xml:space="preserve"> Phải Trả Công Nhân Viên </t>
  </si>
  <si>
    <t>334</t>
  </si>
  <si>
    <t xml:space="preserve"> Phải trả người lao động </t>
  </si>
  <si>
    <t>3335</t>
  </si>
  <si>
    <t xml:space="preserve"> Thuế TNCN </t>
  </si>
  <si>
    <t xml:space="preserve"> Phải thu của khách hàng </t>
  </si>
  <si>
    <t>ĐK:</t>
  </si>
  <si>
    <t>VNĐ:</t>
  </si>
  <si>
    <t>Tài khoản:</t>
  </si>
  <si>
    <t>K/C Thuế GTGT đầu ra</t>
  </si>
  <si>
    <t>Kết chuyển giá vốn thành phẩm</t>
  </si>
  <si>
    <t>K/C chi phí bán hàng</t>
  </si>
  <si>
    <t>Mẫu số S21-DN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</si>
  <si>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</si>
  <si>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</si>
  <si>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</si>
  <si>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</si>
  <si>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</si>
  <si>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</si>
  <si>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</si>
  <si>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</si>
  <si>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</si>
  <si>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</si>
  <si>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</si>
  <si>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</si>
  <si>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</si>
  <si>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</si>
  <si>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</si>
  <si>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</si>
  <si>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</si>
  <si>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</si>
  <si>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</si>
  <si>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</si>
  <si>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</si>
  <si>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Việt Nam</t>
  </si>
  <si>
    <t>Cộng</t>
  </si>
  <si>
    <t>Sổ này có 1 trang, đánh số từ trang 1 đến trang 1.</t>
  </si>
  <si>
    <t>Kế Toán Trưởng</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</si>
  <si>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</si>
  <si>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</si>
  <si>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</si>
  <si>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</si>
  <si>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</si>
  <si>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</si>
  <si>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</si>
  <si>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</si>
  <si>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</si>
  <si>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</si>
  <si>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</si>
  <si>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</si>
  <si>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</si>
  <si>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</si>
  <si>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</si>
  <si>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</si>
  <si>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Máy móc, thiết bị :</t>
  </si>
  <si>
    <t xml:space="preserve">Loại tài sản: Tài Sản Cố Định Hữu Hình </t>
  </si>
  <si>
    <t>Loại TS:</t>
  </si>
  <si>
    <t>Tên, ký mã hiệu, quy cách TSCĐ:</t>
  </si>
  <si>
    <t xml:space="preserve">Năm sản xuất: </t>
  </si>
  <si>
    <t xml:space="preserve">Lý do đình chỉ: </t>
  </si>
  <si>
    <t>Đình chỉ sử dụng TSCĐ  :</t>
  </si>
  <si>
    <t>Trần Minh Nghĩa</t>
  </si>
  <si>
    <t>Hữu Hình</t>
  </si>
  <si>
    <t xml:space="preserve"> Chi phí bán hàng</t>
  </si>
  <si>
    <t>THÁNG</t>
  </si>
  <si>
    <t>EIB CHỢ LỚN</t>
  </si>
  <si>
    <t>CTGS</t>
  </si>
  <si>
    <t>TỔNG HỢP TÀI KHOẢN 131</t>
  </si>
  <si>
    <t>Quý</t>
  </si>
  <si>
    <t>Tổng cộng NL chính</t>
  </si>
  <si>
    <t>Tài khoản: 131</t>
  </si>
  <si>
    <t>Mẫu số S03a - DNN</t>
  </si>
  <si>
    <t>NHẬT KÝ CHUNG</t>
  </si>
  <si>
    <t>Ngày,
tháng
ghi sổ</t>
  </si>
  <si>
    <t>STT
dòng</t>
  </si>
  <si>
    <t xml:space="preserve">Nợ </t>
  </si>
  <si>
    <t>Người mở sổ</t>
  </si>
  <si>
    <t>Giám Đốc</t>
  </si>
  <si>
    <t>- Số đầu kỳ</t>
  </si>
  <si>
    <t>- Cộng chuyển kỳ sau</t>
  </si>
  <si>
    <t>NKC</t>
  </si>
  <si>
    <t>TÊN TÀI KHOẢN</t>
  </si>
  <si>
    <t>CUỐI KỲ</t>
  </si>
  <si>
    <t>BẢNG CÂN ĐỐI SỐ PHÁT SINH</t>
  </si>
  <si>
    <t>Quý II</t>
  </si>
  <si>
    <t>tấm</t>
  </si>
  <si>
    <t>T01</t>
  </si>
  <si>
    <t>T02</t>
  </si>
  <si>
    <t>Máy chap khe khổ 2m</t>
  </si>
  <si>
    <t>Máy đóng kẽm</t>
  </si>
  <si>
    <t>Máy In</t>
  </si>
  <si>
    <t>T03</t>
  </si>
  <si>
    <t>C21</t>
  </si>
  <si>
    <t>C24</t>
  </si>
  <si>
    <t>SX01/11</t>
  </si>
  <si>
    <t>SX02/11</t>
  </si>
  <si>
    <t>SX03/11</t>
  </si>
  <si>
    <t>Ngày  31   tháng  12  năm  2011</t>
  </si>
  <si>
    <t>Thuế GTGT đầu ra</t>
  </si>
  <si>
    <t>3331</t>
  </si>
  <si>
    <t>CP trả trước ngắn hạn</t>
  </si>
  <si>
    <t>CP Mực in</t>
  </si>
  <si>
    <t>BẢNG TÍNH GIÁ THÀNH SP QUÝ I/2011</t>
  </si>
  <si>
    <t>BẢNG TÍNH GIÁ THÀNH SP QUÝ II/2011</t>
  </si>
  <si>
    <t>BẢNG TÍNH GIÁ THÀNH SP QUÝ III/2011</t>
  </si>
  <si>
    <t>BẢNG TÍNH GIÁ THÀNH SP QUÝ IV/2011</t>
  </si>
  <si>
    <t>Nguyên vật liệu chính</t>
  </si>
  <si>
    <t>Nguyên vật liệu phụ</t>
  </si>
  <si>
    <t>Mực in</t>
  </si>
  <si>
    <t>Trả trước ngắn hạn</t>
  </si>
  <si>
    <t>Năm 2011</t>
  </si>
  <si>
    <t>Ngày 31 tháng 12 Năm 2011</t>
  </si>
  <si>
    <t>Ngày mở sổ: 01/01/2011</t>
  </si>
  <si>
    <t>CP Lương</t>
  </si>
  <si>
    <t>06/2011</t>
  </si>
  <si>
    <t>07/2011</t>
  </si>
  <si>
    <t>Mẫu số S36-DN</t>
  </si>
  <si>
    <t>SỔ CHI PHÍ SẢN XUẤT KINH DOANH</t>
  </si>
  <si>
    <t>(Dùng cho các TK 621.622.627.154.631.641.642.142.242.335.632)</t>
  </si>
  <si>
    <t>- Tài khoản : 154</t>
  </si>
  <si>
    <t>- Tên phân xưởng : ……………….</t>
  </si>
  <si>
    <t>- Tên sản phẩm, dịch vụ:…………………</t>
  </si>
  <si>
    <t>Ghi Nợ tài khoản : 154</t>
  </si>
  <si>
    <t>Tổng tiền</t>
  </si>
  <si>
    <t>Chia ra</t>
  </si>
  <si>
    <t>Chi phí công nhân</t>
  </si>
  <si>
    <t>Chi phí nhiên liệu</t>
  </si>
  <si>
    <t>Chi phí SXC</t>
  </si>
  <si>
    <t>- Ghi có TK : 154</t>
  </si>
  <si>
    <t>- Sổ này có …02…..trang, đánh số từ trang 01 đến trang …02…..</t>
  </si>
  <si>
    <t>- Tài khoản : 632</t>
  </si>
  <si>
    <t>Ghi Nợ tài khoản : 632</t>
  </si>
  <si>
    <t>- Ghi có TK : 632</t>
  </si>
  <si>
    <t>- Sổ này có …01..trang, đánh số từ trang 01 đến trang ……..</t>
  </si>
  <si>
    <t>- Tài khoản : 642</t>
  </si>
  <si>
    <t>Ghi Nợ tài khoản : 642</t>
  </si>
  <si>
    <t>- Ghi có TK : 642</t>
  </si>
  <si>
    <t>CPSX</t>
  </si>
  <si>
    <t>331 131</t>
  </si>
  <si>
    <t>Thu vốn góp Lê Thị Dung</t>
  </si>
  <si>
    <t>Thu vốn góp Phan Văn Hiền</t>
  </si>
  <si>
    <t>Thu vốn góp Nguyễn Thị Thu Sương</t>
  </si>
  <si>
    <t>cái</t>
  </si>
  <si>
    <t>Ghi Nợ tài khoản : 641</t>
  </si>
  <si>
    <t>- Tài khoản : 641</t>
  </si>
  <si>
    <t>- Ghi có TK : 641</t>
  </si>
  <si>
    <t>Quý III</t>
  </si>
  <si>
    <t>K/C lãi ( lỗ ) SXKD</t>
  </si>
  <si>
    <t>K/C Thuế TNDN phải nộp</t>
  </si>
  <si>
    <t>TK</t>
  </si>
  <si>
    <t>- Sổ này có 16 Trang, đánh số từ trang 01 đến trang 16</t>
  </si>
  <si>
    <t>Ngày  31  tháng   12  năm   2011</t>
  </si>
  <si>
    <t>Năm: 2011</t>
  </si>
  <si>
    <t>Địa chỉ: Thửa đất số 144, tờ bản đồ số 12TĐH.1, tổ 1, khu phố Đông Tác, Phường Tân Đông Hiệp, Thị Xã Dĩ An, Tỉnh Bình Dương, Việt Nam</t>
  </si>
  <si>
    <t>Đơn vị: CÔNG TY TNHH MỘT THÀNH VIÊN KHỞI NGUYÊN AN</t>
  </si>
  <si>
    <t>5111</t>
  </si>
  <si>
    <t xml:space="preserve"> Doanh Thu cung cấp dịch vụ</t>
  </si>
  <si>
    <t xml:space="preserve"> Doanh thu bán hàng</t>
  </si>
  <si>
    <t>K/C  Doanh Thu cung cấp dịch vụ</t>
  </si>
  <si>
    <t>K/C  Doanh thu bán hàng</t>
  </si>
  <si>
    <t>Cty TNHH Đồ Gỗ Thanh Thư</t>
  </si>
  <si>
    <t>Cty TNHH Đá Xanh</t>
  </si>
  <si>
    <t>VCB</t>
  </si>
  <si>
    <t>Cty TNHH Chemtech</t>
  </si>
  <si>
    <t>156</t>
  </si>
  <si>
    <t>Hàng hóa</t>
  </si>
  <si>
    <t>Giấy tấm (144x145)</t>
  </si>
  <si>
    <t>Quý I</t>
  </si>
  <si>
    <t>GBC</t>
  </si>
  <si>
    <t>GBN</t>
  </si>
  <si>
    <t>Thu tiền hàng</t>
  </si>
  <si>
    <t>Cty CP TC Mỹ Nghệ Phong Cách Việt</t>
  </si>
  <si>
    <t>Thu phí dịch vụ SMS</t>
  </si>
  <si>
    <t>Phí quản lý tài khoản</t>
  </si>
  <si>
    <t>Rút sec nhập quỹ tiền mặt</t>
  </si>
  <si>
    <t>Hồ Thị An</t>
  </si>
  <si>
    <t>Lãi tiền gửi</t>
  </si>
  <si>
    <t>Cty TNHH SX TM Thiết Bị Điện Kim Sang</t>
  </si>
  <si>
    <t>Thuế môn bài</t>
  </si>
  <si>
    <t>Thuế TNDN 2014</t>
  </si>
  <si>
    <t>Nộp tiền mặt vào tài khoản</t>
  </si>
  <si>
    <t>Thanh toán tiền thuê web</t>
  </si>
  <si>
    <t>Cty CP Kỹ Thuật Vija</t>
  </si>
  <si>
    <t>Trần Thị Hồng Nhung</t>
  </si>
  <si>
    <t>Mai Thị Hường</t>
  </si>
  <si>
    <t>Thanh toán tiền hàng</t>
  </si>
  <si>
    <t>0000271</t>
  </si>
  <si>
    <t>NĂM 2015</t>
  </si>
  <si>
    <t>Cty TNHH MTV Bao Bì Hòa Thắng</t>
  </si>
  <si>
    <t>Phí cấp sec</t>
  </si>
  <si>
    <t>Phí chuyển tiền</t>
  </si>
  <si>
    <t>Cty CP Xây Dựng Thành Đạt</t>
  </si>
  <si>
    <t>Cty TNHH Lo.o.k.s.y</t>
  </si>
  <si>
    <t>Cty TNHH Asia Poly Tec</t>
  </si>
  <si>
    <t>Võ Ngọc Thùy Lan</t>
  </si>
  <si>
    <t>Cty TNHH Four Nine</t>
  </si>
  <si>
    <t>Cty TNHH Lâm Nghiệp Phú Khang Thịnh</t>
  </si>
  <si>
    <t>Cty TNHH Jtex Vina</t>
  </si>
  <si>
    <t>Cước dịch vụ viễn thông</t>
  </si>
  <si>
    <t>Tập Đoàn Viễn Thông Quân Đội</t>
  </si>
  <si>
    <t>VAT Cước dịch vụ viễn thông</t>
  </si>
  <si>
    <t>Cty TNHH EB Bình Dương</t>
  </si>
  <si>
    <t>0006334</t>
  </si>
  <si>
    <t>Hàng hóa tiếp khách</t>
  </si>
  <si>
    <t>VAT Hàng hóa tiếp khách</t>
  </si>
  <si>
    <t>Cty TNHH Vận Tải TM Xăng Dầu Dĩ An</t>
  </si>
  <si>
    <t>0005255</t>
  </si>
  <si>
    <t>Dầu DO</t>
  </si>
  <si>
    <t>VAT Dầu DO</t>
  </si>
  <si>
    <t xml:space="preserve">CN Cty TNHH NN MTV TM &amp; XNK Viettel Tại Bình Dương </t>
  </si>
  <si>
    <t>0456930</t>
  </si>
  <si>
    <t>Điện thoại</t>
  </si>
  <si>
    <t>VAT Điện thoại</t>
  </si>
  <si>
    <t>Cty TNHH XD TM DV Hải Thiên</t>
  </si>
  <si>
    <t>0000373</t>
  </si>
  <si>
    <t xml:space="preserve">VAT Giấy tấm </t>
  </si>
  <si>
    <t>Giấy tấm 5 lớp (125x196)</t>
  </si>
  <si>
    <t>Giấy tấm 5 lớp (105x103)</t>
  </si>
  <si>
    <t>Giấy tấm 5 lớp (110x110)</t>
  </si>
  <si>
    <t>Giấy tấm 5 lớp (90x215)</t>
  </si>
  <si>
    <t>Giấy tấm 5 lớp (115x110)</t>
  </si>
  <si>
    <t>Giấy tấm 5 lớp (115x93)</t>
  </si>
  <si>
    <t>0000433</t>
  </si>
  <si>
    <t>Giấy tấm 5 lớp (125x104)</t>
  </si>
  <si>
    <t>Giấy tấm 3 lớp (110x159)</t>
  </si>
  <si>
    <t>Giấy tấm 5 lớp (140x156)</t>
  </si>
  <si>
    <t>Giấy tấm 5 lớp (155x172)</t>
  </si>
  <si>
    <t>0000440</t>
  </si>
  <si>
    <t>Giấy tấm 5 lớp (95x213)</t>
  </si>
  <si>
    <t>0000446</t>
  </si>
  <si>
    <t>Giấy tấm 5 lớp (155x147)</t>
  </si>
  <si>
    <t>Giấy tấm 5 lớp (145x192)</t>
  </si>
  <si>
    <t>Chữ ký số</t>
  </si>
  <si>
    <t>VAT Chữ ký số</t>
  </si>
  <si>
    <t>0020607</t>
  </si>
  <si>
    <t>Cty TNHH Nhà Hàng Cơm Ngon Bổ Rẻ</t>
  </si>
  <si>
    <t>0020150</t>
  </si>
  <si>
    <t>Chi phí tiếp khách</t>
  </si>
  <si>
    <t>VAT Chi phí tiếp khách</t>
  </si>
  <si>
    <t>DNTN Trạm Xăng Dầu Đông Tân</t>
  </si>
  <si>
    <t>0000019</t>
  </si>
  <si>
    <t>Cty TNHH TM DV XD Khiết Tường</t>
  </si>
  <si>
    <t>0000064</t>
  </si>
  <si>
    <t>VAT Thùng carton</t>
  </si>
  <si>
    <t>Thùng carton 5 lớp (191x18x66)</t>
  </si>
  <si>
    <t>Thùng carton 5 lớp (34x30.5x8)</t>
  </si>
  <si>
    <t>Thùng carton 5 lớp (57x39x20)</t>
  </si>
  <si>
    <t>Thùng carton 3 lớp (20.5x19.5x20.5)</t>
  </si>
  <si>
    <t>Thùng carton 3 lớp (31.5x31.5x21.5)</t>
  </si>
  <si>
    <t>0000072</t>
  </si>
  <si>
    <t>Thùng carton 3 lớp (20.5x17x20.5)</t>
  </si>
  <si>
    <t>Thùng carton 3 lớp (122.8x17.5x185)</t>
  </si>
  <si>
    <t>Thùng carton 3 lớp (19.4x18.6x9.9)</t>
  </si>
  <si>
    <t>Thùng carton 3 lớp (46x23x12)</t>
  </si>
  <si>
    <t>0000101</t>
  </si>
  <si>
    <t>0000108</t>
  </si>
  <si>
    <t>Cty TNHH SX TM Bao Bì Hưng Phát</t>
  </si>
  <si>
    <t>0000120</t>
  </si>
  <si>
    <t>Giấy tấm 5 lớp (95x149)</t>
  </si>
  <si>
    <t>Giấy tấm 5 lớp (135x140)</t>
  </si>
  <si>
    <t>Cty CP Bán Lẻ Kỹ Thuật FPT</t>
  </si>
  <si>
    <t>0705668</t>
  </si>
  <si>
    <t>Nạp tiền điện thoại online</t>
  </si>
  <si>
    <t>VAT Nạp tiền điện thoại online</t>
  </si>
  <si>
    <t>DNTN Dịch Vụ Ăn Uống Cúc Phương</t>
  </si>
  <si>
    <t>0001900</t>
  </si>
  <si>
    <t>0000163</t>
  </si>
  <si>
    <t>Giấy tấm 5 lớp (105x136)</t>
  </si>
  <si>
    <t>Giấy tấm 5 lớp (105x132)</t>
  </si>
  <si>
    <t>Giấy tấm 5 lớp (120x174)</t>
  </si>
  <si>
    <t>VNPT Bình Dương</t>
  </si>
  <si>
    <t>0808488</t>
  </si>
  <si>
    <t>Cty CP Thế Giới Di Động</t>
  </si>
  <si>
    <t>Thiết bị điện tử</t>
  </si>
  <si>
    <t>VAT Thiết bị điện tử</t>
  </si>
  <si>
    <t>0155593; 0155617</t>
  </si>
  <si>
    <t>0052991</t>
  </si>
  <si>
    <t>Nhà Hàng Hương Rừng Xanh</t>
  </si>
  <si>
    <t>Cty TNHH MTV TM XNK Đại Thế Giới</t>
  </si>
  <si>
    <t>0004382</t>
  </si>
  <si>
    <t>Cty TNHH Long Thịnh Vina</t>
  </si>
  <si>
    <t>VAT Mực in</t>
  </si>
  <si>
    <t>0000702</t>
  </si>
  <si>
    <t>Cty CP Công Nghệ Và Thông Tin Doanh Nghiệp Việt</t>
  </si>
  <si>
    <t>Quảng cáo</t>
  </si>
  <si>
    <t>VAT Quảng cáo</t>
  </si>
  <si>
    <t>0002219</t>
  </si>
  <si>
    <t>Cty TNHH MTV Nhà Hàng Năm Lửa</t>
  </si>
  <si>
    <t>0002548</t>
  </si>
  <si>
    <t>0000276</t>
  </si>
  <si>
    <t>Cty CP Đại Hoài Phát</t>
  </si>
  <si>
    <t>Giấy tấm 3 lớp (140x101)</t>
  </si>
  <si>
    <t>0000189</t>
  </si>
  <si>
    <t>Giấy tấm 5 lớp (95x114)</t>
  </si>
  <si>
    <t>Giấy tấm 5 lớp (150x120)</t>
  </si>
  <si>
    <t>Giấy tấm 5 lớp (150x148)</t>
  </si>
  <si>
    <t>Giấy tấm 5 lớp (95x148)</t>
  </si>
  <si>
    <t>Giấy tấm 5 lớp (150x152)</t>
  </si>
  <si>
    <t>Giấy tấm 5 lớp (160x195)</t>
  </si>
  <si>
    <t>Giấy tấm 5 lớp (115x177)</t>
  </si>
  <si>
    <t>Giấy tấm 5 lớp (95x130)</t>
  </si>
  <si>
    <t>0155886; 0155885</t>
  </si>
  <si>
    <t>0195386; 0195397; 0195364</t>
  </si>
  <si>
    <t>0000408</t>
  </si>
  <si>
    <t>0003168</t>
  </si>
  <si>
    <t>Văn phòng phẩm</t>
  </si>
  <si>
    <t>Cty CP Văn Hóa Tổng Hợp Bình Dương</t>
  </si>
  <si>
    <t>VAT Văn phòng phẩm</t>
  </si>
  <si>
    <t>0002413</t>
  </si>
  <si>
    <t>Cty TNHH AEON Việt Nam</t>
  </si>
  <si>
    <t>0012361</t>
  </si>
  <si>
    <t>Cty TNHH SX TM DV Bao Bì Phú Nguyên Thịnh Phát</t>
  </si>
  <si>
    <t>0000928</t>
  </si>
  <si>
    <t>Giấy cuộn nâu</t>
  </si>
  <si>
    <t>Giấy tấm 5 lớp (1600x1770)</t>
  </si>
  <si>
    <t>Giấy tấm 5 lớp (1600x870)</t>
  </si>
  <si>
    <t>0000295</t>
  </si>
  <si>
    <t>Giấy tấm 5 lớp (160x177)</t>
  </si>
  <si>
    <t>Giấy tấm 5 lớp (160x87)</t>
  </si>
  <si>
    <t>Giấy tấm 5 lớp (95x194)</t>
  </si>
  <si>
    <t>Giấy tấm 5 lớp (95x204)</t>
  </si>
  <si>
    <t>Giấy tấm 5 lớp (115x155)</t>
  </si>
  <si>
    <t>Giấy tấm 5 lớp (115x162)</t>
  </si>
  <si>
    <t>Giấy tấm 5 lớp (120x122)</t>
  </si>
  <si>
    <t>Giấy tấm 5 lớp (90x140)</t>
  </si>
  <si>
    <t>Giấy tấm 5 lớp (155x166)</t>
  </si>
  <si>
    <t>0000297</t>
  </si>
  <si>
    <t>Giấy tấm 5 lớp (157x172)</t>
  </si>
  <si>
    <t>Giấy tấm 5 lớp (140x168)</t>
  </si>
  <si>
    <t>Giấy tấm 5 lớp (90x195)</t>
  </si>
  <si>
    <t>Giấy tấm 5 lớp (90x138)</t>
  </si>
  <si>
    <t>Giấy tấm 5 lớp (100x132)</t>
  </si>
  <si>
    <t>0000225</t>
  </si>
  <si>
    <t>Giấy tấm (155x174)</t>
  </si>
  <si>
    <t>Giấy tấm (155x170)</t>
  </si>
  <si>
    <t>Giấy tấm (140x170)</t>
  </si>
  <si>
    <t>Giấy tấm (90x200)</t>
  </si>
  <si>
    <t>Giấy tấm (90x140)</t>
  </si>
  <si>
    <t>Giấy tấm (130x207)</t>
  </si>
  <si>
    <t>Giấy tấm (130x157)</t>
  </si>
  <si>
    <t>Giấy tấm (130x195)</t>
  </si>
  <si>
    <t>Giấy tấm (130x191)</t>
  </si>
  <si>
    <t>Giấy tấm (130x196)</t>
  </si>
  <si>
    <t>Giấy tấm (95x194)</t>
  </si>
  <si>
    <t>Giấy tấm (95x204)</t>
  </si>
  <si>
    <t>Giấy tấm (115x155)</t>
  </si>
  <si>
    <t>Giấy tấm (115x184)</t>
  </si>
  <si>
    <t>Giấy tấm (115x162)</t>
  </si>
  <si>
    <t>Giấy tấm (130x193)</t>
  </si>
  <si>
    <t>0000201</t>
  </si>
  <si>
    <t>0000202</t>
  </si>
  <si>
    <t>0975049; 0975052</t>
  </si>
  <si>
    <t>1141655; 1141662</t>
  </si>
  <si>
    <t>0001861</t>
  </si>
  <si>
    <t>Giấy tấm 3 lớp (2000x1250)</t>
  </si>
  <si>
    <t>Giấy tấm 5 lớp (1950x1700)</t>
  </si>
  <si>
    <t>0000310</t>
  </si>
  <si>
    <t>Giấy tấm 5 lớp (135x137)</t>
  </si>
  <si>
    <t>0000618</t>
  </si>
  <si>
    <t>0004777</t>
  </si>
  <si>
    <t>0001334</t>
  </si>
  <si>
    <t>Cty CP Siêu Thị Vinmart</t>
  </si>
  <si>
    <t>0007229</t>
  </si>
  <si>
    <t>0005480</t>
  </si>
  <si>
    <t>0006632</t>
  </si>
  <si>
    <t>1307912; 1307901; 1307896</t>
  </si>
  <si>
    <t>0005326</t>
  </si>
  <si>
    <t>Giấy 2 lớp</t>
  </si>
  <si>
    <t>Giấy 3 lớp</t>
  </si>
  <si>
    <t>0000379</t>
  </si>
  <si>
    <t>Thùng carton 5 lớp (82x11.5x127)</t>
  </si>
  <si>
    <t>Thùng carton 5 lớp (58x42.5x95)</t>
  </si>
  <si>
    <t>Giấy tấm 5 lớp (1220x2440)</t>
  </si>
  <si>
    <t>0000872</t>
  </si>
  <si>
    <t>0007439</t>
  </si>
  <si>
    <t>0006199</t>
  </si>
  <si>
    <t>0006164</t>
  </si>
  <si>
    <t>0001117</t>
  </si>
  <si>
    <t>0007983</t>
  </si>
  <si>
    <t>0000405</t>
  </si>
  <si>
    <t>Giấy tấm (95x122)</t>
  </si>
  <si>
    <t>Giấy tấm (95x183)</t>
  </si>
  <si>
    <t>Giấy tấm (95x190)</t>
  </si>
  <si>
    <t>Giấy tấm (95x196)</t>
  </si>
  <si>
    <t>Giấy tấm (95x130)</t>
  </si>
  <si>
    <t>Giấy tấm (95x210)</t>
  </si>
  <si>
    <t>Giấy tấm (145x150)</t>
  </si>
  <si>
    <t>Giấy tấm (145x170)</t>
  </si>
  <si>
    <t>Giấy tấm (145x200)</t>
  </si>
  <si>
    <t>Giấy tấm (95x140)</t>
  </si>
  <si>
    <t>Giấy tấm (95x195)</t>
  </si>
  <si>
    <t>Giấy tấm (95x230)</t>
  </si>
  <si>
    <t>Giấy tấm (145x212)</t>
  </si>
  <si>
    <t>Giấy tấm (145x176)</t>
  </si>
  <si>
    <t>Giấy tấm (95x209)</t>
  </si>
  <si>
    <t>Giấy tấm (95x168)</t>
  </si>
  <si>
    <t>Giấy tấm (120x207)</t>
  </si>
  <si>
    <t>Giấy tấm (120x157)</t>
  </si>
  <si>
    <t>Giấy tấm (155x204)</t>
  </si>
  <si>
    <t>Giấy tấm (155x142)</t>
  </si>
  <si>
    <t>Giấy tấm (120x228)</t>
  </si>
  <si>
    <t>Giấy tấm (155x154)</t>
  </si>
  <si>
    <t>Giấy tấm (155x171)</t>
  </si>
  <si>
    <t>Giấy tấm (120x192)</t>
  </si>
  <si>
    <t>Giấy tấm (120x155)</t>
  </si>
  <si>
    <t>Giấy tấm (150x 125)</t>
  </si>
  <si>
    <t>Giấy tấm (145x73)</t>
  </si>
  <si>
    <t>Giấy tấm (160x148)</t>
  </si>
  <si>
    <t>0000410</t>
  </si>
  <si>
    <t>Giấy tấm 5 lớp (95x125)</t>
  </si>
  <si>
    <t>Giấy tấm 5 lớp (125x123)</t>
  </si>
  <si>
    <t>Giấy tấm 3 lớp (125x123)</t>
  </si>
  <si>
    <t>Giấy tấm 5 lớp (95x106)</t>
  </si>
  <si>
    <t>Giấy tấm 5 lớp (95x208)</t>
  </si>
  <si>
    <t>0002181</t>
  </si>
  <si>
    <t>Giấy tấm (1930x1500)</t>
  </si>
  <si>
    <t>Giấy tấm (1360x1050)</t>
  </si>
  <si>
    <t>Giấy tấm (1220x1200)</t>
  </si>
  <si>
    <t>0002245</t>
  </si>
  <si>
    <t>Giấy tấm (1950x1750)</t>
  </si>
  <si>
    <t>Giấy tấm (2000x1250)</t>
  </si>
  <si>
    <t>Giấy tấm (1920x1200)</t>
  </si>
  <si>
    <t>Giấy tấm (1610x1000)</t>
  </si>
  <si>
    <t>Giấy tấm (1480x1050)</t>
  </si>
  <si>
    <t>Giấy tấm (1710x1150)</t>
  </si>
  <si>
    <t>0002263</t>
  </si>
  <si>
    <t>Giấy tấm (2150x1500)</t>
  </si>
  <si>
    <t>Giấy tấm (2050x1500)</t>
  </si>
  <si>
    <t>Giấy tấm (1450x1200)</t>
  </si>
  <si>
    <t>Giấy tấm (2350x1200)</t>
  </si>
  <si>
    <t>Giấy tấm (2750x1200)</t>
  </si>
  <si>
    <t>0002339</t>
  </si>
  <si>
    <t>Giấy tấm (1930x1200)</t>
  </si>
  <si>
    <t>Giấy tấm (2060x1450)</t>
  </si>
  <si>
    <t>0002369</t>
  </si>
  <si>
    <t>Giấy tấm (2120x1650)</t>
  </si>
  <si>
    <t>Giấy tấm (1500x1050)</t>
  </si>
  <si>
    <t>0000429</t>
  </si>
  <si>
    <t>0000437</t>
  </si>
  <si>
    <t>Thùng carton 5 lớp (60x34x23)</t>
  </si>
  <si>
    <t>Thùng carton 3 lớp (36x29x26)</t>
  </si>
  <si>
    <t>Thùng carton 5 lớp (1340x540x945)</t>
  </si>
  <si>
    <t>Thùng carton 5 lớp (2100x995x470)</t>
  </si>
  <si>
    <t>Thùng carton 5 lớp (964x440x130)</t>
  </si>
  <si>
    <t>Thùng carton 5 lớp (57x38x46)</t>
  </si>
  <si>
    <t>Thùng carton 5 lớp (2120x600x1130)</t>
  </si>
  <si>
    <t>Thùng carton 5 lớp (2120x600x100)</t>
  </si>
  <si>
    <t>0000453</t>
  </si>
  <si>
    <t>Thùng carton 5 lớp (615x2500x800)</t>
  </si>
  <si>
    <t>0000457</t>
  </si>
  <si>
    <t>0000464</t>
  </si>
  <si>
    <t>0000474</t>
  </si>
  <si>
    <t>VAT Giấy</t>
  </si>
  <si>
    <t>0000481</t>
  </si>
  <si>
    <t>0000488</t>
  </si>
  <si>
    <t>0000495</t>
  </si>
  <si>
    <t>Thùng carton 5 lớp (122x110x2155)</t>
  </si>
  <si>
    <t>0000499</t>
  </si>
  <si>
    <t>Thùng carton 5 lớp (32x30x16)</t>
  </si>
  <si>
    <t>Thùng carton 5 lớp (60x60x33.5)</t>
  </si>
  <si>
    <t>Thùng carton 5 lớp (67x34.5x12)</t>
  </si>
  <si>
    <t>Thùng carton 5 lớp (60x43x37)</t>
  </si>
  <si>
    <t>Thùng carton 5 lớp (60x40x30)</t>
  </si>
  <si>
    <t>Thùng carton 5 lớp (820x430x85)</t>
  </si>
  <si>
    <t>Thùng carton 5 lớp (60x60x88)</t>
  </si>
  <si>
    <t>Thùng carton 5 lớp (59x45x47)</t>
  </si>
  <si>
    <t>Thùng carton 5 lớp (114x57x20)</t>
  </si>
  <si>
    <t>Thùng carton 5 lớp (118x60x20)</t>
  </si>
  <si>
    <t>Thùng carton 5 lớp (152x92x15)</t>
  </si>
  <si>
    <t>Thùng carton 5 lớp (58x42.5x55)</t>
  </si>
  <si>
    <t>0004565; 0004555; 0004549</t>
  </si>
  <si>
    <t>0018108</t>
  </si>
  <si>
    <t>Nhà Sách Hồng Phúc</t>
  </si>
  <si>
    <t>Cty CP Chuyển Phát Nhanh PTNC</t>
  </si>
  <si>
    <t>0000998</t>
  </si>
  <si>
    <t>Cước chuyển phát nhanh</t>
  </si>
  <si>
    <t>VAT Cước chuyển phát nhanh</t>
  </si>
  <si>
    <t>0001341</t>
  </si>
  <si>
    <t>0001347</t>
  </si>
  <si>
    <t>Cty TNHH TM DV Xăng Dầu Thành Minh</t>
  </si>
  <si>
    <t>0000493</t>
  </si>
  <si>
    <t>Xăng, Dầu DO</t>
  </si>
  <si>
    <t>VAT Xăng, Dầu DO</t>
  </si>
  <si>
    <t>Cty TNHH TM DV Ba Mắt</t>
  </si>
  <si>
    <t>0003389</t>
  </si>
  <si>
    <t>ADSL</t>
  </si>
  <si>
    <t>VAT ADSL</t>
  </si>
  <si>
    <t>0008148</t>
  </si>
  <si>
    <t>0000441</t>
  </si>
  <si>
    <t>Giấy tấm 5 lớp (128x150)</t>
  </si>
  <si>
    <t>Giấy tấm 5 lớp (164x135)</t>
  </si>
  <si>
    <t>Giấy tấm 5 lớp (206x155)</t>
  </si>
  <si>
    <t>Giấy tấm 5 lớp (125x85)</t>
  </si>
  <si>
    <t>Giấy tấm 5 lớp (150x180)</t>
  </si>
  <si>
    <t>Giấy tấm 5 lớp (135x180)</t>
  </si>
  <si>
    <t>Giấy tấm 5 lớp (135x215)</t>
  </si>
  <si>
    <t>0000009</t>
  </si>
  <si>
    <t>Thùng carton 5 lớp (850x480x500)</t>
  </si>
  <si>
    <t>Thùng carton 5 lớp (212x60x113)</t>
  </si>
  <si>
    <t>Thùng carton 5 lớp (212x60x10)</t>
  </si>
  <si>
    <t>Thùng carton 5 lớp (62x17x47)</t>
  </si>
  <si>
    <t>Thùng carton 5 lớp (83x17x57)</t>
  </si>
  <si>
    <t>Thùng carton 5 lớp (102x17x62)</t>
  </si>
  <si>
    <t>0000028</t>
  </si>
  <si>
    <t>Thùng carton 5 lớp (375x375x180)</t>
  </si>
  <si>
    <t>Thùng carton 5 lớp (1230x250x200)</t>
  </si>
  <si>
    <t>Lót 3 lớp (1220x240)</t>
  </si>
  <si>
    <t>Thùng carton 5 lớp (100x120)</t>
  </si>
  <si>
    <t>Thùng carton 5 lớp (140x158)</t>
  </si>
  <si>
    <t>Thùng carton 5 lớp (155x168)</t>
  </si>
  <si>
    <t>Thùng carton 5 lớp (100x236)</t>
  </si>
  <si>
    <t>Thùng carton 5 lớp (61x26.7x35.5)</t>
  </si>
  <si>
    <t>Thùng carton 5 lớp (61x26.7x20.5)</t>
  </si>
  <si>
    <t>Thùng carton 5 lớp (61x26.7x10.2)</t>
  </si>
  <si>
    <t>Thùng carton 5 lớp (43x19x30.5)</t>
  </si>
  <si>
    <t>Thùng carton 5 lớp (43x19x15)</t>
  </si>
  <si>
    <t>Thùng carton 5 lớp (27.5x34.5)</t>
  </si>
  <si>
    <t>Thùng carton 5 lớp (48x35.5x30.5)</t>
  </si>
  <si>
    <t>Thùng carton 5 lớp (48x35.5x20)</t>
  </si>
  <si>
    <t>Thùng carton 5 lớp (43x35.5x25.5)</t>
  </si>
  <si>
    <t>Thùng carton 5 lớp (43x35.5x15)</t>
  </si>
  <si>
    <t>Thùng carton 5 lớp (51x35.5x25.5)</t>
  </si>
  <si>
    <t>Thùng carton 5 lớp (51x35.5x15)</t>
  </si>
  <si>
    <t>Thùng carton 5 lớp (48x35.5x30)</t>
  </si>
  <si>
    <t>0002509</t>
  </si>
  <si>
    <t>VAT Giấy tấm</t>
  </si>
  <si>
    <t>Giấy tấm (1300x1050)</t>
  </si>
  <si>
    <t>0002599</t>
  </si>
  <si>
    <t>Giấy tấm (2600x1100)</t>
  </si>
  <si>
    <t>0002569</t>
  </si>
  <si>
    <t>Giấy tấm (2300x1400)</t>
  </si>
  <si>
    <t>Giấy tấm (1730x1350)</t>
  </si>
  <si>
    <t>Giấy tấm (1630x1250)</t>
  </si>
  <si>
    <t>Giấy tấm (1900x1400)</t>
  </si>
  <si>
    <t>Giấy tấm (1870x1400)</t>
  </si>
  <si>
    <t>Giấy tấm (2400x1400)</t>
  </si>
  <si>
    <t>Giấy tấm (2200x1400)</t>
  </si>
  <si>
    <t>Giấy tấm (1750x1400)</t>
  </si>
  <si>
    <t>Giấy tấm (2230x1400)</t>
  </si>
  <si>
    <t>Giấy tấm (1960x1400)</t>
  </si>
  <si>
    <t>Giấy tấm (2230x1450)</t>
  </si>
  <si>
    <t>Giấy tấm (1780x1450)</t>
  </si>
  <si>
    <t>Giấy tấm (1570x1800)</t>
  </si>
  <si>
    <t>Giấy tấm (2370x1350)</t>
  </si>
  <si>
    <t>Giấy tấm (2270x1100)</t>
  </si>
  <si>
    <t>Giấy tấm (2140x1100)</t>
  </si>
  <si>
    <t>Giấy tấm (2070x1050)</t>
  </si>
  <si>
    <t>Giấy tấm (1450x1050)</t>
  </si>
  <si>
    <t>0002652</t>
  </si>
  <si>
    <t>Giấy tấm (2500x1300)</t>
  </si>
  <si>
    <t>Giấy tấm (1400x1300)</t>
  </si>
  <si>
    <t>Giấy tấm (770x1300)</t>
  </si>
  <si>
    <t>Giấy tấm (2180x1300)</t>
  </si>
  <si>
    <t>Giấy tấm (2020x1300)</t>
  </si>
  <si>
    <t>Giấy tấm (740x1250)</t>
  </si>
  <si>
    <t>Giấy tấm (2140x1250)</t>
  </si>
  <si>
    <t>Giấy tấm (2470x1250)</t>
  </si>
  <si>
    <t>Giấy tấm (2230x1500)</t>
  </si>
  <si>
    <t>Giấy tấm (2750x1500)</t>
  </si>
  <si>
    <t>Giấy tấm (1140x1400)</t>
  </si>
  <si>
    <t>Giấy tấm (2400x1350)</t>
  </si>
  <si>
    <t>Giấy tấm (2250x1750)</t>
  </si>
  <si>
    <t>Giấy tấm (1160x1450)</t>
  </si>
  <si>
    <t>Giấy tấm (2100x1200)</t>
  </si>
  <si>
    <t>Giấy tấm (2090x1150)</t>
  </si>
  <si>
    <t>Giấy tấm (1730x1650)</t>
  </si>
  <si>
    <t>Giấy tấm (2130x1650)</t>
  </si>
  <si>
    <t>0000460</t>
  </si>
  <si>
    <t>Giấy tấm 5 lớp (100x120)</t>
  </si>
  <si>
    <t>Giấy tấm 5 lớp (140x158)</t>
  </si>
  <si>
    <t>Giấy tấm 5 lớp (155x168)</t>
  </si>
  <si>
    <t>Giấy tấm 5 lớp (100x236)</t>
  </si>
  <si>
    <t>Giấy tấm 5 lớp (27.5x34.5)</t>
  </si>
  <si>
    <t>0004068; 0004084; 0004073</t>
  </si>
  <si>
    <t>0007106</t>
  </si>
  <si>
    <t>Phạm Thái Tài</t>
  </si>
  <si>
    <t>0027250</t>
  </si>
  <si>
    <t>0001611</t>
  </si>
  <si>
    <t>0000241</t>
  </si>
  <si>
    <t>Cty TNHH MTV SX TM DV Kim Bảo Châu</t>
  </si>
  <si>
    <t>Áo đồng phục</t>
  </si>
  <si>
    <t>VAT Áo đồng phục</t>
  </si>
  <si>
    <t>0003423</t>
  </si>
  <si>
    <t>0340774; 0340773</t>
  </si>
  <si>
    <t>0008789</t>
  </si>
  <si>
    <t>0009700</t>
  </si>
  <si>
    <t>0009831</t>
  </si>
  <si>
    <t>0009844; 0009845</t>
  </si>
  <si>
    <t>0010252</t>
  </si>
  <si>
    <t>Cty TNHH TM DV XD Vinh Đạt</t>
  </si>
  <si>
    <t>0000217</t>
  </si>
  <si>
    <t>Thùng carton 7 lớp (64x62x31)</t>
  </si>
  <si>
    <t>Giấy tấm 3 lớp (120x240)</t>
  </si>
  <si>
    <t>0002679</t>
  </si>
  <si>
    <t>VAT giấy tấm</t>
  </si>
  <si>
    <t>Giấy tấm (1960x1450)</t>
  </si>
  <si>
    <t>Giấy tấm (1320x1600)</t>
  </si>
  <si>
    <t>0002705</t>
  </si>
  <si>
    <t>Giấy tấm (1520x1300)</t>
  </si>
  <si>
    <t>Giấy tấm (1290x1050)</t>
  </si>
  <si>
    <t>Giấy tấm (1120x1050)</t>
  </si>
  <si>
    <t>Giấy tấm (1240x1050)</t>
  </si>
  <si>
    <t>Giấy tấm (1270x1450)</t>
  </si>
  <si>
    <t>Giấy tấm (1220x1100)</t>
  </si>
  <si>
    <t>Giấy tấm (1150x1750)</t>
  </si>
  <si>
    <t>Giấy tấm (1660x1250)</t>
  </si>
  <si>
    <t>Giấy tấm (1660x1200)</t>
  </si>
  <si>
    <t>Giấy tấm (1230x1350)</t>
  </si>
  <si>
    <t>Giấy tấm (1230x1400)</t>
  </si>
  <si>
    <t>0002761</t>
  </si>
  <si>
    <t>0002808</t>
  </si>
  <si>
    <t>Giấy tấm (2670x1500)</t>
  </si>
  <si>
    <t>0002862</t>
  </si>
  <si>
    <t>Giấy tấm (1300x1100)</t>
  </si>
  <si>
    <t>0002928</t>
  </si>
  <si>
    <t>Giấy tấm (700x500)</t>
  </si>
  <si>
    <t>0002746</t>
  </si>
  <si>
    <t>Giấy tấm (2250x1500)</t>
  </si>
  <si>
    <t>Giấy tấm (1670x1500)</t>
  </si>
  <si>
    <t>Giấy tấm (2150x1250)</t>
  </si>
  <si>
    <t>Giấy tấm (2010x1250)</t>
  </si>
  <si>
    <t>Giấy tấm (1900x1250)</t>
  </si>
  <si>
    <t>Giấy tấm (2110x1250)</t>
  </si>
  <si>
    <t>Giấy tấm (2360x1150)</t>
  </si>
  <si>
    <t>Giấy tấm (2110x1150)</t>
  </si>
  <si>
    <t>Giấy tấm (2530x1600)</t>
  </si>
  <si>
    <t>Giấy tấm (2580x1600)</t>
  </si>
  <si>
    <t>Giấy tấm (2050x1750)</t>
  </si>
  <si>
    <t>Giấy tấm (1640x1750)</t>
  </si>
  <si>
    <t>Giấy tấm (2780x1200)</t>
  </si>
  <si>
    <t>Giấy tấm (2280x1200)</t>
  </si>
  <si>
    <t>Giấy tấm (1770x1200)</t>
  </si>
  <si>
    <t>Giấy tấm (1710x1350)</t>
  </si>
  <si>
    <t>Giấy tấm (2350x1350)</t>
  </si>
  <si>
    <t>Giấy tấm (2200x1300)</t>
  </si>
  <si>
    <t>Giấy tấm (2170x1300)</t>
  </si>
  <si>
    <t>Giấy tấm (2010x1300)</t>
  </si>
  <si>
    <t>Giấy tấm (900x900)</t>
  </si>
  <si>
    <t>Giấy tấm (850x850)</t>
  </si>
  <si>
    <t>Cty TNHH TM DV XNK Gia Hữu</t>
  </si>
  <si>
    <t>0003322</t>
  </si>
  <si>
    <t>Thùng carton 3 lớp (41.5x27.5x23)</t>
  </si>
  <si>
    <t>Thùng carton 3 lớp (40.5x21.5x55.5)</t>
  </si>
  <si>
    <t>Thùng carton 3 lớp (40.5x15x45)</t>
  </si>
  <si>
    <t>0003191</t>
  </si>
  <si>
    <t>VAT giấy</t>
  </si>
  <si>
    <t>0169054; 0169049; 0169065</t>
  </si>
  <si>
    <t>0001899</t>
  </si>
  <si>
    <t>0010571</t>
  </si>
  <si>
    <t>0445030</t>
  </si>
  <si>
    <t>0011638</t>
  </si>
  <si>
    <t>Cty TNHH SX TM DV Thiên Long</t>
  </si>
  <si>
    <t>0000292</t>
  </si>
  <si>
    <t>Thùng carton 5 lớp (44.5x37x22.5)</t>
  </si>
  <si>
    <t>Thùng carton 5 lớp (44.5x37x25.5)</t>
  </si>
  <si>
    <t>Thùng carton 5 lớp (37.5x21.5x22.5)</t>
  </si>
  <si>
    <t>Thùng carton (520x520x520)</t>
  </si>
  <si>
    <t>Giấy tấm (1320x1000)</t>
  </si>
  <si>
    <t>Giấy tấm (1500x1000)</t>
  </si>
  <si>
    <t>Giấy tấm (1750x1000)</t>
  </si>
  <si>
    <t>Giấy tấm (1210x1000)</t>
  </si>
  <si>
    <t>Giấy tấm (1840x1150)</t>
  </si>
  <si>
    <t>Giấy tấm (1060x1150)</t>
  </si>
  <si>
    <t>Giấy tấm (1150x1150)</t>
  </si>
  <si>
    <t>Giấy tấm (1070x1150)</t>
  </si>
  <si>
    <t>Giấy tấm (1140x1250)</t>
  </si>
  <si>
    <t>Giấy tấm (1200x1250)</t>
  </si>
  <si>
    <t>Giấy tấm (2220x1250)</t>
  </si>
  <si>
    <t>Giấy tấm (1470x1500)</t>
  </si>
  <si>
    <t>Giấy tấm (1350x1500)</t>
  </si>
  <si>
    <t>Giấy tấm (1140x1650)</t>
  </si>
  <si>
    <t>0000376</t>
  </si>
  <si>
    <t>Thùng carton 5 lớp (38.5x38.5x29)</t>
  </si>
  <si>
    <t>Thùng carton 5 lớp (53.5x35x16)</t>
  </si>
  <si>
    <t>Thùng carton 5 lớp (55.5x36x15)</t>
  </si>
  <si>
    <t>0000081</t>
  </si>
  <si>
    <t>0000098</t>
  </si>
  <si>
    <t>0000142</t>
  </si>
  <si>
    <t>0003045</t>
  </si>
  <si>
    <t>Thùng carton (2025x1025x125)</t>
  </si>
  <si>
    <t>Thùng carton (1620x370x490)</t>
  </si>
  <si>
    <t>Thùng carton (370x370x490)</t>
  </si>
  <si>
    <t>Thùng carton (1225x625x175)</t>
  </si>
  <si>
    <t>Thùng carton (820x420x400)</t>
  </si>
  <si>
    <t>Thùng carton (470x470x320)</t>
  </si>
  <si>
    <t>Thùng carton (470x470x470)</t>
  </si>
  <si>
    <t>Thùng carton (720x470x470)</t>
  </si>
  <si>
    <t>0003079</t>
  </si>
  <si>
    <t>0003103</t>
  </si>
  <si>
    <t>0003192</t>
  </si>
  <si>
    <t>Giấy tấm (1940x1150)</t>
  </si>
  <si>
    <t>Giấy tấm (1200x1150)</t>
  </si>
  <si>
    <t>Giấy tấm (1700x1150)</t>
  </si>
  <si>
    <t>Giấy tấm (2100x1150)</t>
  </si>
  <si>
    <t>Giấy tấm (1740x1300)</t>
  </si>
  <si>
    <t>Giấy tấm (1640x1300)</t>
  </si>
  <si>
    <t>Giấy tấm (2150x1300)</t>
  </si>
  <si>
    <t>0003225</t>
  </si>
  <si>
    <t>0003306</t>
  </si>
  <si>
    <t>Thùng carton (445x370x260)</t>
  </si>
  <si>
    <t>Giấy tấm (1920x1150)</t>
  </si>
  <si>
    <t>0003321</t>
  </si>
  <si>
    <t>Thùng carton (385x385x290)</t>
  </si>
  <si>
    <t>Thùng carton (740x340x160)</t>
  </si>
  <si>
    <t>Cty TNHH TM DV SX Bao Bì Royal</t>
  </si>
  <si>
    <t>Cty TNHH MTV Thanh Phát</t>
  </si>
  <si>
    <t>Cty Công Nghiệp Tân Á</t>
  </si>
  <si>
    <t>Thuế GTGT Quý IV/2014</t>
  </si>
  <si>
    <t>0000270</t>
  </si>
  <si>
    <t>VAT Thùng</t>
  </si>
  <si>
    <t>Cty CP CUVT CN Viễn Thiên</t>
  </si>
  <si>
    <t>Cước vận chuyển</t>
  </si>
  <si>
    <t>0000272</t>
  </si>
  <si>
    <t>Cty CP CN phát triển XD Miền Bắc</t>
  </si>
  <si>
    <t>0000273</t>
  </si>
  <si>
    <t>0000274</t>
  </si>
  <si>
    <t>0000275</t>
  </si>
  <si>
    <t>Cty TNHH Bình Dương T.N.T</t>
  </si>
  <si>
    <t>0000277</t>
  </si>
  <si>
    <t>Cty TNHH TM DV KT Minh Khoa</t>
  </si>
  <si>
    <t>0000278</t>
  </si>
  <si>
    <t>0000279</t>
  </si>
  <si>
    <t>Cty Yaban Chain Industrial VN</t>
  </si>
  <si>
    <t>0000280</t>
  </si>
  <si>
    <t>0000281</t>
  </si>
  <si>
    <t>0000282</t>
  </si>
  <si>
    <t>0000283</t>
  </si>
  <si>
    <t>0000284</t>
  </si>
  <si>
    <t>0000285</t>
  </si>
  <si>
    <t>0000286</t>
  </si>
  <si>
    <t>0000287</t>
  </si>
  <si>
    <t>0000288</t>
  </si>
  <si>
    <t>0000293</t>
  </si>
  <si>
    <t>0000296</t>
  </si>
  <si>
    <t>0000298</t>
  </si>
  <si>
    <t>0000299</t>
  </si>
  <si>
    <t>Cty TNHH MTV Thiên Hồng Hà</t>
  </si>
  <si>
    <t>0000300</t>
  </si>
  <si>
    <t>0000301</t>
  </si>
  <si>
    <t xml:space="preserve">Cty TNHH APPAREL FAR EASTERN VN </t>
  </si>
  <si>
    <t>0000303</t>
  </si>
  <si>
    <t xml:space="preserve"> VAT Giấy</t>
  </si>
  <si>
    <t>0000304</t>
  </si>
  <si>
    <t>0000305</t>
  </si>
  <si>
    <t>0000306</t>
  </si>
  <si>
    <t>0000316</t>
  </si>
  <si>
    <t>0000318</t>
  </si>
  <si>
    <t>0000323</t>
  </si>
  <si>
    <t>0000324</t>
  </si>
  <si>
    <t>0000325</t>
  </si>
  <si>
    <t>0000326</t>
  </si>
  <si>
    <t>0000327</t>
  </si>
  <si>
    <t>0000329</t>
  </si>
  <si>
    <t>0000330</t>
  </si>
  <si>
    <t>0000331</t>
  </si>
  <si>
    <t>0000332</t>
  </si>
  <si>
    <t>0000333</t>
  </si>
  <si>
    <t>Cty TNHH Hải Đông</t>
  </si>
  <si>
    <t>0000334</t>
  </si>
  <si>
    <t>0000335</t>
  </si>
  <si>
    <t>0000336</t>
  </si>
  <si>
    <t>Cty CP Sunmen</t>
  </si>
  <si>
    <t>0000337</t>
  </si>
  <si>
    <t>0000338</t>
  </si>
  <si>
    <t>0000339</t>
  </si>
  <si>
    <t>0000340</t>
  </si>
  <si>
    <t>0000341</t>
  </si>
  <si>
    <t>0000342</t>
  </si>
  <si>
    <t>0000343</t>
  </si>
  <si>
    <t>0000345</t>
  </si>
  <si>
    <t>Cty TNHH TM SX Đại Tấn Lợi</t>
  </si>
  <si>
    <t>0000346</t>
  </si>
  <si>
    <t>0000347</t>
  </si>
  <si>
    <t>0000349</t>
  </si>
  <si>
    <t>Cty TNHH MTV may mặc Minh An Gia</t>
  </si>
  <si>
    <t>0000351</t>
  </si>
  <si>
    <t>Cty TNHH Khang Yến</t>
  </si>
  <si>
    <t>0000352</t>
  </si>
  <si>
    <t>0000353</t>
  </si>
  <si>
    <t>0000356</t>
  </si>
  <si>
    <t>0000357</t>
  </si>
  <si>
    <t>0000358</t>
  </si>
  <si>
    <t>0000359</t>
  </si>
  <si>
    <t>Cty TNHH MTV Bạch Kiến</t>
  </si>
  <si>
    <t>0000360</t>
  </si>
  <si>
    <t>0000361</t>
  </si>
  <si>
    <t>0000362</t>
  </si>
  <si>
    <t>0000363</t>
  </si>
  <si>
    <t>0000364</t>
  </si>
  <si>
    <t>Cty TNHH MTV Sơn Quang Minh</t>
  </si>
  <si>
    <t>0000365</t>
  </si>
  <si>
    <t>0000366</t>
  </si>
  <si>
    <t>0000367</t>
  </si>
  <si>
    <t>0000368</t>
  </si>
  <si>
    <t>0000370</t>
  </si>
  <si>
    <t>0000371</t>
  </si>
  <si>
    <t>0000372</t>
  </si>
  <si>
    <t>0000374</t>
  </si>
  <si>
    <t>Cty TNHH TOPFAIR INDUSTRIES VN</t>
  </si>
  <si>
    <t>0000375</t>
  </si>
  <si>
    <t>0000377</t>
  </si>
  <si>
    <t>0000378</t>
  </si>
  <si>
    <t>0000380</t>
  </si>
  <si>
    <t>Cty TNHH TM DV hàng hải Vũng Tàu</t>
  </si>
  <si>
    <t>0000381</t>
  </si>
  <si>
    <t>Cty TNHH YIN HWA VN</t>
  </si>
  <si>
    <t>0000382</t>
  </si>
  <si>
    <t>0000384</t>
  </si>
  <si>
    <t>0000386</t>
  </si>
  <si>
    <t>0000387</t>
  </si>
  <si>
    <t>Cty TNHH Phạm Tôn</t>
  </si>
  <si>
    <t>0000388</t>
  </si>
  <si>
    <t>0000389</t>
  </si>
  <si>
    <t>0000390</t>
  </si>
  <si>
    <t>0000392</t>
  </si>
  <si>
    <t>0000393</t>
  </si>
  <si>
    <t>0000394</t>
  </si>
  <si>
    <t>Cty CP đầu tư XD địa ốc F.D.C</t>
  </si>
  <si>
    <t>0000396</t>
  </si>
  <si>
    <t>0000397</t>
  </si>
  <si>
    <t>Cty TNHH hóa chất XD CN Mới</t>
  </si>
  <si>
    <t>0000399</t>
  </si>
  <si>
    <t>Lót 3 Lớp (1220x240)</t>
  </si>
  <si>
    <t>0000400</t>
  </si>
  <si>
    <t>0000401</t>
  </si>
  <si>
    <t>0000402</t>
  </si>
  <si>
    <t>0000403</t>
  </si>
  <si>
    <t>0000406</t>
  </si>
  <si>
    <t>Cty TNHH bao bì Hân Lợi</t>
  </si>
  <si>
    <t>0000409</t>
  </si>
  <si>
    <t xml:space="preserve">Thùng giấy 2L </t>
  </si>
  <si>
    <t>0000411</t>
  </si>
  <si>
    <t xml:space="preserve">Cty TNHH Tường Huy </t>
  </si>
  <si>
    <t>0000413</t>
  </si>
  <si>
    <t>0000414</t>
  </si>
  <si>
    <t>0000415</t>
  </si>
  <si>
    <t>0000416</t>
  </si>
  <si>
    <t>Cty TNHH KT Việt An</t>
  </si>
  <si>
    <t>0000421</t>
  </si>
  <si>
    <t>Cty CP TM DV KT Cao Nam Phát</t>
  </si>
  <si>
    <t>0000423</t>
  </si>
  <si>
    <t>0000424</t>
  </si>
  <si>
    <t>0000425</t>
  </si>
  <si>
    <t>0000426</t>
  </si>
  <si>
    <t>0000427</t>
  </si>
  <si>
    <t>0000428</t>
  </si>
  <si>
    <t>0000430</t>
  </si>
  <si>
    <t>0000431</t>
  </si>
  <si>
    <t>0000434</t>
  </si>
  <si>
    <t>0000435</t>
  </si>
  <si>
    <t>0000436</t>
  </si>
  <si>
    <t>0000438</t>
  </si>
  <si>
    <t>0000442</t>
  </si>
  <si>
    <t>Cty TNHH Dầu Nhớt Việt Pháp</t>
  </si>
  <si>
    <t>0000445</t>
  </si>
  <si>
    <t>0000447</t>
  </si>
  <si>
    <t>0000449</t>
  </si>
  <si>
    <t>VAT Cước vận chuyển</t>
  </si>
  <si>
    <t>0000289</t>
  </si>
  <si>
    <t>0000451</t>
  </si>
  <si>
    <t>0000456</t>
  </si>
  <si>
    <t>0000458</t>
  </si>
  <si>
    <t>Giấy tấm (110x189)</t>
  </si>
  <si>
    <t>Giấy tấm (1150x1450)</t>
  </si>
  <si>
    <t>Giấy tấm (1150x1520)</t>
  </si>
  <si>
    <t>Giấy tấm (1150x1720)</t>
  </si>
  <si>
    <t>Giấy tấm (145x138)</t>
  </si>
  <si>
    <t>Giấy tấm (145x52)</t>
  </si>
  <si>
    <t>Giấy tấm (1500x1920)</t>
  </si>
  <si>
    <t>Giấy tấm 1N + 2X (110x127)</t>
  </si>
  <si>
    <t>Giấy tấm 1N + 2X (120x129)</t>
  </si>
  <si>
    <t>Giấy tấm 1N + 2X (120x146)</t>
  </si>
  <si>
    <t>Giấy tấm 1N + 2X (150x146)</t>
  </si>
  <si>
    <t>Giấy tấm 1N + 2X (150x92)</t>
  </si>
  <si>
    <t>Giấy tấm 1N + 4X (110x102)</t>
  </si>
  <si>
    <t>Giấy tấm 1N + 4X (125x178)</t>
  </si>
  <si>
    <t>Giấy tấm 1N + 4X (135x128)</t>
  </si>
  <si>
    <t>Giấy tấm 1N +4X (105x102)</t>
  </si>
  <si>
    <t>Giấy tấm 2N + 3X (110x77)</t>
  </si>
  <si>
    <t>Giấy tấm 2N + 3X (115x114)</t>
  </si>
  <si>
    <t>Giấy tấm 2N + 3X (170x215)</t>
  </si>
  <si>
    <t>Giấy tấm 3 lớp (1200x1550)</t>
  </si>
  <si>
    <t>Giấy tấm 5 lớp (115x207)</t>
  </si>
  <si>
    <t>Giấy tấm 5 lớp (125x126)</t>
  </si>
  <si>
    <t>Giấy tấm 5 lớp (850x2040)</t>
  </si>
  <si>
    <t>Giấy tấm 5X (150x100)</t>
  </si>
  <si>
    <t>Thùng carton (129.4x33x33)</t>
  </si>
  <si>
    <t>Thùng carton 5 lớp (125x21.5x26)</t>
  </si>
  <si>
    <t>Thùng carton 5 lớp (165.5x46x16.5)</t>
  </si>
  <si>
    <t>Thùng carton 5 lớp (53x33x33)</t>
  </si>
  <si>
    <t>Thùng carton 5 lớp (60x42x38)</t>
  </si>
  <si>
    <t>Lót cạnh 3 lớp (20x20)</t>
  </si>
  <si>
    <t>Thùng carton 7 lớp 54.5x54.5x60.5</t>
  </si>
  <si>
    <t>Thùng carton 7 lớp 52.5x52.5x57.5</t>
  </si>
  <si>
    <t>Thùng carton 7 lớp 40.5x40.5x52</t>
  </si>
  <si>
    <t>Thùng carton 7 lớp 40x40x51</t>
  </si>
  <si>
    <t>Thùng carton 7 lớp 44x44x51</t>
  </si>
  <si>
    <t>Thùng carton 7 lớp 55x55x30</t>
  </si>
  <si>
    <t>Thùng carton 7 lớp 40.5x40.5x51</t>
  </si>
  <si>
    <t>Thùng carton 7 lớp 36x36x50</t>
  </si>
  <si>
    <t>Thùng carton 7 lớp 40x40x27</t>
  </si>
  <si>
    <t>Thùng carton 7 lớp 125.5x40.5x52</t>
  </si>
  <si>
    <t>Thùng carton 7 lớp 52x52x60.5</t>
  </si>
  <si>
    <t>Thùng carton 7 lớp 52x52x59</t>
  </si>
  <si>
    <t>Thùng carton 7 lớp 52x52x133</t>
  </si>
  <si>
    <t>Thùng carton 7 lớp 68.5x68.5x68.5</t>
  </si>
  <si>
    <t>Thùng carton 7 lớp 64.5x25.5x24.5</t>
  </si>
  <si>
    <t>Thùng carton 7 lớp 35x35x58</t>
  </si>
  <si>
    <t>Thùng carton 7 lớp 40x40x77</t>
  </si>
  <si>
    <t>Thùng carton 7 lớp 96x78x27</t>
  </si>
  <si>
    <t>Thùng carton 7 lớp 65x35x71</t>
  </si>
  <si>
    <t>Thùng carton 7 lớp 165x40x51</t>
  </si>
  <si>
    <t>Thùng carton 7 lớp 21x21x29</t>
  </si>
  <si>
    <t>Thùng carton 7 lớp 45x45x58</t>
  </si>
  <si>
    <t>Thùng carton 7 lớp 45x45x68</t>
  </si>
  <si>
    <t>Thùng carton 7 lớp 37x37x49</t>
  </si>
  <si>
    <t>Thùng carton 7 lớp 65x65x77</t>
  </si>
  <si>
    <t>Thùng carton 7 lớp 96x96x20</t>
  </si>
  <si>
    <t>Thùng carton 7 lớp 75.5x75.5x35.5</t>
  </si>
  <si>
    <t>Thùng carton 7 lớp 45.5x45.5x52.5</t>
  </si>
  <si>
    <t>Thùng carton 7 lớp 55x55.5x47</t>
  </si>
  <si>
    <t>Thùng carton 7 lớp 45.5x45.5x51</t>
  </si>
  <si>
    <t>Thùng carton 7 lớp 125.5x45.5x52</t>
  </si>
  <si>
    <t>Thùng carton 5 lớp (64x34,5x14,5)</t>
  </si>
  <si>
    <t>Thùng carton 5 lớp (67x39x13)</t>
  </si>
  <si>
    <t>Thùng carton 5 lớp (49x40x14,5)</t>
  </si>
  <si>
    <t>Thùng carton 3 lớp (51,5x26x26)</t>
  </si>
  <si>
    <t>Thùng carton 3 lớp (51,5x27x27)</t>
  </si>
  <si>
    <t>Thùng carton 5 lớp (30x20x20)</t>
  </si>
  <si>
    <t>Thùng carton 5 lớp (63x63x38)</t>
  </si>
  <si>
    <t>Thùng carton 5 lớp (84x84x66)</t>
  </si>
  <si>
    <t>Thùng carton 5 lớp (84x68x66)</t>
  </si>
  <si>
    <t>Thùng carton 5 lớp (117x71x71)</t>
  </si>
  <si>
    <t>Thùng carton 5 lớp (130x12,5x62)</t>
  </si>
  <si>
    <t>Tấm lót 3 lớp (18.4x17.6)</t>
  </si>
  <si>
    <t>Thùng carton 5 lớp (65x34x11)</t>
  </si>
  <si>
    <t>Thùng carton 5 lớp (72x56x42)</t>
  </si>
  <si>
    <t>Thùng carton 5 lớp (50x35x79)</t>
  </si>
  <si>
    <t>Thùng carton 5 lớp (33x22x8)</t>
  </si>
  <si>
    <t>Thùng carton 5 lớp (35x23x13)</t>
  </si>
  <si>
    <t>Thùng carton 5 lớp (43x29x19)</t>
  </si>
  <si>
    <t>Thùng carton 5 lớp (45x27x17)</t>
  </si>
  <si>
    <t>Thùng carton 5 lớp (43x31x18)</t>
  </si>
  <si>
    <t>Thùng carton 3 lớp (58,7x38,7x28,6)</t>
  </si>
  <si>
    <t>Giấy tấm 1 lớp (1,1x1,3)</t>
  </si>
  <si>
    <t>Thùng carton 5 lớp (96x68x66)</t>
  </si>
  <si>
    <t>Thùng carton 5 lớp (191x66x20)</t>
  </si>
  <si>
    <t>Thùng carton 5 lớp (95x67x82)</t>
  </si>
  <si>
    <t>Thùng carton 5 lớp (55x34x38)</t>
  </si>
  <si>
    <t>Thùng carton 3 lớp (18x18x18)</t>
  </si>
  <si>
    <t>Giấy tấm 3 lớp (800x440)</t>
  </si>
  <si>
    <t>Giấy tấm 3 lớp (1220x440)</t>
  </si>
  <si>
    <t>Giấy tấm 5 lớp (970x440)</t>
  </si>
  <si>
    <t>Thùng carton 3 lớp (29.5x29.5x31.5)</t>
  </si>
  <si>
    <t>Lót cạnh 3 lớp (20x40)</t>
  </si>
  <si>
    <t>Lót góc 3 lớp (20x20)</t>
  </si>
  <si>
    <t>Thùng carton 5 lớp (43x30x31)</t>
  </si>
  <si>
    <t>Thùng carton 5 lớp (60x43x30)</t>
  </si>
  <si>
    <t>Thùng carton 5 lớp (150x132x112/30)</t>
  </si>
  <si>
    <t>Thùng carton 5 lớp (186x63x92/27)</t>
  </si>
  <si>
    <t>Thùng carton 5 lớp (202x152x42)</t>
  </si>
  <si>
    <t>Thùng carton 5 lớp (78x195x95/40)</t>
  </si>
  <si>
    <t>Thùng carton 5 lớp (97x83x207)</t>
  </si>
  <si>
    <t>Thùng carton 5 lớp (57x57x61)</t>
  </si>
  <si>
    <t>Thùng carton 5 lớp (42x37x87)</t>
  </si>
  <si>
    <t>Thùng carton 5 lớp (82x76x24)</t>
  </si>
  <si>
    <t>Thùng carton 5 lớp (122x42x49)</t>
  </si>
  <si>
    <t>Thùng carton 5 lớp (162x42x49)</t>
  </si>
  <si>
    <t>Thùng carton 5 lớp (47x47x58.5)</t>
  </si>
  <si>
    <t>Thùng carton 5 lớp (132x72x45)</t>
  </si>
  <si>
    <t>Thùng carton 5 lớp (142x42x74)</t>
  </si>
  <si>
    <t>Thùng carton 5 lớp (20.2x10.2x16)</t>
  </si>
  <si>
    <t>Thùng carton 5 lớp (167x94x22)</t>
  </si>
  <si>
    <t>Thùng carton 5 lớp (52x27x77)</t>
  </si>
  <si>
    <t>Thùng carton 5 lớp (42x42x77)</t>
  </si>
  <si>
    <t>Thùng carton 5 lớp (51x51x77)</t>
  </si>
  <si>
    <t>Thùng carton 5 lớp (52x52x28)</t>
  </si>
  <si>
    <t>Thùng carton 5 lớp (165.5x40.5x52)</t>
  </si>
  <si>
    <t>Giấy tấm 5 lớp (120x210)</t>
  </si>
  <si>
    <t>Thùng carton 5 lớp (365x224x160)</t>
  </si>
  <si>
    <t>Thùng carton 5 lớp (390x273x235)</t>
  </si>
  <si>
    <t>Thùng carton 3 lớp (12x12x9)</t>
  </si>
  <si>
    <t>Thùng carton 5 lớp (610x610x335)</t>
  </si>
  <si>
    <t>Thùng carton 5 lớp (27.5x21.5x26)</t>
  </si>
  <si>
    <t>Thùng carton 5 lớp (560x315x180)</t>
  </si>
  <si>
    <t>Thùng carton 5 lớp (420x300x300)</t>
  </si>
  <si>
    <t>Thùng carton 5 lớp (930x492x90)</t>
  </si>
  <si>
    <t>Thùng carton 5 lớp (780x480x1900)</t>
  </si>
  <si>
    <t>Thùng carton 5 lớp (1675x500x955)</t>
  </si>
  <si>
    <t>Thùng carton 5 lớp (1705x480x1235)</t>
  </si>
  <si>
    <t>Thùng carton 5 lớp (2190x500x955)</t>
  </si>
  <si>
    <t>Thùng carton 5 lớp (1230x730x520)</t>
  </si>
  <si>
    <t>Thùng carton 5 lớp (750x510x1085)</t>
  </si>
  <si>
    <t>Thùng carton 5 lớp (2240x1040x125)</t>
  </si>
  <si>
    <t>Thùng carton 5 lớp (2230x1030x115)</t>
  </si>
  <si>
    <t>Thùng carton 5 lớp (830x520x755)</t>
  </si>
  <si>
    <t>Thùng carton 5 lớp (530x1040x115)</t>
  </si>
  <si>
    <t>Thùng carton 5 lớp (520x1030x105)</t>
  </si>
  <si>
    <t>Thùng carton 5 lớp (1840x940x160)</t>
  </si>
  <si>
    <t>Thùng carton 5 lớp (1830x930x150)</t>
  </si>
  <si>
    <t>Thùng carton 5 lớp (940x502x100)</t>
  </si>
  <si>
    <t>Thùng carton 5 lớp (73x39x30)</t>
  </si>
  <si>
    <t>Giấy tấm 5 lớp (105x207)</t>
  </si>
  <si>
    <t>Giấy tấm 5 lớp (110x111)</t>
  </si>
  <si>
    <t>Giấy tấm 5 lớp (150x132)</t>
  </si>
  <si>
    <t>Thùng carton 5 lớp (1100x750x200)</t>
  </si>
  <si>
    <t>Xuất bán</t>
  </si>
  <si>
    <t>Thùng carton 3 lớp (39.5x29.5x31.5)</t>
  </si>
  <si>
    <t>Giấy tấm 2 lớp</t>
  </si>
  <si>
    <t>Lương bộ phận quản lý</t>
  </si>
  <si>
    <t>Lương bộ phận sản xuất</t>
  </si>
  <si>
    <t>C05</t>
  </si>
  <si>
    <t>Thanh toán lương T01/2015</t>
  </si>
  <si>
    <t>Thanh toán lương T12/2015</t>
  </si>
  <si>
    <t>Thanh toán lương T11/2015</t>
  </si>
  <si>
    <t>Thanh toán lương T10/2015</t>
  </si>
  <si>
    <t>Thanh toán lương T09/2015</t>
  </si>
  <si>
    <t>Thanh toán lương T08/2015</t>
  </si>
  <si>
    <t>Thanh toán lương T07/2015</t>
  </si>
  <si>
    <t>Thanh toán lương T06/2015</t>
  </si>
  <si>
    <t>Thanh toán lương T05/2015</t>
  </si>
  <si>
    <t>Thanh toán lương T04/2015</t>
  </si>
  <si>
    <t>Thanh toán lương T03/2015</t>
  </si>
  <si>
    <t>Thanh toán lương T02/2015</t>
  </si>
  <si>
    <t>Chi Cục Thuế Thị Xã Dĩ An</t>
  </si>
  <si>
    <t>Chi phí thuế TNDN 2015</t>
  </si>
  <si>
    <t>KC dứt  nợ</t>
  </si>
  <si>
    <t>KC dư nợ</t>
  </si>
  <si>
    <t>0000305; 0000306</t>
  </si>
  <si>
    <t>Phí ngân hàng chịu thay</t>
  </si>
  <si>
    <t>X01</t>
  </si>
  <si>
    <t>X02</t>
  </si>
  <si>
    <t>XB/GV</t>
  </si>
  <si>
    <t>Xuất sản xuất</t>
  </si>
  <si>
    <t>Nhập thành phẩm</t>
  </si>
  <si>
    <t>NTP</t>
  </si>
  <si>
    <t>XSX</t>
  </si>
  <si>
    <t>X03</t>
  </si>
  <si>
    <t>X04</t>
  </si>
  <si>
    <t>X05</t>
  </si>
  <si>
    <t>X06</t>
  </si>
  <si>
    <t>X07</t>
  </si>
  <si>
    <t>X08</t>
  </si>
  <si>
    <t>X09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</si>
  <si>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</si>
  <si>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</si>
  <si>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</si>
  <si>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</si>
  <si>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</si>
  <si>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</si>
  <si>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</si>
  <si>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</si>
  <si>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</si>
  <si>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</si>
  <si>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</si>
  <si>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</si>
  <si>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</si>
  <si>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</si>
  <si>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</si>
  <si>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</si>
  <si>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</si>
  <si>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</si>
  <si>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</si>
  <si>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</si>
  <si>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</si>
  <si>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</si>
  <si>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</si>
  <si>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</si>
  <si>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</si>
  <si>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</si>
  <si>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</si>
  <si>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</si>
  <si>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</si>
  <si>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</si>
  <si>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</si>
  <si>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</si>
  <si>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</si>
  <si>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</si>
  <si>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</si>
  <si>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</si>
  <si>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</si>
  <si>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N01</t>
  </si>
  <si>
    <t>C01</t>
  </si>
  <si>
    <t>N02</t>
  </si>
  <si>
    <t>C02</t>
  </si>
  <si>
    <t>T04</t>
  </si>
  <si>
    <t>T05</t>
  </si>
  <si>
    <t>N03</t>
  </si>
  <si>
    <t>C03</t>
  </si>
  <si>
    <t>T06</t>
  </si>
  <si>
    <t>N04</t>
  </si>
  <si>
    <t>C04</t>
  </si>
  <si>
    <t>T07</t>
  </si>
  <si>
    <t>T08</t>
  </si>
  <si>
    <t>T09</t>
  </si>
  <si>
    <t>C06</t>
  </si>
  <si>
    <t>C07</t>
  </si>
  <si>
    <t>T10</t>
  </si>
  <si>
    <t>C08</t>
  </si>
  <si>
    <t>T11</t>
  </si>
  <si>
    <t>N05</t>
  </si>
  <si>
    <t>C09</t>
  </si>
  <si>
    <t>C10</t>
  </si>
  <si>
    <t>N06</t>
  </si>
  <si>
    <t>C11</t>
  </si>
  <si>
    <t>T12</t>
  </si>
  <si>
    <t>T13</t>
  </si>
  <si>
    <t>C12</t>
  </si>
  <si>
    <t>N07</t>
  </si>
  <si>
    <t>C13</t>
  </si>
  <si>
    <t>C14</t>
  </si>
  <si>
    <t>N08</t>
  </si>
  <si>
    <t>N09</t>
  </si>
  <si>
    <t>C15</t>
  </si>
  <si>
    <t>C16</t>
  </si>
  <si>
    <t>T14</t>
  </si>
  <si>
    <t>T15</t>
  </si>
  <si>
    <t>T16</t>
  </si>
  <si>
    <t>T17</t>
  </si>
  <si>
    <t>T18</t>
  </si>
  <si>
    <t>C17</t>
  </si>
  <si>
    <t>C18</t>
  </si>
  <si>
    <t>T19</t>
  </si>
  <si>
    <t>T20</t>
  </si>
  <si>
    <t>T21</t>
  </si>
  <si>
    <t>T22</t>
  </si>
  <si>
    <t>C19</t>
  </si>
  <si>
    <t>C20</t>
  </si>
  <si>
    <t>C22</t>
  </si>
  <si>
    <t>T23</t>
  </si>
  <si>
    <t>T24</t>
  </si>
  <si>
    <t>C23</t>
  </si>
  <si>
    <t>T25</t>
  </si>
  <si>
    <t>C25</t>
  </si>
  <si>
    <t>T26</t>
  </si>
  <si>
    <t>C26</t>
  </si>
  <si>
    <t>C27</t>
  </si>
  <si>
    <t>T27</t>
  </si>
  <si>
    <t>T28</t>
  </si>
  <si>
    <t>T29</t>
  </si>
  <si>
    <t>T30</t>
  </si>
  <si>
    <t>T31</t>
  </si>
  <si>
    <t>T32</t>
  </si>
  <si>
    <t>T33</t>
  </si>
  <si>
    <t>T34</t>
  </si>
  <si>
    <t>T35</t>
  </si>
  <si>
    <t>T36</t>
  </si>
  <si>
    <t>N10</t>
  </si>
  <si>
    <t>T37</t>
  </si>
  <si>
    <t>N11</t>
  </si>
  <si>
    <t>N12</t>
  </si>
  <si>
    <t>T38</t>
  </si>
  <si>
    <t>T39</t>
  </si>
  <si>
    <t>T40</t>
  </si>
  <si>
    <t>C28</t>
  </si>
  <si>
    <t>N13</t>
  </si>
  <si>
    <t>T41</t>
  </si>
  <si>
    <t>T42</t>
  </si>
  <si>
    <t>N14</t>
  </si>
  <si>
    <t>C29</t>
  </si>
  <si>
    <t>T43</t>
  </si>
  <si>
    <t>T44</t>
  </si>
  <si>
    <t>T45</t>
  </si>
  <si>
    <t>C30</t>
  </si>
  <si>
    <t>N15</t>
  </si>
  <si>
    <t>T46</t>
  </si>
  <si>
    <t>C31</t>
  </si>
  <si>
    <t>N16</t>
  </si>
  <si>
    <t>N17</t>
  </si>
  <si>
    <t>C32</t>
  </si>
  <si>
    <t>C33</t>
  </si>
  <si>
    <t>N18</t>
  </si>
  <si>
    <t>N19</t>
  </si>
  <si>
    <t>T47</t>
  </si>
  <si>
    <t>T48</t>
  </si>
  <si>
    <t>T49</t>
  </si>
  <si>
    <t>T50</t>
  </si>
  <si>
    <t>T51</t>
  </si>
  <si>
    <t>C34</t>
  </si>
  <si>
    <t>C35</t>
  </si>
  <si>
    <t>N20</t>
  </si>
  <si>
    <t>T52</t>
  </si>
  <si>
    <t>N21</t>
  </si>
  <si>
    <t>C36</t>
  </si>
  <si>
    <t>T53</t>
  </si>
  <si>
    <t>T54</t>
  </si>
  <si>
    <t>T55</t>
  </si>
  <si>
    <t>C37</t>
  </si>
  <si>
    <t>C38</t>
  </si>
  <si>
    <t>C39</t>
  </si>
  <si>
    <t>C40</t>
  </si>
  <si>
    <t>C41</t>
  </si>
  <si>
    <t>C42</t>
  </si>
  <si>
    <t>N22</t>
  </si>
  <si>
    <t>N23</t>
  </si>
  <si>
    <t>C43</t>
  </si>
  <si>
    <t>N24</t>
  </si>
  <si>
    <t>N25</t>
  </si>
  <si>
    <t>N26</t>
  </si>
  <si>
    <t>C44</t>
  </si>
  <si>
    <t>N27</t>
  </si>
  <si>
    <t>C45</t>
  </si>
  <si>
    <t>C46</t>
  </si>
  <si>
    <t>N28</t>
  </si>
  <si>
    <t>Thuế môn bài phải nộp</t>
  </si>
  <si>
    <t>Quý IV</t>
  </si>
  <si>
    <t>Thanh toán tiền thuê xe - Tháng 1</t>
  </si>
  <si>
    <t>Thanh toán tiền thuê xe - Tháng 2</t>
  </si>
  <si>
    <t>Thanh toán tiền thuê xe - Tháng 3</t>
  </si>
  <si>
    <t>Thanh toán tiền thuê xe - Tháng 4</t>
  </si>
  <si>
    <t>Thanh toán tiền thuê xe - Tháng 5</t>
  </si>
  <si>
    <t>Thanh toán tiền thuê xe - Tháng 6</t>
  </si>
  <si>
    <t>Thanh toán tiền thuê xe - Tháng 7</t>
  </si>
  <si>
    <t>Thanh toán tiền thuê xe - Tháng 8</t>
  </si>
  <si>
    <t>Thanh toán tiền thuê xe - Tháng 9</t>
  </si>
  <si>
    <t>Thanh toán tiền thuê xe - Tháng 10</t>
  </si>
  <si>
    <t>Thanh toán tiền thuê xe - Tháng 11</t>
  </si>
  <si>
    <t>Thanh toán tiền thuê xe - Tháng 12</t>
  </si>
  <si>
    <t>BẢNG KÊ THU MUA HÀNG HÓA, DỊCH VỤ 
MUA VÀO KHÔNG CÓ HÓA ĐƠN</t>
  </si>
  <si>
    <t>Địa chỉ nơi tổ chức thu mua:…………………………………………………………………………………</t>
  </si>
  <si>
    <t>Người phụ trách thu mua:……………………………………………………………………………………</t>
  </si>
  <si>
    <t>Ngày tháng 
năm mua hàng</t>
  </si>
  <si>
    <t>Người bán</t>
  </si>
  <si>
    <t>Hàng hóa mua vào</t>
  </si>
  <si>
    <t>Tên người bán</t>
  </si>
  <si>
    <t>Địa chỉ</t>
  </si>
  <si>
    <t>Số CMND</t>
  </si>
  <si>
    <t>Tên mặt hàng</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</si>
  <si>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</si>
  <si>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</si>
  <si>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</si>
  <si>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</si>
  <si>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</si>
  <si>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</si>
  <si>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</si>
  <si>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</si>
  <si>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</si>
  <si>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</si>
  <si>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Đối với doanh nghiệp có tổ chức các trạm nơi thu mua ở nhiều nơi thì từng trạm thu mua phải lập từng bảng kê riêng. Doanh nghiệp lập bảng kê tổng hợp chung của các trạm.</t>
  </si>
  <si>
    <t>Mẫu số: 01/TNDN
(Ban hành kèm theo Thông tư số 78/2014/TT-BTC của Bộ Tài chính)</t>
  </si>
  <si>
    <t xml:space="preserve">  - Căn cứ vào số thực tế các mặt hàng trên mà đơn vị mua của người bán không có hóa đơn, lập bảng kê khai theo thứ tự thời gian mua hàng, doanh nghiệp ghi đầy đủ các chỉ tiêu trên bảng kê, tổng hợp bảng kê hàng tháng. Hàng hóa mua vào lập theo bảng kê này được căn cứ vào chứng từ mua bán giữa người bán và người mua lập trong đó ghi rõ số lượng, giá trị các mặt hàng mua, ngày, tháng mua, địa chỉ, số CMTND của người bán và ký nhận của bên bán và bên mua.</t>
  </si>
  <si>
    <t>Ngày…31.. Tháng  12… năm  2015</t>
  </si>
  <si>
    <t>(Ngày 31 tháng 12 năm 2015)</t>
  </si>
  <si>
    <t>Tên doanh nghiệp: CÔNG TY TNHH MỘT THÀNH VIÊN KHỞI NGUYÊN AN</t>
  </si>
  <si>
    <t>Mã số thuế: 3702076037</t>
  </si>
  <si>
    <t>Tiền thuê xe - Tháng 1</t>
  </si>
  <si>
    <t>Tiền thuê xe - Tháng 2</t>
  </si>
  <si>
    <t>Tiền thuê xe - Tháng 3</t>
  </si>
  <si>
    <t>Tiền thuê xe - Tháng 4</t>
  </si>
  <si>
    <t>Tiền thuê xe - Tháng 5</t>
  </si>
  <si>
    <t>Tiền thuê xe - Tháng 6</t>
  </si>
  <si>
    <t>Tiền thuê xe - Tháng 7</t>
  </si>
  <si>
    <t>Tiền thuê xe - Tháng 8</t>
  </si>
  <si>
    <t>Tiền thuê xe - Tháng 9</t>
  </si>
  <si>
    <t>Tiền thuê xe - Tháng 10</t>
  </si>
  <si>
    <t>Tiền thuê xe - Tháng 11</t>
  </si>
  <si>
    <t>Tiền thuê xe - Tháng 12</t>
  </si>
  <si>
    <t>C47</t>
  </si>
  <si>
    <t>C48</t>
  </si>
  <si>
    <t>C49</t>
  </si>
  <si>
    <t>N29</t>
  </si>
  <si>
    <t>N30</t>
  </si>
  <si>
    <t>N31</t>
  </si>
  <si>
    <t>N32</t>
  </si>
  <si>
    <t>N33</t>
  </si>
  <si>
    <t>N34</t>
  </si>
  <si>
    <t>N35</t>
  </si>
  <si>
    <t>N36</t>
  </si>
  <si>
    <t>N37</t>
  </si>
  <si>
    <t>N38</t>
  </si>
  <si>
    <t>N39</t>
  </si>
  <si>
    <t>N40</t>
  </si>
  <si>
    <t>N41</t>
  </si>
  <si>
    <t>X47</t>
  </si>
  <si>
    <t>X48</t>
  </si>
  <si>
    <t>X49</t>
  </si>
  <si>
    <t>X50</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</si>
</sst>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s>
  <fonts count="101">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b/>
      <sz val="9"/>
      <name val="Times New Roman"/>
      <family val="1"/>
    </font>
    <font>
      <b/>
      <sz val="18"/>
      <name val="Times New Roman"/>
      <family val="1"/>
    </font>
    <font>
      <b/>
      <sz val="18"/>
      <name val="Arial"/>
      <family val="2"/>
    </font>
    <font>
      <sz val="10"/>
      <color rgb="FF0000FF"/>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b/>
      <sz val="13"/>
      <name val="Times New Roman"/>
      <family val="1"/>
    </font>
    <font>
      <sz val="13"/>
      <name val="Times New Roman"/>
      <family val="1"/>
    </font>
    <font>
      <sz val="10"/>
      <name val="VNI-Helve"/>
    </font>
    <font>
      <sz val="10"/>
      <color indexed="10"/>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b/>
      <sz val="20"/>
      <name val="Times New Roman"/>
      <family val="1"/>
    </font>
    <font>
      <b/>
      <sz val="12"/>
      <color theme="0"/>
      <name val="Times New Roman"/>
      <family val="1"/>
    </font>
    <font>
      <sz val="9"/>
      <color theme="0"/>
      <name val="Times New Roman"/>
      <family val="1"/>
    </font>
    <font>
      <b/>
      <sz val="11"/>
      <color theme="0"/>
      <name val="Times New Roman"/>
      <family val="1"/>
    </font>
    <font>
      <b/>
      <sz val="8.5"/>
      <name val="Times New Roman"/>
      <family val="1"/>
    </font>
    <font>
      <sz val="8.5"/>
      <name val="Times New Roman"/>
      <family val="1"/>
    </font>
    <font>
      <b/>
      <sz val="8.5"/>
      <color theme="0"/>
      <name val="Times New Roman"/>
      <family val="1"/>
    </font>
    <font>
      <sz val="10"/>
      <color rgb="FF0000FF"/>
      <name val="Arial"/>
      <family val="2"/>
    </font>
    <font>
      <sz val="10"/>
      <color rgb="FFFF0000"/>
      <name val="Times New Roman"/>
      <family val="1"/>
    </font>
    <font>
      <sz val="10"/>
      <color rgb="FFFF0000"/>
      <name val="Arial"/>
      <family val="2"/>
    </font>
    <font>
      <sz val="10"/>
      <color rgb="FFC00000"/>
      <name val="Times New Roman"/>
      <family val="1"/>
    </font>
    <font>
      <sz val="10"/>
      <color theme="9" tint="-0.499984740745262"/>
      <name val="Times New Roman"/>
      <family val="1"/>
    </font>
    <font>
      <sz val="10"/>
      <color rgb="FF7030A0"/>
      <name val="Times New Roman"/>
      <family val="1"/>
    </font>
    <font>
      <sz val="10"/>
      <color theme="7" tint="-0.249977111117893"/>
      <name val="Times New Roman"/>
      <family val="1"/>
    </font>
    <font>
      <sz val="8"/>
      <name val="Times New Roman"/>
      <family val="1"/>
    </font>
    <font>
      <sz val="11"/>
      <color indexed="8"/>
      <name val="Times New Roman"/>
      <family val="1"/>
    </font>
    <font>
      <sz val="7"/>
      <name val="Times New Roman"/>
      <family val="1"/>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6">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style="thin">
        <color indexed="64"/>
      </left>
      <right style="thin">
        <color indexed="64"/>
      </right>
      <top style="hair">
        <color indexed="64"/>
      </top>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64"/>
      </bottom>
      <diagonal/>
    </border>
    <border>
      <left style="thin">
        <color indexed="64"/>
      </left>
      <right/>
      <top style="thin">
        <color indexed="8"/>
      </top>
      <bottom style="thin">
        <color indexed="8"/>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top/>
      <bottom/>
      <diagonal/>
    </border>
    <border>
      <left/>
      <right/>
      <top/>
      <bottom style="hair">
        <color indexed="64"/>
      </bottom>
      <diagonal/>
    </border>
    <border>
      <left/>
      <right/>
      <top style="hair">
        <color indexed="64"/>
      </top>
      <bottom style="hair">
        <color indexed="64"/>
      </bottom>
      <diagonal/>
    </border>
  </borders>
  <cellStyleXfs count="99">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2" fillId="0" borderId="0">
      <alignment horizontal="center"/>
    </xf>
    <xf numFmtId="0" fontId="46" fillId="0" borderId="0"/>
    <xf numFmtId="0" fontId="3" fillId="0" borderId="0"/>
    <xf numFmtId="0" fontId="52" fillId="0" borderId="0" applyNumberFormat="0" applyFill="0" applyBorder="0" applyAlignment="0" applyProtection="0">
      <alignment vertical="top"/>
      <protection locked="0"/>
    </xf>
    <xf numFmtId="43" fontId="57" fillId="0" borderId="0" applyFont="0" applyFill="0" applyBorder="0" applyAlignment="0" applyProtection="0"/>
    <xf numFmtId="43" fontId="4" fillId="0" borderId="0" applyFont="0" applyFill="0" applyBorder="0" applyAlignment="0" applyProtection="0"/>
    <xf numFmtId="170" fontId="57" fillId="0" borderId="0" applyFont="0" applyFill="0" applyBorder="0" applyAlignment="0" applyProtection="0"/>
    <xf numFmtId="0" fontId="57"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78" fillId="0" borderId="0"/>
  </cellStyleXfs>
  <cellXfs count="1196">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34" fillId="0" borderId="16" xfId="76" applyNumberFormat="1" applyFont="1" applyFill="1" applyBorder="1" applyAlignment="1">
      <alignment horizontal="left" vertical="center"/>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3" fillId="0" borderId="16" xfId="76" applyNumberFormat="1" applyFont="1" applyFill="1" applyBorder="1" applyAlignment="1">
      <alignment horizontal="center" vertical="center"/>
    </xf>
    <xf numFmtId="164" fontId="43" fillId="0" borderId="16" xfId="76" applyNumberFormat="1" applyFont="1" applyFill="1" applyBorder="1" applyAlignment="1">
      <alignment horizontal="left" vertical="center"/>
    </xf>
    <xf numFmtId="49" fontId="43" fillId="0" borderId="16" xfId="76" applyNumberFormat="1" applyFont="1" applyFill="1" applyBorder="1" applyAlignment="1">
      <alignment horizontal="left" vertical="center"/>
    </xf>
    <xf numFmtId="164" fontId="43" fillId="0" borderId="16" xfId="77" applyNumberFormat="1" applyFont="1" applyFill="1" applyBorder="1" applyAlignment="1">
      <alignment vertical="center"/>
    </xf>
    <xf numFmtId="0" fontId="43" fillId="0" borderId="16" xfId="76" quotePrefix="1" applyNumberFormat="1" applyFont="1" applyFill="1" applyBorder="1" applyAlignment="1">
      <alignment horizontal="center" vertical="center"/>
    </xf>
    <xf numFmtId="1" fontId="43" fillId="0" borderId="16" xfId="76" quotePrefix="1" applyNumberFormat="1" applyFont="1" applyFill="1" applyBorder="1" applyAlignment="1">
      <alignment horizontal="center" vertical="center"/>
    </xf>
    <xf numFmtId="49" fontId="43"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21" xfId="29" applyNumberFormat="1" applyFont="1" applyBorder="1" applyAlignment="1">
      <alignment horizontal="center" vertical="center" wrapText="1"/>
    </xf>
    <xf numFmtId="0" fontId="40"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44" fillId="0" borderId="0" xfId="77" applyFont="1" applyFill="1" applyBorder="1" applyAlignment="1" applyProtection="1">
      <alignment vertical="center"/>
      <protection hidden="1"/>
    </xf>
    <xf numFmtId="0" fontId="45" fillId="0" borderId="0" xfId="77" applyFont="1" applyFill="1" applyBorder="1" applyAlignment="1" applyProtection="1">
      <alignment horizontal="center" vertical="center"/>
      <protection hidden="1"/>
    </xf>
    <xf numFmtId="0" fontId="45"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47" fillId="0" borderId="0" xfId="77" applyFont="1" applyFill="1" applyBorder="1" applyAlignment="1" applyProtection="1">
      <alignment vertical="center"/>
      <protection hidden="1"/>
    </xf>
    <xf numFmtId="0" fontId="48"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49" fillId="0" borderId="0" xfId="77" applyFont="1" applyFill="1" applyBorder="1" applyAlignment="1" applyProtection="1">
      <alignment vertical="center"/>
      <protection hidden="1"/>
    </xf>
    <xf numFmtId="0" fontId="50" fillId="0" borderId="0" xfId="77" applyFont="1" applyFill="1" applyBorder="1" applyAlignment="1" applyProtection="1">
      <alignment vertical="center"/>
      <protection hidden="1"/>
    </xf>
    <xf numFmtId="0" fontId="40" fillId="0" borderId="0" xfId="80" applyFont="1" applyAlignment="1" applyProtection="1">
      <alignment horizontal="center" vertical="center"/>
      <protection hidden="1"/>
    </xf>
    <xf numFmtId="10" fontId="33" fillId="0" borderId="0" xfId="79" applyNumberFormat="1" applyFont="1" applyFill="1" applyBorder="1" applyAlignment="1" applyProtection="1">
      <alignment vertical="center"/>
      <protection hidden="1"/>
    </xf>
    <xf numFmtId="171" fontId="51" fillId="0" borderId="0" xfId="77" applyNumberFormat="1" applyFont="1" applyFill="1" applyBorder="1" applyAlignment="1" applyProtection="1">
      <alignment vertical="center"/>
      <protection hidden="1"/>
    </xf>
    <xf numFmtId="0" fontId="44" fillId="0" borderId="0" xfId="77" applyFont="1" applyFill="1" applyBorder="1" applyAlignment="1" applyProtection="1">
      <alignment horizontal="center" vertical="center"/>
      <protection hidden="1"/>
    </xf>
    <xf numFmtId="0" fontId="49" fillId="0" borderId="0" xfId="77" applyFont="1" applyFill="1" applyBorder="1" applyAlignment="1" applyProtection="1">
      <alignment horizontal="center" vertical="center"/>
      <protection hidden="1"/>
    </xf>
    <xf numFmtId="10" fontId="53"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54" fillId="0" borderId="0" xfId="77" applyFont="1" applyFill="1" applyBorder="1" applyAlignment="1" applyProtection="1">
      <alignment horizontal="left" vertical="center"/>
      <protection hidden="1"/>
    </xf>
    <xf numFmtId="0" fontId="54" fillId="0" borderId="0" xfId="77" applyFont="1" applyFill="1" applyBorder="1" applyAlignment="1" applyProtection="1">
      <alignment horizontal="justify" vertical="center"/>
      <protection hidden="1"/>
    </xf>
    <xf numFmtId="0" fontId="54" fillId="0" borderId="0" xfId="77" applyFont="1" applyFill="1" applyBorder="1" applyAlignment="1" applyProtection="1">
      <alignment vertical="center"/>
      <protection hidden="1"/>
    </xf>
    <xf numFmtId="171" fontId="5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54" fillId="0" borderId="0" xfId="74" applyNumberFormat="1" applyFont="1" applyFill="1" applyBorder="1" applyAlignment="1" applyProtection="1">
      <alignment vertical="center"/>
      <protection hidden="1"/>
    </xf>
    <xf numFmtId="10" fontId="54" fillId="0" borderId="0" xfId="79" applyNumberFormat="1" applyFont="1" applyFill="1" applyBorder="1" applyAlignment="1" applyProtection="1">
      <alignment vertical="center"/>
      <protection hidden="1"/>
    </xf>
    <xf numFmtId="49" fontId="56"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56" fillId="0" borderId="0" xfId="77" applyNumberFormat="1" applyFont="1" applyFill="1" applyBorder="1" applyAlignment="1" applyProtection="1">
      <alignment vertical="center"/>
      <protection hidden="1"/>
    </xf>
    <xf numFmtId="0" fontId="56" fillId="0" borderId="0" xfId="77" applyFont="1" applyFill="1" applyBorder="1" applyAlignment="1" applyProtection="1">
      <alignment horizontal="left" vertical="center"/>
      <protection hidden="1"/>
    </xf>
    <xf numFmtId="0" fontId="56" fillId="0" borderId="0" xfId="77" applyNumberFormat="1" applyFont="1" applyFill="1" applyBorder="1" applyAlignment="1" applyProtection="1">
      <alignment horizontal="left" vertical="center"/>
      <protection hidden="1"/>
    </xf>
    <xf numFmtId="10" fontId="54"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1"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0" fillId="0" borderId="0" xfId="77" applyFont="1" applyFill="1" applyBorder="1" applyAlignment="1" applyProtection="1">
      <alignment vertical="center"/>
      <protection locked="0" hidden="1"/>
    </xf>
    <xf numFmtId="172" fontId="55"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58"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59" fillId="29" borderId="0" xfId="87" applyFont="1" applyFill="1" applyAlignment="1">
      <alignment horizontal="center" vertical="center" wrapText="1"/>
    </xf>
    <xf numFmtId="14" fontId="33" fillId="0" borderId="0" xfId="87" applyNumberFormat="1" applyFont="1" applyAlignment="1">
      <alignment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63" fillId="29" borderId="2" xfId="87" applyNumberFormat="1" applyFont="1" applyFill="1" applyBorder="1" applyAlignment="1">
      <alignment horizontal="center" vertical="center" wrapText="1"/>
    </xf>
    <xf numFmtId="0" fontId="63" fillId="29" borderId="2" xfId="87" applyFont="1" applyFill="1" applyBorder="1" applyAlignment="1">
      <alignment horizontal="center" vertical="center" wrapText="1"/>
    </xf>
    <xf numFmtId="0" fontId="35" fillId="0" borderId="0" xfId="87" applyFont="1" applyAlignment="1">
      <alignment vertical="center"/>
    </xf>
    <xf numFmtId="14" fontId="64" fillId="29" borderId="2" xfId="87" applyNumberFormat="1" applyFont="1" applyFill="1" applyBorder="1" applyAlignment="1">
      <alignment vertical="center" wrapText="1"/>
    </xf>
    <xf numFmtId="0" fontId="64" fillId="29" borderId="2" xfId="87" applyFont="1" applyFill="1" applyBorder="1" applyAlignment="1">
      <alignment horizontal="center" vertical="center" wrapText="1"/>
    </xf>
    <xf numFmtId="0" fontId="64"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2" fillId="29" borderId="2" xfId="87" applyNumberFormat="1" applyFont="1" applyFill="1" applyBorder="1" applyAlignment="1">
      <alignment vertical="center" wrapText="1"/>
    </xf>
    <xf numFmtId="0" fontId="62" fillId="29" borderId="2" xfId="87" applyFont="1" applyFill="1" applyBorder="1" applyAlignment="1">
      <alignment horizontal="center" vertical="center" wrapText="1"/>
    </xf>
    <xf numFmtId="0" fontId="62" fillId="29" borderId="2" xfId="87" applyFont="1" applyFill="1" applyBorder="1" applyAlignment="1">
      <alignment vertical="center" wrapText="1"/>
    </xf>
    <xf numFmtId="164" fontId="64" fillId="29" borderId="2" xfId="87" applyNumberFormat="1" applyFont="1" applyFill="1" applyBorder="1" applyAlignment="1">
      <alignment vertical="center" wrapText="1"/>
    </xf>
    <xf numFmtId="0" fontId="62"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64" fillId="29" borderId="0" xfId="87" applyFont="1" applyFill="1" applyAlignment="1">
      <alignment vertical="center" wrapText="1"/>
    </xf>
    <xf numFmtId="0" fontId="64" fillId="29" borderId="0" xfId="87" applyFont="1" applyFill="1" applyAlignment="1">
      <alignment horizontal="center" vertical="center" wrapText="1"/>
    </xf>
    <xf numFmtId="0" fontId="65" fillId="29" borderId="0" xfId="87" applyFont="1" applyFill="1" applyAlignment="1">
      <alignment horizontal="center" vertical="center" wrapText="1"/>
    </xf>
    <xf numFmtId="0" fontId="64" fillId="29" borderId="0" xfId="87" applyFont="1" applyFill="1" applyAlignment="1">
      <alignment horizontal="center" vertical="center"/>
    </xf>
    <xf numFmtId="164" fontId="64" fillId="29" borderId="0" xfId="74" applyNumberFormat="1" applyFont="1" applyFill="1" applyAlignment="1">
      <alignment horizontal="center" vertical="center"/>
    </xf>
    <xf numFmtId="0" fontId="39" fillId="0" borderId="0" xfId="87" applyFont="1" applyAlignment="1">
      <alignment vertical="center"/>
    </xf>
    <xf numFmtId="0" fontId="62" fillId="29" borderId="0" xfId="87" applyFont="1" applyFill="1" applyAlignment="1">
      <alignment horizontal="center" vertical="center"/>
    </xf>
    <xf numFmtId="164" fontId="62" fillId="29" borderId="0" xfId="74" applyNumberFormat="1" applyFont="1" applyFill="1" applyAlignment="1">
      <alignment horizontal="center" vertical="center"/>
    </xf>
    <xf numFmtId="0" fontId="62" fillId="29" borderId="0" xfId="87" applyFont="1" applyFill="1" applyAlignment="1">
      <alignment vertical="center" wrapText="1"/>
    </xf>
    <xf numFmtId="0" fontId="66" fillId="0" borderId="0" xfId="87" applyFont="1" applyAlignment="1">
      <alignment vertical="center"/>
    </xf>
    <xf numFmtId="14" fontId="66" fillId="0" borderId="0" xfId="87" applyNumberFormat="1" applyFont="1" applyAlignment="1">
      <alignment vertical="center"/>
    </xf>
    <xf numFmtId="0" fontId="66" fillId="0" borderId="0" xfId="87" applyFont="1" applyAlignment="1">
      <alignment horizontal="center" vertical="center"/>
    </xf>
    <xf numFmtId="0" fontId="59" fillId="29" borderId="0" xfId="87" applyFont="1" applyFill="1" applyAlignment="1">
      <alignment vertical="center" wrapText="1"/>
    </xf>
    <xf numFmtId="164" fontId="67" fillId="25" borderId="31" xfId="77" applyNumberFormat="1" applyFont="1" applyFill="1" applyBorder="1" applyAlignment="1">
      <alignment vertical="center"/>
    </xf>
    <xf numFmtId="0" fontId="33" fillId="0" borderId="0" xfId="52" applyFont="1" applyAlignment="1">
      <alignment horizontal="center" vertical="center"/>
    </xf>
    <xf numFmtId="0" fontId="34" fillId="0" borderId="0" xfId="87" quotePrefix="1" applyFont="1" applyAlignment="1">
      <alignment horizontal="left" vertical="center"/>
    </xf>
    <xf numFmtId="0" fontId="26" fillId="0" borderId="0" xfId="53" applyFont="1" applyAlignment="1">
      <alignment vertical="center"/>
    </xf>
    <xf numFmtId="43" fontId="34" fillId="0" borderId="16" xfId="29" applyFont="1" applyBorder="1" applyAlignment="1">
      <alignment vertical="center"/>
    </xf>
    <xf numFmtId="164" fontId="26" fillId="0" borderId="0" xfId="53" applyNumberFormat="1" applyFont="1" applyAlignment="1">
      <alignment vertical="center"/>
    </xf>
    <xf numFmtId="14" fontId="34" fillId="0" borderId="16" xfId="54" applyNumberFormat="1" applyFont="1" applyFill="1" applyBorder="1" applyAlignment="1">
      <alignment horizontal="center"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164" fontId="34" fillId="0" borderId="16" xfId="54" applyNumberFormat="1" applyFont="1" applyFill="1" applyBorder="1" applyAlignment="1">
      <alignment horizontal="lef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0" fontId="47" fillId="0" borderId="0" xfId="77" applyFont="1" applyFill="1" applyBorder="1" applyAlignment="1" applyProtection="1">
      <alignment horizontal="center" vertical="center"/>
      <protection hidden="1"/>
    </xf>
    <xf numFmtId="0" fontId="40" fillId="0" borderId="0" xfId="77" applyFont="1" applyFill="1" applyBorder="1" applyAlignment="1" applyProtection="1">
      <alignment horizontal="center" vertical="center"/>
      <protection hidden="1"/>
    </xf>
    <xf numFmtId="0" fontId="39" fillId="21" borderId="20" xfId="34" applyFont="1" applyBorder="1" applyAlignment="1">
      <alignment horizontal="center" vertical="center" wrapText="1"/>
    </xf>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3" fontId="34" fillId="0" borderId="16" xfId="46" applyFont="1" applyFill="1" applyBorder="1" applyAlignment="1">
      <alignment vertical="center"/>
    </xf>
    <xf numFmtId="0" fontId="3" fillId="0" borderId="0" xfId="0" applyFont="1" applyFill="1"/>
    <xf numFmtId="0" fontId="51" fillId="0" borderId="0" xfId="77" applyFont="1" applyFill="1" applyBorder="1" applyAlignment="1" applyProtection="1">
      <alignment horizontal="center" vertical="center"/>
      <protection hidden="1"/>
    </xf>
    <xf numFmtId="0" fontId="34" fillId="0" borderId="0" xfId="52" applyFont="1" applyAlignment="1">
      <alignment horizontal="center"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2" fillId="29" borderId="0" xfId="87" applyFont="1" applyFill="1" applyAlignment="1">
      <alignment horizontal="center" vertical="center"/>
    </xf>
    <xf numFmtId="0" fontId="34" fillId="0" borderId="0" xfId="87" applyFont="1" applyAlignment="1">
      <alignment horizontal="center" vertical="center"/>
    </xf>
    <xf numFmtId="0" fontId="51" fillId="0" borderId="0" xfId="0" applyFont="1" applyAlignment="1">
      <alignment horizontal="center"/>
    </xf>
    <xf numFmtId="0" fontId="34" fillId="0" borderId="21" xfId="55" applyNumberFormat="1" applyFont="1" applyBorder="1" applyAlignment="1">
      <alignment horizontal="left" vertical="center"/>
    </xf>
    <xf numFmtId="0" fontId="70" fillId="0" borderId="0" xfId="0" applyFont="1" applyAlignment="1">
      <alignment horizontal="center"/>
    </xf>
    <xf numFmtId="164" fontId="70"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0" fontId="34" fillId="0" borderId="16" xfId="52" quotePrefix="1"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34" fillId="0" borderId="35" xfId="87" applyFont="1" applyFill="1" applyBorder="1" applyAlignment="1">
      <alignment horizontal="center" vertical="center" wrapText="1"/>
    </xf>
    <xf numFmtId="164" fontId="43" fillId="0" borderId="16" xfId="29" applyNumberFormat="1" applyFont="1" applyFill="1" applyBorder="1" applyAlignment="1">
      <alignment horizontal="left" vertical="center"/>
    </xf>
    <xf numFmtId="164" fontId="43"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72" fillId="0" borderId="0" xfId="87" applyFont="1" applyAlignment="1">
      <alignment vertical="center"/>
    </xf>
    <xf numFmtId="164" fontId="33" fillId="0" borderId="0" xfId="54" applyNumberFormat="1" applyFont="1" applyAlignment="1">
      <alignment horizontal="center" vertical="center"/>
    </xf>
    <xf numFmtId="0" fontId="33" fillId="0" borderId="0" xfId="93" applyFont="1"/>
    <xf numFmtId="0" fontId="33" fillId="0" borderId="0" xfId="93" applyFont="1" applyAlignment="1">
      <alignment horizontal="left"/>
    </xf>
    <xf numFmtId="0" fontId="36" fillId="0" borderId="0" xfId="93" applyFont="1" applyAlignment="1">
      <alignment horizontal="center"/>
    </xf>
    <xf numFmtId="0" fontId="33" fillId="0" borderId="0" xfId="93" applyFont="1" applyAlignment="1">
      <alignment horizontal="center"/>
    </xf>
    <xf numFmtId="0" fontId="73" fillId="0" borderId="0" xfId="93" applyFont="1"/>
    <xf numFmtId="0" fontId="33" fillId="0" borderId="2" xfId="93" applyFont="1" applyBorder="1" applyAlignment="1">
      <alignment horizontal="center"/>
    </xf>
    <xf numFmtId="0" fontId="33" fillId="0" borderId="20" xfId="93" applyFont="1" applyBorder="1" applyAlignment="1">
      <alignment horizontal="center"/>
    </xf>
    <xf numFmtId="0" fontId="33" fillId="0" borderId="12" xfId="93" applyFont="1" applyBorder="1"/>
    <xf numFmtId="0" fontId="33" fillId="0" borderId="12" xfId="93" quotePrefix="1" applyFont="1" applyBorder="1"/>
    <xf numFmtId="164" fontId="33" fillId="0" borderId="12" xfId="94" applyNumberFormat="1" applyFont="1" applyBorder="1"/>
    <xf numFmtId="0" fontId="33" fillId="0" borderId="16" xfId="93" applyFont="1" applyBorder="1"/>
    <xf numFmtId="0" fontId="33" fillId="0" borderId="39" xfId="93" applyFont="1" applyBorder="1"/>
    <xf numFmtId="0" fontId="33" fillId="0" borderId="17" xfId="93" quotePrefix="1" applyFont="1" applyBorder="1"/>
    <xf numFmtId="0" fontId="33" fillId="0" borderId="17" xfId="93" applyFont="1" applyBorder="1"/>
    <xf numFmtId="0" fontId="33" fillId="0" borderId="19" xfId="93" applyFont="1" applyBorder="1"/>
    <xf numFmtId="0" fontId="33" fillId="0" borderId="19" xfId="93" quotePrefix="1" applyFont="1" applyBorder="1"/>
    <xf numFmtId="164" fontId="33" fillId="0" borderId="19" xfId="93" applyNumberFormat="1" applyFont="1" applyBorder="1"/>
    <xf numFmtId="0" fontId="33" fillId="0" borderId="0" xfId="93" quotePrefix="1" applyFont="1"/>
    <xf numFmtId="0" fontId="33" fillId="0" borderId="0" xfId="93" applyFont="1" applyAlignment="1"/>
    <xf numFmtId="0" fontId="59" fillId="29" borderId="0" xfId="95" applyFont="1" applyFill="1" applyAlignment="1">
      <alignment horizontal="center" vertical="center" wrapText="1"/>
    </xf>
    <xf numFmtId="0" fontId="33" fillId="0" borderId="0" xfId="95" applyFont="1" applyAlignment="1">
      <alignment vertical="center"/>
    </xf>
    <xf numFmtId="0" fontId="59" fillId="29" borderId="0" xfId="95" applyFont="1" applyFill="1" applyAlignment="1">
      <alignment horizontal="left" vertical="center" wrapText="1"/>
    </xf>
    <xf numFmtId="0" fontId="33" fillId="0" borderId="0" xfId="96" applyFont="1" applyAlignment="1">
      <alignment vertical="center"/>
    </xf>
    <xf numFmtId="0" fontId="71" fillId="0" borderId="0" xfId="0" applyFont="1" applyAlignment="1">
      <alignment vertical="center"/>
    </xf>
    <xf numFmtId="0" fontId="3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0" borderId="0" xfId="0" applyFont="1" applyAlignment="1">
      <alignment horizontal="center" vertical="center"/>
    </xf>
    <xf numFmtId="0" fontId="34" fillId="21" borderId="2" xfId="0" applyFont="1" applyFill="1" applyBorder="1" applyAlignment="1">
      <alignment horizontal="center" vertical="center"/>
    </xf>
    <xf numFmtId="164" fontId="34" fillId="0" borderId="0" xfId="29" applyNumberFormat="1" applyFont="1" applyAlignment="1">
      <alignment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6" xfId="0" applyFont="1" applyBorder="1" applyAlignment="1">
      <alignment vertical="center"/>
    </xf>
    <xf numFmtId="164" fontId="34" fillId="0" borderId="39" xfId="29" applyNumberFormat="1" applyFont="1" applyBorder="1" applyAlignment="1">
      <alignment vertical="center"/>
    </xf>
    <xf numFmtId="0" fontId="34" fillId="21" borderId="2" xfId="0" applyFont="1" applyFill="1" applyBorder="1" applyAlignment="1">
      <alignment vertical="center"/>
    </xf>
    <xf numFmtId="173" fontId="34" fillId="0" borderId="21" xfId="29" applyNumberFormat="1" applyFont="1" applyBorder="1" applyAlignment="1">
      <alignment horizontal="center" vertical="center"/>
    </xf>
    <xf numFmtId="3" fontId="34" fillId="0" borderId="0" xfId="0" applyNumberFormat="1" applyFont="1" applyAlignment="1">
      <alignment vertical="center"/>
    </xf>
    <xf numFmtId="0" fontId="33" fillId="0" borderId="0" xfId="97" applyFont="1" applyAlignment="1" applyProtection="1">
      <protection hidden="1"/>
    </xf>
    <xf numFmtId="0" fontId="33" fillId="0" borderId="0" xfId="97"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0"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44" fillId="0" borderId="0" xfId="80" applyFont="1" applyAlignment="1" applyProtection="1">
      <alignment horizontal="center" vertical="center"/>
      <protection hidden="1"/>
    </xf>
    <xf numFmtId="0" fontId="35" fillId="0" borderId="0" xfId="80" applyFont="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4" fillId="0" borderId="16" xfId="96" applyNumberFormat="1" applyFont="1" applyBorder="1" applyAlignment="1" applyProtection="1">
      <alignment horizontal="center" vertical="center"/>
      <protection hidden="1"/>
    </xf>
    <xf numFmtId="0" fontId="68" fillId="0" borderId="0" xfId="80" applyFont="1" applyAlignment="1" applyProtection="1">
      <alignment horizontal="left" vertical="center"/>
      <protection hidden="1"/>
    </xf>
    <xf numFmtId="0" fontId="68" fillId="0" borderId="0" xfId="80" applyFont="1" applyAlignment="1" applyProtection="1">
      <alignment horizontal="center" vertical="center"/>
      <protection hidden="1"/>
    </xf>
    <xf numFmtId="0" fontId="47" fillId="0" borderId="0" xfId="97" applyFont="1"/>
    <xf numFmtId="0" fontId="33" fillId="0" borderId="0" xfId="97" applyFont="1"/>
    <xf numFmtId="0" fontId="33" fillId="0" borderId="0" xfId="97" applyFont="1" applyFill="1" applyBorder="1"/>
    <xf numFmtId="0" fontId="59" fillId="29" borderId="0" xfId="95" applyFont="1" applyFill="1" applyAlignment="1">
      <alignment vertical="top"/>
    </xf>
    <xf numFmtId="0" fontId="59" fillId="29" borderId="0" xfId="95" applyFont="1" applyFill="1" applyAlignment="1">
      <alignment horizontal="center" vertical="top" wrapText="1"/>
    </xf>
    <xf numFmtId="0" fontId="33" fillId="0" borderId="0" xfId="95" applyFont="1"/>
    <xf numFmtId="0" fontId="33" fillId="0" borderId="0" xfId="95" applyFont="1" applyAlignment="1">
      <alignment horizontal="center"/>
    </xf>
    <xf numFmtId="164" fontId="36" fillId="0" borderId="0" xfId="54" applyNumberFormat="1" applyFont="1" applyAlignment="1" applyProtection="1">
      <alignment horizontal="center" vertical="center" wrapText="1"/>
      <protection hidden="1"/>
    </xf>
    <xf numFmtId="0" fontId="59" fillId="29" borderId="0" xfId="95"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7" applyFont="1" applyAlignment="1">
      <alignment horizontal="center"/>
    </xf>
    <xf numFmtId="0" fontId="34" fillId="0" borderId="0" xfId="97" applyFont="1"/>
    <xf numFmtId="0" fontId="34" fillId="0" borderId="0" xfId="97" applyFont="1" applyAlignment="1">
      <alignment horizontal="center"/>
    </xf>
    <xf numFmtId="0" fontId="33" fillId="0" borderId="0" xfId="97" applyFont="1" applyAlignment="1"/>
    <xf numFmtId="0" fontId="33" fillId="0" borderId="0" xfId="97" applyFont="1" applyAlignment="1">
      <alignment horizontal="center"/>
    </xf>
    <xf numFmtId="0" fontId="33" fillId="0" borderId="0" xfId="97" applyFont="1" applyAlignment="1">
      <alignment horizontal="right"/>
    </xf>
    <xf numFmtId="0" fontId="33" fillId="0" borderId="22" xfId="97" applyFont="1" applyBorder="1" applyAlignment="1"/>
    <xf numFmtId="0" fontId="33" fillId="0" borderId="22" xfId="97" applyFont="1" applyBorder="1" applyAlignment="1">
      <alignment horizontal="center"/>
    </xf>
    <xf numFmtId="0" fontId="47" fillId="0" borderId="22" xfId="97" applyFont="1" applyBorder="1" applyAlignment="1"/>
    <xf numFmtId="0" fontId="47" fillId="0" borderId="0" xfId="97" applyFont="1" applyBorder="1" applyAlignment="1"/>
    <xf numFmtId="0" fontId="33" fillId="0" borderId="0" xfId="97" applyFont="1" applyBorder="1" applyAlignment="1">
      <alignment horizontal="center" vertical="center" wrapText="1"/>
    </xf>
    <xf numFmtId="0" fontId="33" fillId="26" borderId="2" xfId="97" applyFont="1" applyFill="1" applyBorder="1"/>
    <xf numFmtId="0" fontId="33" fillId="0" borderId="2" xfId="97" applyFont="1" applyBorder="1" applyAlignment="1">
      <alignment horizontal="center" vertical="center" wrapText="1" shrinkToFit="1"/>
    </xf>
    <xf numFmtId="0" fontId="33" fillId="0" borderId="2" xfId="97" applyFont="1" applyBorder="1" applyAlignment="1"/>
    <xf numFmtId="0" fontId="33" fillId="0" borderId="2" xfId="97" applyFont="1" applyBorder="1" applyAlignment="1">
      <alignment horizontal="center"/>
    </xf>
    <xf numFmtId="0" fontId="33" fillId="0" borderId="20" xfId="97" applyFont="1" applyBorder="1" applyAlignment="1">
      <alignment horizontal="center"/>
    </xf>
    <xf numFmtId="0" fontId="33" fillId="0" borderId="0" xfId="97" applyFont="1" applyBorder="1" applyAlignment="1">
      <alignment horizontal="center"/>
    </xf>
    <xf numFmtId="0" fontId="33" fillId="0" borderId="12" xfId="97" applyFont="1" applyBorder="1"/>
    <xf numFmtId="164" fontId="33" fillId="0" borderId="16" xfId="29" applyNumberFormat="1" applyFont="1" applyBorder="1"/>
    <xf numFmtId="0" fontId="33" fillId="0" borderId="12" xfId="97"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7" applyFont="1" applyBorder="1"/>
    <xf numFmtId="14" fontId="33" fillId="0" borderId="21" xfId="52" applyNumberFormat="1" applyFont="1" applyBorder="1" applyAlignment="1">
      <alignment horizontal="center" vertical="center"/>
    </xf>
    <xf numFmtId="0" fontId="33" fillId="0" borderId="16" xfId="97" quotePrefix="1" applyFont="1" applyBorder="1" applyAlignment="1">
      <alignment horizontal="center"/>
    </xf>
    <xf numFmtId="164" fontId="34" fillId="0" borderId="21" xfId="29" applyNumberFormat="1" applyFont="1" applyFill="1" applyBorder="1"/>
    <xf numFmtId="164" fontId="33" fillId="0" borderId="39" xfId="29" applyNumberFormat="1" applyFont="1" applyBorder="1"/>
    <xf numFmtId="0" fontId="33" fillId="0" borderId="2" xfId="97" applyFont="1" applyBorder="1"/>
    <xf numFmtId="164" fontId="33" fillId="0" borderId="2" xfId="29" applyNumberFormat="1" applyFont="1" applyBorder="1"/>
    <xf numFmtId="0" fontId="33" fillId="0" borderId="0" xfId="97"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7"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0" fontId="58"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47"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3" xfId="0" applyFont="1" applyFill="1" applyBorder="1" applyAlignment="1" applyProtection="1">
      <alignment horizontal="center" vertical="center" wrapText="1"/>
      <protection hidden="1"/>
    </xf>
    <xf numFmtId="164" fontId="33" fillId="29" borderId="43"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7" applyFont="1" applyBorder="1" applyProtection="1">
      <protection hidden="1"/>
    </xf>
    <xf numFmtId="14" fontId="33" fillId="29" borderId="21" xfId="0" applyNumberFormat="1" applyFont="1" applyFill="1" applyBorder="1" applyAlignment="1" applyProtection="1">
      <alignment horizontal="center"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7" applyFont="1" applyBorder="1" applyProtection="1">
      <protection hidden="1"/>
    </xf>
    <xf numFmtId="0" fontId="33" fillId="0" borderId="39" xfId="97" applyFont="1" applyBorder="1" applyProtection="1">
      <protection hidden="1"/>
    </xf>
    <xf numFmtId="14" fontId="33" fillId="29" borderId="39" xfId="0" applyNumberFormat="1" applyFont="1" applyFill="1" applyBorder="1" applyAlignment="1" applyProtection="1">
      <alignment wrapText="1"/>
      <protection hidden="1"/>
    </xf>
    <xf numFmtId="0" fontId="33" fillId="29" borderId="39" xfId="0" applyFont="1" applyFill="1" applyBorder="1" applyAlignment="1" applyProtection="1">
      <alignment horizontal="center" wrapText="1"/>
      <protection hidden="1"/>
    </xf>
    <xf numFmtId="164" fontId="33" fillId="29" borderId="39" xfId="29" applyNumberFormat="1" applyFont="1" applyFill="1" applyBorder="1" applyAlignment="1" applyProtection="1">
      <alignment wrapText="1"/>
      <protection hidden="1"/>
    </xf>
    <xf numFmtId="0" fontId="33" fillId="29" borderId="39"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1"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58" fillId="0" borderId="0" xfId="0" applyFont="1" applyAlignment="1" applyProtection="1">
      <alignment horizontal="center"/>
      <protection hidden="1"/>
    </xf>
    <xf numFmtId="0" fontId="58" fillId="0" borderId="0" xfId="0" applyNumberFormat="1" applyFont="1" applyProtection="1">
      <protection hidden="1"/>
    </xf>
    <xf numFmtId="14" fontId="58" fillId="0" borderId="0" xfId="0" applyNumberFormat="1" applyFont="1" applyProtection="1">
      <protection hidden="1"/>
    </xf>
    <xf numFmtId="164" fontId="58" fillId="0" borderId="0" xfId="29" applyNumberFormat="1" applyFont="1" applyProtection="1">
      <protection hidden="1"/>
    </xf>
    <xf numFmtId="0" fontId="36" fillId="27" borderId="2" xfId="87" applyFont="1" applyFill="1" applyBorder="1" applyAlignment="1" applyProtection="1">
      <alignment vertical="center"/>
      <protection locked="0" hidden="1"/>
    </xf>
    <xf numFmtId="43" fontId="66" fillId="0" borderId="0" xfId="29" applyFont="1" applyAlignment="1">
      <alignment vertical="center"/>
    </xf>
    <xf numFmtId="164" fontId="34" fillId="0" borderId="0" xfId="29" applyNumberFormat="1" applyFont="1"/>
    <xf numFmtId="0" fontId="39" fillId="0" borderId="2" xfId="98" applyFont="1" applyBorder="1" applyAlignment="1">
      <alignment horizontal="center" vertical="center" wrapText="1"/>
    </xf>
    <xf numFmtId="164" fontId="39" fillId="0" borderId="2" xfId="29" applyNumberFormat="1" applyFont="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98" applyFont="1" applyAlignment="1">
      <alignment horizontal="center" vertical="center" wrapText="1"/>
    </xf>
    <xf numFmtId="0" fontId="34" fillId="0" borderId="16" xfId="93" applyFont="1" applyBorder="1" applyAlignment="1">
      <alignment vertical="center"/>
    </xf>
    <xf numFmtId="0" fontId="34" fillId="0" borderId="0" xfId="93" applyFont="1" applyBorder="1" applyAlignment="1">
      <alignment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2"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98"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98" applyNumberFormat="1" applyFont="1" applyAlignment="1">
      <alignment horizontal="center" vertical="center" wrapText="1"/>
    </xf>
    <xf numFmtId="41" fontId="33" fillId="0" borderId="2" xfId="98"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98"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xf>
    <xf numFmtId="3" fontId="34" fillId="0" borderId="21" xfId="46" applyFont="1" applyBorder="1" applyAlignment="1">
      <alignment horizontal="center" vertical="center"/>
    </xf>
    <xf numFmtId="0" fontId="33" fillId="0" borderId="0" xfId="97" applyFont="1" applyAlignment="1">
      <alignment horizont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164" fontId="34" fillId="0" borderId="19" xfId="29" applyNumberFormat="1" applyFont="1" applyFill="1" applyBorder="1" applyAlignment="1">
      <alignment vertical="center"/>
    </xf>
    <xf numFmtId="164" fontId="34" fillId="0" borderId="0" xfId="29" applyNumberFormat="1" applyFont="1" applyFill="1" applyAlignment="1">
      <alignment vertical="center"/>
    </xf>
    <xf numFmtId="43" fontId="64" fillId="29" borderId="2" xfId="29" applyFont="1" applyFill="1" applyBorder="1" applyAlignment="1">
      <alignment vertical="center" wrapText="1"/>
    </xf>
    <xf numFmtId="43" fontId="34" fillId="0" borderId="16" xfId="29" applyFont="1" applyFill="1" applyBorder="1" applyAlignment="1">
      <alignment vertical="center" wrapText="1"/>
    </xf>
    <xf numFmtId="43" fontId="62" fillId="29" borderId="2" xfId="29" applyFont="1" applyFill="1" applyBorder="1" applyAlignment="1">
      <alignment vertical="center" wrapText="1"/>
    </xf>
    <xf numFmtId="164" fontId="64" fillId="29" borderId="2" xfId="29" applyNumberFormat="1" applyFont="1" applyFill="1" applyBorder="1" applyAlignment="1">
      <alignment vertical="center" wrapText="1"/>
    </xf>
    <xf numFmtId="164" fontId="34" fillId="0" borderId="16" xfId="29" applyNumberFormat="1" applyFont="1" applyFill="1" applyBorder="1" applyAlignment="1">
      <alignment horizontal="right" vertical="center" wrapText="1"/>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164" fontId="43" fillId="0" borderId="16" xfId="29" applyNumberFormat="1" applyFont="1" applyBorder="1" applyAlignment="1">
      <alignment vertical="center"/>
    </xf>
    <xf numFmtId="164" fontId="43" fillId="0" borderId="21" xfId="29" applyNumberFormat="1" applyFont="1" applyBorder="1" applyAlignment="1">
      <alignment horizontal="center" vertical="center"/>
    </xf>
    <xf numFmtId="164" fontId="34" fillId="0" borderId="0" xfId="29" applyNumberFormat="1" applyFont="1" applyFill="1"/>
    <xf numFmtId="0" fontId="40"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3" applyFont="1" applyBorder="1" applyAlignment="1">
      <alignment horizontal="center"/>
    </xf>
    <xf numFmtId="0" fontId="33" fillId="0" borderId="19" xfId="93" applyFont="1" applyBorder="1" applyAlignment="1">
      <alignment horizontal="center"/>
    </xf>
    <xf numFmtId="0" fontId="34" fillId="0" borderId="0" xfId="93" applyFont="1" applyFill="1" applyAlignment="1">
      <alignment vertical="center"/>
    </xf>
    <xf numFmtId="0" fontId="34" fillId="0" borderId="0" xfId="93" applyFont="1" applyAlignment="1">
      <alignment vertical="center"/>
    </xf>
    <xf numFmtId="0" fontId="34" fillId="0" borderId="0" xfId="93" applyFont="1" applyAlignment="1">
      <alignment horizontal="center" vertical="center"/>
    </xf>
    <xf numFmtId="164" fontId="34" fillId="0" borderId="0" xfId="94" applyNumberFormat="1" applyFont="1" applyAlignment="1">
      <alignment vertical="center"/>
    </xf>
    <xf numFmtId="164" fontId="39" fillId="0" borderId="0" xfId="94" applyNumberFormat="1" applyFont="1" applyAlignment="1">
      <alignment horizontal="center" vertical="center"/>
    </xf>
    <xf numFmtId="164" fontId="34" fillId="0" borderId="0" xfId="94" applyNumberFormat="1" applyFont="1" applyAlignment="1">
      <alignment horizontal="center" vertical="center"/>
    </xf>
    <xf numFmtId="0" fontId="77" fillId="0" borderId="0" xfId="93" applyFont="1" applyAlignment="1">
      <alignment vertical="center"/>
    </xf>
    <xf numFmtId="0" fontId="39" fillId="0" borderId="0" xfId="93" applyFont="1" applyAlignment="1">
      <alignment vertical="center" wrapText="1"/>
    </xf>
    <xf numFmtId="0" fontId="39" fillId="0" borderId="2" xfId="93" applyFont="1" applyBorder="1" applyAlignment="1">
      <alignment horizontal="center" vertical="center" wrapText="1"/>
    </xf>
    <xf numFmtId="0" fontId="80" fillId="0" borderId="2" xfId="93" applyFont="1" applyBorder="1" applyAlignment="1">
      <alignment horizontal="center" vertical="center"/>
    </xf>
    <xf numFmtId="164" fontId="80" fillId="0" borderId="2" xfId="94" applyNumberFormat="1" applyFont="1" applyBorder="1" applyAlignment="1">
      <alignment horizontal="center" vertical="center"/>
    </xf>
    <xf numFmtId="0" fontId="80" fillId="0" borderId="0" xfId="93" applyFont="1" applyAlignment="1">
      <alignment vertical="center"/>
    </xf>
    <xf numFmtId="14" fontId="34" fillId="0" borderId="16" xfId="46" applyNumberFormat="1" applyFont="1" applyFill="1" applyBorder="1" applyAlignment="1">
      <alignment horizontal="center" vertical="center"/>
    </xf>
    <xf numFmtId="0" fontId="34" fillId="0" borderId="39" xfId="93" applyFont="1" applyBorder="1" applyAlignment="1">
      <alignment horizontal="center" vertical="center"/>
    </xf>
    <xf numFmtId="0" fontId="34" fillId="0" borderId="39" xfId="93" applyFont="1" applyBorder="1" applyAlignment="1">
      <alignment vertical="center"/>
    </xf>
    <xf numFmtId="0" fontId="39" fillId="0" borderId="2" xfId="93" applyFont="1" applyBorder="1" applyAlignment="1">
      <alignment horizontal="center" vertical="center"/>
    </xf>
    <xf numFmtId="0" fontId="39" fillId="0" borderId="2" xfId="93" applyFont="1" applyBorder="1" applyAlignment="1">
      <alignment vertical="center"/>
    </xf>
    <xf numFmtId="0" fontId="39" fillId="0" borderId="0" xfId="93" applyFont="1" applyAlignment="1">
      <alignment vertical="center"/>
    </xf>
    <xf numFmtId="0" fontId="34" fillId="0" borderId="0" xfId="93" applyFont="1" applyBorder="1" applyAlignment="1">
      <alignment horizontal="center" vertical="center"/>
    </xf>
    <xf numFmtId="164" fontId="34" fillId="0" borderId="0" xfId="94" applyNumberFormat="1" applyFont="1" applyBorder="1" applyAlignment="1">
      <alignment vertical="center"/>
    </xf>
    <xf numFmtId="164" fontId="68" fillId="0" borderId="0" xfId="94" applyNumberFormat="1" applyFont="1" applyAlignment="1">
      <alignment horizontal="center" vertical="center"/>
    </xf>
    <xf numFmtId="0" fontId="39" fillId="0" borderId="0" xfId="93" applyFont="1" applyBorder="1" applyAlignment="1">
      <alignment vertical="center"/>
    </xf>
    <xf numFmtId="3" fontId="34" fillId="0" borderId="0" xfId="93" applyNumberFormat="1" applyFont="1" applyAlignment="1">
      <alignment vertical="center"/>
    </xf>
    <xf numFmtId="164" fontId="57" fillId="0" borderId="0" xfId="94" applyNumberFormat="1" applyFont="1" applyBorder="1" applyAlignment="1">
      <alignment vertical="center"/>
    </xf>
    <xf numFmtId="0" fontId="68" fillId="0" borderId="0" xfId="93" applyFont="1" applyAlignment="1">
      <alignment vertical="center"/>
    </xf>
    <xf numFmtId="0" fontId="68" fillId="0" borderId="0" xfId="93" applyFont="1" applyAlignment="1">
      <alignment horizontal="center" vertical="center"/>
    </xf>
    <xf numFmtId="164" fontId="81" fillId="0" borderId="0" xfId="94" applyNumberFormat="1" applyFont="1" applyBorder="1" applyAlignment="1">
      <alignment vertical="center"/>
    </xf>
    <xf numFmtId="164" fontId="68" fillId="0" borderId="0" xfId="94" applyNumberFormat="1" applyFont="1" applyAlignment="1">
      <alignment vertical="center"/>
    </xf>
    <xf numFmtId="164" fontId="34" fillId="0" borderId="16" xfId="93" applyNumberFormat="1" applyFont="1" applyBorder="1" applyAlignment="1">
      <alignment vertical="center"/>
    </xf>
    <xf numFmtId="164" fontId="34" fillId="0" borderId="0" xfId="93" applyNumberFormat="1" applyFont="1" applyAlignment="1">
      <alignment vertical="center"/>
    </xf>
    <xf numFmtId="164" fontId="39" fillId="0" borderId="2" xfId="94" applyNumberFormat="1" applyFont="1" applyBorder="1" applyAlignment="1">
      <alignment horizontal="center" vertical="center" wrapText="1"/>
    </xf>
    <xf numFmtId="0" fontId="80" fillId="0" borderId="16" xfId="93" applyFont="1" applyBorder="1" applyAlignment="1">
      <alignment horizontal="center" vertical="center"/>
    </xf>
    <xf numFmtId="0" fontId="34" fillId="0" borderId="16" xfId="93" applyFont="1" applyBorder="1" applyAlignment="1">
      <alignment horizontal="center" vertical="center"/>
    </xf>
    <xf numFmtId="0" fontId="80" fillId="0" borderId="16" xfId="93" applyFont="1" applyBorder="1" applyAlignment="1">
      <alignment horizontal="left" vertical="center"/>
    </xf>
    <xf numFmtId="49" fontId="34" fillId="0" borderId="39" xfId="46" applyNumberFormat="1" applyFont="1" applyFill="1" applyBorder="1" applyAlignment="1">
      <alignment vertical="center"/>
    </xf>
    <xf numFmtId="14" fontId="34" fillId="0" borderId="39" xfId="46" applyNumberFormat="1" applyFont="1" applyFill="1" applyBorder="1" applyAlignment="1">
      <alignment horizontal="center" vertical="center"/>
    </xf>
    <xf numFmtId="3" fontId="34" fillId="0" borderId="39" xfId="46" applyFont="1" applyFill="1" applyBorder="1" applyAlignment="1">
      <alignment vertical="center"/>
    </xf>
    <xf numFmtId="164" fontId="34" fillId="0" borderId="0" xfId="93" applyNumberFormat="1" applyFont="1" applyBorder="1" applyAlignment="1">
      <alignment vertical="center"/>
    </xf>
    <xf numFmtId="164" fontId="80" fillId="0" borderId="16" xfId="29" applyNumberFormat="1" applyFont="1" applyBorder="1" applyAlignment="1">
      <alignment horizontal="center" vertical="center"/>
    </xf>
    <xf numFmtId="164" fontId="34" fillId="0" borderId="39"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3"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39" xfId="93" applyNumberFormat="1" applyFont="1" applyBorder="1" applyAlignment="1">
      <alignment horizontal="center" vertical="center"/>
    </xf>
    <xf numFmtId="3" fontId="39" fillId="0" borderId="2" xfId="94" applyNumberFormat="1" applyFont="1" applyBorder="1" applyAlignment="1">
      <alignment horizontal="center" vertical="center"/>
    </xf>
    <xf numFmtId="0" fontId="39" fillId="0" borderId="0" xfId="93" applyFont="1" applyBorder="1" applyAlignment="1">
      <alignment horizontal="center" vertical="center"/>
    </xf>
    <xf numFmtId="3" fontId="39" fillId="0" borderId="0" xfId="94" applyNumberFormat="1" applyFont="1" applyBorder="1" applyAlignment="1">
      <alignment horizontal="center" vertical="center"/>
    </xf>
    <xf numFmtId="164" fontId="39" fillId="0" borderId="0" xfId="94" applyNumberFormat="1" applyFont="1" applyBorder="1" applyAlignment="1">
      <alignment horizontal="center" vertical="center"/>
    </xf>
    <xf numFmtId="0" fontId="39" fillId="0" borderId="12" xfId="93" applyFont="1" applyBorder="1" applyAlignment="1">
      <alignment horizontal="center" vertical="center"/>
    </xf>
    <xf numFmtId="3" fontId="39" fillId="0" borderId="12" xfId="94" applyNumberFormat="1" applyFont="1" applyBorder="1" applyAlignment="1">
      <alignment horizontal="center" vertical="center"/>
    </xf>
    <xf numFmtId="0" fontId="39" fillId="0" borderId="16" xfId="93" applyFont="1" applyBorder="1" applyAlignment="1">
      <alignment horizontal="center" vertical="center"/>
    </xf>
    <xf numFmtId="3" fontId="39" fillId="0" borderId="16" xfId="94" applyNumberFormat="1" applyFont="1" applyBorder="1" applyAlignment="1">
      <alignment horizontal="center" vertical="center"/>
    </xf>
    <xf numFmtId="0" fontId="39" fillId="0" borderId="19" xfId="93" applyFont="1" applyBorder="1" applyAlignment="1">
      <alignment horizontal="center" vertical="center"/>
    </xf>
    <xf numFmtId="3" fontId="39" fillId="0" borderId="19" xfId="94" applyNumberFormat="1" applyFont="1" applyBorder="1" applyAlignment="1">
      <alignment horizontal="center" vertical="center"/>
    </xf>
    <xf numFmtId="0" fontId="0" fillId="0" borderId="0" xfId="0" applyAlignment="1">
      <alignment horizontal="center" vertical="center" wrapText="1"/>
    </xf>
    <xf numFmtId="49" fontId="39" fillId="0" borderId="2" xfId="94" applyNumberFormat="1" applyFont="1" applyBorder="1" applyAlignment="1">
      <alignment horizontal="center" vertical="center"/>
    </xf>
    <xf numFmtId="49" fontId="0" fillId="0" borderId="0" xfId="0" applyNumberFormat="1" applyAlignment="1">
      <alignment horizontal="center" vertical="center"/>
    </xf>
    <xf numFmtId="0" fontId="34" fillId="0" borderId="0" xfId="93"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3" applyFont="1" applyBorder="1" applyAlignment="1">
      <alignment vertical="center"/>
    </xf>
    <xf numFmtId="0" fontId="33" fillId="0" borderId="0" xfId="97" applyFont="1" applyAlignment="1" applyProtection="1">
      <alignment horizontal="center"/>
      <protection hidden="1"/>
    </xf>
    <xf numFmtId="0" fontId="33" fillId="0" borderId="0" xfId="97" applyFont="1" applyAlignment="1">
      <alignment horizontal="center"/>
    </xf>
    <xf numFmtId="0" fontId="68" fillId="0" borderId="0" xfId="93" applyFont="1" applyAlignment="1">
      <alignment horizontal="center" vertical="center"/>
    </xf>
    <xf numFmtId="0" fontId="75" fillId="0" borderId="0" xfId="93" applyFont="1" applyAlignment="1">
      <alignment vertical="center"/>
    </xf>
    <xf numFmtId="0" fontId="82" fillId="0" borderId="0" xfId="93" applyFont="1" applyAlignment="1">
      <alignment vertical="center"/>
    </xf>
    <xf numFmtId="0" fontId="74" fillId="0" borderId="0" xfId="93" applyFont="1" applyAlignment="1">
      <alignment vertical="center" wrapText="1"/>
    </xf>
    <xf numFmtId="0" fontId="83" fillId="0" borderId="0" xfId="93"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4" quotePrefix="1" applyNumberFormat="1" applyFont="1" applyBorder="1" applyAlignment="1">
      <alignment horizontal="center" vertical="center"/>
    </xf>
    <xf numFmtId="164" fontId="34" fillId="0" borderId="39"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4" applyNumberFormat="1" applyFont="1" applyAlignment="1">
      <alignment vertical="center"/>
    </xf>
    <xf numFmtId="41" fontId="36" fillId="29" borderId="0" xfId="95" applyNumberFormat="1" applyFont="1" applyFill="1" applyAlignment="1">
      <alignment vertical="center"/>
    </xf>
    <xf numFmtId="41" fontId="36" fillId="29" borderId="0" xfId="95"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76" fillId="0" borderId="0" xfId="29" applyNumberFormat="1" applyFont="1" applyAlignment="1">
      <alignment vertical="center"/>
    </xf>
    <xf numFmtId="41" fontId="76" fillId="0" borderId="0" xfId="98" applyNumberFormat="1" applyFont="1" applyAlignment="1">
      <alignment vertical="center"/>
    </xf>
    <xf numFmtId="41" fontId="33" fillId="0" borderId="0" xfId="98"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98" applyNumberFormat="1" applyFont="1" applyBorder="1" applyAlignment="1">
      <alignment vertical="center"/>
    </xf>
    <xf numFmtId="41" fontId="33" fillId="0" borderId="2" xfId="98" applyNumberFormat="1" applyFont="1" applyBorder="1" applyAlignment="1">
      <alignment vertical="center"/>
    </xf>
    <xf numFmtId="41" fontId="33" fillId="0" borderId="2" xfId="29" applyNumberFormat="1" applyFont="1" applyBorder="1" applyAlignment="1">
      <alignment vertical="center"/>
    </xf>
    <xf numFmtId="41" fontId="34" fillId="0" borderId="0" xfId="98" applyNumberFormat="1" applyFont="1" applyAlignment="1">
      <alignment vertical="center"/>
    </xf>
    <xf numFmtId="41" fontId="33" fillId="0" borderId="0" xfId="29" quotePrefix="1" applyNumberFormat="1" applyFont="1" applyBorder="1" applyAlignment="1">
      <alignment horizontal="left" vertical="center"/>
    </xf>
    <xf numFmtId="0" fontId="51" fillId="0" borderId="0" xfId="93" applyFont="1" applyAlignment="1">
      <alignment horizontal="center" vertical="center"/>
    </xf>
    <xf numFmtId="164" fontId="51" fillId="0" borderId="0" xfId="94" applyNumberFormat="1" applyFont="1" applyAlignment="1">
      <alignment horizontal="center" vertical="center"/>
    </xf>
    <xf numFmtId="164" fontId="51" fillId="0" borderId="0" xfId="94"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1" fillId="0" borderId="0" xfId="0" applyFont="1" applyAlignment="1" applyProtection="1">
      <alignment horizontal="center"/>
      <protection hidden="1"/>
    </xf>
    <xf numFmtId="0" fontId="3" fillId="0" borderId="0" xfId="0" applyFont="1" applyFill="1" applyAlignment="1"/>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2"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0" applyNumberFormat="1" applyFont="1" applyFill="1" applyBorder="1" applyAlignment="1">
      <alignment vertical="center"/>
    </xf>
    <xf numFmtId="1" fontId="34" fillId="0" borderId="16" xfId="54" quotePrefix="1" applyNumberFormat="1" applyFont="1" applyFill="1" applyBorder="1" applyAlignment="1">
      <alignment horizontal="center" vertical="center"/>
    </xf>
    <xf numFmtId="164" fontId="67" fillId="0" borderId="50" xfId="77" applyNumberFormat="1" applyFont="1" applyBorder="1" applyAlignment="1" applyProtection="1">
      <alignment vertical="center"/>
      <protection hidden="1"/>
    </xf>
    <xf numFmtId="164" fontId="67" fillId="0" borderId="51" xfId="77" applyNumberFormat="1" applyFont="1" applyBorder="1" applyAlignment="1" applyProtection="1">
      <alignment vertical="center"/>
      <protection hidden="1"/>
    </xf>
    <xf numFmtId="164" fontId="34" fillId="0" borderId="16" xfId="29" applyNumberFormat="1" applyFont="1" applyFill="1" applyBorder="1" applyAlignment="1">
      <alignment vertical="center" wrapText="1"/>
    </xf>
    <xf numFmtId="0" fontId="34" fillId="0" borderId="0" xfId="52" applyFont="1" applyAlignment="1">
      <alignment horizontal="center" vertical="center"/>
    </xf>
    <xf numFmtId="0" fontId="51" fillId="0" borderId="0" xfId="0" applyFont="1" applyAlignment="1">
      <alignment horizontal="center"/>
    </xf>
    <xf numFmtId="164" fontId="36" fillId="0" borderId="0" xfId="54" applyNumberFormat="1" applyFont="1" applyAlignment="1">
      <alignment horizontal="center" vertical="center" wrapText="1"/>
    </xf>
    <xf numFmtId="164" fontId="36" fillId="0" borderId="0" xfId="77" applyNumberFormat="1" applyFont="1" applyAlignment="1">
      <alignment horizontal="center" vertical="center"/>
    </xf>
    <xf numFmtId="0" fontId="33" fillId="0" borderId="0" xfId="52" applyFont="1" applyAlignment="1">
      <alignment horizontal="left" vertical="center"/>
    </xf>
    <xf numFmtId="0" fontId="39" fillId="21" borderId="20" xfId="34" applyFont="1" applyBorder="1" applyAlignment="1">
      <alignment horizontal="center" vertical="center" wrapText="1"/>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6" fillId="25" borderId="2" xfId="77" applyFont="1" applyFill="1" applyBorder="1" applyAlignment="1" applyProtection="1">
      <alignment vertical="center"/>
      <protection locked="0" hidden="1"/>
    </xf>
    <xf numFmtId="0" fontId="34" fillId="0" borderId="0" xfId="54" applyFont="1" applyAlignment="1">
      <alignment horizontal="left" vertical="center"/>
    </xf>
    <xf numFmtId="0" fontId="39" fillId="0" borderId="0" xfId="54" applyFont="1" applyAlignment="1">
      <alignment horizontal="left" vertical="center"/>
    </xf>
    <xf numFmtId="0" fontId="60" fillId="29" borderId="0" xfId="95" applyFont="1" applyFill="1" applyAlignment="1">
      <alignment vertical="top"/>
    </xf>
    <xf numFmtId="0" fontId="33" fillId="29" borderId="0" xfId="0" applyFont="1" applyFill="1" applyAlignment="1" applyProtection="1">
      <alignment vertical="top"/>
      <protection hidden="1"/>
    </xf>
    <xf numFmtId="41" fontId="33" fillId="29" borderId="0" xfId="95" applyNumberFormat="1" applyFont="1" applyFill="1" applyAlignment="1">
      <alignment vertical="center"/>
    </xf>
    <xf numFmtId="0" fontId="39" fillId="0" borderId="0" xfId="93" applyFont="1" applyFill="1" applyAlignment="1">
      <alignment vertical="center"/>
    </xf>
    <xf numFmtId="0" fontId="39" fillId="0" borderId="0" xfId="93" applyFont="1" applyFill="1" applyAlignment="1">
      <alignment horizontal="left" vertical="center"/>
    </xf>
    <xf numFmtId="0" fontId="67" fillId="0" borderId="0" xfId="85" applyFont="1" applyAlignment="1">
      <alignment vertical="center"/>
    </xf>
    <xf numFmtId="0" fontId="66" fillId="0" borderId="0" xfId="85" applyFont="1" applyAlignment="1">
      <alignment vertical="center"/>
    </xf>
    <xf numFmtId="0" fontId="66" fillId="0" borderId="0" xfId="85" applyFont="1" applyAlignment="1">
      <alignment horizontal="center" vertical="center"/>
    </xf>
    <xf numFmtId="0" fontId="84" fillId="0" borderId="0" xfId="85" applyFont="1" applyAlignment="1">
      <alignment vertical="center"/>
    </xf>
    <xf numFmtId="0" fontId="84" fillId="0" borderId="0" xfId="85" applyFont="1" applyAlignment="1">
      <alignment horizontal="center" vertical="center"/>
    </xf>
    <xf numFmtId="0" fontId="67" fillId="0" borderId="0" xfId="85" applyFont="1" applyBorder="1" applyAlignment="1">
      <alignment vertical="center"/>
    </xf>
    <xf numFmtId="0" fontId="67" fillId="0" borderId="0" xfId="85" applyFont="1" applyBorder="1" applyAlignment="1">
      <alignment horizontal="center" vertical="center"/>
    </xf>
    <xf numFmtId="0" fontId="66" fillId="0" borderId="0" xfId="85" applyFont="1" applyBorder="1" applyAlignment="1">
      <alignment vertical="center"/>
    </xf>
    <xf numFmtId="164" fontId="85" fillId="0" borderId="0" xfId="77" applyNumberFormat="1" applyFont="1" applyBorder="1" applyAlignment="1" applyProtection="1">
      <alignment vertical="center"/>
      <protection hidden="1"/>
    </xf>
    <xf numFmtId="164" fontId="86" fillId="0" borderId="0" xfId="77" applyNumberFormat="1" applyFont="1" applyAlignment="1">
      <alignment vertical="center"/>
    </xf>
    <xf numFmtId="164" fontId="87" fillId="0" borderId="0" xfId="77" applyNumberFormat="1" applyFont="1" applyAlignment="1">
      <alignment vertical="center"/>
    </xf>
    <xf numFmtId="164" fontId="72" fillId="0" borderId="0" xfId="77" applyNumberFormat="1" applyFont="1" applyAlignment="1">
      <alignment vertical="center"/>
    </xf>
    <xf numFmtId="164" fontId="39" fillId="21" borderId="2" xfId="74" applyNumberFormat="1" applyFont="1" applyFill="1" applyBorder="1" applyAlignment="1">
      <alignment horizontal="centerContinuous" vertical="center" wrapText="1"/>
    </xf>
    <xf numFmtId="0" fontId="39" fillId="0" borderId="0" xfId="73" applyFont="1" applyAlignment="1">
      <alignment vertical="center"/>
    </xf>
    <xf numFmtId="0" fontId="34" fillId="0" borderId="0" xfId="73" applyFont="1" applyAlignment="1">
      <alignment vertical="center"/>
    </xf>
    <xf numFmtId="0" fontId="39" fillId="0" borderId="0" xfId="58" applyFont="1" applyAlignment="1">
      <alignment horizontal="centerContinuous" vertical="center"/>
    </xf>
    <xf numFmtId="164" fontId="39" fillId="0" borderId="0" xfId="74" applyNumberFormat="1" applyFont="1" applyAlignment="1">
      <alignment horizontal="centerContinuous" vertical="center"/>
    </xf>
    <xf numFmtId="164" fontId="22" fillId="0" borderId="0" xfId="74" applyNumberFormat="1" applyFont="1" applyAlignment="1">
      <alignment horizontal="center" vertical="center"/>
    </xf>
    <xf numFmtId="164" fontId="68" fillId="0" borderId="23" xfId="74" quotePrefix="1" applyNumberFormat="1" applyFont="1" applyBorder="1" applyAlignment="1">
      <alignment horizontal="center" vertical="center"/>
    </xf>
    <xf numFmtId="164" fontId="68" fillId="0" borderId="23" xfId="74" applyNumberFormat="1" applyFont="1" applyBorder="1" applyAlignment="1">
      <alignment horizontal="center" vertical="center"/>
    </xf>
    <xf numFmtId="164" fontId="68" fillId="0" borderId="23" xfId="74" applyNumberFormat="1" applyFont="1" applyBorder="1" applyAlignment="1">
      <alignment vertical="center"/>
    </xf>
    <xf numFmtId="164" fontId="68" fillId="0" borderId="25" xfId="74" applyNumberFormat="1" applyFont="1" applyBorder="1" applyAlignment="1">
      <alignment vertical="center"/>
    </xf>
    <xf numFmtId="164" fontId="34" fillId="0" borderId="0" xfId="74" applyNumberFormat="1" applyFont="1" applyFill="1" applyAlignment="1">
      <alignment vertical="center"/>
    </xf>
    <xf numFmtId="164" fontId="39" fillId="0" borderId="10" xfId="74" applyNumberFormat="1" applyFont="1" applyBorder="1" applyAlignment="1">
      <alignment horizontal="left" vertical="center"/>
    </xf>
    <xf numFmtId="164" fontId="39" fillId="0" borderId="10" xfId="74" applyNumberFormat="1" applyFont="1" applyBorder="1" applyAlignment="1">
      <alignment vertical="center"/>
    </xf>
    <xf numFmtId="164" fontId="39" fillId="0" borderId="26" xfId="74" applyNumberFormat="1" applyFont="1" applyBorder="1" applyAlignment="1">
      <alignment vertical="center"/>
    </xf>
    <xf numFmtId="164" fontId="39" fillId="0" borderId="10" xfId="74" quotePrefix="1" applyNumberFormat="1" applyFont="1" applyBorder="1" applyAlignment="1">
      <alignment horizontal="left" vertical="center"/>
    </xf>
    <xf numFmtId="164" fontId="34" fillId="0" borderId="26" xfId="74" quotePrefix="1" applyNumberFormat="1" applyFont="1" applyBorder="1" applyAlignment="1">
      <alignment horizontal="right" vertical="center"/>
    </xf>
    <xf numFmtId="164" fontId="34" fillId="0" borderId="26" xfId="74" applyNumberFormat="1" applyFont="1" applyBorder="1" applyAlignment="1">
      <alignment horizontal="right" vertical="center"/>
    </xf>
    <xf numFmtId="164" fontId="34" fillId="0" borderId="26" xfId="74" applyNumberFormat="1" applyFont="1" applyBorder="1" applyAlignment="1">
      <alignment vertical="center"/>
    </xf>
    <xf numFmtId="164" fontId="39" fillId="0" borderId="27" xfId="74" applyNumberFormat="1" applyFont="1" applyBorder="1" applyAlignment="1">
      <alignment vertical="center"/>
    </xf>
    <xf numFmtId="164" fontId="39" fillId="0" borderId="2" xfId="74" applyNumberFormat="1" applyFont="1" applyBorder="1" applyAlignment="1">
      <alignment vertical="center"/>
    </xf>
    <xf numFmtId="3" fontId="34" fillId="0" borderId="0" xfId="73" applyNumberFormat="1" applyFont="1" applyAlignment="1">
      <alignment vertical="center"/>
    </xf>
    <xf numFmtId="164" fontId="34" fillId="0" borderId="0" xfId="73" applyNumberFormat="1" applyFont="1" applyAlignment="1">
      <alignment vertical="center"/>
    </xf>
    <xf numFmtId="0" fontId="34" fillId="0" borderId="0" xfId="73" applyFont="1" applyBorder="1" applyAlignment="1">
      <alignment vertical="center"/>
    </xf>
    <xf numFmtId="164" fontId="67" fillId="0" borderId="0" xfId="74" applyNumberFormat="1" applyFont="1" applyAlignment="1">
      <alignment horizontal="center" vertical="center"/>
    </xf>
    <xf numFmtId="164" fontId="34" fillId="0" borderId="0" xfId="29" applyNumberFormat="1" applyFont="1" applyFill="1" applyBorder="1" applyAlignment="1">
      <alignment horizontal="left" vertical="center"/>
    </xf>
    <xf numFmtId="0" fontId="33" fillId="29" borderId="21" xfId="0" applyNumberFormat="1" applyFont="1" applyFill="1" applyBorder="1" applyAlignment="1" applyProtection="1">
      <protection hidden="1"/>
    </xf>
    <xf numFmtId="0" fontId="33" fillId="29" borderId="39" xfId="0" applyNumberFormat="1" applyFont="1" applyFill="1" applyBorder="1" applyAlignment="1" applyProtection="1">
      <protection hidden="1"/>
    </xf>
    <xf numFmtId="164" fontId="39" fillId="25" borderId="31" xfId="77" applyNumberFormat="1" applyFont="1" applyFill="1" applyBorder="1" applyAlignment="1">
      <alignment vertical="center"/>
    </xf>
    <xf numFmtId="0" fontId="35" fillId="30" borderId="31" xfId="80" applyFont="1" applyFill="1" applyBorder="1" applyAlignment="1" applyProtection="1">
      <alignment vertical="center"/>
      <protection locked="0" hidden="1"/>
    </xf>
    <xf numFmtId="0" fontId="35" fillId="31" borderId="31" xfId="80" applyNumberFormat="1" applyFont="1" applyFill="1" applyBorder="1" applyAlignment="1" applyProtection="1">
      <alignment vertical="center"/>
      <protection locked="0" hidden="1"/>
    </xf>
    <xf numFmtId="0" fontId="88" fillId="0" borderId="0" xfId="77" applyFont="1" applyFill="1" applyBorder="1" applyAlignment="1" applyProtection="1">
      <alignment horizontal="left" vertical="center"/>
      <protection hidden="1"/>
    </xf>
    <xf numFmtId="0" fontId="89" fillId="0" borderId="0" xfId="80" applyFont="1" applyAlignment="1" applyProtection="1">
      <alignment vertical="center"/>
      <protection hidden="1"/>
    </xf>
    <xf numFmtId="0" fontId="88" fillId="0" borderId="0" xfId="80" applyFont="1" applyAlignment="1" applyProtection="1">
      <alignment horizontal="center" vertical="center"/>
      <protection hidden="1"/>
    </xf>
    <xf numFmtId="0" fontId="89" fillId="0" borderId="0" xfId="80" applyFont="1" applyFill="1" applyBorder="1" applyAlignment="1" applyProtection="1">
      <alignment vertical="center"/>
      <protection hidden="1"/>
    </xf>
    <xf numFmtId="164" fontId="90" fillId="0" borderId="0" xfId="77" applyNumberFormat="1" applyFont="1" applyBorder="1" applyAlignment="1" applyProtection="1">
      <alignment vertical="center"/>
      <protection hidden="1"/>
    </xf>
    <xf numFmtId="0" fontId="88" fillId="0" borderId="0" xfId="80" applyFont="1" applyAlignment="1" applyProtection="1">
      <alignment vertical="center"/>
      <protection hidden="1"/>
    </xf>
    <xf numFmtId="0" fontId="89" fillId="0" borderId="0" xfId="80" applyFont="1" applyBorder="1" applyAlignment="1" applyProtection="1">
      <alignment vertical="center"/>
      <protection hidden="1"/>
    </xf>
    <xf numFmtId="0" fontId="49" fillId="0" borderId="0" xfId="80" applyFont="1" applyAlignment="1" applyProtection="1">
      <alignment vertical="center"/>
      <protection hidden="1"/>
    </xf>
    <xf numFmtId="14" fontId="35" fillId="0" borderId="0" xfId="80" applyNumberFormat="1" applyFont="1" applyAlignment="1" applyProtection="1">
      <alignment horizontal="center" vertical="center"/>
      <protection hidden="1"/>
    </xf>
    <xf numFmtId="14" fontId="35" fillId="0" borderId="0" xfId="80" applyNumberFormat="1" applyFont="1" applyAlignment="1" applyProtection="1">
      <alignment vertical="center"/>
      <protection hidden="1"/>
    </xf>
    <xf numFmtId="0" fontId="35" fillId="0" borderId="0" xfId="80" applyFont="1" applyAlignment="1" applyProtection="1">
      <alignment horizontal="right" vertical="center"/>
      <protection hidden="1"/>
    </xf>
    <xf numFmtId="0" fontId="35" fillId="0" borderId="0" xfId="80" applyFont="1" applyAlignment="1" applyProtection="1">
      <alignment horizontal="left" vertical="center"/>
      <protection hidden="1"/>
    </xf>
    <xf numFmtId="0" fontId="35" fillId="0" borderId="0" xfId="80" applyFont="1" applyFill="1" applyAlignment="1" applyProtection="1">
      <alignment vertical="center"/>
      <protection hidden="1"/>
    </xf>
    <xf numFmtId="0" fontId="35" fillId="0" borderId="17" xfId="80" applyFont="1" applyBorder="1" applyAlignment="1" applyProtection="1">
      <alignment horizontal="center" vertical="center" wrapText="1"/>
      <protection hidden="1"/>
    </xf>
    <xf numFmtId="0" fontId="35" fillId="0" borderId="16" xfId="96" applyNumberFormat="1" applyFont="1" applyBorder="1" applyAlignment="1" applyProtection="1">
      <alignment horizontal="center" vertical="center"/>
      <protection hidden="1"/>
    </xf>
    <xf numFmtId="0" fontId="35" fillId="0" borderId="16" xfId="0" applyFont="1" applyFill="1" applyBorder="1" applyAlignment="1" applyProtection="1">
      <alignment horizontal="left" vertical="center"/>
      <protection hidden="1"/>
    </xf>
    <xf numFmtId="0" fontId="35" fillId="0" borderId="16" xfId="80" applyFont="1" applyBorder="1" applyAlignment="1" applyProtection="1">
      <alignment vertical="center"/>
      <protection hidden="1"/>
    </xf>
    <xf numFmtId="0" fontId="35" fillId="0" borderId="16" xfId="80" applyFont="1" applyBorder="1" applyAlignment="1" applyProtection="1">
      <alignment horizontal="center" vertical="center"/>
      <protection hidden="1"/>
    </xf>
    <xf numFmtId="164" fontId="35" fillId="0" borderId="16" xfId="29" applyNumberFormat="1" applyFont="1" applyBorder="1" applyAlignment="1" applyProtection="1">
      <alignment vertical="center"/>
      <protection hidden="1"/>
    </xf>
    <xf numFmtId="164" fontId="35" fillId="0" borderId="16" xfId="29" applyNumberFormat="1" applyFont="1" applyFill="1" applyBorder="1" applyAlignment="1" applyProtection="1">
      <alignment horizontal="center" vertical="center"/>
      <protection hidden="1"/>
    </xf>
    <xf numFmtId="0" fontId="35" fillId="0" borderId="2" xfId="80" applyFont="1" applyBorder="1" applyAlignment="1" applyProtection="1">
      <alignment vertical="center"/>
      <protection hidden="1"/>
    </xf>
    <xf numFmtId="164" fontId="35" fillId="0" borderId="2" xfId="29" applyNumberFormat="1" applyFont="1" applyBorder="1" applyAlignment="1" applyProtection="1">
      <alignment vertical="center"/>
      <protection hidden="1"/>
    </xf>
    <xf numFmtId="0" fontId="35" fillId="0" borderId="0" xfId="80" applyFont="1" applyBorder="1" applyAlignment="1" applyProtection="1">
      <alignment horizontal="center" vertical="center"/>
      <protection hidden="1"/>
    </xf>
    <xf numFmtId="164" fontId="35" fillId="0" borderId="0" xfId="29" applyNumberFormat="1" applyFont="1" applyBorder="1" applyAlignment="1" applyProtection="1">
      <alignment vertical="center"/>
      <protection hidden="1"/>
    </xf>
    <xf numFmtId="0" fontId="40" fillId="0" borderId="0" xfId="80" applyFont="1" applyAlignment="1" applyProtection="1">
      <alignment horizontal="left" vertical="center"/>
      <protection hidden="1"/>
    </xf>
    <xf numFmtId="0" fontId="43" fillId="0" borderId="16" xfId="77" applyNumberFormat="1" applyFont="1" applyFill="1" applyBorder="1" applyAlignment="1">
      <alignment horizontal="center" vertical="center"/>
    </xf>
    <xf numFmtId="0" fontId="91" fillId="0" borderId="0" xfId="0" applyFont="1" applyFill="1" applyAlignment="1"/>
    <xf numFmtId="41" fontId="33" fillId="0" borderId="0" xfId="29" applyNumberFormat="1" applyFont="1" applyBorder="1" applyAlignment="1">
      <alignment horizontal="left" vertical="center"/>
    </xf>
    <xf numFmtId="41" fontId="36" fillId="29" borderId="0" xfId="95" applyNumberFormat="1" applyFont="1" applyFill="1" applyAlignment="1">
      <alignment horizontal="left" vertical="center"/>
    </xf>
    <xf numFmtId="0" fontId="33" fillId="0" borderId="0" xfId="0" applyFont="1" applyAlignment="1">
      <alignment horizontal="center" vertical="center"/>
    </xf>
    <xf numFmtId="0" fontId="36" fillId="0" borderId="0" xfId="0" applyFont="1" applyAlignment="1">
      <alignment horizontal="center" vertical="center"/>
    </xf>
    <xf numFmtId="0" fontId="47" fillId="0" borderId="0" xfId="0" quotePrefix="1" applyFont="1" applyAlignment="1">
      <alignment horizontal="center" vertical="center"/>
    </xf>
    <xf numFmtId="0" fontId="33" fillId="0" borderId="0" xfId="0" applyFont="1" applyAlignment="1">
      <alignment vertical="center"/>
    </xf>
    <xf numFmtId="0" fontId="33" fillId="0" borderId="0" xfId="0" quotePrefix="1" applyFont="1" applyAlignment="1">
      <alignment horizontal="left" vertical="center"/>
    </xf>
    <xf numFmtId="0" fontId="33" fillId="0" borderId="0" xfId="0" quotePrefix="1" applyFont="1" applyAlignment="1">
      <alignment vertical="center"/>
    </xf>
    <xf numFmtId="0" fontId="33" fillId="0" borderId="2" xfId="0" applyFont="1" applyBorder="1" applyAlignment="1">
      <alignment horizontal="center" vertical="center" wrapText="1" shrinkToFit="1"/>
    </xf>
    <xf numFmtId="0" fontId="33" fillId="0" borderId="2" xfId="0" applyFont="1" applyBorder="1" applyAlignment="1">
      <alignment horizontal="center" vertical="center"/>
    </xf>
    <xf numFmtId="0" fontId="33" fillId="0" borderId="12" xfId="0" applyFont="1" applyBorder="1" applyAlignment="1">
      <alignment horizontal="center" vertical="center"/>
    </xf>
    <xf numFmtId="0" fontId="33" fillId="0" borderId="12" xfId="0" quotePrefix="1" applyFont="1" applyBorder="1" applyAlignment="1">
      <alignment horizontal="left" vertical="center"/>
    </xf>
    <xf numFmtId="164" fontId="33" fillId="0" borderId="12" xfId="29" applyNumberFormat="1" applyFont="1" applyBorder="1" applyAlignment="1">
      <alignment horizontal="center" vertical="center"/>
    </xf>
    <xf numFmtId="14" fontId="33" fillId="0" borderId="16" xfId="0" applyNumberFormat="1" applyFont="1" applyBorder="1" applyAlignment="1">
      <alignment horizontal="center" vertical="center"/>
    </xf>
    <xf numFmtId="14" fontId="33" fillId="0" borderId="16" xfId="0" applyNumberFormat="1" applyFont="1" applyBorder="1" applyAlignment="1">
      <alignment horizontal="left" vertical="center"/>
    </xf>
    <xf numFmtId="164" fontId="33" fillId="0" borderId="16" xfId="29" applyNumberFormat="1" applyFont="1" applyBorder="1" applyAlignment="1">
      <alignment horizontal="center" vertical="center"/>
    </xf>
    <xf numFmtId="0" fontId="33" fillId="0" borderId="16" xfId="0" applyFont="1" applyBorder="1" applyAlignment="1">
      <alignment horizontal="center" vertical="center"/>
    </xf>
    <xf numFmtId="0" fontId="33" fillId="0" borderId="39" xfId="0" applyFont="1" applyBorder="1" applyAlignment="1">
      <alignment horizontal="left" vertical="center"/>
    </xf>
    <xf numFmtId="0" fontId="33" fillId="0" borderId="39" xfId="0" applyFont="1" applyBorder="1" applyAlignment="1">
      <alignment horizontal="center" vertical="center"/>
    </xf>
    <xf numFmtId="164" fontId="33" fillId="0" borderId="39" xfId="29" applyNumberFormat="1" applyFont="1" applyBorder="1" applyAlignment="1">
      <alignment horizontal="center" vertical="center"/>
    </xf>
    <xf numFmtId="14" fontId="33" fillId="0" borderId="39" xfId="0" applyNumberFormat="1" applyFont="1" applyBorder="1" applyAlignment="1">
      <alignment horizontal="center" vertical="center"/>
    </xf>
    <xf numFmtId="0" fontId="33" fillId="0" borderId="16" xfId="0" quotePrefix="1" applyFont="1" applyBorder="1" applyAlignment="1">
      <alignment horizontal="left" vertical="center"/>
    </xf>
    <xf numFmtId="164" fontId="33" fillId="0" borderId="16" xfId="0" applyNumberFormat="1" applyFont="1" applyBorder="1" applyAlignment="1">
      <alignment horizontal="center" vertical="center"/>
    </xf>
    <xf numFmtId="0" fontId="33" fillId="0" borderId="19" xfId="0" applyFont="1" applyBorder="1" applyAlignment="1">
      <alignment horizontal="center" vertical="center"/>
    </xf>
    <xf numFmtId="0" fontId="33" fillId="0" borderId="19" xfId="0" quotePrefix="1" applyFont="1" applyBorder="1" applyAlignment="1">
      <alignment horizontal="left" vertical="center"/>
    </xf>
    <xf numFmtId="164" fontId="33" fillId="0" borderId="19" xfId="0" applyNumberFormat="1" applyFont="1" applyBorder="1" applyAlignment="1">
      <alignment horizontal="center" vertical="center"/>
    </xf>
    <xf numFmtId="0" fontId="33" fillId="0" borderId="0" xfId="0" applyFont="1" applyAlignment="1">
      <alignment horizontal="left" vertical="center"/>
    </xf>
    <xf numFmtId="0" fontId="36" fillId="0" borderId="0" xfId="0" applyFont="1" applyAlignment="1">
      <alignment vertical="center"/>
    </xf>
    <xf numFmtId="0" fontId="33" fillId="0" borderId="2" xfId="0" quotePrefix="1" applyFont="1" applyBorder="1" applyAlignment="1">
      <alignment horizontal="center" vertical="center" wrapText="1" shrinkToFit="1"/>
    </xf>
    <xf numFmtId="0" fontId="36" fillId="0" borderId="0" xfId="0" applyFont="1" applyFill="1" applyBorder="1" applyAlignment="1">
      <alignment horizontal="center" vertical="center"/>
    </xf>
    <xf numFmtId="164" fontId="36" fillId="25" borderId="31" xfId="77" applyNumberFormat="1" applyFont="1" applyFill="1" applyBorder="1" applyAlignment="1">
      <alignment vertical="center"/>
    </xf>
    <xf numFmtId="41" fontId="33" fillId="29" borderId="0" xfId="95" applyNumberFormat="1" applyFont="1" applyFill="1" applyAlignment="1">
      <alignment horizontal="left" vertical="center"/>
    </xf>
    <xf numFmtId="14" fontId="33" fillId="0" borderId="0" xfId="0" applyNumberFormat="1" applyFont="1" applyAlignment="1">
      <alignment horizontal="center" vertical="center"/>
    </xf>
    <xf numFmtId="0" fontId="33" fillId="0" borderId="16" xfId="93" applyFont="1" applyBorder="1" applyAlignment="1">
      <alignment horizontal="center"/>
    </xf>
    <xf numFmtId="0" fontId="33" fillId="0" borderId="39" xfId="93" applyFont="1" applyBorder="1" applyAlignment="1">
      <alignment horizontal="center"/>
    </xf>
    <xf numFmtId="164" fontId="33" fillId="0" borderId="17" xfId="29" applyNumberFormat="1" applyFont="1" applyBorder="1"/>
    <xf numFmtId="164" fontId="33" fillId="0" borderId="16" xfId="93" applyNumberFormat="1" applyFont="1" applyBorder="1"/>
    <xf numFmtId="164" fontId="33" fillId="0" borderId="17" xfId="93" applyNumberFormat="1" applyFont="1" applyBorder="1"/>
    <xf numFmtId="164" fontId="39" fillId="0" borderId="0" xfId="54" applyNumberFormat="1" applyFont="1" applyAlignment="1">
      <alignment horizontal="center" vertical="center" wrapText="1"/>
    </xf>
    <xf numFmtId="164" fontId="33" fillId="0" borderId="0" xfId="29" applyNumberFormat="1" applyFont="1" applyAlignment="1">
      <alignment horizontal="center" vertical="center"/>
    </xf>
    <xf numFmtId="164" fontId="33" fillId="0" borderId="0" xfId="29" applyNumberFormat="1" applyFont="1" applyAlignment="1">
      <alignment vertical="center"/>
    </xf>
    <xf numFmtId="164" fontId="71" fillId="0" borderId="0" xfId="29" applyNumberFormat="1" applyFont="1" applyAlignment="1">
      <alignment vertical="center"/>
    </xf>
    <xf numFmtId="164" fontId="34" fillId="0" borderId="0" xfId="29" applyNumberFormat="1" applyFont="1" applyAlignment="1">
      <alignment horizontal="center" vertical="center"/>
    </xf>
    <xf numFmtId="164" fontId="34" fillId="0" borderId="0" xfId="54" applyNumberFormat="1" applyFont="1" applyAlignment="1">
      <alignment vertical="center" wrapText="1"/>
    </xf>
    <xf numFmtId="164" fontId="34" fillId="0" borderId="0" xfId="54" applyNumberFormat="1" applyFont="1" applyAlignment="1">
      <alignment horizontal="left" vertical="center" wrapText="1"/>
    </xf>
    <xf numFmtId="0" fontId="34" fillId="0" borderId="0" xfId="98" applyFont="1" applyAlignment="1">
      <alignment vertical="center"/>
    </xf>
    <xf numFmtId="0" fontId="39" fillId="0" borderId="0" xfId="98" applyFont="1" applyAlignment="1">
      <alignment vertical="center"/>
    </xf>
    <xf numFmtId="164" fontId="39" fillId="0" borderId="0" xfId="29" applyNumberFormat="1" applyFont="1" applyBorder="1" applyAlignment="1">
      <alignment vertical="center"/>
    </xf>
    <xf numFmtId="164" fontId="39" fillId="0" borderId="0" xfId="29" applyNumberFormat="1" applyFont="1" applyBorder="1" applyAlignment="1">
      <alignment horizontal="center" vertical="center"/>
    </xf>
    <xf numFmtId="0" fontId="34" fillId="0" borderId="21" xfId="97" applyFont="1" applyBorder="1" applyAlignment="1">
      <alignment vertical="center"/>
    </xf>
    <xf numFmtId="164" fontId="34" fillId="0" borderId="21" xfId="29" applyNumberFormat="1" applyFont="1" applyFill="1" applyBorder="1" applyAlignment="1">
      <alignment vertical="center"/>
    </xf>
    <xf numFmtId="0" fontId="39" fillId="0" borderId="2" xfId="98" applyFont="1" applyBorder="1" applyAlignment="1">
      <alignment vertical="center"/>
    </xf>
    <xf numFmtId="0" fontId="39" fillId="0" borderId="2" xfId="98" applyFont="1" applyBorder="1" applyAlignment="1">
      <alignment horizontal="center" vertical="center"/>
    </xf>
    <xf numFmtId="0" fontId="39" fillId="0" borderId="0" xfId="98" applyFont="1" applyBorder="1" applyAlignment="1">
      <alignment vertical="center"/>
    </xf>
    <xf numFmtId="0" fontId="39" fillId="0" borderId="0" xfId="98" applyFont="1" applyBorder="1" applyAlignment="1">
      <alignment horizontal="center" vertical="center"/>
    </xf>
    <xf numFmtId="0" fontId="34" fillId="0" borderId="0" xfId="98" applyFont="1" applyBorder="1" applyAlignment="1">
      <alignment vertical="center"/>
    </xf>
    <xf numFmtId="164" fontId="34" fillId="0" borderId="0" xfId="29" applyNumberFormat="1" applyFont="1" applyFill="1" applyBorder="1" applyAlignment="1">
      <alignment vertical="center"/>
    </xf>
    <xf numFmtId="0" fontId="34" fillId="0" borderId="0" xfId="98" applyFont="1" applyBorder="1" applyAlignment="1">
      <alignment horizontal="left" vertical="center"/>
    </xf>
    <xf numFmtId="0" fontId="34" fillId="0" borderId="0" xfId="98" applyFont="1" applyAlignment="1">
      <alignment horizontal="center" vertical="center"/>
    </xf>
    <xf numFmtId="164" fontId="34" fillId="0" borderId="0" xfId="29" applyNumberFormat="1" applyFont="1" applyBorder="1" applyAlignment="1">
      <alignment horizontal="left" vertical="center"/>
    </xf>
    <xf numFmtId="43" fontId="39" fillId="0" borderId="0" xfId="29" applyFont="1" applyBorder="1" applyAlignment="1">
      <alignment horizontal="center" vertical="center"/>
    </xf>
    <xf numFmtId="43" fontId="34" fillId="0" borderId="22" xfId="29" applyFont="1" applyBorder="1" applyAlignment="1">
      <alignment horizontal="center" vertical="center"/>
    </xf>
    <xf numFmtId="164" fontId="34" fillId="0" borderId="0" xfId="29" applyNumberFormat="1" applyFont="1" applyBorder="1" applyAlignment="1">
      <alignment horizontal="center" vertical="center"/>
    </xf>
    <xf numFmtId="43" fontId="34" fillId="0" borderId="0" xfId="29" applyFont="1" applyFill="1" applyBorder="1" applyAlignment="1">
      <alignment horizontal="left" vertical="center"/>
    </xf>
    <xf numFmtId="14" fontId="34" fillId="0" borderId="21" xfId="29" applyNumberFormat="1" applyFont="1" applyBorder="1" applyAlignment="1">
      <alignment horizontal="center" vertical="center"/>
    </xf>
    <xf numFmtId="14" fontId="34" fillId="0" borderId="16" xfId="29" applyNumberFormat="1" applyFont="1" applyBorder="1" applyAlignment="1">
      <alignment horizontal="center" vertical="center"/>
    </xf>
    <xf numFmtId="164" fontId="34" fillId="0" borderId="39" xfId="29" applyNumberFormat="1" applyFont="1" applyBorder="1" applyAlignment="1">
      <alignment horizontal="left" vertical="center"/>
    </xf>
    <xf numFmtId="0" fontId="79" fillId="0" borderId="0" xfId="98" applyFont="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43" fontId="34" fillId="0" borderId="0" xfId="29" applyFont="1" applyBorder="1" applyAlignment="1">
      <alignment horizontal="center" vertical="center"/>
    </xf>
    <xf numFmtId="3" fontId="34" fillId="0" borderId="0" xfId="98" applyNumberFormat="1" applyFont="1" applyBorder="1" applyAlignment="1">
      <alignment vertical="center"/>
    </xf>
    <xf numFmtId="164" fontId="34" fillId="0" borderId="0" xfId="98" applyNumberFormat="1" applyFont="1" applyAlignment="1">
      <alignment vertical="center"/>
    </xf>
    <xf numFmtId="0" fontId="79" fillId="0" borderId="19" xfId="98" applyFont="1" applyFill="1" applyBorder="1" applyAlignment="1">
      <alignment vertical="center"/>
    </xf>
    <xf numFmtId="164" fontId="79" fillId="29" borderId="19" xfId="29" applyNumberFormat="1" applyFont="1" applyFill="1" applyBorder="1" applyAlignment="1">
      <alignment horizontal="right" vertical="center"/>
    </xf>
    <xf numFmtId="164" fontId="79" fillId="0" borderId="19" xfId="29" applyNumberFormat="1" applyFont="1" applyBorder="1" applyAlignment="1">
      <alignment vertical="center"/>
    </xf>
    <xf numFmtId="164" fontId="79" fillId="0" borderId="19" xfId="29" applyNumberFormat="1" applyFont="1" applyFill="1" applyBorder="1" applyAlignment="1">
      <alignment vertical="center"/>
    </xf>
    <xf numFmtId="0" fontId="34" fillId="0" borderId="16" xfId="98" quotePrefix="1" applyFont="1" applyFill="1" applyBorder="1" applyAlignment="1">
      <alignment vertical="center"/>
    </xf>
    <xf numFmtId="43" fontId="79" fillId="0" borderId="19" xfId="29" applyFont="1" applyFill="1" applyBorder="1" applyAlignment="1">
      <alignment vertical="center"/>
    </xf>
    <xf numFmtId="164" fontId="34" fillId="0" borderId="12" xfId="29" applyNumberFormat="1" applyFont="1" applyBorder="1" applyAlignment="1">
      <alignment horizontal="center" vertical="center"/>
    </xf>
    <xf numFmtId="164" fontId="34" fillId="0" borderId="12" xfId="29" applyNumberFormat="1" applyFont="1" applyFill="1" applyBorder="1" applyAlignment="1">
      <alignment horizontal="center" vertical="center"/>
    </xf>
    <xf numFmtId="0" fontId="34" fillId="0" borderId="16" xfId="97" applyFont="1" applyBorder="1" applyAlignment="1">
      <alignment vertical="center"/>
    </xf>
    <xf numFmtId="0" fontId="34" fillId="0" borderId="16" xfId="97" applyFont="1" applyBorder="1" applyAlignment="1">
      <alignment horizontal="center" vertical="center"/>
    </xf>
    <xf numFmtId="164" fontId="34" fillId="0" borderId="22" xfId="29" applyNumberFormat="1" applyFont="1" applyBorder="1" applyAlignment="1">
      <alignment horizontal="center" vertical="center"/>
    </xf>
    <xf numFmtId="164" fontId="34" fillId="0" borderId="20"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4" fillId="0" borderId="39" xfId="29" applyNumberFormat="1" applyFont="1" applyBorder="1" applyAlignment="1">
      <alignment horizontal="center" vertical="center"/>
    </xf>
    <xf numFmtId="164" fontId="34" fillId="0" borderId="21" xfId="29" applyNumberFormat="1" applyFont="1" applyBorder="1" applyAlignment="1">
      <alignment horizontal="center" vertical="center"/>
    </xf>
    <xf numFmtId="0" fontId="36" fillId="0" borderId="0" xfId="0" applyFont="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164" fontId="34" fillId="0" borderId="22" xfId="29" applyNumberFormat="1" applyFont="1" applyBorder="1" applyAlignment="1">
      <alignment vertical="center"/>
    </xf>
    <xf numFmtId="164" fontId="33" fillId="0" borderId="16" xfId="29" applyNumberFormat="1" applyFont="1" applyBorder="1" applyAlignment="1">
      <alignment horizontal="left" vertical="center"/>
    </xf>
    <xf numFmtId="43" fontId="34" fillId="0" borderId="16" xfId="29" applyFont="1" applyFill="1" applyBorder="1" applyAlignment="1">
      <alignment horizontal="left" vertical="center"/>
    </xf>
    <xf numFmtId="173" fontId="34" fillId="0" borderId="0" xfId="29" applyNumberFormat="1" applyFont="1" applyAlignment="1">
      <alignment vertical="center"/>
    </xf>
    <xf numFmtId="173" fontId="34" fillId="0" borderId="22" xfId="29" applyNumberFormat="1" applyFont="1" applyBorder="1" applyAlignment="1">
      <alignment vertical="center"/>
    </xf>
    <xf numFmtId="173" fontId="39" fillId="0" borderId="2" xfId="29" applyNumberFormat="1" applyFont="1" applyBorder="1" applyAlignment="1">
      <alignment horizontal="center" vertical="center" wrapText="1"/>
    </xf>
    <xf numFmtId="173" fontId="34" fillId="0" borderId="16" xfId="29" applyNumberFormat="1" applyFont="1" applyBorder="1" applyAlignment="1">
      <alignment horizontal="center" vertical="center"/>
    </xf>
    <xf numFmtId="173" fontId="34" fillId="0" borderId="39" xfId="29" applyNumberFormat="1" applyFont="1" applyBorder="1" applyAlignment="1">
      <alignment horizontal="center" vertical="center"/>
    </xf>
    <xf numFmtId="173" fontId="34" fillId="0" borderId="2" xfId="29" applyNumberFormat="1" applyFont="1" applyBorder="1" applyAlignment="1">
      <alignment vertical="center"/>
    </xf>
    <xf numFmtId="173" fontId="34" fillId="0" borderId="0" xfId="29" applyNumberFormat="1" applyFont="1" applyBorder="1" applyAlignment="1">
      <alignment horizontal="center" vertical="center"/>
    </xf>
    <xf numFmtId="173" fontId="34" fillId="0" borderId="16" xfId="29" applyNumberFormat="1" applyFont="1" applyFill="1" applyBorder="1" applyAlignment="1">
      <alignment horizontal="left" vertical="center"/>
    </xf>
    <xf numFmtId="173" fontId="34" fillId="0" borderId="20" xfId="29" applyNumberFormat="1" applyFont="1" applyBorder="1" applyAlignment="1">
      <alignment vertical="center"/>
    </xf>
    <xf numFmtId="164" fontId="34" fillId="0" borderId="16" xfId="29" applyNumberFormat="1" applyFont="1" applyFill="1" applyBorder="1" applyAlignment="1">
      <alignment horizontal="center" vertical="center"/>
    </xf>
    <xf numFmtId="0" fontId="39" fillId="0" borderId="2" xfId="98" applyFont="1" applyBorder="1" applyAlignment="1">
      <alignment vertical="center" wrapText="1"/>
    </xf>
    <xf numFmtId="0" fontId="34" fillId="0" borderId="12" xfId="97" applyFont="1" applyBorder="1" applyAlignment="1">
      <alignment vertical="center"/>
    </xf>
    <xf numFmtId="43" fontId="34" fillId="0" borderId="21" xfId="29" applyFont="1" applyBorder="1" applyAlignment="1">
      <alignment horizontal="center" vertical="center"/>
    </xf>
    <xf numFmtId="49" fontId="3" fillId="0" borderId="0" xfId="0" applyNumberFormat="1" applyFont="1" applyFill="1" applyAlignment="1"/>
    <xf numFmtId="0" fontId="3" fillId="0" borderId="0" xfId="0" applyNumberFormat="1" applyFont="1" applyFill="1" applyAlignment="1"/>
    <xf numFmtId="164" fontId="34" fillId="0" borderId="21" xfId="90" applyNumberFormat="1" applyFont="1" applyFill="1" applyBorder="1" applyAlignment="1">
      <alignment horizontal="left" vertical="center"/>
    </xf>
    <xf numFmtId="0" fontId="59" fillId="0" borderId="0" xfId="87" applyFont="1" applyFill="1" applyAlignment="1">
      <alignment horizontal="center" vertical="center"/>
    </xf>
    <xf numFmtId="0" fontId="60" fillId="0" borderId="0" xfId="87" applyFont="1" applyFill="1" applyAlignment="1">
      <alignment horizontal="center" vertical="center"/>
    </xf>
    <xf numFmtId="0" fontId="34" fillId="0" borderId="0" xfId="76" quotePrefix="1" applyNumberFormat="1" applyFont="1" applyFill="1" applyBorder="1" applyAlignment="1">
      <alignment horizontal="center" vertical="center" wrapText="1"/>
    </xf>
    <xf numFmtId="0" fontId="34" fillId="0" borderId="0" xfId="0" applyFont="1" applyFill="1" applyBorder="1" applyAlignment="1">
      <alignment horizontal="center"/>
    </xf>
    <xf numFmtId="0" fontId="43" fillId="0" borderId="0" xfId="76" quotePrefix="1" applyNumberFormat="1" applyFont="1" applyFill="1" applyBorder="1" applyAlignment="1">
      <alignment horizontal="center" vertical="center"/>
    </xf>
    <xf numFmtId="0" fontId="33" fillId="0" borderId="0" xfId="85" applyFont="1" applyBorder="1" applyAlignment="1">
      <alignment vertical="center"/>
    </xf>
    <xf numFmtId="0" fontId="33" fillId="0" borderId="0" xfId="85" applyFont="1" applyAlignment="1">
      <alignment vertical="center"/>
    </xf>
    <xf numFmtId="164" fontId="87" fillId="0" borderId="0" xfId="77" applyNumberFormat="1" applyFont="1" applyBorder="1" applyAlignment="1" applyProtection="1">
      <alignment vertical="center"/>
      <protection hidden="1"/>
    </xf>
    <xf numFmtId="0" fontId="33" fillId="0" borderId="2" xfId="85" applyFont="1" applyBorder="1" applyAlignment="1">
      <alignment horizontal="center" vertical="center" wrapText="1"/>
    </xf>
    <xf numFmtId="0" fontId="33" fillId="0" borderId="2" xfId="76" applyNumberFormat="1" applyFont="1" applyFill="1" applyBorder="1" applyAlignment="1">
      <alignment horizontal="center" vertical="center" wrapText="1"/>
    </xf>
    <xf numFmtId="0" fontId="33" fillId="0" borderId="17" xfId="85" applyFont="1" applyBorder="1" applyAlignment="1">
      <alignment vertical="center"/>
    </xf>
    <xf numFmtId="0" fontId="33" fillId="0" borderId="17" xfId="85" quotePrefix="1" applyFont="1" applyBorder="1" applyAlignment="1">
      <alignment vertical="center"/>
    </xf>
    <xf numFmtId="0" fontId="33" fillId="0" borderId="12" xfId="85" applyFont="1" applyBorder="1" applyAlignment="1">
      <alignment vertical="center"/>
    </xf>
    <xf numFmtId="164" fontId="33" fillId="0" borderId="17" xfId="29" applyNumberFormat="1" applyFont="1" applyBorder="1" applyAlignment="1">
      <alignment vertical="center"/>
    </xf>
    <xf numFmtId="14" fontId="33" fillId="0" borderId="16" xfId="85" applyNumberFormat="1" applyFont="1" applyBorder="1" applyAlignment="1">
      <alignment horizontal="center" vertical="center"/>
    </xf>
    <xf numFmtId="0" fontId="33" fillId="0" borderId="16" xfId="85" applyFont="1" applyBorder="1" applyAlignment="1">
      <alignment horizontal="center" vertical="center"/>
    </xf>
    <xf numFmtId="0" fontId="33" fillId="0" borderId="16" xfId="85" applyNumberFormat="1" applyFont="1" applyBorder="1" applyAlignment="1">
      <alignment horizontal="left" vertical="center"/>
    </xf>
    <xf numFmtId="0" fontId="33" fillId="0" borderId="16" xfId="85" applyNumberFormat="1" applyFont="1" applyBorder="1" applyAlignment="1">
      <alignment horizontal="center" vertical="center"/>
    </xf>
    <xf numFmtId="0" fontId="33" fillId="0" borderId="2" xfId="85" applyFont="1" applyBorder="1" applyAlignment="1">
      <alignment vertical="center"/>
    </xf>
    <xf numFmtId="0" fontId="33" fillId="0" borderId="2" xfId="85" quotePrefix="1" applyFont="1" applyBorder="1" applyAlignment="1">
      <alignment vertical="center"/>
    </xf>
    <xf numFmtId="0" fontId="33" fillId="0" borderId="2" xfId="85" applyFont="1" applyBorder="1" applyAlignment="1">
      <alignment horizontal="center" vertical="center"/>
    </xf>
    <xf numFmtId="164" fontId="33" fillId="0" borderId="2" xfId="29" applyNumberFormat="1" applyFont="1" applyBorder="1" applyAlignment="1">
      <alignment vertical="center"/>
    </xf>
    <xf numFmtId="0" fontId="33" fillId="0" borderId="0" xfId="85" quotePrefix="1" applyFont="1" applyAlignment="1">
      <alignment vertical="center"/>
    </xf>
    <xf numFmtId="0" fontId="33" fillId="0" borderId="0" xfId="85" applyFont="1" applyAlignment="1">
      <alignment horizontal="center" vertical="center"/>
    </xf>
    <xf numFmtId="41" fontId="39" fillId="29" borderId="0" xfId="95" applyNumberFormat="1" applyFont="1" applyFill="1" applyAlignment="1">
      <alignment vertical="center"/>
    </xf>
    <xf numFmtId="41" fontId="34" fillId="29" borderId="0" xfId="95" applyNumberFormat="1" applyFont="1" applyFill="1" applyAlignment="1">
      <alignment vertical="center"/>
    </xf>
    <xf numFmtId="0" fontId="34" fillId="0" borderId="0" xfId="97" applyFont="1" applyAlignment="1" applyProtection="1">
      <protection hidden="1"/>
    </xf>
    <xf numFmtId="0" fontId="34" fillId="0" borderId="0" xfId="97" applyFont="1" applyAlignment="1" applyProtection="1">
      <alignment horizontal="center"/>
      <protection hidden="1"/>
    </xf>
    <xf numFmtId="14" fontId="33" fillId="0" borderId="16" xfId="93" applyNumberFormat="1" applyFont="1" applyBorder="1" applyAlignment="1">
      <alignment horizontal="center"/>
    </xf>
    <xf numFmtId="0" fontId="33" fillId="0" borderId="12" xfId="93" applyFont="1" applyBorder="1" applyAlignment="1">
      <alignment horizontal="center"/>
    </xf>
    <xf numFmtId="0" fontId="34" fillId="0" borderId="0" xfId="76" quotePrefix="1" applyNumberFormat="1" applyFont="1" applyFill="1" applyBorder="1" applyAlignment="1">
      <alignment horizontal="center" vertical="center"/>
    </xf>
    <xf numFmtId="0" fontId="43" fillId="0" borderId="16" xfId="0" applyFont="1" applyFill="1" applyBorder="1" applyAlignment="1">
      <alignment horizont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9" fillId="0" borderId="0" xfId="76" applyFont="1" applyFill="1" applyAlignment="1">
      <alignment horizontal="center" vertical="center"/>
    </xf>
    <xf numFmtId="164" fontId="43" fillId="0" borderId="16" xfId="76" applyNumberFormat="1" applyFont="1" applyFill="1" applyBorder="1" applyAlignment="1">
      <alignment horizontal="center" vertical="center"/>
    </xf>
    <xf numFmtId="164" fontId="34" fillId="0" borderId="16" xfId="90" quotePrefix="1" applyNumberFormat="1" applyFont="1" applyFill="1" applyBorder="1" applyAlignment="1">
      <alignment horizontal="center" vertical="center"/>
    </xf>
    <xf numFmtId="164" fontId="34" fillId="0" borderId="16" xfId="0"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center" vertical="center"/>
    </xf>
    <xf numFmtId="164" fontId="34" fillId="0" borderId="16" xfId="76" applyNumberFormat="1" applyFont="1" applyFill="1" applyBorder="1" applyAlignment="1">
      <alignment horizontal="center" vertical="center"/>
    </xf>
    <xf numFmtId="164" fontId="34" fillId="0" borderId="16" xfId="0" applyNumberFormat="1" applyFont="1" applyFill="1" applyBorder="1" applyAlignment="1">
      <alignment horizontal="center" vertical="center"/>
    </xf>
    <xf numFmtId="0" fontId="3" fillId="0" borderId="0" xfId="0" applyFont="1" applyFill="1" applyAlignment="1">
      <alignment horizontal="center"/>
    </xf>
    <xf numFmtId="14" fontId="34" fillId="0" borderId="16" xfId="90" quotePrefix="1" applyNumberFormat="1" applyFont="1" applyFill="1" applyBorder="1" applyAlignment="1">
      <alignment horizontal="center" vertical="center"/>
    </xf>
    <xf numFmtId="164" fontId="92" fillId="0" borderId="16" xfId="0" applyNumberFormat="1" applyFont="1" applyFill="1" applyBorder="1" applyAlignment="1">
      <alignment vertical="center"/>
    </xf>
    <xf numFmtId="1" fontId="92" fillId="0" borderId="16" xfId="54" quotePrefix="1" applyNumberFormat="1" applyFont="1" applyFill="1" applyBorder="1" applyAlignment="1">
      <alignment horizontal="center" vertical="center"/>
    </xf>
    <xf numFmtId="0" fontId="92" fillId="0" borderId="16" xfId="77" applyNumberFormat="1" applyFont="1" applyFill="1" applyBorder="1" applyAlignment="1">
      <alignment horizontal="center" vertical="center"/>
    </xf>
    <xf numFmtId="14" fontId="92" fillId="0" borderId="16" xfId="90" applyNumberFormat="1" applyFont="1" applyFill="1" applyBorder="1" applyAlignment="1">
      <alignment horizontal="center" vertical="center"/>
    </xf>
    <xf numFmtId="164" fontId="92" fillId="0" borderId="16" xfId="90" applyNumberFormat="1" applyFont="1" applyFill="1" applyBorder="1" applyAlignment="1">
      <alignment horizontal="left" vertical="center"/>
    </xf>
    <xf numFmtId="164" fontId="92" fillId="0" borderId="16" xfId="90" quotePrefix="1" applyNumberFormat="1" applyFont="1" applyFill="1" applyBorder="1" applyAlignment="1">
      <alignment horizontal="center" vertical="center"/>
    </xf>
    <xf numFmtId="49" fontId="92" fillId="0" borderId="16" xfId="90" applyNumberFormat="1" applyFont="1" applyFill="1" applyBorder="1" applyAlignment="1">
      <alignment horizontal="left" vertical="center"/>
    </xf>
    <xf numFmtId="164" fontId="92" fillId="0" borderId="16" xfId="29" applyNumberFormat="1" applyFont="1" applyFill="1" applyBorder="1" applyAlignment="1">
      <alignment horizontal="left" vertical="center"/>
    </xf>
    <xf numFmtId="0" fontId="92" fillId="0" borderId="0" xfId="76" quotePrefix="1" applyNumberFormat="1" applyFont="1" applyFill="1" applyBorder="1" applyAlignment="1">
      <alignment horizontal="center" vertical="center"/>
    </xf>
    <xf numFmtId="0" fontId="93" fillId="0" borderId="0" xfId="0" applyFont="1" applyFill="1" applyAlignment="1"/>
    <xf numFmtId="0" fontId="93" fillId="0" borderId="0" xfId="0" applyFont="1" applyFill="1"/>
    <xf numFmtId="164" fontId="92" fillId="0" borderId="16" xfId="54" quotePrefix="1" applyNumberFormat="1" applyFont="1" applyFill="1" applyBorder="1" applyAlignment="1">
      <alignment horizontal="center" vertical="center"/>
    </xf>
    <xf numFmtId="14" fontId="43" fillId="0" borderId="16" xfId="90" applyNumberFormat="1" applyFont="1" applyFill="1" applyBorder="1" applyAlignment="1">
      <alignment horizontal="center" vertical="center"/>
    </xf>
    <xf numFmtId="164" fontId="43" fillId="0" borderId="16" xfId="90" applyNumberFormat="1" applyFont="1" applyFill="1" applyBorder="1" applyAlignment="1">
      <alignment horizontal="left" vertical="center"/>
    </xf>
    <xf numFmtId="164" fontId="43" fillId="0" borderId="16" xfId="90" quotePrefix="1" applyNumberFormat="1" applyFont="1" applyFill="1" applyBorder="1" applyAlignment="1">
      <alignment horizontal="center" vertical="center"/>
    </xf>
    <xf numFmtId="3" fontId="43" fillId="0" borderId="16" xfId="46" applyFont="1" applyBorder="1" applyAlignment="1">
      <alignment vertical="center"/>
    </xf>
    <xf numFmtId="164" fontId="43" fillId="0" borderId="16" xfId="0" applyNumberFormat="1" applyFont="1" applyFill="1" applyBorder="1" applyAlignment="1">
      <alignment vertical="center"/>
    </xf>
    <xf numFmtId="0" fontId="43" fillId="0" borderId="16" xfId="90" quotePrefix="1" applyNumberFormat="1" applyFont="1" applyFill="1" applyBorder="1" applyAlignment="1">
      <alignment horizontal="center" vertical="center"/>
    </xf>
    <xf numFmtId="164" fontId="43" fillId="0" borderId="16" xfId="54" applyNumberFormat="1" applyFont="1" applyFill="1" applyBorder="1" applyAlignment="1">
      <alignment horizontal="left" vertical="center"/>
    </xf>
    <xf numFmtId="43" fontId="0" fillId="0" borderId="0" xfId="29" applyFont="1"/>
    <xf numFmtId="164" fontId="92" fillId="0" borderId="0" xfId="29" applyNumberFormat="1" applyFont="1" applyFill="1"/>
    <xf numFmtId="43" fontId="92" fillId="0" borderId="0" xfId="29" applyNumberFormat="1" applyFont="1" applyFill="1"/>
    <xf numFmtId="164" fontId="92" fillId="0" borderId="0" xfId="0" applyNumberFormat="1" applyFont="1" applyFill="1" applyBorder="1" applyAlignment="1">
      <alignment vertical="center"/>
    </xf>
    <xf numFmtId="0" fontId="3" fillId="0" borderId="0" xfId="0" applyFont="1"/>
    <xf numFmtId="14" fontId="43" fillId="0" borderId="16" xfId="29" applyNumberFormat="1" applyFont="1" applyBorder="1" applyAlignment="1">
      <alignment horizontal="center" vertical="center"/>
    </xf>
    <xf numFmtId="0" fontId="43" fillId="0" borderId="16" xfId="0" applyFont="1" applyBorder="1" applyAlignment="1">
      <alignment vertical="center"/>
    </xf>
    <xf numFmtId="43" fontId="43" fillId="0" borderId="16" xfId="29" applyFont="1" applyFill="1" applyBorder="1" applyAlignment="1">
      <alignment horizontal="left" vertical="center"/>
    </xf>
    <xf numFmtId="14" fontId="43" fillId="0" borderId="16" xfId="54" applyNumberFormat="1" applyFont="1" applyFill="1" applyBorder="1" applyAlignment="1">
      <alignment horizontal="center" vertical="center"/>
    </xf>
    <xf numFmtId="164" fontId="43" fillId="0" borderId="16" xfId="0" applyNumberFormat="1" applyFont="1" applyFill="1" applyBorder="1" applyAlignment="1">
      <alignment horizontal="center" vertical="center"/>
    </xf>
    <xf numFmtId="14" fontId="92" fillId="0" borderId="16" xfId="76" applyNumberFormat="1" applyFont="1" applyFill="1" applyBorder="1" applyAlignment="1">
      <alignment horizontal="center" vertical="center"/>
    </xf>
    <xf numFmtId="14" fontId="92" fillId="0" borderId="16" xfId="54" applyNumberFormat="1" applyFont="1" applyFill="1" applyBorder="1" applyAlignment="1">
      <alignment horizontal="center" vertical="center"/>
    </xf>
    <xf numFmtId="164" fontId="43" fillId="0" borderId="16" xfId="54" quotePrefix="1" applyNumberFormat="1" applyFont="1" applyFill="1" applyBorder="1" applyAlignment="1">
      <alignment horizontal="center" vertical="center"/>
    </xf>
    <xf numFmtId="164" fontId="43" fillId="0" borderId="16" xfId="29" applyNumberFormat="1" applyFont="1" applyFill="1" applyBorder="1" applyAlignment="1">
      <alignment vertical="center"/>
    </xf>
    <xf numFmtId="1" fontId="43" fillId="0" borderId="16" xfId="54" quotePrefix="1" applyNumberFormat="1" applyFont="1" applyFill="1" applyBorder="1" applyAlignment="1">
      <alignment horizontal="center" vertical="center"/>
    </xf>
    <xf numFmtId="0" fontId="34" fillId="0" borderId="21" xfId="93" applyFont="1" applyBorder="1" applyAlignment="1">
      <alignment horizontal="center" vertical="center"/>
    </xf>
    <xf numFmtId="14" fontId="94" fillId="0" borderId="16" xfId="90" applyNumberFormat="1" applyFont="1" applyFill="1" applyBorder="1" applyAlignment="1">
      <alignment horizontal="center" vertical="center"/>
    </xf>
    <xf numFmtId="164" fontId="94" fillId="0" borderId="16" xfId="90" applyNumberFormat="1" applyFont="1" applyFill="1" applyBorder="1" applyAlignment="1">
      <alignment horizontal="left" vertical="center"/>
    </xf>
    <xf numFmtId="164" fontId="94" fillId="0" borderId="16" xfId="54" quotePrefix="1" applyNumberFormat="1" applyFont="1" applyFill="1" applyBorder="1" applyAlignment="1">
      <alignment horizontal="center" vertical="center"/>
    </xf>
    <xf numFmtId="49" fontId="94" fillId="0" borderId="16" xfId="90" applyNumberFormat="1" applyFont="1" applyFill="1" applyBorder="1" applyAlignment="1">
      <alignment horizontal="left" vertical="center"/>
    </xf>
    <xf numFmtId="164" fontId="94" fillId="0" borderId="16" xfId="29" applyNumberFormat="1" applyFont="1" applyFill="1" applyBorder="1" applyAlignment="1">
      <alignment horizontal="left" vertical="center"/>
    </xf>
    <xf numFmtId="164" fontId="94" fillId="0" borderId="16" xfId="0" applyNumberFormat="1" applyFont="1" applyFill="1" applyBorder="1" applyAlignment="1">
      <alignment vertical="center"/>
    </xf>
    <xf numFmtId="1" fontId="94" fillId="0" borderId="16" xfId="54" quotePrefix="1" applyNumberFormat="1" applyFont="1" applyFill="1" applyBorder="1" applyAlignment="1">
      <alignment horizontal="center" vertical="center"/>
    </xf>
    <xf numFmtId="0" fontId="34" fillId="0" borderId="0" xfId="90" quotePrefix="1" applyNumberFormat="1" applyFont="1" applyFill="1" applyBorder="1" applyAlignment="1">
      <alignment horizontal="center" vertical="center"/>
    </xf>
    <xf numFmtId="14" fontId="94" fillId="0" borderId="16" xfId="54" applyNumberFormat="1" applyFont="1" applyFill="1" applyBorder="1" applyAlignment="1">
      <alignment horizontal="center" vertical="center"/>
    </xf>
    <xf numFmtId="164" fontId="34" fillId="0" borderId="0" xfId="29" applyNumberFormat="1" applyFont="1" applyFill="1" applyBorder="1" applyAlignment="1">
      <alignment horizontal="center" vertical="center"/>
    </xf>
    <xf numFmtId="164" fontId="34" fillId="0" borderId="16" xfId="29" applyNumberFormat="1" applyFont="1" applyBorder="1" applyAlignment="1">
      <alignment horizontal="center" vertical="center"/>
    </xf>
    <xf numFmtId="164" fontId="34" fillId="0" borderId="12" xfId="29" applyNumberFormat="1" applyFont="1" applyBorder="1" applyAlignment="1">
      <alignment vertical="center"/>
    </xf>
    <xf numFmtId="164" fontId="34" fillId="0" borderId="12" xfId="29" applyNumberFormat="1" applyFont="1" applyFill="1" applyBorder="1" applyAlignment="1">
      <alignment vertical="center"/>
    </xf>
    <xf numFmtId="164" fontId="34" fillId="0" borderId="19" xfId="29" applyNumberFormat="1" applyFont="1" applyBorder="1" applyAlignment="1">
      <alignment vertical="center"/>
    </xf>
    <xf numFmtId="164" fontId="34" fillId="0" borderId="12"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0" fontId="34" fillId="0" borderId="16" xfId="97" applyFont="1" applyBorder="1" applyAlignment="1">
      <alignment horizontal="right" vertical="center"/>
    </xf>
    <xf numFmtId="14" fontId="95" fillId="0" borderId="16" xfId="90" applyNumberFormat="1" applyFont="1" applyFill="1" applyBorder="1" applyAlignment="1">
      <alignment horizontal="center" vertical="center"/>
    </xf>
    <xf numFmtId="0" fontId="95" fillId="0" borderId="16" xfId="0" applyFont="1" applyBorder="1" applyAlignment="1">
      <alignment vertical="center"/>
    </xf>
    <xf numFmtId="164" fontId="95" fillId="0" borderId="16" xfId="54" quotePrefix="1" applyNumberFormat="1" applyFont="1" applyFill="1" applyBorder="1" applyAlignment="1">
      <alignment horizontal="center" vertical="center"/>
    </xf>
    <xf numFmtId="49" fontId="95" fillId="0" borderId="16" xfId="90" applyNumberFormat="1" applyFont="1" applyFill="1" applyBorder="1" applyAlignment="1">
      <alignment horizontal="left" vertical="center"/>
    </xf>
    <xf numFmtId="164" fontId="95" fillId="0" borderId="16" xfId="29" applyNumberFormat="1" applyFont="1" applyFill="1" applyBorder="1" applyAlignment="1">
      <alignment horizontal="left" vertical="center"/>
    </xf>
    <xf numFmtId="164" fontId="95" fillId="0" borderId="16" xfId="0" applyNumberFormat="1" applyFont="1" applyFill="1" applyBorder="1" applyAlignment="1">
      <alignment vertical="center"/>
    </xf>
    <xf numFmtId="0" fontId="95" fillId="0" borderId="16" xfId="90" quotePrefix="1" applyNumberFormat="1" applyFont="1" applyFill="1" applyBorder="1" applyAlignment="1">
      <alignment horizontal="center" vertical="center"/>
    </xf>
    <xf numFmtId="164" fontId="95" fillId="0" borderId="16" xfId="90" applyNumberFormat="1" applyFont="1" applyFill="1" applyBorder="1" applyAlignment="1">
      <alignment horizontal="left" vertical="center"/>
    </xf>
    <xf numFmtId="0" fontId="95" fillId="0" borderId="39" xfId="93" applyFont="1" applyBorder="1" applyAlignment="1">
      <alignment vertical="center"/>
    </xf>
    <xf numFmtId="14" fontId="95" fillId="0" borderId="16" xfId="76" applyNumberFormat="1" applyFont="1" applyFill="1" applyBorder="1" applyAlignment="1">
      <alignment horizontal="center" vertical="center"/>
    </xf>
    <xf numFmtId="164" fontId="95" fillId="0" borderId="16" xfId="54" applyNumberFormat="1" applyFont="1" applyFill="1" applyBorder="1" applyAlignment="1">
      <alignment horizontal="left" vertical="center"/>
    </xf>
    <xf numFmtId="164" fontId="95" fillId="0" borderId="16" xfId="76" applyNumberFormat="1" applyFont="1" applyFill="1" applyBorder="1" applyAlignment="1">
      <alignment horizontal="left" vertical="center"/>
    </xf>
    <xf numFmtId="164" fontId="95" fillId="0" borderId="16" xfId="76" applyNumberFormat="1" applyFont="1" applyFill="1" applyBorder="1" applyAlignment="1">
      <alignment horizontal="center" vertical="center"/>
    </xf>
    <xf numFmtId="164" fontId="95" fillId="0" borderId="16" xfId="90" quotePrefix="1" applyNumberFormat="1" applyFont="1" applyFill="1" applyBorder="1" applyAlignment="1">
      <alignment horizontal="center" vertical="center"/>
    </xf>
    <xf numFmtId="14" fontId="95" fillId="0" borderId="16" xfId="29" applyNumberFormat="1" applyFont="1" applyBorder="1" applyAlignment="1">
      <alignment horizontal="center" vertical="center"/>
    </xf>
    <xf numFmtId="14" fontId="96" fillId="0" borderId="16" xfId="76" applyNumberFormat="1" applyFont="1" applyFill="1" applyBorder="1" applyAlignment="1">
      <alignment horizontal="center" vertical="center"/>
    </xf>
    <xf numFmtId="164" fontId="96" fillId="0" borderId="16" xfId="76" applyNumberFormat="1" applyFont="1" applyFill="1" applyBorder="1" applyAlignment="1">
      <alignment horizontal="left" vertical="center"/>
    </xf>
    <xf numFmtId="164" fontId="96" fillId="0" borderId="16" xfId="76" applyNumberFormat="1" applyFont="1" applyFill="1" applyBorder="1" applyAlignment="1">
      <alignment horizontal="center" vertical="center"/>
    </xf>
    <xf numFmtId="3" fontId="96" fillId="0" borderId="16" xfId="46" applyFont="1" applyBorder="1" applyAlignment="1">
      <alignment vertical="center"/>
    </xf>
    <xf numFmtId="164" fontId="96" fillId="0" borderId="16" xfId="29" applyNumberFormat="1" applyFont="1" applyFill="1" applyBorder="1" applyAlignment="1">
      <alignment horizontal="left" vertical="center"/>
    </xf>
    <xf numFmtId="164" fontId="96" fillId="0" borderId="16" xfId="0" applyNumberFormat="1" applyFont="1" applyFill="1" applyBorder="1" applyAlignment="1">
      <alignment vertical="center"/>
    </xf>
    <xf numFmtId="0" fontId="96" fillId="0" borderId="16" xfId="76" quotePrefix="1" applyNumberFormat="1" applyFont="1" applyFill="1" applyBorder="1" applyAlignment="1">
      <alignment horizontal="center" vertical="center"/>
    </xf>
    <xf numFmtId="14" fontId="96" fillId="0" borderId="16" xfId="90" applyNumberFormat="1" applyFont="1" applyFill="1" applyBorder="1" applyAlignment="1">
      <alignment horizontal="center" vertical="center"/>
    </xf>
    <xf numFmtId="164" fontId="96" fillId="0" borderId="16" xfId="90" applyNumberFormat="1" applyFont="1" applyFill="1" applyBorder="1" applyAlignment="1">
      <alignment horizontal="left" vertical="center"/>
    </xf>
    <xf numFmtId="164" fontId="96" fillId="0" borderId="16" xfId="90" quotePrefix="1" applyNumberFormat="1" applyFont="1" applyFill="1" applyBorder="1" applyAlignment="1">
      <alignment horizontal="center" vertical="center"/>
    </xf>
    <xf numFmtId="164" fontId="95" fillId="0" borderId="16" xfId="0" applyNumberFormat="1" applyFont="1" applyFill="1" applyBorder="1" applyAlignment="1">
      <alignment horizontal="center" vertical="center"/>
    </xf>
    <xf numFmtId="14" fontId="95" fillId="0" borderId="16" xfId="54" applyNumberFormat="1" applyFont="1" applyFill="1" applyBorder="1" applyAlignment="1">
      <alignment horizontal="center" vertical="center"/>
    </xf>
    <xf numFmtId="0" fontId="96" fillId="0" borderId="16" xfId="0" applyFont="1" applyBorder="1" applyAlignment="1">
      <alignment vertical="center"/>
    </xf>
    <xf numFmtId="14" fontId="43" fillId="0" borderId="21" xfId="29" applyNumberFormat="1" applyFont="1" applyBorder="1" applyAlignment="1">
      <alignment horizontal="center" vertical="center"/>
    </xf>
    <xf numFmtId="164" fontId="43" fillId="0" borderId="21" xfId="29" applyNumberFormat="1" applyFont="1" applyFill="1" applyBorder="1" applyAlignment="1">
      <alignment vertical="center"/>
    </xf>
    <xf numFmtId="164" fontId="43" fillId="0" borderId="16" xfId="0" quotePrefix="1" applyNumberFormat="1" applyFont="1" applyFill="1" applyBorder="1" applyAlignment="1">
      <alignment horizontal="center" vertical="center"/>
    </xf>
    <xf numFmtId="14" fontId="97" fillId="0" borderId="16" xfId="90" applyNumberFormat="1" applyFont="1" applyFill="1" applyBorder="1" applyAlignment="1">
      <alignment horizontal="center" vertical="center"/>
    </xf>
    <xf numFmtId="0" fontId="97" fillId="0" borderId="16" xfId="0" applyFont="1" applyBorder="1" applyAlignment="1">
      <alignment vertical="center"/>
    </xf>
    <xf numFmtId="164" fontId="97" fillId="0" borderId="16" xfId="90" quotePrefix="1" applyNumberFormat="1" applyFont="1" applyFill="1" applyBorder="1" applyAlignment="1">
      <alignment horizontal="center" vertical="center"/>
    </xf>
    <xf numFmtId="164" fontId="97" fillId="0" borderId="16" xfId="29" applyNumberFormat="1" applyFont="1" applyFill="1" applyBorder="1" applyAlignment="1">
      <alignment vertical="center"/>
    </xf>
    <xf numFmtId="164" fontId="97" fillId="0" borderId="16" xfId="0" applyNumberFormat="1" applyFont="1" applyFill="1" applyBorder="1" applyAlignment="1">
      <alignment vertical="center"/>
    </xf>
    <xf numFmtId="0" fontId="97" fillId="0" borderId="16" xfId="76" quotePrefix="1" applyNumberFormat="1" applyFont="1" applyFill="1" applyBorder="1" applyAlignment="1">
      <alignment horizontal="center" vertical="center"/>
    </xf>
    <xf numFmtId="164" fontId="97" fillId="0" borderId="16" xfId="54" applyNumberFormat="1" applyFont="1" applyFill="1" applyBorder="1" applyAlignment="1">
      <alignment horizontal="left" vertical="center"/>
    </xf>
    <xf numFmtId="164" fontId="97" fillId="0" borderId="16" xfId="0" applyNumberFormat="1" applyFont="1" applyFill="1" applyBorder="1" applyAlignment="1">
      <alignment horizontal="center" vertical="center"/>
    </xf>
    <xf numFmtId="164" fontId="97" fillId="0" borderId="16" xfId="29" applyNumberFormat="1" applyFont="1" applyFill="1" applyBorder="1" applyAlignment="1">
      <alignment horizontal="left" vertical="center"/>
    </xf>
    <xf numFmtId="14" fontId="97" fillId="0" borderId="21" xfId="29" applyNumberFormat="1" applyFont="1" applyBorder="1" applyAlignment="1">
      <alignment horizontal="center" vertical="center"/>
    </xf>
    <xf numFmtId="164" fontId="97" fillId="0" borderId="21" xfId="29" applyNumberFormat="1" applyFont="1" applyFill="1" applyBorder="1" applyAlignment="1">
      <alignment vertical="center"/>
    </xf>
    <xf numFmtId="164" fontId="97" fillId="0" borderId="16" xfId="76" applyNumberFormat="1" applyFont="1" applyFill="1" applyBorder="1" applyAlignment="1">
      <alignment horizontal="center" vertical="center"/>
    </xf>
    <xf numFmtId="164" fontId="97" fillId="0" borderId="16" xfId="0" quotePrefix="1" applyNumberFormat="1" applyFont="1" applyFill="1" applyBorder="1" applyAlignment="1">
      <alignment horizontal="center" vertical="center"/>
    </xf>
    <xf numFmtId="49" fontId="43" fillId="32" borderId="16" xfId="90" applyNumberFormat="1" applyFont="1" applyFill="1" applyBorder="1" applyAlignment="1">
      <alignment horizontal="left" vertical="center"/>
    </xf>
    <xf numFmtId="0" fontId="43" fillId="0" borderId="0" xfId="90" quotePrefix="1" applyNumberFormat="1" applyFont="1" applyFill="1" applyBorder="1" applyAlignment="1">
      <alignment horizontal="center" vertical="center"/>
    </xf>
    <xf numFmtId="0" fontId="91" fillId="0" borderId="0" xfId="0" applyFont="1" applyFill="1"/>
    <xf numFmtId="164" fontId="34" fillId="0" borderId="16" xfId="90" applyNumberFormat="1" applyFont="1" applyFill="1" applyBorder="1" applyAlignment="1">
      <alignment horizontal="left" vertical="center"/>
    </xf>
    <xf numFmtId="164" fontId="92" fillId="0" borderId="16" xfId="54" applyNumberFormat="1" applyFont="1" applyFill="1" applyBorder="1" applyAlignment="1">
      <alignment horizontal="left" vertical="center"/>
    </xf>
    <xf numFmtId="164" fontId="92" fillId="0" borderId="16" xfId="77" applyNumberFormat="1" applyFont="1" applyFill="1" applyBorder="1" applyAlignment="1">
      <alignment vertical="center"/>
    </xf>
    <xf numFmtId="0" fontId="92" fillId="0" borderId="16" xfId="90" quotePrefix="1" applyNumberFormat="1" applyFont="1" applyFill="1" applyBorder="1" applyAlignment="1">
      <alignment horizontal="center" vertical="center"/>
    </xf>
    <xf numFmtId="3" fontId="92" fillId="0" borderId="16" xfId="46" applyFont="1" applyBorder="1" applyAlignment="1">
      <alignment vertical="center"/>
    </xf>
    <xf numFmtId="164" fontId="34" fillId="0" borderId="16"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0" fontId="67" fillId="0" borderId="0" xfId="85" applyFont="1" applyAlignment="1">
      <alignment horizontal="center" vertical="center"/>
    </xf>
    <xf numFmtId="164" fontId="34" fillId="0" borderId="16" xfId="90" applyNumberFormat="1" applyFont="1" applyFill="1" applyBorder="1" applyAlignment="1">
      <alignment horizontal="left" vertical="center"/>
    </xf>
    <xf numFmtId="14" fontId="33" fillId="0" borderId="0" xfId="85" applyNumberFormat="1" applyFont="1" applyAlignment="1">
      <alignment vertical="center"/>
    </xf>
    <xf numFmtId="164" fontId="33" fillId="0" borderId="0" xfId="82" applyNumberFormat="1" applyFont="1" applyAlignment="1">
      <alignment vertical="center"/>
    </xf>
    <xf numFmtId="0" fontId="36" fillId="0" borderId="2" xfId="85" applyFont="1" applyBorder="1" applyAlignment="1">
      <alignment horizontal="center" vertical="center"/>
    </xf>
    <xf numFmtId="0" fontId="33" fillId="0" borderId="0" xfId="85" applyFont="1" applyBorder="1" applyAlignment="1">
      <alignment horizontal="center" vertical="center"/>
    </xf>
    <xf numFmtId="0" fontId="36" fillId="0" borderId="2" xfId="85" applyFont="1" applyBorder="1" applyAlignment="1">
      <alignment horizontal="center" vertical="center" wrapText="1"/>
    </xf>
    <xf numFmtId="164" fontId="36" fillId="0" borderId="2" xfId="82" applyNumberFormat="1" applyFont="1" applyBorder="1" applyAlignment="1">
      <alignment horizontal="center" vertical="center"/>
    </xf>
    <xf numFmtId="14" fontId="36" fillId="0" borderId="2" xfId="85" quotePrefix="1" applyNumberFormat="1" applyFont="1" applyBorder="1" applyAlignment="1">
      <alignment horizontal="center" vertical="center"/>
    </xf>
    <xf numFmtId="164" fontId="36" fillId="0" borderId="2" xfId="82" quotePrefix="1" applyNumberFormat="1" applyFont="1" applyBorder="1" applyAlignment="1">
      <alignment horizontal="center" vertical="center"/>
    </xf>
    <xf numFmtId="0" fontId="33" fillId="0" borderId="54" xfId="85" applyFont="1" applyBorder="1" applyAlignment="1">
      <alignment horizontal="center" vertical="center"/>
    </xf>
    <xf numFmtId="174" fontId="33" fillId="0" borderId="21" xfId="85" applyNumberFormat="1" applyFont="1" applyBorder="1" applyAlignment="1">
      <alignment horizontal="center" vertical="center"/>
    </xf>
    <xf numFmtId="0" fontId="33" fillId="0" borderId="16" xfId="85" applyFont="1" applyBorder="1" applyAlignment="1">
      <alignment vertical="center"/>
    </xf>
    <xf numFmtId="0" fontId="33" fillId="0" borderId="21" xfId="85" applyNumberFormat="1" applyFont="1" applyBorder="1" applyAlignment="1">
      <alignment horizontal="center" vertical="center"/>
    </xf>
    <xf numFmtId="0" fontId="33" fillId="0" borderId="21" xfId="85" applyFont="1" applyBorder="1" applyAlignment="1">
      <alignment horizontal="center" vertical="center"/>
    </xf>
    <xf numFmtId="173" fontId="33" fillId="0" borderId="21" xfId="82" applyNumberFormat="1" applyFont="1" applyBorder="1" applyAlignment="1">
      <alignment horizontal="center" vertical="center"/>
    </xf>
    <xf numFmtId="164" fontId="33" fillId="0" borderId="21" xfId="82" applyNumberFormat="1" applyFont="1" applyBorder="1" applyAlignment="1">
      <alignment vertical="center"/>
    </xf>
    <xf numFmtId="0" fontId="33" fillId="0" borderId="55" xfId="85" applyFont="1" applyBorder="1" applyAlignment="1">
      <alignment vertical="center"/>
    </xf>
    <xf numFmtId="173" fontId="33" fillId="0" borderId="16" xfId="82" applyNumberFormat="1" applyFont="1" applyBorder="1" applyAlignment="1">
      <alignment horizontal="center" vertical="center"/>
    </xf>
    <xf numFmtId="164" fontId="33" fillId="0" borderId="16" xfId="82" applyNumberFormat="1" applyFont="1" applyBorder="1" applyAlignment="1">
      <alignment vertical="center"/>
    </xf>
    <xf numFmtId="0" fontId="99" fillId="0" borderId="16" xfId="85" applyFont="1" applyBorder="1" applyAlignment="1">
      <alignment vertical="center" wrapText="1"/>
    </xf>
    <xf numFmtId="174" fontId="33" fillId="0" borderId="16" xfId="85" applyNumberFormat="1" applyFont="1" applyBorder="1" applyAlignment="1">
      <alignment horizontal="center" vertical="center"/>
    </xf>
    <xf numFmtId="174" fontId="33" fillId="0" borderId="0" xfId="85" applyNumberFormat="1" applyFont="1" applyBorder="1" applyAlignment="1">
      <alignment horizontal="center" vertical="center"/>
    </xf>
    <xf numFmtId="173" fontId="33" fillId="0" borderId="0" xfId="82" applyNumberFormat="1" applyFont="1" applyBorder="1" applyAlignment="1">
      <alignment horizontal="center" vertical="center"/>
    </xf>
    <xf numFmtId="173" fontId="33" fillId="0" borderId="0" xfId="82" applyNumberFormat="1" applyFont="1" applyBorder="1" applyAlignment="1">
      <alignment vertical="center"/>
    </xf>
    <xf numFmtId="164" fontId="33" fillId="0" borderId="0" xfId="82" applyNumberFormat="1" applyFont="1" applyBorder="1" applyAlignment="1">
      <alignment vertical="center"/>
    </xf>
    <xf numFmtId="0" fontId="66" fillId="0" borderId="0" xfId="85" applyFont="1" applyBorder="1" applyAlignment="1">
      <alignment horizontal="center" vertical="center"/>
    </xf>
    <xf numFmtId="14" fontId="66" fillId="0" borderId="0" xfId="85" applyNumberFormat="1" applyFont="1" applyAlignment="1">
      <alignment vertical="center"/>
    </xf>
    <xf numFmtId="164" fontId="67" fillId="0" borderId="0" xfId="82" applyNumberFormat="1" applyFont="1" applyAlignment="1">
      <alignment vertical="center"/>
    </xf>
    <xf numFmtId="164" fontId="66" fillId="0" borderId="0" xfId="82" applyNumberFormat="1" applyFont="1" applyAlignment="1">
      <alignment vertical="center"/>
    </xf>
    <xf numFmtId="164" fontId="66" fillId="0" borderId="0" xfId="85" applyNumberFormat="1" applyFont="1" applyAlignment="1">
      <alignment vertical="center"/>
    </xf>
    <xf numFmtId="164" fontId="51" fillId="0" borderId="0" xfId="82" applyNumberFormat="1" applyFont="1" applyAlignment="1">
      <alignment horizontal="center" vertical="center"/>
    </xf>
    <xf numFmtId="0" fontId="51" fillId="0" borderId="0" xfId="85" applyFont="1" applyAlignment="1">
      <alignment horizontal="center" vertical="center"/>
    </xf>
    <xf numFmtId="164" fontId="67" fillId="0" borderId="0" xfId="82" applyNumberFormat="1" applyFont="1" applyAlignment="1">
      <alignment horizontal="center" vertical="center"/>
    </xf>
    <xf numFmtId="0" fontId="70" fillId="0" borderId="0" xfId="85" applyFont="1" applyAlignment="1">
      <alignment horizontal="center" vertical="center"/>
    </xf>
    <xf numFmtId="43" fontId="66" fillId="0" borderId="0" xfId="82" applyFont="1" applyAlignment="1">
      <alignment vertical="center"/>
    </xf>
    <xf numFmtId="164" fontId="70" fillId="0" borderId="0" xfId="82" applyNumberFormat="1" applyFont="1" applyAlignment="1">
      <alignment horizontal="center" vertical="center"/>
    </xf>
    <xf numFmtId="174" fontId="66" fillId="0" borderId="0" xfId="85" applyNumberFormat="1" applyFont="1" applyAlignment="1">
      <alignment horizontal="center" vertical="center"/>
    </xf>
    <xf numFmtId="14" fontId="67" fillId="0" borderId="0" xfId="85" applyNumberFormat="1" applyFont="1" applyAlignment="1">
      <alignment vertical="center"/>
    </xf>
    <xf numFmtId="173" fontId="33" fillId="0" borderId="21" xfId="82" applyNumberFormat="1" applyFont="1" applyBorder="1" applyAlignment="1">
      <alignment horizontal="left" vertical="center"/>
    </xf>
    <xf numFmtId="0" fontId="100" fillId="32" borderId="17" xfId="80" applyFont="1" applyFill="1" applyBorder="1" applyAlignment="1" applyProtection="1">
      <alignment horizontal="center" vertical="center"/>
      <protection hidden="1"/>
    </xf>
    <xf numFmtId="0" fontId="100" fillId="0" borderId="0" xfId="80" applyFont="1" applyAlignment="1" applyProtection="1">
      <alignment horizontal="center" vertical="center"/>
      <protection hidden="1"/>
    </xf>
    <xf numFmtId="164" fontId="34" fillId="0" borderId="16" xfId="90" applyNumberFormat="1" applyFont="1" applyFill="1" applyBorder="1" applyAlignment="1">
      <alignment horizontal="left" vertical="center"/>
    </xf>
    <xf numFmtId="164" fontId="39" fillId="21" borderId="24" xfId="74" applyNumberFormat="1" applyFont="1" applyFill="1" applyBorder="1" applyAlignment="1">
      <alignment horizontal="center" vertical="center" wrapText="1"/>
    </xf>
    <xf numFmtId="164" fontId="39" fillId="21" borderId="20" xfId="74" applyNumberFormat="1" applyFont="1" applyFill="1" applyBorder="1" applyAlignment="1">
      <alignment horizontal="center" vertical="center" wrapText="1"/>
    </xf>
    <xf numFmtId="164" fontId="39" fillId="0" borderId="24" xfId="74" applyNumberFormat="1" applyFont="1" applyBorder="1" applyAlignment="1">
      <alignment horizontal="center" vertical="center"/>
    </xf>
    <xf numFmtId="164" fontId="39" fillId="0" borderId="20" xfId="74" applyNumberFormat="1" applyFont="1" applyBorder="1" applyAlignment="1">
      <alignment horizontal="center" vertical="center"/>
    </xf>
    <xf numFmtId="0" fontId="39" fillId="21" borderId="17" xfId="75" applyFont="1" applyBorder="1" applyAlignment="1">
      <alignment horizontal="center" vertical="center" wrapText="1"/>
    </xf>
    <xf numFmtId="0" fontId="39" fillId="21" borderId="18" xfId="75" applyFont="1" applyBorder="1" applyAlignment="1">
      <alignment horizontal="center" vertical="center" wrapText="1"/>
    </xf>
    <xf numFmtId="0" fontId="34" fillId="0" borderId="2" xfId="76" quotePrefix="1" applyNumberFormat="1" applyFont="1" applyFill="1" applyBorder="1" applyAlignment="1">
      <alignment horizontal="center" vertical="center" wrapText="1"/>
    </xf>
    <xf numFmtId="0" fontId="41" fillId="0" borderId="0" xfId="76" applyFont="1" applyFill="1" applyAlignment="1">
      <alignment horizontal="center" vertical="center"/>
    </xf>
    <xf numFmtId="0" fontId="36" fillId="0" borderId="0" xfId="76" applyFont="1" applyFill="1" applyAlignment="1">
      <alignment horizontal="center" vertical="center"/>
    </xf>
    <xf numFmtId="0" fontId="34" fillId="0" borderId="17" xfId="76" applyFont="1" applyFill="1" applyBorder="1" applyAlignment="1">
      <alignment horizontal="center" vertical="center" wrapText="1"/>
    </xf>
    <xf numFmtId="0" fontId="34" fillId="0" borderId="18" xfId="76" applyFont="1" applyFill="1" applyBorder="1" applyAlignment="1">
      <alignment horizontal="center" vertical="center" wrapText="1"/>
    </xf>
    <xf numFmtId="0" fontId="34" fillId="0" borderId="24"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4" xfId="76" applyNumberFormat="1" applyFont="1" applyFill="1" applyBorder="1" applyAlignment="1">
      <alignment horizontal="center" vertical="center" wrapText="1"/>
    </xf>
    <xf numFmtId="0" fontId="34" fillId="0" borderId="20" xfId="76" applyNumberFormat="1" applyFont="1" applyFill="1" applyBorder="1" applyAlignment="1">
      <alignment horizontal="center" vertical="center" wrapText="1"/>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49" fontId="34" fillId="0" borderId="17" xfId="76" applyNumberFormat="1" applyFont="1" applyFill="1" applyBorder="1" applyAlignment="1">
      <alignment horizontal="center" vertical="center"/>
    </xf>
    <xf numFmtId="49" fontId="34" fillId="0" borderId="18" xfId="76" applyNumberFormat="1" applyFont="1" applyFill="1" applyBorder="1" applyAlignment="1">
      <alignment horizontal="center"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66" fillId="0" borderId="0" xfId="85" applyFont="1" applyAlignment="1">
      <alignment horizontal="center" vertical="center" wrapText="1"/>
    </xf>
    <xf numFmtId="0" fontId="67" fillId="0" borderId="0" xfId="85" applyFont="1" applyAlignment="1">
      <alignment horizontal="center" vertical="center"/>
    </xf>
    <xf numFmtId="0" fontId="33" fillId="0" borderId="2" xfId="76" applyNumberFormat="1" applyFont="1" applyFill="1" applyBorder="1" applyAlignment="1">
      <alignment horizontal="center" vertical="center" wrapText="1"/>
    </xf>
    <xf numFmtId="164" fontId="72" fillId="0" borderId="0" xfId="77" applyNumberFormat="1" applyFont="1" applyAlignment="1">
      <alignment horizontal="center" vertical="center"/>
    </xf>
    <xf numFmtId="0" fontId="66" fillId="0" borderId="22" xfId="85" applyFont="1" applyBorder="1" applyAlignment="1">
      <alignment horizontal="center" vertical="center"/>
    </xf>
    <xf numFmtId="0" fontId="33" fillId="0" borderId="17" xfId="85" applyFont="1" applyBorder="1" applyAlignment="1">
      <alignment horizontal="center" vertical="center" wrapText="1"/>
    </xf>
    <xf numFmtId="0" fontId="33" fillId="0" borderId="18" xfId="85" applyFont="1" applyBorder="1" applyAlignment="1">
      <alignment horizontal="center" vertical="center" wrapText="1"/>
    </xf>
    <xf numFmtId="0" fontId="33" fillId="0" borderId="24" xfId="85" applyFont="1" applyBorder="1" applyAlignment="1">
      <alignment horizontal="center" vertical="center"/>
    </xf>
    <xf numFmtId="0" fontId="33" fillId="0" borderId="20" xfId="85" applyFont="1" applyBorder="1" applyAlignment="1">
      <alignment horizontal="center" vertical="center"/>
    </xf>
    <xf numFmtId="0" fontId="33" fillId="0" borderId="17" xfId="85" applyFont="1" applyBorder="1" applyAlignment="1">
      <alignment horizontal="center" vertical="center"/>
    </xf>
    <xf numFmtId="0" fontId="33" fillId="0" borderId="18" xfId="85" applyFont="1" applyBorder="1" applyAlignment="1">
      <alignment horizontal="center" vertical="center"/>
    </xf>
    <xf numFmtId="0" fontId="34" fillId="0" borderId="0" xfId="52" applyFont="1" applyAlignment="1">
      <alignment horizontal="center" vertical="center"/>
    </xf>
    <xf numFmtId="0" fontId="51" fillId="0" borderId="0" xfId="0" applyFont="1" applyAlignment="1">
      <alignment horizont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69"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5" fillId="0" borderId="0" xfId="77" applyFont="1" applyFill="1" applyBorder="1" applyAlignment="1" applyProtection="1">
      <alignment horizontal="left" vertical="center" wrapText="1"/>
      <protection hidden="1"/>
    </xf>
    <xf numFmtId="0" fontId="34" fillId="0" borderId="0" xfId="87" applyFont="1" applyFill="1" applyAlignment="1" applyProtection="1">
      <alignment horizontal="center" vertical="center" wrapText="1"/>
      <protection hidden="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1" fillId="0" borderId="0" xfId="87" applyFont="1" applyAlignment="1">
      <alignment horizontal="center" vertical="center" wrapText="1"/>
    </xf>
    <xf numFmtId="0" fontId="33" fillId="0" borderId="0" xfId="87" applyFont="1" applyAlignment="1">
      <alignment horizontal="center" vertical="center"/>
    </xf>
    <xf numFmtId="0" fontId="62" fillId="29" borderId="36" xfId="87" applyFont="1" applyFill="1" applyBorder="1" applyAlignment="1">
      <alignment horizontal="center" vertical="center" wrapText="1"/>
    </xf>
    <xf numFmtId="0" fontId="62" fillId="29" borderId="45" xfId="87" applyFont="1" applyFill="1" applyBorder="1" applyAlignment="1">
      <alignment horizontal="center" vertical="center" wrapText="1"/>
    </xf>
    <xf numFmtId="14" fontId="62" fillId="29" borderId="17" xfId="87" applyNumberFormat="1" applyFont="1" applyFill="1" applyBorder="1" applyAlignment="1">
      <alignment horizontal="center" vertical="center" wrapText="1"/>
    </xf>
    <xf numFmtId="14" fontId="62" fillId="29" borderId="18" xfId="87" applyNumberFormat="1" applyFont="1" applyFill="1" applyBorder="1" applyAlignment="1">
      <alignment horizontal="center" vertical="center" wrapText="1"/>
    </xf>
    <xf numFmtId="0" fontId="34" fillId="0" borderId="49" xfId="87" applyFont="1" applyFill="1" applyBorder="1" applyAlignment="1">
      <alignment horizontal="center" vertical="center" wrapText="1"/>
    </xf>
    <xf numFmtId="0" fontId="34" fillId="0" borderId="47"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8" xfId="87" applyFont="1" applyFill="1" applyBorder="1" applyAlignment="1">
      <alignment horizontal="center" vertical="center" wrapText="1"/>
    </xf>
    <xf numFmtId="0" fontId="34" fillId="0" borderId="46" xfId="87" applyFont="1" applyFill="1" applyBorder="1" applyAlignment="1">
      <alignment horizontal="center" vertical="center" wrapText="1"/>
    </xf>
    <xf numFmtId="0" fontId="34" fillId="0" borderId="0" xfId="97" applyFont="1" applyAlignment="1" applyProtection="1">
      <alignment horizontal="center"/>
      <protection hidden="1"/>
    </xf>
    <xf numFmtId="0" fontId="38" fillId="0" borderId="22" xfId="58" applyFont="1" applyBorder="1" applyAlignment="1">
      <alignment horizontal="center" vertical="center"/>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22" fillId="0" borderId="0" xfId="52" applyFont="1" applyAlignment="1">
      <alignment horizontal="center" vertical="center"/>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3" fillId="0" borderId="0" xfId="93" applyFont="1" applyAlignment="1">
      <alignment horizontal="center" wrapText="1"/>
    </xf>
    <xf numFmtId="0" fontId="36" fillId="0" borderId="0" xfId="93" applyFont="1" applyAlignment="1">
      <alignment horizontal="center"/>
    </xf>
    <xf numFmtId="0" fontId="33" fillId="0" borderId="0" xfId="93" applyFont="1" applyAlignment="1">
      <alignment horizontal="center"/>
    </xf>
    <xf numFmtId="0" fontId="33" fillId="0" borderId="2" xfId="93" applyFont="1" applyBorder="1" applyAlignment="1">
      <alignment horizontal="center" vertical="center"/>
    </xf>
    <xf numFmtId="0" fontId="33" fillId="0" borderId="2" xfId="93" applyFont="1" applyBorder="1" applyAlignment="1">
      <alignment horizontal="center" vertical="center" wrapText="1"/>
    </xf>
    <xf numFmtId="0" fontId="58" fillId="0" borderId="2" xfId="93" applyFont="1" applyBorder="1" applyAlignment="1">
      <alignment horizontal="center" vertical="center" wrapText="1"/>
    </xf>
    <xf numFmtId="0" fontId="33" fillId="0" borderId="17" xfId="93" applyFont="1" applyBorder="1" applyAlignment="1">
      <alignment horizontal="center" vertical="center" wrapText="1" shrinkToFit="1"/>
    </xf>
    <xf numFmtId="0" fontId="33" fillId="0" borderId="18" xfId="93" applyFont="1" applyBorder="1" applyAlignment="1">
      <alignment horizontal="center" vertical="center" wrapText="1" shrinkToFit="1"/>
    </xf>
    <xf numFmtId="0" fontId="33" fillId="0" borderId="2" xfId="93" applyFont="1" applyBorder="1" applyAlignment="1">
      <alignment horizontal="center" vertical="center" wrapText="1" shrinkToFit="1"/>
    </xf>
    <xf numFmtId="0" fontId="58" fillId="0" borderId="2" xfId="93" applyFont="1" applyBorder="1" applyAlignment="1">
      <alignment horizontal="center" vertical="center" wrapText="1" shrinkToFit="1"/>
    </xf>
    <xf numFmtId="0" fontId="38" fillId="0" borderId="0" xfId="93" applyFont="1" applyAlignment="1">
      <alignment horizontal="center"/>
    </xf>
    <xf numFmtId="0" fontId="33" fillId="0" borderId="22" xfId="93" applyFont="1" applyBorder="1" applyAlignment="1">
      <alignment horizontal="right"/>
    </xf>
    <xf numFmtId="0" fontId="33" fillId="0" borderId="28" xfId="93" applyFont="1" applyBorder="1" applyAlignment="1">
      <alignment horizontal="center" vertical="center" wrapText="1"/>
    </xf>
    <xf numFmtId="0" fontId="33" fillId="0" borderId="30" xfId="93" applyFont="1" applyBorder="1" applyAlignment="1">
      <alignment horizontal="center" vertical="center" wrapText="1"/>
    </xf>
    <xf numFmtId="0" fontId="33" fillId="0" borderId="32" xfId="93" applyFont="1" applyBorder="1" applyAlignment="1">
      <alignment horizontal="center" vertical="center" wrapText="1"/>
    </xf>
    <xf numFmtId="0" fontId="33" fillId="0" borderId="22" xfId="93" applyFont="1" applyBorder="1" applyAlignment="1">
      <alignment horizontal="center" vertical="center" wrapText="1"/>
    </xf>
    <xf numFmtId="0" fontId="33" fillId="0" borderId="0" xfId="96" applyFont="1" applyAlignment="1">
      <alignment horizontal="center" vertical="center"/>
    </xf>
    <xf numFmtId="0" fontId="36" fillId="0" borderId="0" xfId="96"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71" fillId="0" borderId="22" xfId="0" applyFont="1" applyBorder="1" applyAlignment="1">
      <alignment horizontal="center" vertical="center"/>
    </xf>
    <xf numFmtId="0" fontId="89" fillId="0" borderId="0" xfId="77" applyFont="1" applyFill="1" applyBorder="1" applyAlignment="1" applyProtection="1">
      <alignment horizontal="left" vertical="center" wrapText="1"/>
      <protection hidden="1"/>
    </xf>
    <xf numFmtId="0" fontId="35" fillId="0" borderId="2" xfId="80" applyFont="1" applyBorder="1" applyAlignment="1" applyProtection="1">
      <alignment horizontal="center" vertical="center" wrapText="1"/>
      <protection hidden="1"/>
    </xf>
    <xf numFmtId="0" fontId="35" fillId="0" borderId="17" xfId="80" applyFont="1" applyBorder="1" applyAlignment="1" applyProtection="1">
      <alignment horizontal="center" vertical="center"/>
      <protection hidden="1"/>
    </xf>
    <xf numFmtId="0" fontId="35" fillId="0" borderId="2" xfId="80" applyFont="1" applyBorder="1" applyAlignment="1" applyProtection="1">
      <alignment horizontal="center" vertical="center"/>
      <protection hidden="1"/>
    </xf>
    <xf numFmtId="164" fontId="51" fillId="0" borderId="0" xfId="94" applyNumberFormat="1" applyFont="1" applyAlignment="1">
      <alignment horizontal="center" vertical="center"/>
    </xf>
    <xf numFmtId="0" fontId="33" fillId="0" borderId="2" xfId="97" applyFont="1" applyBorder="1" applyAlignment="1">
      <alignment horizontal="center" vertical="center"/>
    </xf>
    <xf numFmtId="0" fontId="33" fillId="0" borderId="2" xfId="97" applyFont="1" applyBorder="1" applyAlignment="1">
      <alignment horizontal="center"/>
    </xf>
    <xf numFmtId="0" fontId="33" fillId="0" borderId="2" xfId="97" applyFont="1" applyBorder="1" applyAlignment="1">
      <alignment horizontal="center" vertical="center" wrapText="1"/>
    </xf>
    <xf numFmtId="0" fontId="33" fillId="0" borderId="0" xfId="97" applyFont="1" applyAlignment="1">
      <alignment horizontal="center"/>
    </xf>
    <xf numFmtId="0" fontId="33" fillId="0" borderId="24" xfId="97" applyFont="1" applyBorder="1" applyAlignment="1">
      <alignment horizontal="center"/>
    </xf>
    <xf numFmtId="0" fontId="33" fillId="0" borderId="20" xfId="97"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76" fillId="0" borderId="0" xfId="97" applyFont="1" applyAlignment="1">
      <alignment horizontal="center" vertical="center"/>
    </xf>
    <xf numFmtId="0" fontId="34" fillId="0" borderId="0" xfId="97" applyFont="1" applyAlignment="1">
      <alignment horizontal="center"/>
    </xf>
    <xf numFmtId="0" fontId="33" fillId="0" borderId="0" xfId="97" applyFont="1" applyAlignment="1">
      <alignment horizontal="left"/>
    </xf>
    <xf numFmtId="41" fontId="33" fillId="29" borderId="0" xfId="29" applyNumberFormat="1" applyFont="1" applyFill="1" applyAlignment="1" applyProtection="1">
      <alignment horizontal="center" vertical="top" wrapText="1"/>
      <protection hidden="1"/>
    </xf>
    <xf numFmtId="41" fontId="36" fillId="29" borderId="0" xfId="29" applyNumberFormat="1" applyFont="1" applyFill="1" applyAlignment="1" applyProtection="1">
      <alignment horizontal="center" vertical="top"/>
      <protection hidden="1"/>
    </xf>
    <xf numFmtId="0" fontId="33" fillId="0" borderId="0" xfId="0" quotePrefix="1" applyFont="1" applyBorder="1" applyAlignment="1" applyProtection="1">
      <alignment horizontal="left"/>
      <protection hidden="1"/>
    </xf>
    <xf numFmtId="0" fontId="33" fillId="0" borderId="40"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1" xfId="0" applyNumberFormat="1" applyFont="1" applyFill="1" applyBorder="1" applyAlignment="1" applyProtection="1">
      <alignment horizontal="center" vertical="center" wrapText="1"/>
      <protection hidden="1"/>
    </xf>
    <xf numFmtId="14" fontId="33" fillId="29" borderId="42"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4"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4"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4" xfId="0" applyNumberFormat="1" applyFont="1" applyFill="1" applyBorder="1" applyAlignment="1" applyProtection="1">
      <alignment horizontal="center" vertical="center" wrapText="1"/>
      <protection hidden="1"/>
    </xf>
    <xf numFmtId="0" fontId="34" fillId="0" borderId="16" xfId="97" applyFont="1" applyBorder="1" applyAlignment="1">
      <alignment horizontal="right" vertical="center"/>
    </xf>
    <xf numFmtId="164" fontId="34" fillId="0" borderId="16" xfId="90" applyNumberFormat="1" applyFont="1" applyFill="1" applyBorder="1" applyAlignment="1">
      <alignment horizontal="left" vertical="center"/>
    </xf>
    <xf numFmtId="164" fontId="34" fillId="0" borderId="0" xfId="29" applyNumberFormat="1" applyFont="1" applyFill="1" applyBorder="1" applyAlignment="1">
      <alignment horizontal="center" vertical="center"/>
    </xf>
    <xf numFmtId="164" fontId="34" fillId="0" borderId="16" xfId="29" applyNumberFormat="1" applyFont="1" applyBorder="1" applyAlignment="1">
      <alignment horizontal="center" vertical="center"/>
    </xf>
    <xf numFmtId="164" fontId="34" fillId="0" borderId="16" xfId="29" applyNumberFormat="1" applyFont="1" applyFill="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76"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98" applyNumberFormat="1" applyFont="1" applyBorder="1" applyAlignment="1">
      <alignment horizontal="center" vertical="center"/>
    </xf>
    <xf numFmtId="41" fontId="36" fillId="0" borderId="2" xfId="29" applyNumberFormat="1" applyFont="1" applyBorder="1" applyAlignment="1">
      <alignment horizontal="center" vertical="center"/>
    </xf>
    <xf numFmtId="0" fontId="66" fillId="0" borderId="0" xfId="85" applyFont="1" applyAlignment="1">
      <alignment horizontal="left" vertical="center" wrapText="1"/>
    </xf>
    <xf numFmtId="0" fontId="66" fillId="0" borderId="0" xfId="85" applyFont="1" applyAlignment="1">
      <alignment horizontal="left" vertical="center"/>
    </xf>
    <xf numFmtId="0" fontId="38" fillId="0" borderId="0" xfId="85" applyFont="1" applyAlignment="1">
      <alignment horizontal="center" vertical="center" wrapText="1"/>
    </xf>
    <xf numFmtId="0" fontId="38" fillId="0" borderId="52" xfId="85" applyFont="1" applyBorder="1" applyAlignment="1">
      <alignment horizontal="center" vertical="center" wrapText="1"/>
    </xf>
    <xf numFmtId="0" fontId="98" fillId="0" borderId="28" xfId="85" applyFont="1" applyBorder="1" applyAlignment="1">
      <alignment horizontal="center" vertical="center" wrapText="1"/>
    </xf>
    <xf numFmtId="0" fontId="98" fillId="0" borderId="29" xfId="85" applyFont="1" applyBorder="1" applyAlignment="1">
      <alignment horizontal="center" vertical="center" wrapText="1"/>
    </xf>
    <xf numFmtId="0" fontId="98" fillId="0" borderId="53" xfId="85" applyFont="1" applyBorder="1" applyAlignment="1">
      <alignment horizontal="center" vertical="center" wrapText="1"/>
    </xf>
    <xf numFmtId="0" fontId="98" fillId="0" borderId="52" xfId="85" applyFont="1" applyBorder="1" applyAlignment="1">
      <alignment horizontal="center" vertical="center" wrapText="1"/>
    </xf>
    <xf numFmtId="0" fontId="98" fillId="0" borderId="32" xfId="85" applyFont="1" applyBorder="1" applyAlignment="1">
      <alignment horizontal="center" vertical="center" wrapText="1"/>
    </xf>
    <xf numFmtId="0" fontId="98" fillId="0" borderId="33" xfId="85" applyFont="1" applyBorder="1" applyAlignment="1">
      <alignment horizontal="center" vertical="center" wrapText="1"/>
    </xf>
    <xf numFmtId="0" fontId="33" fillId="0" borderId="0" xfId="85" applyFont="1" applyAlignment="1">
      <alignment horizontal="center" vertical="center"/>
    </xf>
    <xf numFmtId="0" fontId="33" fillId="0" borderId="52" xfId="85" applyFont="1" applyBorder="1" applyAlignment="1">
      <alignment horizontal="center" vertical="center"/>
    </xf>
    <xf numFmtId="14" fontId="36" fillId="0" borderId="2" xfId="85" applyNumberFormat="1" applyFont="1" applyBorder="1" applyAlignment="1">
      <alignment horizontal="center" vertical="center" wrapText="1"/>
    </xf>
    <xf numFmtId="14" fontId="36" fillId="0" borderId="2" xfId="85" applyNumberFormat="1" applyFont="1" applyBorder="1" applyAlignment="1">
      <alignment horizontal="center" vertical="center"/>
    </xf>
    <xf numFmtId="0" fontId="36" fillId="0" borderId="24" xfId="85" applyFont="1" applyBorder="1" applyAlignment="1">
      <alignment horizontal="center" vertical="center"/>
    </xf>
    <xf numFmtId="0" fontId="36" fillId="0" borderId="5" xfId="85" applyFont="1" applyBorder="1" applyAlignment="1">
      <alignment horizontal="center" vertical="center"/>
    </xf>
    <xf numFmtId="0" fontId="36" fillId="0" borderId="20" xfId="85" applyFont="1" applyBorder="1" applyAlignment="1">
      <alignment horizontal="center" vertical="center"/>
    </xf>
    <xf numFmtId="0" fontId="36" fillId="0" borderId="2" xfId="85" applyFont="1" applyBorder="1" applyAlignment="1">
      <alignment horizontal="center" vertical="center"/>
    </xf>
    <xf numFmtId="0" fontId="39" fillId="0" borderId="17" xfId="93" applyFont="1" applyBorder="1" applyAlignment="1">
      <alignment horizontal="center" vertical="center" wrapText="1"/>
    </xf>
    <xf numFmtId="0" fontId="39" fillId="0" borderId="23" xfId="93" applyFont="1" applyBorder="1" applyAlignment="1">
      <alignment horizontal="center" vertical="center" wrapText="1"/>
    </xf>
    <xf numFmtId="0" fontId="39" fillId="0" borderId="18" xfId="93" applyFont="1" applyBorder="1" applyAlignment="1">
      <alignment horizontal="center" vertical="center" wrapText="1"/>
    </xf>
    <xf numFmtId="0" fontId="39" fillId="0" borderId="24" xfId="93" applyFont="1" applyBorder="1" applyAlignment="1">
      <alignment horizontal="center" vertical="center" wrapText="1"/>
    </xf>
    <xf numFmtId="0" fontId="39" fillId="0" borderId="5" xfId="93" applyFont="1" applyBorder="1" applyAlignment="1">
      <alignment horizontal="center" vertical="center" wrapText="1"/>
    </xf>
    <xf numFmtId="0" fontId="39" fillId="0" borderId="20" xfId="93" applyFont="1" applyBorder="1" applyAlignment="1">
      <alignment horizontal="center" vertical="center" wrapText="1"/>
    </xf>
    <xf numFmtId="0" fontId="39" fillId="0" borderId="2" xfId="93" applyFont="1" applyBorder="1" applyAlignment="1">
      <alignment horizontal="center" vertical="center" wrapText="1"/>
    </xf>
    <xf numFmtId="164" fontId="39" fillId="0" borderId="17" xfId="94" applyNumberFormat="1" applyFont="1" applyBorder="1" applyAlignment="1">
      <alignment horizontal="center" vertical="center" wrapText="1"/>
    </xf>
    <xf numFmtId="164" fontId="39" fillId="0" borderId="18" xfId="94" applyNumberFormat="1" applyFont="1" applyBorder="1" applyAlignment="1">
      <alignment horizontal="center" vertical="center" wrapText="1"/>
    </xf>
    <xf numFmtId="164" fontId="34" fillId="0" borderId="0" xfId="94" applyNumberFormat="1" applyFont="1" applyAlignment="1">
      <alignment horizontal="center" vertical="center" wrapText="1"/>
    </xf>
    <xf numFmtId="164" fontId="39" fillId="0" borderId="0" xfId="94" applyNumberFormat="1" applyFont="1" applyAlignment="1">
      <alignment horizontal="center" vertical="center"/>
    </xf>
    <xf numFmtId="0" fontId="22" fillId="0" borderId="0" xfId="78" applyFont="1" applyAlignment="1">
      <alignment horizontal="center" vertical="center"/>
    </xf>
    <xf numFmtId="0" fontId="76" fillId="0" borderId="0" xfId="78" applyFont="1" applyAlignment="1">
      <alignment horizontal="center" vertical="center"/>
    </xf>
    <xf numFmtId="0" fontId="76" fillId="0" borderId="0" xfId="93" applyFont="1" applyAlignment="1">
      <alignment horizontal="center" vertical="center"/>
    </xf>
    <xf numFmtId="0" fontId="39" fillId="0" borderId="0" xfId="93" applyFont="1" applyAlignment="1">
      <alignment horizontal="center" vertical="center"/>
    </xf>
    <xf numFmtId="0" fontId="22" fillId="0" borderId="0" xfId="93" applyFont="1" applyAlignment="1">
      <alignment horizontal="center" vertical="center"/>
    </xf>
    <xf numFmtId="0" fontId="34" fillId="0" borderId="0" xfId="93" applyFont="1" applyAlignment="1">
      <alignment horizontal="center" vertical="center"/>
    </xf>
    <xf numFmtId="0" fontId="68" fillId="0" borderId="0" xfId="93" applyFont="1" applyAlignment="1">
      <alignment horizontal="center" vertical="center"/>
    </xf>
    <xf numFmtId="164" fontId="68" fillId="0" borderId="0" xfId="94" applyNumberFormat="1" applyFont="1" applyAlignment="1">
      <alignment horizontal="center" vertical="center"/>
    </xf>
    <xf numFmtId="0" fontId="39" fillId="0" borderId="28" xfId="93" applyFont="1" applyBorder="1" applyAlignment="1">
      <alignment horizontal="center" vertical="center" wrapText="1"/>
    </xf>
    <xf numFmtId="0" fontId="39" fillId="0" borderId="29" xfId="93" applyFont="1" applyBorder="1" applyAlignment="1">
      <alignment horizontal="center" vertical="center" wrapText="1"/>
    </xf>
    <xf numFmtId="0" fontId="39" fillId="0" borderId="32" xfId="93" applyFont="1" applyBorder="1" applyAlignment="1">
      <alignment horizontal="center" vertical="center" wrapText="1"/>
    </xf>
    <xf numFmtId="0" fontId="39" fillId="0" borderId="33" xfId="93" applyFont="1" applyBorder="1" applyAlignment="1">
      <alignment horizontal="center" vertical="center" wrapText="1"/>
    </xf>
    <xf numFmtId="164" fontId="39" fillId="0" borderId="24" xfId="94" applyNumberFormat="1" applyFont="1" applyBorder="1" applyAlignment="1">
      <alignment horizontal="center" vertical="center" wrapText="1"/>
    </xf>
    <xf numFmtId="164" fontId="39" fillId="0" borderId="5" xfId="94" applyNumberFormat="1" applyFont="1" applyBorder="1" applyAlignment="1">
      <alignment horizontal="center" vertical="center" wrapText="1"/>
    </xf>
    <xf numFmtId="164" fontId="39" fillId="0" borderId="20" xfId="94" applyNumberFormat="1" applyFont="1" applyBorder="1" applyAlignment="1">
      <alignment horizontal="center" vertical="center" wrapText="1"/>
    </xf>
    <xf numFmtId="164" fontId="39" fillId="0" borderId="28" xfId="94" applyNumberFormat="1" applyFont="1" applyBorder="1" applyAlignment="1">
      <alignment horizontal="center" vertical="center" wrapText="1"/>
    </xf>
    <xf numFmtId="164" fontId="39" fillId="0" borderId="30" xfId="94" applyNumberFormat="1" applyFont="1" applyBorder="1" applyAlignment="1">
      <alignment horizontal="center" vertical="center" wrapText="1"/>
    </xf>
    <xf numFmtId="164" fontId="39" fillId="0" borderId="29" xfId="94" applyNumberFormat="1" applyFont="1" applyBorder="1" applyAlignment="1">
      <alignment horizontal="center" vertical="center" wrapText="1"/>
    </xf>
    <xf numFmtId="49" fontId="39" fillId="0" borderId="24" xfId="93" applyNumberFormat="1" applyFont="1" applyBorder="1" applyAlignment="1">
      <alignment horizontal="center" vertical="center"/>
    </xf>
    <xf numFmtId="49" fontId="39" fillId="0" borderId="20" xfId="93" applyNumberFormat="1" applyFont="1" applyBorder="1" applyAlignment="1">
      <alignment horizontal="center" vertical="center"/>
    </xf>
    <xf numFmtId="0" fontId="39" fillId="0" borderId="0" xfId="93" applyFont="1" applyBorder="1" applyAlignment="1">
      <alignment horizontal="center" vertical="center"/>
    </xf>
    <xf numFmtId="0" fontId="34" fillId="0" borderId="0" xfId="93" applyFont="1" applyAlignment="1">
      <alignment horizontal="left" vertical="center"/>
    </xf>
    <xf numFmtId="0" fontId="33" fillId="0" borderId="2" xfId="0" applyFont="1" applyBorder="1" applyAlignment="1">
      <alignment horizontal="center" vertical="center" wrapText="1"/>
    </xf>
    <xf numFmtId="0" fontId="33" fillId="0" borderId="2" xfId="0" applyFont="1" applyBorder="1" applyAlignment="1">
      <alignment horizontal="center" vertical="center"/>
    </xf>
    <xf numFmtId="0" fontId="33" fillId="0" borderId="2" xfId="0" applyFont="1" applyBorder="1" applyAlignment="1">
      <alignment horizontal="center" vertical="center" wrapText="1" shrinkToFit="1"/>
    </xf>
    <xf numFmtId="0" fontId="33" fillId="0" borderId="22" xfId="0" applyFont="1" applyBorder="1" applyAlignment="1">
      <alignment horizontal="center" vertical="center"/>
    </xf>
    <xf numFmtId="0" fontId="36" fillId="0" borderId="0" xfId="0" applyFont="1" applyAlignment="1">
      <alignment horizontal="center" vertical="center"/>
    </xf>
    <xf numFmtId="0" fontId="38" fillId="0" borderId="0" xfId="0" applyFont="1" applyAlignment="1">
      <alignment horizontal="center" vertical="center"/>
    </xf>
    <xf numFmtId="0" fontId="33" fillId="0" borderId="0" xfId="0" applyFont="1" applyAlignment="1">
      <alignment horizontal="center" vertical="center"/>
    </xf>
    <xf numFmtId="0" fontId="33" fillId="0" borderId="0" xfId="0" applyFont="1" applyAlignment="1">
      <alignment horizontal="center" vertical="center" wrapText="1"/>
    </xf>
  </cellXfs>
  <cellStyles count="9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4"/>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3"/>
    <cellStyle name="Normal 3" xfId="85"/>
    <cellStyle name="Normal 4" xfId="86"/>
    <cellStyle name="Normal 5" xfId="89"/>
    <cellStyle name="Normal 5 2" xfId="91"/>
    <cellStyle name="Normal_112 - 15" xfId="87"/>
    <cellStyle name="Normal_311" xfId="95"/>
    <cellStyle name="Normal_Bao cao" xfId="73"/>
    <cellStyle name="Normal_Copy of Ke-toan-mo-phong-mauso_ke_toan_NKC_excel-2" xfId="52"/>
    <cellStyle name="Normal_Ctkt08" xfId="53"/>
    <cellStyle name="Normal_Ke-toan-mo-phong-mauso_ke_toan_NKC_excel-1" xfId="97"/>
    <cellStyle name="Normal_ketoanthucte_NhatKySoCai" xfId="54"/>
    <cellStyle name="Normal_ketoanthucte_NhatKySoCai 2" xfId="76"/>
    <cellStyle name="Normal_ketoanthucte_NhatKySoCai 2 2" xfId="90"/>
    <cellStyle name="Normal_NhatKy0403" xfId="79"/>
    <cellStyle name="Normal_PNKPXK" xfId="80"/>
    <cellStyle name="Normal_SS-NKSC" xfId="96"/>
    <cellStyle name="Normal_TM-14" xfId="55"/>
    <cellStyle name="Normal_Z 13" xfId="98"/>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3.xml"/><Relationship Id="rId21" Type="http://schemas.openxmlformats.org/officeDocument/2006/relationships/worksheet" Target="worksheets/sheet21.xml"/><Relationship Id="rId34" Type="http://schemas.openxmlformats.org/officeDocument/2006/relationships/externalLink" Target="externalLinks/externalLink8.xml"/><Relationship Id="rId42" Type="http://schemas.openxmlformats.org/officeDocument/2006/relationships/externalLink" Target="externalLinks/externalLink16.xml"/><Relationship Id="rId47" Type="http://schemas.openxmlformats.org/officeDocument/2006/relationships/externalLink" Target="externalLinks/externalLink21.xml"/><Relationship Id="rId50" Type="http://schemas.openxmlformats.org/officeDocument/2006/relationships/externalLink" Target="externalLinks/externalLink24.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46" Type="http://schemas.openxmlformats.org/officeDocument/2006/relationships/externalLink" Target="externalLinks/externalLink20.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41" Type="http://schemas.openxmlformats.org/officeDocument/2006/relationships/externalLink" Target="externalLinks/externalLink15.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externalLink" Target="externalLinks/externalLink14.xml"/><Relationship Id="rId45" Type="http://schemas.openxmlformats.org/officeDocument/2006/relationships/externalLink" Target="externalLinks/externalLink19.xml"/><Relationship Id="rId53" Type="http://schemas.openxmlformats.org/officeDocument/2006/relationships/externalLink" Target="externalLinks/externalLink2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49" Type="http://schemas.openxmlformats.org/officeDocument/2006/relationships/externalLink" Target="externalLinks/externalLink23.xml"/><Relationship Id="rId57"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4" Type="http://schemas.openxmlformats.org/officeDocument/2006/relationships/externalLink" Target="externalLinks/externalLink18.xml"/><Relationship Id="rId52" Type="http://schemas.openxmlformats.org/officeDocument/2006/relationships/externalLink" Target="externalLinks/externalLink2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externalLink" Target="externalLinks/externalLink17.xml"/><Relationship Id="rId48" Type="http://schemas.openxmlformats.org/officeDocument/2006/relationships/externalLink" Target="externalLinks/externalLink22.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25.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02.KE-TOAN\SO%20SACH%20-%20LA\SO%20SACH\2013%20-%202015\S&#7893;%20S&#225;ch\2015\131%20-%20331%20-%201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v21/Ad/Nam20/Th5/Ctgs5.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Chtr/Xk1/Tygia/Nam97/Th7/Ctgs7.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htr/3Nd/Vnd/Nam97/Th1/Ctgs7.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Chtr/2NdQuy/Nam97/Quy2/Tienmat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KT-KD-KN/SO%20SACH/3702076037/2016/NKSC%20-%2016.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NKSC%2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31"/>
      <sheetName val="131-TH"/>
      <sheetName val="131-CT"/>
      <sheetName val="331"/>
      <sheetName val="331 - TH"/>
      <sheetName val="331-CT"/>
    </sheetNames>
    <sheetDataSet>
      <sheetData sheetId="0">
        <row r="5">
          <cell r="B5" t="str">
            <v>Cty TNHH DV XNK Hoàng Hải</v>
          </cell>
        </row>
        <row r="6">
          <cell r="B6" t="str">
            <v>AFONIK</v>
          </cell>
        </row>
        <row r="7">
          <cell r="B7" t="str">
            <v>CUULONG TRADING CORPORATION</v>
          </cell>
        </row>
        <row r="8">
          <cell r="B8" t="str">
            <v>JINTATSU FOODSTUFF CO., LTD</v>
          </cell>
        </row>
        <row r="9">
          <cell r="B9" t="str">
            <v>LIMITED LIABILITY COMPANY</v>
          </cell>
        </row>
        <row r="10">
          <cell r="B10" t="str">
            <v>MARKOV K.A.</v>
          </cell>
        </row>
        <row r="11">
          <cell r="B11" t="str">
            <v>TOKAI DENPUN</v>
          </cell>
        </row>
        <row r="12">
          <cell r="B12" t="str">
            <v>BIOVITAL COMPANY</v>
          </cell>
        </row>
        <row r="13">
          <cell r="B13" t="str">
            <v>MORE - 2007 LLC</v>
          </cell>
        </row>
        <row r="14">
          <cell r="B14" t="str">
            <v>O.CHEON INDUSTRY CO.,LTD</v>
          </cell>
        </row>
        <row r="15">
          <cell r="B15" t="str">
            <v>FLAK VOSTOK LLC</v>
          </cell>
        </row>
      </sheetData>
      <sheetData sheetId="1"/>
      <sheetData sheetId="2"/>
      <sheetData sheetId="3">
        <row r="4">
          <cell r="B4" t="str">
            <v>DNTN SX TM XNK Khang Thịnh Phước</v>
          </cell>
        </row>
      </sheetData>
      <sheetData sheetId="4"/>
      <sheetData sheetId="5"/>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THEGT"/>
      <sheetName val="SO-TS"/>
      <sheetName val="THE-TS"/>
      <sheetName val="154"/>
      <sheetName val="632"/>
      <sheetName val="642"/>
      <sheetName val="641"/>
    </sheetNames>
    <sheetDataSet>
      <sheetData sheetId="0"/>
      <sheetData sheetId="1"/>
      <sheetData sheetId="2"/>
      <sheetData sheetId="3"/>
      <sheetData sheetId="4"/>
      <sheetData sheetId="5"/>
      <sheetData sheetId="6"/>
      <sheetData sheetId="7">
        <row r="6">
          <cell r="B6" t="str">
            <v>Chi Nhánh Cty CP KT Vifa</v>
          </cell>
          <cell r="E6">
            <v>1804000</v>
          </cell>
          <cell r="F6">
            <v>0</v>
          </cell>
          <cell r="G6">
            <v>1804000</v>
          </cell>
          <cell r="H6">
            <v>0</v>
          </cell>
        </row>
        <row r="7">
          <cell r="B7" t="str">
            <v>Cty CP Đầu Tư Xây Dựng &amp; Kinh Doanh Địa Ốc Hoà Bình</v>
          </cell>
          <cell r="E7">
            <v>46299000</v>
          </cell>
          <cell r="F7">
            <v>0</v>
          </cell>
          <cell r="G7">
            <v>46299000</v>
          </cell>
          <cell r="H7">
            <v>0</v>
          </cell>
        </row>
        <row r="8">
          <cell r="B8" t="str">
            <v>Cty CP Đầu Tư Xây Dựng Địa Ốc FDC</v>
          </cell>
          <cell r="E8">
            <v>93948186</v>
          </cell>
          <cell r="F8">
            <v>27225000</v>
          </cell>
          <cell r="G8">
            <v>66723186</v>
          </cell>
          <cell r="H8">
            <v>0</v>
          </cell>
        </row>
        <row r="9">
          <cell r="B9" t="str">
            <v>Cty CP TM DV KT Cao Nam Phát</v>
          </cell>
          <cell r="E9">
            <v>14927770</v>
          </cell>
          <cell r="F9">
            <v>2649900</v>
          </cell>
          <cell r="G9">
            <v>12277870</v>
          </cell>
          <cell r="H9">
            <v>0</v>
          </cell>
        </row>
        <row r="10">
          <cell r="B10" t="str">
            <v>Cty TNHH An Cơ Bình Dương</v>
          </cell>
          <cell r="E10">
            <v>57145759</v>
          </cell>
          <cell r="F10">
            <v>0</v>
          </cell>
          <cell r="G10">
            <v>57145759</v>
          </cell>
          <cell r="H10">
            <v>0</v>
          </cell>
        </row>
        <row r="11">
          <cell r="B11" t="str">
            <v>Cty TNHH Bao Bì Hạnh Phúc</v>
          </cell>
          <cell r="E11">
            <v>6693500</v>
          </cell>
          <cell r="F11">
            <v>0</v>
          </cell>
          <cell r="G11">
            <v>6693500</v>
          </cell>
          <cell r="H11">
            <v>0</v>
          </cell>
        </row>
        <row r="12">
          <cell r="B12" t="str">
            <v>Cty TNHH Bao Bì Tân Nguyên</v>
          </cell>
          <cell r="E12">
            <v>1540000</v>
          </cell>
          <cell r="F12">
            <v>0</v>
          </cell>
          <cell r="G12">
            <v>1540000</v>
          </cell>
          <cell r="H12">
            <v>0</v>
          </cell>
        </row>
        <row r="13">
          <cell r="B13" t="str">
            <v>Cty TNHH Đá Xanh</v>
          </cell>
          <cell r="C13">
            <v>90264697</v>
          </cell>
          <cell r="E13">
            <v>850847929.89999998</v>
          </cell>
          <cell r="F13">
            <v>843330543</v>
          </cell>
          <cell r="G13">
            <v>97782083.900000006</v>
          </cell>
          <cell r="H13">
            <v>0</v>
          </cell>
        </row>
        <row r="14">
          <cell r="B14" t="str">
            <v>Cty TNHH Đồ Gỗ Thanh Thư</v>
          </cell>
          <cell r="C14">
            <v>338089620</v>
          </cell>
          <cell r="E14">
            <v>2008143500</v>
          </cell>
          <cell r="F14">
            <v>2057687500</v>
          </cell>
          <cell r="G14">
            <v>288545620</v>
          </cell>
          <cell r="H14">
            <v>0</v>
          </cell>
        </row>
        <row r="15">
          <cell r="B15" t="str">
            <v>Cty TNHH Khang Yến</v>
          </cell>
          <cell r="E15">
            <v>2640000</v>
          </cell>
          <cell r="F15">
            <v>0</v>
          </cell>
          <cell r="G15">
            <v>2640000</v>
          </cell>
          <cell r="H15">
            <v>0</v>
          </cell>
        </row>
        <row r="16">
          <cell r="B16" t="str">
            <v>Cty TNHH L.O.O.K.S.Y</v>
          </cell>
          <cell r="E16">
            <v>119301861</v>
          </cell>
          <cell r="F16">
            <v>20172469</v>
          </cell>
          <cell r="G16">
            <v>99129392</v>
          </cell>
          <cell r="H16">
            <v>0</v>
          </cell>
        </row>
        <row r="17">
          <cell r="B17" t="str">
            <v>Cty TNHH MTV Bao Bì Hoà Thắng</v>
          </cell>
          <cell r="C17">
            <v>82622870</v>
          </cell>
          <cell r="E17">
            <v>365723224</v>
          </cell>
          <cell r="F17">
            <v>82622870</v>
          </cell>
          <cell r="G17">
            <v>365723224</v>
          </cell>
          <cell r="H17">
            <v>0</v>
          </cell>
        </row>
        <row r="18">
          <cell r="B18" t="str">
            <v>Cty TNHH MTV Thương Mại Tông A Dũng</v>
          </cell>
          <cell r="E18">
            <v>97674005</v>
          </cell>
          <cell r="F18">
            <v>97674005</v>
          </cell>
          <cell r="G18">
            <v>0</v>
          </cell>
          <cell r="H18">
            <v>0</v>
          </cell>
        </row>
        <row r="19">
          <cell r="B19" t="str">
            <v>Cty TNHH MTV TM Tô Nga Dũng</v>
          </cell>
          <cell r="E19">
            <v>135687884</v>
          </cell>
          <cell r="F19">
            <v>135687884</v>
          </cell>
          <cell r="G19">
            <v>0</v>
          </cell>
          <cell r="H19">
            <v>0</v>
          </cell>
        </row>
        <row r="20">
          <cell r="B20" t="str">
            <v>Cty TNHH Phạm Tôn</v>
          </cell>
          <cell r="E20">
            <v>79556400</v>
          </cell>
          <cell r="F20">
            <v>0</v>
          </cell>
          <cell r="G20">
            <v>79556400</v>
          </cell>
          <cell r="H20">
            <v>0</v>
          </cell>
        </row>
        <row r="21">
          <cell r="B21" t="str">
            <v>Cty TNHH TM Và SX Greensink</v>
          </cell>
          <cell r="E21">
            <v>11550000</v>
          </cell>
          <cell r="F21">
            <v>11550000</v>
          </cell>
          <cell r="G21">
            <v>0</v>
          </cell>
          <cell r="H21">
            <v>0</v>
          </cell>
        </row>
        <row r="22">
          <cell r="B22" t="str">
            <v>Cty TNHH Tường Huy</v>
          </cell>
          <cell r="E22">
            <v>1161600</v>
          </cell>
          <cell r="F22">
            <v>0</v>
          </cell>
          <cell r="G22">
            <v>1161600</v>
          </cell>
          <cell r="H22">
            <v>0</v>
          </cell>
        </row>
        <row r="23">
          <cell r="B23" t="str">
            <v>Cty TNHH Young Jin Vinh</v>
          </cell>
          <cell r="E23">
            <v>13457400</v>
          </cell>
          <cell r="F23">
            <v>0</v>
          </cell>
          <cell r="G23">
            <v>13457400</v>
          </cell>
          <cell r="H23">
            <v>0</v>
          </cell>
        </row>
        <row r="24">
          <cell r="B24" t="str">
            <v>Cty TNHH Jong Jin Vina</v>
          </cell>
          <cell r="E24">
            <v>29732340</v>
          </cell>
          <cell r="F24">
            <v>14803140</v>
          </cell>
          <cell r="G24">
            <v>14929200</v>
          </cell>
          <cell r="H24">
            <v>0</v>
          </cell>
        </row>
        <row r="25">
          <cell r="B25" t="str">
            <v>Cty TNHH Shiogai Seiki Việt Nam</v>
          </cell>
          <cell r="E25">
            <v>8800000</v>
          </cell>
          <cell r="F25">
            <v>8800000</v>
          </cell>
          <cell r="G25">
            <v>0</v>
          </cell>
          <cell r="H25">
            <v>0</v>
          </cell>
        </row>
        <row r="26">
          <cell r="B26" t="str">
            <v>Cty TNHH Chemtech</v>
          </cell>
          <cell r="E26">
            <v>28710000</v>
          </cell>
          <cell r="F26">
            <v>28710000</v>
          </cell>
          <cell r="G26">
            <v>0</v>
          </cell>
          <cell r="H26">
            <v>0</v>
          </cell>
        </row>
        <row r="27">
          <cell r="B27" t="str">
            <v>Cty TNHH J Tex Vina</v>
          </cell>
          <cell r="C27">
            <v>14847228</v>
          </cell>
          <cell r="E27">
            <v>53255638</v>
          </cell>
          <cell r="F27">
            <v>68102866</v>
          </cell>
          <cell r="G27">
            <v>0</v>
          </cell>
          <cell r="H27">
            <v>0</v>
          </cell>
        </row>
        <row r="28">
          <cell r="B28" t="str">
            <v>Cty TNHH Tân Phước</v>
          </cell>
          <cell r="E28">
            <v>40869505</v>
          </cell>
          <cell r="F28">
            <v>15000000</v>
          </cell>
          <cell r="G28">
            <v>25869505</v>
          </cell>
          <cell r="H28">
            <v>0</v>
          </cell>
        </row>
        <row r="29">
          <cell r="B29" t="str">
            <v>Cty CP TC Mỹ Nghệ Phong Cách Việt</v>
          </cell>
          <cell r="C29">
            <v>6830004</v>
          </cell>
          <cell r="E29">
            <v>0</v>
          </cell>
          <cell r="F29">
            <v>6830004</v>
          </cell>
          <cell r="G29">
            <v>0</v>
          </cell>
          <cell r="H29">
            <v>0</v>
          </cell>
        </row>
        <row r="30">
          <cell r="B30" t="str">
            <v>Cty TNHH May Mặc Minh An Gia</v>
          </cell>
          <cell r="C30">
            <v>7315000</v>
          </cell>
          <cell r="E30">
            <v>0</v>
          </cell>
          <cell r="F30">
            <v>7315000</v>
          </cell>
          <cell r="G30">
            <v>0</v>
          </cell>
          <cell r="H30">
            <v>0</v>
          </cell>
        </row>
        <row r="31">
          <cell r="B31" t="str">
            <v>Cty TNHH Asia Polytec</v>
          </cell>
          <cell r="E31">
            <v>15096400</v>
          </cell>
          <cell r="F31">
            <v>0</v>
          </cell>
          <cell r="G31">
            <v>15096400</v>
          </cell>
          <cell r="H31">
            <v>0</v>
          </cell>
        </row>
        <row r="32">
          <cell r="B32" t="str">
            <v>Cty TNHH TM SX Đại Tấn Lợi</v>
          </cell>
          <cell r="E32">
            <v>2564100</v>
          </cell>
          <cell r="F32">
            <v>0</v>
          </cell>
          <cell r="G32">
            <v>2564100</v>
          </cell>
          <cell r="H32">
            <v>0</v>
          </cell>
        </row>
        <row r="33">
          <cell r="B33" t="str">
            <v>Cty TNHH DV TM XNK KH Brench</v>
          </cell>
          <cell r="E33">
            <v>13277000</v>
          </cell>
          <cell r="F33">
            <v>0</v>
          </cell>
          <cell r="G33">
            <v>13277000</v>
          </cell>
          <cell r="H33">
            <v>0</v>
          </cell>
        </row>
        <row r="34">
          <cell r="B34" t="str">
            <v>Cty TNHH MTV TM Vương Minh Phát</v>
          </cell>
          <cell r="E34">
            <v>5467000</v>
          </cell>
          <cell r="F34">
            <v>0</v>
          </cell>
          <cell r="G34">
            <v>5467000</v>
          </cell>
          <cell r="H34">
            <v>0</v>
          </cell>
        </row>
        <row r="35">
          <cell r="B35" t="str">
            <v>Cty Cổ Phần SunMen</v>
          </cell>
          <cell r="E35">
            <v>28600000</v>
          </cell>
          <cell r="F35">
            <v>0</v>
          </cell>
          <cell r="G35">
            <v>28600000</v>
          </cell>
          <cell r="H35">
            <v>0</v>
          </cell>
        </row>
        <row r="36">
          <cell r="B36" t="str">
            <v>Cty TNHH Dầu Nhớt Việt Pháp</v>
          </cell>
          <cell r="E36">
            <v>6600000</v>
          </cell>
          <cell r="F36">
            <v>0</v>
          </cell>
          <cell r="G36">
            <v>6600000</v>
          </cell>
          <cell r="H36">
            <v>0</v>
          </cell>
        </row>
        <row r="37">
          <cell r="B37" t="str">
            <v>Cty TNHH SX TM Thanh Thanh Liêm</v>
          </cell>
          <cell r="E37">
            <v>32875561</v>
          </cell>
          <cell r="F37">
            <v>32191307</v>
          </cell>
          <cell r="G37">
            <v>684254</v>
          </cell>
          <cell r="H37">
            <v>0</v>
          </cell>
        </row>
        <row r="38">
          <cell r="B38" t="str">
            <v>Cty TNHH Mai Oanh</v>
          </cell>
          <cell r="E38">
            <v>16461500</v>
          </cell>
          <cell r="F38">
            <v>0</v>
          </cell>
          <cell r="G38">
            <v>16461500</v>
          </cell>
          <cell r="H3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SO-TS"/>
      <sheetName val="THEGT"/>
      <sheetName val="THE-TS"/>
      <sheetName val="154"/>
      <sheetName val="632"/>
      <sheetName val="642"/>
      <sheetName val="64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4">
          <cell r="B4" t="str">
            <v>Cty TNHH CN-TM Phước Bình</v>
          </cell>
        </row>
      </sheetData>
      <sheetData sheetId="8" refreshError="1"/>
      <sheetData sheetId="9">
        <row r="4">
          <cell r="B4" t="str">
            <v>Cơ Sở Kéo Kẽm Thành Dũng</v>
          </cell>
        </row>
        <row r="5">
          <cell r="B5" t="str">
            <v>DNTN SX-TM-DV Dây Đông Nam</v>
          </cell>
        </row>
        <row r="6">
          <cell r="B6" t="str">
            <v>Cty TNHH Bao Bì Giấy Chung Hưng</v>
          </cell>
        </row>
        <row r="7">
          <cell r="B7" t="str">
            <v>Cty TNHH SX-TM Bao Bì Phương Nam</v>
          </cell>
        </row>
        <row r="8">
          <cell r="B8" t="str">
            <v>Cty Cổ phần SX TM DV Bao Bì Giấy Trường Phát</v>
          </cell>
        </row>
        <row r="9">
          <cell r="B9" t="str">
            <v>Cty TNHH Bao Bì BR Vina</v>
          </cell>
        </row>
        <row r="10">
          <cell r="B10" t="str">
            <v>DNTN TM DV Anh Phi</v>
          </cell>
        </row>
        <row r="11">
          <cell r="B11" t="str">
            <v>Cty TNHH Thành Đồng</v>
          </cell>
        </row>
        <row r="12">
          <cell r="B12" t="str">
            <v>Cty TNHH Bình Dương Chinh Long</v>
          </cell>
        </row>
        <row r="13">
          <cell r="B13" t="str">
            <v>Cty TNHH SX-TM Dịch Vụ SPT</v>
          </cell>
        </row>
        <row r="15">
          <cell r="B15" t="str">
            <v>TỔNG CỘNG</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53"/>
  <sheetViews>
    <sheetView topLeftCell="A6" workbookViewId="0">
      <pane ySplit="4" topLeftCell="A31" activePane="bottomLeft" state="frozen"/>
      <selection activeCell="A6" sqref="A6"/>
      <selection pane="bottomLeft" activeCell="H51" sqref="H51"/>
    </sheetView>
  </sheetViews>
  <sheetFormatPr defaultColWidth="8" defaultRowHeight="12.75"/>
  <cols>
    <col min="1" max="1" width="5.7109375" style="608" customWidth="1"/>
    <col min="2" max="2" width="36.85546875" style="608" customWidth="1"/>
    <col min="3" max="4" width="15" style="160" customWidth="1"/>
    <col min="5" max="6" width="14.7109375" style="608" customWidth="1"/>
    <col min="7" max="8" width="13.85546875" style="608" customWidth="1"/>
    <col min="9" max="9" width="4.85546875" style="608" customWidth="1"/>
    <col min="10" max="10" width="11" style="608" customWidth="1"/>
    <col min="11" max="11" width="2.85546875" style="608" customWidth="1"/>
    <col min="12" max="12" width="11.85546875" style="608" customWidth="1"/>
    <col min="13" max="16384" width="8" style="608"/>
  </cols>
  <sheetData>
    <row r="1" spans="1:16">
      <c r="A1" s="607"/>
      <c r="B1" s="607"/>
    </row>
    <row r="2" spans="1:16">
      <c r="A2" s="607" t="str">
        <f>TH!A1</f>
        <v>Đơn vị: CÔNG TY TNHH MỘT THÀNH VIÊN KHỞI NGUYÊN AN</v>
      </c>
      <c r="B2" s="607"/>
    </row>
    <row r="3" spans="1:16">
      <c r="A3" s="608" t="str">
        <f>TH!A2</f>
        <v>Địa chỉ: Thửa đất số 144, tờ bản đồ số 12TĐH.1, tổ 1, khu phố Đông Tác, Phường Tân Đông Hiệp, Thị Xã Dĩ An, Tỉnh Bình Dương, Việt Nam</v>
      </c>
      <c r="B3" s="607"/>
    </row>
    <row r="5" spans="1:16" ht="36" customHeight="1">
      <c r="A5" s="609"/>
      <c r="B5" s="609"/>
      <c r="C5" s="610"/>
      <c r="D5" s="611" t="s">
        <v>336</v>
      </c>
      <c r="E5" s="609"/>
      <c r="F5" s="609"/>
      <c r="G5" s="609"/>
      <c r="H5" s="609"/>
    </row>
    <row r="6" spans="1:16" ht="15.75">
      <c r="A6" s="609"/>
      <c r="B6" s="609"/>
      <c r="C6" s="610"/>
      <c r="D6" s="629" t="s">
        <v>440</v>
      </c>
      <c r="E6" s="609"/>
      <c r="F6" s="609"/>
      <c r="G6" s="609"/>
      <c r="H6" s="609"/>
    </row>
    <row r="7" spans="1:16" ht="6.75" customHeight="1"/>
    <row r="8" spans="1:16" ht="21.75" customHeight="1">
      <c r="A8" s="972" t="s">
        <v>402</v>
      </c>
      <c r="B8" s="972" t="s">
        <v>334</v>
      </c>
      <c r="C8" s="968" t="s">
        <v>37</v>
      </c>
      <c r="D8" s="969"/>
      <c r="E8" s="968" t="s">
        <v>38</v>
      </c>
      <c r="F8" s="969"/>
      <c r="G8" s="968" t="s">
        <v>335</v>
      </c>
      <c r="H8" s="969"/>
    </row>
    <row r="9" spans="1:16" ht="21.75" customHeight="1">
      <c r="A9" s="973"/>
      <c r="B9" s="973"/>
      <c r="C9" s="606" t="s">
        <v>42</v>
      </c>
      <c r="D9" s="606" t="s">
        <v>43</v>
      </c>
      <c r="E9" s="606" t="s">
        <v>42</v>
      </c>
      <c r="F9" s="606" t="s">
        <v>43</v>
      </c>
      <c r="G9" s="606" t="s">
        <v>42</v>
      </c>
      <c r="H9" s="606" t="s">
        <v>43</v>
      </c>
    </row>
    <row r="10" spans="1:16" s="160" customFormat="1" ht="17.25" customHeight="1">
      <c r="A10" s="612" t="s">
        <v>47</v>
      </c>
      <c r="B10" s="613" t="s">
        <v>48</v>
      </c>
      <c r="C10" s="614">
        <v>2427378287</v>
      </c>
      <c r="D10" s="614"/>
      <c r="E10" s="614">
        <f t="array" ref="E10">SUM(IF(A10=KHN,TH))</f>
        <v>1986445572</v>
      </c>
      <c r="F10" s="614">
        <f t="array" ref="F10">SUM(IF(A10=KHC,TH))</f>
        <v>2061492588</v>
      </c>
      <c r="G10" s="615">
        <f>MAX(C10+E10-D10-F10,0)</f>
        <v>2352331271</v>
      </c>
      <c r="H10" s="615">
        <f>MAX(D10+F10-E10-C10,0)</f>
        <v>0</v>
      </c>
      <c r="J10" s="608"/>
      <c r="K10" s="608"/>
      <c r="L10" s="608"/>
      <c r="M10" s="608"/>
      <c r="N10" s="608"/>
      <c r="O10" s="608"/>
      <c r="P10" s="608"/>
    </row>
    <row r="11" spans="1:16" s="160" customFormat="1" ht="17.25" customHeight="1">
      <c r="A11" s="617" t="s">
        <v>16</v>
      </c>
      <c r="B11" s="617" t="s">
        <v>49</v>
      </c>
      <c r="C11" s="618">
        <f t="shared" ref="C11:H11" si="0">C10</f>
        <v>2427378287</v>
      </c>
      <c r="D11" s="618">
        <f t="shared" si="0"/>
        <v>0</v>
      </c>
      <c r="E11" s="618">
        <f t="shared" si="0"/>
        <v>1986445572</v>
      </c>
      <c r="F11" s="618">
        <f t="shared" si="0"/>
        <v>2061492588</v>
      </c>
      <c r="G11" s="618">
        <f t="shared" si="0"/>
        <v>2352331271</v>
      </c>
      <c r="H11" s="618">
        <f t="shared" si="0"/>
        <v>0</v>
      </c>
      <c r="J11" s="608"/>
      <c r="K11" s="608"/>
      <c r="L11" s="608"/>
      <c r="M11" s="608"/>
      <c r="N11" s="608"/>
      <c r="O11" s="608"/>
      <c r="P11" s="608"/>
    </row>
    <row r="12" spans="1:16" s="160" customFormat="1" ht="17.25" customHeight="1">
      <c r="A12" s="613" t="s">
        <v>24</v>
      </c>
      <c r="B12" s="613" t="s">
        <v>50</v>
      </c>
      <c r="C12" s="614">
        <v>1039308</v>
      </c>
      <c r="D12" s="614">
        <v>0</v>
      </c>
      <c r="E12" s="614">
        <f t="array" ref="E12">SUM(IF(A12=KHN,TH))</f>
        <v>2065124006</v>
      </c>
      <c r="F12" s="614">
        <f t="array" ref="F12">SUM(IF(A12=KHC,TH))</f>
        <v>2065075590</v>
      </c>
      <c r="G12" s="615">
        <f>MAX(C12+E12-D12-F12,0)</f>
        <v>1087724</v>
      </c>
      <c r="H12" s="615">
        <f>MAX(D12+F12-E12-C12,0)</f>
        <v>0</v>
      </c>
      <c r="K12" s="616"/>
      <c r="L12" s="616"/>
      <c r="M12" s="616"/>
    </row>
    <row r="13" spans="1:16" s="160" customFormat="1" ht="17.25" customHeight="1">
      <c r="A13" s="617" t="s">
        <v>51</v>
      </c>
      <c r="B13" s="617" t="s">
        <v>52</v>
      </c>
      <c r="C13" s="618">
        <f t="shared" ref="C13:H13" si="1">C12</f>
        <v>1039308</v>
      </c>
      <c r="D13" s="618">
        <f t="shared" si="1"/>
        <v>0</v>
      </c>
      <c r="E13" s="618">
        <f t="shared" si="1"/>
        <v>2065124006</v>
      </c>
      <c r="F13" s="618">
        <f t="shared" si="1"/>
        <v>2065075590</v>
      </c>
      <c r="G13" s="618">
        <f t="shared" si="1"/>
        <v>1087724</v>
      </c>
      <c r="H13" s="618">
        <f t="shared" si="1"/>
        <v>0</v>
      </c>
    </row>
    <row r="14" spans="1:16" s="160" customFormat="1" ht="17.25" customHeight="1">
      <c r="A14" s="617" t="s">
        <v>250</v>
      </c>
      <c r="B14" s="617" t="s">
        <v>258</v>
      </c>
      <c r="C14" s="618">
        <v>70139021</v>
      </c>
      <c r="D14" s="618"/>
      <c r="E14" s="619">
        <f t="array" ref="E14">SUM(IF(A14=KHN,TH))</f>
        <v>1970076505</v>
      </c>
      <c r="F14" s="619">
        <f t="array" ref="F14">SUM(IF(A14=KHC,TH))</f>
        <v>1500246107</v>
      </c>
      <c r="G14" s="618">
        <f>MAX(C14+E14-D14-F14,0)</f>
        <v>539969419</v>
      </c>
      <c r="H14" s="618">
        <f>MAX(D14+F14-E14-C14,0)</f>
        <v>0</v>
      </c>
    </row>
    <row r="15" spans="1:16" s="160" customFormat="1" ht="17.25" customHeight="1">
      <c r="A15" s="613" t="s">
        <v>9</v>
      </c>
      <c r="B15" s="613" t="s">
        <v>53</v>
      </c>
      <c r="C15" s="614"/>
      <c r="D15" s="614"/>
      <c r="E15" s="614">
        <f t="array" ref="E15">SUM(IF(A15=KHN,TH))</f>
        <v>211485672</v>
      </c>
      <c r="F15" s="614">
        <f t="array" ref="F15">SUM(IF(A15=KHC,TH))</f>
        <v>208317285</v>
      </c>
      <c r="G15" s="615">
        <f>MAX(C15+E15-D15-F15,0)</f>
        <v>3168387</v>
      </c>
      <c r="H15" s="615">
        <f>MAX(D15+F15-E15-C15,0)</f>
        <v>0</v>
      </c>
      <c r="I15" s="160">
        <f>G15-J15</f>
        <v>0</v>
      </c>
      <c r="J15" s="160">
        <v>3168387</v>
      </c>
    </row>
    <row r="16" spans="1:16" s="160" customFormat="1" ht="17.25" customHeight="1">
      <c r="A16" s="617" t="s">
        <v>54</v>
      </c>
      <c r="B16" s="617" t="s">
        <v>55</v>
      </c>
      <c r="C16" s="618">
        <f t="shared" ref="C16:H16" si="2">C15</f>
        <v>0</v>
      </c>
      <c r="D16" s="618">
        <f t="shared" si="2"/>
        <v>0</v>
      </c>
      <c r="E16" s="618">
        <f t="shared" si="2"/>
        <v>211485672</v>
      </c>
      <c r="F16" s="618">
        <f t="shared" si="2"/>
        <v>208317285</v>
      </c>
      <c r="G16" s="618">
        <f t="shared" si="2"/>
        <v>3168387</v>
      </c>
      <c r="H16" s="618">
        <f t="shared" si="2"/>
        <v>0</v>
      </c>
    </row>
    <row r="17" spans="1:8" s="160" customFormat="1" ht="17.25" customHeight="1">
      <c r="A17" s="613" t="s">
        <v>56</v>
      </c>
      <c r="B17" s="613" t="s">
        <v>57</v>
      </c>
      <c r="C17" s="614"/>
      <c r="D17" s="614"/>
      <c r="E17" s="614">
        <f t="array" ref="E17">SUM(IF(A17=KHN,TH))</f>
        <v>0</v>
      </c>
      <c r="F17" s="614">
        <f t="array" ref="F17">SUM(IF(A17=KHC,TH))</f>
        <v>0</v>
      </c>
      <c r="G17" s="615">
        <f t="shared" ref="G17:G25" si="3">MAX(C17+E17-D17-F17,0)</f>
        <v>0</v>
      </c>
      <c r="H17" s="615">
        <f t="shared" ref="H17:H25" si="4">MAX(D17+F17-E17-C17,0)</f>
        <v>0</v>
      </c>
    </row>
    <row r="18" spans="1:8" s="160" customFormat="1" ht="17.25" customHeight="1">
      <c r="A18" s="617" t="s">
        <v>58</v>
      </c>
      <c r="B18" s="617" t="s">
        <v>59</v>
      </c>
      <c r="C18" s="618">
        <f>C17</f>
        <v>0</v>
      </c>
      <c r="D18" s="618">
        <f>D17</f>
        <v>0</v>
      </c>
      <c r="E18" s="618">
        <f>E17</f>
        <v>0</v>
      </c>
      <c r="F18" s="618">
        <f>F17</f>
        <v>0</v>
      </c>
      <c r="G18" s="618">
        <f t="shared" si="3"/>
        <v>0</v>
      </c>
      <c r="H18" s="618">
        <f t="shared" si="4"/>
        <v>0</v>
      </c>
    </row>
    <row r="19" spans="1:8" s="160" customFormat="1" ht="17.25" customHeight="1">
      <c r="A19" s="617" t="s">
        <v>160</v>
      </c>
      <c r="B19" s="617" t="s">
        <v>161</v>
      </c>
      <c r="C19" s="618"/>
      <c r="D19" s="618">
        <v>0</v>
      </c>
      <c r="E19" s="619">
        <f t="array" ref="E19">SUM(IF(A19=KHN,TH))</f>
        <v>425532794</v>
      </c>
      <c r="F19" s="619">
        <f t="array" ref="F19">SUM(IF(A19=KHC,TH))</f>
        <v>425532794</v>
      </c>
      <c r="G19" s="618">
        <f t="shared" si="3"/>
        <v>0</v>
      </c>
      <c r="H19" s="618">
        <f t="shared" si="4"/>
        <v>0</v>
      </c>
    </row>
    <row r="20" spans="1:8" s="160" customFormat="1" ht="17.25" customHeight="1">
      <c r="A20" s="620" t="s">
        <v>417</v>
      </c>
      <c r="B20" s="617" t="s">
        <v>418</v>
      </c>
      <c r="C20" s="618">
        <v>106067911</v>
      </c>
      <c r="D20" s="618"/>
      <c r="E20" s="619">
        <f t="array" ref="E20">SUM(IF(A20=KHN,TH))</f>
        <v>2369938743</v>
      </c>
      <c r="F20" s="619">
        <f t="array" ref="F20">SUM(IF(A20=KHC,TH))</f>
        <v>2069360786</v>
      </c>
      <c r="G20" s="618">
        <f t="shared" si="3"/>
        <v>406645868</v>
      </c>
      <c r="H20" s="618">
        <f t="shared" si="4"/>
        <v>0</v>
      </c>
    </row>
    <row r="21" spans="1:8" s="160" customFormat="1" ht="17.25" customHeight="1">
      <c r="A21" s="617" t="s">
        <v>8</v>
      </c>
      <c r="B21" s="617" t="s">
        <v>60</v>
      </c>
      <c r="C21" s="618"/>
      <c r="D21" s="618">
        <v>95781573</v>
      </c>
      <c r="E21" s="619">
        <f t="array" ref="E21">SUM(IF(A21=KHN,TH))</f>
        <v>1498391804</v>
      </c>
      <c r="F21" s="619">
        <f t="array" ref="F21">SUM(IF(A21=KHC,TH))</f>
        <v>2193852178</v>
      </c>
      <c r="G21" s="618">
        <f t="shared" si="3"/>
        <v>0</v>
      </c>
      <c r="H21" s="618">
        <f t="shared" si="4"/>
        <v>791241947</v>
      </c>
    </row>
    <row r="22" spans="1:8" s="160" customFormat="1" ht="17.25" customHeight="1">
      <c r="A22" s="621" t="s">
        <v>352</v>
      </c>
      <c r="B22" s="613" t="s">
        <v>351</v>
      </c>
      <c r="C22" s="614"/>
      <c r="D22" s="614"/>
      <c r="E22" s="614">
        <f t="array" ref="E22">SUM(IF(A22=KHN,TH))</f>
        <v>208317285</v>
      </c>
      <c r="F22" s="614">
        <f t="array" ref="F22">SUM(IF(A22=KHC,TH))</f>
        <v>208317285</v>
      </c>
      <c r="G22" s="614">
        <f t="shared" ref="G22" si="5">MAX(C22+E22-D22-F22,0)</f>
        <v>0</v>
      </c>
      <c r="H22" s="614">
        <f t="shared" ref="H22" si="6">MAX(D22+F22-E22-C22,0)</f>
        <v>0</v>
      </c>
    </row>
    <row r="23" spans="1:8" s="160" customFormat="1" ht="17.25" customHeight="1">
      <c r="A23" s="613" t="s">
        <v>61</v>
      </c>
      <c r="B23" s="613" t="s">
        <v>62</v>
      </c>
      <c r="C23" s="614"/>
      <c r="D23" s="614">
        <v>945596</v>
      </c>
      <c r="E23" s="614">
        <f t="array" ref="E23">SUM(IF(A23=KHN,TH))</f>
        <v>945596</v>
      </c>
      <c r="F23" s="614">
        <f t="array" ref="F23">SUM(IF(A23=KHC,TH))</f>
        <v>1409132</v>
      </c>
      <c r="G23" s="614">
        <f t="shared" si="3"/>
        <v>0</v>
      </c>
      <c r="H23" s="614">
        <f t="shared" si="4"/>
        <v>1409132</v>
      </c>
    </row>
    <row r="24" spans="1:8" s="160" customFormat="1" ht="17.25" customHeight="1">
      <c r="A24" s="613" t="s">
        <v>256</v>
      </c>
      <c r="B24" s="613" t="s">
        <v>257</v>
      </c>
      <c r="C24" s="614"/>
      <c r="D24" s="614"/>
      <c r="E24" s="614">
        <f t="array" ref="E24">SUM(IF(A24=KHN,TH))</f>
        <v>0</v>
      </c>
      <c r="F24" s="614">
        <f t="array" ref="F24">SUM(IF(A24=KHC,TH))</f>
        <v>0</v>
      </c>
      <c r="G24" s="614">
        <f t="shared" si="3"/>
        <v>0</v>
      </c>
      <c r="H24" s="614">
        <f t="shared" si="4"/>
        <v>0</v>
      </c>
    </row>
    <row r="25" spans="1:8" s="160" customFormat="1" ht="17.25" customHeight="1">
      <c r="A25" s="621" t="s">
        <v>63</v>
      </c>
      <c r="B25" s="622" t="s">
        <v>64</v>
      </c>
      <c r="C25" s="623"/>
      <c r="D25" s="623"/>
      <c r="E25" s="623">
        <f t="array" ref="E25">SUM(IF(A25=KHN,TH))</f>
        <v>1500000</v>
      </c>
      <c r="F25" s="623">
        <f t="array" ref="F25">SUM(IF(A25=KHC,TH))</f>
        <v>1500000</v>
      </c>
      <c r="G25" s="623">
        <f t="shared" si="3"/>
        <v>0</v>
      </c>
      <c r="H25" s="623">
        <f t="shared" si="4"/>
        <v>0</v>
      </c>
    </row>
    <row r="26" spans="1:8" s="160" customFormat="1" ht="17.25" customHeight="1">
      <c r="A26" s="613" t="s">
        <v>18</v>
      </c>
      <c r="B26" s="613" t="s">
        <v>65</v>
      </c>
      <c r="C26" s="614">
        <f>C25</f>
        <v>0</v>
      </c>
      <c r="D26" s="614">
        <f t="shared" ref="D26:H26" si="7">D25</f>
        <v>0</v>
      </c>
      <c r="E26" s="614">
        <f t="shared" si="7"/>
        <v>1500000</v>
      </c>
      <c r="F26" s="614">
        <f t="shared" si="7"/>
        <v>1500000</v>
      </c>
      <c r="G26" s="614">
        <f t="shared" si="7"/>
        <v>0</v>
      </c>
      <c r="H26" s="614">
        <f t="shared" si="7"/>
        <v>0</v>
      </c>
    </row>
    <row r="27" spans="1:8" s="160" customFormat="1" ht="17.25" customHeight="1">
      <c r="A27" s="617" t="s">
        <v>66</v>
      </c>
      <c r="B27" s="617" t="s">
        <v>67</v>
      </c>
      <c r="C27" s="618">
        <f>C23+C26+C24+C22</f>
        <v>0</v>
      </c>
      <c r="D27" s="618">
        <f t="shared" ref="D27:H27" si="8">D23+D26+D24+D22</f>
        <v>945596</v>
      </c>
      <c r="E27" s="618">
        <f t="shared" si="8"/>
        <v>210762881</v>
      </c>
      <c r="F27" s="618">
        <f t="shared" si="8"/>
        <v>211226417</v>
      </c>
      <c r="G27" s="618">
        <f t="shared" si="8"/>
        <v>0</v>
      </c>
      <c r="H27" s="618">
        <f t="shared" si="8"/>
        <v>1409132</v>
      </c>
    </row>
    <row r="28" spans="1:8" s="160" customFormat="1" ht="17.25" customHeight="1">
      <c r="A28" s="613" t="s">
        <v>252</v>
      </c>
      <c r="B28" s="613" t="s">
        <v>253</v>
      </c>
      <c r="C28" s="614">
        <v>0</v>
      </c>
      <c r="D28" s="614">
        <v>0</v>
      </c>
      <c r="E28" s="614">
        <f t="array" ref="E28">SUM(IF(A28=KHN,TH))</f>
        <v>174494047</v>
      </c>
      <c r="F28" s="614">
        <f t="array" ref="F28">SUM(IF(A28=KHC,TH))</f>
        <v>174494047</v>
      </c>
      <c r="G28" s="614">
        <f t="shared" ref="G28:G30" si="9">MAX(C28+E28-D28-F28,0)</f>
        <v>0</v>
      </c>
      <c r="H28" s="614">
        <f t="shared" ref="H28:H30" si="10">MAX(D28+F28-E28-C28,0)</f>
        <v>0</v>
      </c>
    </row>
    <row r="29" spans="1:8" s="160" customFormat="1" ht="17.25" customHeight="1">
      <c r="A29" s="617" t="s">
        <v>254</v>
      </c>
      <c r="B29" s="617" t="s">
        <v>255</v>
      </c>
      <c r="C29" s="618">
        <f>C28</f>
        <v>0</v>
      </c>
      <c r="D29" s="618">
        <f>D28</f>
        <v>0</v>
      </c>
      <c r="E29" s="618">
        <f>E28</f>
        <v>174494047</v>
      </c>
      <c r="F29" s="618">
        <f>F28</f>
        <v>174494047</v>
      </c>
      <c r="G29" s="618">
        <f t="shared" si="9"/>
        <v>0</v>
      </c>
      <c r="H29" s="618">
        <f t="shared" si="10"/>
        <v>0</v>
      </c>
    </row>
    <row r="30" spans="1:8" s="160" customFormat="1" ht="17.25" customHeight="1">
      <c r="A30" s="613" t="s">
        <v>17</v>
      </c>
      <c r="B30" s="613" t="s">
        <v>68</v>
      </c>
      <c r="C30" s="614"/>
      <c r="D30" s="614">
        <v>2982297</v>
      </c>
      <c r="E30" s="614">
        <f t="array" ref="E30">SUM(IF(A30=KHN,TH))</f>
        <v>2982297</v>
      </c>
      <c r="F30" s="614">
        <f t="array" ref="F30">SUM(IF(A30=KHC,TH))</f>
        <v>0</v>
      </c>
      <c r="G30" s="614">
        <f t="shared" si="9"/>
        <v>0</v>
      </c>
      <c r="H30" s="614">
        <f t="shared" si="10"/>
        <v>0</v>
      </c>
    </row>
    <row r="31" spans="1:8" s="160" customFormat="1" ht="17.25" customHeight="1">
      <c r="A31" s="617" t="s">
        <v>69</v>
      </c>
      <c r="B31" s="617" t="s">
        <v>70</v>
      </c>
      <c r="C31" s="618">
        <f t="shared" ref="C31:H31" si="11">SUM(C30:C30)</f>
        <v>0</v>
      </c>
      <c r="D31" s="618">
        <f t="shared" si="11"/>
        <v>2982297</v>
      </c>
      <c r="E31" s="618">
        <f t="shared" si="11"/>
        <v>2982297</v>
      </c>
      <c r="F31" s="618">
        <f t="shared" si="11"/>
        <v>0</v>
      </c>
      <c r="G31" s="618">
        <f t="shared" si="11"/>
        <v>0</v>
      </c>
      <c r="H31" s="618">
        <f t="shared" si="11"/>
        <v>0</v>
      </c>
    </row>
    <row r="32" spans="1:8" s="160" customFormat="1" ht="17.25" customHeight="1">
      <c r="A32" s="613" t="s">
        <v>25</v>
      </c>
      <c r="B32" s="613" t="s">
        <v>71</v>
      </c>
      <c r="C32" s="614"/>
      <c r="D32" s="614">
        <v>2500000000</v>
      </c>
      <c r="E32" s="614">
        <f t="array" ref="E32">SUM(IF(A32=KHN,TH))</f>
        <v>0</v>
      </c>
      <c r="F32" s="614">
        <f t="array" ref="F32">SUM(IF(A32=KHC,TH))</f>
        <v>0</v>
      </c>
      <c r="G32" s="615">
        <f>MAX(C32+E32-D32-F32,0)</f>
        <v>0</v>
      </c>
      <c r="H32" s="615">
        <f>MAX(D32+F32-E32-C32,0)</f>
        <v>2500000000</v>
      </c>
    </row>
    <row r="33" spans="1:10" s="160" customFormat="1" ht="17.25" customHeight="1">
      <c r="A33" s="617" t="s">
        <v>72</v>
      </c>
      <c r="B33" s="617" t="s">
        <v>73</v>
      </c>
      <c r="C33" s="618">
        <v>0</v>
      </c>
      <c r="D33" s="618">
        <f>D32</f>
        <v>2500000000</v>
      </c>
      <c r="E33" s="618">
        <f>E32</f>
        <v>0</v>
      </c>
      <c r="F33" s="618">
        <f>F32</f>
        <v>0</v>
      </c>
      <c r="G33" s="618">
        <f>MAX(C33+E33-D33-F33,0)</f>
        <v>0</v>
      </c>
      <c r="H33" s="618">
        <f>MAX(D33+F33-E33-C33,0)</f>
        <v>2500000000</v>
      </c>
    </row>
    <row r="34" spans="1:10" s="160" customFormat="1" ht="17.25" customHeight="1">
      <c r="A34" s="612" t="s">
        <v>74</v>
      </c>
      <c r="B34" s="613" t="s">
        <v>75</v>
      </c>
      <c r="C34" s="614"/>
      <c r="D34" s="614">
        <v>4915061</v>
      </c>
      <c r="E34" s="614">
        <f t="array" ref="E34">SUM(IF(A34=KHN,TH))</f>
        <v>0</v>
      </c>
      <c r="F34" s="614">
        <f t="array" ref="F34">SUM(IF(A34=KHC,TH))</f>
        <v>0</v>
      </c>
      <c r="G34" s="615">
        <f>MAX(C34+E34-D34-F34,0)</f>
        <v>0</v>
      </c>
      <c r="H34" s="615">
        <f>MAX(D34+F34-E34-C34,0)</f>
        <v>4915061</v>
      </c>
    </row>
    <row r="35" spans="1:10" s="160" customFormat="1" ht="17.25" customHeight="1">
      <c r="A35" s="613" t="s">
        <v>76</v>
      </c>
      <c r="B35" s="613" t="s">
        <v>77</v>
      </c>
      <c r="C35" s="614"/>
      <c r="D35" s="614"/>
      <c r="E35" s="614">
        <f t="array" ref="E35">SUM(IF(A35=TH!$L$10:$L$2002,TH!$K$10:$K$2002))</f>
        <v>0</v>
      </c>
      <c r="F35" s="614">
        <f t="array" ref="F35">SUM(IF(A35=TH!$M$10:$M$2002,TH!$K$10:$K$2002))</f>
        <v>5636529</v>
      </c>
      <c r="G35" s="614">
        <f>MAX(C35+E35-D35-F35,0)</f>
        <v>0</v>
      </c>
      <c r="H35" s="614">
        <f>MAX(D35+F35-E35-C35,0)</f>
        <v>5636529</v>
      </c>
      <c r="J35" s="279">
        <v>7045661</v>
      </c>
    </row>
    <row r="36" spans="1:10" s="160" customFormat="1" ht="17.25" customHeight="1">
      <c r="A36" s="617" t="s">
        <v>78</v>
      </c>
      <c r="B36" s="617" t="s">
        <v>79</v>
      </c>
      <c r="C36" s="618">
        <f t="shared" ref="C36:H36" si="12">C35+C34</f>
        <v>0</v>
      </c>
      <c r="D36" s="618">
        <f t="shared" si="12"/>
        <v>4915061</v>
      </c>
      <c r="E36" s="618">
        <f t="shared" si="12"/>
        <v>0</v>
      </c>
      <c r="F36" s="618">
        <f t="shared" si="12"/>
        <v>5636529</v>
      </c>
      <c r="G36" s="618">
        <f t="shared" si="12"/>
        <v>0</v>
      </c>
      <c r="H36" s="618">
        <f t="shared" si="12"/>
        <v>10551590</v>
      </c>
    </row>
    <row r="37" spans="1:10" s="160" customFormat="1" ht="17.25" customHeight="1">
      <c r="A37" s="612" t="s">
        <v>408</v>
      </c>
      <c r="B37" s="613" t="s">
        <v>409</v>
      </c>
      <c r="C37" s="615"/>
      <c r="D37" s="615"/>
      <c r="E37" s="615">
        <f t="array" ref="E37">SUM(IF(A37=KHN,TH))</f>
        <v>347401000</v>
      </c>
      <c r="F37" s="615">
        <f t="array" ref="F37">SUM(IF(A37=KHC,TH))</f>
        <v>347401000</v>
      </c>
      <c r="G37" s="615"/>
      <c r="H37" s="615"/>
      <c r="I37" s="160">
        <f>E37-F37</f>
        <v>0</v>
      </c>
    </row>
    <row r="38" spans="1:10" s="160" customFormat="1" ht="17.25" customHeight="1">
      <c r="A38" s="612" t="s">
        <v>164</v>
      </c>
      <c r="B38" s="613" t="s">
        <v>410</v>
      </c>
      <c r="C38" s="614"/>
      <c r="D38" s="614"/>
      <c r="E38" s="614">
        <f t="array" ref="E38">SUM(IF(A38=KHN,TH))</f>
        <v>1735949320</v>
      </c>
      <c r="F38" s="614">
        <f t="array" ref="F38">SUM(IF(A38=KHC,TH))</f>
        <v>1735949320</v>
      </c>
      <c r="G38" s="614"/>
      <c r="H38" s="614"/>
      <c r="I38" s="160">
        <f>E38-F38</f>
        <v>0</v>
      </c>
    </row>
    <row r="39" spans="1:10" s="160" customFormat="1" ht="17.25" customHeight="1">
      <c r="A39" s="617" t="s">
        <v>165</v>
      </c>
      <c r="B39" s="617" t="s">
        <v>166</v>
      </c>
      <c r="C39" s="618">
        <f>C37+C38</f>
        <v>0</v>
      </c>
      <c r="D39" s="618">
        <f t="shared" ref="D39:H39" si="13">D37+D38</f>
        <v>0</v>
      </c>
      <c r="E39" s="618">
        <f t="shared" si="13"/>
        <v>2083350320</v>
      </c>
      <c r="F39" s="618">
        <f t="shared" si="13"/>
        <v>2083350320</v>
      </c>
      <c r="G39" s="618">
        <f t="shared" si="13"/>
        <v>0</v>
      </c>
      <c r="H39" s="618">
        <f t="shared" si="13"/>
        <v>0</v>
      </c>
      <c r="I39" s="160">
        <f>E39-F39</f>
        <v>0</v>
      </c>
    </row>
    <row r="40" spans="1:10" s="160" customFormat="1" ht="17.25" customHeight="1">
      <c r="A40" s="617" t="s">
        <v>40</v>
      </c>
      <c r="B40" s="617" t="s">
        <v>80</v>
      </c>
      <c r="C40" s="618"/>
      <c r="D40" s="618"/>
      <c r="E40" s="619">
        <f t="array" ref="E40">SUM(IF(A40=KHN,TH))</f>
        <v>174476</v>
      </c>
      <c r="F40" s="619">
        <f t="array" ref="F40">SUM(IF(A40=KHC,TH))</f>
        <v>174476</v>
      </c>
      <c r="G40" s="618"/>
      <c r="H40" s="618"/>
      <c r="I40" s="160">
        <f t="shared" ref="I40:I48" si="14">E40-F40</f>
        <v>0</v>
      </c>
    </row>
    <row r="41" spans="1:10" s="160" customFormat="1" ht="17.25" customHeight="1">
      <c r="A41" s="617" t="s">
        <v>162</v>
      </c>
      <c r="B41" s="617" t="s">
        <v>163</v>
      </c>
      <c r="C41" s="618"/>
      <c r="D41" s="618"/>
      <c r="E41" s="619">
        <f t="array" ref="E41">SUM(IF(A41=KHN,TH))</f>
        <v>1682437992</v>
      </c>
      <c r="F41" s="619">
        <f t="array" ref="F41">SUM(IF(A41=KHC,TH))</f>
        <v>1682437992</v>
      </c>
      <c r="G41" s="618"/>
      <c r="H41" s="618"/>
      <c r="I41" s="160">
        <f t="shared" si="14"/>
        <v>0</v>
      </c>
    </row>
    <row r="42" spans="1:10" s="160" customFormat="1" ht="17.25" customHeight="1">
      <c r="A42" s="617" t="s">
        <v>81</v>
      </c>
      <c r="B42" s="617" t="s">
        <v>82</v>
      </c>
      <c r="C42" s="618"/>
      <c r="D42" s="618"/>
      <c r="E42" s="619">
        <f t="array" ref="E42">SUM(IF(A42=KHN,TH))</f>
        <v>0</v>
      </c>
      <c r="F42" s="619">
        <f t="array" ref="F42">SUM(IF(A42=KHC,TH))</f>
        <v>0</v>
      </c>
      <c r="G42" s="618"/>
      <c r="H42" s="618"/>
      <c r="I42" s="160">
        <f t="shared" si="14"/>
        <v>0</v>
      </c>
    </row>
    <row r="43" spans="1:10" s="160" customFormat="1" ht="17.25" customHeight="1">
      <c r="A43" s="620" t="s">
        <v>251</v>
      </c>
      <c r="B43" s="617" t="s">
        <v>316</v>
      </c>
      <c r="C43" s="618"/>
      <c r="D43" s="618"/>
      <c r="E43" s="619">
        <f t="array" ref="E43">SUM(IF(A43=KHN,TH))</f>
        <v>14272798</v>
      </c>
      <c r="F43" s="619">
        <f t="array" ref="F43">SUM(IF(A43=KHC,TH))</f>
        <v>14272798</v>
      </c>
      <c r="G43" s="618"/>
      <c r="H43" s="618"/>
      <c r="I43" s="160">
        <f>E43-F43</f>
        <v>0</v>
      </c>
    </row>
    <row r="44" spans="1:10" s="160" customFormat="1" ht="17.25" customHeight="1">
      <c r="A44" s="617" t="s">
        <v>83</v>
      </c>
      <c r="B44" s="617" t="s">
        <v>84</v>
      </c>
      <c r="C44" s="618"/>
      <c r="D44" s="618"/>
      <c r="E44" s="619">
        <f t="array" ref="E44">SUM(IF(A44=KHN,TH))</f>
        <v>379818290</v>
      </c>
      <c r="F44" s="619">
        <f t="array" ref="F44">SUM(IF(A44=KHC,TH))</f>
        <v>379818290</v>
      </c>
      <c r="G44" s="618"/>
      <c r="H44" s="618"/>
      <c r="I44" s="160">
        <f t="shared" si="14"/>
        <v>0</v>
      </c>
    </row>
    <row r="45" spans="1:10" s="160" customFormat="1" ht="17.25" customHeight="1">
      <c r="A45" s="620" t="s">
        <v>85</v>
      </c>
      <c r="B45" s="617" t="s">
        <v>86</v>
      </c>
      <c r="C45" s="618"/>
      <c r="D45" s="618"/>
      <c r="E45" s="619">
        <f t="array" ref="E45">SUM(IF(A45=KHN,TH))</f>
        <v>50000</v>
      </c>
      <c r="F45" s="619">
        <f t="array" ref="F45">SUM(IF(A45=KHC,TH))</f>
        <v>50000</v>
      </c>
      <c r="G45" s="618"/>
      <c r="H45" s="618"/>
      <c r="I45" s="160">
        <f t="shared" si="14"/>
        <v>0</v>
      </c>
    </row>
    <row r="46" spans="1:10" s="160" customFormat="1" ht="17.25" customHeight="1">
      <c r="A46" s="617" t="s">
        <v>87</v>
      </c>
      <c r="B46" s="617" t="s">
        <v>88</v>
      </c>
      <c r="C46" s="618"/>
      <c r="D46" s="618"/>
      <c r="E46" s="619">
        <f t="array" ref="E46">SUM(IF(A46=KHN,TH))</f>
        <v>55</v>
      </c>
      <c r="F46" s="619">
        <f t="array" ref="F46">SUM(IF(A46=KHC,TH))</f>
        <v>55</v>
      </c>
      <c r="G46" s="618"/>
      <c r="H46" s="618"/>
      <c r="I46" s="160">
        <f t="shared" si="14"/>
        <v>0</v>
      </c>
    </row>
    <row r="47" spans="1:10" s="160" customFormat="1" ht="17.25" customHeight="1">
      <c r="A47" s="620" t="s">
        <v>89</v>
      </c>
      <c r="B47" s="617" t="s">
        <v>90</v>
      </c>
      <c r="C47" s="618"/>
      <c r="D47" s="618"/>
      <c r="E47" s="619">
        <f t="array" ref="E47">SUM(IF(A47=KHN,TH))</f>
        <v>1409132</v>
      </c>
      <c r="F47" s="619">
        <f t="array" ref="F47">SUM(IF(A47=KHC,TH))</f>
        <v>1409132</v>
      </c>
      <c r="G47" s="618"/>
      <c r="H47" s="618"/>
      <c r="I47" s="160">
        <f t="shared" si="14"/>
        <v>0</v>
      </c>
    </row>
    <row r="48" spans="1:10" s="160" customFormat="1" ht="17.25" customHeight="1">
      <c r="A48" s="617" t="s">
        <v>91</v>
      </c>
      <c r="B48" s="617" t="s">
        <v>92</v>
      </c>
      <c r="C48" s="618"/>
      <c r="D48" s="618"/>
      <c r="E48" s="624">
        <f t="array" ref="E48">SUM(IF(A48=KHN,TH))</f>
        <v>2083574796</v>
      </c>
      <c r="F48" s="624">
        <f t="array" ref="F48">SUM(IF(A48=TH!$M$10:$M$2002,TH!$K$10:$K$2002))</f>
        <v>2083574796</v>
      </c>
      <c r="G48" s="618"/>
      <c r="H48" s="618"/>
      <c r="I48" s="160">
        <f t="shared" si="14"/>
        <v>0</v>
      </c>
    </row>
    <row r="49" spans="1:10" s="160" customFormat="1" ht="17.25" customHeight="1">
      <c r="A49" s="970" t="s">
        <v>39</v>
      </c>
      <c r="B49" s="971"/>
      <c r="C49" s="625">
        <f>C11+C13+C14+C16+C18+C19+C20+C21+C27+C29+C31+C33+C36+C39+C40+C41+C42+C43+C44++C45+C46+C47+C48</f>
        <v>2604624527</v>
      </c>
      <c r="D49" s="625">
        <f t="shared" ref="D49:H49" si="15">D11+D13+D14+D16+D18+D19+D20+D21+D27+D29+D31+D33+D36+D39+D40+D41+D42+D43+D44++D45+D46+D47+D48</f>
        <v>2604624527</v>
      </c>
      <c r="E49" s="625">
        <f t="shared" si="15"/>
        <v>17160322180</v>
      </c>
      <c r="F49" s="625">
        <f t="shared" si="15"/>
        <v>17160322180</v>
      </c>
      <c r="G49" s="625">
        <f t="shared" si="15"/>
        <v>3303202669</v>
      </c>
      <c r="H49" s="625">
        <f t="shared" si="15"/>
        <v>3303202669</v>
      </c>
    </row>
    <row r="50" spans="1:10">
      <c r="E50" s="626"/>
      <c r="F50" s="627"/>
    </row>
    <row r="51" spans="1:10">
      <c r="E51" s="627"/>
      <c r="H51" s="627">
        <f>G49-H49</f>
        <v>0</v>
      </c>
      <c r="J51" s="627">
        <f>J35-H51</f>
        <v>7045661</v>
      </c>
    </row>
    <row r="52" spans="1:10">
      <c r="E52" s="628"/>
      <c r="F52" s="628"/>
    </row>
    <row r="53" spans="1:10">
      <c r="E53" s="628"/>
      <c r="F53" s="628"/>
    </row>
  </sheetData>
  <mergeCells count="6">
    <mergeCell ref="G8:H8"/>
    <mergeCell ref="A49:B49"/>
    <mergeCell ref="A8:A9"/>
    <mergeCell ref="B8:B9"/>
    <mergeCell ref="C8:D8"/>
    <mergeCell ref="E8:F8"/>
  </mergeCells>
  <printOptions horizontalCentered="1"/>
  <pageMargins left="0.16" right="0.11" top="0.2" bottom="0.2" header="0" footer="0"/>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E2012"/>
  <sheetViews>
    <sheetView topLeftCell="A7" zoomScaleNormal="100" workbookViewId="0">
      <pane ySplit="3" topLeftCell="A751" activePane="bottomLeft" state="frozen"/>
      <selection activeCell="A7" sqref="A7"/>
      <selection pane="bottomLeft" activeCell="K761" sqref="K761"/>
    </sheetView>
  </sheetViews>
  <sheetFormatPr defaultRowHeight="12.75"/>
  <cols>
    <col min="1" max="1" width="4.5703125" style="198" customWidth="1"/>
    <col min="2" max="2" width="4.85546875" style="203" customWidth="1"/>
    <col min="3" max="3" width="9.140625" style="203" customWidth="1"/>
    <col min="4" max="4" width="6.85546875" style="203" customWidth="1"/>
    <col min="5" max="5" width="9.140625" style="203" customWidth="1"/>
    <col min="6" max="6" width="45" style="203" customWidth="1"/>
    <col min="7" max="7" width="11.140625" style="816" customWidth="1"/>
    <col min="8" max="8" width="34.85546875" style="770" customWidth="1"/>
    <col min="9" max="9" width="7.85546875" style="770" customWidth="1"/>
    <col min="10" max="10" width="8.85546875" style="770" customWidth="1"/>
    <col min="11" max="11" width="13.140625" style="203" customWidth="1"/>
    <col min="12" max="12" width="7" style="203" customWidth="1"/>
    <col min="13" max="13" width="6.28515625" style="203" customWidth="1"/>
    <col min="14" max="14" width="4.42578125" style="203" hidden="1" customWidth="1"/>
    <col min="15" max="17" width="2.7109375" style="203" hidden="1" customWidth="1"/>
    <col min="18" max="20" width="2.5703125" style="203" hidden="1" customWidth="1"/>
    <col min="21" max="21" width="3.140625" style="203" hidden="1" customWidth="1"/>
    <col min="22" max="22" width="4.42578125" style="203" hidden="1" customWidth="1"/>
    <col min="23" max="25" width="2.7109375" style="203" hidden="1" customWidth="1"/>
    <col min="26" max="26" width="2.85546875" style="203" hidden="1" customWidth="1"/>
    <col min="27" max="27" width="2.85546875" style="203" customWidth="1"/>
    <col min="28" max="28" width="3.5703125" style="203" customWidth="1"/>
    <col min="29" max="29" width="9.85546875" style="203" customWidth="1"/>
    <col min="30" max="30" width="10.28515625" style="203" customWidth="1"/>
    <col min="31" max="31" width="10.140625" style="203" customWidth="1"/>
    <col min="32" max="16384" width="9.140625" style="203"/>
  </cols>
  <sheetData>
    <row r="1" spans="1:27" ht="15">
      <c r="A1" s="1" t="s">
        <v>407</v>
      </c>
      <c r="B1" s="31"/>
      <c r="C1" s="31"/>
      <c r="D1" s="32"/>
      <c r="E1" s="32"/>
      <c r="F1" s="33"/>
      <c r="G1" s="809"/>
      <c r="H1" s="55"/>
      <c r="I1" s="55"/>
      <c r="J1" s="55"/>
      <c r="K1" s="42"/>
      <c r="L1" s="34"/>
      <c r="M1" s="34"/>
      <c r="N1" s="34"/>
      <c r="O1" s="34"/>
      <c r="P1" s="34"/>
      <c r="Q1" s="34"/>
      <c r="R1" s="34"/>
      <c r="S1" s="34"/>
      <c r="T1" s="34"/>
      <c r="U1" s="34"/>
      <c r="V1" s="34"/>
      <c r="W1" s="34"/>
      <c r="X1" s="34"/>
      <c r="Y1" s="34"/>
    </row>
    <row r="2" spans="1:27" ht="15">
      <c r="A2" s="1" t="s">
        <v>406</v>
      </c>
      <c r="B2" s="31"/>
      <c r="C2" s="31"/>
      <c r="D2" s="32"/>
      <c r="E2" s="32"/>
      <c r="F2" s="32"/>
      <c r="G2" s="809"/>
      <c r="H2" s="56"/>
      <c r="I2" s="56"/>
      <c r="J2" s="56"/>
      <c r="K2" s="42"/>
      <c r="L2" s="34"/>
      <c r="M2" s="34"/>
      <c r="N2" s="34"/>
      <c r="O2" s="34"/>
      <c r="P2" s="34"/>
      <c r="Q2" s="34"/>
      <c r="R2" s="34"/>
      <c r="S2" s="34"/>
      <c r="T2" s="34"/>
      <c r="U2" s="34"/>
      <c r="V2" s="34"/>
      <c r="W2" s="34"/>
      <c r="X2" s="34"/>
      <c r="Y2" s="34"/>
    </row>
    <row r="3" spans="1:27">
      <c r="B3" s="32"/>
      <c r="C3" s="32"/>
      <c r="D3" s="32"/>
      <c r="E3" s="32"/>
      <c r="F3" s="32"/>
      <c r="G3" s="809"/>
      <c r="H3" s="56"/>
      <c r="I3" s="56"/>
      <c r="J3" s="56"/>
      <c r="K3" s="41"/>
      <c r="L3" s="35"/>
      <c r="M3" s="35"/>
      <c r="N3" s="35"/>
      <c r="O3" s="35"/>
      <c r="P3" s="35"/>
      <c r="Q3" s="35"/>
      <c r="R3" s="35"/>
      <c r="S3" s="35"/>
      <c r="T3" s="35"/>
      <c r="U3" s="35"/>
      <c r="V3" s="35"/>
      <c r="W3" s="35"/>
      <c r="X3" s="35"/>
      <c r="Y3" s="35"/>
    </row>
    <row r="4" spans="1:27" ht="22.5">
      <c r="B4" s="42"/>
      <c r="C4" s="975" t="s">
        <v>93</v>
      </c>
      <c r="D4" s="975"/>
      <c r="E4" s="975"/>
      <c r="F4" s="975"/>
      <c r="G4" s="975"/>
      <c r="H4" s="975"/>
      <c r="I4" s="975"/>
      <c r="J4" s="975"/>
      <c r="K4" s="975"/>
      <c r="L4" s="975"/>
      <c r="M4" s="975"/>
    </row>
    <row r="5" spans="1:27" ht="14.25">
      <c r="B5" s="42"/>
      <c r="C5" s="976"/>
      <c r="D5" s="976"/>
      <c r="E5" s="976"/>
      <c r="F5" s="976"/>
      <c r="G5" s="976"/>
      <c r="H5" s="976"/>
      <c r="I5" s="976"/>
      <c r="J5" s="976"/>
      <c r="K5" s="976"/>
      <c r="L5" s="976"/>
      <c r="M5" s="976"/>
    </row>
    <row r="6" spans="1:27">
      <c r="B6" s="42"/>
      <c r="C6" s="42"/>
      <c r="D6" s="42"/>
      <c r="E6" s="42"/>
      <c r="F6" s="42"/>
      <c r="G6" s="42"/>
      <c r="H6" s="43"/>
      <c r="I6" s="43"/>
      <c r="J6" s="43"/>
      <c r="K6" s="42"/>
      <c r="L6" s="34"/>
      <c r="M6" s="34"/>
      <c r="N6" s="34"/>
      <c r="O6" s="34"/>
      <c r="P6" s="34"/>
      <c r="Q6" s="34"/>
      <c r="R6" s="34"/>
      <c r="S6" s="34"/>
      <c r="T6" s="34"/>
      <c r="U6" s="34"/>
      <c r="V6" s="34"/>
      <c r="W6" s="34"/>
      <c r="X6" s="34"/>
      <c r="Y6" s="34"/>
    </row>
    <row r="7" spans="1:27" ht="24.75" customHeight="1">
      <c r="A7" s="991" t="s">
        <v>117</v>
      </c>
      <c r="B7" s="983" t="s">
        <v>101</v>
      </c>
      <c r="C7" s="977" t="s">
        <v>20</v>
      </c>
      <c r="D7" s="979" t="s">
        <v>1</v>
      </c>
      <c r="E7" s="980"/>
      <c r="F7" s="977" t="s">
        <v>0</v>
      </c>
      <c r="G7" s="983" t="s">
        <v>116</v>
      </c>
      <c r="H7" s="993" t="s">
        <v>44</v>
      </c>
      <c r="I7" s="999" t="s">
        <v>249</v>
      </c>
      <c r="J7" s="1000"/>
      <c r="K7" s="977" t="s">
        <v>157</v>
      </c>
      <c r="L7" s="981" t="s">
        <v>94</v>
      </c>
      <c r="M7" s="982"/>
      <c r="N7" s="997" t="s">
        <v>391</v>
      </c>
      <c r="O7" s="985" t="s">
        <v>47</v>
      </c>
      <c r="P7" s="986"/>
      <c r="Q7" s="987"/>
      <c r="R7" s="985" t="s">
        <v>51</v>
      </c>
      <c r="S7" s="986"/>
      <c r="T7" s="987"/>
      <c r="U7" s="997" t="s">
        <v>390</v>
      </c>
      <c r="V7" s="995" t="str">
        <f>CTTK!$E$7</f>
        <v>642</v>
      </c>
      <c r="W7" s="974" t="s">
        <v>159</v>
      </c>
      <c r="X7" s="974"/>
      <c r="Y7" s="974"/>
      <c r="Z7" s="974" t="s">
        <v>333</v>
      </c>
      <c r="AA7" s="775"/>
    </row>
    <row r="8" spans="1:27" ht="24.75" customHeight="1">
      <c r="A8" s="992"/>
      <c r="B8" s="984"/>
      <c r="C8" s="978"/>
      <c r="D8" s="807" t="s">
        <v>15</v>
      </c>
      <c r="E8" s="806" t="s">
        <v>32</v>
      </c>
      <c r="F8" s="978"/>
      <c r="G8" s="984"/>
      <c r="H8" s="994"/>
      <c r="I8" s="805" t="s">
        <v>191</v>
      </c>
      <c r="J8" s="805" t="s">
        <v>192</v>
      </c>
      <c r="K8" s="978"/>
      <c r="L8" s="808" t="s">
        <v>22</v>
      </c>
      <c r="M8" s="808" t="s">
        <v>23</v>
      </c>
      <c r="N8" s="998"/>
      <c r="O8" s="988"/>
      <c r="P8" s="989"/>
      <c r="Q8" s="990"/>
      <c r="R8" s="988"/>
      <c r="S8" s="989"/>
      <c r="T8" s="990"/>
      <c r="U8" s="998"/>
      <c r="V8" s="996"/>
      <c r="W8" s="974"/>
      <c r="X8" s="974"/>
      <c r="Y8" s="974"/>
      <c r="Z8" s="974"/>
      <c r="AA8" s="775"/>
    </row>
    <row r="9" spans="1:27">
      <c r="A9" s="199">
        <v>1</v>
      </c>
      <c r="B9" s="200">
        <v>2</v>
      </c>
      <c r="C9" s="199">
        <v>3</v>
      </c>
      <c r="D9" s="200">
        <v>4</v>
      </c>
      <c r="E9" s="199">
        <v>5</v>
      </c>
      <c r="F9" s="200">
        <v>6</v>
      </c>
      <c r="G9" s="199">
        <v>7</v>
      </c>
      <c r="H9" s="200">
        <v>8</v>
      </c>
      <c r="I9" s="199">
        <v>9</v>
      </c>
      <c r="J9" s="200">
        <v>10</v>
      </c>
      <c r="K9" s="199">
        <v>11</v>
      </c>
      <c r="L9" s="200">
        <v>12</v>
      </c>
      <c r="M9" s="199">
        <v>13</v>
      </c>
      <c r="N9" s="200">
        <v>16</v>
      </c>
      <c r="O9" s="201">
        <v>17</v>
      </c>
      <c r="P9" s="200">
        <v>18</v>
      </c>
      <c r="Q9" s="201">
        <v>19</v>
      </c>
      <c r="R9" s="200">
        <v>20</v>
      </c>
      <c r="S9" s="200"/>
      <c r="T9" s="200"/>
      <c r="U9" s="200">
        <v>26</v>
      </c>
      <c r="V9" s="201">
        <v>27</v>
      </c>
      <c r="W9" s="200">
        <v>19</v>
      </c>
      <c r="X9" s="200">
        <v>20</v>
      </c>
      <c r="Y9" s="200"/>
      <c r="Z9" s="200">
        <v>21</v>
      </c>
      <c r="AA9" s="776"/>
    </row>
    <row r="10" spans="1:27" s="662" customFormat="1" ht="15.75" customHeight="1">
      <c r="A10" s="804" t="str">
        <f>IF(B10&lt;&gt;"",IF(AND(B10&gt;=_TM1,B10&lt;=_TM2,OR(TH!L10="1111",TH!M10="1111")),TH!D10,""),"")</f>
        <v/>
      </c>
      <c r="B10" s="661">
        <f t="shared" ref="B10:B22" si="0">IF(C10&lt;&gt;"",MONTH(C10),"")</f>
        <v>12</v>
      </c>
      <c r="C10" s="47">
        <f t="shared" ref="C10:C22" si="1">E10</f>
        <v>42369</v>
      </c>
      <c r="D10" s="47" t="s">
        <v>95</v>
      </c>
      <c r="E10" s="47">
        <v>42369</v>
      </c>
      <c r="F10" s="48" t="s">
        <v>150</v>
      </c>
      <c r="G10" s="810"/>
      <c r="H10" s="49"/>
      <c r="I10" s="241"/>
      <c r="J10" s="241"/>
      <c r="K10" s="50">
        <f>CDPS!D35</f>
        <v>0</v>
      </c>
      <c r="L10" s="51" t="s">
        <v>76</v>
      </c>
      <c r="M10" s="51" t="s">
        <v>74</v>
      </c>
      <c r="N10" s="51" t="str">
        <f>IF(AND('331-CT'!$E$7=TH!H10,OR(L10="331",M10="331")),"331",IF(AND(OR(L10="131",M10="131"),H10='131-CT'!$E$7),"131",""))</f>
        <v/>
      </c>
      <c r="O10" s="51" t="str">
        <f>IF(AND($B10&gt;='111'!$N$11,$B10&lt;='111'!$O$11,OR($L10=$O$7,$M10=$O$7)),"x","")</f>
        <v/>
      </c>
      <c r="P10" s="51" t="str">
        <f>IF(AND($L10=$O$7,$B10&lt;'111'!$N$11),"x","")</f>
        <v/>
      </c>
      <c r="Q10" s="51" t="str">
        <f>IF(AND($M10=$O$7,$B10&lt;'111'!$N$11),"x","")</f>
        <v/>
      </c>
      <c r="R10" s="51" t="str">
        <f>IF(ISERROR(FIND('112'!$M$9,G10,1)),"",IF((AND(FIND('112'!$M$9,G10,1)&gt;=1,$B10&gt;='112'!$N$8,$B10&lt;='112'!$O$8,OR($L10='112'!$I$6,$M10='112'!$I$6))),"x",""))</f>
        <v/>
      </c>
      <c r="S10" s="51" t="str">
        <f>IF(ISERROR(FIND('112'!$M$9,G10,1)),"",IF((AND(LEFT(G10,2)=LEFT('112'!$M$9,2),B10&lt;'112'!$N$8,$L10='112'!$I$6)),"x",""))</f>
        <v/>
      </c>
      <c r="T10" s="51" t="str">
        <f>IF(ISERROR(FIND('112'!$M$9,G10,1)),"",IF((AND(RIGHT(G10,2)=RIGHT('112'!$M$9,2),B10&lt;'112'!$N$8,$M10='112'!$I$6)),"x",""))</f>
        <v/>
      </c>
      <c r="U10" s="51" t="str">
        <f>IF(AND(L10="154",'154'!$O$5&lt;=B10,'154'!$P$5&gt;=B10),"154",IF(AND(L10="632",'632'!$L$5&lt;=B10,'632'!$M$5&gt;=B10),"632",IF(AND(L10="642",'642'!$N$5&lt;=B10,'642'!$O$5&gt;=B10),"642",IF(AND(L10="641",'641'!$N$5&lt;=B10,'641'!$O$5&gt;=B10),"641",""))))</f>
        <v/>
      </c>
      <c r="V10" s="51" t="str">
        <f>IF(OR(TH!L10=TH!$V$7,M10=TH!$V$7),"x","")</f>
        <v/>
      </c>
      <c r="W10" s="51" t="str">
        <f>IF(AND(B10&gt;='IN-NX'!$P$3,B10&lt;='IN-NX'!$Q$3,'IN-NX'!$D$7=D10,OR(LEFT(L10,2)="15",AND(LEFT(M10,2)&lt;&gt;"15",LEFT(M10,2)&lt;&gt;"33"))),"x","")</f>
        <v/>
      </c>
      <c r="X10" s="51" t="str">
        <f>IF(AND(OR(LEFT(TH!L10,2)="15",LEFT(TH!M10,2)="15"),'152-CT'!$J$8=TH!F10),"x","")</f>
        <v/>
      </c>
      <c r="Y10" s="51" t="str">
        <f>IF(AND(OR(LEFT(TH!L10,2)="15",LEFT(TH!M10,2)="15"),TK!$E$7=TH!F10),"x","")</f>
        <v/>
      </c>
      <c r="Z10" s="51" t="str">
        <f>IF(AND(B10&lt;=NKC!$N$8,B10&gt;=NKC!$M$8),"x","")</f>
        <v/>
      </c>
      <c r="AA10" s="777"/>
    </row>
    <row r="11" spans="1:27" s="662" customFormat="1" ht="15.75" customHeight="1">
      <c r="A11" s="804" t="str">
        <f>IF(B11&lt;&gt;"",IF(AND(B11&gt;=_TM1,B11&lt;=_TM2,OR(TH!L11="1111",TH!M11="1111")),TH!D11,""),"")</f>
        <v/>
      </c>
      <c r="B11" s="661">
        <f t="shared" si="0"/>
        <v>12</v>
      </c>
      <c r="C11" s="47">
        <f t="shared" si="1"/>
        <v>42369</v>
      </c>
      <c r="D11" s="47" t="s">
        <v>95</v>
      </c>
      <c r="E11" s="47">
        <v>42369</v>
      </c>
      <c r="F11" s="48" t="s">
        <v>262</v>
      </c>
      <c r="G11" s="810"/>
      <c r="H11" s="49"/>
      <c r="I11" s="241"/>
      <c r="J11" s="241"/>
      <c r="K11" s="50">
        <f>SUMIF(KHC,L11,TH)</f>
        <v>208317285</v>
      </c>
      <c r="L11" s="52" t="s">
        <v>352</v>
      </c>
      <c r="M11" s="51" t="s">
        <v>9</v>
      </c>
      <c r="N11" s="51" t="str">
        <f>IF(AND('331-CT'!$E$7=TH!H11,OR(L11="331",M11="331")),"331",IF(AND(OR(L11="131",M11="131"),H11='131-CT'!$E$7),"131",""))</f>
        <v/>
      </c>
      <c r="O11" s="51" t="str">
        <f>IF(AND($B11&gt;='111'!$N$11,$B11&lt;='111'!$O$11,OR($L11=$O$7,$M11=$O$7)),"x","")</f>
        <v/>
      </c>
      <c r="P11" s="51" t="str">
        <f>IF(AND($L11=$O$7,$B11&lt;'111'!$N$11),"x","")</f>
        <v/>
      </c>
      <c r="Q11" s="51" t="str">
        <f>IF(AND($M11=$O$7,$B11&lt;'111'!$N$11),"x","")</f>
        <v/>
      </c>
      <c r="R11" s="51" t="str">
        <f>IF(ISERROR(FIND('112'!$M$9,G11,1)),"",IF((AND(FIND('112'!$M$9,G11,1)&gt;=1,$B11&gt;='112'!$N$8,$B11&lt;='112'!$O$8,OR($L11='112'!$I$6,$M11='112'!$I$6))),"x",""))</f>
        <v/>
      </c>
      <c r="S11" s="51" t="str">
        <f>IF(ISERROR(FIND('112'!$M$9,G11,1)),"",IF((AND(LEFT(G11,2)=LEFT('112'!$M$9,2),B11&lt;'112'!$N$8,$L11='112'!$I$6)),"x",""))</f>
        <v/>
      </c>
      <c r="T11" s="51" t="str">
        <f>IF(ISERROR(FIND('112'!$M$9,G11,1)),"",IF((AND(RIGHT(G11,2)=RIGHT('112'!$M$9,2),B11&lt;'112'!$N$8,$M11='112'!$I$6)),"x",""))</f>
        <v/>
      </c>
      <c r="U11" s="51" t="str">
        <f>IF(AND(L11="154",'154'!$O$5&lt;=B11,'154'!$P$5&gt;=B11),"154",IF(AND(L11="632",'632'!$L$5&lt;=B11,'632'!$M$5&gt;=B11),"632",IF(AND(L11="642",'642'!$N$5&lt;=B11,'642'!$O$5&gt;=B11),"642",IF(AND(L11="641",'641'!$N$5&lt;=B11,'641'!$O$5&gt;=B11),"641",""))))</f>
        <v/>
      </c>
      <c r="V11" s="51" t="str">
        <f>IF(OR(TH!L11=TH!$V$7,M11=TH!$V$7),"x","")</f>
        <v/>
      </c>
      <c r="W11" s="51" t="str">
        <f>IF(AND(B11&gt;='IN-NX'!$P$3,B11&lt;='IN-NX'!$Q$3,'IN-NX'!$D$7=D11,OR(LEFT(L11,2)="15",AND(LEFT(M11,2)&lt;&gt;"15",LEFT(M11,2)&lt;&gt;"33"))),"x","")</f>
        <v/>
      </c>
      <c r="X11" s="51" t="str">
        <f>IF(AND(OR(LEFT(TH!L11,2)="15",LEFT(TH!M11,2)="15"),'152-CT'!$J$8=TH!F11),"x","")</f>
        <v/>
      </c>
      <c r="Y11" s="51" t="str">
        <f>IF(AND(OR(LEFT(TH!L11,2)="15",LEFT(TH!M11,2)="15"),TK!$E$7=TH!F11),"x","")</f>
        <v/>
      </c>
      <c r="Z11" s="51" t="str">
        <f>IF(AND(B11&lt;=NKC!$N$8,B11&gt;=NKC!$M$8),"x","")</f>
        <v/>
      </c>
      <c r="AA11" s="777"/>
    </row>
    <row r="12" spans="1:27" s="662" customFormat="1" ht="15.75" customHeight="1">
      <c r="A12" s="804" t="str">
        <f>IF(B12&lt;&gt;"",IF(AND(B12&gt;=_TM1,B12&lt;=_TM2,OR(TH!L12="1111",TH!M12="1111")),TH!D12,""),"")</f>
        <v/>
      </c>
      <c r="B12" s="661">
        <f t="shared" si="0"/>
        <v>12</v>
      </c>
      <c r="C12" s="47">
        <f t="shared" si="1"/>
        <v>42369</v>
      </c>
      <c r="D12" s="47" t="s">
        <v>95</v>
      </c>
      <c r="E12" s="47">
        <v>42369</v>
      </c>
      <c r="F12" s="48" t="s">
        <v>263</v>
      </c>
      <c r="G12" s="810"/>
      <c r="H12" s="49"/>
      <c r="I12" s="241"/>
      <c r="J12" s="241"/>
      <c r="K12" s="50">
        <f>SUMIF(KHN,M12,TH)</f>
        <v>1682437992</v>
      </c>
      <c r="L12" s="52" t="s">
        <v>91</v>
      </c>
      <c r="M12" s="51" t="s">
        <v>162</v>
      </c>
      <c r="N12" s="51" t="str">
        <f>IF(AND('331-CT'!$E$7=TH!H12,OR(L12="331",M12="331")),"331",IF(AND(OR(L12="131",M12="131"),H12='131-CT'!$E$7),"131",""))</f>
        <v/>
      </c>
      <c r="O12" s="51" t="str">
        <f>IF(AND($B12&gt;='111'!$N$11,$B12&lt;='111'!$O$11,OR($L12=$O$7,$M12=$O$7)),"x","")</f>
        <v/>
      </c>
      <c r="P12" s="51" t="str">
        <f>IF(AND($L12=$O$7,$B12&lt;'111'!$N$11),"x","")</f>
        <v/>
      </c>
      <c r="Q12" s="51" t="str">
        <f>IF(AND($M12=$O$7,$B12&lt;'111'!$N$11),"x","")</f>
        <v/>
      </c>
      <c r="R12" s="51" t="str">
        <f>IF(ISERROR(FIND('112'!$M$9,G12,1)),"",IF((AND(FIND('112'!$M$9,G12,1)&gt;=1,$B12&gt;='112'!$N$8,$B12&lt;='112'!$O$8,OR($L12='112'!$I$6,$M12='112'!$I$6))),"x",""))</f>
        <v/>
      </c>
      <c r="S12" s="51" t="str">
        <f>IF(ISERROR(FIND('112'!$M$9,G12,1)),"",IF((AND(LEFT(G12,2)=LEFT('112'!$M$9,2),B12&lt;'112'!$N$8,$L12='112'!$I$6)),"x",""))</f>
        <v/>
      </c>
      <c r="T12" s="51" t="str">
        <f>IF(ISERROR(FIND('112'!$M$9,G12,1)),"",IF((AND(RIGHT(G12,2)=RIGHT('112'!$M$9,2),B12&lt;'112'!$N$8,$M12='112'!$I$6)),"x",""))</f>
        <v/>
      </c>
      <c r="U12" s="51" t="str">
        <f>IF(AND(L12="154",'154'!$O$5&lt;=B12,'154'!$P$5&gt;=B12),"154",IF(AND(L12="632",'632'!$L$5&lt;=B12,'632'!$M$5&gt;=B12),"632",IF(AND(L12="642",'642'!$N$5&lt;=B12,'642'!$O$5&gt;=B12),"642",IF(AND(L12="641",'641'!$N$5&lt;=B12,'641'!$O$5&gt;=B12),"641",""))))</f>
        <v/>
      </c>
      <c r="V12" s="51" t="str">
        <f>IF(OR(TH!L12=TH!$V$7,M12=TH!$V$7),"x","")</f>
        <v/>
      </c>
      <c r="W12" s="51" t="str">
        <f>IF(AND(B12&gt;='IN-NX'!$P$3,B12&lt;='IN-NX'!$Q$3,'IN-NX'!$D$7=D12,OR(LEFT(L12,2)="15",AND(LEFT(M12,2)&lt;&gt;"15",LEFT(M12,2)&lt;&gt;"33"))),"x","")</f>
        <v/>
      </c>
      <c r="X12" s="51" t="str">
        <f>IF(AND(OR(LEFT(TH!L12,2)="15",LEFT(TH!M12,2)="15"),'152-CT'!$J$8=TH!F12),"x","")</f>
        <v/>
      </c>
      <c r="Y12" s="51" t="str">
        <f>IF(AND(OR(LEFT(TH!L12,2)="15",LEFT(TH!M12,2)="15"),TK!$E$7=TH!F12),"x","")</f>
        <v/>
      </c>
      <c r="Z12" s="51" t="str">
        <f>IF(AND(B12&lt;=NKC!$N$8,B12&gt;=NKC!$M$8),"x","")</f>
        <v/>
      </c>
      <c r="AA12" s="777"/>
    </row>
    <row r="13" spans="1:27" s="662" customFormat="1" ht="15.75" customHeight="1">
      <c r="A13" s="804" t="str">
        <f>IF(B13&lt;&gt;"",IF(AND(B13&gt;=_TM1,B13&lt;=_TM2,OR(TH!L13="1111",TH!M13="1111")),TH!D13,""),"")</f>
        <v/>
      </c>
      <c r="B13" s="661">
        <f t="shared" si="0"/>
        <v>12</v>
      </c>
      <c r="C13" s="47">
        <f t="shared" si="1"/>
        <v>42369</v>
      </c>
      <c r="D13" s="47" t="s">
        <v>95</v>
      </c>
      <c r="E13" s="47">
        <v>42369</v>
      </c>
      <c r="F13" s="48" t="s">
        <v>96</v>
      </c>
      <c r="G13" s="810"/>
      <c r="H13" s="53"/>
      <c r="I13" s="242"/>
      <c r="J13" s="242"/>
      <c r="K13" s="50">
        <f>SUMIF(KHN,M13,TH)</f>
        <v>0</v>
      </c>
      <c r="L13" s="51" t="s">
        <v>91</v>
      </c>
      <c r="M13" s="51" t="s">
        <v>81</v>
      </c>
      <c r="N13" s="51" t="str">
        <f>IF(AND('331-CT'!$E$7=TH!H13,OR(L13="331",M13="331")),"331",IF(AND(OR(L13="131",M13="131"),H13='131-CT'!$E$7),"131",""))</f>
        <v/>
      </c>
      <c r="O13" s="51" t="str">
        <f>IF(AND($B13&gt;='111'!$N$11,$B13&lt;='111'!$O$11,OR($L13=$O$7,$M13=$O$7)),"x","")</f>
        <v/>
      </c>
      <c r="P13" s="51" t="str">
        <f>IF(AND($L13=$O$7,$B13&lt;'111'!$N$11),"x","")</f>
        <v/>
      </c>
      <c r="Q13" s="51" t="str">
        <f>IF(AND($M13=$O$7,$B13&lt;'111'!$N$11),"x","")</f>
        <v/>
      </c>
      <c r="R13" s="51" t="str">
        <f>IF(ISERROR(FIND('112'!$M$9,G13,1)),"",IF((AND(FIND('112'!$M$9,G13,1)&gt;=1,$B13&gt;='112'!$N$8,$B13&lt;='112'!$O$8,OR($L13='112'!$I$6,$M13='112'!$I$6))),"x",""))</f>
        <v/>
      </c>
      <c r="S13" s="51" t="str">
        <f>IF(ISERROR(FIND('112'!$M$9,G13,1)),"",IF((AND(LEFT(G13,2)=LEFT('112'!$M$9,2),B13&lt;'112'!$N$8,$L13='112'!$I$6)),"x",""))</f>
        <v/>
      </c>
      <c r="T13" s="51" t="str">
        <f>IF(ISERROR(FIND('112'!$M$9,G13,1)),"",IF((AND(RIGHT(G13,2)=RIGHT('112'!$M$9,2),B13&lt;'112'!$N$8,$M13='112'!$I$6)),"x",""))</f>
        <v/>
      </c>
      <c r="U13" s="51" t="str">
        <f>IF(AND(L13="154",'154'!$O$5&lt;=B13,'154'!$P$5&gt;=B13),"154",IF(AND(L13="632",'632'!$L$5&lt;=B13,'632'!$M$5&gt;=B13),"632",IF(AND(L13="642",'642'!$N$5&lt;=B13,'642'!$O$5&gt;=B13),"642",IF(AND(L13="641",'641'!$N$5&lt;=B13,'641'!$O$5&gt;=B13),"641",""))))</f>
        <v/>
      </c>
      <c r="V13" s="51" t="str">
        <f>IF(OR(TH!L13=TH!$V$7,M13=TH!$V$7),"x","")</f>
        <v/>
      </c>
      <c r="W13" s="51" t="str">
        <f>IF(AND(B13&gt;='IN-NX'!$P$3,B13&lt;='IN-NX'!$Q$3,'IN-NX'!$D$7=D13,OR(LEFT(L13,2)="15",AND(LEFT(M13,2)&lt;&gt;"15",LEFT(M13,2)&lt;&gt;"33"))),"x","")</f>
        <v/>
      </c>
      <c r="X13" s="51" t="str">
        <f>IF(AND(OR(LEFT(TH!L13,2)="15",LEFT(TH!M13,2)="15"),'152-CT'!$J$8=TH!F13),"x","")</f>
        <v/>
      </c>
      <c r="Y13" s="51" t="str">
        <f>IF(AND(OR(LEFT(TH!L13,2)="15",LEFT(TH!M13,2)="15"),TK!$E$7=TH!F13),"x","")</f>
        <v/>
      </c>
      <c r="Z13" s="51" t="str">
        <f>IF(AND(B13&lt;=NKC!$N$8,B13&gt;=NKC!$M$8),"x","")</f>
        <v/>
      </c>
      <c r="AA13" s="777"/>
    </row>
    <row r="14" spans="1:27" s="662" customFormat="1" ht="15.75" customHeight="1">
      <c r="A14" s="804" t="str">
        <f>IF(B14&lt;&gt;"",IF(AND(B14&gt;=_TM1,B14&lt;=_TM2,OR(TH!L14="1111",TH!M14="1111")),TH!D14,""),"")</f>
        <v/>
      </c>
      <c r="B14" s="661">
        <f t="shared" si="0"/>
        <v>12</v>
      </c>
      <c r="C14" s="47">
        <f t="shared" ref="C14" si="2">E14</f>
        <v>42369</v>
      </c>
      <c r="D14" s="47" t="s">
        <v>95</v>
      </c>
      <c r="E14" s="47">
        <v>42369</v>
      </c>
      <c r="F14" s="48" t="s">
        <v>401</v>
      </c>
      <c r="G14" s="810"/>
      <c r="H14" s="49"/>
      <c r="I14" s="241"/>
      <c r="J14" s="241"/>
      <c r="K14" s="50">
        <f>SUMIF(KHN,M14,TH)</f>
        <v>1409132</v>
      </c>
      <c r="L14" s="51" t="s">
        <v>91</v>
      </c>
      <c r="M14" s="51" t="s">
        <v>89</v>
      </c>
      <c r="N14" s="51" t="str">
        <f>IF(AND('331-CT'!$E$7=TH!H14,OR(L14="331",M14="331")),"331",IF(AND(OR(L14="131",M14="131"),H14='131-CT'!$E$7),"131",""))</f>
        <v/>
      </c>
      <c r="O14" s="51" t="str">
        <f>IF(AND($B14&gt;='111'!$N$11,$B14&lt;='111'!$O$11,OR($L14=$O$7,$M14=$O$7)),"x","")</f>
        <v/>
      </c>
      <c r="P14" s="51" t="str">
        <f>IF(AND($L14=$O$7,$B14&lt;'111'!$N$11),"x","")</f>
        <v/>
      </c>
      <c r="Q14" s="51" t="str">
        <f>IF(AND($M14=$O$7,$B14&lt;'111'!$N$11),"x","")</f>
        <v/>
      </c>
      <c r="R14" s="51" t="str">
        <f>IF(ISERROR(FIND('112'!$M$9,G14,1)),"",IF((AND(FIND('112'!$M$9,G14,1)&gt;=1,$B14&gt;='112'!$N$8,$B14&lt;='112'!$O$8,OR($L14='112'!$I$6,$M14='112'!$I$6))),"x",""))</f>
        <v/>
      </c>
      <c r="S14" s="51" t="str">
        <f>IF(ISERROR(FIND('112'!$M$9,G14,1)),"",IF((AND(LEFT(G14,2)=LEFT('112'!$M$9,2),B14&lt;'112'!$N$8,$L14='112'!$I$6)),"x",""))</f>
        <v/>
      </c>
      <c r="T14" s="51" t="str">
        <f>IF(ISERROR(FIND('112'!$M$9,G14,1)),"",IF((AND(RIGHT(G14,2)=RIGHT('112'!$M$9,2),B14&lt;'112'!$N$8,$M14='112'!$I$6)),"x",""))</f>
        <v/>
      </c>
      <c r="U14" s="51" t="str">
        <f>IF(AND(L14="154",'154'!$O$5&lt;=B14,'154'!$P$5&gt;=B14),"154",IF(AND(L14="632",'632'!$L$5&lt;=B14,'632'!$M$5&gt;=B14),"632",IF(AND(L14="642",'642'!$N$5&lt;=B14,'642'!$O$5&gt;=B14),"642",IF(AND(L14="641",'641'!$N$5&lt;=B14,'641'!$O$5&gt;=B14),"641",""))))</f>
        <v/>
      </c>
      <c r="V14" s="51" t="str">
        <f>IF(OR(TH!L14=TH!$V$7,M14=TH!$V$7),"x","")</f>
        <v/>
      </c>
      <c r="W14" s="51" t="str">
        <f>IF(AND(B14&gt;='IN-NX'!$P$3,B14&lt;='IN-NX'!$Q$3,'IN-NX'!$D$7=D14,OR(LEFT(L14,2)="15",AND(LEFT(M14,2)&lt;&gt;"15",LEFT(M14,2)&lt;&gt;"33"))),"x","")</f>
        <v/>
      </c>
      <c r="X14" s="51" t="str">
        <f>IF(AND(OR(LEFT(TH!L14,2)="15",LEFT(TH!M14,2)="15"),'152-CT'!$J$8=TH!F14),"x","")</f>
        <v/>
      </c>
      <c r="Y14" s="51" t="str">
        <f>IF(AND(OR(LEFT(TH!L14,2)="15",LEFT(TH!M14,2)="15"),TK!$E$7=TH!F14),"x","")</f>
        <v/>
      </c>
      <c r="Z14" s="51" t="str">
        <f>IF(AND(B14&lt;=NKC!$N$8,B14&gt;=NKC!$M$8),"x","")</f>
        <v/>
      </c>
      <c r="AA14" s="777"/>
    </row>
    <row r="15" spans="1:27" s="662" customFormat="1" ht="15.75" customHeight="1">
      <c r="A15" s="804" t="str">
        <f>IF(B15&lt;&gt;"",IF(AND(B15&gt;=_TM1,B15&lt;=_TM2,OR(TH!L15="1111",TH!M15="1111")),TH!D15,""),"")</f>
        <v/>
      </c>
      <c r="B15" s="661">
        <f t="shared" si="0"/>
        <v>12</v>
      </c>
      <c r="C15" s="47">
        <f t="shared" si="1"/>
        <v>42369</v>
      </c>
      <c r="D15" s="47" t="s">
        <v>95</v>
      </c>
      <c r="E15" s="47">
        <v>42369</v>
      </c>
      <c r="F15" s="48" t="s">
        <v>264</v>
      </c>
      <c r="G15" s="810"/>
      <c r="H15" s="49"/>
      <c r="I15" s="241"/>
      <c r="J15" s="241"/>
      <c r="K15" s="50">
        <f>SUMIF(KHN,M15,TH)</f>
        <v>14272798</v>
      </c>
      <c r="L15" s="51" t="s">
        <v>91</v>
      </c>
      <c r="M15" s="51" t="s">
        <v>251</v>
      </c>
      <c r="N15" s="51" t="str">
        <f>IF(AND('331-CT'!$E$7=TH!H15,OR(L15="331",M15="331")),"331",IF(AND(OR(L15="131",M15="131"),H15='131-CT'!$E$7),"131",""))</f>
        <v/>
      </c>
      <c r="O15" s="51" t="str">
        <f>IF(AND($B15&gt;='111'!$N$11,$B15&lt;='111'!$O$11,OR($L15=$O$7,$M15=$O$7)),"x","")</f>
        <v/>
      </c>
      <c r="P15" s="51" t="str">
        <f>IF(AND($L15=$O$7,$B15&lt;'111'!$N$11),"x","")</f>
        <v/>
      </c>
      <c r="Q15" s="51" t="str">
        <f>IF(AND($M15=$O$7,$B15&lt;'111'!$N$11),"x","")</f>
        <v/>
      </c>
      <c r="R15" s="51" t="str">
        <f>IF(ISERROR(FIND('112'!$M$9,G15,1)),"",IF((AND(FIND('112'!$M$9,G15,1)&gt;=1,$B15&gt;='112'!$N$8,$B15&lt;='112'!$O$8,OR($L15='112'!$I$6,$M15='112'!$I$6))),"x",""))</f>
        <v/>
      </c>
      <c r="S15" s="51" t="str">
        <f>IF(ISERROR(FIND('112'!$M$9,G15,1)),"",IF((AND(LEFT(G15,2)=LEFT('112'!$M$9,2),B15&lt;'112'!$N$8,$L15='112'!$I$6)),"x",""))</f>
        <v/>
      </c>
      <c r="T15" s="51" t="str">
        <f>IF(ISERROR(FIND('112'!$M$9,G15,1)),"",IF((AND(RIGHT(G15,2)=RIGHT('112'!$M$9,2),B15&lt;'112'!$N$8,$M15='112'!$I$6)),"x",""))</f>
        <v/>
      </c>
      <c r="U15" s="51" t="str">
        <f>IF(AND(L15="154",'154'!$O$5&lt;=B15,'154'!$P$5&gt;=B15),"154",IF(AND(L15="632",'632'!$L$5&lt;=B15,'632'!$M$5&gt;=B15),"632",IF(AND(L15="642",'642'!$N$5&lt;=B15,'642'!$O$5&gt;=B15),"642",IF(AND(L15="641",'641'!$N$5&lt;=B15,'641'!$O$5&gt;=B15),"641",""))))</f>
        <v/>
      </c>
      <c r="V15" s="51" t="str">
        <f>IF(OR(TH!L15=TH!$V$7,M15=TH!$V$7),"x","")</f>
        <v/>
      </c>
      <c r="W15" s="51" t="str">
        <f>IF(AND(B15&gt;='IN-NX'!$P$3,B15&lt;='IN-NX'!$Q$3,'IN-NX'!$D$7=D15,OR(LEFT(L15,2)="15",AND(LEFT(M15,2)&lt;&gt;"15",LEFT(M15,2)&lt;&gt;"33"))),"x","")</f>
        <v/>
      </c>
      <c r="X15" s="51" t="str">
        <f>IF(AND(OR(LEFT(TH!L15,2)="15",LEFT(TH!M15,2)="15"),'152-CT'!$J$8=TH!F15),"x","")</f>
        <v/>
      </c>
      <c r="Y15" s="51" t="str">
        <f>IF(AND(OR(LEFT(TH!L15,2)="15",LEFT(TH!M15,2)="15"),TK!$E$7=TH!F15),"x","")</f>
        <v/>
      </c>
      <c r="Z15" s="51" t="str">
        <f>IF(AND(B15&lt;=NKC!$N$8,B15&gt;=NKC!$M$8),"x","")</f>
        <v/>
      </c>
      <c r="AA15" s="777"/>
    </row>
    <row r="16" spans="1:27" s="662" customFormat="1" ht="15.75" customHeight="1">
      <c r="A16" s="804" t="str">
        <f>IF(B16&lt;&gt;"",IF(AND(B16&gt;=_TM1,B16&lt;=_TM2,OR(TH!L16="1111",TH!M16="1111")),TH!D16,""),"")</f>
        <v/>
      </c>
      <c r="B16" s="661">
        <f t="shared" si="0"/>
        <v>12</v>
      </c>
      <c r="C16" s="47">
        <f t="shared" si="1"/>
        <v>42369</v>
      </c>
      <c r="D16" s="47" t="s">
        <v>95</v>
      </c>
      <c r="E16" s="47">
        <v>42369</v>
      </c>
      <c r="F16" s="48" t="s">
        <v>97</v>
      </c>
      <c r="G16" s="810"/>
      <c r="H16" s="49"/>
      <c r="I16" s="241"/>
      <c r="J16" s="241"/>
      <c r="K16" s="50">
        <f>SUMIF(KHN,M16,TH)</f>
        <v>379818290</v>
      </c>
      <c r="L16" s="51" t="s">
        <v>91</v>
      </c>
      <c r="M16" s="51" t="s">
        <v>83</v>
      </c>
      <c r="N16" s="51" t="str">
        <f>IF(AND('331-CT'!$E$7=TH!H16,OR(L16="331",M16="331")),"331",IF(AND(OR(L16="131",M16="131"),H16='131-CT'!$E$7),"131",""))</f>
        <v/>
      </c>
      <c r="O16" s="51" t="str">
        <f>IF(AND($B16&gt;='111'!$N$11,$B16&lt;='111'!$O$11,OR($L16=$O$7,$M16=$O$7)),"x","")</f>
        <v/>
      </c>
      <c r="P16" s="51" t="str">
        <f>IF(AND($L16=$O$7,$B16&lt;'111'!$N$11),"x","")</f>
        <v/>
      </c>
      <c r="Q16" s="51" t="str">
        <f>IF(AND($M16=$O$7,$B16&lt;'111'!$N$11),"x","")</f>
        <v/>
      </c>
      <c r="R16" s="51" t="str">
        <f>IF(ISERROR(FIND('112'!$M$9,G16,1)),"",IF((AND(FIND('112'!$M$9,G16,1)&gt;=1,$B16&gt;='112'!$N$8,$B16&lt;='112'!$O$8,OR($L16='112'!$I$6,$M16='112'!$I$6))),"x",""))</f>
        <v/>
      </c>
      <c r="S16" s="51" t="str">
        <f>IF(ISERROR(FIND('112'!$M$9,G16,1)),"",IF((AND(LEFT(G16,2)=LEFT('112'!$M$9,2),B16&lt;'112'!$N$8,$L16='112'!$I$6)),"x",""))</f>
        <v/>
      </c>
      <c r="T16" s="51" t="str">
        <f>IF(ISERROR(FIND('112'!$M$9,G16,1)),"",IF((AND(RIGHT(G16,2)=RIGHT('112'!$M$9,2),B16&lt;'112'!$N$8,$M16='112'!$I$6)),"x",""))</f>
        <v/>
      </c>
      <c r="U16" s="51" t="str">
        <f>IF(AND(L16="154",'154'!$O$5&lt;=B16,'154'!$P$5&gt;=B16),"154",IF(AND(L16="632",'632'!$L$5&lt;=B16,'632'!$M$5&gt;=B16),"632",IF(AND(L16="642",'642'!$N$5&lt;=B16,'642'!$O$5&gt;=B16),"642",IF(AND(L16="641",'641'!$N$5&lt;=B16,'641'!$O$5&gt;=B16),"641",""))))</f>
        <v/>
      </c>
      <c r="V16" s="51" t="str">
        <f>IF(OR(TH!L16=TH!$V$7,M16=TH!$V$7),"x","")</f>
        <v>x</v>
      </c>
      <c r="W16" s="51" t="str">
        <f>IF(AND(B16&gt;='IN-NX'!$P$3,B16&lt;='IN-NX'!$Q$3,'IN-NX'!$D$7=D16,OR(LEFT(L16,2)="15",AND(LEFT(M16,2)&lt;&gt;"15",LEFT(M16,2)&lt;&gt;"33"))),"x","")</f>
        <v/>
      </c>
      <c r="X16" s="51" t="str">
        <f>IF(AND(OR(LEFT(TH!L16,2)="15",LEFT(TH!M16,2)="15"),'152-CT'!$J$8=TH!F16),"x","")</f>
        <v/>
      </c>
      <c r="Y16" s="51" t="str">
        <f>IF(AND(OR(LEFT(TH!L16,2)="15",LEFT(TH!M16,2)="15"),TK!$E$7=TH!F16),"x","")</f>
        <v/>
      </c>
      <c r="Z16" s="51" t="str">
        <f>IF(AND(B16&lt;=NKC!$N$8,B16&gt;=NKC!$M$8),"x","")</f>
        <v/>
      </c>
      <c r="AA16" s="777"/>
    </row>
    <row r="17" spans="1:28" s="662" customFormat="1" ht="15.75" customHeight="1">
      <c r="A17" s="804" t="str">
        <f>IF(B17&lt;&gt;"",IF(AND(B17&gt;=_TM1,B17&lt;=_TM2,OR(TH!L17="1111",TH!M17="1111")),TH!D17,""),"")</f>
        <v/>
      </c>
      <c r="B17" s="661">
        <f t="shared" si="0"/>
        <v>12</v>
      </c>
      <c r="C17" s="47">
        <f t="shared" si="1"/>
        <v>42369</v>
      </c>
      <c r="D17" s="47" t="s">
        <v>95</v>
      </c>
      <c r="E17" s="47">
        <v>42369</v>
      </c>
      <c r="F17" s="48" t="s">
        <v>98</v>
      </c>
      <c r="G17" s="810"/>
      <c r="H17" s="49"/>
      <c r="I17" s="241"/>
      <c r="J17" s="241"/>
      <c r="K17" s="50">
        <f>SUMIF(KHC,L17,TH)</f>
        <v>174476</v>
      </c>
      <c r="L17" s="52" t="s">
        <v>40</v>
      </c>
      <c r="M17" s="51" t="s">
        <v>91</v>
      </c>
      <c r="N17" s="51" t="str">
        <f>IF(AND('331-CT'!$E$7=TH!H17,OR(L17="331",M17="331")),"331",IF(AND(OR(L17="131",M17="131"),H17='131-CT'!$E$7),"131",""))</f>
        <v/>
      </c>
      <c r="O17" s="51" t="str">
        <f>IF(AND($B17&gt;='111'!$N$11,$B17&lt;='111'!$O$11,OR($L17=$O$7,$M17=$O$7)),"x","")</f>
        <v/>
      </c>
      <c r="P17" s="51" t="str">
        <f>IF(AND($L17=$O$7,$B17&lt;'111'!$N$11),"x","")</f>
        <v/>
      </c>
      <c r="Q17" s="51" t="str">
        <f>IF(AND($M17=$O$7,$B17&lt;'111'!$N$11),"x","")</f>
        <v/>
      </c>
      <c r="R17" s="51" t="str">
        <f>IF(ISERROR(FIND('112'!$M$9,G17,1)),"",IF((AND(FIND('112'!$M$9,G17,1)&gt;=1,$B17&gt;='112'!$N$8,$B17&lt;='112'!$O$8,OR($L17='112'!$I$6,$M17='112'!$I$6))),"x",""))</f>
        <v/>
      </c>
      <c r="S17" s="51" t="str">
        <f>IF(ISERROR(FIND('112'!$M$9,G17,1)),"",IF((AND(LEFT(G17,2)=LEFT('112'!$M$9,2),B17&lt;'112'!$N$8,$L17='112'!$I$6)),"x",""))</f>
        <v/>
      </c>
      <c r="T17" s="51" t="str">
        <f>IF(ISERROR(FIND('112'!$M$9,G17,1)),"",IF((AND(RIGHT(G17,2)=RIGHT('112'!$M$9,2),B17&lt;'112'!$N$8,$M17='112'!$I$6)),"x",""))</f>
        <v/>
      </c>
      <c r="U17" s="51" t="str">
        <f>IF(AND(L17="154",'154'!$O$5&lt;=B17,'154'!$P$5&gt;=B17),"154",IF(AND(L17="632",'632'!$L$5&lt;=B17,'632'!$M$5&gt;=B17),"632",IF(AND(L17="642",'642'!$N$5&lt;=B17,'642'!$O$5&gt;=B17),"642",IF(AND(L17="641",'641'!$N$5&lt;=B17,'641'!$O$5&gt;=B17),"641",""))))</f>
        <v/>
      </c>
      <c r="V17" s="51" t="str">
        <f>IF(OR(TH!L17=TH!$V$7,M17=TH!$V$7),"x","")</f>
        <v/>
      </c>
      <c r="W17" s="51" t="str">
        <f>IF(AND(B17&gt;='IN-NX'!$P$3,B17&lt;='IN-NX'!$Q$3,'IN-NX'!$D$7=D17,OR(LEFT(L17,2)="15",AND(LEFT(M17,2)&lt;&gt;"15",LEFT(M17,2)&lt;&gt;"33"))),"x","")</f>
        <v/>
      </c>
      <c r="X17" s="51" t="str">
        <f>IF(AND(OR(LEFT(TH!L17,2)="15",LEFT(TH!M17,2)="15"),'152-CT'!$J$8=TH!F17),"x","")</f>
        <v/>
      </c>
      <c r="Y17" s="51" t="str">
        <f>IF(AND(OR(LEFT(TH!L17,2)="15",LEFT(TH!M17,2)="15"),TK!$E$7=TH!F17),"x","")</f>
        <v/>
      </c>
      <c r="Z17" s="51" t="str">
        <f>IF(AND(B17&lt;=NKC!$N$8,B17&gt;=NKC!$M$8),"x","")</f>
        <v/>
      </c>
      <c r="AA17" s="777"/>
    </row>
    <row r="18" spans="1:28" s="662" customFormat="1" ht="15.75" customHeight="1">
      <c r="A18" s="804" t="str">
        <f>IF(B18&lt;&gt;"",IF(AND(B18&gt;=_TM1,B18&lt;=_TM2,OR(TH!L18="1111",TH!M18="1111")),TH!D18,""),"")</f>
        <v/>
      </c>
      <c r="B18" s="661">
        <f t="shared" si="0"/>
        <v>12</v>
      </c>
      <c r="C18" s="47">
        <f t="shared" ref="C18" si="3">E18</f>
        <v>42369</v>
      </c>
      <c r="D18" s="47" t="s">
        <v>95</v>
      </c>
      <c r="E18" s="47">
        <v>42369</v>
      </c>
      <c r="F18" s="48" t="s">
        <v>411</v>
      </c>
      <c r="G18" s="810"/>
      <c r="H18" s="49"/>
      <c r="I18" s="241"/>
      <c r="J18" s="241"/>
      <c r="K18" s="50">
        <f>SUMIF(KHC,L18,TH)</f>
        <v>347401000</v>
      </c>
      <c r="L18" s="51" t="s">
        <v>408</v>
      </c>
      <c r="M18" s="51" t="s">
        <v>91</v>
      </c>
      <c r="N18" s="51" t="str">
        <f>IF(AND('331-CT'!$E$7=TH!H18,OR(L18="331",M18="331")),"331",IF(AND(OR(L18="131",M18="131"),H18='131-CT'!$E$7),"131",""))</f>
        <v/>
      </c>
      <c r="O18" s="51" t="str">
        <f>IF(AND($B18&gt;='111'!$N$11,$B18&lt;='111'!$O$11,OR($L18=$O$7,$M18=$O$7)),"x","")</f>
        <v/>
      </c>
      <c r="P18" s="51" t="str">
        <f>IF(AND($L18=$O$7,$B18&lt;'111'!$N$11),"x","")</f>
        <v/>
      </c>
      <c r="Q18" s="51" t="str">
        <f>IF(AND($M18=$O$7,$B18&lt;'111'!$N$11),"x","")</f>
        <v/>
      </c>
      <c r="R18" s="51" t="str">
        <f>IF(ISERROR(FIND('112'!$M$9,G18,1)),"",IF((AND(FIND('112'!$M$9,G18,1)&gt;=1,$B18&gt;='112'!$N$8,$B18&lt;='112'!$O$8,OR($L18='112'!$I$6,$M18='112'!$I$6))),"x",""))</f>
        <v/>
      </c>
      <c r="S18" s="51" t="str">
        <f>IF(ISERROR(FIND('112'!$M$9,G18,1)),"",IF((AND(LEFT(G18,2)=LEFT('112'!$M$9,2),B18&lt;'112'!$N$8,$L18='112'!$I$6)),"x",""))</f>
        <v/>
      </c>
      <c r="T18" s="51" t="str">
        <f>IF(ISERROR(FIND('112'!$M$9,G18,1)),"",IF((AND(RIGHT(G18,2)=RIGHT('112'!$M$9,2),B18&lt;'112'!$N$8,$M18='112'!$I$6)),"x",""))</f>
        <v/>
      </c>
      <c r="U18" s="51" t="str">
        <f>IF(AND(L18="154",'154'!$O$5&lt;=B18,'154'!$P$5&gt;=B18),"154",IF(AND(L18="632",'632'!$L$5&lt;=B18,'632'!$M$5&gt;=B18),"632",IF(AND(L18="642",'642'!$N$5&lt;=B18,'642'!$O$5&gt;=B18),"642",IF(AND(L18="641",'641'!$N$5&lt;=B18,'641'!$O$5&gt;=B18),"641",""))))</f>
        <v/>
      </c>
      <c r="V18" s="51" t="str">
        <f>IF(OR(TH!L18=TH!$V$7,M18=TH!$V$7),"x","")</f>
        <v/>
      </c>
      <c r="W18" s="51" t="str">
        <f>IF(AND(B18&gt;='IN-NX'!$P$3,B18&lt;='IN-NX'!$Q$3,'IN-NX'!$D$7=D18,OR(LEFT(L18,2)="15",AND(LEFT(M18,2)&lt;&gt;"15",LEFT(M18,2)&lt;&gt;"33"))),"x","")</f>
        <v/>
      </c>
      <c r="X18" s="51" t="str">
        <f>IF(AND(OR(LEFT(TH!L18,2)="15",LEFT(TH!M18,2)="15"),'152-CT'!$J$8=TH!F18),"x","")</f>
        <v/>
      </c>
      <c r="Y18" s="51" t="str">
        <f>IF(AND(OR(LEFT(TH!L18,2)="15",LEFT(TH!M18,2)="15"),TK!$E$7=TH!F18),"x","")</f>
        <v/>
      </c>
      <c r="Z18" s="51" t="str">
        <f>IF(AND(B18&lt;=NKC!$N$8,B18&gt;=NKC!$M$8),"x","")</f>
        <v/>
      </c>
      <c r="AA18" s="777"/>
    </row>
    <row r="19" spans="1:28" s="662" customFormat="1" ht="15.75" customHeight="1">
      <c r="A19" s="804" t="str">
        <f>IF(B19&lt;&gt;"",IF(AND(B19&gt;=_TM1,B19&lt;=_TM2,OR(TH!L19="1111",TH!M19="1111")),TH!D19,""),"")</f>
        <v/>
      </c>
      <c r="B19" s="661">
        <f t="shared" si="0"/>
        <v>12</v>
      </c>
      <c r="C19" s="47">
        <f t="shared" si="1"/>
        <v>42369</v>
      </c>
      <c r="D19" s="47" t="s">
        <v>95</v>
      </c>
      <c r="E19" s="47">
        <v>42369</v>
      </c>
      <c r="F19" s="48" t="s">
        <v>412</v>
      </c>
      <c r="G19" s="810"/>
      <c r="H19" s="49"/>
      <c r="I19" s="241"/>
      <c r="J19" s="241"/>
      <c r="K19" s="50">
        <f>SUMIF(KHC,L19,TH)</f>
        <v>1735949320</v>
      </c>
      <c r="L19" s="51" t="s">
        <v>164</v>
      </c>
      <c r="M19" s="51" t="s">
        <v>91</v>
      </c>
      <c r="N19" s="51" t="str">
        <f>IF(AND('331-CT'!$E$7=TH!H19,OR(L19="331",M19="331")),"331",IF(AND(OR(L19="131",M19="131"),H19='131-CT'!$E$7),"131",""))</f>
        <v/>
      </c>
      <c r="O19" s="51" t="str">
        <f>IF(AND($B19&gt;='111'!$N$11,$B19&lt;='111'!$O$11,OR($L19=$O$7,$M19=$O$7)),"x","")</f>
        <v/>
      </c>
      <c r="P19" s="51" t="str">
        <f>IF(AND($L19=$O$7,$B19&lt;'111'!$N$11),"x","")</f>
        <v/>
      </c>
      <c r="Q19" s="51" t="str">
        <f>IF(AND($M19=$O$7,$B19&lt;'111'!$N$11),"x","")</f>
        <v/>
      </c>
      <c r="R19" s="51" t="str">
        <f>IF(ISERROR(FIND('112'!$M$9,G19,1)),"",IF((AND(FIND('112'!$M$9,G19,1)&gt;=1,$B19&gt;='112'!$N$8,$B19&lt;='112'!$O$8,OR($L19='112'!$I$6,$M19='112'!$I$6))),"x",""))</f>
        <v/>
      </c>
      <c r="S19" s="51" t="str">
        <f>IF(ISERROR(FIND('112'!$M$9,G19,1)),"",IF((AND(LEFT(G19,2)=LEFT('112'!$M$9,2),B19&lt;'112'!$N$8,$L19='112'!$I$6)),"x",""))</f>
        <v/>
      </c>
      <c r="T19" s="51" t="str">
        <f>IF(ISERROR(FIND('112'!$M$9,G19,1)),"",IF((AND(RIGHT(G19,2)=RIGHT('112'!$M$9,2),B19&lt;'112'!$N$8,$M19='112'!$I$6)),"x",""))</f>
        <v/>
      </c>
      <c r="U19" s="51" t="str">
        <f>IF(AND(L19="154",'154'!$O$5&lt;=B19,'154'!$P$5&gt;=B19),"154",IF(AND(L19="632",'632'!$L$5&lt;=B19,'632'!$M$5&gt;=B19),"632",IF(AND(L19="642",'642'!$N$5&lt;=B19,'642'!$O$5&gt;=B19),"642",IF(AND(L19="641",'641'!$N$5&lt;=B19,'641'!$O$5&gt;=B19),"641",""))))</f>
        <v/>
      </c>
      <c r="V19" s="51" t="str">
        <f>IF(OR(TH!L19=TH!$V$7,M19=TH!$V$7),"x","")</f>
        <v/>
      </c>
      <c r="W19" s="51" t="str">
        <f>IF(AND(B19&gt;='IN-NX'!$P$3,B19&lt;='IN-NX'!$Q$3,'IN-NX'!$D$7=D19,OR(LEFT(L19,2)="15",AND(LEFT(M19,2)&lt;&gt;"15",LEFT(M19,2)&lt;&gt;"33"))),"x","")</f>
        <v/>
      </c>
      <c r="X19" s="51" t="str">
        <f>IF(AND(OR(LEFT(TH!L19,2)="15",LEFT(TH!M19,2)="15"),'152-CT'!$J$8=TH!F19),"x","")</f>
        <v/>
      </c>
      <c r="Y19" s="51" t="str">
        <f>IF(AND(OR(LEFT(TH!L19,2)="15",LEFT(TH!M19,2)="15"),TK!$E$7=TH!F19),"x","")</f>
        <v/>
      </c>
      <c r="Z19" s="51" t="str">
        <f>IF(AND(B19&lt;=NKC!$N$8,B19&gt;=NKC!$M$8),"x","")</f>
        <v/>
      </c>
      <c r="AA19" s="777"/>
    </row>
    <row r="20" spans="1:28" s="662" customFormat="1" ht="15.75" customHeight="1">
      <c r="A20" s="804" t="str">
        <f>IF(B20&lt;&gt;"",IF(AND(B20&gt;=_TM1,B20&lt;=_TM2,OR(TH!L20="1111",TH!M20="1111")),TH!D20,""),"")</f>
        <v/>
      </c>
      <c r="B20" s="661">
        <f t="shared" si="0"/>
        <v>12</v>
      </c>
      <c r="C20" s="47">
        <f t="shared" si="1"/>
        <v>42369</v>
      </c>
      <c r="D20" s="47" t="s">
        <v>95</v>
      </c>
      <c r="E20" s="47">
        <v>42369</v>
      </c>
      <c r="F20" s="48" t="s">
        <v>99</v>
      </c>
      <c r="G20" s="810"/>
      <c r="H20" s="49"/>
      <c r="I20" s="241"/>
      <c r="J20" s="241"/>
      <c r="K20" s="50">
        <f>SUMIF(KHC,L20,TH)</f>
        <v>50000</v>
      </c>
      <c r="L20" s="51" t="s">
        <v>85</v>
      </c>
      <c r="M20" s="51" t="s">
        <v>91</v>
      </c>
      <c r="N20" s="51" t="str">
        <f>IF(AND('331-CT'!$E$7=TH!H20,OR(L20="331",M20="331")),"331",IF(AND(OR(L20="131",M20="131"),H20='131-CT'!$E$7),"131",""))</f>
        <v/>
      </c>
      <c r="O20" s="51" t="str">
        <f>IF(AND($B20&gt;='111'!$N$11,$B20&lt;='111'!$O$11,OR($L20=$O$7,$M20=$O$7)),"x","")</f>
        <v/>
      </c>
      <c r="P20" s="51" t="str">
        <f>IF(AND($L20=$O$7,$B20&lt;'111'!$N$11),"x","")</f>
        <v/>
      </c>
      <c r="Q20" s="51" t="str">
        <f>IF(AND($M20=$O$7,$B20&lt;'111'!$N$11),"x","")</f>
        <v/>
      </c>
      <c r="R20" s="51" t="str">
        <f>IF(ISERROR(FIND('112'!$M$9,G20,1)),"",IF((AND(FIND('112'!$M$9,G20,1)&gt;=1,$B20&gt;='112'!$N$8,$B20&lt;='112'!$O$8,OR($L20='112'!$I$6,$M20='112'!$I$6))),"x",""))</f>
        <v/>
      </c>
      <c r="S20" s="51" t="str">
        <f>IF(ISERROR(FIND('112'!$M$9,G20,1)),"",IF((AND(LEFT(G20,2)=LEFT('112'!$M$9,2),B20&lt;'112'!$N$8,$L20='112'!$I$6)),"x",""))</f>
        <v/>
      </c>
      <c r="T20" s="51" t="str">
        <f>IF(ISERROR(FIND('112'!$M$9,G20,1)),"",IF((AND(RIGHT(G20,2)=RIGHT('112'!$M$9,2),B20&lt;'112'!$N$8,$M20='112'!$I$6)),"x",""))</f>
        <v/>
      </c>
      <c r="U20" s="51" t="str">
        <f>IF(AND(L20="154",'154'!$O$5&lt;=B20,'154'!$P$5&gt;=B20),"154",IF(AND(L20="632",'632'!$L$5&lt;=B20,'632'!$M$5&gt;=B20),"632",IF(AND(L20="642",'642'!$N$5&lt;=B20,'642'!$O$5&gt;=B20),"642",IF(AND(L20="641",'641'!$N$5&lt;=B20,'641'!$O$5&gt;=B20),"641",""))))</f>
        <v/>
      </c>
      <c r="V20" s="51" t="str">
        <f>IF(OR(TH!L20=TH!$V$7,M20=TH!$V$7),"x","")</f>
        <v/>
      </c>
      <c r="W20" s="51" t="str">
        <f>IF(AND(B20&gt;='IN-NX'!$P$3,B20&lt;='IN-NX'!$Q$3,'IN-NX'!$D$7=D20,OR(LEFT(L20,2)="15",AND(LEFT(M20,2)&lt;&gt;"15",LEFT(M20,2)&lt;&gt;"33"))),"x","")</f>
        <v/>
      </c>
      <c r="X20" s="51" t="str">
        <f>IF(AND(OR(LEFT(TH!L20,2)="15",LEFT(TH!M20,2)="15"),'152-CT'!$J$8=TH!F20),"x","")</f>
        <v/>
      </c>
      <c r="Y20" s="51" t="str">
        <f>IF(AND(OR(LEFT(TH!L20,2)="15",LEFT(TH!M20,2)="15"),TK!$E$7=TH!F20),"x","")</f>
        <v/>
      </c>
      <c r="Z20" s="51" t="str">
        <f>IF(AND(B20&lt;=NKC!$N$8,B20&gt;=NKC!$M$8),"x","")</f>
        <v/>
      </c>
      <c r="AA20" s="777"/>
    </row>
    <row r="21" spans="1:28" s="662" customFormat="1" ht="15.75" customHeight="1">
      <c r="A21" s="804" t="str">
        <f>IF(B21&lt;&gt;"",IF(AND(B21&gt;=_TM1,B21&lt;=_TM2,OR(TH!L21="1111",TH!M21="1111")),TH!D21,""),"")</f>
        <v/>
      </c>
      <c r="B21" s="661">
        <f t="shared" si="0"/>
        <v>12</v>
      </c>
      <c r="C21" s="47">
        <f t="shared" si="1"/>
        <v>42369</v>
      </c>
      <c r="D21" s="47" t="s">
        <v>95</v>
      </c>
      <c r="E21" s="47">
        <v>42369</v>
      </c>
      <c r="F21" s="48" t="s">
        <v>100</v>
      </c>
      <c r="G21" s="810"/>
      <c r="H21" s="49"/>
      <c r="I21" s="241"/>
      <c r="J21" s="241"/>
      <c r="K21" s="50">
        <f>SUMIF(KHN,M21,TH)</f>
        <v>55</v>
      </c>
      <c r="L21" s="52" t="s">
        <v>91</v>
      </c>
      <c r="M21" s="51" t="s">
        <v>87</v>
      </c>
      <c r="N21" s="51" t="str">
        <f>IF(AND('331-CT'!$E$7=TH!H21,OR(L21="331",M21="331")),"331",IF(AND(OR(L21="131",M21="131"),H21='131-CT'!$E$7),"131",""))</f>
        <v/>
      </c>
      <c r="O21" s="51" t="str">
        <f>IF(AND($B21&gt;='111'!$N$11,$B21&lt;='111'!$O$11,OR($L21=$O$7,$M21=$O$7)),"x","")</f>
        <v/>
      </c>
      <c r="P21" s="51" t="str">
        <f>IF(AND($L21=$O$7,$B21&lt;'111'!$N$11),"x","")</f>
        <v/>
      </c>
      <c r="Q21" s="51" t="str">
        <f>IF(AND($M21=$O$7,$B21&lt;'111'!$N$11),"x","")</f>
        <v/>
      </c>
      <c r="R21" s="51" t="str">
        <f>IF(ISERROR(FIND('112'!$M$9,G21,1)),"",IF((AND(FIND('112'!$M$9,G21,1)&gt;=1,$B21&gt;='112'!$N$8,$B21&lt;='112'!$O$8,OR($L21='112'!$I$6,$M21='112'!$I$6))),"x",""))</f>
        <v/>
      </c>
      <c r="S21" s="51" t="str">
        <f>IF(ISERROR(FIND('112'!$M$9,G21,1)),"",IF((AND(LEFT(G21,2)=LEFT('112'!$M$9,2),B21&lt;'112'!$N$8,$L21='112'!$I$6)),"x",""))</f>
        <v/>
      </c>
      <c r="T21" s="51" t="str">
        <f>IF(ISERROR(FIND('112'!$M$9,G21,1)),"",IF((AND(RIGHT(G21,2)=RIGHT('112'!$M$9,2),B21&lt;'112'!$N$8,$M21='112'!$I$6)),"x",""))</f>
        <v/>
      </c>
      <c r="U21" s="51" t="str">
        <f>IF(AND(L21="154",'154'!$O$5&lt;=B21,'154'!$P$5&gt;=B21),"154",IF(AND(L21="632",'632'!$L$5&lt;=B21,'632'!$M$5&gt;=B21),"632",IF(AND(L21="642",'642'!$N$5&lt;=B21,'642'!$O$5&gt;=B21),"642",IF(AND(L21="641",'641'!$N$5&lt;=B21,'641'!$O$5&gt;=B21),"641",""))))</f>
        <v/>
      </c>
      <c r="V21" s="51" t="str">
        <f>IF(OR(TH!L21=TH!$V$7,M21=TH!$V$7),"x","")</f>
        <v/>
      </c>
      <c r="W21" s="51" t="str">
        <f>IF(AND(B21&gt;='IN-NX'!$P$3,B21&lt;='IN-NX'!$Q$3,'IN-NX'!$D$7=D21,OR(LEFT(L21,2)="15",AND(LEFT(M21,2)&lt;&gt;"15",LEFT(M21,2)&lt;&gt;"33"))),"x","")</f>
        <v/>
      </c>
      <c r="X21" s="51" t="str">
        <f>IF(AND(OR(LEFT(TH!L21,2)="15",LEFT(TH!M21,2)="15"),'152-CT'!$J$8=TH!F21),"x","")</f>
        <v/>
      </c>
      <c r="Y21" s="51" t="str">
        <f>IF(AND(OR(LEFT(TH!L21,2)="15",LEFT(TH!M21,2)="15"),TK!$E$7=TH!F21),"x","")</f>
        <v/>
      </c>
      <c r="Z21" s="51" t="str">
        <f>IF(AND(B21&lt;=NKC!$N$8,B21&gt;=NKC!$M$8),"x","")</f>
        <v/>
      </c>
      <c r="AA21" s="777"/>
    </row>
    <row r="22" spans="1:28" s="662" customFormat="1" ht="15.75" customHeight="1">
      <c r="A22" s="804" t="str">
        <f>IF(B22&lt;&gt;"",IF(AND(B22&gt;=_TM1,B22&lt;=_TM2,OR(TH!L22="1111",TH!M22="1111")),TH!D22,""),"")</f>
        <v/>
      </c>
      <c r="B22" s="661">
        <f t="shared" si="0"/>
        <v>12</v>
      </c>
      <c r="C22" s="47">
        <f t="shared" si="1"/>
        <v>42369</v>
      </c>
      <c r="D22" s="47" t="s">
        <v>95</v>
      </c>
      <c r="E22" s="47">
        <v>42369</v>
      </c>
      <c r="F22" s="48" t="s">
        <v>400</v>
      </c>
      <c r="G22" s="810"/>
      <c r="H22" s="49"/>
      <c r="I22" s="241"/>
      <c r="J22" s="241"/>
      <c r="K22" s="50">
        <v>5636529</v>
      </c>
      <c r="L22" s="52" t="s">
        <v>91</v>
      </c>
      <c r="M22" s="51" t="s">
        <v>76</v>
      </c>
      <c r="N22" s="51" t="str">
        <f>IF(AND('331-CT'!$E$7=TH!H22,OR(L22="331",M22="331")),"331",IF(AND(OR(L22="131",M22="131"),H22='131-CT'!$E$7),"131",""))</f>
        <v/>
      </c>
      <c r="O22" s="51" t="str">
        <f>IF(AND($B22&gt;='111'!$N$11,$B22&lt;='111'!$O$11,OR($L22=$O$7,$M22=$O$7)),"x","")</f>
        <v/>
      </c>
      <c r="P22" s="51" t="str">
        <f>IF(AND($L22=$O$7,$B22&lt;'111'!$N$11),"x","")</f>
        <v/>
      </c>
      <c r="Q22" s="51" t="str">
        <f>IF(AND($M22=$O$7,$B22&lt;'111'!$N$11),"x","")</f>
        <v/>
      </c>
      <c r="R22" s="51" t="str">
        <f>IF(ISERROR(FIND('112'!$M$9,G22,1)),"",IF((AND(FIND('112'!$M$9,G22,1)&gt;=1,$B22&gt;='112'!$N$8,$B22&lt;='112'!$O$8,OR($L22='112'!$I$6,$M22='112'!$I$6))),"x",""))</f>
        <v/>
      </c>
      <c r="S22" s="51" t="str">
        <f>IF(ISERROR(FIND('112'!$M$9,G22,1)),"",IF((AND(LEFT(G22,2)=LEFT('112'!$M$9,2),B22&lt;'112'!$N$8,$L22='112'!$I$6)),"x",""))</f>
        <v/>
      </c>
      <c r="T22" s="51" t="str">
        <f>IF(ISERROR(FIND('112'!$M$9,G22,1)),"",IF((AND(RIGHT(G22,2)=RIGHT('112'!$M$9,2),B22&lt;'112'!$N$8,$M22='112'!$I$6)),"x",""))</f>
        <v/>
      </c>
      <c r="U22" s="51" t="str">
        <f>IF(AND(L22="154",'154'!$O$5&lt;=B22,'154'!$P$5&gt;=B22),"154",IF(AND(L22="632",'632'!$L$5&lt;=B22,'632'!$M$5&gt;=B22),"632",IF(AND(L22="642",'642'!$N$5&lt;=B22,'642'!$O$5&gt;=B22),"642",IF(AND(L22="641",'641'!$N$5&lt;=B22,'641'!$O$5&gt;=B22),"641",""))))</f>
        <v/>
      </c>
      <c r="V22" s="51" t="str">
        <f>IF(OR(TH!L22=TH!$V$7,M22=TH!$V$7),"x","")</f>
        <v/>
      </c>
      <c r="W22" s="51" t="str">
        <f>IF(AND(B22&gt;='IN-NX'!$P$3,B22&lt;='IN-NX'!$Q$3,'IN-NX'!$D$7=D22,OR(LEFT(L22,2)="15",AND(LEFT(M22,2)&lt;&gt;"15",LEFT(M22,2)&lt;&gt;"33"))),"x","")</f>
        <v/>
      </c>
      <c r="X22" s="51" t="str">
        <f>IF(AND(OR(LEFT(TH!L22,2)="15",LEFT(TH!M22,2)="15"),'152-CT'!$J$8=TH!F22),"x","")</f>
        <v/>
      </c>
      <c r="Y22" s="51" t="str">
        <f>IF(AND(OR(LEFT(TH!L22,2)="15",LEFT(TH!M22,2)="15"),TK!$E$7=TH!F22),"x","")</f>
        <v/>
      </c>
      <c r="Z22" s="51" t="str">
        <f>IF(AND(B22&lt;=NKC!$N$8,B22&gt;=NKC!$M$8),"x","")</f>
        <v/>
      </c>
      <c r="AA22" s="777"/>
    </row>
    <row r="23" spans="1:28" ht="15.75" customHeight="1">
      <c r="A23" s="804" t="str">
        <f>IF(B23&lt;&gt;"",IF(AND(B23&gt;=_TM1,B23&lt;=_TM2,OR(TH!L23="1111",TH!M23="1111")),TH!D23,""),"")</f>
        <v/>
      </c>
      <c r="B23" s="36">
        <f t="shared" ref="B23:B86" si="4">IF(C23&lt;&gt;"",MONTH(C23),"")</f>
        <v>1</v>
      </c>
      <c r="C23" s="189">
        <f t="shared" ref="C23:C86" si="5">E23</f>
        <v>42012</v>
      </c>
      <c r="D23" s="189" t="s">
        <v>1334</v>
      </c>
      <c r="E23" s="189">
        <v>42012</v>
      </c>
      <c r="F23" s="922" t="s">
        <v>469</v>
      </c>
      <c r="G23" s="813" t="s">
        <v>467</v>
      </c>
      <c r="H23" s="191" t="s">
        <v>466</v>
      </c>
      <c r="I23" s="243">
        <v>65</v>
      </c>
      <c r="J23" s="243">
        <v>22785</v>
      </c>
      <c r="K23" s="573">
        <f t="shared" ref="K23:K28" si="6">ROUND(I23*J23,0)</f>
        <v>1481025</v>
      </c>
      <c r="L23" s="574" t="s">
        <v>417</v>
      </c>
      <c r="M23" s="574" t="s">
        <v>8</v>
      </c>
      <c r="N23" s="51" t="str">
        <f>IF(AND('331-CT'!$E$7=TH!H23,OR(L23="331",M23="331")),"331",IF(AND(OR(L23="131",M23="131"),H23='131-CT'!$E$7),"131",""))</f>
        <v/>
      </c>
      <c r="O23" s="51" t="str">
        <f>IF(AND($B23&gt;='111'!$N$11,$B23&lt;='111'!$O$11,OR($L23=$O$7,$M23=$O$7)),"x","")</f>
        <v/>
      </c>
      <c r="P23" s="51" t="str">
        <f>IF(AND($L23=$O$7,$B23&lt;'111'!$N$11),"x","")</f>
        <v/>
      </c>
      <c r="Q23" s="51" t="str">
        <f>IF(AND($M23=$O$7,$B23&lt;'111'!$N$11),"x","")</f>
        <v/>
      </c>
      <c r="R23" s="51" t="str">
        <f>IF(ISERROR(FIND('112'!$M$9,G23,1)),"",IF((AND(FIND('112'!$M$9,G23,1)&gt;=1,$B23&gt;='112'!$N$8,$B23&lt;='112'!$O$8,OR($L23='112'!$I$6,$M23='112'!$I$6))),"x",""))</f>
        <v/>
      </c>
      <c r="S23" s="51" t="str">
        <f>IF(ISERROR(FIND('112'!$M$9,G23,1)),"",IF((AND(LEFT(G23,2)=LEFT('112'!$M$9,2),B23&lt;'112'!$N$8,$L23='112'!$I$6)),"x",""))</f>
        <v/>
      </c>
      <c r="T23" s="51" t="str">
        <f>IF(ISERROR(FIND('112'!$M$9,G23,1)),"",IF((AND(RIGHT(G23,2)=RIGHT('112'!$M$9,2),B23&lt;'112'!$N$8,$M23='112'!$I$6)),"x",""))</f>
        <v/>
      </c>
      <c r="U23" s="51" t="str">
        <f>IF(AND(L23="154",'154'!$O$5&lt;=B23,'154'!$P$5&gt;=B23),"154",IF(AND(L23="632",'632'!$L$5&lt;=B23,'632'!$M$5&gt;=B23),"632",IF(AND(L23="642",'642'!$N$5&lt;=B23,'642'!$O$5&gt;=B23),"642",IF(AND(L23="641",'641'!$N$5&lt;=B23,'641'!$O$5&gt;=B23),"641",""))))</f>
        <v/>
      </c>
      <c r="V23" s="51" t="str">
        <f>IF(OR(TH!L23=TH!$V$7,M23=TH!$V$7),"x","")</f>
        <v/>
      </c>
      <c r="W23" s="51" t="str">
        <f>IF(AND(B23&gt;='IN-NX'!$P$3,B23&lt;='IN-NX'!$Q$3,'IN-NX'!$D$7=D23,OR(LEFT(L23,2)="15",AND(LEFT(M23,2)&lt;&gt;"15",LEFT(M23,2)&lt;&gt;"33"))),"x","")</f>
        <v/>
      </c>
      <c r="X23" s="51" t="str">
        <f>IF(AND(OR(LEFT(TH!L23,2)="15",LEFT(TH!M23,2)="15"),'152-CT'!$J$8=TH!F23),"x","")</f>
        <v/>
      </c>
      <c r="Y23" s="51" t="str">
        <f>IF(AND(OR(LEFT(TH!L23,2)="15",LEFT(TH!M23,2)="15"),TK!$E$7=TH!F23),"x","")</f>
        <v/>
      </c>
      <c r="Z23" s="51" t="str">
        <f>IF(AND(B23&lt;=NKC!$N$8,B23&gt;=NKC!$M$8),"x","")</f>
        <v/>
      </c>
      <c r="AA23" s="803"/>
      <c r="AB23" s="565"/>
    </row>
    <row r="24" spans="1:28" ht="15.75" customHeight="1">
      <c r="A24" s="804" t="str">
        <f>IF(B24&lt;&gt;"",IF(AND(B24&gt;=_TM1,B24&lt;=_TM2,OR(TH!L24="1111",TH!M24="1111")),TH!D24,""),"")</f>
        <v/>
      </c>
      <c r="B24" s="36">
        <f t="shared" si="4"/>
        <v>1</v>
      </c>
      <c r="C24" s="189">
        <f t="shared" si="5"/>
        <v>42012</v>
      </c>
      <c r="D24" s="189" t="s">
        <v>1334</v>
      </c>
      <c r="E24" s="189">
        <v>42012</v>
      </c>
      <c r="F24" s="922" t="s">
        <v>470</v>
      </c>
      <c r="G24" s="813" t="s">
        <v>467</v>
      </c>
      <c r="H24" s="191" t="s">
        <v>466</v>
      </c>
      <c r="I24" s="243">
        <v>425</v>
      </c>
      <c r="J24" s="243">
        <v>10058</v>
      </c>
      <c r="K24" s="573">
        <f t="shared" si="6"/>
        <v>4274650</v>
      </c>
      <c r="L24" s="574" t="s">
        <v>417</v>
      </c>
      <c r="M24" s="574" t="s">
        <v>8</v>
      </c>
      <c r="N24" s="51" t="str">
        <f>IF(AND('331-CT'!$E$7=TH!H24,OR(L24="331",M24="331")),"331",IF(AND(OR(L24="131",M24="131"),H24='131-CT'!$E$7),"131",""))</f>
        <v/>
      </c>
      <c r="O24" s="51" t="str">
        <f>IF(AND($B24&gt;='111'!$N$11,$B24&lt;='111'!$O$11,OR($L24=$O$7,$M24=$O$7)),"x","")</f>
        <v/>
      </c>
      <c r="P24" s="51" t="str">
        <f>IF(AND($L24=$O$7,$B24&lt;'111'!$N$11),"x","")</f>
        <v/>
      </c>
      <c r="Q24" s="51" t="str">
        <f>IF(AND($M24=$O$7,$B24&lt;'111'!$N$11),"x","")</f>
        <v/>
      </c>
      <c r="R24" s="51" t="str">
        <f>IF(ISERROR(FIND('112'!$M$9,G24,1)),"",IF((AND(FIND('112'!$M$9,G24,1)&gt;=1,$B24&gt;='112'!$N$8,$B24&lt;='112'!$O$8,OR($L24='112'!$I$6,$M24='112'!$I$6))),"x",""))</f>
        <v/>
      </c>
      <c r="S24" s="51" t="str">
        <f>IF(ISERROR(FIND('112'!$M$9,G24,1)),"",IF((AND(LEFT(G24,2)=LEFT('112'!$M$9,2),B24&lt;'112'!$N$8,$L24='112'!$I$6)),"x",""))</f>
        <v/>
      </c>
      <c r="T24" s="51" t="str">
        <f>IF(ISERROR(FIND('112'!$M$9,G24,1)),"",IF((AND(RIGHT(G24,2)=RIGHT('112'!$M$9,2),B24&lt;'112'!$N$8,$M24='112'!$I$6)),"x",""))</f>
        <v/>
      </c>
      <c r="U24" s="51" t="str">
        <f>IF(AND(L24="154",'154'!$O$5&lt;=B24,'154'!$P$5&gt;=B24),"154",IF(AND(L24="632",'632'!$L$5&lt;=B24,'632'!$M$5&gt;=B24),"632",IF(AND(L24="642",'642'!$N$5&lt;=B24,'642'!$O$5&gt;=B24),"642",IF(AND(L24="641",'641'!$N$5&lt;=B24,'641'!$O$5&gt;=B24),"641",""))))</f>
        <v/>
      </c>
      <c r="V24" s="51" t="str">
        <f>IF(OR(TH!L24=TH!$V$7,M24=TH!$V$7),"x","")</f>
        <v/>
      </c>
      <c r="W24" s="51" t="str">
        <f>IF(AND(B24&gt;='IN-NX'!$P$3,B24&lt;='IN-NX'!$Q$3,'IN-NX'!$D$7=D24,OR(LEFT(L24,2)="15",AND(LEFT(M24,2)&lt;&gt;"15",LEFT(M24,2)&lt;&gt;"33"))),"x","")</f>
        <v/>
      </c>
      <c r="X24" s="51" t="str">
        <f>IF(AND(OR(LEFT(TH!L24,2)="15",LEFT(TH!M24,2)="15"),'152-CT'!$J$8=TH!F24),"x","")</f>
        <v/>
      </c>
      <c r="Y24" s="51" t="str">
        <f>IF(AND(OR(LEFT(TH!L24,2)="15",LEFT(TH!M24,2)="15"),TK!$E$7=TH!F24),"x","")</f>
        <v/>
      </c>
      <c r="Z24" s="51" t="str">
        <f>IF(AND(B24&lt;=NKC!$N$8,B24&gt;=NKC!$M$8),"x","")</f>
        <v/>
      </c>
      <c r="AA24" s="803"/>
      <c r="AB24" s="565"/>
    </row>
    <row r="25" spans="1:28" ht="15.75" customHeight="1">
      <c r="A25" s="804" t="str">
        <f>IF(B25&lt;&gt;"",IF(AND(B25&gt;=_TM1,B25&lt;=_TM2,OR(TH!L25="1111",TH!M25="1111")),TH!D25,""),"")</f>
        <v/>
      </c>
      <c r="B25" s="36">
        <f t="shared" si="4"/>
        <v>1</v>
      </c>
      <c r="C25" s="189">
        <f t="shared" si="5"/>
        <v>42012</v>
      </c>
      <c r="D25" s="189" t="s">
        <v>1334</v>
      </c>
      <c r="E25" s="189">
        <v>42012</v>
      </c>
      <c r="F25" s="190" t="s">
        <v>471</v>
      </c>
      <c r="G25" s="813" t="s">
        <v>467</v>
      </c>
      <c r="H25" s="191" t="s">
        <v>466</v>
      </c>
      <c r="I25" s="243">
        <v>126</v>
      </c>
      <c r="J25" s="243">
        <v>11253</v>
      </c>
      <c r="K25" s="573">
        <f t="shared" si="6"/>
        <v>1417878</v>
      </c>
      <c r="L25" s="574" t="s">
        <v>417</v>
      </c>
      <c r="M25" s="574" t="s">
        <v>8</v>
      </c>
      <c r="N25" s="51" t="str">
        <f>IF(AND('331-CT'!$E$7=TH!H25,OR(L25="331",M25="331")),"331",IF(AND(OR(L25="131",M25="131"),H25='131-CT'!$E$7),"131",""))</f>
        <v/>
      </c>
      <c r="O25" s="51" t="str">
        <f>IF(AND($B25&gt;='111'!$N$11,$B25&lt;='111'!$O$11,OR($L25=$O$7,$M25=$O$7)),"x","")</f>
        <v/>
      </c>
      <c r="P25" s="51" t="str">
        <f>IF(AND($L25=$O$7,$B25&lt;'111'!$N$11),"x","")</f>
        <v/>
      </c>
      <c r="Q25" s="51" t="str">
        <f>IF(AND($M25=$O$7,$B25&lt;'111'!$N$11),"x","")</f>
        <v/>
      </c>
      <c r="R25" s="51" t="str">
        <f>IF(ISERROR(FIND('112'!$M$9,G25,1)),"",IF((AND(FIND('112'!$M$9,G25,1)&gt;=1,$B25&gt;='112'!$N$8,$B25&lt;='112'!$O$8,OR($L25='112'!$I$6,$M25='112'!$I$6))),"x",""))</f>
        <v/>
      </c>
      <c r="S25" s="51" t="str">
        <f>IF(ISERROR(FIND('112'!$M$9,G25,1)),"",IF((AND(LEFT(G25,2)=LEFT('112'!$M$9,2),B25&lt;'112'!$N$8,$L25='112'!$I$6)),"x",""))</f>
        <v/>
      </c>
      <c r="T25" s="51" t="str">
        <f>IF(ISERROR(FIND('112'!$M$9,G25,1)),"",IF((AND(RIGHT(G25,2)=RIGHT('112'!$M$9,2),B25&lt;'112'!$N$8,$M25='112'!$I$6)),"x",""))</f>
        <v/>
      </c>
      <c r="U25" s="51" t="str">
        <f>IF(AND(L25="154",'154'!$O$5&lt;=B25,'154'!$P$5&gt;=B25),"154",IF(AND(L25="632",'632'!$L$5&lt;=B25,'632'!$M$5&gt;=B25),"632",IF(AND(L25="642",'642'!$N$5&lt;=B25,'642'!$O$5&gt;=B25),"642",IF(AND(L25="641",'641'!$N$5&lt;=B25,'641'!$O$5&gt;=B25),"641",""))))</f>
        <v/>
      </c>
      <c r="V25" s="51" t="str">
        <f>IF(OR(TH!L25=TH!$V$7,M25=TH!$V$7),"x","")</f>
        <v/>
      </c>
      <c r="W25" s="51" t="str">
        <f>IF(AND(B25&gt;='IN-NX'!$P$3,B25&lt;='IN-NX'!$Q$3,'IN-NX'!$D$7=D25,OR(LEFT(L25,2)="15",AND(LEFT(M25,2)&lt;&gt;"15",LEFT(M25,2)&lt;&gt;"33"))),"x","")</f>
        <v/>
      </c>
      <c r="X25" s="51" t="str">
        <f>IF(AND(OR(LEFT(TH!L25,2)="15",LEFT(TH!M25,2)="15"),'152-CT'!$J$8=TH!F25),"x","")</f>
        <v/>
      </c>
      <c r="Y25" s="51" t="str">
        <f>IF(AND(OR(LEFT(TH!L25,2)="15",LEFT(TH!M25,2)="15"),TK!$E$7=TH!F25),"x","")</f>
        <v/>
      </c>
      <c r="Z25" s="51" t="str">
        <f>IF(AND(B25&lt;=NKC!$N$8,B25&gt;=NKC!$M$8),"x","")</f>
        <v/>
      </c>
      <c r="AA25" s="803"/>
      <c r="AB25" s="565"/>
    </row>
    <row r="26" spans="1:28" ht="15.75" customHeight="1">
      <c r="A26" s="804" t="str">
        <f>IF(B26&lt;&gt;"",IF(AND(B26&gt;=_TM1,B26&lt;=_TM2,OR(TH!L26="1111",TH!M26="1111")),TH!D26,""),"")</f>
        <v/>
      </c>
      <c r="B26" s="36">
        <f t="shared" si="4"/>
        <v>1</v>
      </c>
      <c r="C26" s="189">
        <f t="shared" si="5"/>
        <v>42012</v>
      </c>
      <c r="D26" s="189" t="s">
        <v>1334</v>
      </c>
      <c r="E26" s="189">
        <v>42012</v>
      </c>
      <c r="F26" s="922" t="s">
        <v>472</v>
      </c>
      <c r="G26" s="813" t="s">
        <v>467</v>
      </c>
      <c r="H26" s="191" t="s">
        <v>466</v>
      </c>
      <c r="I26" s="243">
        <v>580</v>
      </c>
      <c r="J26" s="243">
        <v>17028</v>
      </c>
      <c r="K26" s="573">
        <f t="shared" si="6"/>
        <v>9876240</v>
      </c>
      <c r="L26" s="574" t="s">
        <v>417</v>
      </c>
      <c r="M26" s="574" t="s">
        <v>8</v>
      </c>
      <c r="N26" s="51" t="str">
        <f>IF(AND('331-CT'!$E$7=TH!H26,OR(L26="331",M26="331")),"331",IF(AND(OR(L26="131",M26="131"),H26='131-CT'!$E$7),"131",""))</f>
        <v/>
      </c>
      <c r="O26" s="51" t="str">
        <f>IF(AND($B26&gt;='111'!$N$11,$B26&lt;='111'!$O$11,OR($L26=$O$7,$M26=$O$7)),"x","")</f>
        <v/>
      </c>
      <c r="P26" s="51" t="str">
        <f>IF(AND($L26=$O$7,$B26&lt;'111'!$N$11),"x","")</f>
        <v/>
      </c>
      <c r="Q26" s="51" t="str">
        <f>IF(AND($M26=$O$7,$B26&lt;'111'!$N$11),"x","")</f>
        <v/>
      </c>
      <c r="R26" s="51" t="str">
        <f>IF(ISERROR(FIND('112'!$M$9,G26,1)),"",IF((AND(FIND('112'!$M$9,G26,1)&gt;=1,$B26&gt;='112'!$N$8,$B26&lt;='112'!$O$8,OR($L26='112'!$I$6,$M26='112'!$I$6))),"x",""))</f>
        <v/>
      </c>
      <c r="S26" s="51" t="str">
        <f>IF(ISERROR(FIND('112'!$M$9,G26,1)),"",IF((AND(LEFT(G26,2)=LEFT('112'!$M$9,2),B26&lt;'112'!$N$8,$L26='112'!$I$6)),"x",""))</f>
        <v/>
      </c>
      <c r="T26" s="51" t="str">
        <f>IF(ISERROR(FIND('112'!$M$9,G26,1)),"",IF((AND(RIGHT(G26,2)=RIGHT('112'!$M$9,2),B26&lt;'112'!$N$8,$M26='112'!$I$6)),"x",""))</f>
        <v/>
      </c>
      <c r="U26" s="51" t="str">
        <f>IF(AND(L26="154",'154'!$O$5&lt;=B26,'154'!$P$5&gt;=B26),"154",IF(AND(L26="632",'632'!$L$5&lt;=B26,'632'!$M$5&gt;=B26),"632",IF(AND(L26="642",'642'!$N$5&lt;=B26,'642'!$O$5&gt;=B26),"642",IF(AND(L26="641",'641'!$N$5&lt;=B26,'641'!$O$5&gt;=B26),"641",""))))</f>
        <v/>
      </c>
      <c r="V26" s="51" t="str">
        <f>IF(OR(TH!L26=TH!$V$7,M26=TH!$V$7),"x","")</f>
        <v/>
      </c>
      <c r="W26" s="51" t="str">
        <f>IF(AND(B26&gt;='IN-NX'!$P$3,B26&lt;='IN-NX'!$Q$3,'IN-NX'!$D$7=D26,OR(LEFT(L26,2)="15",AND(LEFT(M26,2)&lt;&gt;"15",LEFT(M26,2)&lt;&gt;"33"))),"x","")</f>
        <v/>
      </c>
      <c r="X26" s="51" t="str">
        <f>IF(AND(OR(LEFT(TH!L26,2)="15",LEFT(TH!M26,2)="15"),'152-CT'!$J$8=TH!F26),"x","")</f>
        <v/>
      </c>
      <c r="Y26" s="51" t="str">
        <f>IF(AND(OR(LEFT(TH!L26,2)="15",LEFT(TH!M26,2)="15"),TK!$E$7=TH!F26),"x","")</f>
        <v/>
      </c>
      <c r="Z26" s="51" t="str">
        <f>IF(AND(B26&lt;=NKC!$N$8,B26&gt;=NKC!$M$8),"x","")</f>
        <v/>
      </c>
      <c r="AA26" s="803"/>
      <c r="AB26" s="565"/>
    </row>
    <row r="27" spans="1:28" ht="15.75" customHeight="1">
      <c r="A27" s="804" t="str">
        <f>IF(B27&lt;&gt;"",IF(AND(B27&gt;=_TM1,B27&lt;=_TM2,OR(TH!L27="1111",TH!M27="1111")),TH!D27,""),"")</f>
        <v/>
      </c>
      <c r="B27" s="36">
        <f t="shared" si="4"/>
        <v>1</v>
      </c>
      <c r="C27" s="189">
        <f t="shared" si="5"/>
        <v>42012</v>
      </c>
      <c r="D27" s="189" t="s">
        <v>1334</v>
      </c>
      <c r="E27" s="189">
        <v>42012</v>
      </c>
      <c r="F27" s="190" t="s">
        <v>473</v>
      </c>
      <c r="G27" s="813" t="s">
        <v>467</v>
      </c>
      <c r="H27" s="191" t="s">
        <v>466</v>
      </c>
      <c r="I27" s="243">
        <v>30</v>
      </c>
      <c r="J27" s="243">
        <v>11765</v>
      </c>
      <c r="K27" s="573">
        <f t="shared" si="6"/>
        <v>352950</v>
      </c>
      <c r="L27" s="574" t="s">
        <v>417</v>
      </c>
      <c r="M27" s="574" t="s">
        <v>8</v>
      </c>
      <c r="N27" s="51" t="str">
        <f>IF(AND('331-CT'!$E$7=TH!H27,OR(L27="331",M27="331")),"331",IF(AND(OR(L27="131",M27="131"),H27='131-CT'!$E$7),"131",""))</f>
        <v/>
      </c>
      <c r="O27" s="51" t="str">
        <f>IF(AND($B27&gt;='111'!$N$11,$B27&lt;='111'!$O$11,OR($L27=$O$7,$M27=$O$7)),"x","")</f>
        <v/>
      </c>
      <c r="P27" s="51" t="str">
        <f>IF(AND($L27=$O$7,$B27&lt;'111'!$N$11),"x","")</f>
        <v/>
      </c>
      <c r="Q27" s="51" t="str">
        <f>IF(AND($M27=$O$7,$B27&lt;'111'!$N$11),"x","")</f>
        <v/>
      </c>
      <c r="R27" s="51" t="str">
        <f>IF(ISERROR(FIND('112'!$M$9,G27,1)),"",IF((AND(FIND('112'!$M$9,G27,1)&gt;=1,$B27&gt;='112'!$N$8,$B27&lt;='112'!$O$8,OR($L27='112'!$I$6,$M27='112'!$I$6))),"x",""))</f>
        <v/>
      </c>
      <c r="S27" s="51" t="str">
        <f>IF(ISERROR(FIND('112'!$M$9,G27,1)),"",IF((AND(LEFT(G27,2)=LEFT('112'!$M$9,2),B27&lt;'112'!$N$8,$L27='112'!$I$6)),"x",""))</f>
        <v/>
      </c>
      <c r="T27" s="51" t="str">
        <f>IF(ISERROR(FIND('112'!$M$9,G27,1)),"",IF((AND(RIGHT(G27,2)=RIGHT('112'!$M$9,2),B27&lt;'112'!$N$8,$M27='112'!$I$6)),"x",""))</f>
        <v/>
      </c>
      <c r="U27" s="51" t="str">
        <f>IF(AND(L27="154",'154'!$O$5&lt;=B27,'154'!$P$5&gt;=B27),"154",IF(AND(L27="632",'632'!$L$5&lt;=B27,'632'!$M$5&gt;=B27),"632",IF(AND(L27="642",'642'!$N$5&lt;=B27,'642'!$O$5&gt;=B27),"642",IF(AND(L27="641",'641'!$N$5&lt;=B27,'641'!$O$5&gt;=B27),"641",""))))</f>
        <v/>
      </c>
      <c r="V27" s="51" t="str">
        <f>IF(OR(TH!L27=TH!$V$7,M27=TH!$V$7),"x","")</f>
        <v/>
      </c>
      <c r="W27" s="51" t="str">
        <f>IF(AND(B27&gt;='IN-NX'!$P$3,B27&lt;='IN-NX'!$Q$3,'IN-NX'!$D$7=D27,OR(LEFT(L27,2)="15",AND(LEFT(M27,2)&lt;&gt;"15",LEFT(M27,2)&lt;&gt;"33"))),"x","")</f>
        <v/>
      </c>
      <c r="X27" s="51" t="str">
        <f>IF(AND(OR(LEFT(TH!L27,2)="15",LEFT(TH!M27,2)="15"),'152-CT'!$J$8=TH!F27),"x","")</f>
        <v/>
      </c>
      <c r="Y27" s="51" t="str">
        <f>IF(AND(OR(LEFT(TH!L27,2)="15",LEFT(TH!M27,2)="15"),TK!$E$7=TH!F27),"x","")</f>
        <v/>
      </c>
      <c r="Z27" s="51" t="str">
        <f>IF(AND(B27&lt;=NKC!$N$8,B27&gt;=NKC!$M$8),"x","")</f>
        <v/>
      </c>
      <c r="AA27" s="803"/>
      <c r="AB27" s="565"/>
    </row>
    <row r="28" spans="1:28" ht="15.75" customHeight="1">
      <c r="A28" s="804" t="str">
        <f>IF(B28&lt;&gt;"",IF(AND(B28&gt;=_TM1,B28&lt;=_TM2,OR(TH!L28="1111",TH!M28="1111")),TH!D28,""),"")</f>
        <v/>
      </c>
      <c r="B28" s="36">
        <f t="shared" si="4"/>
        <v>1</v>
      </c>
      <c r="C28" s="189">
        <f t="shared" si="5"/>
        <v>42012</v>
      </c>
      <c r="D28" s="189" t="s">
        <v>1334</v>
      </c>
      <c r="E28" s="189">
        <v>42012</v>
      </c>
      <c r="F28" s="922" t="s">
        <v>474</v>
      </c>
      <c r="G28" s="813" t="s">
        <v>467</v>
      </c>
      <c r="H28" s="191" t="s">
        <v>466</v>
      </c>
      <c r="I28" s="243">
        <v>42</v>
      </c>
      <c r="J28" s="243">
        <v>9946</v>
      </c>
      <c r="K28" s="573">
        <f t="shared" si="6"/>
        <v>417732</v>
      </c>
      <c r="L28" s="574" t="s">
        <v>417</v>
      </c>
      <c r="M28" s="574" t="s">
        <v>8</v>
      </c>
      <c r="N28" s="51" t="str">
        <f>IF(AND('331-CT'!$E$7=TH!H28,OR(L28="331",M28="331")),"331",IF(AND(OR(L28="131",M28="131"),H28='131-CT'!$E$7),"131",""))</f>
        <v/>
      </c>
      <c r="O28" s="51" t="str">
        <f>IF(AND($B28&gt;='111'!$N$11,$B28&lt;='111'!$O$11,OR($L28=$O$7,$M28=$O$7)),"x","")</f>
        <v/>
      </c>
      <c r="P28" s="51" t="str">
        <f>IF(AND($L28=$O$7,$B28&lt;'111'!$N$11),"x","")</f>
        <v/>
      </c>
      <c r="Q28" s="51" t="str">
        <f>IF(AND($M28=$O$7,$B28&lt;'111'!$N$11),"x","")</f>
        <v/>
      </c>
      <c r="R28" s="51" t="str">
        <f>IF(ISERROR(FIND('112'!$M$9,G28,1)),"",IF((AND(FIND('112'!$M$9,G28,1)&gt;=1,$B28&gt;='112'!$N$8,$B28&lt;='112'!$O$8,OR($L28='112'!$I$6,$M28='112'!$I$6))),"x",""))</f>
        <v/>
      </c>
      <c r="S28" s="51" t="str">
        <f>IF(ISERROR(FIND('112'!$M$9,G28,1)),"",IF((AND(LEFT(G28,2)=LEFT('112'!$M$9,2),B28&lt;'112'!$N$8,$L28='112'!$I$6)),"x",""))</f>
        <v/>
      </c>
      <c r="T28" s="51" t="str">
        <f>IF(ISERROR(FIND('112'!$M$9,G28,1)),"",IF((AND(RIGHT(G28,2)=RIGHT('112'!$M$9,2),B28&lt;'112'!$N$8,$M28='112'!$I$6)),"x",""))</f>
        <v/>
      </c>
      <c r="U28" s="51" t="str">
        <f>IF(AND(L28="154",'154'!$O$5&lt;=B28,'154'!$P$5&gt;=B28),"154",IF(AND(L28="632",'632'!$L$5&lt;=B28,'632'!$M$5&gt;=B28),"632",IF(AND(L28="642",'642'!$N$5&lt;=B28,'642'!$O$5&gt;=B28),"642",IF(AND(L28="641",'641'!$N$5&lt;=B28,'641'!$O$5&gt;=B28),"641",""))))</f>
        <v/>
      </c>
      <c r="V28" s="51" t="str">
        <f>IF(OR(TH!L28=TH!$V$7,M28=TH!$V$7),"x","")</f>
        <v/>
      </c>
      <c r="W28" s="51" t="str">
        <f>IF(AND(B28&gt;='IN-NX'!$P$3,B28&lt;='IN-NX'!$Q$3,'IN-NX'!$D$7=D28,OR(LEFT(L28,2)="15",AND(LEFT(M28,2)&lt;&gt;"15",LEFT(M28,2)&lt;&gt;"33"))),"x","")</f>
        <v/>
      </c>
      <c r="X28" s="51" t="str">
        <f>IF(AND(OR(LEFT(TH!L28,2)="15",LEFT(TH!M28,2)="15"),'152-CT'!$J$8=TH!F28),"x","")</f>
        <v/>
      </c>
      <c r="Y28" s="51" t="str">
        <f>IF(AND(OR(LEFT(TH!L28,2)="15",LEFT(TH!M28,2)="15"),TK!$E$7=TH!F28),"x","")</f>
        <v/>
      </c>
      <c r="Z28" s="51" t="str">
        <f>IF(AND(B28&lt;=NKC!$N$8,B28&gt;=NKC!$M$8),"x","")</f>
        <v/>
      </c>
      <c r="AA28" s="803"/>
      <c r="AB28" s="565"/>
    </row>
    <row r="29" spans="1:28" ht="15.75" customHeight="1">
      <c r="A29" s="804" t="str">
        <f>IF(B29&lt;&gt;"",IF(AND(B29&gt;=_TM1,B29&lt;=_TM2,OR(TH!L29="1111",TH!M29="1111")),TH!D29,""),"")</f>
        <v/>
      </c>
      <c r="B29" s="36">
        <f t="shared" si="4"/>
        <v>1</v>
      </c>
      <c r="C29" s="189">
        <f t="shared" si="5"/>
        <v>42012</v>
      </c>
      <c r="D29" s="189" t="s">
        <v>1334</v>
      </c>
      <c r="E29" s="189">
        <v>42012</v>
      </c>
      <c r="F29" s="922" t="s">
        <v>468</v>
      </c>
      <c r="G29" s="813" t="s">
        <v>467</v>
      </c>
      <c r="H29" s="191" t="s">
        <v>466</v>
      </c>
      <c r="I29" s="243"/>
      <c r="J29" s="243"/>
      <c r="K29" s="573">
        <v>1782048</v>
      </c>
      <c r="L29" s="574" t="s">
        <v>9</v>
      </c>
      <c r="M29" s="574" t="s">
        <v>8</v>
      </c>
      <c r="N29" s="51" t="str">
        <f>IF(AND('331-CT'!$E$7=TH!H29,OR(L29="331",M29="331")),"331",IF(AND(OR(L29="131",M29="131"),H29='131-CT'!$E$7),"131",""))</f>
        <v/>
      </c>
      <c r="O29" s="51" t="str">
        <f>IF(AND($B29&gt;='111'!$N$11,$B29&lt;='111'!$O$11,OR($L29=$O$7,$M29=$O$7)),"x","")</f>
        <v/>
      </c>
      <c r="P29" s="51" t="str">
        <f>IF(AND($L29=$O$7,$B29&lt;'111'!$N$11),"x","")</f>
        <v/>
      </c>
      <c r="Q29" s="51" t="str">
        <f>IF(AND($M29=$O$7,$B29&lt;'111'!$N$11),"x","")</f>
        <v/>
      </c>
      <c r="R29" s="51" t="str">
        <f>IF(ISERROR(FIND('112'!$M$9,G29,1)),"",IF((AND(FIND('112'!$M$9,G29,1)&gt;=1,$B29&gt;='112'!$N$8,$B29&lt;='112'!$O$8,OR($L29='112'!$I$6,$M29='112'!$I$6))),"x",""))</f>
        <v/>
      </c>
      <c r="S29" s="51" t="str">
        <f>IF(ISERROR(FIND('112'!$M$9,G29,1)),"",IF((AND(LEFT(G29,2)=LEFT('112'!$M$9,2),B29&lt;'112'!$N$8,$L29='112'!$I$6)),"x",""))</f>
        <v/>
      </c>
      <c r="T29" s="51" t="str">
        <f>IF(ISERROR(FIND('112'!$M$9,G29,1)),"",IF((AND(RIGHT(G29,2)=RIGHT('112'!$M$9,2),B29&lt;'112'!$N$8,$M29='112'!$I$6)),"x",""))</f>
        <v/>
      </c>
      <c r="U29" s="51" t="str">
        <f>IF(AND(L29="154",'154'!$O$5&lt;=B29,'154'!$P$5&gt;=B29),"154",IF(AND(L29="632",'632'!$L$5&lt;=B29,'632'!$M$5&gt;=B29),"632",IF(AND(L29="642",'642'!$N$5&lt;=B29,'642'!$O$5&gt;=B29),"642",IF(AND(L29="641",'641'!$N$5&lt;=B29,'641'!$O$5&gt;=B29),"641",""))))</f>
        <v/>
      </c>
      <c r="V29" s="51" t="str">
        <f>IF(OR(TH!L29=TH!$V$7,M29=TH!$V$7),"x","")</f>
        <v/>
      </c>
      <c r="W29" s="51" t="str">
        <f>IF(AND(B29&gt;='IN-NX'!$P$3,B29&lt;='IN-NX'!$Q$3,'IN-NX'!$D$7=D29,OR(LEFT(L29,2)="15",AND(LEFT(M29,2)&lt;&gt;"15",LEFT(M29,2)&lt;&gt;"33"))),"x","")</f>
        <v/>
      </c>
      <c r="X29" s="51" t="str">
        <f>IF(AND(OR(LEFT(TH!L29,2)="15",LEFT(TH!M29,2)="15"),'152-CT'!$J$8=TH!F29),"x","")</f>
        <v/>
      </c>
      <c r="Y29" s="51" t="str">
        <f>IF(AND(OR(LEFT(TH!L29,2)="15",LEFT(TH!M29,2)="15"),TK!$E$7=TH!F29),"x","")</f>
        <v/>
      </c>
      <c r="Z29" s="51" t="str">
        <f>IF(AND(B29&lt;=NKC!$N$8,B29&gt;=NKC!$M$8),"x","")</f>
        <v/>
      </c>
      <c r="AA29" s="803">
        <v>1</v>
      </c>
      <c r="AB29" s="565"/>
    </row>
    <row r="30" spans="1:28" ht="15.75" customHeight="1">
      <c r="A30" s="804" t="str">
        <f>IF(B30&lt;&gt;"",IF(AND(B30&gt;=_TM1,B30&lt;=_TM2,OR(TH!L30="1111",TH!M30="1111")),TH!D30,""),"")</f>
        <v/>
      </c>
      <c r="B30" s="36">
        <f t="shared" si="4"/>
        <v>1</v>
      </c>
      <c r="C30" s="189">
        <f t="shared" si="5"/>
        <v>42012</v>
      </c>
      <c r="D30" s="189" t="s">
        <v>1335</v>
      </c>
      <c r="E30" s="189">
        <v>42012</v>
      </c>
      <c r="F30" s="187" t="s">
        <v>438</v>
      </c>
      <c r="G30" s="813" t="s">
        <v>467</v>
      </c>
      <c r="H30" s="191" t="s">
        <v>466</v>
      </c>
      <c r="I30" s="243"/>
      <c r="J30" s="243"/>
      <c r="K30" s="573">
        <v>19602523</v>
      </c>
      <c r="L30" s="574" t="s">
        <v>8</v>
      </c>
      <c r="M30" s="574" t="s">
        <v>47</v>
      </c>
      <c r="N30" s="51" t="str">
        <f>IF(AND('331-CT'!$E$7=TH!H30,OR(L30="331",M30="331")),"331",IF(AND(OR(L30="131",M30="131"),H30='131-CT'!$E$7),"131",""))</f>
        <v/>
      </c>
      <c r="O30" s="51" t="str">
        <f>IF(AND($B30&gt;='111'!$N$11,$B30&lt;='111'!$O$11,OR($L30=$O$7,$M30=$O$7)),"x","")</f>
        <v/>
      </c>
      <c r="P30" s="51" t="str">
        <f>IF(AND($L30=$O$7,$B30&lt;'111'!$N$11),"x","")</f>
        <v/>
      </c>
      <c r="Q30" s="51" t="str">
        <f>IF(AND($M30=$O$7,$B30&lt;'111'!$N$11),"x","")</f>
        <v>x</v>
      </c>
      <c r="R30" s="51" t="str">
        <f>IF(ISERROR(FIND('112'!$M$9,G30,1)),"",IF((AND(FIND('112'!$M$9,G30,1)&gt;=1,$B30&gt;='112'!$N$8,$B30&lt;='112'!$O$8,OR($L30='112'!$I$6,$M30='112'!$I$6))),"x",""))</f>
        <v/>
      </c>
      <c r="S30" s="51" t="str">
        <f>IF(ISERROR(FIND('112'!$M$9,G30,1)),"",IF((AND(LEFT(G30,2)=LEFT('112'!$M$9,2),B30&lt;'112'!$N$8,$L30='112'!$I$6)),"x",""))</f>
        <v/>
      </c>
      <c r="T30" s="51" t="str">
        <f>IF(ISERROR(FIND('112'!$M$9,G30,1)),"",IF((AND(RIGHT(G30,2)=RIGHT('112'!$M$9,2),B30&lt;'112'!$N$8,$M30='112'!$I$6)),"x",""))</f>
        <v/>
      </c>
      <c r="U30" s="51" t="str">
        <f>IF(AND(L30="154",'154'!$O$5&lt;=B30,'154'!$P$5&gt;=B30),"154",IF(AND(L30="632",'632'!$L$5&lt;=B30,'632'!$M$5&gt;=B30),"632",IF(AND(L30="642",'642'!$N$5&lt;=B30,'642'!$O$5&gt;=B30),"642",IF(AND(L30="641",'641'!$N$5&lt;=B30,'641'!$O$5&gt;=B30),"641",""))))</f>
        <v/>
      </c>
      <c r="V30" s="51" t="str">
        <f>IF(OR(TH!L30=TH!$V$7,M30=TH!$V$7),"x","")</f>
        <v/>
      </c>
      <c r="W30" s="51" t="str">
        <f>IF(AND(B30&gt;='IN-NX'!$P$3,B30&lt;='IN-NX'!$Q$3,'IN-NX'!$D$7=D30,OR(LEFT(L30,2)="15",AND(LEFT(M30,2)&lt;&gt;"15",LEFT(M30,2)&lt;&gt;"33"))),"x","")</f>
        <v/>
      </c>
      <c r="X30" s="51" t="str">
        <f>IF(AND(OR(LEFT(TH!L30,2)="15",LEFT(TH!M30,2)="15"),'152-CT'!$J$8=TH!F30),"x","")</f>
        <v/>
      </c>
      <c r="Y30" s="51" t="str">
        <f>IF(AND(OR(LEFT(TH!L30,2)="15",LEFT(TH!M30,2)="15"),TK!$E$7=TH!F30),"x","")</f>
        <v/>
      </c>
      <c r="Z30" s="51" t="str">
        <f>IF(AND(B30&lt;=NKC!$N$8,B30&gt;=NKC!$M$8),"x","")</f>
        <v/>
      </c>
      <c r="AA30" s="803"/>
      <c r="AB30" s="565"/>
    </row>
    <row r="31" spans="1:28" ht="15.75" customHeight="1">
      <c r="A31" s="804" t="str">
        <f>IF(B31&lt;&gt;"",IF(AND(B31&gt;=_TM1,B31&lt;=_TM2,OR(TH!L31="1111",TH!M31="1111")),TH!D31,""),"")</f>
        <v/>
      </c>
      <c r="B31" s="36">
        <f t="shared" si="4"/>
        <v>1</v>
      </c>
      <c r="C31" s="189">
        <f t="shared" si="5"/>
        <v>42013</v>
      </c>
      <c r="D31" s="189" t="s">
        <v>1283</v>
      </c>
      <c r="E31" s="189">
        <v>42013</v>
      </c>
      <c r="F31" s="922" t="s">
        <v>499</v>
      </c>
      <c r="G31" s="813" t="s">
        <v>961</v>
      </c>
      <c r="H31" s="7" t="s">
        <v>446</v>
      </c>
      <c r="I31" s="243">
        <v>130</v>
      </c>
      <c r="J31" s="243">
        <v>14700</v>
      </c>
      <c r="K31" s="573">
        <f>ROUND(I31*J31,0)</f>
        <v>1911000</v>
      </c>
      <c r="L31" s="574" t="s">
        <v>250</v>
      </c>
      <c r="M31" s="574" t="s">
        <v>164</v>
      </c>
      <c r="N31" s="51" t="str">
        <f>IF(AND('331-CT'!$E$7=TH!H31,OR(L31="331",M31="331")),"331",IF(AND(OR(L31="131",M31="131"),H31='131-CT'!$E$7),"131",""))</f>
        <v/>
      </c>
      <c r="O31" s="51" t="str">
        <f>IF(AND($B31&gt;='111'!$N$11,$B31&lt;='111'!$O$11,OR($L31=$O$7,$M31=$O$7)),"x","")</f>
        <v/>
      </c>
      <c r="P31" s="51" t="str">
        <f>IF(AND($L31=$O$7,$B31&lt;'111'!$N$11),"x","")</f>
        <v/>
      </c>
      <c r="Q31" s="51" t="str">
        <f>IF(AND($M31=$O$7,$B31&lt;'111'!$N$11),"x","")</f>
        <v/>
      </c>
      <c r="R31" s="51" t="str">
        <f>IF(ISERROR(FIND('112'!$M$9,G31,1)),"",IF((AND(FIND('112'!$M$9,G31,1)&gt;=1,$B31&gt;='112'!$N$8,$B31&lt;='112'!$O$8,OR($L31='112'!$I$6,$M31='112'!$I$6))),"x",""))</f>
        <v/>
      </c>
      <c r="S31" s="51" t="str">
        <f>IF(ISERROR(FIND('112'!$M$9,G31,1)),"",IF((AND(LEFT(G31,2)=LEFT('112'!$M$9,2),B31&lt;'112'!$N$8,$L31='112'!$I$6)),"x",""))</f>
        <v/>
      </c>
      <c r="T31" s="51" t="str">
        <f>IF(ISERROR(FIND('112'!$M$9,G31,1)),"",IF((AND(RIGHT(G31,2)=RIGHT('112'!$M$9,2),B31&lt;'112'!$N$8,$M31='112'!$I$6)),"x",""))</f>
        <v/>
      </c>
      <c r="U31" s="51" t="str">
        <f>IF(AND(L31="154",'154'!$O$5&lt;=B31,'154'!$P$5&gt;=B31),"154",IF(AND(L31="632",'632'!$L$5&lt;=B31,'632'!$M$5&gt;=B31),"632",IF(AND(L31="642",'642'!$N$5&lt;=B31,'642'!$O$5&gt;=B31),"642",IF(AND(L31="641",'641'!$N$5&lt;=B31,'641'!$O$5&gt;=B31),"641",""))))</f>
        <v/>
      </c>
      <c r="V31" s="51" t="str">
        <f>IF(OR(TH!L31=TH!$V$7,M31=TH!$V$7),"x","")</f>
        <v/>
      </c>
      <c r="W31" s="51" t="str">
        <f>IF(AND(B31&gt;='IN-NX'!$P$3,B31&lt;='IN-NX'!$Q$3,'IN-NX'!$D$7=D31,OR(LEFT(L31,2)="15",AND(LEFT(M31,2)&lt;&gt;"15",LEFT(M31,2)&lt;&gt;"33"))),"x","")</f>
        <v/>
      </c>
      <c r="X31" s="51" t="str">
        <f>IF(AND(OR(LEFT(TH!L31,2)="15",LEFT(TH!M31,2)="15"),'152-CT'!$J$8=TH!F31),"x","")</f>
        <v/>
      </c>
      <c r="Y31" s="51" t="str">
        <f>IF(AND(OR(LEFT(TH!L31,2)="15",LEFT(TH!M31,2)="15"),TK!$E$7=TH!F31),"x","")</f>
        <v/>
      </c>
      <c r="Z31" s="51" t="str">
        <f>IF(AND(B31&lt;=NKC!$N$8,B31&gt;=NKC!$M$8),"x","")</f>
        <v/>
      </c>
      <c r="AA31" s="803"/>
      <c r="AB31" s="565"/>
    </row>
    <row r="32" spans="1:28" ht="15.75" customHeight="1">
      <c r="A32" s="804" t="str">
        <f>IF(B32&lt;&gt;"",IF(AND(B32&gt;=_TM1,B32&lt;=_TM2,OR(TH!L32="1111",TH!M32="1111")),TH!D32,""),"")</f>
        <v/>
      </c>
      <c r="B32" s="36">
        <f t="shared" si="4"/>
        <v>1</v>
      </c>
      <c r="C32" s="189">
        <f t="shared" si="5"/>
        <v>42013</v>
      </c>
      <c r="D32" s="189" t="s">
        <v>1283</v>
      </c>
      <c r="E32" s="189">
        <v>42013</v>
      </c>
      <c r="F32" s="190" t="s">
        <v>962</v>
      </c>
      <c r="G32" s="813" t="s">
        <v>961</v>
      </c>
      <c r="H32" s="7" t="s">
        <v>446</v>
      </c>
      <c r="I32" s="243"/>
      <c r="J32" s="243"/>
      <c r="K32" s="573">
        <v>191100</v>
      </c>
      <c r="L32" s="574" t="s">
        <v>250</v>
      </c>
      <c r="M32" s="574" t="s">
        <v>352</v>
      </c>
      <c r="N32" s="51" t="str">
        <f>IF(AND('331-CT'!$E$7=TH!H32,OR(L32="331",M32="331")),"331",IF(AND(OR(L32="131",M32="131"),H32='131-CT'!$E$7),"131",""))</f>
        <v/>
      </c>
      <c r="O32" s="51" t="str">
        <f>IF(AND($B32&gt;='111'!$N$11,$B32&lt;='111'!$O$11,OR($L32=$O$7,$M32=$O$7)),"x","")</f>
        <v/>
      </c>
      <c r="P32" s="51" t="str">
        <f>IF(AND($L32=$O$7,$B32&lt;'111'!$N$11),"x","")</f>
        <v/>
      </c>
      <c r="Q32" s="51" t="str">
        <f>IF(AND($M32=$O$7,$B32&lt;'111'!$N$11),"x","")</f>
        <v/>
      </c>
      <c r="R32" s="51" t="str">
        <f>IF(ISERROR(FIND('112'!$M$9,G32,1)),"",IF((AND(FIND('112'!$M$9,G32,1)&gt;=1,$B32&gt;='112'!$N$8,$B32&lt;='112'!$O$8,OR($L32='112'!$I$6,$M32='112'!$I$6))),"x",""))</f>
        <v/>
      </c>
      <c r="S32" s="51" t="str">
        <f>IF(ISERROR(FIND('112'!$M$9,G32,1)),"",IF((AND(LEFT(G32,2)=LEFT('112'!$M$9,2),B32&lt;'112'!$N$8,$L32='112'!$I$6)),"x",""))</f>
        <v/>
      </c>
      <c r="T32" s="51" t="str">
        <f>IF(ISERROR(FIND('112'!$M$9,G32,1)),"",IF((AND(RIGHT(G32,2)=RIGHT('112'!$M$9,2),B32&lt;'112'!$N$8,$M32='112'!$I$6)),"x",""))</f>
        <v/>
      </c>
      <c r="U32" s="51" t="str">
        <f>IF(AND(L32="154",'154'!$O$5&lt;=B32,'154'!$P$5&gt;=B32),"154",IF(AND(L32="632",'632'!$L$5&lt;=B32,'632'!$M$5&gt;=B32),"632",IF(AND(L32="642",'642'!$N$5&lt;=B32,'642'!$O$5&gt;=B32),"642",IF(AND(L32="641",'641'!$N$5&lt;=B32,'641'!$O$5&gt;=B32),"641",""))))</f>
        <v/>
      </c>
      <c r="V32" s="51" t="str">
        <f>IF(OR(TH!L32=TH!$V$7,M32=TH!$V$7),"x","")</f>
        <v/>
      </c>
      <c r="W32" s="51" t="str">
        <f>IF(AND(B32&gt;='IN-NX'!$P$3,B32&lt;='IN-NX'!$Q$3,'IN-NX'!$D$7=D32,OR(LEFT(L32,2)="15",AND(LEFT(M32,2)&lt;&gt;"15",LEFT(M32,2)&lt;&gt;"33"))),"x","")</f>
        <v/>
      </c>
      <c r="X32" s="51" t="str">
        <f>IF(AND(OR(LEFT(TH!L32,2)="15",LEFT(TH!M32,2)="15"),'152-CT'!$J$8=TH!F32),"x","")</f>
        <v/>
      </c>
      <c r="Y32" s="51" t="str">
        <f>IF(AND(OR(LEFT(TH!L32,2)="15",LEFT(TH!M32,2)="15"),TK!$E$7=TH!F32),"x","")</f>
        <v/>
      </c>
      <c r="Z32" s="51" t="str">
        <f>IF(AND(B32&lt;=NKC!$N$8,B32&gt;=NKC!$M$8),"x","")</f>
        <v/>
      </c>
      <c r="AA32" s="803"/>
      <c r="AB32" s="565"/>
    </row>
    <row r="33" spans="1:30" ht="15.75" customHeight="1">
      <c r="A33" s="804" t="str">
        <f>IF(B33&lt;&gt;"",IF(AND(B33&gt;=_TM1,B33&lt;=_TM2,OR(TH!L33="1111",TH!M33="1111")),TH!D33,""),"")</f>
        <v/>
      </c>
      <c r="B33" s="36">
        <f t="shared" si="4"/>
        <v>1</v>
      </c>
      <c r="C33" s="189">
        <f t="shared" si="5"/>
        <v>42013</v>
      </c>
      <c r="D33" s="189" t="s">
        <v>339</v>
      </c>
      <c r="E33" s="189">
        <v>42013</v>
      </c>
      <c r="F33" s="190" t="s">
        <v>423</v>
      </c>
      <c r="G33" s="813" t="s">
        <v>961</v>
      </c>
      <c r="H33" s="7" t="s">
        <v>446</v>
      </c>
      <c r="I33" s="243"/>
      <c r="J33" s="243"/>
      <c r="K33" s="573">
        <v>2102100</v>
      </c>
      <c r="L33" s="574" t="s">
        <v>47</v>
      </c>
      <c r="M33" s="574" t="s">
        <v>250</v>
      </c>
      <c r="N33" s="51" t="str">
        <f>IF(AND('331-CT'!$E$7=TH!H33,OR(L33="331",M33="331")),"331",IF(AND(OR(L33="131",M33="131"),H33='131-CT'!$E$7),"131",""))</f>
        <v/>
      </c>
      <c r="O33" s="51" t="str">
        <f>IF(AND($B33&gt;='111'!$N$11,$B33&lt;='111'!$O$11,OR($L33=$O$7,$M33=$O$7)),"x","")</f>
        <v/>
      </c>
      <c r="P33" s="51" t="str">
        <f>IF(AND($L33=$O$7,$B33&lt;'111'!$N$11),"x","")</f>
        <v>x</v>
      </c>
      <c r="Q33" s="51" t="str">
        <f>IF(AND($M33=$O$7,$B33&lt;'111'!$N$11),"x","")</f>
        <v/>
      </c>
      <c r="R33" s="51" t="str">
        <f>IF(ISERROR(FIND('112'!$M$9,G33,1)),"",IF((AND(FIND('112'!$M$9,G33,1)&gt;=1,$B33&gt;='112'!$N$8,$B33&lt;='112'!$O$8,OR($L33='112'!$I$6,$M33='112'!$I$6))),"x",""))</f>
        <v/>
      </c>
      <c r="S33" s="51" t="str">
        <f>IF(ISERROR(FIND('112'!$M$9,G33,1)),"",IF((AND(LEFT(G33,2)=LEFT('112'!$M$9,2),B33&lt;'112'!$N$8,$L33='112'!$I$6)),"x",""))</f>
        <v/>
      </c>
      <c r="T33" s="51" t="str">
        <f>IF(ISERROR(FIND('112'!$M$9,G33,1)),"",IF((AND(RIGHT(G33,2)=RIGHT('112'!$M$9,2),B33&lt;'112'!$N$8,$M33='112'!$I$6)),"x",""))</f>
        <v/>
      </c>
      <c r="U33" s="51" t="str">
        <f>IF(AND(L33="154",'154'!$O$5&lt;=B33,'154'!$P$5&gt;=B33),"154",IF(AND(L33="632",'632'!$L$5&lt;=B33,'632'!$M$5&gt;=B33),"632",IF(AND(L33="642",'642'!$N$5&lt;=B33,'642'!$O$5&gt;=B33),"642",IF(AND(L33="641",'641'!$N$5&lt;=B33,'641'!$O$5&gt;=B33),"641",""))))</f>
        <v/>
      </c>
      <c r="V33" s="51" t="str">
        <f>IF(OR(TH!L33=TH!$V$7,M33=TH!$V$7),"x","")</f>
        <v/>
      </c>
      <c r="W33" s="51" t="str">
        <f>IF(AND(B33&gt;='IN-NX'!$P$3,B33&lt;='IN-NX'!$Q$3,'IN-NX'!$D$7=D33,OR(LEFT(L33,2)="15",AND(LEFT(M33,2)&lt;&gt;"15",LEFT(M33,2)&lt;&gt;"33"))),"x","")</f>
        <v/>
      </c>
      <c r="X33" s="51" t="str">
        <f>IF(AND(OR(LEFT(TH!L33,2)="15",LEFT(TH!M33,2)="15"),'152-CT'!$J$8=TH!F33),"x","")</f>
        <v/>
      </c>
      <c r="Y33" s="51" t="str">
        <f>IF(AND(OR(LEFT(TH!L33,2)="15",LEFT(TH!M33,2)="15"),TK!$E$7=TH!F33),"x","")</f>
        <v/>
      </c>
      <c r="Z33" s="51" t="str">
        <f>IF(AND(B33&lt;=NKC!$N$8,B33&gt;=NKC!$M$8),"x","")</f>
        <v/>
      </c>
      <c r="AA33" s="803"/>
      <c r="AB33" s="565"/>
    </row>
    <row r="34" spans="1:30" ht="15.75" customHeight="1">
      <c r="A34" s="804" t="str">
        <f>IF(B34&lt;&gt;"",IF(AND(B34&gt;=_TM1,B34&lt;=_TM2,OR(TH!L34="1111",TH!M34="1111")),TH!D34,""),"")</f>
        <v/>
      </c>
      <c r="B34" s="36">
        <f t="shared" si="4"/>
        <v>1</v>
      </c>
      <c r="C34" s="189">
        <f t="shared" si="5"/>
        <v>42013</v>
      </c>
      <c r="D34" s="189" t="s">
        <v>340</v>
      </c>
      <c r="E34" s="189">
        <v>42013</v>
      </c>
      <c r="F34" s="922" t="s">
        <v>964</v>
      </c>
      <c r="G34" s="813" t="s">
        <v>439</v>
      </c>
      <c r="H34" s="191" t="s">
        <v>963</v>
      </c>
      <c r="I34" s="243"/>
      <c r="J34" s="243"/>
      <c r="K34" s="573">
        <v>546000</v>
      </c>
      <c r="L34" s="574" t="s">
        <v>47</v>
      </c>
      <c r="M34" s="574" t="s">
        <v>408</v>
      </c>
      <c r="N34" s="51" t="str">
        <f>IF(AND('331-CT'!$E$7=TH!H34,OR(L34="331",M34="331")),"331",IF(AND(OR(L34="131",M34="131"),H34='131-CT'!$E$7),"131",""))</f>
        <v/>
      </c>
      <c r="O34" s="51" t="str">
        <f>IF(AND($B34&gt;='111'!$N$11,$B34&lt;='111'!$O$11,OR($L34=$O$7,$M34=$O$7)),"x","")</f>
        <v/>
      </c>
      <c r="P34" s="51" t="str">
        <f>IF(AND($L34=$O$7,$B34&lt;'111'!$N$11),"x","")</f>
        <v>x</v>
      </c>
      <c r="Q34" s="51" t="str">
        <f>IF(AND($M34=$O$7,$B34&lt;'111'!$N$11),"x","")</f>
        <v/>
      </c>
      <c r="R34" s="51" t="str">
        <f>IF(ISERROR(FIND('112'!$M$9,G34,1)),"",IF((AND(FIND('112'!$M$9,G34,1)&gt;=1,$B34&gt;='112'!$N$8,$B34&lt;='112'!$O$8,OR($L34='112'!$I$6,$M34='112'!$I$6))),"x",""))</f>
        <v/>
      </c>
      <c r="S34" s="51" t="str">
        <f>IF(ISERROR(FIND('112'!$M$9,G34,1)),"",IF((AND(LEFT(G34,2)=LEFT('112'!$M$9,2),B34&lt;'112'!$N$8,$L34='112'!$I$6)),"x",""))</f>
        <v/>
      </c>
      <c r="T34" s="51" t="str">
        <f>IF(ISERROR(FIND('112'!$M$9,G34,1)),"",IF((AND(RIGHT(G34,2)=RIGHT('112'!$M$9,2),B34&lt;'112'!$N$8,$M34='112'!$I$6)),"x",""))</f>
        <v/>
      </c>
      <c r="U34" s="51" t="str">
        <f>IF(AND(L34="154",'154'!$O$5&lt;=B34,'154'!$P$5&gt;=B34),"154",IF(AND(L34="632",'632'!$L$5&lt;=B34,'632'!$M$5&gt;=B34),"632",IF(AND(L34="642",'642'!$N$5&lt;=B34,'642'!$O$5&gt;=B34),"642",IF(AND(L34="641",'641'!$N$5&lt;=B34,'641'!$O$5&gt;=B34),"641",""))))</f>
        <v/>
      </c>
      <c r="V34" s="51" t="str">
        <f>IF(OR(TH!L34=TH!$V$7,M34=TH!$V$7),"x","")</f>
        <v/>
      </c>
      <c r="W34" s="51" t="str">
        <f>IF(AND(B34&gt;='IN-NX'!$P$3,B34&lt;='IN-NX'!$Q$3,'IN-NX'!$D$7=D34,OR(LEFT(L34,2)="15",AND(LEFT(M34,2)&lt;&gt;"15",LEFT(M34,2)&lt;&gt;"33"))),"x","")</f>
        <v/>
      </c>
      <c r="X34" s="51" t="str">
        <f>IF(AND(OR(LEFT(TH!L34,2)="15",LEFT(TH!M34,2)="15"),'152-CT'!$J$8=TH!F34),"x","")</f>
        <v/>
      </c>
      <c r="Y34" s="51" t="str">
        <f>IF(AND(OR(LEFT(TH!L34,2)="15",LEFT(TH!M34,2)="15"),TK!$E$7=TH!F34),"x","")</f>
        <v/>
      </c>
      <c r="Z34" s="51" t="str">
        <f>IF(AND(B34&lt;=NKC!$N$8,B34&gt;=NKC!$M$8),"x","")</f>
        <v/>
      </c>
      <c r="AA34" s="803"/>
      <c r="AB34" s="565"/>
    </row>
    <row r="35" spans="1:30" ht="15.75" customHeight="1">
      <c r="A35" s="804" t="str">
        <f>IF(B35&lt;&gt;"",IF(AND(B35&gt;=_TM1,B35&lt;=_TM2,OR(TH!L35="1111",TH!M35="1111")),TH!D35,""),"")</f>
        <v/>
      </c>
      <c r="B35" s="36">
        <f t="shared" si="4"/>
        <v>1</v>
      </c>
      <c r="C35" s="189">
        <f t="shared" si="5"/>
        <v>42013</v>
      </c>
      <c r="D35" s="189" t="s">
        <v>340</v>
      </c>
      <c r="E35" s="189">
        <v>42013</v>
      </c>
      <c r="F35" s="190" t="s">
        <v>1110</v>
      </c>
      <c r="G35" s="813" t="s">
        <v>439</v>
      </c>
      <c r="H35" s="191" t="s">
        <v>963</v>
      </c>
      <c r="I35" s="243"/>
      <c r="J35" s="243"/>
      <c r="K35" s="573">
        <v>54600</v>
      </c>
      <c r="L35" s="574" t="s">
        <v>47</v>
      </c>
      <c r="M35" s="574" t="s">
        <v>352</v>
      </c>
      <c r="N35" s="51" t="str">
        <f>IF(AND('331-CT'!$E$7=TH!H35,OR(L35="331",M35="331")),"331",IF(AND(OR(L35="131",M35="131"),H35='131-CT'!$E$7),"131",""))</f>
        <v/>
      </c>
      <c r="O35" s="51" t="str">
        <f>IF(AND($B35&gt;='111'!$N$11,$B35&lt;='111'!$O$11,OR($L35=$O$7,$M35=$O$7)),"x","")</f>
        <v/>
      </c>
      <c r="P35" s="51" t="str">
        <f>IF(AND($L35=$O$7,$B35&lt;'111'!$N$11),"x","")</f>
        <v>x</v>
      </c>
      <c r="Q35" s="51" t="str">
        <f>IF(AND($M35=$O$7,$B35&lt;'111'!$N$11),"x","")</f>
        <v/>
      </c>
      <c r="R35" s="51" t="str">
        <f>IF(ISERROR(FIND('112'!$M$9,G35,1)),"",IF((AND(FIND('112'!$M$9,G35,1)&gt;=1,$B35&gt;='112'!$N$8,$B35&lt;='112'!$O$8,OR($L35='112'!$I$6,$M35='112'!$I$6))),"x",""))</f>
        <v/>
      </c>
      <c r="S35" s="51" t="str">
        <f>IF(ISERROR(FIND('112'!$M$9,G35,1)),"",IF((AND(LEFT(G35,2)=LEFT('112'!$M$9,2),B35&lt;'112'!$N$8,$L35='112'!$I$6)),"x",""))</f>
        <v/>
      </c>
      <c r="T35" s="51" t="str">
        <f>IF(ISERROR(FIND('112'!$M$9,G35,1)),"",IF((AND(RIGHT(G35,2)=RIGHT('112'!$M$9,2),B35&lt;'112'!$N$8,$M35='112'!$I$6)),"x",""))</f>
        <v/>
      </c>
      <c r="U35" s="51" t="str">
        <f>IF(AND(L35="154",'154'!$O$5&lt;=B35,'154'!$P$5&gt;=B35),"154",IF(AND(L35="632",'632'!$L$5&lt;=B35,'632'!$M$5&gt;=B35),"632",IF(AND(L35="642",'642'!$N$5&lt;=B35,'642'!$O$5&gt;=B35),"642",IF(AND(L35="641",'641'!$N$5&lt;=B35,'641'!$O$5&gt;=B35),"641",""))))</f>
        <v/>
      </c>
      <c r="V35" s="51" t="str">
        <f>IF(OR(TH!L35=TH!$V$7,M35=TH!$V$7),"x","")</f>
        <v/>
      </c>
      <c r="W35" s="51" t="str">
        <f>IF(AND(B35&gt;='IN-NX'!$P$3,B35&lt;='IN-NX'!$Q$3,'IN-NX'!$D$7=D35,OR(LEFT(L35,2)="15",AND(LEFT(M35,2)&lt;&gt;"15",LEFT(M35,2)&lt;&gt;"33"))),"x","")</f>
        <v/>
      </c>
      <c r="X35" s="51" t="str">
        <f>IF(AND(OR(LEFT(TH!L35,2)="15",LEFT(TH!M35,2)="15"),'152-CT'!$J$8=TH!F35),"x","")</f>
        <v/>
      </c>
      <c r="Y35" s="51" t="str">
        <f>IF(AND(OR(LEFT(TH!L35,2)="15",LEFT(TH!M35,2)="15"),TK!$E$7=TH!F35),"x","")</f>
        <v/>
      </c>
      <c r="Z35" s="51" t="str">
        <f>IF(AND(B35&lt;=NKC!$N$8,B35&gt;=NKC!$M$8),"x","")</f>
        <v/>
      </c>
      <c r="AA35" s="803"/>
      <c r="AB35" s="565"/>
    </row>
    <row r="36" spans="1:30" ht="15.75" customHeight="1">
      <c r="A36" s="804" t="str">
        <f>IF(B36&lt;&gt;"",IF(AND(B36&gt;=_TM1,B36&lt;=_TM2,OR(TH!L36="1111",TH!M36="1111")),TH!D36,""),"")</f>
        <v/>
      </c>
      <c r="B36" s="36">
        <f t="shared" si="4"/>
        <v>1</v>
      </c>
      <c r="C36" s="189">
        <f t="shared" si="5"/>
        <v>42018</v>
      </c>
      <c r="D36" s="189" t="s">
        <v>344</v>
      </c>
      <c r="E36" s="189">
        <v>42018</v>
      </c>
      <c r="F36" s="922" t="s">
        <v>964</v>
      </c>
      <c r="G36" s="813" t="s">
        <v>965</v>
      </c>
      <c r="H36" s="191" t="s">
        <v>966</v>
      </c>
      <c r="I36" s="243"/>
      <c r="J36" s="243"/>
      <c r="K36" s="573">
        <v>1700000</v>
      </c>
      <c r="L36" s="574" t="s">
        <v>47</v>
      </c>
      <c r="M36" s="574" t="s">
        <v>408</v>
      </c>
      <c r="N36" s="51" t="str">
        <f>IF(AND('331-CT'!$E$7=TH!H36,OR(L36="331",M36="331")),"331",IF(AND(OR(L36="131",M36="131"),H36='131-CT'!$E$7),"131",""))</f>
        <v/>
      </c>
      <c r="O36" s="51" t="str">
        <f>IF(AND($B36&gt;='111'!$N$11,$B36&lt;='111'!$O$11,OR($L36=$O$7,$M36=$O$7)),"x","")</f>
        <v/>
      </c>
      <c r="P36" s="51" t="str">
        <f>IF(AND($L36=$O$7,$B36&lt;'111'!$N$11),"x","")</f>
        <v>x</v>
      </c>
      <c r="Q36" s="51" t="str">
        <f>IF(AND($M36=$O$7,$B36&lt;'111'!$N$11),"x","")</f>
        <v/>
      </c>
      <c r="R36" s="51" t="str">
        <f>IF(ISERROR(FIND('112'!$M$9,G36,1)),"",IF((AND(FIND('112'!$M$9,G36,1)&gt;=1,$B36&gt;='112'!$N$8,$B36&lt;='112'!$O$8,OR($L36='112'!$I$6,$M36='112'!$I$6))),"x",""))</f>
        <v/>
      </c>
      <c r="S36" s="51" t="str">
        <f>IF(ISERROR(FIND('112'!$M$9,G36,1)),"",IF((AND(LEFT(G36,2)=LEFT('112'!$M$9,2),B36&lt;'112'!$N$8,$L36='112'!$I$6)),"x",""))</f>
        <v/>
      </c>
      <c r="T36" s="51" t="str">
        <f>IF(ISERROR(FIND('112'!$M$9,G36,1)),"",IF((AND(RIGHT(G36,2)=RIGHT('112'!$M$9,2),B36&lt;'112'!$N$8,$M36='112'!$I$6)),"x",""))</f>
        <v/>
      </c>
      <c r="U36" s="51" t="str">
        <f>IF(AND(L36="154",'154'!$O$5&lt;=B36,'154'!$P$5&gt;=B36),"154",IF(AND(L36="632",'632'!$L$5&lt;=B36,'632'!$M$5&gt;=B36),"632",IF(AND(L36="642",'642'!$N$5&lt;=B36,'642'!$O$5&gt;=B36),"642",IF(AND(L36="641",'641'!$N$5&lt;=B36,'641'!$O$5&gt;=B36),"641",""))))</f>
        <v/>
      </c>
      <c r="V36" s="51" t="str">
        <f>IF(OR(TH!L36=TH!$V$7,M36=TH!$V$7),"x","")</f>
        <v/>
      </c>
      <c r="W36" s="51" t="str">
        <f>IF(AND(B36&gt;='IN-NX'!$P$3,B36&lt;='IN-NX'!$Q$3,'IN-NX'!$D$7=D36,OR(LEFT(L36,2)="15",AND(LEFT(M36,2)&lt;&gt;"15",LEFT(M36,2)&lt;&gt;"33"))),"x","")</f>
        <v/>
      </c>
      <c r="X36" s="51" t="str">
        <f>IF(AND(OR(LEFT(TH!L36,2)="15",LEFT(TH!M36,2)="15"),'152-CT'!$J$8=TH!F36),"x","")</f>
        <v/>
      </c>
      <c r="Y36" s="51" t="str">
        <f>IF(AND(OR(LEFT(TH!L36,2)="15",LEFT(TH!M36,2)="15"),TK!$E$7=TH!F36),"x","")</f>
        <v/>
      </c>
      <c r="Z36" s="51" t="str">
        <f>IF(AND(B36&lt;=NKC!$N$8,B36&gt;=NKC!$M$8),"x","")</f>
        <v/>
      </c>
      <c r="AA36" s="803"/>
      <c r="AB36" s="565"/>
      <c r="AD36" s="565"/>
    </row>
    <row r="37" spans="1:30" ht="15.75" customHeight="1">
      <c r="A37" s="804" t="str">
        <f>IF(B37&lt;&gt;"",IF(AND(B37&gt;=_TM1,B37&lt;=_TM2,OR(TH!L37="1111",TH!M37="1111")),TH!D37,""),"")</f>
        <v/>
      </c>
      <c r="B37" s="36">
        <f t="shared" si="4"/>
        <v>1</v>
      </c>
      <c r="C37" s="189">
        <f t="shared" si="5"/>
        <v>42018</v>
      </c>
      <c r="D37" s="189" t="s">
        <v>344</v>
      </c>
      <c r="E37" s="189">
        <v>42018</v>
      </c>
      <c r="F37" s="190" t="s">
        <v>1110</v>
      </c>
      <c r="G37" s="813" t="s">
        <v>965</v>
      </c>
      <c r="H37" s="191" t="s">
        <v>966</v>
      </c>
      <c r="I37" s="243"/>
      <c r="J37" s="243"/>
      <c r="K37" s="573">
        <v>170000</v>
      </c>
      <c r="L37" s="574" t="s">
        <v>47</v>
      </c>
      <c r="M37" s="574" t="s">
        <v>352</v>
      </c>
      <c r="N37" s="51" t="str">
        <f>IF(AND('331-CT'!$E$7=TH!H37,OR(L37="331",M37="331")),"331",IF(AND(OR(L37="131",M37="131"),H37='131-CT'!$E$7),"131",""))</f>
        <v/>
      </c>
      <c r="O37" s="51" t="str">
        <f>IF(AND($B37&gt;='111'!$N$11,$B37&lt;='111'!$O$11,OR($L37=$O$7,$M37=$O$7)),"x","")</f>
        <v/>
      </c>
      <c r="P37" s="51" t="str">
        <f>IF(AND($L37=$O$7,$B37&lt;'111'!$N$11),"x","")</f>
        <v>x</v>
      </c>
      <c r="Q37" s="51" t="str">
        <f>IF(AND($M37=$O$7,$B37&lt;'111'!$N$11),"x","")</f>
        <v/>
      </c>
      <c r="R37" s="51" t="str">
        <f>IF(ISERROR(FIND('112'!$M$9,G37,1)),"",IF((AND(FIND('112'!$M$9,G37,1)&gt;=1,$B37&gt;='112'!$N$8,$B37&lt;='112'!$O$8,OR($L37='112'!$I$6,$M37='112'!$I$6))),"x",""))</f>
        <v/>
      </c>
      <c r="S37" s="51" t="str">
        <f>IF(ISERROR(FIND('112'!$M$9,G37,1)),"",IF((AND(LEFT(G37,2)=LEFT('112'!$M$9,2),B37&lt;'112'!$N$8,$L37='112'!$I$6)),"x",""))</f>
        <v/>
      </c>
      <c r="T37" s="51" t="str">
        <f>IF(ISERROR(FIND('112'!$M$9,G37,1)),"",IF((AND(RIGHT(G37,2)=RIGHT('112'!$M$9,2),B37&lt;'112'!$N$8,$M37='112'!$I$6)),"x",""))</f>
        <v/>
      </c>
      <c r="U37" s="51" t="str">
        <f>IF(AND(L37="154",'154'!$O$5&lt;=B37,'154'!$P$5&gt;=B37),"154",IF(AND(L37="632",'632'!$L$5&lt;=B37,'632'!$M$5&gt;=B37),"632",IF(AND(L37="642",'642'!$N$5&lt;=B37,'642'!$O$5&gt;=B37),"642",IF(AND(L37="641",'641'!$N$5&lt;=B37,'641'!$O$5&gt;=B37),"641",""))))</f>
        <v/>
      </c>
      <c r="V37" s="51" t="str">
        <f>IF(OR(TH!L37=TH!$V$7,M37=TH!$V$7),"x","")</f>
        <v/>
      </c>
      <c r="W37" s="51" t="str">
        <f>IF(AND(B37&gt;='IN-NX'!$P$3,B37&lt;='IN-NX'!$Q$3,'IN-NX'!$D$7=D37,OR(LEFT(L37,2)="15",AND(LEFT(M37,2)&lt;&gt;"15",LEFT(M37,2)&lt;&gt;"33"))),"x","")</f>
        <v/>
      </c>
      <c r="X37" s="51" t="str">
        <f>IF(AND(OR(LEFT(TH!L37,2)="15",LEFT(TH!M37,2)="15"),'152-CT'!$J$8=TH!F37),"x","")</f>
        <v/>
      </c>
      <c r="Y37" s="51" t="str">
        <f>IF(AND(OR(LEFT(TH!L37,2)="15",LEFT(TH!M37,2)="15"),TK!$E$7=TH!F37),"x","")</f>
        <v/>
      </c>
      <c r="Z37" s="51" t="str">
        <f>IF(AND(B37&lt;=NKC!$N$8,B37&gt;=NKC!$M$8),"x","")</f>
        <v/>
      </c>
      <c r="AA37" s="803"/>
      <c r="AB37" s="565"/>
      <c r="AC37" s="565"/>
      <c r="AD37" s="565"/>
    </row>
    <row r="38" spans="1:30" ht="15.75" customHeight="1">
      <c r="A38" s="804" t="str">
        <f>IF(B38&lt;&gt;"",IF(AND(B38&gt;=_TM1,B38&lt;=_TM2,OR(TH!L38="1111",TH!M38="1111")),TH!D38,""),"")</f>
        <v/>
      </c>
      <c r="B38" s="36">
        <f t="shared" si="4"/>
        <v>1</v>
      </c>
      <c r="C38" s="189">
        <f t="shared" si="5"/>
        <v>42021</v>
      </c>
      <c r="D38" s="189" t="s">
        <v>1284</v>
      </c>
      <c r="E38" s="189">
        <v>42021</v>
      </c>
      <c r="F38" s="922" t="s">
        <v>1176</v>
      </c>
      <c r="G38" s="813" t="s">
        <v>967</v>
      </c>
      <c r="H38" s="7" t="s">
        <v>446</v>
      </c>
      <c r="I38" s="243">
        <v>425</v>
      </c>
      <c r="J38" s="243">
        <v>14950</v>
      </c>
      <c r="K38" s="573">
        <f>ROUND(I38*J38,0)</f>
        <v>6353750</v>
      </c>
      <c r="L38" s="574" t="s">
        <v>250</v>
      </c>
      <c r="M38" s="574" t="s">
        <v>164</v>
      </c>
      <c r="N38" s="51" t="str">
        <f>IF(AND('331-CT'!$E$7=TH!H38,OR(L38="331",M38="331")),"331",IF(AND(OR(L38="131",M38="131"),H38='131-CT'!$E$7),"131",""))</f>
        <v/>
      </c>
      <c r="O38" s="51" t="str">
        <f>IF(AND($B38&gt;='111'!$N$11,$B38&lt;='111'!$O$11,OR($L38=$O$7,$M38=$O$7)),"x","")</f>
        <v/>
      </c>
      <c r="P38" s="51" t="str">
        <f>IF(AND($L38=$O$7,$B38&lt;'111'!$N$11),"x","")</f>
        <v/>
      </c>
      <c r="Q38" s="51" t="str">
        <f>IF(AND($M38=$O$7,$B38&lt;'111'!$N$11),"x","")</f>
        <v/>
      </c>
      <c r="R38" s="51" t="str">
        <f>IF(ISERROR(FIND('112'!$M$9,G38,1)),"",IF((AND(FIND('112'!$M$9,G38,1)&gt;=1,$B38&gt;='112'!$N$8,$B38&lt;='112'!$O$8,OR($L38='112'!$I$6,$M38='112'!$I$6))),"x",""))</f>
        <v/>
      </c>
      <c r="S38" s="51" t="str">
        <f>IF(ISERROR(FIND('112'!$M$9,G38,1)),"",IF((AND(LEFT(G38,2)=LEFT('112'!$M$9,2),B38&lt;'112'!$N$8,$L38='112'!$I$6)),"x",""))</f>
        <v/>
      </c>
      <c r="T38" s="51" t="str">
        <f>IF(ISERROR(FIND('112'!$M$9,G38,1)),"",IF((AND(RIGHT(G38,2)=RIGHT('112'!$M$9,2),B38&lt;'112'!$N$8,$M38='112'!$I$6)),"x",""))</f>
        <v/>
      </c>
      <c r="U38" s="51" t="str">
        <f>IF(AND(L38="154",'154'!$O$5&lt;=B38,'154'!$P$5&gt;=B38),"154",IF(AND(L38="632",'632'!$L$5&lt;=B38,'632'!$M$5&gt;=B38),"632",IF(AND(L38="642",'642'!$N$5&lt;=B38,'642'!$O$5&gt;=B38),"642",IF(AND(L38="641",'641'!$N$5&lt;=B38,'641'!$O$5&gt;=B38),"641",""))))</f>
        <v/>
      </c>
      <c r="V38" s="51" t="str">
        <f>IF(OR(TH!L38=TH!$V$7,M38=TH!$V$7),"x","")</f>
        <v/>
      </c>
      <c r="W38" s="51" t="str">
        <f>IF(AND(B38&gt;='IN-NX'!$P$3,B38&lt;='IN-NX'!$Q$3,'IN-NX'!$D$7=D38,OR(LEFT(L38,2)="15",AND(LEFT(M38,2)&lt;&gt;"15",LEFT(M38,2)&lt;&gt;"33"))),"x","")</f>
        <v/>
      </c>
      <c r="X38" s="51" t="str">
        <f>IF(AND(OR(LEFT(TH!L38,2)="15",LEFT(TH!M38,2)="15"),'152-CT'!$J$8=TH!F38),"x","")</f>
        <v/>
      </c>
      <c r="Y38" s="51" t="str">
        <f>IF(AND(OR(LEFT(TH!L38,2)="15",LEFT(TH!M38,2)="15"),TK!$E$7=TH!F38),"x","")</f>
        <v/>
      </c>
      <c r="Z38" s="51" t="str">
        <f>IF(AND(B38&lt;=NKC!$N$8,B38&gt;=NKC!$M$8),"x","")</f>
        <v/>
      </c>
      <c r="AA38" s="803"/>
      <c r="AB38" s="565"/>
    </row>
    <row r="39" spans="1:30" ht="15.75" customHeight="1">
      <c r="A39" s="804" t="str">
        <f>IF(B39&lt;&gt;"",IF(AND(B39&gt;=_TM1,B39&lt;=_TM2,OR(TH!L39="1111",TH!M39="1111")),TH!D39,""),"")</f>
        <v/>
      </c>
      <c r="B39" s="36">
        <f t="shared" si="4"/>
        <v>1</v>
      </c>
      <c r="C39" s="189">
        <f t="shared" si="5"/>
        <v>42021</v>
      </c>
      <c r="D39" s="189" t="s">
        <v>1284</v>
      </c>
      <c r="E39" s="189">
        <v>42021</v>
      </c>
      <c r="F39" s="190" t="s">
        <v>1177</v>
      </c>
      <c r="G39" s="813" t="s">
        <v>967</v>
      </c>
      <c r="H39" s="7" t="s">
        <v>446</v>
      </c>
      <c r="I39" s="243">
        <v>126</v>
      </c>
      <c r="J39" s="243">
        <v>16400</v>
      </c>
      <c r="K39" s="573">
        <f>ROUND(I39*J39,0)</f>
        <v>2066400</v>
      </c>
      <c r="L39" s="574" t="s">
        <v>250</v>
      </c>
      <c r="M39" s="574" t="s">
        <v>164</v>
      </c>
      <c r="N39" s="51" t="str">
        <f>IF(AND('331-CT'!$E$7=TH!H39,OR(L39="331",M39="331")),"331",IF(AND(OR(L39="131",M39="131"),H39='131-CT'!$E$7),"131",""))</f>
        <v/>
      </c>
      <c r="O39" s="51" t="str">
        <f>IF(AND($B39&gt;='111'!$N$11,$B39&lt;='111'!$O$11,OR($L39=$O$7,$M39=$O$7)),"x","")</f>
        <v/>
      </c>
      <c r="P39" s="51" t="str">
        <f>IF(AND($L39=$O$7,$B39&lt;'111'!$N$11),"x","")</f>
        <v/>
      </c>
      <c r="Q39" s="51" t="str">
        <f>IF(AND($M39=$O$7,$B39&lt;'111'!$N$11),"x","")</f>
        <v/>
      </c>
      <c r="R39" s="51" t="str">
        <f>IF(ISERROR(FIND('112'!$M$9,G39,1)),"",IF((AND(FIND('112'!$M$9,G39,1)&gt;=1,$B39&gt;='112'!$N$8,$B39&lt;='112'!$O$8,OR($L39='112'!$I$6,$M39='112'!$I$6))),"x",""))</f>
        <v/>
      </c>
      <c r="S39" s="51" t="str">
        <f>IF(ISERROR(FIND('112'!$M$9,G39,1)),"",IF((AND(LEFT(G39,2)=LEFT('112'!$M$9,2),B39&lt;'112'!$N$8,$L39='112'!$I$6)),"x",""))</f>
        <v/>
      </c>
      <c r="T39" s="51" t="str">
        <f>IF(ISERROR(FIND('112'!$M$9,G39,1)),"",IF((AND(RIGHT(G39,2)=RIGHT('112'!$M$9,2),B39&lt;'112'!$N$8,$M39='112'!$I$6)),"x",""))</f>
        <v/>
      </c>
      <c r="U39" s="51" t="str">
        <f>IF(AND(L39="154",'154'!$O$5&lt;=B39,'154'!$P$5&gt;=B39),"154",IF(AND(L39="632",'632'!$L$5&lt;=B39,'632'!$M$5&gt;=B39),"632",IF(AND(L39="642",'642'!$N$5&lt;=B39,'642'!$O$5&gt;=B39),"642",IF(AND(L39="641",'641'!$N$5&lt;=B39,'641'!$O$5&gt;=B39),"641",""))))</f>
        <v/>
      </c>
      <c r="V39" s="51" t="str">
        <f>IF(OR(TH!L39=TH!$V$7,M39=TH!$V$7),"x","")</f>
        <v/>
      </c>
      <c r="W39" s="51" t="str">
        <f>IF(AND(B39&gt;='IN-NX'!$P$3,B39&lt;='IN-NX'!$Q$3,'IN-NX'!$D$7=D39,OR(LEFT(L39,2)="15",AND(LEFT(M39,2)&lt;&gt;"15",LEFT(M39,2)&lt;&gt;"33"))),"x","")</f>
        <v/>
      </c>
      <c r="X39" s="51" t="str">
        <f>IF(AND(OR(LEFT(TH!L39,2)="15",LEFT(TH!M39,2)="15"),'152-CT'!$J$8=TH!F39),"x","")</f>
        <v/>
      </c>
      <c r="Y39" s="51" t="str">
        <f>IF(AND(OR(LEFT(TH!L39,2)="15",LEFT(TH!M39,2)="15"),TK!$E$7=TH!F39),"x","")</f>
        <v/>
      </c>
      <c r="Z39" s="51" t="str">
        <f>IF(AND(B39&lt;=NKC!$N$8,B39&gt;=NKC!$M$8),"x","")</f>
        <v/>
      </c>
      <c r="AA39" s="803"/>
      <c r="AB39" s="565"/>
    </row>
    <row r="40" spans="1:30" ht="15.75" customHeight="1">
      <c r="A40" s="804" t="str">
        <f>IF(B40&lt;&gt;"",IF(AND(B40&gt;=_TM1,B40&lt;=_TM2,OR(TH!L40="1111",TH!M40="1111")),TH!D40,""),"")</f>
        <v/>
      </c>
      <c r="B40" s="36">
        <f t="shared" si="4"/>
        <v>1</v>
      </c>
      <c r="C40" s="189">
        <f t="shared" si="5"/>
        <v>42021</v>
      </c>
      <c r="D40" s="189" t="s">
        <v>1284</v>
      </c>
      <c r="E40" s="189">
        <v>42021</v>
      </c>
      <c r="F40" s="922" t="s">
        <v>962</v>
      </c>
      <c r="G40" s="813" t="s">
        <v>967</v>
      </c>
      <c r="H40" s="7" t="s">
        <v>446</v>
      </c>
      <c r="I40" s="243"/>
      <c r="J40" s="243"/>
      <c r="K40" s="573">
        <v>842015</v>
      </c>
      <c r="L40" s="574" t="s">
        <v>250</v>
      </c>
      <c r="M40" s="574" t="s">
        <v>352</v>
      </c>
      <c r="N40" s="51" t="str">
        <f>IF(AND('331-CT'!$E$7=TH!H40,OR(L40="331",M40="331")),"331",IF(AND(OR(L40="131",M40="131"),H40='131-CT'!$E$7),"131",""))</f>
        <v/>
      </c>
      <c r="O40" s="51" t="str">
        <f>IF(AND($B40&gt;='111'!$N$11,$B40&lt;='111'!$O$11,OR($L40=$O$7,$M40=$O$7)),"x","")</f>
        <v/>
      </c>
      <c r="P40" s="51" t="str">
        <f>IF(AND($L40=$O$7,$B40&lt;'111'!$N$11),"x","")</f>
        <v/>
      </c>
      <c r="Q40" s="51" t="str">
        <f>IF(AND($M40=$O$7,$B40&lt;'111'!$N$11),"x","")</f>
        <v/>
      </c>
      <c r="R40" s="51" t="str">
        <f>IF(ISERROR(FIND('112'!$M$9,G40,1)),"",IF((AND(FIND('112'!$M$9,G40,1)&gt;=1,$B40&gt;='112'!$N$8,$B40&lt;='112'!$O$8,OR($L40='112'!$I$6,$M40='112'!$I$6))),"x",""))</f>
        <v/>
      </c>
      <c r="S40" s="51" t="str">
        <f>IF(ISERROR(FIND('112'!$M$9,G40,1)),"",IF((AND(LEFT(G40,2)=LEFT('112'!$M$9,2),B40&lt;'112'!$N$8,$L40='112'!$I$6)),"x",""))</f>
        <v/>
      </c>
      <c r="T40" s="51" t="str">
        <f>IF(ISERROR(FIND('112'!$M$9,G40,1)),"",IF((AND(RIGHT(G40,2)=RIGHT('112'!$M$9,2),B40&lt;'112'!$N$8,$M40='112'!$I$6)),"x",""))</f>
        <v/>
      </c>
      <c r="U40" s="51" t="str">
        <f>IF(AND(L40="154",'154'!$O$5&lt;=B40,'154'!$P$5&gt;=B40),"154",IF(AND(L40="632",'632'!$L$5&lt;=B40,'632'!$M$5&gt;=B40),"632",IF(AND(L40="642",'642'!$N$5&lt;=B40,'642'!$O$5&gt;=B40),"642",IF(AND(L40="641",'641'!$N$5&lt;=B40,'641'!$O$5&gt;=B40),"641",""))))</f>
        <v/>
      </c>
      <c r="V40" s="51" t="str">
        <f>IF(OR(TH!L40=TH!$V$7,M40=TH!$V$7),"x","")</f>
        <v/>
      </c>
      <c r="W40" s="51" t="str">
        <f>IF(AND(B40&gt;='IN-NX'!$P$3,B40&lt;='IN-NX'!$Q$3,'IN-NX'!$D$7=D40,OR(LEFT(L40,2)="15",AND(LEFT(M40,2)&lt;&gt;"15",LEFT(M40,2)&lt;&gt;"33"))),"x","")</f>
        <v/>
      </c>
      <c r="X40" s="51" t="str">
        <f>IF(AND(OR(LEFT(TH!L40,2)="15",LEFT(TH!M40,2)="15"),'152-CT'!$J$8=TH!F40),"x","")</f>
        <v/>
      </c>
      <c r="Y40" s="51" t="str">
        <f>IF(AND(OR(LEFT(TH!L40,2)="15",LEFT(TH!M40,2)="15"),TK!$E$7=TH!F40),"x","")</f>
        <v/>
      </c>
      <c r="Z40" s="51" t="str">
        <f>IF(AND(B40&lt;=NKC!$N$8,B40&gt;=NKC!$M$8),"x","")</f>
        <v/>
      </c>
      <c r="AA40" s="803"/>
      <c r="AB40" s="565"/>
      <c r="AD40" s="565"/>
    </row>
    <row r="41" spans="1:30" ht="15.75" customHeight="1">
      <c r="A41" s="804" t="str">
        <f>IF(B41&lt;&gt;"",IF(AND(B41&gt;=_TM1,B41&lt;=_TM2,OR(TH!L41="1111",TH!M41="1111")),TH!D41,""),"")</f>
        <v/>
      </c>
      <c r="B41" s="36">
        <f t="shared" si="4"/>
        <v>1</v>
      </c>
      <c r="C41" s="189">
        <f t="shared" si="5"/>
        <v>42021</v>
      </c>
      <c r="D41" s="189" t="s">
        <v>1338</v>
      </c>
      <c r="E41" s="189">
        <v>42021</v>
      </c>
      <c r="F41" s="190" t="s">
        <v>423</v>
      </c>
      <c r="G41" s="813" t="s">
        <v>967</v>
      </c>
      <c r="H41" s="7" t="s">
        <v>446</v>
      </c>
      <c r="I41" s="243"/>
      <c r="J41" s="243"/>
      <c r="K41" s="573">
        <v>9262165</v>
      </c>
      <c r="L41" s="574" t="s">
        <v>47</v>
      </c>
      <c r="M41" s="574" t="s">
        <v>250</v>
      </c>
      <c r="N41" s="51" t="str">
        <f>IF(AND('331-CT'!$E$7=TH!H41,OR(L41="331",M41="331")),"331",IF(AND(OR(L41="131",M41="131"),H41='131-CT'!$E$7),"131",""))</f>
        <v/>
      </c>
      <c r="O41" s="51" t="str">
        <f>IF(AND($B41&gt;='111'!$N$11,$B41&lt;='111'!$O$11,OR($L41=$O$7,$M41=$O$7)),"x","")</f>
        <v/>
      </c>
      <c r="P41" s="51" t="str">
        <f>IF(AND($L41=$O$7,$B41&lt;'111'!$N$11),"x","")</f>
        <v>x</v>
      </c>
      <c r="Q41" s="51" t="str">
        <f>IF(AND($M41=$O$7,$B41&lt;'111'!$N$11),"x","")</f>
        <v/>
      </c>
      <c r="R41" s="51" t="str">
        <f>IF(ISERROR(FIND('112'!$M$9,G41,1)),"",IF((AND(FIND('112'!$M$9,G41,1)&gt;=1,$B41&gt;='112'!$N$8,$B41&lt;='112'!$O$8,OR($L41='112'!$I$6,$M41='112'!$I$6))),"x",""))</f>
        <v/>
      </c>
      <c r="S41" s="51" t="str">
        <f>IF(ISERROR(FIND('112'!$M$9,G41,1)),"",IF((AND(LEFT(G41,2)=LEFT('112'!$M$9,2),B41&lt;'112'!$N$8,$L41='112'!$I$6)),"x",""))</f>
        <v/>
      </c>
      <c r="T41" s="51" t="str">
        <f>IF(ISERROR(FIND('112'!$M$9,G41,1)),"",IF((AND(RIGHT(G41,2)=RIGHT('112'!$M$9,2),B41&lt;'112'!$N$8,$M41='112'!$I$6)),"x",""))</f>
        <v/>
      </c>
      <c r="U41" s="51" t="str">
        <f>IF(AND(L41="154",'154'!$O$5&lt;=B41,'154'!$P$5&gt;=B41),"154",IF(AND(L41="632",'632'!$L$5&lt;=B41,'632'!$M$5&gt;=B41),"632",IF(AND(L41="642",'642'!$N$5&lt;=B41,'642'!$O$5&gt;=B41),"642",IF(AND(L41="641",'641'!$N$5&lt;=B41,'641'!$O$5&gt;=B41),"641",""))))</f>
        <v/>
      </c>
      <c r="V41" s="51" t="str">
        <f>IF(OR(TH!L41=TH!$V$7,M41=TH!$V$7),"x","")</f>
        <v/>
      </c>
      <c r="W41" s="51" t="str">
        <f>IF(AND(B41&gt;='IN-NX'!$P$3,B41&lt;='IN-NX'!$Q$3,'IN-NX'!$D$7=D41,OR(LEFT(L41,2)="15",AND(LEFT(M41,2)&lt;&gt;"15",LEFT(M41,2)&lt;&gt;"33"))),"x","")</f>
        <v/>
      </c>
      <c r="X41" s="51" t="str">
        <f>IF(AND(OR(LEFT(TH!L41,2)="15",LEFT(TH!M41,2)="15"),'152-CT'!$J$8=TH!F41),"x","")</f>
        <v/>
      </c>
      <c r="Y41" s="51" t="str">
        <f>IF(AND(OR(LEFT(TH!L41,2)="15",LEFT(TH!M41,2)="15"),TK!$E$7=TH!F41),"x","")</f>
        <v/>
      </c>
      <c r="Z41" s="51" t="str">
        <f>IF(AND(B41&lt;=NKC!$N$8,B41&gt;=NKC!$M$8),"x","")</f>
        <v/>
      </c>
      <c r="AA41" s="803"/>
      <c r="AB41" s="565"/>
      <c r="AD41" s="565"/>
    </row>
    <row r="42" spans="1:30" ht="15.75" customHeight="1">
      <c r="A42" s="804" t="str">
        <f>IF(B42&lt;&gt;"",IF(AND(B42&gt;=_TM1,B42&lt;=_TM2,OR(TH!L42="1111",TH!M42="1111")),TH!D42,""),"")</f>
        <v/>
      </c>
      <c r="B42" s="36">
        <f t="shared" si="4"/>
        <v>1</v>
      </c>
      <c r="C42" s="189">
        <f t="shared" si="5"/>
        <v>42024</v>
      </c>
      <c r="D42" s="189" t="s">
        <v>422</v>
      </c>
      <c r="E42" s="182">
        <v>42024</v>
      </c>
      <c r="F42" s="187" t="s">
        <v>425</v>
      </c>
      <c r="G42" s="811" t="s">
        <v>415</v>
      </c>
      <c r="H42" s="202"/>
      <c r="I42" s="243"/>
      <c r="J42" s="243"/>
      <c r="K42" s="38">
        <v>55000</v>
      </c>
      <c r="L42" s="192" t="s">
        <v>83</v>
      </c>
      <c r="M42" s="192" t="s">
        <v>24</v>
      </c>
      <c r="N42" s="51" t="str">
        <f>IF(AND('331-CT'!$E$7=TH!H42,OR(L42="331",M42="331")),"331",IF(AND(OR(L42="131",M42="131"),H42='131-CT'!$E$7),"131",""))</f>
        <v/>
      </c>
      <c r="O42" s="51" t="str">
        <f>IF(AND($B42&gt;='111'!$N$11,$B42&lt;='111'!$O$11,OR($L42=$O$7,$M42=$O$7)),"x","")</f>
        <v/>
      </c>
      <c r="P42" s="51" t="str">
        <f>IF(AND($L42=$O$7,$B42&lt;'111'!$N$11),"x","")</f>
        <v/>
      </c>
      <c r="Q42" s="51" t="str">
        <f>IF(AND($M42=$O$7,$B42&lt;'111'!$N$11),"x","")</f>
        <v/>
      </c>
      <c r="R42" s="51" t="str">
        <f>IF(ISERROR(FIND('112'!$M$9,G42,1)),"",IF((AND(FIND('112'!$M$9,G42,1)&gt;=1,$B42&gt;='112'!$N$8,$B42&lt;='112'!$O$8,OR($L42='112'!$I$6,$M42='112'!$I$6))),"x",""))</f>
        <v>x</v>
      </c>
      <c r="S42" s="51" t="str">
        <f>IF(ISERROR(FIND('112'!$M$9,G42,1)),"",IF((AND(LEFT(G42,2)=LEFT('112'!$M$9,2),B42&lt;'112'!$N$8,$L42='112'!$I$6)),"x",""))</f>
        <v/>
      </c>
      <c r="T42" s="51" t="str">
        <f>IF(ISERROR(FIND('112'!$M$9,G42,1)),"",IF((AND(RIGHT(G42,2)=RIGHT('112'!$M$9,2),B42&lt;'112'!$N$8,$M42='112'!$I$6)),"x",""))</f>
        <v/>
      </c>
      <c r="U42" s="51" t="str">
        <f>IF(AND(L42="154",'154'!$O$5&lt;=B42,'154'!$P$5&gt;=B42),"154",IF(AND(L42="632",'632'!$L$5&lt;=B42,'632'!$M$5&gt;=B42),"632",IF(AND(L42="642",'642'!$N$5&lt;=B42,'642'!$O$5&gt;=B42),"642",IF(AND(L42="641",'641'!$N$5&lt;=B42,'641'!$O$5&gt;=B42),"641",""))))</f>
        <v/>
      </c>
      <c r="V42" s="51" t="str">
        <f>IF(OR(TH!L42=TH!$V$7,M42=TH!$V$7),"x","")</f>
        <v>x</v>
      </c>
      <c r="W42" s="51" t="str">
        <f>IF(AND(B42&gt;='IN-NX'!$P$3,B42&lt;='IN-NX'!$Q$3,'IN-NX'!$D$7=D42,OR(LEFT(L42,2)="15",AND(LEFT(M42,2)&lt;&gt;"15",LEFT(M42,2)&lt;&gt;"33"))),"x","")</f>
        <v/>
      </c>
      <c r="X42" s="51" t="str">
        <f>IF(AND(OR(LEFT(TH!L42,2)="15",LEFT(TH!M42,2)="15"),'152-CT'!$J$8=TH!F42),"x","")</f>
        <v/>
      </c>
      <c r="Y42" s="51" t="str">
        <f>IF(AND(OR(LEFT(TH!L42,2)="15",LEFT(TH!M42,2)="15"),TK!$E$7=TH!F42),"x","")</f>
        <v/>
      </c>
      <c r="Z42" s="51" t="str">
        <f>IF(AND(B42&lt;=NKC!$N$8,B42&gt;=NKC!$M$8),"x","")</f>
        <v/>
      </c>
      <c r="AA42" s="803"/>
      <c r="AB42" s="565"/>
    </row>
    <row r="43" spans="1:30" ht="15.75" customHeight="1">
      <c r="A43" s="804" t="str">
        <f>IF(B43&lt;&gt;"",IF(AND(B43&gt;=_TM1,B43&lt;=_TM2,OR(TH!L43="1111",TH!M43="1111")),TH!D43,""),"")</f>
        <v/>
      </c>
      <c r="B43" s="36">
        <f t="shared" si="4"/>
        <v>1</v>
      </c>
      <c r="C43" s="189">
        <f t="shared" si="5"/>
        <v>42027</v>
      </c>
      <c r="D43" s="189" t="s">
        <v>1336</v>
      </c>
      <c r="E43" s="189">
        <v>42027</v>
      </c>
      <c r="F43" s="922" t="s">
        <v>476</v>
      </c>
      <c r="G43" s="813" t="s">
        <v>475</v>
      </c>
      <c r="H43" s="191" t="s">
        <v>466</v>
      </c>
      <c r="I43" s="243">
        <v>100</v>
      </c>
      <c r="J43" s="243">
        <v>11440</v>
      </c>
      <c r="K43" s="573">
        <f>ROUND(I43*J43,0)</f>
        <v>1144000</v>
      </c>
      <c r="L43" s="574" t="s">
        <v>417</v>
      </c>
      <c r="M43" s="574" t="s">
        <v>8</v>
      </c>
      <c r="N43" s="51" t="str">
        <f>IF(AND('331-CT'!$E$7=TH!H43,OR(L43="331",M43="331")),"331",IF(AND(OR(L43="131",M43="131"),H43='131-CT'!$E$7),"131",""))</f>
        <v/>
      </c>
      <c r="O43" s="51" t="str">
        <f>IF(AND($B43&gt;='111'!$N$11,$B43&lt;='111'!$O$11,OR($L43=$O$7,$M43=$O$7)),"x","")</f>
        <v/>
      </c>
      <c r="P43" s="51" t="str">
        <f>IF(AND($L43=$O$7,$B43&lt;'111'!$N$11),"x","")</f>
        <v/>
      </c>
      <c r="Q43" s="51" t="str">
        <f>IF(AND($M43=$O$7,$B43&lt;'111'!$N$11),"x","")</f>
        <v/>
      </c>
      <c r="R43" s="51" t="str">
        <f>IF(ISERROR(FIND('112'!$M$9,G43,1)),"",IF((AND(FIND('112'!$M$9,G43,1)&gt;=1,$B43&gt;='112'!$N$8,$B43&lt;='112'!$O$8,OR($L43='112'!$I$6,$M43='112'!$I$6))),"x",""))</f>
        <v/>
      </c>
      <c r="S43" s="51" t="str">
        <f>IF(ISERROR(FIND('112'!$M$9,G43,1)),"",IF((AND(LEFT(G43,2)=LEFT('112'!$M$9,2),B43&lt;'112'!$N$8,$L43='112'!$I$6)),"x",""))</f>
        <v/>
      </c>
      <c r="T43" s="51" t="str">
        <f>IF(ISERROR(FIND('112'!$M$9,G43,1)),"",IF((AND(RIGHT(G43,2)=RIGHT('112'!$M$9,2),B43&lt;'112'!$N$8,$M43='112'!$I$6)),"x",""))</f>
        <v/>
      </c>
      <c r="U43" s="51" t="str">
        <f>IF(AND(L43="154",'154'!$O$5&lt;=B43,'154'!$P$5&gt;=B43),"154",IF(AND(L43="632",'632'!$L$5&lt;=B43,'632'!$M$5&gt;=B43),"632",IF(AND(L43="642",'642'!$N$5&lt;=B43,'642'!$O$5&gt;=B43),"642",IF(AND(L43="641",'641'!$N$5&lt;=B43,'641'!$O$5&gt;=B43),"641",""))))</f>
        <v/>
      </c>
      <c r="V43" s="51" t="str">
        <f>IF(OR(TH!L43=TH!$V$7,M43=TH!$V$7),"x","")</f>
        <v/>
      </c>
      <c r="W43" s="51" t="str">
        <f>IF(AND(B43&gt;='IN-NX'!$P$3,B43&lt;='IN-NX'!$Q$3,'IN-NX'!$D$7=D43,OR(LEFT(L43,2)="15",AND(LEFT(M43,2)&lt;&gt;"15",LEFT(M43,2)&lt;&gt;"33"))),"x","")</f>
        <v/>
      </c>
      <c r="X43" s="51" t="str">
        <f>IF(AND(OR(LEFT(TH!L43,2)="15",LEFT(TH!M43,2)="15"),'152-CT'!$J$8=TH!F43),"x","")</f>
        <v/>
      </c>
      <c r="Y43" s="51" t="str">
        <f>IF(AND(OR(LEFT(TH!L43,2)="15",LEFT(TH!M43,2)="15"),TK!$E$7=TH!F43),"x","")</f>
        <v/>
      </c>
      <c r="Z43" s="51" t="str">
        <f>IF(AND(B43&lt;=NKC!$N$8,B43&gt;=NKC!$M$8),"x","")</f>
        <v/>
      </c>
      <c r="AA43" s="803"/>
      <c r="AB43" s="565"/>
    </row>
    <row r="44" spans="1:30" ht="15.75" customHeight="1">
      <c r="A44" s="804" t="str">
        <f>IF(B44&lt;&gt;"",IF(AND(B44&gt;=_TM1,B44&lt;=_TM2,OR(TH!L44="1111",TH!M44="1111")),TH!D44,""),"")</f>
        <v/>
      </c>
      <c r="B44" s="36">
        <f t="shared" si="4"/>
        <v>1</v>
      </c>
      <c r="C44" s="189">
        <f t="shared" si="5"/>
        <v>42027</v>
      </c>
      <c r="D44" s="189" t="s">
        <v>1336</v>
      </c>
      <c r="E44" s="189">
        <v>42027</v>
      </c>
      <c r="F44" s="190" t="s">
        <v>477</v>
      </c>
      <c r="G44" s="813" t="s">
        <v>475</v>
      </c>
      <c r="H44" s="191" t="s">
        <v>466</v>
      </c>
      <c r="I44" s="243">
        <v>300</v>
      </c>
      <c r="J44" s="243">
        <v>10319</v>
      </c>
      <c r="K44" s="573">
        <f>ROUND(I44*J44,0)</f>
        <v>3095700</v>
      </c>
      <c r="L44" s="574" t="s">
        <v>417</v>
      </c>
      <c r="M44" s="574" t="s">
        <v>8</v>
      </c>
      <c r="N44" s="51" t="str">
        <f>IF(AND('331-CT'!$E$7=TH!H44,OR(L44="331",M44="331")),"331",IF(AND(OR(L44="131",M44="131"),H44='131-CT'!$E$7),"131",""))</f>
        <v/>
      </c>
      <c r="O44" s="51" t="str">
        <f>IF(AND($B44&gt;='111'!$N$11,$B44&lt;='111'!$O$11,OR($L44=$O$7,$M44=$O$7)),"x","")</f>
        <v/>
      </c>
      <c r="P44" s="51" t="str">
        <f>IF(AND($L44=$O$7,$B44&lt;'111'!$N$11),"x","")</f>
        <v/>
      </c>
      <c r="Q44" s="51" t="str">
        <f>IF(AND($M44=$O$7,$B44&lt;'111'!$N$11),"x","")</f>
        <v/>
      </c>
      <c r="R44" s="51" t="str">
        <f>IF(ISERROR(FIND('112'!$M$9,G44,1)),"",IF((AND(FIND('112'!$M$9,G44,1)&gt;=1,$B44&gt;='112'!$N$8,$B44&lt;='112'!$O$8,OR($L44='112'!$I$6,$M44='112'!$I$6))),"x",""))</f>
        <v/>
      </c>
      <c r="S44" s="51" t="str">
        <f>IF(ISERROR(FIND('112'!$M$9,G44,1)),"",IF((AND(LEFT(G44,2)=LEFT('112'!$M$9,2),B44&lt;'112'!$N$8,$L44='112'!$I$6)),"x",""))</f>
        <v/>
      </c>
      <c r="T44" s="51" t="str">
        <f>IF(ISERROR(FIND('112'!$M$9,G44,1)),"",IF((AND(RIGHT(G44,2)=RIGHT('112'!$M$9,2),B44&lt;'112'!$N$8,$M44='112'!$I$6)),"x",""))</f>
        <v/>
      </c>
      <c r="U44" s="51" t="str">
        <f>IF(AND(L44="154",'154'!$O$5&lt;=B44,'154'!$P$5&gt;=B44),"154",IF(AND(L44="632",'632'!$L$5&lt;=B44,'632'!$M$5&gt;=B44),"632",IF(AND(L44="642",'642'!$N$5&lt;=B44,'642'!$O$5&gt;=B44),"642",IF(AND(L44="641",'641'!$N$5&lt;=B44,'641'!$O$5&gt;=B44),"641",""))))</f>
        <v/>
      </c>
      <c r="V44" s="51" t="str">
        <f>IF(OR(TH!L44=TH!$V$7,M44=TH!$V$7),"x","")</f>
        <v/>
      </c>
      <c r="W44" s="51" t="str">
        <f>IF(AND(B44&gt;='IN-NX'!$P$3,B44&lt;='IN-NX'!$Q$3,'IN-NX'!$D$7=D44,OR(LEFT(L44,2)="15",AND(LEFT(M44,2)&lt;&gt;"15",LEFT(M44,2)&lt;&gt;"33"))),"x","")</f>
        <v/>
      </c>
      <c r="X44" s="51" t="str">
        <f>IF(AND(OR(LEFT(TH!L44,2)="15",LEFT(TH!M44,2)="15"),'152-CT'!$J$8=TH!F44),"x","")</f>
        <v/>
      </c>
      <c r="Y44" s="51" t="str">
        <f>IF(AND(OR(LEFT(TH!L44,2)="15",LEFT(TH!M44,2)="15"),TK!$E$7=TH!F44),"x","")</f>
        <v/>
      </c>
      <c r="Z44" s="51" t="str">
        <f>IF(AND(B44&lt;=NKC!$N$8,B44&gt;=NKC!$M$8),"x","")</f>
        <v/>
      </c>
      <c r="AA44" s="803"/>
      <c r="AB44" s="565"/>
    </row>
    <row r="45" spans="1:30" ht="15.75" customHeight="1">
      <c r="A45" s="804" t="str">
        <f>IF(B45&lt;&gt;"",IF(AND(B45&gt;=_TM1,B45&lt;=_TM2,OR(TH!L45="1111",TH!M45="1111")),TH!D45,""),"")</f>
        <v/>
      </c>
      <c r="B45" s="36">
        <f t="shared" si="4"/>
        <v>1</v>
      </c>
      <c r="C45" s="189">
        <f t="shared" si="5"/>
        <v>42027</v>
      </c>
      <c r="D45" s="189" t="s">
        <v>1336</v>
      </c>
      <c r="E45" s="189">
        <v>42027</v>
      </c>
      <c r="F45" s="922" t="s">
        <v>478</v>
      </c>
      <c r="G45" s="813" t="s">
        <v>475</v>
      </c>
      <c r="H45" s="191" t="s">
        <v>466</v>
      </c>
      <c r="I45" s="243">
        <v>512</v>
      </c>
      <c r="J45" s="243">
        <v>19219</v>
      </c>
      <c r="K45" s="573">
        <f>ROUND(I45*J45,0)</f>
        <v>9840128</v>
      </c>
      <c r="L45" s="574" t="s">
        <v>417</v>
      </c>
      <c r="M45" s="574" t="s">
        <v>8</v>
      </c>
      <c r="N45" s="51" t="str">
        <f>IF(AND('331-CT'!$E$7=TH!H45,OR(L45="331",M45="331")),"331",IF(AND(OR(L45="131",M45="131"),H45='131-CT'!$E$7),"131",""))</f>
        <v/>
      </c>
      <c r="O45" s="51" t="str">
        <f>IF(AND($B45&gt;='111'!$N$11,$B45&lt;='111'!$O$11,OR($L45=$O$7,$M45=$O$7)),"x","")</f>
        <v/>
      </c>
      <c r="P45" s="51" t="str">
        <f>IF(AND($L45=$O$7,$B45&lt;'111'!$N$11),"x","")</f>
        <v/>
      </c>
      <c r="Q45" s="51" t="str">
        <f>IF(AND($M45=$O$7,$B45&lt;'111'!$N$11),"x","")</f>
        <v/>
      </c>
      <c r="R45" s="51" t="str">
        <f>IF(ISERROR(FIND('112'!$M$9,G45,1)),"",IF((AND(FIND('112'!$M$9,G45,1)&gt;=1,$B45&gt;='112'!$N$8,$B45&lt;='112'!$O$8,OR($L45='112'!$I$6,$M45='112'!$I$6))),"x",""))</f>
        <v/>
      </c>
      <c r="S45" s="51" t="str">
        <f>IF(ISERROR(FIND('112'!$M$9,G45,1)),"",IF((AND(LEFT(G45,2)=LEFT('112'!$M$9,2),B45&lt;'112'!$N$8,$L45='112'!$I$6)),"x",""))</f>
        <v/>
      </c>
      <c r="T45" s="51" t="str">
        <f>IF(ISERROR(FIND('112'!$M$9,G45,1)),"",IF((AND(RIGHT(G45,2)=RIGHT('112'!$M$9,2),B45&lt;'112'!$N$8,$M45='112'!$I$6)),"x",""))</f>
        <v/>
      </c>
      <c r="U45" s="51" t="str">
        <f>IF(AND(L45="154",'154'!$O$5&lt;=B45,'154'!$P$5&gt;=B45),"154",IF(AND(L45="632",'632'!$L$5&lt;=B45,'632'!$M$5&gt;=B45),"632",IF(AND(L45="642",'642'!$N$5&lt;=B45,'642'!$O$5&gt;=B45),"642",IF(AND(L45="641",'641'!$N$5&lt;=B45,'641'!$O$5&gt;=B45),"641",""))))</f>
        <v/>
      </c>
      <c r="V45" s="51" t="str">
        <f>IF(OR(TH!L45=TH!$V$7,M45=TH!$V$7),"x","")</f>
        <v/>
      </c>
      <c r="W45" s="51" t="str">
        <f>IF(AND(B45&gt;='IN-NX'!$P$3,B45&lt;='IN-NX'!$Q$3,'IN-NX'!$D$7=D45,OR(LEFT(L45,2)="15",AND(LEFT(M45,2)&lt;&gt;"15",LEFT(M45,2)&lt;&gt;"33"))),"x","")</f>
        <v/>
      </c>
      <c r="X45" s="51" t="str">
        <f>IF(AND(OR(LEFT(TH!L45,2)="15",LEFT(TH!M45,2)="15"),'152-CT'!$J$8=TH!F45),"x","")</f>
        <v/>
      </c>
      <c r="Y45" s="51" t="str">
        <f>IF(AND(OR(LEFT(TH!L45,2)="15",LEFT(TH!M45,2)="15"),TK!$E$7=TH!F45),"x","")</f>
        <v/>
      </c>
      <c r="Z45" s="51" t="str">
        <f>IF(AND(B45&lt;=NKC!$N$8,B45&gt;=NKC!$M$8),"x","")</f>
        <v/>
      </c>
      <c r="AA45" s="803"/>
      <c r="AB45" s="565"/>
    </row>
    <row r="46" spans="1:30" ht="15.75" customHeight="1">
      <c r="A46" s="804" t="str">
        <f>IF(B46&lt;&gt;"",IF(AND(B46&gt;=_TM1,B46&lt;=_TM2,OR(TH!L46="1111",TH!M46="1111")),TH!D46,""),"")</f>
        <v/>
      </c>
      <c r="B46" s="36">
        <f t="shared" si="4"/>
        <v>1</v>
      </c>
      <c r="C46" s="189">
        <f t="shared" si="5"/>
        <v>42027</v>
      </c>
      <c r="D46" s="189" t="s">
        <v>1336</v>
      </c>
      <c r="E46" s="189">
        <v>42027</v>
      </c>
      <c r="F46" s="190" t="s">
        <v>470</v>
      </c>
      <c r="G46" s="813" t="s">
        <v>475</v>
      </c>
      <c r="H46" s="191" t="s">
        <v>466</v>
      </c>
      <c r="I46" s="243">
        <v>256</v>
      </c>
      <c r="J46" s="243">
        <v>12012</v>
      </c>
      <c r="K46" s="573">
        <f>ROUND(I46*J46,0)</f>
        <v>3075072</v>
      </c>
      <c r="L46" s="574" t="s">
        <v>417</v>
      </c>
      <c r="M46" s="574" t="s">
        <v>8</v>
      </c>
      <c r="N46" s="51" t="str">
        <f>IF(AND('331-CT'!$E$7=TH!H46,OR(L46="331",M46="331")),"331",IF(AND(OR(L46="131",M46="131"),H46='131-CT'!$E$7),"131",""))</f>
        <v/>
      </c>
      <c r="O46" s="51" t="str">
        <f>IF(AND($B46&gt;='111'!$N$11,$B46&lt;='111'!$O$11,OR($L46=$O$7,$M46=$O$7)),"x","")</f>
        <v/>
      </c>
      <c r="P46" s="51" t="str">
        <f>IF(AND($L46=$O$7,$B46&lt;'111'!$N$11),"x","")</f>
        <v/>
      </c>
      <c r="Q46" s="51" t="str">
        <f>IF(AND($M46=$O$7,$B46&lt;'111'!$N$11),"x","")</f>
        <v/>
      </c>
      <c r="R46" s="51" t="str">
        <f>IF(ISERROR(FIND('112'!$M$9,G46,1)),"",IF((AND(FIND('112'!$M$9,G46,1)&gt;=1,$B46&gt;='112'!$N$8,$B46&lt;='112'!$O$8,OR($L46='112'!$I$6,$M46='112'!$I$6))),"x",""))</f>
        <v/>
      </c>
      <c r="S46" s="51" t="str">
        <f>IF(ISERROR(FIND('112'!$M$9,G46,1)),"",IF((AND(LEFT(G46,2)=LEFT('112'!$M$9,2),B46&lt;'112'!$N$8,$L46='112'!$I$6)),"x",""))</f>
        <v/>
      </c>
      <c r="T46" s="51" t="str">
        <f>IF(ISERROR(FIND('112'!$M$9,G46,1)),"",IF((AND(RIGHT(G46,2)=RIGHT('112'!$M$9,2),B46&lt;'112'!$N$8,$M46='112'!$I$6)),"x",""))</f>
        <v/>
      </c>
      <c r="U46" s="51" t="str">
        <f>IF(AND(L46="154",'154'!$O$5&lt;=B46,'154'!$P$5&gt;=B46),"154",IF(AND(L46="632",'632'!$L$5&lt;=B46,'632'!$M$5&gt;=B46),"632",IF(AND(L46="642",'642'!$N$5&lt;=B46,'642'!$O$5&gt;=B46),"642",IF(AND(L46="641",'641'!$N$5&lt;=B46,'641'!$O$5&gt;=B46),"641",""))))</f>
        <v/>
      </c>
      <c r="V46" s="51" t="str">
        <f>IF(OR(TH!L46=TH!$V$7,M46=TH!$V$7),"x","")</f>
        <v/>
      </c>
      <c r="W46" s="51" t="str">
        <f>IF(AND(B46&gt;='IN-NX'!$P$3,B46&lt;='IN-NX'!$Q$3,'IN-NX'!$D$7=D46,OR(LEFT(L46,2)="15",AND(LEFT(M46,2)&lt;&gt;"15",LEFT(M46,2)&lt;&gt;"33"))),"x","")</f>
        <v/>
      </c>
      <c r="X46" s="51" t="str">
        <f>IF(AND(OR(LEFT(TH!L46,2)="15",LEFT(TH!M46,2)="15"),'152-CT'!$J$8=TH!F46),"x","")</f>
        <v/>
      </c>
      <c r="Y46" s="51" t="str">
        <f>IF(AND(OR(LEFT(TH!L46,2)="15",LEFT(TH!M46,2)="15"),TK!$E$7=TH!F46),"x","")</f>
        <v/>
      </c>
      <c r="Z46" s="51" t="str">
        <f>IF(AND(B46&lt;=NKC!$N$8,B46&gt;=NKC!$M$8),"x","")</f>
        <v/>
      </c>
      <c r="AA46" s="803"/>
      <c r="AB46" s="565"/>
    </row>
    <row r="47" spans="1:30" ht="15.75" customHeight="1">
      <c r="A47" s="804" t="str">
        <f>IF(B47&lt;&gt;"",IF(AND(B47&gt;=_TM1,B47&lt;=_TM2,OR(TH!L47="1111",TH!M47="1111")),TH!D47,""),"")</f>
        <v/>
      </c>
      <c r="B47" s="36">
        <f t="shared" si="4"/>
        <v>1</v>
      </c>
      <c r="C47" s="189">
        <f t="shared" si="5"/>
        <v>42027</v>
      </c>
      <c r="D47" s="189" t="s">
        <v>1336</v>
      </c>
      <c r="E47" s="189">
        <v>42027</v>
      </c>
      <c r="F47" s="190" t="s">
        <v>479</v>
      </c>
      <c r="G47" s="813" t="s">
        <v>475</v>
      </c>
      <c r="H47" s="191" t="s">
        <v>466</v>
      </c>
      <c r="I47" s="243">
        <v>10</v>
      </c>
      <c r="J47" s="243">
        <v>23461</v>
      </c>
      <c r="K47" s="573">
        <f>ROUND(I47*J47,0)</f>
        <v>234610</v>
      </c>
      <c r="L47" s="574" t="s">
        <v>417</v>
      </c>
      <c r="M47" s="574" t="s">
        <v>8</v>
      </c>
      <c r="N47" s="51" t="str">
        <f>IF(AND('331-CT'!$E$7=TH!H47,OR(L47="331",M47="331")),"331",IF(AND(OR(L47="131",M47="131"),H47='131-CT'!$E$7),"131",""))</f>
        <v/>
      </c>
      <c r="O47" s="51" t="str">
        <f>IF(AND($B47&gt;='111'!$N$11,$B47&lt;='111'!$O$11,OR($L47=$O$7,$M47=$O$7)),"x","")</f>
        <v/>
      </c>
      <c r="P47" s="51" t="str">
        <f>IF(AND($L47=$O$7,$B47&lt;'111'!$N$11),"x","")</f>
        <v/>
      </c>
      <c r="Q47" s="51" t="str">
        <f>IF(AND($M47=$O$7,$B47&lt;'111'!$N$11),"x","")</f>
        <v/>
      </c>
      <c r="R47" s="51" t="str">
        <f>IF(ISERROR(FIND('112'!$M$9,G47,1)),"",IF((AND(FIND('112'!$M$9,G47,1)&gt;=1,$B47&gt;='112'!$N$8,$B47&lt;='112'!$O$8,OR($L47='112'!$I$6,$M47='112'!$I$6))),"x",""))</f>
        <v/>
      </c>
      <c r="S47" s="51" t="str">
        <f>IF(ISERROR(FIND('112'!$M$9,G47,1)),"",IF((AND(LEFT(G47,2)=LEFT('112'!$M$9,2),B47&lt;'112'!$N$8,$L47='112'!$I$6)),"x",""))</f>
        <v/>
      </c>
      <c r="T47" s="51" t="str">
        <f>IF(ISERROR(FIND('112'!$M$9,G47,1)),"",IF((AND(RIGHT(G47,2)=RIGHT('112'!$M$9,2),B47&lt;'112'!$N$8,$M47='112'!$I$6)),"x",""))</f>
        <v/>
      </c>
      <c r="U47" s="51" t="str">
        <f>IF(AND(L47="154",'154'!$O$5&lt;=B47,'154'!$P$5&gt;=B47),"154",IF(AND(L47="632",'632'!$L$5&lt;=B47,'632'!$M$5&gt;=B47),"632",IF(AND(L47="642",'642'!$N$5&lt;=B47,'642'!$O$5&gt;=B47),"642",IF(AND(L47="641",'641'!$N$5&lt;=B47,'641'!$O$5&gt;=B47),"641",""))))</f>
        <v/>
      </c>
      <c r="V47" s="51" t="str">
        <f>IF(OR(TH!L47=TH!$V$7,M47=TH!$V$7),"x","")</f>
        <v/>
      </c>
      <c r="W47" s="51" t="str">
        <f>IF(AND(B47&gt;='IN-NX'!$P$3,B47&lt;='IN-NX'!$Q$3,'IN-NX'!$D$7=D47,OR(LEFT(L47,2)="15",AND(LEFT(M47,2)&lt;&gt;"15",LEFT(M47,2)&lt;&gt;"33"))),"x","")</f>
        <v/>
      </c>
      <c r="X47" s="51" t="str">
        <f>IF(AND(OR(LEFT(TH!L47,2)="15",LEFT(TH!M47,2)="15"),'152-CT'!$J$8=TH!F47),"x","")</f>
        <v/>
      </c>
      <c r="Y47" s="51" t="str">
        <f>IF(AND(OR(LEFT(TH!L47,2)="15",LEFT(TH!M47,2)="15"),TK!$E$7=TH!F47),"x","")</f>
        <v/>
      </c>
      <c r="Z47" s="51" t="str">
        <f>IF(AND(B47&lt;=NKC!$N$8,B47&gt;=NKC!$M$8),"x","")</f>
        <v/>
      </c>
      <c r="AA47" s="803"/>
      <c r="AB47" s="565"/>
    </row>
    <row r="48" spans="1:30" ht="15.75" customHeight="1">
      <c r="A48" s="804" t="str">
        <f>IF(B48&lt;&gt;"",IF(AND(B48&gt;=_TM1,B48&lt;=_TM2,OR(TH!L48="1111",TH!M48="1111")),TH!D48,""),"")</f>
        <v/>
      </c>
      <c r="B48" s="36">
        <f t="shared" si="4"/>
        <v>1</v>
      </c>
      <c r="C48" s="189">
        <f t="shared" si="5"/>
        <v>42027</v>
      </c>
      <c r="D48" s="189" t="s">
        <v>1336</v>
      </c>
      <c r="E48" s="189">
        <v>42027</v>
      </c>
      <c r="F48" s="190" t="s">
        <v>468</v>
      </c>
      <c r="G48" s="813" t="s">
        <v>475</v>
      </c>
      <c r="H48" s="191" t="s">
        <v>466</v>
      </c>
      <c r="I48" s="243"/>
      <c r="J48" s="243"/>
      <c r="K48" s="573">
        <v>1738951</v>
      </c>
      <c r="L48" s="574" t="s">
        <v>9</v>
      </c>
      <c r="M48" s="574" t="s">
        <v>8</v>
      </c>
      <c r="N48" s="51" t="str">
        <f>IF(AND('331-CT'!$E$7=TH!H48,OR(L48="331",M48="331")),"331",IF(AND(OR(L48="131",M48="131"),H48='131-CT'!$E$7),"131",""))</f>
        <v/>
      </c>
      <c r="O48" s="51" t="str">
        <f>IF(AND($B48&gt;='111'!$N$11,$B48&lt;='111'!$O$11,OR($L48=$O$7,$M48=$O$7)),"x","")</f>
        <v/>
      </c>
      <c r="P48" s="51" t="str">
        <f>IF(AND($L48=$O$7,$B48&lt;'111'!$N$11),"x","")</f>
        <v/>
      </c>
      <c r="Q48" s="51" t="str">
        <f>IF(AND($M48=$O$7,$B48&lt;'111'!$N$11),"x","")</f>
        <v/>
      </c>
      <c r="R48" s="51" t="str">
        <f>IF(ISERROR(FIND('112'!$M$9,G48,1)),"",IF((AND(FIND('112'!$M$9,G48,1)&gt;=1,$B48&gt;='112'!$N$8,$B48&lt;='112'!$O$8,OR($L48='112'!$I$6,$M48='112'!$I$6))),"x",""))</f>
        <v/>
      </c>
      <c r="S48" s="51" t="str">
        <f>IF(ISERROR(FIND('112'!$M$9,G48,1)),"",IF((AND(LEFT(G48,2)=LEFT('112'!$M$9,2),B48&lt;'112'!$N$8,$L48='112'!$I$6)),"x",""))</f>
        <v/>
      </c>
      <c r="T48" s="51" t="str">
        <f>IF(ISERROR(FIND('112'!$M$9,G48,1)),"",IF((AND(RIGHT(G48,2)=RIGHT('112'!$M$9,2),B48&lt;'112'!$N$8,$M48='112'!$I$6)),"x",""))</f>
        <v/>
      </c>
      <c r="U48" s="51" t="str">
        <f>IF(AND(L48="154",'154'!$O$5&lt;=B48,'154'!$P$5&gt;=B48),"154",IF(AND(L48="632",'632'!$L$5&lt;=B48,'632'!$M$5&gt;=B48),"632",IF(AND(L48="642",'642'!$N$5&lt;=B48,'642'!$O$5&gt;=B48),"642",IF(AND(L48="641",'641'!$N$5&lt;=B48,'641'!$O$5&gt;=B48),"641",""))))</f>
        <v/>
      </c>
      <c r="V48" s="51" t="str">
        <f>IF(OR(TH!L48=TH!$V$7,M48=TH!$V$7),"x","")</f>
        <v/>
      </c>
      <c r="W48" s="51" t="str">
        <f>IF(AND(B48&gt;='IN-NX'!$P$3,B48&lt;='IN-NX'!$Q$3,'IN-NX'!$D$7=D48,OR(LEFT(L48,2)="15",AND(LEFT(M48,2)&lt;&gt;"15",LEFT(M48,2)&lt;&gt;"33"))),"x","")</f>
        <v/>
      </c>
      <c r="X48" s="51" t="str">
        <f>IF(AND(OR(LEFT(TH!L48,2)="15",LEFT(TH!M48,2)="15"),'152-CT'!$J$8=TH!F48),"x","")</f>
        <v/>
      </c>
      <c r="Y48" s="51" t="str">
        <f>IF(AND(OR(LEFT(TH!L48,2)="15",LEFT(TH!M48,2)="15"),TK!$E$7=TH!F48),"x","")</f>
        <v/>
      </c>
      <c r="Z48" s="51" t="str">
        <f>IF(AND(B48&lt;=NKC!$N$8,B48&gt;=NKC!$M$8),"x","")</f>
        <v/>
      </c>
      <c r="AA48" s="803">
        <v>1</v>
      </c>
      <c r="AB48" s="565"/>
    </row>
    <row r="49" spans="1:30" ht="15.75" customHeight="1">
      <c r="A49" s="804" t="str">
        <f>IF(B49&lt;&gt;"",IF(AND(B49&gt;=_TM1,B49&lt;=_TM2,OR(TH!L49="1111",TH!M49="1111")),TH!D49,""),"")</f>
        <v/>
      </c>
      <c r="B49" s="36">
        <f t="shared" si="4"/>
        <v>1</v>
      </c>
      <c r="C49" s="189">
        <f t="shared" si="5"/>
        <v>42027</v>
      </c>
      <c r="D49" s="189" t="s">
        <v>1337</v>
      </c>
      <c r="E49" s="189">
        <v>42027</v>
      </c>
      <c r="F49" s="187" t="s">
        <v>438</v>
      </c>
      <c r="G49" s="813" t="s">
        <v>475</v>
      </c>
      <c r="H49" s="191" t="s">
        <v>466</v>
      </c>
      <c r="I49" s="243"/>
      <c r="J49" s="243"/>
      <c r="K49" s="573">
        <v>19128461</v>
      </c>
      <c r="L49" s="574" t="s">
        <v>8</v>
      </c>
      <c r="M49" s="574" t="s">
        <v>47</v>
      </c>
      <c r="N49" s="51" t="str">
        <f>IF(AND('331-CT'!$E$7=TH!H49,OR(L49="331",M49="331")),"331",IF(AND(OR(L49="131",M49="131"),H49='131-CT'!$E$7),"131",""))</f>
        <v/>
      </c>
      <c r="O49" s="51" t="str">
        <f>IF(AND($B49&gt;='111'!$N$11,$B49&lt;='111'!$O$11,OR($L49=$O$7,$M49=$O$7)),"x","")</f>
        <v/>
      </c>
      <c r="P49" s="51" t="str">
        <f>IF(AND($L49=$O$7,$B49&lt;'111'!$N$11),"x","")</f>
        <v/>
      </c>
      <c r="Q49" s="51" t="str">
        <f>IF(AND($M49=$O$7,$B49&lt;'111'!$N$11),"x","")</f>
        <v>x</v>
      </c>
      <c r="R49" s="51" t="str">
        <f>IF(ISERROR(FIND('112'!$M$9,G49,1)),"",IF((AND(FIND('112'!$M$9,G49,1)&gt;=1,$B49&gt;='112'!$N$8,$B49&lt;='112'!$O$8,OR($L49='112'!$I$6,$M49='112'!$I$6))),"x",""))</f>
        <v/>
      </c>
      <c r="S49" s="51" t="str">
        <f>IF(ISERROR(FIND('112'!$M$9,G49,1)),"",IF((AND(LEFT(G49,2)=LEFT('112'!$M$9,2),B49&lt;'112'!$N$8,$L49='112'!$I$6)),"x",""))</f>
        <v/>
      </c>
      <c r="T49" s="51" t="str">
        <f>IF(ISERROR(FIND('112'!$M$9,G49,1)),"",IF((AND(RIGHT(G49,2)=RIGHT('112'!$M$9,2),B49&lt;'112'!$N$8,$M49='112'!$I$6)),"x",""))</f>
        <v/>
      </c>
      <c r="U49" s="51" t="str">
        <f>IF(AND(L49="154",'154'!$O$5&lt;=B49,'154'!$P$5&gt;=B49),"154",IF(AND(L49="632",'632'!$L$5&lt;=B49,'632'!$M$5&gt;=B49),"632",IF(AND(L49="642",'642'!$N$5&lt;=B49,'642'!$O$5&gt;=B49),"642",IF(AND(L49="641",'641'!$N$5&lt;=B49,'641'!$O$5&gt;=B49),"641",""))))</f>
        <v/>
      </c>
      <c r="V49" s="51" t="str">
        <f>IF(OR(TH!L49=TH!$V$7,M49=TH!$V$7),"x","")</f>
        <v/>
      </c>
      <c r="W49" s="51" t="str">
        <f>IF(AND(B49&gt;='IN-NX'!$P$3,B49&lt;='IN-NX'!$Q$3,'IN-NX'!$D$7=D49,OR(LEFT(L49,2)="15",AND(LEFT(M49,2)&lt;&gt;"15",LEFT(M49,2)&lt;&gt;"33"))),"x","")</f>
        <v/>
      </c>
      <c r="X49" s="51" t="str">
        <f>IF(AND(OR(LEFT(TH!L49,2)="15",LEFT(TH!M49,2)="15"),'152-CT'!$J$8=TH!F49),"x","")</f>
        <v/>
      </c>
      <c r="Y49" s="51" t="str">
        <f>IF(AND(OR(LEFT(TH!L49,2)="15",LEFT(TH!M49,2)="15"),TK!$E$7=TH!F49),"x","")</f>
        <v/>
      </c>
      <c r="Z49" s="51" t="str">
        <f>IF(AND(B49&lt;=NKC!$N$8,B49&gt;=NKC!$M$8),"x","")</f>
        <v/>
      </c>
      <c r="AA49" s="803"/>
      <c r="AB49" s="565"/>
    </row>
    <row r="50" spans="1:30" ht="15.75" customHeight="1">
      <c r="A50" s="804" t="str">
        <f>IF(B50&lt;&gt;"",IF(AND(B50&gt;=_TM1,B50&lt;=_TM2,OR(TH!L50="1111",TH!M50="1111")),TH!D50,""),"")</f>
        <v/>
      </c>
      <c r="B50" s="36">
        <f t="shared" si="4"/>
        <v>1</v>
      </c>
      <c r="C50" s="189">
        <f t="shared" si="5"/>
        <v>42027</v>
      </c>
      <c r="D50" s="189" t="s">
        <v>1290</v>
      </c>
      <c r="E50" s="189">
        <v>42027</v>
      </c>
      <c r="F50" s="922" t="s">
        <v>497</v>
      </c>
      <c r="G50" s="813" t="s">
        <v>968</v>
      </c>
      <c r="H50" s="202" t="s">
        <v>424</v>
      </c>
      <c r="I50" s="243">
        <v>290</v>
      </c>
      <c r="J50" s="243">
        <v>45200</v>
      </c>
      <c r="K50" s="573">
        <f>ROUND(I50*J50,0)</f>
        <v>13108000</v>
      </c>
      <c r="L50" s="574" t="s">
        <v>250</v>
      </c>
      <c r="M50" s="574" t="s">
        <v>164</v>
      </c>
      <c r="N50" s="51" t="str">
        <f>IF(AND('331-CT'!$E$7=TH!H50,OR(L50="331",M50="331")),"331",IF(AND(OR(L50="131",M50="131"),H50='131-CT'!$E$7),"131",""))</f>
        <v/>
      </c>
      <c r="O50" s="51" t="str">
        <f>IF(AND($B50&gt;='111'!$N$11,$B50&lt;='111'!$O$11,OR($L50=$O$7,$M50=$O$7)),"x","")</f>
        <v/>
      </c>
      <c r="P50" s="51" t="str">
        <f>IF(AND($L50=$O$7,$B50&lt;'111'!$N$11),"x","")</f>
        <v/>
      </c>
      <c r="Q50" s="51" t="str">
        <f>IF(AND($M50=$O$7,$B50&lt;'111'!$N$11),"x","")</f>
        <v/>
      </c>
      <c r="R50" s="51" t="str">
        <f>IF(ISERROR(FIND('112'!$M$9,G50,1)),"",IF((AND(FIND('112'!$M$9,G50,1)&gt;=1,$B50&gt;='112'!$N$8,$B50&lt;='112'!$O$8,OR($L50='112'!$I$6,$M50='112'!$I$6))),"x",""))</f>
        <v/>
      </c>
      <c r="S50" s="51" t="str">
        <f>IF(ISERROR(FIND('112'!$M$9,G50,1)),"",IF((AND(LEFT(G50,2)=LEFT('112'!$M$9,2),B50&lt;'112'!$N$8,$L50='112'!$I$6)),"x",""))</f>
        <v/>
      </c>
      <c r="T50" s="51" t="str">
        <f>IF(ISERROR(FIND('112'!$M$9,G50,1)),"",IF((AND(RIGHT(G50,2)=RIGHT('112'!$M$9,2),B50&lt;'112'!$N$8,$M50='112'!$I$6)),"x",""))</f>
        <v/>
      </c>
      <c r="U50" s="51" t="str">
        <f>IF(AND(L50="154",'154'!$O$5&lt;=B50,'154'!$P$5&gt;=B50),"154",IF(AND(L50="632",'632'!$L$5&lt;=B50,'632'!$M$5&gt;=B50),"632",IF(AND(L50="642",'642'!$N$5&lt;=B50,'642'!$O$5&gt;=B50),"642",IF(AND(L50="641",'641'!$N$5&lt;=B50,'641'!$O$5&gt;=B50),"641",""))))</f>
        <v/>
      </c>
      <c r="V50" s="51" t="str">
        <f>IF(OR(TH!L50=TH!$V$7,M50=TH!$V$7),"x","")</f>
        <v/>
      </c>
      <c r="W50" s="51" t="str">
        <f>IF(AND(B50&gt;='IN-NX'!$P$3,B50&lt;='IN-NX'!$Q$3,'IN-NX'!$D$7=D50,OR(LEFT(L50,2)="15",AND(LEFT(M50,2)&lt;&gt;"15",LEFT(M50,2)&lt;&gt;"33"))),"x","")</f>
        <v/>
      </c>
      <c r="X50" s="51" t="str">
        <f>IF(AND(OR(LEFT(TH!L50,2)="15",LEFT(TH!M50,2)="15"),'152-CT'!$J$8=TH!F50),"x","")</f>
        <v/>
      </c>
      <c r="Y50" s="51" t="str">
        <f>IF(AND(OR(LEFT(TH!L50,2)="15",LEFT(TH!M50,2)="15"),TK!$E$7=TH!F50),"x","")</f>
        <v/>
      </c>
      <c r="Z50" s="51" t="str">
        <f>IF(AND(B50&lt;=NKC!$N$8,B50&gt;=NKC!$M$8),"x","")</f>
        <v/>
      </c>
      <c r="AA50" s="803"/>
      <c r="AB50" s="565"/>
    </row>
    <row r="51" spans="1:30" ht="15.75" customHeight="1">
      <c r="A51" s="804" t="str">
        <f>IF(B51&lt;&gt;"",IF(AND(B51&gt;=_TM1,B51&lt;=_TM2,OR(TH!L51="1111",TH!M51="1111")),TH!D51,""),"")</f>
        <v/>
      </c>
      <c r="B51" s="36">
        <f t="shared" si="4"/>
        <v>1</v>
      </c>
      <c r="C51" s="189">
        <f t="shared" si="5"/>
        <v>42027</v>
      </c>
      <c r="D51" s="189" t="s">
        <v>1290</v>
      </c>
      <c r="E51" s="189">
        <v>42027</v>
      </c>
      <c r="F51" s="922" t="s">
        <v>962</v>
      </c>
      <c r="G51" s="813" t="s">
        <v>968</v>
      </c>
      <c r="H51" s="202" t="s">
        <v>424</v>
      </c>
      <c r="I51" s="243"/>
      <c r="J51" s="243"/>
      <c r="K51" s="573">
        <v>1310800</v>
      </c>
      <c r="L51" s="574" t="s">
        <v>250</v>
      </c>
      <c r="M51" s="574" t="s">
        <v>352</v>
      </c>
      <c r="N51" s="51" t="str">
        <f>IF(AND('331-CT'!$E$7=TH!H51,OR(L51="331",M51="331")),"331",IF(AND(OR(L51="131",M51="131"),H51='131-CT'!$E$7),"131",""))</f>
        <v/>
      </c>
      <c r="O51" s="51" t="str">
        <f>IF(AND($B51&gt;='111'!$N$11,$B51&lt;='111'!$O$11,OR($L51=$O$7,$M51=$O$7)),"x","")</f>
        <v/>
      </c>
      <c r="P51" s="51" t="str">
        <f>IF(AND($L51=$O$7,$B51&lt;'111'!$N$11),"x","")</f>
        <v/>
      </c>
      <c r="Q51" s="51" t="str">
        <f>IF(AND($M51=$O$7,$B51&lt;'111'!$N$11),"x","")</f>
        <v/>
      </c>
      <c r="R51" s="51" t="str">
        <f>IF(ISERROR(FIND('112'!$M$9,G51,1)),"",IF((AND(FIND('112'!$M$9,G51,1)&gt;=1,$B51&gt;='112'!$N$8,$B51&lt;='112'!$O$8,OR($L51='112'!$I$6,$M51='112'!$I$6))),"x",""))</f>
        <v/>
      </c>
      <c r="S51" s="51" t="str">
        <f>IF(ISERROR(FIND('112'!$M$9,G51,1)),"",IF((AND(LEFT(G51,2)=LEFT('112'!$M$9,2),B51&lt;'112'!$N$8,$L51='112'!$I$6)),"x",""))</f>
        <v/>
      </c>
      <c r="T51" s="51" t="str">
        <f>IF(ISERROR(FIND('112'!$M$9,G51,1)),"",IF((AND(RIGHT(G51,2)=RIGHT('112'!$M$9,2),B51&lt;'112'!$N$8,$M51='112'!$I$6)),"x",""))</f>
        <v/>
      </c>
      <c r="U51" s="51" t="str">
        <f>IF(AND(L51="154",'154'!$O$5&lt;=B51,'154'!$P$5&gt;=B51),"154",IF(AND(L51="632",'632'!$L$5&lt;=B51,'632'!$M$5&gt;=B51),"632",IF(AND(L51="642",'642'!$N$5&lt;=B51,'642'!$O$5&gt;=B51),"642",IF(AND(L51="641",'641'!$N$5&lt;=B51,'641'!$O$5&gt;=B51),"641",""))))</f>
        <v/>
      </c>
      <c r="V51" s="51" t="str">
        <f>IF(OR(TH!L51=TH!$V$7,M51=TH!$V$7),"x","")</f>
        <v/>
      </c>
      <c r="W51" s="51" t="str">
        <f>IF(AND(B51&gt;='IN-NX'!$P$3,B51&lt;='IN-NX'!$Q$3,'IN-NX'!$D$7=D51,OR(LEFT(L51,2)="15",AND(LEFT(M51,2)&lt;&gt;"15",LEFT(M51,2)&lt;&gt;"33"))),"x","")</f>
        <v/>
      </c>
      <c r="X51" s="51" t="str">
        <f>IF(AND(OR(LEFT(TH!L51,2)="15",LEFT(TH!M51,2)="15"),'152-CT'!$J$8=TH!F51),"x","")</f>
        <v/>
      </c>
      <c r="Y51" s="51" t="str">
        <f>IF(AND(OR(LEFT(TH!L51,2)="15",LEFT(TH!M51,2)="15"),TK!$E$7=TH!F51),"x","")</f>
        <v/>
      </c>
      <c r="Z51" s="51" t="str">
        <f>IF(AND(B51&lt;=NKC!$N$8,B51&gt;=NKC!$M$8),"x","")</f>
        <v/>
      </c>
      <c r="AA51" s="803"/>
      <c r="AB51" s="565"/>
      <c r="AD51" s="565"/>
    </row>
    <row r="52" spans="1:30" ht="15.75" customHeight="1">
      <c r="A52" s="804" t="str">
        <f>IF(B52&lt;&gt;"",IF(AND(B52&gt;=_TM1,B52&lt;=_TM2,OR(TH!L52="1111",TH!M52="1111")),TH!D52,""),"")</f>
        <v/>
      </c>
      <c r="B52" s="36">
        <f t="shared" si="4"/>
        <v>1</v>
      </c>
      <c r="C52" s="189">
        <f t="shared" si="5"/>
        <v>42027</v>
      </c>
      <c r="D52" s="189" t="s">
        <v>1339</v>
      </c>
      <c r="E52" s="189">
        <v>42027</v>
      </c>
      <c r="F52" s="922" t="s">
        <v>423</v>
      </c>
      <c r="G52" s="813" t="s">
        <v>968</v>
      </c>
      <c r="H52" s="202" t="s">
        <v>424</v>
      </c>
      <c r="I52" s="243"/>
      <c r="J52" s="243"/>
      <c r="K52" s="573">
        <f>K50+K51</f>
        <v>14418800</v>
      </c>
      <c r="L52" s="574" t="s">
        <v>47</v>
      </c>
      <c r="M52" s="574" t="s">
        <v>250</v>
      </c>
      <c r="N52" s="51" t="str">
        <f>IF(AND('331-CT'!$E$7=TH!H52,OR(L52="331",M52="331")),"331",IF(AND(OR(L52="131",M52="131"),H52='131-CT'!$E$7),"131",""))</f>
        <v/>
      </c>
      <c r="O52" s="51" t="str">
        <f>IF(AND($B52&gt;='111'!$N$11,$B52&lt;='111'!$O$11,OR($L52=$O$7,$M52=$O$7)),"x","")</f>
        <v/>
      </c>
      <c r="P52" s="51" t="str">
        <f>IF(AND($L52=$O$7,$B52&lt;'111'!$N$11),"x","")</f>
        <v>x</v>
      </c>
      <c r="Q52" s="51" t="str">
        <f>IF(AND($M52=$O$7,$B52&lt;'111'!$N$11),"x","")</f>
        <v/>
      </c>
      <c r="R52" s="51" t="str">
        <f>IF(ISERROR(FIND('112'!$M$9,G52,1)),"",IF((AND(FIND('112'!$M$9,G52,1)&gt;=1,$B52&gt;='112'!$N$8,$B52&lt;='112'!$O$8,OR($L52='112'!$I$6,$M52='112'!$I$6))),"x",""))</f>
        <v/>
      </c>
      <c r="S52" s="51" t="str">
        <f>IF(ISERROR(FIND('112'!$M$9,G52,1)),"",IF((AND(LEFT(G52,2)=LEFT('112'!$M$9,2),B52&lt;'112'!$N$8,$L52='112'!$I$6)),"x",""))</f>
        <v/>
      </c>
      <c r="T52" s="51" t="str">
        <f>IF(ISERROR(FIND('112'!$M$9,G52,1)),"",IF((AND(RIGHT(G52,2)=RIGHT('112'!$M$9,2),B52&lt;'112'!$N$8,$M52='112'!$I$6)),"x",""))</f>
        <v/>
      </c>
      <c r="U52" s="51" t="str">
        <f>IF(AND(L52="154",'154'!$O$5&lt;=B52,'154'!$P$5&gt;=B52),"154",IF(AND(L52="632",'632'!$L$5&lt;=B52,'632'!$M$5&gt;=B52),"632",IF(AND(L52="642",'642'!$N$5&lt;=B52,'642'!$O$5&gt;=B52),"642",IF(AND(L52="641",'641'!$N$5&lt;=B52,'641'!$O$5&gt;=B52),"641",""))))</f>
        <v/>
      </c>
      <c r="V52" s="51" t="str">
        <f>IF(OR(TH!L52=TH!$V$7,M52=TH!$V$7),"x","")</f>
        <v/>
      </c>
      <c r="W52" s="51" t="str">
        <f>IF(AND(B52&gt;='IN-NX'!$P$3,B52&lt;='IN-NX'!$Q$3,'IN-NX'!$D$7=D52,OR(LEFT(L52,2)="15",AND(LEFT(M52,2)&lt;&gt;"15",LEFT(M52,2)&lt;&gt;"33"))),"x","")</f>
        <v/>
      </c>
      <c r="X52" s="51" t="str">
        <f>IF(AND(OR(LEFT(TH!L52,2)="15",LEFT(TH!M52,2)="15"),'152-CT'!$J$8=TH!F52),"x","")</f>
        <v/>
      </c>
      <c r="Y52" s="51" t="str">
        <f>IF(AND(OR(LEFT(TH!L52,2)="15",LEFT(TH!M52,2)="15"),TK!$E$7=TH!F52),"x","")</f>
        <v/>
      </c>
      <c r="Z52" s="51" t="str">
        <f>IF(AND(B52&lt;=NKC!$N$8,B52&gt;=NKC!$M$8),"x","")</f>
        <v/>
      </c>
      <c r="AA52" s="803"/>
      <c r="AB52" s="565"/>
      <c r="AD52" s="565"/>
    </row>
    <row r="53" spans="1:30" ht="15.75" customHeight="1">
      <c r="A53" s="804" t="str">
        <f>IF(B53&lt;&gt;"",IF(AND(B53&gt;=_TM1,B53&lt;=_TM2,OR(TH!L53="1111",TH!M53="1111")),TH!D53,""),"")</f>
        <v/>
      </c>
      <c r="B53" s="36">
        <f t="shared" si="4"/>
        <v>1</v>
      </c>
      <c r="C53" s="189">
        <f t="shared" si="5"/>
        <v>42028</v>
      </c>
      <c r="D53" s="189" t="s">
        <v>1340</v>
      </c>
      <c r="E53" s="189">
        <v>42028</v>
      </c>
      <c r="F53" s="190" t="s">
        <v>481</v>
      </c>
      <c r="G53" s="813" t="s">
        <v>480</v>
      </c>
      <c r="H53" s="191" t="s">
        <v>466</v>
      </c>
      <c r="I53" s="243">
        <v>1018</v>
      </c>
      <c r="J53" s="243">
        <v>17807</v>
      </c>
      <c r="K53" s="573">
        <f>ROUND(I53*J53,0)</f>
        <v>18127526</v>
      </c>
      <c r="L53" s="574" t="s">
        <v>417</v>
      </c>
      <c r="M53" s="574" t="s">
        <v>8</v>
      </c>
      <c r="N53" s="51" t="str">
        <f>IF(AND('331-CT'!$E$7=TH!H53,OR(L53="331",M53="331")),"331",IF(AND(OR(L53="131",M53="131"),H53='131-CT'!$E$7),"131",""))</f>
        <v/>
      </c>
      <c r="O53" s="51" t="str">
        <f>IF(AND($B53&gt;='111'!$N$11,$B53&lt;='111'!$O$11,OR($L53=$O$7,$M53=$O$7)),"x","")</f>
        <v/>
      </c>
      <c r="P53" s="51" t="str">
        <f>IF(AND($L53=$O$7,$B53&lt;'111'!$N$11),"x","")</f>
        <v/>
      </c>
      <c r="Q53" s="51" t="str">
        <f>IF(AND($M53=$O$7,$B53&lt;'111'!$N$11),"x","")</f>
        <v/>
      </c>
      <c r="R53" s="51" t="str">
        <f>IF(ISERROR(FIND('112'!$M$9,G53,1)),"",IF((AND(FIND('112'!$M$9,G53,1)&gt;=1,$B53&gt;='112'!$N$8,$B53&lt;='112'!$O$8,OR($L53='112'!$I$6,$M53='112'!$I$6))),"x",""))</f>
        <v/>
      </c>
      <c r="S53" s="51" t="str">
        <f>IF(ISERROR(FIND('112'!$M$9,G53,1)),"",IF((AND(LEFT(G53,2)=LEFT('112'!$M$9,2),B53&lt;'112'!$N$8,$L53='112'!$I$6)),"x",""))</f>
        <v/>
      </c>
      <c r="T53" s="51" t="str">
        <f>IF(ISERROR(FIND('112'!$M$9,G53,1)),"",IF((AND(RIGHT(G53,2)=RIGHT('112'!$M$9,2),B53&lt;'112'!$N$8,$M53='112'!$I$6)),"x",""))</f>
        <v/>
      </c>
      <c r="U53" s="51" t="str">
        <f>IF(AND(L53="154",'154'!$O$5&lt;=B53,'154'!$P$5&gt;=B53),"154",IF(AND(L53="632",'632'!$L$5&lt;=B53,'632'!$M$5&gt;=B53),"632",IF(AND(L53="642",'642'!$N$5&lt;=B53,'642'!$O$5&gt;=B53),"642",IF(AND(L53="641",'641'!$N$5&lt;=B53,'641'!$O$5&gt;=B53),"641",""))))</f>
        <v/>
      </c>
      <c r="V53" s="51" t="str">
        <f>IF(OR(TH!L53=TH!$V$7,M53=TH!$V$7),"x","")</f>
        <v/>
      </c>
      <c r="W53" s="51" t="str">
        <f>IF(AND(B53&gt;='IN-NX'!$P$3,B53&lt;='IN-NX'!$Q$3,'IN-NX'!$D$7=D53,OR(LEFT(L53,2)="15",AND(LEFT(M53,2)&lt;&gt;"15",LEFT(M53,2)&lt;&gt;"33"))),"x","")</f>
        <v/>
      </c>
      <c r="X53" s="51" t="str">
        <f>IF(AND(OR(LEFT(TH!L53,2)="15",LEFT(TH!M53,2)="15"),'152-CT'!$J$8=TH!F53),"x","")</f>
        <v/>
      </c>
      <c r="Y53" s="51" t="str">
        <f>IF(AND(OR(LEFT(TH!L53,2)="15",LEFT(TH!M53,2)="15"),TK!$E$7=TH!F53),"x","")</f>
        <v/>
      </c>
      <c r="Z53" s="51" t="str">
        <f>IF(AND(B53&lt;=NKC!$N$8,B53&gt;=NKC!$M$8),"x","")</f>
        <v/>
      </c>
      <c r="AA53" s="803"/>
      <c r="AB53" s="565"/>
    </row>
    <row r="54" spans="1:30" ht="15.75" customHeight="1">
      <c r="A54" s="804" t="str">
        <f>IF(B54&lt;&gt;"",IF(AND(B54&gt;=_TM1,B54&lt;=_TM2,OR(TH!L54="1111",TH!M54="1111")),TH!D54,""),"")</f>
        <v/>
      </c>
      <c r="B54" s="36">
        <f t="shared" si="4"/>
        <v>1</v>
      </c>
      <c r="C54" s="189">
        <f t="shared" si="5"/>
        <v>42028</v>
      </c>
      <c r="D54" s="189" t="s">
        <v>1340</v>
      </c>
      <c r="E54" s="189">
        <v>42028</v>
      </c>
      <c r="F54" s="922" t="s">
        <v>468</v>
      </c>
      <c r="G54" s="813" t="s">
        <v>480</v>
      </c>
      <c r="H54" s="191" t="s">
        <v>466</v>
      </c>
      <c r="I54" s="243"/>
      <c r="J54" s="243"/>
      <c r="K54" s="573">
        <v>1812753</v>
      </c>
      <c r="L54" s="574" t="s">
        <v>9</v>
      </c>
      <c r="M54" s="574" t="s">
        <v>8</v>
      </c>
      <c r="N54" s="51" t="str">
        <f>IF(AND('331-CT'!$E$7=TH!H54,OR(L54="331",M54="331")),"331",IF(AND(OR(L54="131",M54="131"),H54='131-CT'!$E$7),"131",""))</f>
        <v/>
      </c>
      <c r="O54" s="51" t="str">
        <f>IF(AND($B54&gt;='111'!$N$11,$B54&lt;='111'!$O$11,OR($L54=$O$7,$M54=$O$7)),"x","")</f>
        <v/>
      </c>
      <c r="P54" s="51" t="str">
        <f>IF(AND($L54=$O$7,$B54&lt;'111'!$N$11),"x","")</f>
        <v/>
      </c>
      <c r="Q54" s="51" t="str">
        <f>IF(AND($M54=$O$7,$B54&lt;'111'!$N$11),"x","")</f>
        <v/>
      </c>
      <c r="R54" s="51" t="str">
        <f>IF(ISERROR(FIND('112'!$M$9,G54,1)),"",IF((AND(FIND('112'!$M$9,G54,1)&gt;=1,$B54&gt;='112'!$N$8,$B54&lt;='112'!$O$8,OR($L54='112'!$I$6,$M54='112'!$I$6))),"x",""))</f>
        <v/>
      </c>
      <c r="S54" s="51" t="str">
        <f>IF(ISERROR(FIND('112'!$M$9,G54,1)),"",IF((AND(LEFT(G54,2)=LEFT('112'!$M$9,2),B54&lt;'112'!$N$8,$L54='112'!$I$6)),"x",""))</f>
        <v/>
      </c>
      <c r="T54" s="51" t="str">
        <f>IF(ISERROR(FIND('112'!$M$9,G54,1)),"",IF((AND(RIGHT(G54,2)=RIGHT('112'!$M$9,2),B54&lt;'112'!$N$8,$M54='112'!$I$6)),"x",""))</f>
        <v/>
      </c>
      <c r="U54" s="51" t="str">
        <f>IF(AND(L54="154",'154'!$O$5&lt;=B54,'154'!$P$5&gt;=B54),"154",IF(AND(L54="632",'632'!$L$5&lt;=B54,'632'!$M$5&gt;=B54),"632",IF(AND(L54="642",'642'!$N$5&lt;=B54,'642'!$O$5&gt;=B54),"642",IF(AND(L54="641",'641'!$N$5&lt;=B54,'641'!$O$5&gt;=B54),"641",""))))</f>
        <v/>
      </c>
      <c r="V54" s="51" t="str">
        <f>IF(OR(TH!L54=TH!$V$7,M54=TH!$V$7),"x","")</f>
        <v/>
      </c>
      <c r="W54" s="51" t="str">
        <f>IF(AND(B54&gt;='IN-NX'!$P$3,B54&lt;='IN-NX'!$Q$3,'IN-NX'!$D$7=D54,OR(LEFT(L54,2)="15",AND(LEFT(M54,2)&lt;&gt;"15",LEFT(M54,2)&lt;&gt;"33"))),"x","")</f>
        <v/>
      </c>
      <c r="X54" s="51" t="str">
        <f>IF(AND(OR(LEFT(TH!L54,2)="15",LEFT(TH!M54,2)="15"),'152-CT'!$J$8=TH!F54),"x","")</f>
        <v/>
      </c>
      <c r="Y54" s="51" t="str">
        <f>IF(AND(OR(LEFT(TH!L54,2)="15",LEFT(TH!M54,2)="15"),TK!$E$7=TH!F54),"x","")</f>
        <v/>
      </c>
      <c r="Z54" s="51" t="str">
        <f>IF(AND(B54&lt;=NKC!$N$8,B54&gt;=NKC!$M$8),"x","")</f>
        <v/>
      </c>
      <c r="AA54" s="803">
        <v>1</v>
      </c>
      <c r="AB54" s="565"/>
    </row>
    <row r="55" spans="1:30" ht="15.75" customHeight="1">
      <c r="A55" s="804" t="str">
        <f>IF(B55&lt;&gt;"",IF(AND(B55&gt;=_TM1,B55&lt;=_TM2,OR(TH!L55="1111",TH!M55="1111")),TH!D55,""),"")</f>
        <v/>
      </c>
      <c r="B55" s="36">
        <f t="shared" si="4"/>
        <v>1</v>
      </c>
      <c r="C55" s="189">
        <f t="shared" si="5"/>
        <v>42028</v>
      </c>
      <c r="D55" s="189" t="s">
        <v>1341</v>
      </c>
      <c r="E55" s="189">
        <v>42028</v>
      </c>
      <c r="F55" s="187" t="s">
        <v>438</v>
      </c>
      <c r="G55" s="813" t="s">
        <v>480</v>
      </c>
      <c r="H55" s="191" t="s">
        <v>466</v>
      </c>
      <c r="I55" s="243"/>
      <c r="J55" s="243"/>
      <c r="K55" s="573">
        <v>19940279</v>
      </c>
      <c r="L55" s="574" t="s">
        <v>8</v>
      </c>
      <c r="M55" s="574" t="s">
        <v>47</v>
      </c>
      <c r="N55" s="51" t="str">
        <f>IF(AND('331-CT'!$E$7=TH!H55,OR(L55="331",M55="331")),"331",IF(AND(OR(L55="131",M55="131"),H55='131-CT'!$E$7),"131",""))</f>
        <v/>
      </c>
      <c r="O55" s="51" t="str">
        <f>IF(AND($B55&gt;='111'!$N$11,$B55&lt;='111'!$O$11,OR($L55=$O$7,$M55=$O$7)),"x","")</f>
        <v/>
      </c>
      <c r="P55" s="51" t="str">
        <f>IF(AND($L55=$O$7,$B55&lt;'111'!$N$11),"x","")</f>
        <v/>
      </c>
      <c r="Q55" s="51" t="str">
        <f>IF(AND($M55=$O$7,$B55&lt;'111'!$N$11),"x","")</f>
        <v>x</v>
      </c>
      <c r="R55" s="51" t="str">
        <f>IF(ISERROR(FIND('112'!$M$9,G55,1)),"",IF((AND(FIND('112'!$M$9,G55,1)&gt;=1,$B55&gt;='112'!$N$8,$B55&lt;='112'!$O$8,OR($L55='112'!$I$6,$M55='112'!$I$6))),"x",""))</f>
        <v/>
      </c>
      <c r="S55" s="51" t="str">
        <f>IF(ISERROR(FIND('112'!$M$9,G55,1)),"",IF((AND(LEFT(G55,2)=LEFT('112'!$M$9,2),B55&lt;'112'!$N$8,$L55='112'!$I$6)),"x",""))</f>
        <v/>
      </c>
      <c r="T55" s="51" t="str">
        <f>IF(ISERROR(FIND('112'!$M$9,G55,1)),"",IF((AND(RIGHT(G55,2)=RIGHT('112'!$M$9,2),B55&lt;'112'!$N$8,$M55='112'!$I$6)),"x",""))</f>
        <v/>
      </c>
      <c r="U55" s="51" t="str">
        <f>IF(AND(L55="154",'154'!$O$5&lt;=B55,'154'!$P$5&gt;=B55),"154",IF(AND(L55="632",'632'!$L$5&lt;=B55,'632'!$M$5&gt;=B55),"632",IF(AND(L55="642",'642'!$N$5&lt;=B55,'642'!$O$5&gt;=B55),"642",IF(AND(L55="641",'641'!$N$5&lt;=B55,'641'!$O$5&gt;=B55),"641",""))))</f>
        <v/>
      </c>
      <c r="V55" s="51" t="str">
        <f>IF(OR(TH!L55=TH!$V$7,M55=TH!$V$7),"x","")</f>
        <v/>
      </c>
      <c r="W55" s="51" t="str">
        <f>IF(AND(B55&gt;='IN-NX'!$P$3,B55&lt;='IN-NX'!$Q$3,'IN-NX'!$D$7=D55,OR(LEFT(L55,2)="15",AND(LEFT(M55,2)&lt;&gt;"15",LEFT(M55,2)&lt;&gt;"33"))),"x","")</f>
        <v/>
      </c>
      <c r="X55" s="51" t="str">
        <f>IF(AND(OR(LEFT(TH!L55,2)="15",LEFT(TH!M55,2)="15"),'152-CT'!$J$8=TH!F55),"x","")</f>
        <v/>
      </c>
      <c r="Y55" s="51" t="str">
        <f>IF(AND(OR(LEFT(TH!L55,2)="15",LEFT(TH!M55,2)="15"),TK!$E$7=TH!F55),"x","")</f>
        <v/>
      </c>
      <c r="Z55" s="51" t="str">
        <f>IF(AND(B55&lt;=NKC!$N$8,B55&gt;=NKC!$M$8),"x","")</f>
        <v/>
      </c>
      <c r="AA55" s="803"/>
      <c r="AB55" s="565"/>
    </row>
    <row r="56" spans="1:30" ht="15.75" customHeight="1">
      <c r="A56" s="804" t="str">
        <f>IF(B56&lt;&gt;"",IF(AND(B56&gt;=_TM1,B56&lt;=_TM2,OR(TH!L56="1111",TH!M56="1111")),TH!D56,""),"")</f>
        <v/>
      </c>
      <c r="B56" s="36">
        <f t="shared" si="4"/>
        <v>1</v>
      </c>
      <c r="C56" s="189">
        <f t="shared" si="5"/>
        <v>42028</v>
      </c>
      <c r="D56" s="189" t="s">
        <v>1291</v>
      </c>
      <c r="E56" s="189">
        <v>42028</v>
      </c>
      <c r="F56" s="922" t="s">
        <v>1177</v>
      </c>
      <c r="G56" s="813" t="s">
        <v>969</v>
      </c>
      <c r="H56" s="7" t="s">
        <v>446</v>
      </c>
      <c r="I56" s="243">
        <v>30</v>
      </c>
      <c r="J56" s="243">
        <v>16400</v>
      </c>
      <c r="K56" s="573">
        <f>ROUND(I56*J56,0)</f>
        <v>492000</v>
      </c>
      <c r="L56" s="574" t="s">
        <v>250</v>
      </c>
      <c r="M56" s="574" t="s">
        <v>164</v>
      </c>
      <c r="N56" s="51" t="str">
        <f>IF(AND('331-CT'!$E$7=TH!H56,OR(L56="331",M56="331")),"331",IF(AND(OR(L56="131",M56="131"),H56='131-CT'!$E$7),"131",""))</f>
        <v/>
      </c>
      <c r="O56" s="51" t="str">
        <f>IF(AND($B56&gt;='111'!$N$11,$B56&lt;='111'!$O$11,OR($L56=$O$7,$M56=$O$7)),"x","")</f>
        <v/>
      </c>
      <c r="P56" s="51" t="str">
        <f>IF(AND($L56=$O$7,$B56&lt;'111'!$N$11),"x","")</f>
        <v/>
      </c>
      <c r="Q56" s="51" t="str">
        <f>IF(AND($M56=$O$7,$B56&lt;'111'!$N$11),"x","")</f>
        <v/>
      </c>
      <c r="R56" s="51" t="str">
        <f>IF(ISERROR(FIND('112'!$M$9,G56,1)),"",IF((AND(FIND('112'!$M$9,G56,1)&gt;=1,$B56&gt;='112'!$N$8,$B56&lt;='112'!$O$8,OR($L56='112'!$I$6,$M56='112'!$I$6))),"x",""))</f>
        <v/>
      </c>
      <c r="S56" s="51" t="str">
        <f>IF(ISERROR(FIND('112'!$M$9,G56,1)),"",IF((AND(LEFT(G56,2)=LEFT('112'!$M$9,2),B56&lt;'112'!$N$8,$L56='112'!$I$6)),"x",""))</f>
        <v/>
      </c>
      <c r="T56" s="51" t="str">
        <f>IF(ISERROR(FIND('112'!$M$9,G56,1)),"",IF((AND(RIGHT(G56,2)=RIGHT('112'!$M$9,2),B56&lt;'112'!$N$8,$M56='112'!$I$6)),"x",""))</f>
        <v/>
      </c>
      <c r="U56" s="51" t="str">
        <f>IF(AND(L56="154",'154'!$O$5&lt;=B56,'154'!$P$5&gt;=B56),"154",IF(AND(L56="632",'632'!$L$5&lt;=B56,'632'!$M$5&gt;=B56),"632",IF(AND(L56="642",'642'!$N$5&lt;=B56,'642'!$O$5&gt;=B56),"642",IF(AND(L56="641",'641'!$N$5&lt;=B56,'641'!$O$5&gt;=B56),"641",""))))</f>
        <v/>
      </c>
      <c r="V56" s="51" t="str">
        <f>IF(OR(TH!L56=TH!$V$7,M56=TH!$V$7),"x","")</f>
        <v/>
      </c>
      <c r="W56" s="51" t="str">
        <f>IF(AND(B56&gt;='IN-NX'!$P$3,B56&lt;='IN-NX'!$Q$3,'IN-NX'!$D$7=D56,OR(LEFT(L56,2)="15",AND(LEFT(M56,2)&lt;&gt;"15",LEFT(M56,2)&lt;&gt;"33"))),"x","")</f>
        <v/>
      </c>
      <c r="X56" s="51" t="str">
        <f>IF(AND(OR(LEFT(TH!L56,2)="15",LEFT(TH!M56,2)="15"),'152-CT'!$J$8=TH!F56),"x","")</f>
        <v/>
      </c>
      <c r="Y56" s="51" t="str">
        <f>IF(AND(OR(LEFT(TH!L56,2)="15",LEFT(TH!M56,2)="15"),TK!$E$7=TH!F56),"x","")</f>
        <v/>
      </c>
      <c r="Z56" s="51" t="str">
        <f>IF(AND(B56&lt;=NKC!$N$8,B56&gt;=NKC!$M$8),"x","")</f>
        <v/>
      </c>
      <c r="AA56" s="803"/>
      <c r="AB56" s="565"/>
    </row>
    <row r="57" spans="1:30" ht="15.75" customHeight="1">
      <c r="A57" s="804" t="str">
        <f>IF(B57&lt;&gt;"",IF(AND(B57&gt;=_TM1,B57&lt;=_TM2,OR(TH!L57="1111",TH!M57="1111")),TH!D57,""),"")</f>
        <v/>
      </c>
      <c r="B57" s="36">
        <f t="shared" si="4"/>
        <v>1</v>
      </c>
      <c r="C57" s="189">
        <f t="shared" si="5"/>
        <v>42028</v>
      </c>
      <c r="D57" s="189" t="s">
        <v>1291</v>
      </c>
      <c r="E57" s="189">
        <v>42028</v>
      </c>
      <c r="F57" s="922" t="s">
        <v>1178</v>
      </c>
      <c r="G57" s="813" t="s">
        <v>969</v>
      </c>
      <c r="H57" s="7" t="s">
        <v>446</v>
      </c>
      <c r="I57" s="243">
        <v>42</v>
      </c>
      <c r="J57" s="243">
        <v>12700</v>
      </c>
      <c r="K57" s="573">
        <f>ROUND(I57*J57,0)</f>
        <v>533400</v>
      </c>
      <c r="L57" s="574" t="s">
        <v>250</v>
      </c>
      <c r="M57" s="574" t="s">
        <v>164</v>
      </c>
      <c r="N57" s="51" t="str">
        <f>IF(AND('331-CT'!$E$7=TH!H57,OR(L57="331",M57="331")),"331",IF(AND(OR(L57="131",M57="131"),H57='131-CT'!$E$7),"131",""))</f>
        <v/>
      </c>
      <c r="O57" s="51" t="str">
        <f>IF(AND($B57&gt;='111'!$N$11,$B57&lt;='111'!$O$11,OR($L57=$O$7,$M57=$O$7)),"x","")</f>
        <v/>
      </c>
      <c r="P57" s="51" t="str">
        <f>IF(AND($L57=$O$7,$B57&lt;'111'!$N$11),"x","")</f>
        <v/>
      </c>
      <c r="Q57" s="51" t="str">
        <f>IF(AND($M57=$O$7,$B57&lt;'111'!$N$11),"x","")</f>
        <v/>
      </c>
      <c r="R57" s="51" t="str">
        <f>IF(ISERROR(FIND('112'!$M$9,G57,1)),"",IF((AND(FIND('112'!$M$9,G57,1)&gt;=1,$B57&gt;='112'!$N$8,$B57&lt;='112'!$O$8,OR($L57='112'!$I$6,$M57='112'!$I$6))),"x",""))</f>
        <v/>
      </c>
      <c r="S57" s="51" t="str">
        <f>IF(ISERROR(FIND('112'!$M$9,G57,1)),"",IF((AND(LEFT(G57,2)=LEFT('112'!$M$9,2),B57&lt;'112'!$N$8,$L57='112'!$I$6)),"x",""))</f>
        <v/>
      </c>
      <c r="T57" s="51" t="str">
        <f>IF(ISERROR(FIND('112'!$M$9,G57,1)),"",IF((AND(RIGHT(G57,2)=RIGHT('112'!$M$9,2),B57&lt;'112'!$N$8,$M57='112'!$I$6)),"x",""))</f>
        <v/>
      </c>
      <c r="U57" s="51" t="str">
        <f>IF(AND(L57="154",'154'!$O$5&lt;=B57,'154'!$P$5&gt;=B57),"154",IF(AND(L57="632",'632'!$L$5&lt;=B57,'632'!$M$5&gt;=B57),"632",IF(AND(L57="642",'642'!$N$5&lt;=B57,'642'!$O$5&gt;=B57),"642",IF(AND(L57="641",'641'!$N$5&lt;=B57,'641'!$O$5&gt;=B57),"641",""))))</f>
        <v/>
      </c>
      <c r="V57" s="51" t="str">
        <f>IF(OR(TH!L57=TH!$V$7,M57=TH!$V$7),"x","")</f>
        <v/>
      </c>
      <c r="W57" s="51" t="str">
        <f>IF(AND(B57&gt;='IN-NX'!$P$3,B57&lt;='IN-NX'!$Q$3,'IN-NX'!$D$7=D57,OR(LEFT(L57,2)="15",AND(LEFT(M57,2)&lt;&gt;"15",LEFT(M57,2)&lt;&gt;"33"))),"x","")</f>
        <v/>
      </c>
      <c r="X57" s="51" t="str">
        <f>IF(AND(OR(LEFT(TH!L57,2)="15",LEFT(TH!M57,2)="15"),'152-CT'!$J$8=TH!F57),"x","")</f>
        <v/>
      </c>
      <c r="Y57" s="51" t="str">
        <f>IF(AND(OR(LEFT(TH!L57,2)="15",LEFT(TH!M57,2)="15"),TK!$E$7=TH!F57),"x","")</f>
        <v/>
      </c>
      <c r="Z57" s="51" t="str">
        <f>IF(AND(B57&lt;=NKC!$N$8,B57&gt;=NKC!$M$8),"x","")</f>
        <v/>
      </c>
      <c r="AA57" s="803"/>
      <c r="AB57" s="565"/>
    </row>
    <row r="58" spans="1:30" ht="15.75" customHeight="1">
      <c r="A58" s="804" t="str">
        <f>IF(B58&lt;&gt;"",IF(AND(B58&gt;=_TM1,B58&lt;=_TM2,OR(TH!L58="1111",TH!M58="1111")),TH!D58,""),"")</f>
        <v/>
      </c>
      <c r="B58" s="36">
        <f t="shared" si="4"/>
        <v>1</v>
      </c>
      <c r="C58" s="189">
        <f t="shared" si="5"/>
        <v>42028</v>
      </c>
      <c r="D58" s="189" t="s">
        <v>1291</v>
      </c>
      <c r="E58" s="189">
        <v>42028</v>
      </c>
      <c r="F58" s="922" t="s">
        <v>962</v>
      </c>
      <c r="G58" s="813" t="s">
        <v>969</v>
      </c>
      <c r="H58" s="7" t="s">
        <v>446</v>
      </c>
      <c r="I58" s="243"/>
      <c r="J58" s="243"/>
      <c r="K58" s="573">
        <v>102540</v>
      </c>
      <c r="L58" s="574" t="s">
        <v>250</v>
      </c>
      <c r="M58" s="574" t="s">
        <v>352</v>
      </c>
      <c r="N58" s="51" t="str">
        <f>IF(AND('331-CT'!$E$7=TH!H58,OR(L58="331",M58="331")),"331",IF(AND(OR(L58="131",M58="131"),H58='131-CT'!$E$7),"131",""))</f>
        <v/>
      </c>
      <c r="O58" s="51" t="str">
        <f>IF(AND($B58&gt;='111'!$N$11,$B58&lt;='111'!$O$11,OR($L58=$O$7,$M58=$O$7)),"x","")</f>
        <v/>
      </c>
      <c r="P58" s="51" t="str">
        <f>IF(AND($L58=$O$7,$B58&lt;'111'!$N$11),"x","")</f>
        <v/>
      </c>
      <c r="Q58" s="51" t="str">
        <f>IF(AND($M58=$O$7,$B58&lt;'111'!$N$11),"x","")</f>
        <v/>
      </c>
      <c r="R58" s="51" t="str">
        <f>IF(ISERROR(FIND('112'!$M$9,G58,1)),"",IF((AND(FIND('112'!$M$9,G58,1)&gt;=1,$B58&gt;='112'!$N$8,$B58&lt;='112'!$O$8,OR($L58='112'!$I$6,$M58='112'!$I$6))),"x",""))</f>
        <v/>
      </c>
      <c r="S58" s="51" t="str">
        <f>IF(ISERROR(FIND('112'!$M$9,G58,1)),"",IF((AND(LEFT(G58,2)=LEFT('112'!$M$9,2),B58&lt;'112'!$N$8,$L58='112'!$I$6)),"x",""))</f>
        <v/>
      </c>
      <c r="T58" s="51" t="str">
        <f>IF(ISERROR(FIND('112'!$M$9,G58,1)),"",IF((AND(RIGHT(G58,2)=RIGHT('112'!$M$9,2),B58&lt;'112'!$N$8,$M58='112'!$I$6)),"x",""))</f>
        <v/>
      </c>
      <c r="U58" s="51" t="str">
        <f>IF(AND(L58="154",'154'!$O$5&lt;=B58,'154'!$P$5&gt;=B58),"154",IF(AND(L58="632",'632'!$L$5&lt;=B58,'632'!$M$5&gt;=B58),"632",IF(AND(L58="642",'642'!$N$5&lt;=B58,'642'!$O$5&gt;=B58),"642",IF(AND(L58="641",'641'!$N$5&lt;=B58,'641'!$O$5&gt;=B58),"641",""))))</f>
        <v/>
      </c>
      <c r="V58" s="51" t="str">
        <f>IF(OR(TH!L58=TH!$V$7,M58=TH!$V$7),"x","")</f>
        <v/>
      </c>
      <c r="W58" s="51" t="str">
        <f>IF(AND(B58&gt;='IN-NX'!$P$3,B58&lt;='IN-NX'!$Q$3,'IN-NX'!$D$7=D58,OR(LEFT(L58,2)="15",AND(LEFT(M58,2)&lt;&gt;"15",LEFT(M58,2)&lt;&gt;"33"))),"x","")</f>
        <v/>
      </c>
      <c r="X58" s="51" t="str">
        <f>IF(AND(OR(LEFT(TH!L58,2)="15",LEFT(TH!M58,2)="15"),'152-CT'!$J$8=TH!F58),"x","")</f>
        <v/>
      </c>
      <c r="Y58" s="51" t="str">
        <f>IF(AND(OR(LEFT(TH!L58,2)="15",LEFT(TH!M58,2)="15"),TK!$E$7=TH!F58),"x","")</f>
        <v/>
      </c>
      <c r="Z58" s="51" t="str">
        <f>IF(AND(B58&lt;=NKC!$N$8,B58&gt;=NKC!$M$8),"x","")</f>
        <v/>
      </c>
      <c r="AA58" s="803"/>
      <c r="AB58" s="565"/>
      <c r="AC58" s="565"/>
      <c r="AD58" s="565"/>
    </row>
    <row r="59" spans="1:30" ht="15.75" customHeight="1">
      <c r="A59" s="804" t="str">
        <f>IF(B59&lt;&gt;"",IF(AND(B59&gt;=_TM1,B59&lt;=_TM2,OR(TH!L59="1111",TH!M59="1111")),TH!D59,""),"")</f>
        <v/>
      </c>
      <c r="B59" s="36">
        <f t="shared" si="4"/>
        <v>1</v>
      </c>
      <c r="C59" s="189">
        <f t="shared" si="5"/>
        <v>42028</v>
      </c>
      <c r="D59" s="189" t="s">
        <v>1342</v>
      </c>
      <c r="E59" s="189">
        <v>42028</v>
      </c>
      <c r="F59" s="190" t="s">
        <v>423</v>
      </c>
      <c r="G59" s="813" t="s">
        <v>969</v>
      </c>
      <c r="H59" s="7" t="s">
        <v>446</v>
      </c>
      <c r="I59" s="243"/>
      <c r="J59" s="243"/>
      <c r="K59" s="573">
        <v>1127940</v>
      </c>
      <c r="L59" s="574" t="s">
        <v>47</v>
      </c>
      <c r="M59" s="574" t="s">
        <v>250</v>
      </c>
      <c r="N59" s="51" t="str">
        <f>IF(AND('331-CT'!$E$7=TH!H59,OR(L59="331",M59="331")),"331",IF(AND(OR(L59="131",M59="131"),H59='131-CT'!$E$7),"131",""))</f>
        <v/>
      </c>
      <c r="O59" s="51" t="str">
        <f>IF(AND($B59&gt;='111'!$N$11,$B59&lt;='111'!$O$11,OR($L59=$O$7,$M59=$O$7)),"x","")</f>
        <v/>
      </c>
      <c r="P59" s="51" t="str">
        <f>IF(AND($L59=$O$7,$B59&lt;'111'!$N$11),"x","")</f>
        <v>x</v>
      </c>
      <c r="Q59" s="51" t="str">
        <f>IF(AND($M59=$O$7,$B59&lt;'111'!$N$11),"x","")</f>
        <v/>
      </c>
      <c r="R59" s="51" t="str">
        <f>IF(ISERROR(FIND('112'!$M$9,G59,1)),"",IF((AND(FIND('112'!$M$9,G59,1)&gt;=1,$B59&gt;='112'!$N$8,$B59&lt;='112'!$O$8,OR($L59='112'!$I$6,$M59='112'!$I$6))),"x",""))</f>
        <v/>
      </c>
      <c r="S59" s="51" t="str">
        <f>IF(ISERROR(FIND('112'!$M$9,G59,1)),"",IF((AND(LEFT(G59,2)=LEFT('112'!$M$9,2),B59&lt;'112'!$N$8,$L59='112'!$I$6)),"x",""))</f>
        <v/>
      </c>
      <c r="T59" s="51" t="str">
        <f>IF(ISERROR(FIND('112'!$M$9,G59,1)),"",IF((AND(RIGHT(G59,2)=RIGHT('112'!$M$9,2),B59&lt;'112'!$N$8,$M59='112'!$I$6)),"x",""))</f>
        <v/>
      </c>
      <c r="U59" s="51" t="str">
        <f>IF(AND(L59="154",'154'!$O$5&lt;=B59,'154'!$P$5&gt;=B59),"154",IF(AND(L59="632",'632'!$L$5&lt;=B59,'632'!$M$5&gt;=B59),"632",IF(AND(L59="642",'642'!$N$5&lt;=B59,'642'!$O$5&gt;=B59),"642",IF(AND(L59="641",'641'!$N$5&lt;=B59,'641'!$O$5&gt;=B59),"641",""))))</f>
        <v/>
      </c>
      <c r="V59" s="51" t="str">
        <f>IF(OR(TH!L59=TH!$V$7,M59=TH!$V$7),"x","")</f>
        <v/>
      </c>
      <c r="W59" s="51" t="str">
        <f>IF(AND(B59&gt;='IN-NX'!$P$3,B59&lt;='IN-NX'!$Q$3,'IN-NX'!$D$7=D59,OR(LEFT(L59,2)="15",AND(LEFT(M59,2)&lt;&gt;"15",LEFT(M59,2)&lt;&gt;"33"))),"x","")</f>
        <v/>
      </c>
      <c r="X59" s="51" t="str">
        <f>IF(AND(OR(LEFT(TH!L59,2)="15",LEFT(TH!M59,2)="15"),'152-CT'!$J$8=TH!F59),"x","")</f>
        <v/>
      </c>
      <c r="Y59" s="51" t="str">
        <f>IF(AND(OR(LEFT(TH!L59,2)="15",LEFT(TH!M59,2)="15"),TK!$E$7=TH!F59),"x","")</f>
        <v/>
      </c>
      <c r="Z59" s="51" t="str">
        <f>IF(AND(B59&lt;=NKC!$N$8,B59&gt;=NKC!$M$8),"x","")</f>
        <v/>
      </c>
      <c r="AA59" s="803"/>
      <c r="AB59" s="565"/>
      <c r="AC59" s="565"/>
      <c r="AD59" s="565"/>
    </row>
    <row r="60" spans="1:30" ht="15.75" customHeight="1">
      <c r="A60" s="804" t="str">
        <f>IF(B60&lt;&gt;"",IF(AND(B60&gt;=_TM1,B60&lt;=_TM2,OR(TH!L60="1111",TH!M60="1111")),TH!D60,""),"")</f>
        <v/>
      </c>
      <c r="B60" s="36">
        <f t="shared" si="4"/>
        <v>1</v>
      </c>
      <c r="C60" s="189">
        <f t="shared" si="5"/>
        <v>42029</v>
      </c>
      <c r="D60" s="189" t="s">
        <v>422</v>
      </c>
      <c r="E60" s="182">
        <v>42029</v>
      </c>
      <c r="F60" s="187" t="s">
        <v>426</v>
      </c>
      <c r="G60" s="811" t="s">
        <v>415</v>
      </c>
      <c r="H60" s="202"/>
      <c r="I60" s="243"/>
      <c r="J60" s="243"/>
      <c r="K60" s="38">
        <v>11000</v>
      </c>
      <c r="L60" s="192" t="s">
        <v>83</v>
      </c>
      <c r="M60" s="192" t="s">
        <v>24</v>
      </c>
      <c r="N60" s="51" t="str">
        <f>IF(AND('331-CT'!$E$7=TH!H60,OR(L60="331",M60="331")),"331",IF(AND(OR(L60="131",M60="131"),H60='131-CT'!$E$7),"131",""))</f>
        <v/>
      </c>
      <c r="O60" s="51" t="str">
        <f>IF(AND($B60&gt;='111'!$N$11,$B60&lt;='111'!$O$11,OR($L60=$O$7,$M60=$O$7)),"x","")</f>
        <v/>
      </c>
      <c r="P60" s="51" t="str">
        <f>IF(AND($L60=$O$7,$B60&lt;'111'!$N$11),"x","")</f>
        <v/>
      </c>
      <c r="Q60" s="51" t="str">
        <f>IF(AND($M60=$O$7,$B60&lt;'111'!$N$11),"x","")</f>
        <v/>
      </c>
      <c r="R60" s="51" t="str">
        <f>IF(ISERROR(FIND('112'!$M$9,G60,1)),"",IF((AND(FIND('112'!$M$9,G60,1)&gt;=1,$B60&gt;='112'!$N$8,$B60&lt;='112'!$O$8,OR($L60='112'!$I$6,$M60='112'!$I$6))),"x",""))</f>
        <v>x</v>
      </c>
      <c r="S60" s="51" t="str">
        <f>IF(ISERROR(FIND('112'!$M$9,G60,1)),"",IF((AND(LEFT(G60,2)=LEFT('112'!$M$9,2),B60&lt;'112'!$N$8,$L60='112'!$I$6)),"x",""))</f>
        <v/>
      </c>
      <c r="T60" s="51" t="str">
        <f>IF(ISERROR(FIND('112'!$M$9,G60,1)),"",IF((AND(RIGHT(G60,2)=RIGHT('112'!$M$9,2),B60&lt;'112'!$N$8,$M60='112'!$I$6)),"x",""))</f>
        <v/>
      </c>
      <c r="U60" s="51" t="str">
        <f>IF(AND(L60="154",'154'!$O$5&lt;=B60,'154'!$P$5&gt;=B60),"154",IF(AND(L60="632",'632'!$L$5&lt;=B60,'632'!$M$5&gt;=B60),"632",IF(AND(L60="642",'642'!$N$5&lt;=B60,'642'!$O$5&gt;=B60),"642",IF(AND(L60="641",'641'!$N$5&lt;=B60,'641'!$O$5&gt;=B60),"641",""))))</f>
        <v/>
      </c>
      <c r="V60" s="51" t="str">
        <f>IF(OR(TH!L60=TH!$V$7,M60=TH!$V$7),"x","")</f>
        <v>x</v>
      </c>
      <c r="W60" s="51" t="str">
        <f>IF(AND(B60&gt;='IN-NX'!$P$3,B60&lt;='IN-NX'!$Q$3,'IN-NX'!$D$7=D60,OR(LEFT(L60,2)="15",AND(LEFT(M60,2)&lt;&gt;"15",LEFT(M60,2)&lt;&gt;"33"))),"x","")</f>
        <v/>
      </c>
      <c r="X60" s="51" t="str">
        <f>IF(AND(OR(LEFT(TH!L60,2)="15",LEFT(TH!M60,2)="15"),'152-CT'!$J$8=TH!F60),"x","")</f>
        <v/>
      </c>
      <c r="Y60" s="51" t="str">
        <f>IF(AND(OR(LEFT(TH!L60,2)="15",LEFT(TH!M60,2)="15"),TK!$E$7=TH!F60),"x","")</f>
        <v/>
      </c>
      <c r="Z60" s="51" t="str">
        <f>IF(AND(B60&lt;=NKC!$N$8,B60&gt;=NKC!$M$8),"x","")</f>
        <v/>
      </c>
      <c r="AA60" s="803"/>
      <c r="AB60" s="565"/>
    </row>
    <row r="61" spans="1:30" ht="15.75" customHeight="1">
      <c r="A61" s="804" t="str">
        <f>IF(B61&lt;&gt;"",IF(AND(B61&gt;=_TM1,B61&lt;=_TM2,OR(TH!L61="1111",TH!M61="1111")),TH!D61,""),"")</f>
        <v/>
      </c>
      <c r="B61" s="36">
        <f t="shared" si="4"/>
        <v>1</v>
      </c>
      <c r="C61" s="189">
        <f t="shared" si="5"/>
        <v>42030</v>
      </c>
      <c r="D61" s="189" t="s">
        <v>1343</v>
      </c>
      <c r="E61" s="189">
        <v>42030</v>
      </c>
      <c r="F61" s="922" t="s">
        <v>479</v>
      </c>
      <c r="G61" s="813" t="s">
        <v>482</v>
      </c>
      <c r="H61" s="191" t="s">
        <v>466</v>
      </c>
      <c r="I61" s="243">
        <v>246</v>
      </c>
      <c r="J61" s="243">
        <v>23461</v>
      </c>
      <c r="K61" s="573">
        <f>ROUND(I61*J61,0)</f>
        <v>5771406</v>
      </c>
      <c r="L61" s="574" t="s">
        <v>417</v>
      </c>
      <c r="M61" s="574" t="s">
        <v>8</v>
      </c>
      <c r="N61" s="51" t="str">
        <f>IF(AND('331-CT'!$E$7=TH!H61,OR(L61="331",M61="331")),"331",IF(AND(OR(L61="131",M61="131"),H61='131-CT'!$E$7),"131",""))</f>
        <v/>
      </c>
      <c r="O61" s="51" t="str">
        <f>IF(AND($B61&gt;='111'!$N$11,$B61&lt;='111'!$O$11,OR($L61=$O$7,$M61=$O$7)),"x","")</f>
        <v/>
      </c>
      <c r="P61" s="51" t="str">
        <f>IF(AND($L61=$O$7,$B61&lt;'111'!$N$11),"x","")</f>
        <v/>
      </c>
      <c r="Q61" s="51" t="str">
        <f>IF(AND($M61=$O$7,$B61&lt;'111'!$N$11),"x","")</f>
        <v/>
      </c>
      <c r="R61" s="51" t="str">
        <f>IF(ISERROR(FIND('112'!$M$9,G61,1)),"",IF((AND(FIND('112'!$M$9,G61,1)&gt;=1,$B61&gt;='112'!$N$8,$B61&lt;='112'!$O$8,OR($L61='112'!$I$6,$M61='112'!$I$6))),"x",""))</f>
        <v/>
      </c>
      <c r="S61" s="51" t="str">
        <f>IF(ISERROR(FIND('112'!$M$9,G61,1)),"",IF((AND(LEFT(G61,2)=LEFT('112'!$M$9,2),B61&lt;'112'!$N$8,$L61='112'!$I$6)),"x",""))</f>
        <v/>
      </c>
      <c r="T61" s="51" t="str">
        <f>IF(ISERROR(FIND('112'!$M$9,G61,1)),"",IF((AND(RIGHT(G61,2)=RIGHT('112'!$M$9,2),B61&lt;'112'!$N$8,$M61='112'!$I$6)),"x",""))</f>
        <v/>
      </c>
      <c r="U61" s="51" t="str">
        <f>IF(AND(L61="154",'154'!$O$5&lt;=B61,'154'!$P$5&gt;=B61),"154",IF(AND(L61="632",'632'!$L$5&lt;=B61,'632'!$M$5&gt;=B61),"632",IF(AND(L61="642",'642'!$N$5&lt;=B61,'642'!$O$5&gt;=B61),"642",IF(AND(L61="641",'641'!$N$5&lt;=B61,'641'!$O$5&gt;=B61),"641",""))))</f>
        <v/>
      </c>
      <c r="V61" s="51" t="str">
        <f>IF(OR(TH!L61=TH!$V$7,M61=TH!$V$7),"x","")</f>
        <v/>
      </c>
      <c r="W61" s="51" t="str">
        <f>IF(AND(B61&gt;='IN-NX'!$P$3,B61&lt;='IN-NX'!$Q$3,'IN-NX'!$D$7=D61,OR(LEFT(L61,2)="15",AND(LEFT(M61,2)&lt;&gt;"15",LEFT(M61,2)&lt;&gt;"33"))),"x","")</f>
        <v/>
      </c>
      <c r="X61" s="51" t="str">
        <f>IF(AND(OR(LEFT(TH!L61,2)="15",LEFT(TH!M61,2)="15"),'152-CT'!$J$8=TH!F61),"x","")</f>
        <v/>
      </c>
      <c r="Y61" s="51" t="str">
        <f>IF(AND(OR(LEFT(TH!L61,2)="15",LEFT(TH!M61,2)="15"),TK!$E$7=TH!F61),"x","")</f>
        <v/>
      </c>
      <c r="Z61" s="51" t="str">
        <f>IF(AND(B61&lt;=NKC!$N$8,B61&gt;=NKC!$M$8),"x","")</f>
        <v/>
      </c>
      <c r="AA61" s="803"/>
      <c r="AB61" s="565"/>
    </row>
    <row r="62" spans="1:30" ht="15.75" customHeight="1">
      <c r="A62" s="804" t="str">
        <f>IF(B62&lt;&gt;"",IF(AND(B62&gt;=_TM1,B62&lt;=_TM2,OR(TH!L62="1111",TH!M62="1111")),TH!D62,""),"")</f>
        <v/>
      </c>
      <c r="B62" s="36">
        <f t="shared" si="4"/>
        <v>1</v>
      </c>
      <c r="C62" s="189">
        <f t="shared" si="5"/>
        <v>42030</v>
      </c>
      <c r="D62" s="189" t="s">
        <v>1343</v>
      </c>
      <c r="E62" s="189">
        <v>42030</v>
      </c>
      <c r="F62" s="922" t="s">
        <v>483</v>
      </c>
      <c r="G62" s="813" t="s">
        <v>482</v>
      </c>
      <c r="H62" s="191" t="s">
        <v>466</v>
      </c>
      <c r="I62" s="243">
        <v>90</v>
      </c>
      <c r="J62" s="243">
        <v>20051</v>
      </c>
      <c r="K62" s="573">
        <f>ROUND(I62*J62,0)</f>
        <v>1804590</v>
      </c>
      <c r="L62" s="574" t="s">
        <v>417</v>
      </c>
      <c r="M62" s="574" t="s">
        <v>8</v>
      </c>
      <c r="N62" s="51" t="str">
        <f>IF(AND('331-CT'!$E$7=TH!H62,OR(L62="331",M62="331")),"331",IF(AND(OR(L62="131",M62="131"),H62='131-CT'!$E$7),"131",""))</f>
        <v/>
      </c>
      <c r="O62" s="51" t="str">
        <f>IF(AND($B62&gt;='111'!$N$11,$B62&lt;='111'!$O$11,OR($L62=$O$7,$M62=$O$7)),"x","")</f>
        <v/>
      </c>
      <c r="P62" s="51" t="str">
        <f>IF(AND($L62=$O$7,$B62&lt;'111'!$N$11),"x","")</f>
        <v/>
      </c>
      <c r="Q62" s="51" t="str">
        <f>IF(AND($M62=$O$7,$B62&lt;'111'!$N$11),"x","")</f>
        <v/>
      </c>
      <c r="R62" s="51" t="str">
        <f>IF(ISERROR(FIND('112'!$M$9,G62,1)),"",IF((AND(FIND('112'!$M$9,G62,1)&gt;=1,$B62&gt;='112'!$N$8,$B62&lt;='112'!$O$8,OR($L62='112'!$I$6,$M62='112'!$I$6))),"x",""))</f>
        <v/>
      </c>
      <c r="S62" s="51" t="str">
        <f>IF(ISERROR(FIND('112'!$M$9,G62,1)),"",IF((AND(LEFT(G62,2)=LEFT('112'!$M$9,2),B62&lt;'112'!$N$8,$L62='112'!$I$6)),"x",""))</f>
        <v/>
      </c>
      <c r="T62" s="51" t="str">
        <f>IF(ISERROR(FIND('112'!$M$9,G62,1)),"",IF((AND(RIGHT(G62,2)=RIGHT('112'!$M$9,2),B62&lt;'112'!$N$8,$M62='112'!$I$6)),"x",""))</f>
        <v/>
      </c>
      <c r="U62" s="51" t="str">
        <f>IF(AND(L62="154",'154'!$O$5&lt;=B62,'154'!$P$5&gt;=B62),"154",IF(AND(L62="632",'632'!$L$5&lt;=B62,'632'!$M$5&gt;=B62),"632",IF(AND(L62="642",'642'!$N$5&lt;=B62,'642'!$O$5&gt;=B62),"642",IF(AND(L62="641",'641'!$N$5&lt;=B62,'641'!$O$5&gt;=B62),"641",""))))</f>
        <v/>
      </c>
      <c r="V62" s="51" t="str">
        <f>IF(OR(TH!L62=TH!$V$7,M62=TH!$V$7),"x","")</f>
        <v/>
      </c>
      <c r="W62" s="51" t="str">
        <f>IF(AND(B62&gt;='IN-NX'!$P$3,B62&lt;='IN-NX'!$Q$3,'IN-NX'!$D$7=D62,OR(LEFT(L62,2)="15",AND(LEFT(M62,2)&lt;&gt;"15",LEFT(M62,2)&lt;&gt;"33"))),"x","")</f>
        <v/>
      </c>
      <c r="X62" s="51" t="str">
        <f>IF(AND(OR(LEFT(TH!L62,2)="15",LEFT(TH!M62,2)="15"),'152-CT'!$J$8=TH!F62),"x","")</f>
        <v/>
      </c>
      <c r="Y62" s="51" t="str">
        <f>IF(AND(OR(LEFT(TH!L62,2)="15",LEFT(TH!M62,2)="15"),TK!$E$7=TH!F62),"x","")</f>
        <v/>
      </c>
      <c r="Z62" s="51" t="str">
        <f>IF(AND(B62&lt;=NKC!$N$8,B62&gt;=NKC!$M$8),"x","")</f>
        <v/>
      </c>
      <c r="AA62" s="803"/>
      <c r="AB62" s="565"/>
    </row>
    <row r="63" spans="1:30" ht="15.75" customHeight="1">
      <c r="A63" s="804" t="str">
        <f>IF(B63&lt;&gt;"",IF(AND(B63&gt;=_TM1,B63&lt;=_TM2,OR(TH!L63="1111",TH!M63="1111")),TH!D63,""),"")</f>
        <v/>
      </c>
      <c r="B63" s="36">
        <f t="shared" si="4"/>
        <v>1</v>
      </c>
      <c r="C63" s="189">
        <f t="shared" si="5"/>
        <v>42030</v>
      </c>
      <c r="D63" s="189" t="s">
        <v>1343</v>
      </c>
      <c r="E63" s="189">
        <v>42030</v>
      </c>
      <c r="F63" s="190" t="s">
        <v>484</v>
      </c>
      <c r="G63" s="813" t="s">
        <v>482</v>
      </c>
      <c r="H63" s="191" t="s">
        <v>466</v>
      </c>
      <c r="I63" s="243">
        <v>40</v>
      </c>
      <c r="J63" s="243">
        <v>24499</v>
      </c>
      <c r="K63" s="573">
        <f>ROUND(I63*J63,0)</f>
        <v>979960</v>
      </c>
      <c r="L63" s="574" t="s">
        <v>417</v>
      </c>
      <c r="M63" s="574" t="s">
        <v>8</v>
      </c>
      <c r="N63" s="51" t="str">
        <f>IF(AND('331-CT'!$E$7=TH!H63,OR(L63="331",M63="331")),"331",IF(AND(OR(L63="131",M63="131"),H63='131-CT'!$E$7),"131",""))</f>
        <v/>
      </c>
      <c r="O63" s="51" t="str">
        <f>IF(AND($B63&gt;='111'!$N$11,$B63&lt;='111'!$O$11,OR($L63=$O$7,$M63=$O$7)),"x","")</f>
        <v/>
      </c>
      <c r="P63" s="51" t="str">
        <f>IF(AND($L63=$O$7,$B63&lt;'111'!$N$11),"x","")</f>
        <v/>
      </c>
      <c r="Q63" s="51" t="str">
        <f>IF(AND($M63=$O$7,$B63&lt;'111'!$N$11),"x","")</f>
        <v/>
      </c>
      <c r="R63" s="51" t="str">
        <f>IF(ISERROR(FIND('112'!$M$9,G63,1)),"",IF((AND(FIND('112'!$M$9,G63,1)&gt;=1,$B63&gt;='112'!$N$8,$B63&lt;='112'!$O$8,OR($L63='112'!$I$6,$M63='112'!$I$6))),"x",""))</f>
        <v/>
      </c>
      <c r="S63" s="51" t="str">
        <f>IF(ISERROR(FIND('112'!$M$9,G63,1)),"",IF((AND(LEFT(G63,2)=LEFT('112'!$M$9,2),B63&lt;'112'!$N$8,$L63='112'!$I$6)),"x",""))</f>
        <v/>
      </c>
      <c r="T63" s="51" t="str">
        <f>IF(ISERROR(FIND('112'!$M$9,G63,1)),"",IF((AND(RIGHT(G63,2)=RIGHT('112'!$M$9,2),B63&lt;'112'!$N$8,$M63='112'!$I$6)),"x",""))</f>
        <v/>
      </c>
      <c r="U63" s="51" t="str">
        <f>IF(AND(L63="154",'154'!$O$5&lt;=B63,'154'!$P$5&gt;=B63),"154",IF(AND(L63="632",'632'!$L$5&lt;=B63,'632'!$M$5&gt;=B63),"632",IF(AND(L63="642",'642'!$N$5&lt;=B63,'642'!$O$5&gt;=B63),"642",IF(AND(L63="641",'641'!$N$5&lt;=B63,'641'!$O$5&gt;=B63),"641",""))))</f>
        <v/>
      </c>
      <c r="V63" s="51" t="str">
        <f>IF(OR(TH!L63=TH!$V$7,M63=TH!$V$7),"x","")</f>
        <v/>
      </c>
      <c r="W63" s="51" t="str">
        <f>IF(AND(B63&gt;='IN-NX'!$P$3,B63&lt;='IN-NX'!$Q$3,'IN-NX'!$D$7=D63,OR(LEFT(L63,2)="15",AND(LEFT(M63,2)&lt;&gt;"15",LEFT(M63,2)&lt;&gt;"33"))),"x","")</f>
        <v/>
      </c>
      <c r="X63" s="51" t="str">
        <f>IF(AND(OR(LEFT(TH!L63,2)="15",LEFT(TH!M63,2)="15"),'152-CT'!$J$8=TH!F63),"x","")</f>
        <v/>
      </c>
      <c r="Y63" s="51" t="str">
        <f>IF(AND(OR(LEFT(TH!L63,2)="15",LEFT(TH!M63,2)="15"),TK!$E$7=TH!F63),"x","")</f>
        <v/>
      </c>
      <c r="Z63" s="51" t="str">
        <f>IF(AND(B63&lt;=NKC!$N$8,B63&gt;=NKC!$M$8),"x","")</f>
        <v/>
      </c>
      <c r="AA63" s="803"/>
      <c r="AB63" s="565"/>
    </row>
    <row r="64" spans="1:30" ht="15.75" customHeight="1">
      <c r="A64" s="804" t="str">
        <f>IF(B64&lt;&gt;"",IF(AND(B64&gt;=_TM1,B64&lt;=_TM2,OR(TH!L64="1111",TH!M64="1111")),TH!D64,""),"")</f>
        <v/>
      </c>
      <c r="B64" s="36">
        <f t="shared" si="4"/>
        <v>1</v>
      </c>
      <c r="C64" s="189">
        <f t="shared" si="5"/>
        <v>42030</v>
      </c>
      <c r="D64" s="189" t="s">
        <v>1343</v>
      </c>
      <c r="E64" s="189">
        <v>42030</v>
      </c>
      <c r="F64" s="922" t="s">
        <v>468</v>
      </c>
      <c r="G64" s="813" t="s">
        <v>482</v>
      </c>
      <c r="H64" s="191" t="s">
        <v>466</v>
      </c>
      <c r="I64" s="243"/>
      <c r="J64" s="243"/>
      <c r="K64" s="573">
        <v>855596</v>
      </c>
      <c r="L64" s="574" t="s">
        <v>9</v>
      </c>
      <c r="M64" s="574" t="s">
        <v>8</v>
      </c>
      <c r="N64" s="51" t="str">
        <f>IF(AND('331-CT'!$E$7=TH!H64,OR(L64="331",M64="331")),"331",IF(AND(OR(L64="131",M64="131"),H64='131-CT'!$E$7),"131",""))</f>
        <v/>
      </c>
      <c r="O64" s="51" t="str">
        <f>IF(AND($B64&gt;='111'!$N$11,$B64&lt;='111'!$O$11,OR($L64=$O$7,$M64=$O$7)),"x","")</f>
        <v/>
      </c>
      <c r="P64" s="51" t="str">
        <f>IF(AND($L64=$O$7,$B64&lt;'111'!$N$11),"x","")</f>
        <v/>
      </c>
      <c r="Q64" s="51" t="str">
        <f>IF(AND($M64=$O$7,$B64&lt;'111'!$N$11),"x","")</f>
        <v/>
      </c>
      <c r="R64" s="51" t="str">
        <f>IF(ISERROR(FIND('112'!$M$9,G64,1)),"",IF((AND(FIND('112'!$M$9,G64,1)&gt;=1,$B64&gt;='112'!$N$8,$B64&lt;='112'!$O$8,OR($L64='112'!$I$6,$M64='112'!$I$6))),"x",""))</f>
        <v/>
      </c>
      <c r="S64" s="51" t="str">
        <f>IF(ISERROR(FIND('112'!$M$9,G64,1)),"",IF((AND(LEFT(G64,2)=LEFT('112'!$M$9,2),B64&lt;'112'!$N$8,$L64='112'!$I$6)),"x",""))</f>
        <v/>
      </c>
      <c r="T64" s="51" t="str">
        <f>IF(ISERROR(FIND('112'!$M$9,G64,1)),"",IF((AND(RIGHT(G64,2)=RIGHT('112'!$M$9,2),B64&lt;'112'!$N$8,$M64='112'!$I$6)),"x",""))</f>
        <v/>
      </c>
      <c r="U64" s="51" t="str">
        <f>IF(AND(L64="154",'154'!$O$5&lt;=B64,'154'!$P$5&gt;=B64),"154",IF(AND(L64="632",'632'!$L$5&lt;=B64,'632'!$M$5&gt;=B64),"632",IF(AND(L64="642",'642'!$N$5&lt;=B64,'642'!$O$5&gt;=B64),"642",IF(AND(L64="641",'641'!$N$5&lt;=B64,'641'!$O$5&gt;=B64),"641",""))))</f>
        <v/>
      </c>
      <c r="V64" s="51" t="str">
        <f>IF(OR(TH!L64=TH!$V$7,M64=TH!$V$7),"x","")</f>
        <v/>
      </c>
      <c r="W64" s="51" t="str">
        <f>IF(AND(B64&gt;='IN-NX'!$P$3,B64&lt;='IN-NX'!$Q$3,'IN-NX'!$D$7=D64,OR(LEFT(L64,2)="15",AND(LEFT(M64,2)&lt;&gt;"15",LEFT(M64,2)&lt;&gt;"33"))),"x","")</f>
        <v/>
      </c>
      <c r="X64" s="51" t="str">
        <f>IF(AND(OR(LEFT(TH!L64,2)="15",LEFT(TH!M64,2)="15"),'152-CT'!$J$8=TH!F64),"x","")</f>
        <v/>
      </c>
      <c r="Y64" s="51" t="str">
        <f>IF(AND(OR(LEFT(TH!L64,2)="15",LEFT(TH!M64,2)="15"),TK!$E$7=TH!F64),"x","")</f>
        <v/>
      </c>
      <c r="Z64" s="51" t="str">
        <f>IF(AND(B64&lt;=NKC!$N$8,B64&gt;=NKC!$M$8),"x","")</f>
        <v/>
      </c>
      <c r="AA64" s="803">
        <v>1</v>
      </c>
      <c r="AB64" s="565"/>
    </row>
    <row r="65" spans="1:31" ht="15.75" customHeight="1">
      <c r="A65" s="804" t="str">
        <f>IF(B65&lt;&gt;"",IF(AND(B65&gt;=_TM1,B65&lt;=_TM2,OR(TH!L65="1111",TH!M65="1111")),TH!D65,""),"")</f>
        <v/>
      </c>
      <c r="B65" s="36">
        <f t="shared" si="4"/>
        <v>1</v>
      </c>
      <c r="C65" s="189">
        <f t="shared" si="5"/>
        <v>42030</v>
      </c>
      <c r="D65" s="189" t="s">
        <v>1344</v>
      </c>
      <c r="E65" s="189">
        <v>42030</v>
      </c>
      <c r="F65" s="187" t="s">
        <v>438</v>
      </c>
      <c r="G65" s="813" t="s">
        <v>482</v>
      </c>
      <c r="H65" s="191" t="s">
        <v>466</v>
      </c>
      <c r="I65" s="243"/>
      <c r="J65" s="243"/>
      <c r="K65" s="573">
        <v>9411552</v>
      </c>
      <c r="L65" s="574" t="s">
        <v>8</v>
      </c>
      <c r="M65" s="574" t="s">
        <v>47</v>
      </c>
      <c r="N65" s="51" t="str">
        <f>IF(AND('331-CT'!$E$7=TH!H65,OR(L65="331",M65="331")),"331",IF(AND(OR(L65="131",M65="131"),H65='131-CT'!$E$7),"131",""))</f>
        <v/>
      </c>
      <c r="O65" s="51" t="str">
        <f>IF(AND($B65&gt;='111'!$N$11,$B65&lt;='111'!$O$11,OR($L65=$O$7,$M65=$O$7)),"x","")</f>
        <v/>
      </c>
      <c r="P65" s="51" t="str">
        <f>IF(AND($L65=$O$7,$B65&lt;'111'!$N$11),"x","")</f>
        <v/>
      </c>
      <c r="Q65" s="51" t="str">
        <f>IF(AND($M65=$O$7,$B65&lt;'111'!$N$11),"x","")</f>
        <v>x</v>
      </c>
      <c r="R65" s="51" t="str">
        <f>IF(ISERROR(FIND('112'!$M$9,G65,1)),"",IF((AND(FIND('112'!$M$9,G65,1)&gt;=1,$B65&gt;='112'!$N$8,$B65&lt;='112'!$O$8,OR($L65='112'!$I$6,$M65='112'!$I$6))),"x",""))</f>
        <v/>
      </c>
      <c r="S65" s="51" t="str">
        <f>IF(ISERROR(FIND('112'!$M$9,G65,1)),"",IF((AND(LEFT(G65,2)=LEFT('112'!$M$9,2),B65&lt;'112'!$N$8,$L65='112'!$I$6)),"x",""))</f>
        <v/>
      </c>
      <c r="T65" s="51" t="str">
        <f>IF(ISERROR(FIND('112'!$M$9,G65,1)),"",IF((AND(RIGHT(G65,2)=RIGHT('112'!$M$9,2),B65&lt;'112'!$N$8,$M65='112'!$I$6)),"x",""))</f>
        <v/>
      </c>
      <c r="U65" s="51" t="str">
        <f>IF(AND(L65="154",'154'!$O$5&lt;=B65,'154'!$P$5&gt;=B65),"154",IF(AND(L65="632",'632'!$L$5&lt;=B65,'632'!$M$5&gt;=B65),"632",IF(AND(L65="642",'642'!$N$5&lt;=B65,'642'!$O$5&gt;=B65),"642",IF(AND(L65="641",'641'!$N$5&lt;=B65,'641'!$O$5&gt;=B65),"641",""))))</f>
        <v/>
      </c>
      <c r="V65" s="51" t="str">
        <f>IF(OR(TH!L65=TH!$V$7,M65=TH!$V$7),"x","")</f>
        <v/>
      </c>
      <c r="W65" s="51" t="str">
        <f>IF(AND(B65&gt;='IN-NX'!$P$3,B65&lt;='IN-NX'!$Q$3,'IN-NX'!$D$7=D65,OR(LEFT(L65,2)="15",AND(LEFT(M65,2)&lt;&gt;"15",LEFT(M65,2)&lt;&gt;"33"))),"x","")</f>
        <v/>
      </c>
      <c r="X65" s="51" t="str">
        <f>IF(AND(OR(LEFT(TH!L65,2)="15",LEFT(TH!M65,2)="15"),'152-CT'!$J$8=TH!F65),"x","")</f>
        <v/>
      </c>
      <c r="Y65" s="51" t="str">
        <f>IF(AND(OR(LEFT(TH!L65,2)="15",LEFT(TH!M65,2)="15"),TK!$E$7=TH!F65),"x","")</f>
        <v/>
      </c>
      <c r="Z65" s="51" t="str">
        <f>IF(AND(B65&lt;=NKC!$N$8,B65&gt;=NKC!$M$8),"x","")</f>
        <v/>
      </c>
      <c r="AA65" s="803"/>
      <c r="AB65" s="565"/>
    </row>
    <row r="66" spans="1:31" ht="15.75" customHeight="1">
      <c r="A66" s="804" t="str">
        <f>IF(B66&lt;&gt;"",IF(AND(B66&gt;=_TM1,B66&lt;=_TM2,OR(TH!L66="1111",TH!M66="1111")),TH!D66,""),"")</f>
        <v/>
      </c>
      <c r="B66" s="36">
        <f t="shared" si="4"/>
        <v>1</v>
      </c>
      <c r="C66" s="189">
        <f t="shared" si="5"/>
        <v>42030</v>
      </c>
      <c r="D66" s="189" t="s">
        <v>1292</v>
      </c>
      <c r="E66" s="189">
        <v>42030</v>
      </c>
      <c r="F66" s="922" t="s">
        <v>1179</v>
      </c>
      <c r="G66" s="813" t="s">
        <v>542</v>
      </c>
      <c r="H66" s="191" t="s">
        <v>970</v>
      </c>
      <c r="I66" s="243">
        <v>345</v>
      </c>
      <c r="J66" s="243">
        <v>6800</v>
      </c>
      <c r="K66" s="573">
        <f>ROUND(I66*J66,0)</f>
        <v>2346000</v>
      </c>
      <c r="L66" s="574" t="s">
        <v>250</v>
      </c>
      <c r="M66" s="574" t="s">
        <v>164</v>
      </c>
      <c r="N66" s="51" t="str">
        <f>IF(AND('331-CT'!$E$7=TH!H66,OR(L66="331",M66="331")),"331",IF(AND(OR(L66="131",M66="131"),H66='131-CT'!$E$7),"131",""))</f>
        <v/>
      </c>
      <c r="O66" s="51" t="str">
        <f>IF(AND($B66&gt;='111'!$N$11,$B66&lt;='111'!$O$11,OR($L66=$O$7,$M66=$O$7)),"x","")</f>
        <v/>
      </c>
      <c r="P66" s="51" t="str">
        <f>IF(AND($L66=$O$7,$B66&lt;'111'!$N$11),"x","")</f>
        <v/>
      </c>
      <c r="Q66" s="51" t="str">
        <f>IF(AND($M66=$O$7,$B66&lt;'111'!$N$11),"x","")</f>
        <v/>
      </c>
      <c r="R66" s="51" t="str">
        <f>IF(ISERROR(FIND('112'!$M$9,G66,1)),"",IF((AND(FIND('112'!$M$9,G66,1)&gt;=1,$B66&gt;='112'!$N$8,$B66&lt;='112'!$O$8,OR($L66='112'!$I$6,$M66='112'!$I$6))),"x",""))</f>
        <v/>
      </c>
      <c r="S66" s="51" t="str">
        <f>IF(ISERROR(FIND('112'!$M$9,G66,1)),"",IF((AND(LEFT(G66,2)=LEFT('112'!$M$9,2),B66&lt;'112'!$N$8,$L66='112'!$I$6)),"x",""))</f>
        <v/>
      </c>
      <c r="T66" s="51" t="str">
        <f>IF(ISERROR(FIND('112'!$M$9,G66,1)),"",IF((AND(RIGHT(G66,2)=RIGHT('112'!$M$9,2),B66&lt;'112'!$N$8,$M66='112'!$I$6)),"x",""))</f>
        <v/>
      </c>
      <c r="U66" s="51" t="str">
        <f>IF(AND(L66="154",'154'!$O$5&lt;=B66,'154'!$P$5&gt;=B66),"154",IF(AND(L66="632",'632'!$L$5&lt;=B66,'632'!$M$5&gt;=B66),"632",IF(AND(L66="642",'642'!$N$5&lt;=B66,'642'!$O$5&gt;=B66),"642",IF(AND(L66="641",'641'!$N$5&lt;=B66,'641'!$O$5&gt;=B66),"641",""))))</f>
        <v/>
      </c>
      <c r="V66" s="51" t="str">
        <f>IF(OR(TH!L66=TH!$V$7,M66=TH!$V$7),"x","")</f>
        <v/>
      </c>
      <c r="W66" s="51" t="str">
        <f>IF(AND(B66&gt;='IN-NX'!$P$3,B66&lt;='IN-NX'!$Q$3,'IN-NX'!$D$7=D66,OR(LEFT(L66,2)="15",AND(LEFT(M66,2)&lt;&gt;"15",LEFT(M66,2)&lt;&gt;"33"))),"x","")</f>
        <v/>
      </c>
      <c r="X66" s="51" t="str">
        <f>IF(AND(OR(LEFT(TH!L66,2)="15",LEFT(TH!M66,2)="15"),'152-CT'!$J$8=TH!F66),"x","")</f>
        <v/>
      </c>
      <c r="Y66" s="51" t="str">
        <f>IF(AND(OR(LEFT(TH!L66,2)="15",LEFT(TH!M66,2)="15"),TK!$E$7=TH!F66),"x","")</f>
        <v/>
      </c>
      <c r="Z66" s="51" t="str">
        <f>IF(AND(B66&lt;=NKC!$N$8,B66&gt;=NKC!$M$8),"x","")</f>
        <v/>
      </c>
      <c r="AA66" s="803"/>
      <c r="AB66" s="565"/>
    </row>
    <row r="67" spans="1:31" ht="15.75" customHeight="1">
      <c r="A67" s="804" t="str">
        <f>IF(B67&lt;&gt;"",IF(AND(B67&gt;=_TM1,B67&lt;=_TM2,OR(TH!L67="1111",TH!M67="1111")),TH!D67,""),"")</f>
        <v/>
      </c>
      <c r="B67" s="36">
        <f t="shared" si="4"/>
        <v>1</v>
      </c>
      <c r="C67" s="189">
        <f t="shared" si="5"/>
        <v>42030</v>
      </c>
      <c r="D67" s="189" t="s">
        <v>1292</v>
      </c>
      <c r="E67" s="189">
        <v>42030</v>
      </c>
      <c r="F67" s="922" t="s">
        <v>1180</v>
      </c>
      <c r="G67" s="813" t="s">
        <v>542</v>
      </c>
      <c r="H67" s="191" t="s">
        <v>970</v>
      </c>
      <c r="I67" s="243">
        <v>276</v>
      </c>
      <c r="J67" s="243">
        <v>7300</v>
      </c>
      <c r="K67" s="573">
        <f>ROUND(I67*J67,0)</f>
        <v>2014800</v>
      </c>
      <c r="L67" s="574" t="s">
        <v>250</v>
      </c>
      <c r="M67" s="574" t="s">
        <v>164</v>
      </c>
      <c r="N67" s="51" t="str">
        <f>IF(AND('331-CT'!$E$7=TH!H67,OR(L67="331",M67="331")),"331",IF(AND(OR(L67="131",M67="131"),H67='131-CT'!$E$7),"131",""))</f>
        <v/>
      </c>
      <c r="O67" s="51" t="str">
        <f>IF(AND($B67&gt;='111'!$N$11,$B67&lt;='111'!$O$11,OR($L67=$O$7,$M67=$O$7)),"x","")</f>
        <v/>
      </c>
      <c r="P67" s="51" t="str">
        <f>IF(AND($L67=$O$7,$B67&lt;'111'!$N$11),"x","")</f>
        <v/>
      </c>
      <c r="Q67" s="51" t="str">
        <f>IF(AND($M67=$O$7,$B67&lt;'111'!$N$11),"x","")</f>
        <v/>
      </c>
      <c r="R67" s="51" t="str">
        <f>IF(ISERROR(FIND('112'!$M$9,G67,1)),"",IF((AND(FIND('112'!$M$9,G67,1)&gt;=1,$B67&gt;='112'!$N$8,$B67&lt;='112'!$O$8,OR($L67='112'!$I$6,$M67='112'!$I$6))),"x",""))</f>
        <v/>
      </c>
      <c r="S67" s="51" t="str">
        <f>IF(ISERROR(FIND('112'!$M$9,G67,1)),"",IF((AND(LEFT(G67,2)=LEFT('112'!$M$9,2),B67&lt;'112'!$N$8,$L67='112'!$I$6)),"x",""))</f>
        <v/>
      </c>
      <c r="T67" s="51" t="str">
        <f>IF(ISERROR(FIND('112'!$M$9,G67,1)),"",IF((AND(RIGHT(G67,2)=RIGHT('112'!$M$9,2),B67&lt;'112'!$N$8,$M67='112'!$I$6)),"x",""))</f>
        <v/>
      </c>
      <c r="U67" s="51" t="str">
        <f>IF(AND(L67="154",'154'!$O$5&lt;=B67,'154'!$P$5&gt;=B67),"154",IF(AND(L67="632",'632'!$L$5&lt;=B67,'632'!$M$5&gt;=B67),"632",IF(AND(L67="642",'642'!$N$5&lt;=B67,'642'!$O$5&gt;=B67),"642",IF(AND(L67="641",'641'!$N$5&lt;=B67,'641'!$O$5&gt;=B67),"641",""))))</f>
        <v/>
      </c>
      <c r="V67" s="51" t="str">
        <f>IF(OR(TH!L67=TH!$V$7,M67=TH!$V$7),"x","")</f>
        <v/>
      </c>
      <c r="W67" s="51" t="str">
        <f>IF(AND(B67&gt;='IN-NX'!$P$3,B67&lt;='IN-NX'!$Q$3,'IN-NX'!$D$7=D67,OR(LEFT(L67,2)="15",AND(LEFT(M67,2)&lt;&gt;"15",LEFT(M67,2)&lt;&gt;"33"))),"x","")</f>
        <v/>
      </c>
      <c r="X67" s="51" t="str">
        <f>IF(AND(OR(LEFT(TH!L67,2)="15",LEFT(TH!M67,2)="15"),'152-CT'!$J$8=TH!F67),"x","")</f>
        <v/>
      </c>
      <c r="Y67" s="51" t="str">
        <f>IF(AND(OR(LEFT(TH!L67,2)="15",LEFT(TH!M67,2)="15"),TK!$E$7=TH!F67),"x","")</f>
        <v/>
      </c>
      <c r="Z67" s="51" t="str">
        <f>IF(AND(B67&lt;=NKC!$N$8,B67&gt;=NKC!$M$8),"x","")</f>
        <v/>
      </c>
      <c r="AA67" s="803"/>
      <c r="AB67" s="565"/>
    </row>
    <row r="68" spans="1:31" ht="15.75" customHeight="1">
      <c r="A68" s="804" t="str">
        <f>IF(B68&lt;&gt;"",IF(AND(B68&gt;=_TM1,B68&lt;=_TM2,OR(TH!L68="1111",TH!M68="1111")),TH!D68,""),"")</f>
        <v/>
      </c>
      <c r="B68" s="36">
        <f t="shared" si="4"/>
        <v>1</v>
      </c>
      <c r="C68" s="189">
        <f t="shared" si="5"/>
        <v>42030</v>
      </c>
      <c r="D68" s="189" t="s">
        <v>1292</v>
      </c>
      <c r="E68" s="189">
        <v>42030</v>
      </c>
      <c r="F68" s="922" t="s">
        <v>962</v>
      </c>
      <c r="G68" s="813" t="s">
        <v>542</v>
      </c>
      <c r="H68" s="191" t="s">
        <v>970</v>
      </c>
      <c r="I68" s="243"/>
      <c r="J68" s="243"/>
      <c r="K68" s="573">
        <v>436080</v>
      </c>
      <c r="L68" s="574" t="s">
        <v>250</v>
      </c>
      <c r="M68" s="574" t="s">
        <v>352</v>
      </c>
      <c r="N68" s="51" t="str">
        <f>IF(AND('331-CT'!$E$7=TH!H68,OR(L68="331",M68="331")),"331",IF(AND(OR(L68="131",M68="131"),H68='131-CT'!$E$7),"131",""))</f>
        <v/>
      </c>
      <c r="O68" s="51" t="str">
        <f>IF(AND($B68&gt;='111'!$N$11,$B68&lt;='111'!$O$11,OR($L68=$O$7,$M68=$O$7)),"x","")</f>
        <v/>
      </c>
      <c r="P68" s="51" t="str">
        <f>IF(AND($L68=$O$7,$B68&lt;'111'!$N$11),"x","")</f>
        <v/>
      </c>
      <c r="Q68" s="51" t="str">
        <f>IF(AND($M68=$O$7,$B68&lt;'111'!$N$11),"x","")</f>
        <v/>
      </c>
      <c r="R68" s="51" t="str">
        <f>IF(ISERROR(FIND('112'!$M$9,G68,1)),"",IF((AND(FIND('112'!$M$9,G68,1)&gt;=1,$B68&gt;='112'!$N$8,$B68&lt;='112'!$O$8,OR($L68='112'!$I$6,$M68='112'!$I$6))),"x",""))</f>
        <v/>
      </c>
      <c r="S68" s="51" t="str">
        <f>IF(ISERROR(FIND('112'!$M$9,G68,1)),"",IF((AND(LEFT(G68,2)=LEFT('112'!$M$9,2),B68&lt;'112'!$N$8,$L68='112'!$I$6)),"x",""))</f>
        <v/>
      </c>
      <c r="T68" s="51" t="str">
        <f>IF(ISERROR(FIND('112'!$M$9,G68,1)),"",IF((AND(RIGHT(G68,2)=RIGHT('112'!$M$9,2),B68&lt;'112'!$N$8,$M68='112'!$I$6)),"x",""))</f>
        <v/>
      </c>
      <c r="U68" s="51" t="str">
        <f>IF(AND(L68="154",'154'!$O$5&lt;=B68,'154'!$P$5&gt;=B68),"154",IF(AND(L68="632",'632'!$L$5&lt;=B68,'632'!$M$5&gt;=B68),"632",IF(AND(L68="642",'642'!$N$5&lt;=B68,'642'!$O$5&gt;=B68),"642",IF(AND(L68="641",'641'!$N$5&lt;=B68,'641'!$O$5&gt;=B68),"641",""))))</f>
        <v/>
      </c>
      <c r="V68" s="51" t="str">
        <f>IF(OR(TH!L68=TH!$V$7,M68=TH!$V$7),"x","")</f>
        <v/>
      </c>
      <c r="W68" s="51" t="str">
        <f>IF(AND(B68&gt;='IN-NX'!$P$3,B68&lt;='IN-NX'!$Q$3,'IN-NX'!$D$7=D68,OR(LEFT(L68,2)="15",AND(LEFT(M68,2)&lt;&gt;"15",LEFT(M68,2)&lt;&gt;"33"))),"x","")</f>
        <v/>
      </c>
      <c r="X68" s="51" t="str">
        <f>IF(AND(OR(LEFT(TH!L68,2)="15",LEFT(TH!M68,2)="15"),'152-CT'!$J$8=TH!F68),"x","")</f>
        <v/>
      </c>
      <c r="Y68" s="51" t="str">
        <f>IF(AND(OR(LEFT(TH!L68,2)="15",LEFT(TH!M68,2)="15"),TK!$E$7=TH!F68),"x","")</f>
        <v/>
      </c>
      <c r="Z68" s="51" t="str">
        <f>IF(AND(B68&lt;=NKC!$N$8,B68&gt;=NKC!$M$8),"x","")</f>
        <v/>
      </c>
      <c r="AA68" s="803"/>
      <c r="AB68" s="565"/>
      <c r="AD68" s="565"/>
    </row>
    <row r="69" spans="1:31" ht="15.75" customHeight="1">
      <c r="A69" s="804" t="str">
        <f>IF(B69&lt;&gt;"",IF(AND(B69&gt;=_TM1,B69&lt;=_TM2,OR(TH!L69="1111",TH!M69="1111")),TH!D69,""),"")</f>
        <v/>
      </c>
      <c r="B69" s="36">
        <f t="shared" si="4"/>
        <v>1</v>
      </c>
      <c r="C69" s="189">
        <f t="shared" si="5"/>
        <v>42030</v>
      </c>
      <c r="D69" s="189" t="s">
        <v>1345</v>
      </c>
      <c r="E69" s="189">
        <v>42030</v>
      </c>
      <c r="F69" s="922" t="s">
        <v>423</v>
      </c>
      <c r="G69" s="813" t="s">
        <v>542</v>
      </c>
      <c r="H69" s="191" t="s">
        <v>970</v>
      </c>
      <c r="I69" s="243"/>
      <c r="J69" s="243"/>
      <c r="K69" s="573">
        <v>4796880</v>
      </c>
      <c r="L69" s="574" t="s">
        <v>47</v>
      </c>
      <c r="M69" s="574" t="s">
        <v>250</v>
      </c>
      <c r="N69" s="51" t="str">
        <f>IF(AND('331-CT'!$E$7=TH!H69,OR(L69="331",M69="331")),"331",IF(AND(OR(L69="131",M69="131"),H69='131-CT'!$E$7),"131",""))</f>
        <v/>
      </c>
      <c r="O69" s="51" t="str">
        <f>IF(AND($B69&gt;='111'!$N$11,$B69&lt;='111'!$O$11,OR($L69=$O$7,$M69=$O$7)),"x","")</f>
        <v/>
      </c>
      <c r="P69" s="51" t="str">
        <f>IF(AND($L69=$O$7,$B69&lt;'111'!$N$11),"x","")</f>
        <v>x</v>
      </c>
      <c r="Q69" s="51" t="str">
        <f>IF(AND($M69=$O$7,$B69&lt;'111'!$N$11),"x","")</f>
        <v/>
      </c>
      <c r="R69" s="51" t="str">
        <f>IF(ISERROR(FIND('112'!$M$9,G69,1)),"",IF((AND(FIND('112'!$M$9,G69,1)&gt;=1,$B69&gt;='112'!$N$8,$B69&lt;='112'!$O$8,OR($L69='112'!$I$6,$M69='112'!$I$6))),"x",""))</f>
        <v/>
      </c>
      <c r="S69" s="51" t="str">
        <f>IF(ISERROR(FIND('112'!$M$9,G69,1)),"",IF((AND(LEFT(G69,2)=LEFT('112'!$M$9,2),B69&lt;'112'!$N$8,$L69='112'!$I$6)),"x",""))</f>
        <v/>
      </c>
      <c r="T69" s="51" t="str">
        <f>IF(ISERROR(FIND('112'!$M$9,G69,1)),"",IF((AND(RIGHT(G69,2)=RIGHT('112'!$M$9,2),B69&lt;'112'!$N$8,$M69='112'!$I$6)),"x",""))</f>
        <v/>
      </c>
      <c r="U69" s="51" t="str">
        <f>IF(AND(L69="154",'154'!$O$5&lt;=B69,'154'!$P$5&gt;=B69),"154",IF(AND(L69="632",'632'!$L$5&lt;=B69,'632'!$M$5&gt;=B69),"632",IF(AND(L69="642",'642'!$N$5&lt;=B69,'642'!$O$5&gt;=B69),"642",IF(AND(L69="641",'641'!$N$5&lt;=B69,'641'!$O$5&gt;=B69),"641",""))))</f>
        <v/>
      </c>
      <c r="V69" s="51" t="str">
        <f>IF(OR(TH!L69=TH!$V$7,M69=TH!$V$7),"x","")</f>
        <v/>
      </c>
      <c r="W69" s="51" t="str">
        <f>IF(AND(B69&gt;='IN-NX'!$P$3,B69&lt;='IN-NX'!$Q$3,'IN-NX'!$D$7=D69,OR(LEFT(L69,2)="15",AND(LEFT(M69,2)&lt;&gt;"15",LEFT(M69,2)&lt;&gt;"33"))),"x","")</f>
        <v/>
      </c>
      <c r="X69" s="51" t="str">
        <f>IF(AND(OR(LEFT(TH!L69,2)="15",LEFT(TH!M69,2)="15"),'152-CT'!$J$8=TH!F69),"x","")</f>
        <v/>
      </c>
      <c r="Y69" s="51" t="str">
        <f>IF(AND(OR(LEFT(TH!L69,2)="15",LEFT(TH!M69,2)="15"),TK!$E$7=TH!F69),"x","")</f>
        <v/>
      </c>
      <c r="Z69" s="51" t="str">
        <f>IF(AND(B69&lt;=NKC!$N$8,B69&gt;=NKC!$M$8),"x","")</f>
        <v/>
      </c>
      <c r="AA69" s="803"/>
      <c r="AB69" s="565"/>
      <c r="AD69" s="565"/>
    </row>
    <row r="70" spans="1:31" ht="15.75" customHeight="1">
      <c r="A70" s="804" t="str">
        <f>IF(B70&lt;&gt;"",IF(AND(B70&gt;=_TM1,B70&lt;=_TM2,OR(TH!L70="1111",TH!M70="1111")),TH!D70,""),"")</f>
        <v/>
      </c>
      <c r="B70" s="36">
        <f t="shared" si="4"/>
        <v>1</v>
      </c>
      <c r="C70" s="189">
        <f t="shared" si="5"/>
        <v>42031</v>
      </c>
      <c r="D70" s="189" t="s">
        <v>1293</v>
      </c>
      <c r="E70" s="189">
        <v>42031</v>
      </c>
      <c r="F70" s="922" t="s">
        <v>1181</v>
      </c>
      <c r="G70" s="813" t="s">
        <v>971</v>
      </c>
      <c r="H70" s="191" t="s">
        <v>972</v>
      </c>
      <c r="I70" s="243">
        <v>309</v>
      </c>
      <c r="J70" s="243">
        <v>6000</v>
      </c>
      <c r="K70" s="573">
        <f>ROUND(I70*J70,0)</f>
        <v>1854000</v>
      </c>
      <c r="L70" s="574" t="s">
        <v>250</v>
      </c>
      <c r="M70" s="574" t="s">
        <v>164</v>
      </c>
      <c r="N70" s="51" t="str">
        <f>IF(AND('331-CT'!$E$7=TH!H70,OR(L70="331",M70="331")),"331",IF(AND(OR(L70="131",M70="131"),H70='131-CT'!$E$7),"131",""))</f>
        <v/>
      </c>
      <c r="O70" s="51" t="str">
        <f>IF(AND($B70&gt;='111'!$N$11,$B70&lt;='111'!$O$11,OR($L70=$O$7,$M70=$O$7)),"x","")</f>
        <v/>
      </c>
      <c r="P70" s="51" t="str">
        <f>IF(AND($L70=$O$7,$B70&lt;'111'!$N$11),"x","")</f>
        <v/>
      </c>
      <c r="Q70" s="51" t="str">
        <f>IF(AND($M70=$O$7,$B70&lt;'111'!$N$11),"x","")</f>
        <v/>
      </c>
      <c r="R70" s="51" t="str">
        <f>IF(ISERROR(FIND('112'!$M$9,G70,1)),"",IF((AND(FIND('112'!$M$9,G70,1)&gt;=1,$B70&gt;='112'!$N$8,$B70&lt;='112'!$O$8,OR($L70='112'!$I$6,$M70='112'!$I$6))),"x",""))</f>
        <v/>
      </c>
      <c r="S70" s="51" t="str">
        <f>IF(ISERROR(FIND('112'!$M$9,G70,1)),"",IF((AND(LEFT(G70,2)=LEFT('112'!$M$9,2),B70&lt;'112'!$N$8,$L70='112'!$I$6)),"x",""))</f>
        <v/>
      </c>
      <c r="T70" s="51" t="str">
        <f>IF(ISERROR(FIND('112'!$M$9,G70,1)),"",IF((AND(RIGHT(G70,2)=RIGHT('112'!$M$9,2),B70&lt;'112'!$N$8,$M70='112'!$I$6)),"x",""))</f>
        <v/>
      </c>
      <c r="U70" s="51" t="str">
        <f>IF(AND(L70="154",'154'!$O$5&lt;=B70,'154'!$P$5&gt;=B70),"154",IF(AND(L70="632",'632'!$L$5&lt;=B70,'632'!$M$5&gt;=B70),"632",IF(AND(L70="642",'642'!$N$5&lt;=B70,'642'!$O$5&gt;=B70),"642",IF(AND(L70="641",'641'!$N$5&lt;=B70,'641'!$O$5&gt;=B70),"641",""))))</f>
        <v/>
      </c>
      <c r="V70" s="51" t="str">
        <f>IF(OR(TH!L70=TH!$V$7,M70=TH!$V$7),"x","")</f>
        <v/>
      </c>
      <c r="W70" s="51" t="str">
        <f>IF(AND(B70&gt;='IN-NX'!$P$3,B70&lt;='IN-NX'!$Q$3,'IN-NX'!$D$7=D70,OR(LEFT(L70,2)="15",AND(LEFT(M70,2)&lt;&gt;"15",LEFT(M70,2)&lt;&gt;"33"))),"x","")</f>
        <v/>
      </c>
      <c r="X70" s="51" t="str">
        <f>IF(AND(OR(LEFT(TH!L70,2)="15",LEFT(TH!M70,2)="15"),'152-CT'!$J$8=TH!F70),"x","")</f>
        <v/>
      </c>
      <c r="Y70" s="51" t="str">
        <f>IF(AND(OR(LEFT(TH!L70,2)="15",LEFT(TH!M70,2)="15"),TK!$E$7=TH!F70),"x","")</f>
        <v/>
      </c>
      <c r="Z70" s="51" t="str">
        <f>IF(AND(B70&lt;=NKC!$N$8,B70&gt;=NKC!$M$8),"x","")</f>
        <v/>
      </c>
      <c r="AA70" s="803"/>
      <c r="AB70" s="565"/>
    </row>
    <row r="71" spans="1:31" ht="15.75" customHeight="1">
      <c r="A71" s="804" t="str">
        <f>IF(B71&lt;&gt;"",IF(AND(B71&gt;=_TM1,B71&lt;=_TM2,OR(TH!L71="1111",TH!M71="1111")),TH!D71,""),"")</f>
        <v/>
      </c>
      <c r="B71" s="36">
        <f t="shared" si="4"/>
        <v>1</v>
      </c>
      <c r="C71" s="189">
        <f t="shared" si="5"/>
        <v>42031</v>
      </c>
      <c r="D71" s="189" t="s">
        <v>1293</v>
      </c>
      <c r="E71" s="189">
        <v>42031</v>
      </c>
      <c r="F71" s="922" t="s">
        <v>962</v>
      </c>
      <c r="G71" s="813" t="s">
        <v>971</v>
      </c>
      <c r="H71" s="191" t="s">
        <v>972</v>
      </c>
      <c r="I71" s="243"/>
      <c r="J71" s="243"/>
      <c r="K71" s="573">
        <v>185400</v>
      </c>
      <c r="L71" s="574" t="s">
        <v>250</v>
      </c>
      <c r="M71" s="574" t="s">
        <v>352</v>
      </c>
      <c r="N71" s="51" t="str">
        <f>IF(AND('331-CT'!$E$7=TH!H71,OR(L71="331",M71="331")),"331",IF(AND(OR(L71="131",M71="131"),H71='131-CT'!$E$7),"131",""))</f>
        <v/>
      </c>
      <c r="O71" s="51" t="str">
        <f>IF(AND($B71&gt;='111'!$N$11,$B71&lt;='111'!$O$11,OR($L71=$O$7,$M71=$O$7)),"x","")</f>
        <v/>
      </c>
      <c r="P71" s="51" t="str">
        <f>IF(AND($L71=$O$7,$B71&lt;'111'!$N$11),"x","")</f>
        <v/>
      </c>
      <c r="Q71" s="51" t="str">
        <f>IF(AND($M71=$O$7,$B71&lt;'111'!$N$11),"x","")</f>
        <v/>
      </c>
      <c r="R71" s="51" t="str">
        <f>IF(ISERROR(FIND('112'!$M$9,G71,1)),"",IF((AND(FIND('112'!$M$9,G71,1)&gt;=1,$B71&gt;='112'!$N$8,$B71&lt;='112'!$O$8,OR($L71='112'!$I$6,$M71='112'!$I$6))),"x",""))</f>
        <v/>
      </c>
      <c r="S71" s="51" t="str">
        <f>IF(ISERROR(FIND('112'!$M$9,G71,1)),"",IF((AND(LEFT(G71,2)=LEFT('112'!$M$9,2),B71&lt;'112'!$N$8,$L71='112'!$I$6)),"x",""))</f>
        <v/>
      </c>
      <c r="T71" s="51" t="str">
        <f>IF(ISERROR(FIND('112'!$M$9,G71,1)),"",IF((AND(RIGHT(G71,2)=RIGHT('112'!$M$9,2),B71&lt;'112'!$N$8,$M71='112'!$I$6)),"x",""))</f>
        <v/>
      </c>
      <c r="U71" s="51" t="str">
        <f>IF(AND(L71="154",'154'!$O$5&lt;=B71,'154'!$P$5&gt;=B71),"154",IF(AND(L71="632",'632'!$L$5&lt;=B71,'632'!$M$5&gt;=B71),"632",IF(AND(L71="642",'642'!$N$5&lt;=B71,'642'!$O$5&gt;=B71),"642",IF(AND(L71="641",'641'!$N$5&lt;=B71,'641'!$O$5&gt;=B71),"641",""))))</f>
        <v/>
      </c>
      <c r="V71" s="51" t="str">
        <f>IF(OR(TH!L71=TH!$V$7,M71=TH!$V$7),"x","")</f>
        <v/>
      </c>
      <c r="W71" s="51" t="str">
        <f>IF(AND(B71&gt;='IN-NX'!$P$3,B71&lt;='IN-NX'!$Q$3,'IN-NX'!$D$7=D71,OR(LEFT(L71,2)="15",AND(LEFT(M71,2)&lt;&gt;"15",LEFT(M71,2)&lt;&gt;"33"))),"x","")</f>
        <v/>
      </c>
      <c r="X71" s="51" t="str">
        <f>IF(AND(OR(LEFT(TH!L71,2)="15",LEFT(TH!M71,2)="15"),'152-CT'!$J$8=TH!F71),"x","")</f>
        <v/>
      </c>
      <c r="Y71" s="51" t="str">
        <f>IF(AND(OR(LEFT(TH!L71,2)="15",LEFT(TH!M71,2)="15"),TK!$E$7=TH!F71),"x","")</f>
        <v/>
      </c>
      <c r="Z71" s="51" t="str">
        <f>IF(AND(B71&lt;=NKC!$N$8,B71&gt;=NKC!$M$8),"x","")</f>
        <v/>
      </c>
      <c r="AA71" s="803"/>
      <c r="AB71" s="565"/>
      <c r="AD71" s="565"/>
    </row>
    <row r="72" spans="1:31" ht="15.75" customHeight="1">
      <c r="A72" s="804" t="str">
        <f>IF(B72&lt;&gt;"",IF(AND(B72&gt;=_TM1,B72&lt;=_TM2,OR(TH!L72="1111",TH!M72="1111")),TH!D72,""),"")</f>
        <v/>
      </c>
      <c r="B72" s="36">
        <f t="shared" si="4"/>
        <v>1</v>
      </c>
      <c r="C72" s="189">
        <f t="shared" si="5"/>
        <v>42031</v>
      </c>
      <c r="D72" s="189" t="s">
        <v>1346</v>
      </c>
      <c r="E72" s="189">
        <v>42031</v>
      </c>
      <c r="F72" s="922" t="s">
        <v>423</v>
      </c>
      <c r="G72" s="813" t="s">
        <v>971</v>
      </c>
      <c r="H72" s="191" t="s">
        <v>972</v>
      </c>
      <c r="I72" s="243"/>
      <c r="J72" s="243"/>
      <c r="K72" s="573">
        <f>K70+K71</f>
        <v>2039400</v>
      </c>
      <c r="L72" s="574" t="s">
        <v>47</v>
      </c>
      <c r="M72" s="574" t="s">
        <v>250</v>
      </c>
      <c r="N72" s="51" t="str">
        <f>IF(AND('331-CT'!$E$7=TH!H72,OR(L72="331",M72="331")),"331",IF(AND(OR(L72="131",M72="131"),H72='131-CT'!$E$7),"131",""))</f>
        <v/>
      </c>
      <c r="O72" s="51" t="str">
        <f>IF(AND($B72&gt;='111'!$N$11,$B72&lt;='111'!$O$11,OR($L72=$O$7,$M72=$O$7)),"x","")</f>
        <v/>
      </c>
      <c r="P72" s="51" t="str">
        <f>IF(AND($L72=$O$7,$B72&lt;'111'!$N$11),"x","")</f>
        <v>x</v>
      </c>
      <c r="Q72" s="51" t="str">
        <f>IF(AND($M72=$O$7,$B72&lt;'111'!$N$11),"x","")</f>
        <v/>
      </c>
      <c r="R72" s="51" t="str">
        <f>IF(ISERROR(FIND('112'!$M$9,G72,1)),"",IF((AND(FIND('112'!$M$9,G72,1)&gt;=1,$B72&gt;='112'!$N$8,$B72&lt;='112'!$O$8,OR($L72='112'!$I$6,$M72='112'!$I$6))),"x",""))</f>
        <v/>
      </c>
      <c r="S72" s="51" t="str">
        <f>IF(ISERROR(FIND('112'!$M$9,G72,1)),"",IF((AND(LEFT(G72,2)=LEFT('112'!$M$9,2),B72&lt;'112'!$N$8,$L72='112'!$I$6)),"x",""))</f>
        <v/>
      </c>
      <c r="T72" s="51" t="str">
        <f>IF(ISERROR(FIND('112'!$M$9,G72,1)),"",IF((AND(RIGHT(G72,2)=RIGHT('112'!$M$9,2),B72&lt;'112'!$N$8,$M72='112'!$I$6)),"x",""))</f>
        <v/>
      </c>
      <c r="U72" s="51" t="str">
        <f>IF(AND(L72="154",'154'!$O$5&lt;=B72,'154'!$P$5&gt;=B72),"154",IF(AND(L72="632",'632'!$L$5&lt;=B72,'632'!$M$5&gt;=B72),"632",IF(AND(L72="642",'642'!$N$5&lt;=B72,'642'!$O$5&gt;=B72),"642",IF(AND(L72="641",'641'!$N$5&lt;=B72,'641'!$O$5&gt;=B72),"641",""))))</f>
        <v/>
      </c>
      <c r="V72" s="51" t="str">
        <f>IF(OR(TH!L72=TH!$V$7,M72=TH!$V$7),"x","")</f>
        <v/>
      </c>
      <c r="W72" s="51" t="str">
        <f>IF(AND(B72&gt;='IN-NX'!$P$3,B72&lt;='IN-NX'!$Q$3,'IN-NX'!$D$7=D72,OR(LEFT(L72,2)="15",AND(LEFT(M72,2)&lt;&gt;"15",LEFT(M72,2)&lt;&gt;"33"))),"x","")</f>
        <v/>
      </c>
      <c r="X72" s="51" t="str">
        <f>IF(AND(OR(LEFT(TH!L72,2)="15",LEFT(TH!M72,2)="15"),'152-CT'!$J$8=TH!F72),"x","")</f>
        <v/>
      </c>
      <c r="Y72" s="51" t="str">
        <f>IF(AND(OR(LEFT(TH!L72,2)="15",LEFT(TH!M72,2)="15"),TK!$E$7=TH!F72),"x","")</f>
        <v/>
      </c>
      <c r="Z72" s="51" t="str">
        <f>IF(AND(B72&lt;=NKC!$N$8,B72&gt;=NKC!$M$8),"x","")</f>
        <v/>
      </c>
      <c r="AA72" s="803"/>
      <c r="AB72" s="565"/>
      <c r="AD72" s="565"/>
    </row>
    <row r="73" spans="1:31" ht="15.75" customHeight="1">
      <c r="A73" s="804" t="str">
        <f>IF(B73&lt;&gt;"",IF(AND(B73&gt;=_TM1,B73&lt;=_TM2,OR(TH!L73="1111",TH!M73="1111")),TH!D73,""),"")</f>
        <v/>
      </c>
      <c r="B73" s="36">
        <f t="shared" si="4"/>
        <v>1</v>
      </c>
      <c r="C73" s="189">
        <f t="shared" si="5"/>
        <v>42032</v>
      </c>
      <c r="D73" s="189" t="s">
        <v>421</v>
      </c>
      <c r="E73" s="182">
        <v>42032</v>
      </c>
      <c r="F73" s="922" t="s">
        <v>423</v>
      </c>
      <c r="G73" s="811" t="s">
        <v>415</v>
      </c>
      <c r="H73" s="202" t="s">
        <v>424</v>
      </c>
      <c r="I73" s="243"/>
      <c r="J73" s="243"/>
      <c r="K73" s="573">
        <v>13096573</v>
      </c>
      <c r="L73" s="192" t="s">
        <v>24</v>
      </c>
      <c r="M73" s="192" t="s">
        <v>250</v>
      </c>
      <c r="N73" s="51" t="str">
        <f>IF(AND('331-CT'!$E$7=TH!H73,OR(L73="331",M73="331")),"331",IF(AND(OR(L73="131",M73="131"),H73='131-CT'!$E$7),"131",""))</f>
        <v/>
      </c>
      <c r="O73" s="51" t="str">
        <f>IF(AND($B73&gt;='111'!$N$11,$B73&lt;='111'!$O$11,OR($L73=$O$7,$M73=$O$7)),"x","")</f>
        <v/>
      </c>
      <c r="P73" s="51" t="str">
        <f>IF(AND($L73=$O$7,$B73&lt;'111'!$N$11),"x","")</f>
        <v/>
      </c>
      <c r="Q73" s="51" t="str">
        <f>IF(AND($M73=$O$7,$B73&lt;'111'!$N$11),"x","")</f>
        <v/>
      </c>
      <c r="R73" s="51" t="str">
        <f>IF(ISERROR(FIND('112'!$M$9,G73,1)),"",IF((AND(FIND('112'!$M$9,G73,1)&gt;=1,$B73&gt;='112'!$N$8,$B73&lt;='112'!$O$8,OR($L73='112'!$I$6,$M73='112'!$I$6))),"x",""))</f>
        <v>x</v>
      </c>
      <c r="S73" s="51" t="str">
        <f>IF(ISERROR(FIND('112'!$M$9,G73,1)),"",IF((AND(LEFT(G73,2)=LEFT('112'!$M$9,2),B73&lt;'112'!$N$8,$L73='112'!$I$6)),"x",""))</f>
        <v/>
      </c>
      <c r="T73" s="51" t="str">
        <f>IF(ISERROR(FIND('112'!$M$9,G73,1)),"",IF((AND(RIGHT(G73,2)=RIGHT('112'!$M$9,2),B73&lt;'112'!$N$8,$M73='112'!$I$6)),"x",""))</f>
        <v/>
      </c>
      <c r="U73" s="51" t="str">
        <f>IF(AND(L73="154",'154'!$O$5&lt;=B73,'154'!$P$5&gt;=B73),"154",IF(AND(L73="632",'632'!$L$5&lt;=B73,'632'!$M$5&gt;=B73),"632",IF(AND(L73="642",'642'!$N$5&lt;=B73,'642'!$O$5&gt;=B73),"642",IF(AND(L73="641",'641'!$N$5&lt;=B73,'641'!$O$5&gt;=B73),"641",""))))</f>
        <v/>
      </c>
      <c r="V73" s="51" t="str">
        <f>IF(OR(TH!L73=TH!$V$7,M73=TH!$V$7),"x","")</f>
        <v/>
      </c>
      <c r="W73" s="51" t="str">
        <f>IF(AND(B73&gt;='IN-NX'!$P$3,B73&lt;='IN-NX'!$Q$3,'IN-NX'!$D$7=D73,OR(LEFT(L73,2)="15",AND(LEFT(M73,2)&lt;&gt;"15",LEFT(M73,2)&lt;&gt;"33"))),"x","")</f>
        <v/>
      </c>
      <c r="X73" s="51" t="str">
        <f>IF(AND(OR(LEFT(TH!L73,2)="15",LEFT(TH!M73,2)="15"),'152-CT'!$J$8=TH!F73),"x","")</f>
        <v/>
      </c>
      <c r="Y73" s="51" t="str">
        <f>IF(AND(OR(LEFT(TH!L73,2)="15",LEFT(TH!M73,2)="15"),TK!$E$7=TH!F73),"x","")</f>
        <v/>
      </c>
      <c r="Z73" s="51" t="str">
        <f>IF(AND(B73&lt;=NKC!$N$8,B73&gt;=NKC!$M$8),"x","")</f>
        <v/>
      </c>
      <c r="AA73" s="803"/>
      <c r="AB73" s="565"/>
    </row>
    <row r="74" spans="1:31" ht="15.75" customHeight="1">
      <c r="A74" s="804" t="str">
        <f>IF(B74&lt;&gt;"",IF(AND(B74&gt;=_TM1,B74&lt;=_TM2,OR(TH!L74="1111",TH!M74="1111")),TH!D74,""),"")</f>
        <v/>
      </c>
      <c r="B74" s="36">
        <f t="shared" si="4"/>
        <v>1</v>
      </c>
      <c r="C74" s="189">
        <f t="shared" si="5"/>
        <v>42033</v>
      </c>
      <c r="D74" s="189" t="s">
        <v>1347</v>
      </c>
      <c r="E74" s="182">
        <v>42033</v>
      </c>
      <c r="F74" s="187" t="s">
        <v>427</v>
      </c>
      <c r="G74" s="811" t="s">
        <v>415</v>
      </c>
      <c r="H74" s="7" t="s">
        <v>428</v>
      </c>
      <c r="I74" s="243"/>
      <c r="J74" s="243"/>
      <c r="K74" s="38">
        <v>13000000</v>
      </c>
      <c r="L74" s="192" t="s">
        <v>47</v>
      </c>
      <c r="M74" s="192" t="s">
        <v>24</v>
      </c>
      <c r="N74" s="51" t="str">
        <f>IF(AND('331-CT'!$E$7=TH!H74,OR(L74="331",M74="331")),"331",IF(AND(OR(L74="131",M74="131"),H74='131-CT'!$E$7),"131",""))</f>
        <v/>
      </c>
      <c r="O74" s="51" t="str">
        <f>IF(AND($B74&gt;='111'!$N$11,$B74&lt;='111'!$O$11,OR($L74=$O$7,$M74=$O$7)),"x","")</f>
        <v/>
      </c>
      <c r="P74" s="51" t="str">
        <f>IF(AND($L74=$O$7,$B74&lt;'111'!$N$11),"x","")</f>
        <v>x</v>
      </c>
      <c r="Q74" s="51" t="str">
        <f>IF(AND($M74=$O$7,$B74&lt;'111'!$N$11),"x","")</f>
        <v/>
      </c>
      <c r="R74" s="51" t="str">
        <f>IF(ISERROR(FIND('112'!$M$9,G74,1)),"",IF((AND(FIND('112'!$M$9,G74,1)&gt;=1,$B74&gt;='112'!$N$8,$B74&lt;='112'!$O$8,OR($L74='112'!$I$6,$M74='112'!$I$6))),"x",""))</f>
        <v>x</v>
      </c>
      <c r="S74" s="51" t="str">
        <f>IF(ISERROR(FIND('112'!$M$9,G74,1)),"",IF((AND(LEFT(G74,2)=LEFT('112'!$M$9,2),B74&lt;'112'!$N$8,$L74='112'!$I$6)),"x",""))</f>
        <v/>
      </c>
      <c r="T74" s="51" t="str">
        <f>IF(ISERROR(FIND('112'!$M$9,G74,1)),"",IF((AND(RIGHT(G74,2)=RIGHT('112'!$M$9,2),B74&lt;'112'!$N$8,$M74='112'!$I$6)),"x",""))</f>
        <v/>
      </c>
      <c r="U74" s="51" t="str">
        <f>IF(AND(L74="154",'154'!$O$5&lt;=B74,'154'!$P$5&gt;=B74),"154",IF(AND(L74="632",'632'!$L$5&lt;=B74,'632'!$M$5&gt;=B74),"632",IF(AND(L74="642",'642'!$N$5&lt;=B74,'642'!$O$5&gt;=B74),"642",IF(AND(L74="641",'641'!$N$5&lt;=B74,'641'!$O$5&gt;=B74),"641",""))))</f>
        <v/>
      </c>
      <c r="V74" s="51" t="str">
        <f>IF(OR(TH!L74=TH!$V$7,M74=TH!$V$7),"x","")</f>
        <v/>
      </c>
      <c r="W74" s="51" t="str">
        <f>IF(AND(B74&gt;='IN-NX'!$P$3,B74&lt;='IN-NX'!$Q$3,'IN-NX'!$D$7=D74,OR(LEFT(L74,2)="15",AND(LEFT(M74,2)&lt;&gt;"15",LEFT(M74,2)&lt;&gt;"33"))),"x","")</f>
        <v/>
      </c>
      <c r="X74" s="51" t="str">
        <f>IF(AND(OR(LEFT(TH!L74,2)="15",LEFT(TH!M74,2)="15"),'152-CT'!$J$8=TH!F74),"x","")</f>
        <v/>
      </c>
      <c r="Y74" s="51" t="str">
        <f>IF(AND(OR(LEFT(TH!L74,2)="15",LEFT(TH!M74,2)="15"),TK!$E$7=TH!F74),"x","")</f>
        <v/>
      </c>
      <c r="Z74" s="51" t="str">
        <f>IF(AND(B74&lt;=NKC!$N$8,B74&gt;=NKC!$M$8),"x","")</f>
        <v/>
      </c>
      <c r="AA74" s="803"/>
      <c r="AB74" s="565"/>
    </row>
    <row r="75" spans="1:31" ht="15.75" customHeight="1">
      <c r="A75" s="804" t="str">
        <f>IF(B75&lt;&gt;"",IF(AND(B75&gt;=_TM1,B75&lt;=_TM2,OR(TH!L75="1111",TH!M75="1111")),TH!D75,""),"")</f>
        <v/>
      </c>
      <c r="B75" s="36">
        <f t="shared" si="4"/>
        <v>1</v>
      </c>
      <c r="C75" s="189">
        <f t="shared" si="5"/>
        <v>42034</v>
      </c>
      <c r="D75" s="189" t="s">
        <v>1294</v>
      </c>
      <c r="E75" s="189">
        <v>42034</v>
      </c>
      <c r="F75" s="922" t="s">
        <v>1182</v>
      </c>
      <c r="G75" s="813" t="s">
        <v>973</v>
      </c>
      <c r="H75" s="202" t="s">
        <v>424</v>
      </c>
      <c r="I75" s="243">
        <v>128</v>
      </c>
      <c r="J75" s="243">
        <v>32200</v>
      </c>
      <c r="K75" s="573">
        <f>ROUND(I75*J75,0)</f>
        <v>4121600</v>
      </c>
      <c r="L75" s="574" t="s">
        <v>250</v>
      </c>
      <c r="M75" s="574" t="s">
        <v>164</v>
      </c>
      <c r="N75" s="51" t="str">
        <f>IF(AND('331-CT'!$E$7=TH!H75,OR(L75="331",M75="331")),"331",IF(AND(OR(L75="131",M75="131"),H75='131-CT'!$E$7),"131",""))</f>
        <v/>
      </c>
      <c r="O75" s="51" t="str">
        <f>IF(AND($B75&gt;='111'!$N$11,$B75&lt;='111'!$O$11,OR($L75=$O$7,$M75=$O$7)),"x","")</f>
        <v/>
      </c>
      <c r="P75" s="51" t="str">
        <f>IF(AND($L75=$O$7,$B75&lt;'111'!$N$11),"x","")</f>
        <v/>
      </c>
      <c r="Q75" s="51" t="str">
        <f>IF(AND($M75=$O$7,$B75&lt;'111'!$N$11),"x","")</f>
        <v/>
      </c>
      <c r="R75" s="51" t="str">
        <f>IF(ISERROR(FIND('112'!$M$9,G75,1)),"",IF((AND(FIND('112'!$M$9,G75,1)&gt;=1,$B75&gt;='112'!$N$8,$B75&lt;='112'!$O$8,OR($L75='112'!$I$6,$M75='112'!$I$6))),"x",""))</f>
        <v/>
      </c>
      <c r="S75" s="51" t="str">
        <f>IF(ISERROR(FIND('112'!$M$9,G75,1)),"",IF((AND(LEFT(G75,2)=LEFT('112'!$M$9,2),B75&lt;'112'!$N$8,$L75='112'!$I$6)),"x",""))</f>
        <v/>
      </c>
      <c r="T75" s="51" t="str">
        <f>IF(ISERROR(FIND('112'!$M$9,G75,1)),"",IF((AND(RIGHT(G75,2)=RIGHT('112'!$M$9,2),B75&lt;'112'!$N$8,$M75='112'!$I$6)),"x",""))</f>
        <v/>
      </c>
      <c r="U75" s="51" t="str">
        <f>IF(AND(L75="154",'154'!$O$5&lt;=B75,'154'!$P$5&gt;=B75),"154",IF(AND(L75="632",'632'!$L$5&lt;=B75,'632'!$M$5&gt;=B75),"632",IF(AND(L75="642",'642'!$N$5&lt;=B75,'642'!$O$5&gt;=B75),"642",IF(AND(L75="641",'641'!$N$5&lt;=B75,'641'!$O$5&gt;=B75),"641",""))))</f>
        <v/>
      </c>
      <c r="V75" s="51" t="str">
        <f>IF(OR(TH!L75=TH!$V$7,M75=TH!$V$7),"x","")</f>
        <v/>
      </c>
      <c r="W75" s="51" t="str">
        <f>IF(AND(B75&gt;='IN-NX'!$P$3,B75&lt;='IN-NX'!$Q$3,'IN-NX'!$D$7=D75,OR(LEFT(L75,2)="15",AND(LEFT(M75,2)&lt;&gt;"15",LEFT(M75,2)&lt;&gt;"33"))),"x","")</f>
        <v/>
      </c>
      <c r="X75" s="51" t="str">
        <f>IF(AND(OR(LEFT(TH!L75,2)="15",LEFT(TH!M75,2)="15"),'152-CT'!$J$8=TH!F75),"x","")</f>
        <v/>
      </c>
      <c r="Y75" s="51" t="str">
        <f>IF(AND(OR(LEFT(TH!L75,2)="15",LEFT(TH!M75,2)="15"),TK!$E$7=TH!F75),"x","")</f>
        <v/>
      </c>
      <c r="Z75" s="51" t="str">
        <f>IF(AND(B75&lt;=NKC!$N$8,B75&gt;=NKC!$M$8),"x","")</f>
        <v/>
      </c>
      <c r="AA75" s="803"/>
      <c r="AB75" s="565"/>
    </row>
    <row r="76" spans="1:31" ht="15.75" customHeight="1">
      <c r="A76" s="804" t="str">
        <f>IF(B76&lt;&gt;"",IF(AND(B76&gt;=_TM1,B76&lt;=_TM2,OR(TH!L76="1111",TH!M76="1111")),TH!D76,""),"")</f>
        <v/>
      </c>
      <c r="B76" s="36">
        <f t="shared" si="4"/>
        <v>1</v>
      </c>
      <c r="C76" s="189">
        <f t="shared" si="5"/>
        <v>42034</v>
      </c>
      <c r="D76" s="189" t="s">
        <v>1294</v>
      </c>
      <c r="E76" s="189">
        <v>42034</v>
      </c>
      <c r="F76" s="922" t="s">
        <v>1183</v>
      </c>
      <c r="G76" s="813" t="s">
        <v>973</v>
      </c>
      <c r="H76" s="202" t="s">
        <v>424</v>
      </c>
      <c r="I76" s="243">
        <v>128</v>
      </c>
      <c r="J76" s="243">
        <v>62500</v>
      </c>
      <c r="K76" s="573">
        <f>ROUND(I76*J76,0)</f>
        <v>8000000</v>
      </c>
      <c r="L76" s="574" t="s">
        <v>250</v>
      </c>
      <c r="M76" s="574" t="s">
        <v>164</v>
      </c>
      <c r="N76" s="51" t="str">
        <f>IF(AND('331-CT'!$E$7=TH!H76,OR(L76="331",M76="331")),"331",IF(AND(OR(L76="131",M76="131"),H76='131-CT'!$E$7),"131",""))</f>
        <v/>
      </c>
      <c r="O76" s="51" t="str">
        <f>IF(AND($B76&gt;='111'!$N$11,$B76&lt;='111'!$O$11,OR($L76=$O$7,$M76=$O$7)),"x","")</f>
        <v/>
      </c>
      <c r="P76" s="51" t="str">
        <f>IF(AND($L76=$O$7,$B76&lt;'111'!$N$11),"x","")</f>
        <v/>
      </c>
      <c r="Q76" s="51" t="str">
        <f>IF(AND($M76=$O$7,$B76&lt;'111'!$N$11),"x","")</f>
        <v/>
      </c>
      <c r="R76" s="51" t="str">
        <f>IF(ISERROR(FIND('112'!$M$9,G76,1)),"",IF((AND(FIND('112'!$M$9,G76,1)&gt;=1,$B76&gt;='112'!$N$8,$B76&lt;='112'!$O$8,OR($L76='112'!$I$6,$M76='112'!$I$6))),"x",""))</f>
        <v/>
      </c>
      <c r="S76" s="51" t="str">
        <f>IF(ISERROR(FIND('112'!$M$9,G76,1)),"",IF((AND(LEFT(G76,2)=LEFT('112'!$M$9,2),B76&lt;'112'!$N$8,$L76='112'!$I$6)),"x",""))</f>
        <v/>
      </c>
      <c r="T76" s="51" t="str">
        <f>IF(ISERROR(FIND('112'!$M$9,G76,1)),"",IF((AND(RIGHT(G76,2)=RIGHT('112'!$M$9,2),B76&lt;'112'!$N$8,$M76='112'!$I$6)),"x",""))</f>
        <v/>
      </c>
      <c r="U76" s="51" t="str">
        <f>IF(AND(L76="154",'154'!$O$5&lt;=B76,'154'!$P$5&gt;=B76),"154",IF(AND(L76="632",'632'!$L$5&lt;=B76,'632'!$M$5&gt;=B76),"632",IF(AND(L76="642",'642'!$N$5&lt;=B76,'642'!$O$5&gt;=B76),"642",IF(AND(L76="641",'641'!$N$5&lt;=B76,'641'!$O$5&gt;=B76),"641",""))))</f>
        <v/>
      </c>
      <c r="V76" s="51" t="str">
        <f>IF(OR(TH!L76=TH!$V$7,M76=TH!$V$7),"x","")</f>
        <v/>
      </c>
      <c r="W76" s="51" t="str">
        <f>IF(AND(B76&gt;='IN-NX'!$P$3,B76&lt;='IN-NX'!$Q$3,'IN-NX'!$D$7=D76,OR(LEFT(L76,2)="15",AND(LEFT(M76,2)&lt;&gt;"15",LEFT(M76,2)&lt;&gt;"33"))),"x","")</f>
        <v/>
      </c>
      <c r="X76" s="51" t="str">
        <f>IF(AND(OR(LEFT(TH!L76,2)="15",LEFT(TH!M76,2)="15"),'152-CT'!$J$8=TH!F76),"x","")</f>
        <v/>
      </c>
      <c r="Y76" s="51" t="str">
        <f>IF(AND(OR(LEFT(TH!L76,2)="15",LEFT(TH!M76,2)="15"),TK!$E$7=TH!F76),"x","")</f>
        <v/>
      </c>
      <c r="Z76" s="51" t="str">
        <f>IF(AND(B76&lt;=NKC!$N$8,B76&gt;=NKC!$M$8),"x","")</f>
        <v/>
      </c>
      <c r="AA76" s="803"/>
      <c r="AB76" s="565"/>
    </row>
    <row r="77" spans="1:31" ht="15.75" customHeight="1">
      <c r="A77" s="804" t="str">
        <f>IF(B77&lt;&gt;"",IF(AND(B77&gt;=_TM1,B77&lt;=_TM2,OR(TH!L77="1111",TH!M77="1111")),TH!D77,""),"")</f>
        <v/>
      </c>
      <c r="B77" s="36">
        <f t="shared" si="4"/>
        <v>1</v>
      </c>
      <c r="C77" s="189">
        <f t="shared" si="5"/>
        <v>42034</v>
      </c>
      <c r="D77" s="189" t="s">
        <v>1294</v>
      </c>
      <c r="E77" s="189">
        <v>42034</v>
      </c>
      <c r="F77" s="922" t="s">
        <v>1184</v>
      </c>
      <c r="G77" s="813" t="s">
        <v>973</v>
      </c>
      <c r="H77" s="202" t="s">
        <v>424</v>
      </c>
      <c r="I77" s="243">
        <v>256</v>
      </c>
      <c r="J77" s="243">
        <v>50800</v>
      </c>
      <c r="K77" s="573">
        <f>ROUND(I77*J77,0)</f>
        <v>13004800</v>
      </c>
      <c r="L77" s="574" t="s">
        <v>250</v>
      </c>
      <c r="M77" s="574" t="s">
        <v>164</v>
      </c>
      <c r="N77" s="51" t="str">
        <f>IF(AND('331-CT'!$E$7=TH!H77,OR(L77="331",M77="331")),"331",IF(AND(OR(L77="131",M77="131"),H77='131-CT'!$E$7),"131",""))</f>
        <v/>
      </c>
      <c r="O77" s="51" t="str">
        <f>IF(AND($B77&gt;='111'!$N$11,$B77&lt;='111'!$O$11,OR($L77=$O$7,$M77=$O$7)),"x","")</f>
        <v/>
      </c>
      <c r="P77" s="51" t="str">
        <f>IF(AND($L77=$O$7,$B77&lt;'111'!$N$11),"x","")</f>
        <v/>
      </c>
      <c r="Q77" s="51" t="str">
        <f>IF(AND($M77=$O$7,$B77&lt;'111'!$N$11),"x","")</f>
        <v/>
      </c>
      <c r="R77" s="51" t="str">
        <f>IF(ISERROR(FIND('112'!$M$9,G77,1)),"",IF((AND(FIND('112'!$M$9,G77,1)&gt;=1,$B77&gt;='112'!$N$8,$B77&lt;='112'!$O$8,OR($L77='112'!$I$6,$M77='112'!$I$6))),"x",""))</f>
        <v/>
      </c>
      <c r="S77" s="51" t="str">
        <f>IF(ISERROR(FIND('112'!$M$9,G77,1)),"",IF((AND(LEFT(G77,2)=LEFT('112'!$M$9,2),B77&lt;'112'!$N$8,$L77='112'!$I$6)),"x",""))</f>
        <v/>
      </c>
      <c r="T77" s="51" t="str">
        <f>IF(ISERROR(FIND('112'!$M$9,G77,1)),"",IF((AND(RIGHT(G77,2)=RIGHT('112'!$M$9,2),B77&lt;'112'!$N$8,$M77='112'!$I$6)),"x",""))</f>
        <v/>
      </c>
      <c r="U77" s="51" t="str">
        <f>IF(AND(L77="154",'154'!$O$5&lt;=B77,'154'!$P$5&gt;=B77),"154",IF(AND(L77="632",'632'!$L$5&lt;=B77,'632'!$M$5&gt;=B77),"632",IF(AND(L77="642",'642'!$N$5&lt;=B77,'642'!$O$5&gt;=B77),"642",IF(AND(L77="641",'641'!$N$5&lt;=B77,'641'!$O$5&gt;=B77),"641",""))))</f>
        <v/>
      </c>
      <c r="V77" s="51" t="str">
        <f>IF(OR(TH!L77=TH!$V$7,M77=TH!$V$7),"x","")</f>
        <v/>
      </c>
      <c r="W77" s="51" t="str">
        <f>IF(AND(B77&gt;='IN-NX'!$P$3,B77&lt;='IN-NX'!$Q$3,'IN-NX'!$D$7=D77,OR(LEFT(L77,2)="15",AND(LEFT(M77,2)&lt;&gt;"15",LEFT(M77,2)&lt;&gt;"33"))),"x","")</f>
        <v/>
      </c>
      <c r="X77" s="51" t="str">
        <f>IF(AND(OR(LEFT(TH!L77,2)="15",LEFT(TH!M77,2)="15"),'152-CT'!$J$8=TH!F77),"x","")</f>
        <v/>
      </c>
      <c r="Y77" s="51" t="str">
        <f>IF(AND(OR(LEFT(TH!L77,2)="15",LEFT(TH!M77,2)="15"),TK!$E$7=TH!F77),"x","")</f>
        <v/>
      </c>
      <c r="Z77" s="51" t="str">
        <f>IF(AND(B77&lt;=NKC!$N$8,B77&gt;=NKC!$M$8),"x","")</f>
        <v/>
      </c>
      <c r="AA77" s="803"/>
      <c r="AB77" s="565"/>
    </row>
    <row r="78" spans="1:31" ht="15.75" customHeight="1">
      <c r="A78" s="804" t="str">
        <f>IF(B78&lt;&gt;"",IF(AND(B78&gt;=_TM1,B78&lt;=_TM2,OR(TH!L78="1111",TH!M78="1111")),TH!D78,""),"")</f>
        <v/>
      </c>
      <c r="B78" s="36">
        <f t="shared" si="4"/>
        <v>1</v>
      </c>
      <c r="C78" s="189">
        <f t="shared" si="5"/>
        <v>42034</v>
      </c>
      <c r="D78" s="189" t="s">
        <v>1294</v>
      </c>
      <c r="E78" s="189">
        <v>42034</v>
      </c>
      <c r="F78" s="922" t="s">
        <v>962</v>
      </c>
      <c r="G78" s="813" t="s">
        <v>973</v>
      </c>
      <c r="H78" s="202" t="s">
        <v>424</v>
      </c>
      <c r="I78" s="243"/>
      <c r="J78" s="243"/>
      <c r="K78" s="573">
        <v>2512640</v>
      </c>
      <c r="L78" s="574" t="s">
        <v>250</v>
      </c>
      <c r="M78" s="574" t="s">
        <v>352</v>
      </c>
      <c r="N78" s="51" t="str">
        <f>IF(AND('331-CT'!$E$7=TH!H78,OR(L78="331",M78="331")),"331",IF(AND(OR(L78="131",M78="131"),H78='131-CT'!$E$7),"131",""))</f>
        <v/>
      </c>
      <c r="O78" s="51" t="str">
        <f>IF(AND($B78&gt;='111'!$N$11,$B78&lt;='111'!$O$11,OR($L78=$O$7,$M78=$O$7)),"x","")</f>
        <v/>
      </c>
      <c r="P78" s="51" t="str">
        <f>IF(AND($L78=$O$7,$B78&lt;'111'!$N$11),"x","")</f>
        <v/>
      </c>
      <c r="Q78" s="51" t="str">
        <f>IF(AND($M78=$O$7,$B78&lt;'111'!$N$11),"x","")</f>
        <v/>
      </c>
      <c r="R78" s="51" t="str">
        <f>IF(ISERROR(FIND('112'!$M$9,G78,1)),"",IF((AND(FIND('112'!$M$9,G78,1)&gt;=1,$B78&gt;='112'!$N$8,$B78&lt;='112'!$O$8,OR($L78='112'!$I$6,$M78='112'!$I$6))),"x",""))</f>
        <v/>
      </c>
      <c r="S78" s="51" t="str">
        <f>IF(ISERROR(FIND('112'!$M$9,G78,1)),"",IF((AND(LEFT(G78,2)=LEFT('112'!$M$9,2),B78&lt;'112'!$N$8,$L78='112'!$I$6)),"x",""))</f>
        <v/>
      </c>
      <c r="T78" s="51" t="str">
        <f>IF(ISERROR(FIND('112'!$M$9,G78,1)),"",IF((AND(RIGHT(G78,2)=RIGHT('112'!$M$9,2),B78&lt;'112'!$N$8,$M78='112'!$I$6)),"x",""))</f>
        <v/>
      </c>
      <c r="U78" s="51" t="str">
        <f>IF(AND(L78="154",'154'!$O$5&lt;=B78,'154'!$P$5&gt;=B78),"154",IF(AND(L78="632",'632'!$L$5&lt;=B78,'632'!$M$5&gt;=B78),"632",IF(AND(L78="642",'642'!$N$5&lt;=B78,'642'!$O$5&gt;=B78),"642",IF(AND(L78="641",'641'!$N$5&lt;=B78,'641'!$O$5&gt;=B78),"641",""))))</f>
        <v/>
      </c>
      <c r="V78" s="51" t="str">
        <f>IF(OR(TH!L78=TH!$V$7,M78=TH!$V$7),"x","")</f>
        <v/>
      </c>
      <c r="W78" s="51" t="str">
        <f>IF(AND(B78&gt;='IN-NX'!$P$3,B78&lt;='IN-NX'!$Q$3,'IN-NX'!$D$7=D78,OR(LEFT(L78,2)="15",AND(LEFT(M78,2)&lt;&gt;"15",LEFT(M78,2)&lt;&gt;"33"))),"x","")</f>
        <v/>
      </c>
      <c r="X78" s="51" t="str">
        <f>IF(AND(OR(LEFT(TH!L78,2)="15",LEFT(TH!M78,2)="15"),'152-CT'!$J$8=TH!F78),"x","")</f>
        <v/>
      </c>
      <c r="Y78" s="51" t="str">
        <f>IF(AND(OR(LEFT(TH!L78,2)="15",LEFT(TH!M78,2)="15"),TK!$E$7=TH!F78),"x","")</f>
        <v/>
      </c>
      <c r="Z78" s="51" t="str">
        <f>IF(AND(B78&lt;=NKC!$N$8,B78&gt;=NKC!$M$8),"x","")</f>
        <v/>
      </c>
      <c r="AA78" s="803"/>
      <c r="AB78" s="565"/>
      <c r="AC78" s="565"/>
      <c r="AD78" s="565"/>
    </row>
    <row r="79" spans="1:31" ht="15.75" customHeight="1">
      <c r="A79" s="804" t="str">
        <f>IF(B79&lt;&gt;"",IF(AND(B79&gt;=_TM1,B79&lt;=_TM2,OR(TH!L79="1111",TH!M79="1111")),TH!D79,""),"")</f>
        <v/>
      </c>
      <c r="B79" s="661">
        <f t="shared" si="4"/>
        <v>1</v>
      </c>
      <c r="C79" s="830">
        <f t="shared" si="5"/>
        <v>42034</v>
      </c>
      <c r="D79" s="830" t="s">
        <v>1264</v>
      </c>
      <c r="E79" s="830">
        <v>42034</v>
      </c>
      <c r="F79" s="836" t="s">
        <v>1459</v>
      </c>
      <c r="G79" s="849"/>
      <c r="H79" s="914" t="s">
        <v>428</v>
      </c>
      <c r="I79" s="241"/>
      <c r="J79" s="241"/>
      <c r="K79" s="834">
        <v>5000000</v>
      </c>
      <c r="L79" s="851" t="s">
        <v>83</v>
      </c>
      <c r="M79" s="851" t="s">
        <v>47</v>
      </c>
      <c r="N79" s="51" t="str">
        <f>IF(AND('331-CT'!$E$7=TH!H79,OR(L79="331",M79="331")),"331",IF(AND(OR(L79="131",M79="131"),H79='131-CT'!$E$7),"131",""))</f>
        <v/>
      </c>
      <c r="O79" s="51" t="str">
        <f>IF(AND($B79&gt;='111'!$N$11,$B79&lt;='111'!$O$11,OR($L79=$O$7,$M79=$O$7)),"x","")</f>
        <v/>
      </c>
      <c r="P79" s="51" t="str">
        <f>IF(AND($L79=$O$7,$B79&lt;'111'!$N$11),"x","")</f>
        <v/>
      </c>
      <c r="Q79" s="51" t="str">
        <f>IF(AND($M79=$O$7,$B79&lt;'111'!$N$11),"x","")</f>
        <v>x</v>
      </c>
      <c r="R79" s="51" t="str">
        <f>IF(ISERROR(FIND('112'!$M$9,G79,1)),"",IF((AND(FIND('112'!$M$9,G79,1)&gt;=1,$B79&gt;='112'!$N$8,$B79&lt;='112'!$O$8,OR($L79='112'!$I$6,$M79='112'!$I$6))),"x",""))</f>
        <v/>
      </c>
      <c r="S79" s="51" t="str">
        <f>IF(ISERROR(FIND('112'!$M$9,G79,1)),"",IF((AND(LEFT(G79,2)=LEFT('112'!$M$9,2),B79&lt;'112'!$N$8,$L79='112'!$I$6)),"x",""))</f>
        <v/>
      </c>
      <c r="T79" s="51" t="str">
        <f>IF(ISERROR(FIND('112'!$M$9,G79,1)),"",IF((AND(RIGHT(G79,2)=RIGHT('112'!$M$9,2),B79&lt;'112'!$N$8,$M79='112'!$I$6)),"x",""))</f>
        <v/>
      </c>
      <c r="U79" s="51" t="str">
        <f>IF(AND(L79="154",'154'!$O$5&lt;=B79,'154'!$P$5&gt;=B79),"154",IF(AND(L79="632",'632'!$L$5&lt;=B79,'632'!$M$5&gt;=B79),"632",IF(AND(L79="642",'642'!$N$5&lt;=B79,'642'!$O$5&gt;=B79),"642",IF(AND(L79="641",'641'!$N$5&lt;=B79,'641'!$O$5&gt;=B79),"641",""))))</f>
        <v/>
      </c>
      <c r="V79" s="51" t="str">
        <f>IF(OR(TH!L79=TH!$V$7,M79=TH!$V$7),"x","")</f>
        <v>x</v>
      </c>
      <c r="W79" s="51" t="str">
        <f>IF(AND(B79&gt;='IN-NX'!$P$3,B79&lt;='IN-NX'!$Q$3,'IN-NX'!$D$7=D79,OR(LEFT(L79,2)="15",AND(LEFT(M79,2)&lt;&gt;"15",LEFT(M79,2)&lt;&gt;"33"))),"x","")</f>
        <v/>
      </c>
      <c r="X79" s="51" t="str">
        <f>IF(AND(OR(LEFT(TH!L79,2)="15",LEFT(TH!M79,2)="15"),'152-CT'!$J$8=TH!F79),"x","")</f>
        <v/>
      </c>
      <c r="Y79" s="51" t="str">
        <f>IF(AND(OR(LEFT(TH!L79,2)="15",LEFT(TH!M79,2)="15"),TK!$E$7=TH!F79),"x","")</f>
        <v/>
      </c>
      <c r="Z79" s="51" t="str">
        <f>IF(AND(B79&lt;=NKC!$N$8,B79&gt;=NKC!$M$8),"x","")</f>
        <v/>
      </c>
      <c r="AA79" s="915"/>
      <c r="AB79" s="662"/>
      <c r="AC79" s="916"/>
      <c r="AD79" s="916"/>
      <c r="AE79" s="565"/>
    </row>
    <row r="80" spans="1:31" ht="15.75" customHeight="1">
      <c r="A80" s="804" t="str">
        <f>IF(B80&lt;&gt;"",IF(AND(B80&gt;=_TM1,B80&lt;=_TM2,OR(TH!L80="1111",TH!M80="1111")),TH!D80,""),"")</f>
        <v/>
      </c>
      <c r="B80" s="36">
        <f t="shared" si="4"/>
        <v>1</v>
      </c>
      <c r="C80" s="853">
        <f t="shared" si="5"/>
        <v>42035</v>
      </c>
      <c r="D80" s="853" t="s">
        <v>319</v>
      </c>
      <c r="E80" s="853">
        <v>42035</v>
      </c>
      <c r="F80" s="854" t="s">
        <v>1262</v>
      </c>
      <c r="G80" s="855"/>
      <c r="H80" s="856"/>
      <c r="I80" s="857"/>
      <c r="J80" s="857"/>
      <c r="K80" s="858">
        <v>11680000</v>
      </c>
      <c r="L80" s="859" t="s">
        <v>83</v>
      </c>
      <c r="M80" s="859" t="s">
        <v>252</v>
      </c>
      <c r="N80" s="51" t="str">
        <f>IF(AND('331-CT'!$E$7=TH!H80,OR(L80="331",M80="331")),"331",IF(AND(OR(L80="131",M80="131"),H80='131-CT'!$E$7),"131",""))</f>
        <v/>
      </c>
      <c r="O80" s="51" t="str">
        <f>IF(AND($B80&gt;='111'!$N$11,$B80&lt;='111'!$O$11,OR($L80=$O$7,$M80=$O$7)),"x","")</f>
        <v/>
      </c>
      <c r="P80" s="51" t="str">
        <f>IF(AND($L80=$O$7,$B80&lt;'111'!$N$11),"x","")</f>
        <v/>
      </c>
      <c r="Q80" s="51" t="str">
        <f>IF(AND($M80=$O$7,$B80&lt;'111'!$N$11),"x","")</f>
        <v/>
      </c>
      <c r="R80" s="51" t="str">
        <f>IF(ISERROR(FIND('112'!$M$9,G80,1)),"",IF((AND(FIND('112'!$M$9,G80,1)&gt;=1,$B80&gt;='112'!$N$8,$B80&lt;='112'!$O$8,OR($L80='112'!$I$6,$M80='112'!$I$6))),"x",""))</f>
        <v/>
      </c>
      <c r="S80" s="51" t="str">
        <f>IF(ISERROR(FIND('112'!$M$9,G80,1)),"",IF((AND(LEFT(G80,2)=LEFT('112'!$M$9,2),B80&lt;'112'!$N$8,$L80='112'!$I$6)),"x",""))</f>
        <v/>
      </c>
      <c r="T80" s="51" t="str">
        <f>IF(ISERROR(FIND('112'!$M$9,G80,1)),"",IF((AND(RIGHT(G80,2)=RIGHT('112'!$M$9,2),B80&lt;'112'!$N$8,$M80='112'!$I$6)),"x",""))</f>
        <v/>
      </c>
      <c r="U80" s="51" t="str">
        <f>IF(AND(L80="154",'154'!$O$5&lt;=B80,'154'!$P$5&gt;=B80),"154",IF(AND(L80="632",'632'!$L$5&lt;=B80,'632'!$M$5&gt;=B80),"632",IF(AND(L80="642",'642'!$N$5&lt;=B80,'642'!$O$5&gt;=B80),"642",IF(AND(L80="641",'641'!$N$5&lt;=B80,'641'!$O$5&gt;=B80),"641",""))))</f>
        <v/>
      </c>
      <c r="V80" s="51" t="str">
        <f>IF(OR(TH!L80=TH!$V$7,M80=TH!$V$7),"x","")</f>
        <v>x</v>
      </c>
      <c r="W80" s="51" t="str">
        <f>IF(AND(B80&gt;='IN-NX'!$P$3,B80&lt;='IN-NX'!$Q$3,'IN-NX'!$D$7=D80,OR(LEFT(L80,2)="15",AND(LEFT(M80,2)&lt;&gt;"15",LEFT(M80,2)&lt;&gt;"33"))),"x","")</f>
        <v/>
      </c>
      <c r="X80" s="51" t="str">
        <f>IF(AND(OR(LEFT(TH!L80,2)="15",LEFT(TH!M80,2)="15"),'152-CT'!$J$8=TH!F80),"x","")</f>
        <v/>
      </c>
      <c r="Y80" s="51" t="str">
        <f>IF(AND(OR(LEFT(TH!L80,2)="15",LEFT(TH!M80,2)="15"),TK!$E$7=TH!F80),"x","")</f>
        <v/>
      </c>
      <c r="Z80" s="51" t="str">
        <f>IF(AND(B80&lt;=NKC!$N$8,B80&gt;=NKC!$M$8),"x","")</f>
        <v/>
      </c>
      <c r="AA80" s="860"/>
      <c r="AB80" s="565"/>
      <c r="AE80" s="565"/>
    </row>
    <row r="81" spans="1:31" ht="15.75" customHeight="1">
      <c r="A81" s="804" t="str">
        <f>IF(B81&lt;&gt;"",IF(AND(B81&gt;=_TM1,B81&lt;=_TM2,OR(TH!L81="1111",TH!M81="1111")),TH!D81,""),"")</f>
        <v/>
      </c>
      <c r="B81" s="36">
        <f t="shared" si="4"/>
        <v>1</v>
      </c>
      <c r="C81" s="853">
        <f t="shared" si="5"/>
        <v>42035</v>
      </c>
      <c r="D81" s="853" t="s">
        <v>319</v>
      </c>
      <c r="E81" s="853">
        <v>42035</v>
      </c>
      <c r="F81" s="854" t="s">
        <v>1263</v>
      </c>
      <c r="G81" s="855"/>
      <c r="H81" s="856"/>
      <c r="I81" s="857"/>
      <c r="J81" s="857"/>
      <c r="K81" s="858">
        <v>3020000</v>
      </c>
      <c r="L81" s="859" t="s">
        <v>160</v>
      </c>
      <c r="M81" s="859" t="s">
        <v>252</v>
      </c>
      <c r="N81" s="51" t="str">
        <f>IF(AND('331-CT'!$E$7=TH!H81,OR(L81="331",M81="331")),"331",IF(AND(OR(L81="131",M81="131"),H81='131-CT'!$E$7),"131",""))</f>
        <v/>
      </c>
      <c r="O81" s="51" t="str">
        <f>IF(AND($B81&gt;='111'!$N$11,$B81&lt;='111'!$O$11,OR($L81=$O$7,$M81=$O$7)),"x","")</f>
        <v/>
      </c>
      <c r="P81" s="51" t="str">
        <f>IF(AND($L81=$O$7,$B81&lt;'111'!$N$11),"x","")</f>
        <v/>
      </c>
      <c r="Q81" s="51" t="str">
        <f>IF(AND($M81=$O$7,$B81&lt;'111'!$N$11),"x","")</f>
        <v/>
      </c>
      <c r="R81" s="51" t="str">
        <f>IF(ISERROR(FIND('112'!$M$9,G81,1)),"",IF((AND(FIND('112'!$M$9,G81,1)&gt;=1,$B81&gt;='112'!$N$8,$B81&lt;='112'!$O$8,OR($L81='112'!$I$6,$M81='112'!$I$6))),"x",""))</f>
        <v/>
      </c>
      <c r="S81" s="51" t="str">
        <f>IF(ISERROR(FIND('112'!$M$9,G81,1)),"",IF((AND(LEFT(G81,2)=LEFT('112'!$M$9,2),B81&lt;'112'!$N$8,$L81='112'!$I$6)),"x",""))</f>
        <v/>
      </c>
      <c r="T81" s="51" t="str">
        <f>IF(ISERROR(FIND('112'!$M$9,G81,1)),"",IF((AND(RIGHT(G81,2)=RIGHT('112'!$M$9,2),B81&lt;'112'!$N$8,$M81='112'!$I$6)),"x",""))</f>
        <v/>
      </c>
      <c r="U81" s="51" t="str">
        <f>IF(AND(L81="154",'154'!$O$5&lt;=B81,'154'!$P$5&gt;=B81),"154",IF(AND(L81="632",'632'!$L$5&lt;=B81,'632'!$M$5&gt;=B81),"632",IF(AND(L81="642",'642'!$N$5&lt;=B81,'642'!$O$5&gt;=B81),"642",IF(AND(L81="641",'641'!$N$5&lt;=B81,'641'!$O$5&gt;=B81),"641",""))))</f>
        <v/>
      </c>
      <c r="V81" s="51" t="str">
        <f>IF(OR(TH!L81=TH!$V$7,M81=TH!$V$7),"x","")</f>
        <v/>
      </c>
      <c r="W81" s="51" t="str">
        <f>IF(AND(B81&gt;='IN-NX'!$P$3,B81&lt;='IN-NX'!$Q$3,'IN-NX'!$D$7=D81,OR(LEFT(L81,2)="15",AND(LEFT(M81,2)&lt;&gt;"15",LEFT(M81,2)&lt;&gt;"33"))),"x","")</f>
        <v/>
      </c>
      <c r="X81" s="51" t="str">
        <f>IF(AND(OR(LEFT(TH!L81,2)="15",LEFT(TH!M81,2)="15"),'152-CT'!$J$8=TH!F81),"x","")</f>
        <v/>
      </c>
      <c r="Y81" s="51" t="str">
        <f>IF(AND(OR(LEFT(TH!L81,2)="15",LEFT(TH!M81,2)="15"),TK!$E$7=TH!F81),"x","")</f>
        <v/>
      </c>
      <c r="Z81" s="51" t="str">
        <f>IF(AND(B81&lt;=NKC!$N$8,B81&gt;=NKC!$M$8),"x","")</f>
        <v/>
      </c>
      <c r="AA81" s="860"/>
      <c r="AB81" s="565"/>
      <c r="AE81" s="565"/>
    </row>
    <row r="82" spans="1:31" ht="15.75" customHeight="1">
      <c r="A82" s="804" t="str">
        <f>IF(B82&lt;&gt;"",IF(AND(B82&gt;=_TM1,B82&lt;=_TM2,OR(TH!L82="1111",TH!M82="1111")),TH!D82,""),"")</f>
        <v/>
      </c>
      <c r="B82" s="36">
        <f t="shared" si="4"/>
        <v>1</v>
      </c>
      <c r="C82" s="853">
        <f t="shared" si="5"/>
        <v>42035</v>
      </c>
      <c r="D82" s="861" t="s">
        <v>1348</v>
      </c>
      <c r="E82" s="853">
        <v>42035</v>
      </c>
      <c r="F82" s="854" t="s">
        <v>1265</v>
      </c>
      <c r="G82" s="855"/>
      <c r="H82" s="7" t="s">
        <v>437</v>
      </c>
      <c r="I82" s="857"/>
      <c r="J82" s="857"/>
      <c r="K82" s="858">
        <f>K80+K81</f>
        <v>14700000</v>
      </c>
      <c r="L82" s="859" t="s">
        <v>252</v>
      </c>
      <c r="M82" s="859" t="s">
        <v>47</v>
      </c>
      <c r="N82" s="51" t="str">
        <f>IF(AND('331-CT'!$E$7=TH!H82,OR(L82="331",M82="331")),"331",IF(AND(OR(L82="131",M82="131"),H82='131-CT'!$E$7),"131",""))</f>
        <v/>
      </c>
      <c r="O82" s="51" t="str">
        <f>IF(AND($B82&gt;='111'!$N$11,$B82&lt;='111'!$O$11,OR($L82=$O$7,$M82=$O$7)),"x","")</f>
        <v/>
      </c>
      <c r="P82" s="51" t="str">
        <f>IF(AND($L82=$O$7,$B82&lt;'111'!$N$11),"x","")</f>
        <v/>
      </c>
      <c r="Q82" s="51" t="str">
        <f>IF(AND($M82=$O$7,$B82&lt;'111'!$N$11),"x","")</f>
        <v>x</v>
      </c>
      <c r="R82" s="51" t="str">
        <f>IF(ISERROR(FIND('112'!$M$9,G82,1)),"",IF((AND(FIND('112'!$M$9,G82,1)&gt;=1,$B82&gt;='112'!$N$8,$B82&lt;='112'!$O$8,OR($L82='112'!$I$6,$M82='112'!$I$6))),"x",""))</f>
        <v/>
      </c>
      <c r="S82" s="51" t="str">
        <f>IF(ISERROR(FIND('112'!$M$9,G82,1)),"",IF((AND(LEFT(G82,2)=LEFT('112'!$M$9,2),B82&lt;'112'!$N$8,$L82='112'!$I$6)),"x",""))</f>
        <v/>
      </c>
      <c r="T82" s="51" t="str">
        <f>IF(ISERROR(FIND('112'!$M$9,G82,1)),"",IF((AND(RIGHT(G82,2)=RIGHT('112'!$M$9,2),B82&lt;'112'!$N$8,$M82='112'!$I$6)),"x",""))</f>
        <v/>
      </c>
      <c r="U82" s="51" t="str">
        <f>IF(AND(L82="154",'154'!$O$5&lt;=B82,'154'!$P$5&gt;=B82),"154",IF(AND(L82="632",'632'!$L$5&lt;=B82,'632'!$M$5&gt;=B82),"632",IF(AND(L82="642",'642'!$N$5&lt;=B82,'642'!$O$5&gt;=B82),"642",IF(AND(L82="641",'641'!$N$5&lt;=B82,'641'!$O$5&gt;=B82),"641",""))))</f>
        <v/>
      </c>
      <c r="V82" s="51" t="str">
        <f>IF(OR(TH!L82=TH!$V$7,M82=TH!$V$7),"x","")</f>
        <v/>
      </c>
      <c r="W82" s="51" t="str">
        <f>IF(AND(B82&gt;='IN-NX'!$P$3,B82&lt;='IN-NX'!$Q$3,'IN-NX'!$D$7=D82,OR(LEFT(L82,2)="15",AND(LEFT(M82,2)&lt;&gt;"15",LEFT(M82,2)&lt;&gt;"33"))),"x","")</f>
        <v/>
      </c>
      <c r="X82" s="51" t="str">
        <f>IF(AND(OR(LEFT(TH!L82,2)="15",LEFT(TH!M82,2)="15"),'152-CT'!$J$8=TH!F82),"x","")</f>
        <v/>
      </c>
      <c r="Y82" s="51" t="str">
        <f>IF(AND(OR(LEFT(TH!L82,2)="15",LEFT(TH!M82,2)="15"),TK!$E$7=TH!F82),"x","")</f>
        <v/>
      </c>
      <c r="Z82" s="51" t="str">
        <f>IF(AND(B82&lt;=NKC!$N$8,B82&gt;=NKC!$M$8),"x","")</f>
        <v/>
      </c>
      <c r="AA82" s="860"/>
      <c r="AB82" s="565"/>
      <c r="AE82" s="565"/>
    </row>
    <row r="83" spans="1:31" ht="15.75" customHeight="1">
      <c r="A83" s="804" t="str">
        <f>IF(B83&lt;&gt;"",IF(AND(B83&gt;=_TM1,B83&lt;=_TM2,OR(TH!L83="1111",TH!M83="1111")),TH!D83,""),"")</f>
        <v/>
      </c>
      <c r="B83" s="36">
        <f t="shared" si="4"/>
        <v>1</v>
      </c>
      <c r="C83" s="189">
        <f t="shared" si="5"/>
        <v>42035</v>
      </c>
      <c r="D83" s="189" t="s">
        <v>1349</v>
      </c>
      <c r="E83" s="189">
        <v>42035</v>
      </c>
      <c r="F83" s="922" t="s">
        <v>460</v>
      </c>
      <c r="G83" s="813" t="s">
        <v>459</v>
      </c>
      <c r="H83" s="191" t="s">
        <v>458</v>
      </c>
      <c r="I83" s="243"/>
      <c r="J83" s="243"/>
      <c r="K83" s="573">
        <v>1820400</v>
      </c>
      <c r="L83" s="574" t="s">
        <v>83</v>
      </c>
      <c r="M83" s="574" t="s">
        <v>47</v>
      </c>
      <c r="N83" s="51" t="str">
        <f>IF(AND('331-CT'!$E$7=TH!H83,OR(L83="331",M83="331")),"331",IF(AND(OR(L83="131",M83="131"),H83='131-CT'!$E$7),"131",""))</f>
        <v/>
      </c>
      <c r="O83" s="51" t="str">
        <f>IF(AND($B83&gt;='111'!$N$11,$B83&lt;='111'!$O$11,OR($L83=$O$7,$M83=$O$7)),"x","")</f>
        <v/>
      </c>
      <c r="P83" s="51" t="str">
        <f>IF(AND($L83=$O$7,$B83&lt;'111'!$N$11),"x","")</f>
        <v/>
      </c>
      <c r="Q83" s="51" t="str">
        <f>IF(AND($M83=$O$7,$B83&lt;'111'!$N$11),"x","")</f>
        <v>x</v>
      </c>
      <c r="R83" s="51" t="str">
        <f>IF(ISERROR(FIND('112'!$M$9,G83,1)),"",IF((AND(FIND('112'!$M$9,G83,1)&gt;=1,$B83&gt;='112'!$N$8,$B83&lt;='112'!$O$8,OR($L83='112'!$I$6,$M83='112'!$I$6))),"x",""))</f>
        <v/>
      </c>
      <c r="S83" s="51" t="str">
        <f>IF(ISERROR(FIND('112'!$M$9,G83,1)),"",IF((AND(LEFT(G83,2)=LEFT('112'!$M$9,2),B83&lt;'112'!$N$8,$L83='112'!$I$6)),"x",""))</f>
        <v/>
      </c>
      <c r="T83" s="51" t="str">
        <f>IF(ISERROR(FIND('112'!$M$9,G83,1)),"",IF((AND(RIGHT(G83,2)=RIGHT('112'!$M$9,2),B83&lt;'112'!$N$8,$M83='112'!$I$6)),"x",""))</f>
        <v/>
      </c>
      <c r="U83" s="51" t="str">
        <f>IF(AND(L83="154",'154'!$O$5&lt;=B83,'154'!$P$5&gt;=B83),"154",IF(AND(L83="632",'632'!$L$5&lt;=B83,'632'!$M$5&gt;=B83),"632",IF(AND(L83="642",'642'!$N$5&lt;=B83,'642'!$O$5&gt;=B83),"642",IF(AND(L83="641",'641'!$N$5&lt;=B83,'641'!$O$5&gt;=B83),"641",""))))</f>
        <v/>
      </c>
      <c r="V83" s="51" t="str">
        <f>IF(OR(TH!L83=TH!$V$7,M83=TH!$V$7),"x","")</f>
        <v>x</v>
      </c>
      <c r="W83" s="51" t="str">
        <f>IF(AND(B83&gt;='IN-NX'!$P$3,B83&lt;='IN-NX'!$Q$3,'IN-NX'!$D$7=D83,OR(LEFT(L83,2)="15",AND(LEFT(M83,2)&lt;&gt;"15",LEFT(M83,2)&lt;&gt;"33"))),"x","")</f>
        <v/>
      </c>
      <c r="X83" s="51" t="str">
        <f>IF(AND(OR(LEFT(TH!L83,2)="15",LEFT(TH!M83,2)="15"),'152-CT'!$J$8=TH!F83),"x","")</f>
        <v/>
      </c>
      <c r="Y83" s="51" t="str">
        <f>IF(AND(OR(LEFT(TH!L83,2)="15",LEFT(TH!M83,2)="15"),TK!$E$7=TH!F83),"x","")</f>
        <v/>
      </c>
      <c r="Z83" s="51" t="str">
        <f>IF(AND(B83&lt;=NKC!$N$8,B83&gt;=NKC!$M$8),"x","")</f>
        <v/>
      </c>
      <c r="AA83" s="803"/>
      <c r="AB83" s="565"/>
    </row>
    <row r="84" spans="1:31" ht="15.75" customHeight="1">
      <c r="A84" s="804" t="str">
        <f>IF(B84&lt;&gt;"",IF(AND(B84&gt;=_TM1,B84&lt;=_TM2,OR(TH!L84="1111",TH!M84="1111")),TH!D84,""),"")</f>
        <v/>
      </c>
      <c r="B84" s="36">
        <f t="shared" si="4"/>
        <v>1</v>
      </c>
      <c r="C84" s="189">
        <f t="shared" si="5"/>
        <v>42035</v>
      </c>
      <c r="D84" s="189" t="s">
        <v>1349</v>
      </c>
      <c r="E84" s="189">
        <v>42035</v>
      </c>
      <c r="F84" s="922" t="s">
        <v>461</v>
      </c>
      <c r="G84" s="813" t="s">
        <v>459</v>
      </c>
      <c r="H84" s="191" t="s">
        <v>458</v>
      </c>
      <c r="I84" s="243"/>
      <c r="J84" s="243"/>
      <c r="K84" s="573">
        <v>182040</v>
      </c>
      <c r="L84" s="574" t="s">
        <v>9</v>
      </c>
      <c r="M84" s="574" t="s">
        <v>47</v>
      </c>
      <c r="N84" s="51" t="str">
        <f>IF(AND('331-CT'!$E$7=TH!H84,OR(L84="331",M84="331")),"331",IF(AND(OR(L84="131",M84="131"),H84='131-CT'!$E$7),"131",""))</f>
        <v/>
      </c>
      <c r="O84" s="51" t="str">
        <f>IF(AND($B84&gt;='111'!$N$11,$B84&lt;='111'!$O$11,OR($L84=$O$7,$M84=$O$7)),"x","")</f>
        <v/>
      </c>
      <c r="P84" s="51" t="str">
        <f>IF(AND($L84=$O$7,$B84&lt;'111'!$N$11),"x","")</f>
        <v/>
      </c>
      <c r="Q84" s="51" t="str">
        <f>IF(AND($M84=$O$7,$B84&lt;'111'!$N$11),"x","")</f>
        <v>x</v>
      </c>
      <c r="R84" s="51" t="str">
        <f>IF(ISERROR(FIND('112'!$M$9,G84,1)),"",IF((AND(FIND('112'!$M$9,G84,1)&gt;=1,$B84&gt;='112'!$N$8,$B84&lt;='112'!$O$8,OR($L84='112'!$I$6,$M84='112'!$I$6))),"x",""))</f>
        <v/>
      </c>
      <c r="S84" s="51" t="str">
        <f>IF(ISERROR(FIND('112'!$M$9,G84,1)),"",IF((AND(LEFT(G84,2)=LEFT('112'!$M$9,2),B84&lt;'112'!$N$8,$L84='112'!$I$6)),"x",""))</f>
        <v/>
      </c>
      <c r="T84" s="51" t="str">
        <f>IF(ISERROR(FIND('112'!$M$9,G84,1)),"",IF((AND(RIGHT(G84,2)=RIGHT('112'!$M$9,2),B84&lt;'112'!$N$8,$M84='112'!$I$6)),"x",""))</f>
        <v/>
      </c>
      <c r="U84" s="51" t="str">
        <f>IF(AND(L84="154",'154'!$O$5&lt;=B84,'154'!$P$5&gt;=B84),"154",IF(AND(L84="632",'632'!$L$5&lt;=B84,'632'!$M$5&gt;=B84),"632",IF(AND(L84="642",'642'!$N$5&lt;=B84,'642'!$O$5&gt;=B84),"642",IF(AND(L84="641",'641'!$N$5&lt;=B84,'641'!$O$5&gt;=B84),"641",""))))</f>
        <v/>
      </c>
      <c r="V84" s="51" t="str">
        <f>IF(OR(TH!L84=TH!$V$7,M84=TH!$V$7),"x","")</f>
        <v/>
      </c>
      <c r="W84" s="51" t="str">
        <f>IF(AND(B84&gt;='IN-NX'!$P$3,B84&lt;='IN-NX'!$Q$3,'IN-NX'!$D$7=D84,OR(LEFT(L84,2)="15",AND(LEFT(M84,2)&lt;&gt;"15",LEFT(M84,2)&lt;&gt;"33"))),"x","")</f>
        <v/>
      </c>
      <c r="X84" s="51" t="str">
        <f>IF(AND(OR(LEFT(TH!L84,2)="15",LEFT(TH!M84,2)="15"),'152-CT'!$J$8=TH!F84),"x","")</f>
        <v/>
      </c>
      <c r="Y84" s="51" t="str">
        <f>IF(AND(OR(LEFT(TH!L84,2)="15",LEFT(TH!M84,2)="15"),TK!$E$7=TH!F84),"x","")</f>
        <v/>
      </c>
      <c r="Z84" s="51" t="str">
        <f>IF(AND(B84&lt;=NKC!$N$8,B84&gt;=NKC!$M$8),"x","")</f>
        <v/>
      </c>
      <c r="AA84" s="803">
        <v>1</v>
      </c>
      <c r="AB84" s="565"/>
      <c r="AC84" s="565"/>
      <c r="AD84" s="565"/>
    </row>
    <row r="85" spans="1:31" ht="15.75" customHeight="1">
      <c r="A85" s="804" t="str">
        <f>IF(B85&lt;&gt;"",IF(AND(B85&gt;=_TM1,B85&lt;=_TM2,OR(TH!L85="1111",TH!M85="1111")),TH!D85,""),"")</f>
        <v/>
      </c>
      <c r="B85" s="36">
        <f t="shared" si="4"/>
        <v>1</v>
      </c>
      <c r="C85" s="189">
        <f t="shared" si="5"/>
        <v>42035</v>
      </c>
      <c r="D85" s="189" t="s">
        <v>1351</v>
      </c>
      <c r="E85" s="189">
        <v>42035</v>
      </c>
      <c r="F85" s="190" t="s">
        <v>464</v>
      </c>
      <c r="G85" s="813" t="s">
        <v>463</v>
      </c>
      <c r="H85" s="191" t="s">
        <v>462</v>
      </c>
      <c r="I85" s="243"/>
      <c r="J85" s="243"/>
      <c r="K85" s="573">
        <v>16090000</v>
      </c>
      <c r="L85" s="574" t="s">
        <v>83</v>
      </c>
      <c r="M85" s="574" t="s">
        <v>47</v>
      </c>
      <c r="N85" s="51" t="str">
        <f>IF(AND('331-CT'!$E$7=TH!H85,OR(L85="331",M85="331")),"331",IF(AND(OR(L85="131",M85="131"),H85='131-CT'!$E$7),"131",""))</f>
        <v/>
      </c>
      <c r="O85" s="51" t="str">
        <f>IF(AND($B85&gt;='111'!$N$11,$B85&lt;='111'!$O$11,OR($L85=$O$7,$M85=$O$7)),"x","")</f>
        <v/>
      </c>
      <c r="P85" s="51" t="str">
        <f>IF(AND($L85=$O$7,$B85&lt;'111'!$N$11),"x","")</f>
        <v/>
      </c>
      <c r="Q85" s="51" t="str">
        <f>IF(AND($M85=$O$7,$B85&lt;'111'!$N$11),"x","")</f>
        <v>x</v>
      </c>
      <c r="R85" s="51" t="str">
        <f>IF(ISERROR(FIND('112'!$M$9,G85,1)),"",IF((AND(FIND('112'!$M$9,G85,1)&gt;=1,$B85&gt;='112'!$N$8,$B85&lt;='112'!$O$8,OR($L85='112'!$I$6,$M85='112'!$I$6))),"x",""))</f>
        <v/>
      </c>
      <c r="S85" s="51" t="str">
        <f>IF(ISERROR(FIND('112'!$M$9,G85,1)),"",IF((AND(LEFT(G85,2)=LEFT('112'!$M$9,2),B85&lt;'112'!$N$8,$L85='112'!$I$6)),"x",""))</f>
        <v/>
      </c>
      <c r="T85" s="51" t="str">
        <f>IF(ISERROR(FIND('112'!$M$9,G85,1)),"",IF((AND(RIGHT(G85,2)=RIGHT('112'!$M$9,2),B85&lt;'112'!$N$8,$M85='112'!$I$6)),"x",""))</f>
        <v/>
      </c>
      <c r="U85" s="51" t="str">
        <f>IF(AND(L85="154",'154'!$O$5&lt;=B85,'154'!$P$5&gt;=B85),"154",IF(AND(L85="632",'632'!$L$5&lt;=B85,'632'!$M$5&gt;=B85),"632",IF(AND(L85="642",'642'!$N$5&lt;=B85,'642'!$O$5&gt;=B85),"642",IF(AND(L85="641",'641'!$N$5&lt;=B85,'641'!$O$5&gt;=B85),"641",""))))</f>
        <v/>
      </c>
      <c r="V85" s="51" t="str">
        <f>IF(OR(TH!L85=TH!$V$7,M85=TH!$V$7),"x","")</f>
        <v>x</v>
      </c>
      <c r="W85" s="51" t="str">
        <f>IF(AND(B85&gt;='IN-NX'!$P$3,B85&lt;='IN-NX'!$Q$3,'IN-NX'!$D$7=D85,OR(LEFT(L85,2)="15",AND(LEFT(M85,2)&lt;&gt;"15",LEFT(M85,2)&lt;&gt;"33"))),"x","")</f>
        <v/>
      </c>
      <c r="X85" s="51" t="str">
        <f>IF(AND(OR(LEFT(TH!L85,2)="15",LEFT(TH!M85,2)="15"),'152-CT'!$J$8=TH!F85),"x","")</f>
        <v/>
      </c>
      <c r="Y85" s="51" t="str">
        <f>IF(AND(OR(LEFT(TH!L85,2)="15",LEFT(TH!M85,2)="15"),TK!$E$7=TH!F85),"x","")</f>
        <v/>
      </c>
      <c r="Z85" s="51" t="str">
        <f>IF(AND(B85&lt;=NKC!$N$8,B85&gt;=NKC!$M$8),"x","")</f>
        <v/>
      </c>
      <c r="AA85" s="803"/>
      <c r="AB85" s="565"/>
      <c r="AC85" s="565"/>
    </row>
    <row r="86" spans="1:31" ht="15.75" customHeight="1">
      <c r="A86" s="804" t="str">
        <f>IF(B86&lt;&gt;"",IF(AND(B86&gt;=_TM1,B86&lt;=_TM2,OR(TH!L86="1111",TH!M86="1111")),TH!D86,""),"")</f>
        <v/>
      </c>
      <c r="B86" s="36">
        <f t="shared" si="4"/>
        <v>1</v>
      </c>
      <c r="C86" s="189">
        <f t="shared" si="5"/>
        <v>42035</v>
      </c>
      <c r="D86" s="189" t="s">
        <v>1351</v>
      </c>
      <c r="E86" s="189">
        <v>42035</v>
      </c>
      <c r="F86" s="922" t="s">
        <v>465</v>
      </c>
      <c r="G86" s="813" t="s">
        <v>463</v>
      </c>
      <c r="H86" s="191" t="s">
        <v>462</v>
      </c>
      <c r="I86" s="243"/>
      <c r="J86" s="243"/>
      <c r="K86" s="573">
        <v>1609000</v>
      </c>
      <c r="L86" s="574" t="s">
        <v>9</v>
      </c>
      <c r="M86" s="574" t="s">
        <v>47</v>
      </c>
      <c r="N86" s="51" t="str">
        <f>IF(AND('331-CT'!$E$7=TH!H86,OR(L86="331",M86="331")),"331",IF(AND(OR(L86="131",M86="131"),H86='131-CT'!$E$7),"131",""))</f>
        <v/>
      </c>
      <c r="O86" s="51" t="str">
        <f>IF(AND($B86&gt;='111'!$N$11,$B86&lt;='111'!$O$11,OR($L86=$O$7,$M86=$O$7)),"x","")</f>
        <v/>
      </c>
      <c r="P86" s="51" t="str">
        <f>IF(AND($L86=$O$7,$B86&lt;'111'!$N$11),"x","")</f>
        <v/>
      </c>
      <c r="Q86" s="51" t="str">
        <f>IF(AND($M86=$O$7,$B86&lt;'111'!$N$11),"x","")</f>
        <v>x</v>
      </c>
      <c r="R86" s="51" t="str">
        <f>IF(ISERROR(FIND('112'!$M$9,G86,1)),"",IF((AND(FIND('112'!$M$9,G86,1)&gt;=1,$B86&gt;='112'!$N$8,$B86&lt;='112'!$O$8,OR($L86='112'!$I$6,$M86='112'!$I$6))),"x",""))</f>
        <v/>
      </c>
      <c r="S86" s="51" t="str">
        <f>IF(ISERROR(FIND('112'!$M$9,G86,1)),"",IF((AND(LEFT(G86,2)=LEFT('112'!$M$9,2),B86&lt;'112'!$N$8,$L86='112'!$I$6)),"x",""))</f>
        <v/>
      </c>
      <c r="T86" s="51" t="str">
        <f>IF(ISERROR(FIND('112'!$M$9,G86,1)),"",IF((AND(RIGHT(G86,2)=RIGHT('112'!$M$9,2),B86&lt;'112'!$N$8,$M86='112'!$I$6)),"x",""))</f>
        <v/>
      </c>
      <c r="U86" s="51" t="str">
        <f>IF(AND(L86="154",'154'!$O$5&lt;=B86,'154'!$P$5&gt;=B86),"154",IF(AND(L86="632",'632'!$L$5&lt;=B86,'632'!$M$5&gt;=B86),"632",IF(AND(L86="642",'642'!$N$5&lt;=B86,'642'!$O$5&gt;=B86),"642",IF(AND(L86="641",'641'!$N$5&lt;=B86,'641'!$O$5&gt;=B86),"641",""))))</f>
        <v/>
      </c>
      <c r="V86" s="51" t="str">
        <f>IF(OR(TH!L86=TH!$V$7,M86=TH!$V$7),"x","")</f>
        <v/>
      </c>
      <c r="W86" s="51" t="str">
        <f>IF(AND(B86&gt;='IN-NX'!$P$3,B86&lt;='IN-NX'!$Q$3,'IN-NX'!$D$7=D86,OR(LEFT(L86,2)="15",AND(LEFT(M86,2)&lt;&gt;"15",LEFT(M86,2)&lt;&gt;"33"))),"x","")</f>
        <v/>
      </c>
      <c r="X86" s="51" t="str">
        <f>IF(AND(OR(LEFT(TH!L86,2)="15",LEFT(TH!M86,2)="15"),'152-CT'!$J$8=TH!F86),"x","")</f>
        <v/>
      </c>
      <c r="Y86" s="51" t="str">
        <f>IF(AND(OR(LEFT(TH!L86,2)="15",LEFT(TH!M86,2)="15"),TK!$E$7=TH!F86),"x","")</f>
        <v/>
      </c>
      <c r="Z86" s="51" t="str">
        <f>IF(AND(B86&lt;=NKC!$N$8,B86&gt;=NKC!$M$8),"x","")</f>
        <v/>
      </c>
      <c r="AA86" s="803">
        <v>1</v>
      </c>
      <c r="AB86" s="565"/>
      <c r="AC86" s="565"/>
      <c r="AD86" s="565"/>
    </row>
    <row r="87" spans="1:31" ht="15.75" customHeight="1">
      <c r="A87" s="804" t="str">
        <f>IF(B87&lt;&gt;"",IF(AND(B87&gt;=_TM1,B87&lt;=_TM2,OR(TH!L87="1111",TH!M87="1111")),TH!D87,""),"")</f>
        <v/>
      </c>
      <c r="B87" s="36">
        <f t="shared" ref="B87:B150" si="7">IF(C87&lt;&gt;"",MONTH(C87),"")</f>
        <v>1</v>
      </c>
      <c r="C87" s="189">
        <f t="shared" ref="C87:C150" si="8">E87</f>
        <v>42035</v>
      </c>
      <c r="D87" s="189" t="s">
        <v>1350</v>
      </c>
      <c r="E87" s="189">
        <v>42035</v>
      </c>
      <c r="F87" s="922" t="s">
        <v>964</v>
      </c>
      <c r="G87" s="813" t="s">
        <v>974</v>
      </c>
      <c r="H87" s="191" t="s">
        <v>975</v>
      </c>
      <c r="I87" s="243"/>
      <c r="J87" s="243"/>
      <c r="K87" s="573">
        <v>8600000</v>
      </c>
      <c r="L87" s="574" t="s">
        <v>47</v>
      </c>
      <c r="M87" s="574" t="s">
        <v>408</v>
      </c>
      <c r="N87" s="51" t="str">
        <f>IF(AND('331-CT'!$E$7=TH!H87,OR(L87="331",M87="331")),"331",IF(AND(OR(L87="131",M87="131"),H87='131-CT'!$E$7),"131",""))</f>
        <v/>
      </c>
      <c r="O87" s="51" t="str">
        <f>IF(AND($B87&gt;='111'!$N$11,$B87&lt;='111'!$O$11,OR($L87=$O$7,$M87=$O$7)),"x","")</f>
        <v/>
      </c>
      <c r="P87" s="51" t="str">
        <f>IF(AND($L87=$O$7,$B87&lt;'111'!$N$11),"x","")</f>
        <v>x</v>
      </c>
      <c r="Q87" s="51" t="str">
        <f>IF(AND($M87=$O$7,$B87&lt;'111'!$N$11),"x","")</f>
        <v/>
      </c>
      <c r="R87" s="51" t="str">
        <f>IF(ISERROR(FIND('112'!$M$9,G87,1)),"",IF((AND(FIND('112'!$M$9,G87,1)&gt;=1,$B87&gt;='112'!$N$8,$B87&lt;='112'!$O$8,OR($L87='112'!$I$6,$M87='112'!$I$6))),"x",""))</f>
        <v/>
      </c>
      <c r="S87" s="51" t="str">
        <f>IF(ISERROR(FIND('112'!$M$9,G87,1)),"",IF((AND(LEFT(G87,2)=LEFT('112'!$M$9,2),B87&lt;'112'!$N$8,$L87='112'!$I$6)),"x",""))</f>
        <v/>
      </c>
      <c r="T87" s="51" t="str">
        <f>IF(ISERROR(FIND('112'!$M$9,G87,1)),"",IF((AND(RIGHT(G87,2)=RIGHT('112'!$M$9,2),B87&lt;'112'!$N$8,$M87='112'!$I$6)),"x",""))</f>
        <v/>
      </c>
      <c r="U87" s="51" t="str">
        <f>IF(AND(L87="154",'154'!$O$5&lt;=B87,'154'!$P$5&gt;=B87),"154",IF(AND(L87="632",'632'!$L$5&lt;=B87,'632'!$M$5&gt;=B87),"632",IF(AND(L87="642",'642'!$N$5&lt;=B87,'642'!$O$5&gt;=B87),"642",IF(AND(L87="641",'641'!$N$5&lt;=B87,'641'!$O$5&gt;=B87),"641",""))))</f>
        <v/>
      </c>
      <c r="V87" s="51" t="str">
        <f>IF(OR(TH!L87=TH!$V$7,M87=TH!$V$7),"x","")</f>
        <v/>
      </c>
      <c r="W87" s="51" t="str">
        <f>IF(AND(B87&gt;='IN-NX'!$P$3,B87&lt;='IN-NX'!$Q$3,'IN-NX'!$D$7=D87,OR(LEFT(L87,2)="15",AND(LEFT(M87,2)&lt;&gt;"15",LEFT(M87,2)&lt;&gt;"33"))),"x","")</f>
        <v/>
      </c>
      <c r="X87" s="51" t="str">
        <f>IF(AND(OR(LEFT(TH!L87,2)="15",LEFT(TH!M87,2)="15"),'152-CT'!$J$8=TH!F87),"x","")</f>
        <v/>
      </c>
      <c r="Y87" s="51" t="str">
        <f>IF(AND(OR(LEFT(TH!L87,2)="15",LEFT(TH!M87,2)="15"),TK!$E$7=TH!F87),"x","")</f>
        <v/>
      </c>
      <c r="Z87" s="51" t="str">
        <f>IF(AND(B87&lt;=NKC!$N$8,B87&gt;=NKC!$M$8),"x","")</f>
        <v/>
      </c>
      <c r="AA87" s="803"/>
      <c r="AB87" s="565"/>
      <c r="AC87" s="565"/>
      <c r="AD87" s="565"/>
    </row>
    <row r="88" spans="1:31" ht="15.75" customHeight="1">
      <c r="A88" s="804" t="str">
        <f>IF(B88&lt;&gt;"",IF(AND(B88&gt;=_TM1,B88&lt;=_TM2,OR(TH!L88="1111",TH!M88="1111")),TH!D88,""),"")</f>
        <v/>
      </c>
      <c r="B88" s="36">
        <f t="shared" si="7"/>
        <v>1</v>
      </c>
      <c r="C88" s="189">
        <f t="shared" si="8"/>
        <v>42035</v>
      </c>
      <c r="D88" s="189" t="s">
        <v>1350</v>
      </c>
      <c r="E88" s="189">
        <v>42035</v>
      </c>
      <c r="F88" s="922" t="s">
        <v>1110</v>
      </c>
      <c r="G88" s="813" t="s">
        <v>974</v>
      </c>
      <c r="H88" s="191" t="s">
        <v>975</v>
      </c>
      <c r="I88" s="243"/>
      <c r="J88" s="243"/>
      <c r="K88" s="573">
        <v>860000</v>
      </c>
      <c r="L88" s="574" t="s">
        <v>47</v>
      </c>
      <c r="M88" s="574" t="s">
        <v>352</v>
      </c>
      <c r="N88" s="51" t="str">
        <f>IF(AND('331-CT'!$E$7=TH!H88,OR(L88="331",M88="331")),"331",IF(AND(OR(L88="131",M88="131"),H88='131-CT'!$E$7),"131",""))</f>
        <v/>
      </c>
      <c r="O88" s="51" t="str">
        <f>IF(AND($B88&gt;='111'!$N$11,$B88&lt;='111'!$O$11,OR($L88=$O$7,$M88=$O$7)),"x","")</f>
        <v/>
      </c>
      <c r="P88" s="51" t="str">
        <f>IF(AND($L88=$O$7,$B88&lt;'111'!$N$11),"x","")</f>
        <v>x</v>
      </c>
      <c r="Q88" s="51" t="str">
        <f>IF(AND($M88=$O$7,$B88&lt;'111'!$N$11),"x","")</f>
        <v/>
      </c>
      <c r="R88" s="51" t="str">
        <f>IF(ISERROR(FIND('112'!$M$9,G88,1)),"",IF((AND(FIND('112'!$M$9,G88,1)&gt;=1,$B88&gt;='112'!$N$8,$B88&lt;='112'!$O$8,OR($L88='112'!$I$6,$M88='112'!$I$6))),"x",""))</f>
        <v/>
      </c>
      <c r="S88" s="51" t="str">
        <f>IF(ISERROR(FIND('112'!$M$9,G88,1)),"",IF((AND(LEFT(G88,2)=LEFT('112'!$M$9,2),B88&lt;'112'!$N$8,$L88='112'!$I$6)),"x",""))</f>
        <v/>
      </c>
      <c r="T88" s="51" t="str">
        <f>IF(ISERROR(FIND('112'!$M$9,G88,1)),"",IF((AND(RIGHT(G88,2)=RIGHT('112'!$M$9,2),B88&lt;'112'!$N$8,$M88='112'!$I$6)),"x",""))</f>
        <v/>
      </c>
      <c r="U88" s="51" t="str">
        <f>IF(AND(L88="154",'154'!$O$5&lt;=B88,'154'!$P$5&gt;=B88),"154",IF(AND(L88="632",'632'!$L$5&lt;=B88,'632'!$M$5&gt;=B88),"632",IF(AND(L88="642",'642'!$N$5&lt;=B88,'642'!$O$5&gt;=B88),"642",IF(AND(L88="641",'641'!$N$5&lt;=B88,'641'!$O$5&gt;=B88),"641",""))))</f>
        <v/>
      </c>
      <c r="V88" s="51" t="str">
        <f>IF(OR(TH!L88=TH!$V$7,M88=TH!$V$7),"x","")</f>
        <v/>
      </c>
      <c r="W88" s="51" t="str">
        <f>IF(AND(B88&gt;='IN-NX'!$P$3,B88&lt;='IN-NX'!$Q$3,'IN-NX'!$D$7=D88,OR(LEFT(L88,2)="15",AND(LEFT(M88,2)&lt;&gt;"15",LEFT(M88,2)&lt;&gt;"33"))),"x","")</f>
        <v/>
      </c>
      <c r="X88" s="51" t="str">
        <f>IF(AND(OR(LEFT(TH!L88,2)="15",LEFT(TH!M88,2)="15"),'152-CT'!$J$8=TH!F88),"x","")</f>
        <v/>
      </c>
      <c r="Y88" s="51" t="str">
        <f>IF(AND(OR(LEFT(TH!L88,2)="15",LEFT(TH!M88,2)="15"),TK!$E$7=TH!F88),"x","")</f>
        <v/>
      </c>
      <c r="Z88" s="51" t="str">
        <f>IF(AND(B88&lt;=NKC!$N$8,B88&gt;=NKC!$M$8),"x","")</f>
        <v/>
      </c>
      <c r="AA88" s="803"/>
      <c r="AB88" s="565"/>
    </row>
    <row r="89" spans="1:31" ht="15.75" customHeight="1">
      <c r="A89" s="804" t="str">
        <f>IF(B89&lt;&gt;"",IF(AND(B89&gt;=_TM1,B89&lt;=_TM2,OR(TH!L89="1111",TH!M89="1111")),TH!D89,""),"")</f>
        <v/>
      </c>
      <c r="B89" s="36">
        <f t="shared" si="7"/>
        <v>2</v>
      </c>
      <c r="C89" s="189">
        <f t="shared" si="8"/>
        <v>42041</v>
      </c>
      <c r="D89" s="189" t="s">
        <v>1354</v>
      </c>
      <c r="E89" s="189">
        <v>42041</v>
      </c>
      <c r="F89" s="922" t="s">
        <v>456</v>
      </c>
      <c r="G89" s="813" t="s">
        <v>455</v>
      </c>
      <c r="H89" s="191" t="s">
        <v>454</v>
      </c>
      <c r="I89" s="243"/>
      <c r="J89" s="243"/>
      <c r="K89" s="573">
        <v>1819271</v>
      </c>
      <c r="L89" s="574" t="s">
        <v>251</v>
      </c>
      <c r="M89" s="574" t="s">
        <v>47</v>
      </c>
      <c r="N89" s="51" t="str">
        <f>IF(AND('331-CT'!$E$7=TH!H89,OR(L89="331",M89="331")),"331",IF(AND(OR(L89="131",M89="131"),H89='131-CT'!$E$7),"131",""))</f>
        <v/>
      </c>
      <c r="O89" s="51" t="str">
        <f>IF(AND($B89&gt;='111'!$N$11,$B89&lt;='111'!$O$11,OR($L89=$O$7,$M89=$O$7)),"x","")</f>
        <v/>
      </c>
      <c r="P89" s="51" t="str">
        <f>IF(AND($L89=$O$7,$B89&lt;'111'!$N$11),"x","")</f>
        <v/>
      </c>
      <c r="Q89" s="51" t="str">
        <f>IF(AND($M89=$O$7,$B89&lt;'111'!$N$11),"x","")</f>
        <v>x</v>
      </c>
      <c r="R89" s="51" t="str">
        <f>IF(ISERROR(FIND('112'!$M$9,G89,1)),"",IF((AND(FIND('112'!$M$9,G89,1)&gt;=1,$B89&gt;='112'!$N$8,$B89&lt;='112'!$O$8,OR($L89='112'!$I$6,$M89='112'!$I$6))),"x",""))</f>
        <v/>
      </c>
      <c r="S89" s="51" t="str">
        <f>IF(ISERROR(FIND('112'!$M$9,G89,1)),"",IF((AND(LEFT(G89,2)=LEFT('112'!$M$9,2),B89&lt;'112'!$N$8,$L89='112'!$I$6)),"x",""))</f>
        <v/>
      </c>
      <c r="T89" s="51" t="str">
        <f>IF(ISERROR(FIND('112'!$M$9,G89,1)),"",IF((AND(RIGHT(G89,2)=RIGHT('112'!$M$9,2),B89&lt;'112'!$N$8,$M89='112'!$I$6)),"x",""))</f>
        <v/>
      </c>
      <c r="U89" s="51" t="str">
        <f>IF(AND(L89="154",'154'!$O$5&lt;=B89,'154'!$P$5&gt;=B89),"154",IF(AND(L89="632",'632'!$L$5&lt;=B89,'632'!$M$5&gt;=B89),"632",IF(AND(L89="642",'642'!$N$5&lt;=B89,'642'!$O$5&gt;=B89),"642",IF(AND(L89="641",'641'!$N$5&lt;=B89,'641'!$O$5&gt;=B89),"641",""))))</f>
        <v/>
      </c>
      <c r="V89" s="51" t="str">
        <f>IF(OR(TH!L89=TH!$V$7,M89=TH!$V$7),"x","")</f>
        <v/>
      </c>
      <c r="W89" s="51" t="str">
        <f>IF(AND(B89&gt;='IN-NX'!$P$3,B89&lt;='IN-NX'!$Q$3,'IN-NX'!$D$7=D89,OR(LEFT(L89,2)="15",AND(LEFT(M89,2)&lt;&gt;"15",LEFT(M89,2)&lt;&gt;"33"))),"x","")</f>
        <v/>
      </c>
      <c r="X89" s="51" t="str">
        <f>IF(AND(OR(LEFT(TH!L89,2)="15",LEFT(TH!M89,2)="15"),'152-CT'!$J$8=TH!F89),"x","")</f>
        <v/>
      </c>
      <c r="Y89" s="51" t="str">
        <f>IF(AND(OR(LEFT(TH!L89,2)="15",LEFT(TH!M89,2)="15"),TK!$E$7=TH!F89),"x","")</f>
        <v/>
      </c>
      <c r="Z89" s="51" t="str">
        <f>IF(AND(B89&lt;=NKC!$N$8,B89&gt;=NKC!$M$8),"x","")</f>
        <v/>
      </c>
      <c r="AA89" s="803"/>
      <c r="AB89" s="565"/>
    </row>
    <row r="90" spans="1:31" ht="15.75" customHeight="1">
      <c r="A90" s="804" t="str">
        <f>IF(B90&lt;&gt;"",IF(AND(B90&gt;=_TM1,B90&lt;=_TM2,OR(TH!L90="1111",TH!M90="1111")),TH!D90,""),"")</f>
        <v/>
      </c>
      <c r="B90" s="36">
        <f t="shared" si="7"/>
        <v>2</v>
      </c>
      <c r="C90" s="189">
        <f t="shared" si="8"/>
        <v>42041</v>
      </c>
      <c r="D90" s="189" t="s">
        <v>1354</v>
      </c>
      <c r="E90" s="189">
        <v>42041</v>
      </c>
      <c r="F90" s="922" t="s">
        <v>457</v>
      </c>
      <c r="G90" s="813" t="s">
        <v>455</v>
      </c>
      <c r="H90" s="191" t="s">
        <v>454</v>
      </c>
      <c r="I90" s="243"/>
      <c r="J90" s="243"/>
      <c r="K90" s="573">
        <v>178271</v>
      </c>
      <c r="L90" s="574" t="s">
        <v>9</v>
      </c>
      <c r="M90" s="574" t="s">
        <v>47</v>
      </c>
      <c r="N90" s="51" t="str">
        <f>IF(AND('331-CT'!$E$7=TH!H90,OR(L90="331",M90="331")),"331",IF(AND(OR(L90="131",M90="131"),H90='131-CT'!$E$7),"131",""))</f>
        <v/>
      </c>
      <c r="O90" s="51" t="str">
        <f>IF(AND($B90&gt;='111'!$N$11,$B90&lt;='111'!$O$11,OR($L90=$O$7,$M90=$O$7)),"x","")</f>
        <v/>
      </c>
      <c r="P90" s="51" t="str">
        <f>IF(AND($L90=$O$7,$B90&lt;'111'!$N$11),"x","")</f>
        <v/>
      </c>
      <c r="Q90" s="51" t="str">
        <f>IF(AND($M90=$O$7,$B90&lt;'111'!$N$11),"x","")</f>
        <v>x</v>
      </c>
      <c r="R90" s="51" t="str">
        <f>IF(ISERROR(FIND('112'!$M$9,G90,1)),"",IF((AND(FIND('112'!$M$9,G90,1)&gt;=1,$B90&gt;='112'!$N$8,$B90&lt;='112'!$O$8,OR($L90='112'!$I$6,$M90='112'!$I$6))),"x",""))</f>
        <v/>
      </c>
      <c r="S90" s="51" t="str">
        <f>IF(ISERROR(FIND('112'!$M$9,G90,1)),"",IF((AND(LEFT(G90,2)=LEFT('112'!$M$9,2),B90&lt;'112'!$N$8,$L90='112'!$I$6)),"x",""))</f>
        <v/>
      </c>
      <c r="T90" s="51" t="str">
        <f>IF(ISERROR(FIND('112'!$M$9,G90,1)),"",IF((AND(RIGHT(G90,2)=RIGHT('112'!$M$9,2),B90&lt;'112'!$N$8,$M90='112'!$I$6)),"x",""))</f>
        <v/>
      </c>
      <c r="U90" s="51" t="str">
        <f>IF(AND(L90="154",'154'!$O$5&lt;=B90,'154'!$P$5&gt;=B90),"154",IF(AND(L90="632",'632'!$L$5&lt;=B90,'632'!$M$5&gt;=B90),"632",IF(AND(L90="642",'642'!$N$5&lt;=B90,'642'!$O$5&gt;=B90),"642",IF(AND(L90="641",'641'!$N$5&lt;=B90,'641'!$O$5&gt;=B90),"641",""))))</f>
        <v/>
      </c>
      <c r="V90" s="51" t="str">
        <f>IF(OR(TH!L90=TH!$V$7,M90=TH!$V$7),"x","")</f>
        <v/>
      </c>
      <c r="W90" s="51" t="str">
        <f>IF(AND(B90&gt;='IN-NX'!$P$3,B90&lt;='IN-NX'!$Q$3,'IN-NX'!$D$7=D90,OR(LEFT(L90,2)="15",AND(LEFT(M90,2)&lt;&gt;"15",LEFT(M90,2)&lt;&gt;"33"))),"x","")</f>
        <v/>
      </c>
      <c r="X90" s="51" t="str">
        <f>IF(AND(OR(LEFT(TH!L90,2)="15",LEFT(TH!M90,2)="15"),'152-CT'!$J$8=TH!F90),"x","")</f>
        <v/>
      </c>
      <c r="Y90" s="51" t="str">
        <f>IF(AND(OR(LEFT(TH!L90,2)="15",LEFT(TH!M90,2)="15"),TK!$E$7=TH!F90),"x","")</f>
        <v/>
      </c>
      <c r="Z90" s="51" t="str">
        <f>IF(AND(B90&lt;=NKC!$N$8,B90&gt;=NKC!$M$8),"x","")</f>
        <v/>
      </c>
      <c r="AA90" s="803">
        <v>1</v>
      </c>
      <c r="AB90" s="565"/>
    </row>
    <row r="91" spans="1:31" ht="15.75" customHeight="1">
      <c r="A91" s="804" t="str">
        <f>IF(B91&lt;&gt;"",IF(AND(B91&gt;=_TM1,B91&lt;=_TM2,OR(TH!L91="1111",TH!M91="1111")),TH!D91,""),"")</f>
        <v/>
      </c>
      <c r="B91" s="36">
        <f t="shared" si="7"/>
        <v>2</v>
      </c>
      <c r="C91" s="189">
        <f t="shared" si="8"/>
        <v>42041</v>
      </c>
      <c r="D91" s="189" t="s">
        <v>1295</v>
      </c>
      <c r="E91" s="189">
        <v>42041</v>
      </c>
      <c r="F91" s="922" t="s">
        <v>497</v>
      </c>
      <c r="G91" s="813" t="s">
        <v>976</v>
      </c>
      <c r="H91" s="202" t="s">
        <v>424</v>
      </c>
      <c r="I91" s="243">
        <v>509</v>
      </c>
      <c r="J91" s="243">
        <v>45200</v>
      </c>
      <c r="K91" s="573">
        <f>ROUND(I91*J91,0)</f>
        <v>23006800</v>
      </c>
      <c r="L91" s="574" t="s">
        <v>250</v>
      </c>
      <c r="M91" s="574" t="s">
        <v>164</v>
      </c>
      <c r="N91" s="51" t="str">
        <f>IF(AND('331-CT'!$E$7=TH!H91,OR(L91="331",M91="331")),"331",IF(AND(OR(L91="131",M91="131"),H91='131-CT'!$E$7),"131",""))</f>
        <v/>
      </c>
      <c r="O91" s="51" t="str">
        <f>IF(AND($B91&gt;='111'!$N$11,$B91&lt;='111'!$O$11,OR($L91=$O$7,$M91=$O$7)),"x","")</f>
        <v/>
      </c>
      <c r="P91" s="51" t="str">
        <f>IF(AND($L91=$O$7,$B91&lt;'111'!$N$11),"x","")</f>
        <v/>
      </c>
      <c r="Q91" s="51" t="str">
        <f>IF(AND($M91=$O$7,$B91&lt;'111'!$N$11),"x","")</f>
        <v/>
      </c>
      <c r="R91" s="51" t="str">
        <f>IF(ISERROR(FIND('112'!$M$9,G91,1)),"",IF((AND(FIND('112'!$M$9,G91,1)&gt;=1,$B91&gt;='112'!$N$8,$B91&lt;='112'!$O$8,OR($L91='112'!$I$6,$M91='112'!$I$6))),"x",""))</f>
        <v/>
      </c>
      <c r="S91" s="51" t="str">
        <f>IF(ISERROR(FIND('112'!$M$9,G91,1)),"",IF((AND(LEFT(G91,2)=LEFT('112'!$M$9,2),B91&lt;'112'!$N$8,$L91='112'!$I$6)),"x",""))</f>
        <v/>
      </c>
      <c r="T91" s="51" t="str">
        <f>IF(ISERROR(FIND('112'!$M$9,G91,1)),"",IF((AND(RIGHT(G91,2)=RIGHT('112'!$M$9,2),B91&lt;'112'!$N$8,$M91='112'!$I$6)),"x",""))</f>
        <v/>
      </c>
      <c r="U91" s="51" t="str">
        <f>IF(AND(L91="154",'154'!$O$5&lt;=B91,'154'!$P$5&gt;=B91),"154",IF(AND(L91="632",'632'!$L$5&lt;=B91,'632'!$M$5&gt;=B91),"632",IF(AND(L91="642",'642'!$N$5&lt;=B91,'642'!$O$5&gt;=B91),"642",IF(AND(L91="641",'641'!$N$5&lt;=B91,'641'!$O$5&gt;=B91),"641",""))))</f>
        <v/>
      </c>
      <c r="V91" s="51" t="str">
        <f>IF(OR(TH!L91=TH!$V$7,M91=TH!$V$7),"x","")</f>
        <v/>
      </c>
      <c r="W91" s="51" t="str">
        <f>IF(AND(B91&gt;='IN-NX'!$P$3,B91&lt;='IN-NX'!$Q$3,'IN-NX'!$D$7=D91,OR(LEFT(L91,2)="15",AND(LEFT(M91,2)&lt;&gt;"15",LEFT(M91,2)&lt;&gt;"33"))),"x","")</f>
        <v/>
      </c>
      <c r="X91" s="51" t="str">
        <f>IF(AND(OR(LEFT(TH!L91,2)="15",LEFT(TH!M91,2)="15"),'152-CT'!$J$8=TH!F91),"x","")</f>
        <v/>
      </c>
      <c r="Y91" s="51" t="str">
        <f>IF(AND(OR(LEFT(TH!L91,2)="15",LEFT(TH!M91,2)="15"),TK!$E$7=TH!F91),"x","")</f>
        <v/>
      </c>
      <c r="Z91" s="51" t="str">
        <f>IF(AND(B91&lt;=NKC!$N$8,B91&gt;=NKC!$M$8),"x","")</f>
        <v/>
      </c>
      <c r="AA91" s="803"/>
      <c r="AB91" s="565"/>
    </row>
    <row r="92" spans="1:31" ht="15.75" customHeight="1">
      <c r="A92" s="804" t="str">
        <f>IF(B92&lt;&gt;"",IF(AND(B92&gt;=_TM1,B92&lt;=_TM2,OR(TH!L92="1111",TH!M92="1111")),TH!D92,""),"")</f>
        <v/>
      </c>
      <c r="B92" s="36">
        <f t="shared" si="7"/>
        <v>2</v>
      </c>
      <c r="C92" s="189">
        <f t="shared" si="8"/>
        <v>42041</v>
      </c>
      <c r="D92" s="189" t="s">
        <v>1295</v>
      </c>
      <c r="E92" s="189">
        <v>42041</v>
      </c>
      <c r="F92" s="922" t="s">
        <v>1185</v>
      </c>
      <c r="G92" s="813" t="s">
        <v>976</v>
      </c>
      <c r="H92" s="202" t="s">
        <v>424</v>
      </c>
      <c r="I92" s="243">
        <v>20</v>
      </c>
      <c r="J92" s="243">
        <v>66700</v>
      </c>
      <c r="K92" s="573">
        <f>ROUND(I92*J92,0)</f>
        <v>1334000</v>
      </c>
      <c r="L92" s="574" t="s">
        <v>250</v>
      </c>
      <c r="M92" s="574" t="s">
        <v>164</v>
      </c>
      <c r="N92" s="51" t="str">
        <f>IF(AND('331-CT'!$E$7=TH!H92,OR(L92="331",M92="331")),"331",IF(AND(OR(L92="131",M92="131"),H92='131-CT'!$E$7),"131",""))</f>
        <v/>
      </c>
      <c r="O92" s="51" t="str">
        <f>IF(AND($B92&gt;='111'!$N$11,$B92&lt;='111'!$O$11,OR($L92=$O$7,$M92=$O$7)),"x","")</f>
        <v/>
      </c>
      <c r="P92" s="51" t="str">
        <f>IF(AND($L92=$O$7,$B92&lt;'111'!$N$11),"x","")</f>
        <v/>
      </c>
      <c r="Q92" s="51" t="str">
        <f>IF(AND($M92=$O$7,$B92&lt;'111'!$N$11),"x","")</f>
        <v/>
      </c>
      <c r="R92" s="51" t="str">
        <f>IF(ISERROR(FIND('112'!$M$9,G92,1)),"",IF((AND(FIND('112'!$M$9,G92,1)&gt;=1,$B92&gt;='112'!$N$8,$B92&lt;='112'!$O$8,OR($L92='112'!$I$6,$M92='112'!$I$6))),"x",""))</f>
        <v/>
      </c>
      <c r="S92" s="51" t="str">
        <f>IF(ISERROR(FIND('112'!$M$9,G92,1)),"",IF((AND(LEFT(G92,2)=LEFT('112'!$M$9,2),B92&lt;'112'!$N$8,$L92='112'!$I$6)),"x",""))</f>
        <v/>
      </c>
      <c r="T92" s="51" t="str">
        <f>IF(ISERROR(FIND('112'!$M$9,G92,1)),"",IF((AND(RIGHT(G92,2)=RIGHT('112'!$M$9,2),B92&lt;'112'!$N$8,$M92='112'!$I$6)),"x",""))</f>
        <v/>
      </c>
      <c r="U92" s="51" t="str">
        <f>IF(AND(L92="154",'154'!$O$5&lt;=B92,'154'!$P$5&gt;=B92),"154",IF(AND(L92="632",'632'!$L$5&lt;=B92,'632'!$M$5&gt;=B92),"632",IF(AND(L92="642",'642'!$N$5&lt;=B92,'642'!$O$5&gt;=B92),"642",IF(AND(L92="641",'641'!$N$5&lt;=B92,'641'!$O$5&gt;=B92),"641",""))))</f>
        <v/>
      </c>
      <c r="V92" s="51" t="str">
        <f>IF(OR(TH!L92=TH!$V$7,M92=TH!$V$7),"x","")</f>
        <v/>
      </c>
      <c r="W92" s="51" t="str">
        <f>IF(AND(B92&gt;='IN-NX'!$P$3,B92&lt;='IN-NX'!$Q$3,'IN-NX'!$D$7=D92,OR(LEFT(L92,2)="15",AND(LEFT(M92,2)&lt;&gt;"15",LEFT(M92,2)&lt;&gt;"33"))),"x","")</f>
        <v/>
      </c>
      <c r="X92" s="51" t="str">
        <f>IF(AND(OR(LEFT(TH!L92,2)="15",LEFT(TH!M92,2)="15"),'152-CT'!$J$8=TH!F92),"x","")</f>
        <v/>
      </c>
      <c r="Y92" s="51" t="str">
        <f>IF(AND(OR(LEFT(TH!L92,2)="15",LEFT(TH!M92,2)="15"),TK!$E$7=TH!F92),"x","")</f>
        <v/>
      </c>
      <c r="Z92" s="51" t="str">
        <f>IF(AND(B92&lt;=NKC!$N$8,B92&gt;=NKC!$M$8),"x","")</f>
        <v/>
      </c>
      <c r="AA92" s="803"/>
      <c r="AB92" s="565"/>
    </row>
    <row r="93" spans="1:31" ht="15.75" customHeight="1">
      <c r="A93" s="804" t="str">
        <f>IF(B93&lt;&gt;"",IF(AND(B93&gt;=_TM1,B93&lt;=_TM2,OR(TH!L93="1111",TH!M93="1111")),TH!D93,""),"")</f>
        <v/>
      </c>
      <c r="B93" s="36">
        <f t="shared" si="7"/>
        <v>2</v>
      </c>
      <c r="C93" s="189">
        <f t="shared" si="8"/>
        <v>42041</v>
      </c>
      <c r="D93" s="189" t="s">
        <v>1295</v>
      </c>
      <c r="E93" s="189">
        <v>42041</v>
      </c>
      <c r="F93" s="190" t="s">
        <v>1186</v>
      </c>
      <c r="G93" s="813" t="s">
        <v>976</v>
      </c>
      <c r="H93" s="202" t="s">
        <v>424</v>
      </c>
      <c r="I93" s="243">
        <v>90</v>
      </c>
      <c r="J93" s="243">
        <v>27500</v>
      </c>
      <c r="K93" s="573">
        <f>ROUND(I93*J93,0)</f>
        <v>2475000</v>
      </c>
      <c r="L93" s="574" t="s">
        <v>250</v>
      </c>
      <c r="M93" s="574" t="s">
        <v>164</v>
      </c>
      <c r="N93" s="51" t="str">
        <f>IF(AND('331-CT'!$E$7=TH!H93,OR(L93="331",M93="331")),"331",IF(AND(OR(L93="131",M93="131"),H93='131-CT'!$E$7),"131",""))</f>
        <v/>
      </c>
      <c r="O93" s="51" t="str">
        <f>IF(AND($B93&gt;='111'!$N$11,$B93&lt;='111'!$O$11,OR($L93=$O$7,$M93=$O$7)),"x","")</f>
        <v/>
      </c>
      <c r="P93" s="51" t="str">
        <f>IF(AND($L93=$O$7,$B93&lt;'111'!$N$11),"x","")</f>
        <v/>
      </c>
      <c r="Q93" s="51" t="str">
        <f>IF(AND($M93=$O$7,$B93&lt;'111'!$N$11),"x","")</f>
        <v/>
      </c>
      <c r="R93" s="51" t="str">
        <f>IF(ISERROR(FIND('112'!$M$9,G93,1)),"",IF((AND(FIND('112'!$M$9,G93,1)&gt;=1,$B93&gt;='112'!$N$8,$B93&lt;='112'!$O$8,OR($L93='112'!$I$6,$M93='112'!$I$6))),"x",""))</f>
        <v/>
      </c>
      <c r="S93" s="51" t="str">
        <f>IF(ISERROR(FIND('112'!$M$9,G93,1)),"",IF((AND(LEFT(G93,2)=LEFT('112'!$M$9,2),B93&lt;'112'!$N$8,$L93='112'!$I$6)),"x",""))</f>
        <v/>
      </c>
      <c r="T93" s="51" t="str">
        <f>IF(ISERROR(FIND('112'!$M$9,G93,1)),"",IF((AND(RIGHT(G93,2)=RIGHT('112'!$M$9,2),B93&lt;'112'!$N$8,$M93='112'!$I$6)),"x",""))</f>
        <v/>
      </c>
      <c r="U93" s="51" t="str">
        <f>IF(AND(L93="154",'154'!$O$5&lt;=B93,'154'!$P$5&gt;=B93),"154",IF(AND(L93="632",'632'!$L$5&lt;=B93,'632'!$M$5&gt;=B93),"632",IF(AND(L93="642",'642'!$N$5&lt;=B93,'642'!$O$5&gt;=B93),"642",IF(AND(L93="641",'641'!$N$5&lt;=B93,'641'!$O$5&gt;=B93),"641",""))))</f>
        <v/>
      </c>
      <c r="V93" s="51" t="str">
        <f>IF(OR(TH!L93=TH!$V$7,M93=TH!$V$7),"x","")</f>
        <v/>
      </c>
      <c r="W93" s="51" t="str">
        <f>IF(AND(B93&gt;='IN-NX'!$P$3,B93&lt;='IN-NX'!$Q$3,'IN-NX'!$D$7=D93,OR(LEFT(L93,2)="15",AND(LEFT(M93,2)&lt;&gt;"15",LEFT(M93,2)&lt;&gt;"33"))),"x","")</f>
        <v/>
      </c>
      <c r="X93" s="51" t="str">
        <f>IF(AND(OR(LEFT(TH!L93,2)="15",LEFT(TH!M93,2)="15"),'152-CT'!$J$8=TH!F93),"x","")</f>
        <v/>
      </c>
      <c r="Y93" s="51" t="str">
        <f>IF(AND(OR(LEFT(TH!L93,2)="15",LEFT(TH!M93,2)="15"),TK!$E$7=TH!F93),"x","")</f>
        <v/>
      </c>
      <c r="Z93" s="51" t="str">
        <f>IF(AND(B93&lt;=NKC!$N$8,B93&gt;=NKC!$M$8),"x","")</f>
        <v/>
      </c>
      <c r="AA93" s="803"/>
      <c r="AB93" s="565"/>
    </row>
    <row r="94" spans="1:31" ht="15.75" customHeight="1">
      <c r="A94" s="804" t="str">
        <f>IF(B94&lt;&gt;"",IF(AND(B94&gt;=_TM1,B94&lt;=_TM2,OR(TH!L94="1111",TH!M94="1111")),TH!D94,""),"")</f>
        <v/>
      </c>
      <c r="B94" s="36">
        <f t="shared" si="7"/>
        <v>2</v>
      </c>
      <c r="C94" s="189">
        <f t="shared" si="8"/>
        <v>42041</v>
      </c>
      <c r="D94" s="189" t="s">
        <v>1295</v>
      </c>
      <c r="E94" s="189">
        <v>42041</v>
      </c>
      <c r="F94" s="922" t="s">
        <v>962</v>
      </c>
      <c r="G94" s="813" t="s">
        <v>976</v>
      </c>
      <c r="H94" s="202" t="s">
        <v>424</v>
      </c>
      <c r="I94" s="243"/>
      <c r="J94" s="243"/>
      <c r="K94" s="573">
        <v>2681580</v>
      </c>
      <c r="L94" s="574" t="s">
        <v>250</v>
      </c>
      <c r="M94" s="574" t="s">
        <v>352</v>
      </c>
      <c r="N94" s="51" t="str">
        <f>IF(AND('331-CT'!$E$7=TH!H94,OR(L94="331",M94="331")),"331",IF(AND(OR(L94="131",M94="131"),H94='131-CT'!$E$7),"131",""))</f>
        <v/>
      </c>
      <c r="O94" s="51" t="str">
        <f>IF(AND($B94&gt;='111'!$N$11,$B94&lt;='111'!$O$11,OR($L94=$O$7,$M94=$O$7)),"x","")</f>
        <v/>
      </c>
      <c r="P94" s="51" t="str">
        <f>IF(AND($L94=$O$7,$B94&lt;'111'!$N$11),"x","")</f>
        <v/>
      </c>
      <c r="Q94" s="51" t="str">
        <f>IF(AND($M94=$O$7,$B94&lt;'111'!$N$11),"x","")</f>
        <v/>
      </c>
      <c r="R94" s="51" t="str">
        <f>IF(ISERROR(FIND('112'!$M$9,G94,1)),"",IF((AND(FIND('112'!$M$9,G94,1)&gt;=1,$B94&gt;='112'!$N$8,$B94&lt;='112'!$O$8,OR($L94='112'!$I$6,$M94='112'!$I$6))),"x",""))</f>
        <v/>
      </c>
      <c r="S94" s="51" t="str">
        <f>IF(ISERROR(FIND('112'!$M$9,G94,1)),"",IF((AND(LEFT(G94,2)=LEFT('112'!$M$9,2),B94&lt;'112'!$N$8,$L94='112'!$I$6)),"x",""))</f>
        <v/>
      </c>
      <c r="T94" s="51" t="str">
        <f>IF(ISERROR(FIND('112'!$M$9,G94,1)),"",IF((AND(RIGHT(G94,2)=RIGHT('112'!$M$9,2),B94&lt;'112'!$N$8,$M94='112'!$I$6)),"x",""))</f>
        <v/>
      </c>
      <c r="U94" s="51" t="str">
        <f>IF(AND(L94="154",'154'!$O$5&lt;=B94,'154'!$P$5&gt;=B94),"154",IF(AND(L94="632",'632'!$L$5&lt;=B94,'632'!$M$5&gt;=B94),"632",IF(AND(L94="642",'642'!$N$5&lt;=B94,'642'!$O$5&gt;=B94),"642",IF(AND(L94="641",'641'!$N$5&lt;=B94,'641'!$O$5&gt;=B94),"641",""))))</f>
        <v/>
      </c>
      <c r="V94" s="51" t="str">
        <f>IF(OR(TH!L94=TH!$V$7,M94=TH!$V$7),"x","")</f>
        <v/>
      </c>
      <c r="W94" s="51" t="str">
        <f>IF(AND(B94&gt;='IN-NX'!$P$3,B94&lt;='IN-NX'!$Q$3,'IN-NX'!$D$7=D94,OR(LEFT(L94,2)="15",AND(LEFT(M94,2)&lt;&gt;"15",LEFT(M94,2)&lt;&gt;"33"))),"x","")</f>
        <v/>
      </c>
      <c r="X94" s="51" t="str">
        <f>IF(AND(OR(LEFT(TH!L94,2)="15",LEFT(TH!M94,2)="15"),'152-CT'!$J$8=TH!F94),"x","")</f>
        <v/>
      </c>
      <c r="Y94" s="51" t="str">
        <f>IF(AND(OR(LEFT(TH!L94,2)="15",LEFT(TH!M94,2)="15"),TK!$E$7=TH!F94),"x","")</f>
        <v/>
      </c>
      <c r="Z94" s="51" t="str">
        <f>IF(AND(B94&lt;=NKC!$N$8,B94&gt;=NKC!$M$8),"x","")</f>
        <v/>
      </c>
      <c r="AA94" s="803"/>
      <c r="AB94" s="565"/>
    </row>
    <row r="95" spans="1:31" ht="15.75" customHeight="1">
      <c r="A95" s="804" t="str">
        <f>IF(B95&lt;&gt;"",IF(AND(B95&gt;=_TM1,B95&lt;=_TM2,OR(TH!L95="1111",TH!M95="1111")),TH!D95,""),"")</f>
        <v/>
      </c>
      <c r="B95" s="36">
        <f t="shared" si="7"/>
        <v>2</v>
      </c>
      <c r="C95" s="189">
        <f t="shared" si="8"/>
        <v>42045</v>
      </c>
      <c r="D95" s="189" t="s">
        <v>421</v>
      </c>
      <c r="E95" s="182">
        <v>42045</v>
      </c>
      <c r="F95" s="926" t="s">
        <v>423</v>
      </c>
      <c r="G95" s="811" t="s">
        <v>415</v>
      </c>
      <c r="H95" s="202" t="s">
        <v>424</v>
      </c>
      <c r="I95" s="243"/>
      <c r="J95" s="243"/>
      <c r="K95" s="573">
        <v>21004460</v>
      </c>
      <c r="L95" s="192" t="s">
        <v>24</v>
      </c>
      <c r="M95" s="192" t="s">
        <v>250</v>
      </c>
      <c r="N95" s="51" t="str">
        <f>IF(AND('331-CT'!$E$7=TH!H95,OR(L95="331",M95="331")),"331",IF(AND(OR(L95="131",M95="131"),H95='131-CT'!$E$7),"131",""))</f>
        <v/>
      </c>
      <c r="O95" s="51" t="str">
        <f>IF(AND($B95&gt;='111'!$N$11,$B95&lt;='111'!$O$11,OR($L95=$O$7,$M95=$O$7)),"x","")</f>
        <v/>
      </c>
      <c r="P95" s="51" t="str">
        <f>IF(AND($L95=$O$7,$B95&lt;'111'!$N$11),"x","")</f>
        <v/>
      </c>
      <c r="Q95" s="51" t="str">
        <f>IF(AND($M95=$O$7,$B95&lt;'111'!$N$11),"x","")</f>
        <v/>
      </c>
      <c r="R95" s="51" t="str">
        <f>IF(ISERROR(FIND('112'!$M$9,G95,1)),"",IF((AND(FIND('112'!$M$9,G95,1)&gt;=1,$B95&gt;='112'!$N$8,$B95&lt;='112'!$O$8,OR($L95='112'!$I$6,$M95='112'!$I$6))),"x",""))</f>
        <v>x</v>
      </c>
      <c r="S95" s="51" t="str">
        <f>IF(ISERROR(FIND('112'!$M$9,G95,1)),"",IF((AND(LEFT(G95,2)=LEFT('112'!$M$9,2),B95&lt;'112'!$N$8,$L95='112'!$I$6)),"x",""))</f>
        <v/>
      </c>
      <c r="T95" s="51" t="str">
        <f>IF(ISERROR(FIND('112'!$M$9,G95,1)),"",IF((AND(RIGHT(G95,2)=RIGHT('112'!$M$9,2),B95&lt;'112'!$N$8,$M95='112'!$I$6)),"x",""))</f>
        <v/>
      </c>
      <c r="U95" s="51" t="str">
        <f>IF(AND(L95="154",'154'!$O$5&lt;=B95,'154'!$P$5&gt;=B95),"154",IF(AND(L95="632",'632'!$L$5&lt;=B95,'632'!$M$5&gt;=B95),"632",IF(AND(L95="642",'642'!$N$5&lt;=B95,'642'!$O$5&gt;=B95),"642",IF(AND(L95="641",'641'!$N$5&lt;=B95,'641'!$O$5&gt;=B95),"641",""))))</f>
        <v/>
      </c>
      <c r="V95" s="51" t="str">
        <f>IF(OR(TH!L95=TH!$V$7,M95=TH!$V$7),"x","")</f>
        <v/>
      </c>
      <c r="W95" s="51" t="str">
        <f>IF(AND(B95&gt;='IN-NX'!$P$3,B95&lt;='IN-NX'!$Q$3,'IN-NX'!$D$7=D95,OR(LEFT(L95,2)="15",AND(LEFT(M95,2)&lt;&gt;"15",LEFT(M95,2)&lt;&gt;"33"))),"x","")</f>
        <v/>
      </c>
      <c r="X95" s="51" t="str">
        <f>IF(AND(OR(LEFT(TH!L95,2)="15",LEFT(TH!M95,2)="15"),'152-CT'!$J$8=TH!F95),"x","")</f>
        <v/>
      </c>
      <c r="Y95" s="51" t="str">
        <f>IF(AND(OR(LEFT(TH!L95,2)="15",LEFT(TH!M95,2)="15"),TK!$E$7=TH!F95),"x","")</f>
        <v/>
      </c>
      <c r="Z95" s="51" t="str">
        <f>IF(AND(B95&lt;=NKC!$N$8,B95&gt;=NKC!$M$8),"x","")</f>
        <v/>
      </c>
      <c r="AA95" s="803"/>
      <c r="AB95" s="565"/>
    </row>
    <row r="96" spans="1:31" ht="15.75" customHeight="1">
      <c r="A96" s="804" t="str">
        <f>IF(B96&lt;&gt;"",IF(AND(B96&gt;=_TM1,B96&lt;=_TM2,OR(TH!L96="1111",TH!M96="1111")),TH!D96,""),"")</f>
        <v/>
      </c>
      <c r="B96" s="36">
        <f t="shared" si="7"/>
        <v>2</v>
      </c>
      <c r="C96" s="189">
        <f t="shared" si="8"/>
        <v>42045</v>
      </c>
      <c r="D96" s="189" t="s">
        <v>1352</v>
      </c>
      <c r="E96" s="182">
        <v>42045</v>
      </c>
      <c r="F96" s="187" t="s">
        <v>427</v>
      </c>
      <c r="G96" s="811" t="s">
        <v>415</v>
      </c>
      <c r="H96" s="7" t="s">
        <v>428</v>
      </c>
      <c r="I96" s="243"/>
      <c r="J96" s="243"/>
      <c r="K96" s="38">
        <v>21050000</v>
      </c>
      <c r="L96" s="192" t="s">
        <v>47</v>
      </c>
      <c r="M96" s="192" t="s">
        <v>24</v>
      </c>
      <c r="N96" s="51" t="str">
        <f>IF(AND('331-CT'!$E$7=TH!H96,OR(L96="331",M96="331")),"331",IF(AND(OR(L96="131",M96="131"),H96='131-CT'!$E$7),"131",""))</f>
        <v/>
      </c>
      <c r="O96" s="51" t="str">
        <f>IF(AND($B96&gt;='111'!$N$11,$B96&lt;='111'!$O$11,OR($L96=$O$7,$M96=$O$7)),"x","")</f>
        <v/>
      </c>
      <c r="P96" s="51" t="str">
        <f>IF(AND($L96=$O$7,$B96&lt;'111'!$N$11),"x","")</f>
        <v>x</v>
      </c>
      <c r="Q96" s="51" t="str">
        <f>IF(AND($M96=$O$7,$B96&lt;'111'!$N$11),"x","")</f>
        <v/>
      </c>
      <c r="R96" s="51" t="str">
        <f>IF(ISERROR(FIND('112'!$M$9,G96,1)),"",IF((AND(FIND('112'!$M$9,G96,1)&gt;=1,$B96&gt;='112'!$N$8,$B96&lt;='112'!$O$8,OR($L96='112'!$I$6,$M96='112'!$I$6))),"x",""))</f>
        <v>x</v>
      </c>
      <c r="S96" s="51" t="str">
        <f>IF(ISERROR(FIND('112'!$M$9,G96,1)),"",IF((AND(LEFT(G96,2)=LEFT('112'!$M$9,2),B96&lt;'112'!$N$8,$L96='112'!$I$6)),"x",""))</f>
        <v/>
      </c>
      <c r="T96" s="51" t="str">
        <f>IF(ISERROR(FIND('112'!$M$9,G96,1)),"",IF((AND(RIGHT(G96,2)=RIGHT('112'!$M$9,2),B96&lt;'112'!$N$8,$M96='112'!$I$6)),"x",""))</f>
        <v/>
      </c>
      <c r="U96" s="51" t="str">
        <f>IF(AND(L96="154",'154'!$O$5&lt;=B96,'154'!$P$5&gt;=B96),"154",IF(AND(L96="632",'632'!$L$5&lt;=B96,'632'!$M$5&gt;=B96),"632",IF(AND(L96="642",'642'!$N$5&lt;=B96,'642'!$O$5&gt;=B96),"642",IF(AND(L96="641",'641'!$N$5&lt;=B96,'641'!$O$5&gt;=B96),"641",""))))</f>
        <v/>
      </c>
      <c r="V96" s="51" t="str">
        <f>IF(OR(TH!L96=TH!$V$7,M96=TH!$V$7),"x","")</f>
        <v/>
      </c>
      <c r="W96" s="51" t="str">
        <f>IF(AND(B96&gt;='IN-NX'!$P$3,B96&lt;='IN-NX'!$Q$3,'IN-NX'!$D$7=D96,OR(LEFT(L96,2)="15",AND(LEFT(M96,2)&lt;&gt;"15",LEFT(M96,2)&lt;&gt;"33"))),"x","")</f>
        <v/>
      </c>
      <c r="X96" s="51" t="str">
        <f>IF(AND(OR(LEFT(TH!L96,2)="15",LEFT(TH!M96,2)="15"),'152-CT'!$J$8=TH!F96),"x","")</f>
        <v/>
      </c>
      <c r="Y96" s="51" t="str">
        <f>IF(AND(OR(LEFT(TH!L96,2)="15",LEFT(TH!M96,2)="15"),TK!$E$7=TH!F96),"x","")</f>
        <v/>
      </c>
      <c r="Z96" s="51" t="str">
        <f>IF(AND(B96&lt;=NKC!$N$8,B96&gt;=NKC!$M$8),"x","")</f>
        <v/>
      </c>
      <c r="AA96" s="803"/>
      <c r="AB96" s="565"/>
    </row>
    <row r="97" spans="1:31" s="565" customFormat="1" ht="15.75" customHeight="1">
      <c r="A97" s="804" t="str">
        <f>IF(B97&lt;&gt;"",IF(AND(B97&gt;=_TM1,B97&lt;=_TM2,OR(TH!L97="1111",TH!M97="1111")),TH!D97,""),"")</f>
        <v/>
      </c>
      <c r="B97" s="36">
        <f t="shared" si="7"/>
        <v>2</v>
      </c>
      <c r="C97" s="189">
        <f t="shared" si="8"/>
        <v>42049</v>
      </c>
      <c r="D97" s="189" t="s">
        <v>422</v>
      </c>
      <c r="E97" s="182">
        <v>42049</v>
      </c>
      <c r="F97" s="187" t="s">
        <v>425</v>
      </c>
      <c r="G97" s="811" t="s">
        <v>415</v>
      </c>
      <c r="H97" s="202"/>
      <c r="I97" s="243"/>
      <c r="J97" s="243"/>
      <c r="K97" s="38">
        <v>55000</v>
      </c>
      <c r="L97" s="192" t="s">
        <v>83</v>
      </c>
      <c r="M97" s="192" t="s">
        <v>24</v>
      </c>
      <c r="N97" s="51" t="str">
        <f>IF(AND('331-CT'!$E$7=TH!H97,OR(L97="331",M97="331")),"331",IF(AND(OR(L97="131",M97="131"),H97='131-CT'!$E$7),"131",""))</f>
        <v/>
      </c>
      <c r="O97" s="51" t="str">
        <f>IF(AND($B97&gt;='111'!$N$11,$B97&lt;='111'!$O$11,OR($L97=$O$7,$M97=$O$7)),"x","")</f>
        <v/>
      </c>
      <c r="P97" s="51" t="str">
        <f>IF(AND($L97=$O$7,$B97&lt;'111'!$N$11),"x","")</f>
        <v/>
      </c>
      <c r="Q97" s="51" t="str">
        <f>IF(AND($M97=$O$7,$B97&lt;'111'!$N$11),"x","")</f>
        <v/>
      </c>
      <c r="R97" s="51" t="str">
        <f>IF(ISERROR(FIND('112'!$M$9,G97,1)),"",IF((AND(FIND('112'!$M$9,G97,1)&gt;=1,$B97&gt;='112'!$N$8,$B97&lt;='112'!$O$8,OR($L97='112'!$I$6,$M97='112'!$I$6))),"x",""))</f>
        <v>x</v>
      </c>
      <c r="S97" s="51" t="str">
        <f>IF(ISERROR(FIND('112'!$M$9,G97,1)),"",IF((AND(LEFT(G97,2)=LEFT('112'!$M$9,2),B97&lt;'112'!$N$8,$L97='112'!$I$6)),"x",""))</f>
        <v/>
      </c>
      <c r="T97" s="51" t="str">
        <f>IF(ISERROR(FIND('112'!$M$9,G97,1)),"",IF((AND(RIGHT(G97,2)=RIGHT('112'!$M$9,2),B97&lt;'112'!$N$8,$M97='112'!$I$6)),"x",""))</f>
        <v/>
      </c>
      <c r="U97" s="51" t="str">
        <f>IF(AND(L97="154",'154'!$O$5&lt;=B97,'154'!$P$5&gt;=B97),"154",IF(AND(L97="632",'632'!$L$5&lt;=B97,'632'!$M$5&gt;=B97),"632",IF(AND(L97="642",'642'!$N$5&lt;=B97,'642'!$O$5&gt;=B97),"642",IF(AND(L97="641",'641'!$N$5&lt;=B97,'641'!$O$5&gt;=B97),"641",""))))</f>
        <v/>
      </c>
      <c r="V97" s="51" t="str">
        <f>IF(OR(TH!L97=TH!$V$7,M97=TH!$V$7),"x","")</f>
        <v>x</v>
      </c>
      <c r="W97" s="51" t="str">
        <f>IF(AND(B97&gt;='IN-NX'!$P$3,B97&lt;='IN-NX'!$Q$3,'IN-NX'!$D$7=D97,OR(LEFT(L97,2)="15",AND(LEFT(M97,2)&lt;&gt;"15",LEFT(M97,2)&lt;&gt;"33"))),"x","")</f>
        <v/>
      </c>
      <c r="X97" s="51" t="str">
        <f>IF(AND(OR(LEFT(TH!L97,2)="15",LEFT(TH!M97,2)="15"),'152-CT'!$J$8=TH!F97),"x","")</f>
        <v/>
      </c>
      <c r="Y97" s="51" t="str">
        <f>IF(AND(OR(LEFT(TH!L97,2)="15",LEFT(TH!M97,2)="15"),TK!$E$7=TH!F97),"x","")</f>
        <v/>
      </c>
      <c r="Z97" s="51" t="str">
        <f>IF(AND(B97&lt;=NKC!$N$8,B97&gt;=NKC!$M$8),"x","")</f>
        <v/>
      </c>
      <c r="AA97" s="803"/>
      <c r="AC97" s="203"/>
      <c r="AD97" s="203"/>
      <c r="AE97" s="203"/>
    </row>
    <row r="98" spans="1:31" s="565" customFormat="1" ht="15.75" customHeight="1">
      <c r="A98" s="804" t="str">
        <f>IF(B98&lt;&gt;"",IF(AND(B98&gt;=_TM1,B98&lt;=_TM2,OR(TH!L98="1111",TH!M98="1111")),TH!D98,""),"")</f>
        <v/>
      </c>
      <c r="B98" s="36">
        <f t="shared" si="7"/>
        <v>2</v>
      </c>
      <c r="C98" s="189">
        <f t="shared" si="8"/>
        <v>42050</v>
      </c>
      <c r="D98" s="189" t="s">
        <v>1358</v>
      </c>
      <c r="E98" s="189">
        <v>42050</v>
      </c>
      <c r="F98" s="922" t="s">
        <v>964</v>
      </c>
      <c r="G98" s="813" t="s">
        <v>977</v>
      </c>
      <c r="H98" s="191" t="s">
        <v>975</v>
      </c>
      <c r="I98" s="243"/>
      <c r="J98" s="243"/>
      <c r="K98" s="573">
        <v>2000000</v>
      </c>
      <c r="L98" s="574" t="s">
        <v>47</v>
      </c>
      <c r="M98" s="574" t="s">
        <v>408</v>
      </c>
      <c r="N98" s="51" t="str">
        <f>IF(AND('331-CT'!$E$7=TH!H98,OR(L98="331",M98="331")),"331",IF(AND(OR(L98="131",M98="131"),H98='131-CT'!$E$7),"131",""))</f>
        <v/>
      </c>
      <c r="O98" s="51" t="str">
        <f>IF(AND($B98&gt;='111'!$N$11,$B98&lt;='111'!$O$11,OR($L98=$O$7,$M98=$O$7)),"x","")</f>
        <v/>
      </c>
      <c r="P98" s="51" t="str">
        <f>IF(AND($L98=$O$7,$B98&lt;'111'!$N$11),"x","")</f>
        <v>x</v>
      </c>
      <c r="Q98" s="51" t="str">
        <f>IF(AND($M98=$O$7,$B98&lt;'111'!$N$11),"x","")</f>
        <v/>
      </c>
      <c r="R98" s="51" t="str">
        <f>IF(ISERROR(FIND('112'!$M$9,G98,1)),"",IF((AND(FIND('112'!$M$9,G98,1)&gt;=1,$B98&gt;='112'!$N$8,$B98&lt;='112'!$O$8,OR($L98='112'!$I$6,$M98='112'!$I$6))),"x",""))</f>
        <v/>
      </c>
      <c r="S98" s="51" t="str">
        <f>IF(ISERROR(FIND('112'!$M$9,G98,1)),"",IF((AND(LEFT(G98,2)=LEFT('112'!$M$9,2),B98&lt;'112'!$N$8,$L98='112'!$I$6)),"x",""))</f>
        <v/>
      </c>
      <c r="T98" s="51" t="str">
        <f>IF(ISERROR(FIND('112'!$M$9,G98,1)),"",IF((AND(RIGHT(G98,2)=RIGHT('112'!$M$9,2),B98&lt;'112'!$N$8,$M98='112'!$I$6)),"x",""))</f>
        <v/>
      </c>
      <c r="U98" s="51" t="str">
        <f>IF(AND(L98="154",'154'!$O$5&lt;=B98,'154'!$P$5&gt;=B98),"154",IF(AND(L98="632",'632'!$L$5&lt;=B98,'632'!$M$5&gt;=B98),"632",IF(AND(L98="642",'642'!$N$5&lt;=B98,'642'!$O$5&gt;=B98),"642",IF(AND(L98="641",'641'!$N$5&lt;=B98,'641'!$O$5&gt;=B98),"641",""))))</f>
        <v/>
      </c>
      <c r="V98" s="51" t="str">
        <f>IF(OR(TH!L98=TH!$V$7,M98=TH!$V$7),"x","")</f>
        <v/>
      </c>
      <c r="W98" s="51" t="str">
        <f>IF(AND(B98&gt;='IN-NX'!$P$3,B98&lt;='IN-NX'!$Q$3,'IN-NX'!$D$7=D98,OR(LEFT(L98,2)="15",AND(LEFT(M98,2)&lt;&gt;"15",LEFT(M98,2)&lt;&gt;"33"))),"x","")</f>
        <v/>
      </c>
      <c r="X98" s="51" t="str">
        <f>IF(AND(OR(LEFT(TH!L98,2)="15",LEFT(TH!M98,2)="15"),'152-CT'!$J$8=TH!F98),"x","")</f>
        <v/>
      </c>
      <c r="Y98" s="51" t="str">
        <f>IF(AND(OR(LEFT(TH!L98,2)="15",LEFT(TH!M98,2)="15"),TK!$E$7=TH!F98),"x","")</f>
        <v/>
      </c>
      <c r="Z98" s="51" t="str">
        <f>IF(AND(B98&lt;=NKC!$N$8,B98&gt;=NKC!$M$8),"x","")</f>
        <v/>
      </c>
      <c r="AA98" s="803"/>
      <c r="AC98" s="203"/>
      <c r="AD98" s="203"/>
      <c r="AE98" s="203"/>
    </row>
    <row r="99" spans="1:31" s="565" customFormat="1" ht="15.75" customHeight="1">
      <c r="A99" s="804" t="str">
        <f>IF(B99&lt;&gt;"",IF(AND(B99&gt;=_TM1,B99&lt;=_TM2,OR(TH!L99="1111",TH!M99="1111")),TH!D99,""),"")</f>
        <v/>
      </c>
      <c r="B99" s="36">
        <f t="shared" si="7"/>
        <v>2</v>
      </c>
      <c r="C99" s="189">
        <f t="shared" si="8"/>
        <v>42050</v>
      </c>
      <c r="D99" s="189" t="s">
        <v>1358</v>
      </c>
      <c r="E99" s="189">
        <v>42050</v>
      </c>
      <c r="F99" s="926" t="s">
        <v>1110</v>
      </c>
      <c r="G99" s="813" t="s">
        <v>977</v>
      </c>
      <c r="H99" s="191" t="s">
        <v>975</v>
      </c>
      <c r="I99" s="243"/>
      <c r="J99" s="243"/>
      <c r="K99" s="573">
        <v>200000</v>
      </c>
      <c r="L99" s="574" t="s">
        <v>47</v>
      </c>
      <c r="M99" s="574" t="s">
        <v>352</v>
      </c>
      <c r="N99" s="51" t="str">
        <f>IF(AND('331-CT'!$E$7=TH!H99,OR(L99="331",M99="331")),"331",IF(AND(OR(L99="131",M99="131"),H99='131-CT'!$E$7),"131",""))</f>
        <v/>
      </c>
      <c r="O99" s="51" t="str">
        <f>IF(AND($B99&gt;='111'!$N$11,$B99&lt;='111'!$O$11,OR($L99=$O$7,$M99=$O$7)),"x","")</f>
        <v/>
      </c>
      <c r="P99" s="51" t="str">
        <f>IF(AND($L99=$O$7,$B99&lt;'111'!$N$11),"x","")</f>
        <v>x</v>
      </c>
      <c r="Q99" s="51" t="str">
        <f>IF(AND($M99=$O$7,$B99&lt;'111'!$N$11),"x","")</f>
        <v/>
      </c>
      <c r="R99" s="51" t="str">
        <f>IF(ISERROR(FIND('112'!$M$9,G99,1)),"",IF((AND(FIND('112'!$M$9,G99,1)&gt;=1,$B99&gt;='112'!$N$8,$B99&lt;='112'!$O$8,OR($L99='112'!$I$6,$M99='112'!$I$6))),"x",""))</f>
        <v/>
      </c>
      <c r="S99" s="51" t="str">
        <f>IF(ISERROR(FIND('112'!$M$9,G99,1)),"",IF((AND(LEFT(G99,2)=LEFT('112'!$M$9,2),B99&lt;'112'!$N$8,$L99='112'!$I$6)),"x",""))</f>
        <v/>
      </c>
      <c r="T99" s="51" t="str">
        <f>IF(ISERROR(FIND('112'!$M$9,G99,1)),"",IF((AND(RIGHT(G99,2)=RIGHT('112'!$M$9,2),B99&lt;'112'!$N$8,$M99='112'!$I$6)),"x",""))</f>
        <v/>
      </c>
      <c r="U99" s="51" t="str">
        <f>IF(AND(L99="154",'154'!$O$5&lt;=B99,'154'!$P$5&gt;=B99),"154",IF(AND(L99="632",'632'!$L$5&lt;=B99,'632'!$M$5&gt;=B99),"632",IF(AND(L99="642",'642'!$N$5&lt;=B99,'642'!$O$5&gt;=B99),"642",IF(AND(L99="641",'641'!$N$5&lt;=B99,'641'!$O$5&gt;=B99),"641",""))))</f>
        <v/>
      </c>
      <c r="V99" s="51" t="str">
        <f>IF(OR(TH!L99=TH!$V$7,M99=TH!$V$7),"x","")</f>
        <v/>
      </c>
      <c r="W99" s="51" t="str">
        <f>IF(AND(B99&gt;='IN-NX'!$P$3,B99&lt;='IN-NX'!$Q$3,'IN-NX'!$D$7=D99,OR(LEFT(L99,2)="15",AND(LEFT(M99,2)&lt;&gt;"15",LEFT(M99,2)&lt;&gt;"33"))),"x","")</f>
        <v/>
      </c>
      <c r="X99" s="51" t="str">
        <f>IF(AND(OR(LEFT(TH!L99,2)="15",LEFT(TH!M99,2)="15"),'152-CT'!$J$8=TH!F99),"x","")</f>
        <v/>
      </c>
      <c r="Y99" s="51" t="str">
        <f>IF(AND(OR(LEFT(TH!L99,2)="15",LEFT(TH!M99,2)="15"),TK!$E$7=TH!F99),"x","")</f>
        <v/>
      </c>
      <c r="Z99" s="51" t="str">
        <f>IF(AND(B99&lt;=NKC!$N$8,B99&gt;=NKC!$M$8),"x","")</f>
        <v/>
      </c>
      <c r="AA99" s="803"/>
      <c r="AC99" s="203"/>
      <c r="AD99" s="203"/>
      <c r="AE99" s="203"/>
    </row>
    <row r="100" spans="1:31" ht="15.75" customHeight="1">
      <c r="A100" s="804" t="str">
        <f>IF(B100&lt;&gt;"",IF(AND(B100&gt;=_TM1,B100&lt;=_TM2,OR(TH!L100="1111",TH!M100="1111")),TH!D100,""),"")</f>
        <v/>
      </c>
      <c r="B100" s="36">
        <f t="shared" si="7"/>
        <v>2</v>
      </c>
      <c r="C100" s="189">
        <f t="shared" si="8"/>
        <v>42060</v>
      </c>
      <c r="D100" s="189" t="s">
        <v>422</v>
      </c>
      <c r="E100" s="182">
        <v>42060</v>
      </c>
      <c r="F100" s="187" t="s">
        <v>426</v>
      </c>
      <c r="G100" s="811" t="s">
        <v>415</v>
      </c>
      <c r="H100" s="202"/>
      <c r="I100" s="243"/>
      <c r="J100" s="243"/>
      <c r="K100" s="38">
        <v>11000</v>
      </c>
      <c r="L100" s="192" t="s">
        <v>83</v>
      </c>
      <c r="M100" s="192" t="s">
        <v>24</v>
      </c>
      <c r="N100" s="51" t="str">
        <f>IF(AND('331-CT'!$E$7=TH!H100,OR(L100="331",M100="331")),"331",IF(AND(OR(L100="131",M100="131"),H100='131-CT'!$E$7),"131",""))</f>
        <v/>
      </c>
      <c r="O100" s="51" t="str">
        <f>IF(AND($B100&gt;='111'!$N$11,$B100&lt;='111'!$O$11,OR($L100=$O$7,$M100=$O$7)),"x","")</f>
        <v/>
      </c>
      <c r="P100" s="51" t="str">
        <f>IF(AND($L100=$O$7,$B100&lt;'111'!$N$11),"x","")</f>
        <v/>
      </c>
      <c r="Q100" s="51" t="str">
        <f>IF(AND($M100=$O$7,$B100&lt;'111'!$N$11),"x","")</f>
        <v/>
      </c>
      <c r="R100" s="51" t="str">
        <f>IF(ISERROR(FIND('112'!$M$9,G100,1)),"",IF((AND(FIND('112'!$M$9,G100,1)&gt;=1,$B100&gt;='112'!$N$8,$B100&lt;='112'!$O$8,OR($L100='112'!$I$6,$M100='112'!$I$6))),"x",""))</f>
        <v>x</v>
      </c>
      <c r="S100" s="51" t="str">
        <f>IF(ISERROR(FIND('112'!$M$9,G100,1)),"",IF((AND(LEFT(G100,2)=LEFT('112'!$M$9,2),B100&lt;'112'!$N$8,$L100='112'!$I$6)),"x",""))</f>
        <v/>
      </c>
      <c r="T100" s="51" t="str">
        <f>IF(ISERROR(FIND('112'!$M$9,G100,1)),"",IF((AND(RIGHT(G100,2)=RIGHT('112'!$M$9,2),B100&lt;'112'!$N$8,$M100='112'!$I$6)),"x",""))</f>
        <v/>
      </c>
      <c r="U100" s="51" t="str">
        <f>IF(AND(L100="154",'154'!$O$5&lt;=B100,'154'!$P$5&gt;=B100),"154",IF(AND(L100="632",'632'!$L$5&lt;=B100,'632'!$M$5&gt;=B100),"632",IF(AND(L100="642",'642'!$N$5&lt;=B100,'642'!$O$5&gt;=B100),"642",IF(AND(L100="641",'641'!$N$5&lt;=B100,'641'!$O$5&gt;=B100),"641",""))))</f>
        <v/>
      </c>
      <c r="V100" s="51" t="str">
        <f>IF(OR(TH!L100=TH!$V$7,M100=TH!$V$7),"x","")</f>
        <v>x</v>
      </c>
      <c r="W100" s="51" t="str">
        <f>IF(AND(B100&gt;='IN-NX'!$P$3,B100&lt;='IN-NX'!$Q$3,'IN-NX'!$D$7=D100,OR(LEFT(L100,2)="15",AND(LEFT(M100,2)&lt;&gt;"15",LEFT(M100,2)&lt;&gt;"33"))),"x","")</f>
        <v/>
      </c>
      <c r="X100" s="51" t="str">
        <f>IF(AND(OR(LEFT(TH!L100,2)="15",LEFT(TH!M100,2)="15"),'152-CT'!$J$8=TH!F100),"x","")</f>
        <v/>
      </c>
      <c r="Y100" s="51" t="str">
        <f>IF(AND(OR(LEFT(TH!L100,2)="15",LEFT(TH!M100,2)="15"),TK!$E$7=TH!F100),"x","")</f>
        <v/>
      </c>
      <c r="Z100" s="51" t="str">
        <f>IF(AND(B100&lt;=NKC!$N$8,B100&gt;=NKC!$M$8),"x","")</f>
        <v/>
      </c>
      <c r="AA100" s="803"/>
      <c r="AB100" s="565"/>
    </row>
    <row r="101" spans="1:31" ht="15.75" customHeight="1">
      <c r="A101" s="804" t="str">
        <f>IF(B101&lt;&gt;"",IF(AND(B101&gt;=_TM1,B101&lt;=_TM2,OR(TH!L101="1111",TH!M101="1111")),TH!D101,""),"")</f>
        <v/>
      </c>
      <c r="B101" s="36">
        <f t="shared" si="7"/>
        <v>2</v>
      </c>
      <c r="C101" s="853">
        <f t="shared" si="8"/>
        <v>42063</v>
      </c>
      <c r="D101" s="853" t="s">
        <v>319</v>
      </c>
      <c r="E101" s="853">
        <v>42063</v>
      </c>
      <c r="F101" s="854" t="s">
        <v>1262</v>
      </c>
      <c r="G101" s="855"/>
      <c r="H101" s="856"/>
      <c r="I101" s="857"/>
      <c r="J101" s="857"/>
      <c r="K101" s="858">
        <v>11520000</v>
      </c>
      <c r="L101" s="859" t="s">
        <v>83</v>
      </c>
      <c r="M101" s="859" t="s">
        <v>252</v>
      </c>
      <c r="N101" s="51" t="str">
        <f>IF(AND('331-CT'!$E$7=TH!H101,OR(L101="331",M101="331")),"331",IF(AND(OR(L101="131",M101="131"),H101='131-CT'!$E$7),"131",""))</f>
        <v/>
      </c>
      <c r="O101" s="51" t="str">
        <f>IF(AND($B101&gt;='111'!$N$11,$B101&lt;='111'!$O$11,OR($L101=$O$7,$M101=$O$7)),"x","")</f>
        <v/>
      </c>
      <c r="P101" s="51" t="str">
        <f>IF(AND($L101=$O$7,$B101&lt;'111'!$N$11),"x","")</f>
        <v/>
      </c>
      <c r="Q101" s="51" t="str">
        <f>IF(AND($M101=$O$7,$B101&lt;'111'!$N$11),"x","")</f>
        <v/>
      </c>
      <c r="R101" s="51" t="str">
        <f>IF(ISERROR(FIND('112'!$M$9,G101,1)),"",IF((AND(FIND('112'!$M$9,G101,1)&gt;=1,$B101&gt;='112'!$N$8,$B101&lt;='112'!$O$8,OR($L101='112'!$I$6,$M101='112'!$I$6))),"x",""))</f>
        <v/>
      </c>
      <c r="S101" s="51" t="str">
        <f>IF(ISERROR(FIND('112'!$M$9,G101,1)),"",IF((AND(LEFT(G101,2)=LEFT('112'!$M$9,2),B101&lt;'112'!$N$8,$L101='112'!$I$6)),"x",""))</f>
        <v/>
      </c>
      <c r="T101" s="51" t="str">
        <f>IF(ISERROR(FIND('112'!$M$9,G101,1)),"",IF((AND(RIGHT(G101,2)=RIGHT('112'!$M$9,2),B101&lt;'112'!$N$8,$M101='112'!$I$6)),"x",""))</f>
        <v/>
      </c>
      <c r="U101" s="51" t="str">
        <f>IF(AND(L101="154",'154'!$O$5&lt;=B101,'154'!$P$5&gt;=B101),"154",IF(AND(L101="632",'632'!$L$5&lt;=B101,'632'!$M$5&gt;=B101),"632",IF(AND(L101="642",'642'!$N$5&lt;=B101,'642'!$O$5&gt;=B101),"642",IF(AND(L101="641",'641'!$N$5&lt;=B101,'641'!$O$5&gt;=B101),"641",""))))</f>
        <v/>
      </c>
      <c r="V101" s="51" t="str">
        <f>IF(OR(TH!L101=TH!$V$7,M101=TH!$V$7),"x","")</f>
        <v>x</v>
      </c>
      <c r="W101" s="51" t="str">
        <f>IF(AND(B101&gt;='IN-NX'!$P$3,B101&lt;='IN-NX'!$Q$3,'IN-NX'!$D$7=D101,OR(LEFT(L101,2)="15",AND(LEFT(M101,2)&lt;&gt;"15",LEFT(M101,2)&lt;&gt;"33"))),"x","")</f>
        <v/>
      </c>
      <c r="X101" s="51" t="str">
        <f>IF(AND(OR(LEFT(TH!L101,2)="15",LEFT(TH!M101,2)="15"),'152-CT'!$J$8=TH!F101),"x","")</f>
        <v/>
      </c>
      <c r="Y101" s="51" t="str">
        <f>IF(AND(OR(LEFT(TH!L101,2)="15",LEFT(TH!M101,2)="15"),TK!$E$7=TH!F101),"x","")</f>
        <v/>
      </c>
      <c r="Z101" s="51" t="str">
        <f>IF(AND(B101&lt;=NKC!$N$8,B101&gt;=NKC!$M$8),"x","")</f>
        <v/>
      </c>
      <c r="AA101" s="860"/>
      <c r="AB101" s="565"/>
      <c r="AE101" s="565"/>
    </row>
    <row r="102" spans="1:31" s="565" customFormat="1" ht="15.75" customHeight="1">
      <c r="A102" s="804" t="str">
        <f>IF(B102&lt;&gt;"",IF(AND(B102&gt;=_TM1,B102&lt;=_TM2,OR(TH!L102="1111",TH!M102="1111")),TH!D102,""),"")</f>
        <v/>
      </c>
      <c r="B102" s="36">
        <f t="shared" si="7"/>
        <v>2</v>
      </c>
      <c r="C102" s="853">
        <f t="shared" si="8"/>
        <v>42063</v>
      </c>
      <c r="D102" s="853" t="s">
        <v>319</v>
      </c>
      <c r="E102" s="853">
        <v>42063</v>
      </c>
      <c r="F102" s="854" t="s">
        <v>1263</v>
      </c>
      <c r="G102" s="855"/>
      <c r="H102" s="856"/>
      <c r="I102" s="857"/>
      <c r="J102" s="857"/>
      <c r="K102" s="858">
        <v>2980000</v>
      </c>
      <c r="L102" s="859" t="s">
        <v>160</v>
      </c>
      <c r="M102" s="859" t="s">
        <v>252</v>
      </c>
      <c r="N102" s="51" t="str">
        <f>IF(AND('331-CT'!$E$7=TH!H102,OR(L102="331",M102="331")),"331",IF(AND(OR(L102="131",M102="131"),H102='131-CT'!$E$7),"131",""))</f>
        <v/>
      </c>
      <c r="O102" s="51" t="str">
        <f>IF(AND($B102&gt;='111'!$N$11,$B102&lt;='111'!$O$11,OR($L102=$O$7,$M102=$O$7)),"x","")</f>
        <v/>
      </c>
      <c r="P102" s="51" t="str">
        <f>IF(AND($L102=$O$7,$B102&lt;'111'!$N$11),"x","")</f>
        <v/>
      </c>
      <c r="Q102" s="51" t="str">
        <f>IF(AND($M102=$O$7,$B102&lt;'111'!$N$11),"x","")</f>
        <v/>
      </c>
      <c r="R102" s="51" t="str">
        <f>IF(ISERROR(FIND('112'!$M$9,G102,1)),"",IF((AND(FIND('112'!$M$9,G102,1)&gt;=1,$B102&gt;='112'!$N$8,$B102&lt;='112'!$O$8,OR($L102='112'!$I$6,$M102='112'!$I$6))),"x",""))</f>
        <v/>
      </c>
      <c r="S102" s="51" t="str">
        <f>IF(ISERROR(FIND('112'!$M$9,G102,1)),"",IF((AND(LEFT(G102,2)=LEFT('112'!$M$9,2),B102&lt;'112'!$N$8,$L102='112'!$I$6)),"x",""))</f>
        <v/>
      </c>
      <c r="T102" s="51" t="str">
        <f>IF(ISERROR(FIND('112'!$M$9,G102,1)),"",IF((AND(RIGHT(G102,2)=RIGHT('112'!$M$9,2),B102&lt;'112'!$N$8,$M102='112'!$I$6)),"x",""))</f>
        <v/>
      </c>
      <c r="U102" s="51" t="str">
        <f>IF(AND(L102="154",'154'!$O$5&lt;=B102,'154'!$P$5&gt;=B102),"154",IF(AND(L102="632",'632'!$L$5&lt;=B102,'632'!$M$5&gt;=B102),"632",IF(AND(L102="642",'642'!$N$5&lt;=B102,'642'!$O$5&gt;=B102),"642",IF(AND(L102="641",'641'!$N$5&lt;=B102,'641'!$O$5&gt;=B102),"641",""))))</f>
        <v/>
      </c>
      <c r="V102" s="51" t="str">
        <f>IF(OR(TH!L102=TH!$V$7,M102=TH!$V$7),"x","")</f>
        <v/>
      </c>
      <c r="W102" s="51" t="str">
        <f>IF(AND(B102&gt;='IN-NX'!$P$3,B102&lt;='IN-NX'!$Q$3,'IN-NX'!$D$7=D102,OR(LEFT(L102,2)="15",AND(LEFT(M102,2)&lt;&gt;"15",LEFT(M102,2)&lt;&gt;"33"))),"x","")</f>
        <v/>
      </c>
      <c r="X102" s="51" t="str">
        <f>IF(AND(OR(LEFT(TH!L102,2)="15",LEFT(TH!M102,2)="15"),'152-CT'!$J$8=TH!F102),"x","")</f>
        <v/>
      </c>
      <c r="Y102" s="51" t="str">
        <f>IF(AND(OR(LEFT(TH!L102,2)="15",LEFT(TH!M102,2)="15"),TK!$E$7=TH!F102),"x","")</f>
        <v/>
      </c>
      <c r="Z102" s="51" t="str">
        <f>IF(AND(B102&lt;=NKC!$N$8,B102&gt;=NKC!$M$8),"x","")</f>
        <v/>
      </c>
      <c r="AA102" s="860"/>
      <c r="AC102" s="203"/>
      <c r="AD102" s="203"/>
    </row>
    <row r="103" spans="1:31" s="565" customFormat="1" ht="15.75" customHeight="1">
      <c r="A103" s="804" t="str">
        <f>IF(B103&lt;&gt;"",IF(AND(B103&gt;=_TM1,B103&lt;=_TM2,OR(TH!L103="1111",TH!M103="1111")),TH!D103,""),"")</f>
        <v/>
      </c>
      <c r="B103" s="36">
        <f t="shared" si="7"/>
        <v>2</v>
      </c>
      <c r="C103" s="853">
        <f t="shared" si="8"/>
        <v>42063</v>
      </c>
      <c r="D103" s="861" t="s">
        <v>1355</v>
      </c>
      <c r="E103" s="853">
        <v>42063</v>
      </c>
      <c r="F103" s="854" t="s">
        <v>1276</v>
      </c>
      <c r="G103" s="855"/>
      <c r="H103" s="7" t="s">
        <v>437</v>
      </c>
      <c r="I103" s="857"/>
      <c r="J103" s="857"/>
      <c r="K103" s="858">
        <f>K101+K102</f>
        <v>14500000</v>
      </c>
      <c r="L103" s="859" t="s">
        <v>252</v>
      </c>
      <c r="M103" s="859" t="s">
        <v>47</v>
      </c>
      <c r="N103" s="51" t="str">
        <f>IF(AND('331-CT'!$E$7=TH!H103,OR(L103="331",M103="331")),"331",IF(AND(OR(L103="131",M103="131"),H103='131-CT'!$E$7),"131",""))</f>
        <v/>
      </c>
      <c r="O103" s="51" t="str">
        <f>IF(AND($B103&gt;='111'!$N$11,$B103&lt;='111'!$O$11,OR($L103=$O$7,$M103=$O$7)),"x","")</f>
        <v/>
      </c>
      <c r="P103" s="51" t="str">
        <f>IF(AND($L103=$O$7,$B103&lt;'111'!$N$11),"x","")</f>
        <v/>
      </c>
      <c r="Q103" s="51" t="str">
        <f>IF(AND($M103=$O$7,$B103&lt;'111'!$N$11),"x","")</f>
        <v>x</v>
      </c>
      <c r="R103" s="51" t="str">
        <f>IF(ISERROR(FIND('112'!$M$9,G103,1)),"",IF((AND(FIND('112'!$M$9,G103,1)&gt;=1,$B103&gt;='112'!$N$8,$B103&lt;='112'!$O$8,OR($L103='112'!$I$6,$M103='112'!$I$6))),"x",""))</f>
        <v/>
      </c>
      <c r="S103" s="51" t="str">
        <f>IF(ISERROR(FIND('112'!$M$9,G103,1)),"",IF((AND(LEFT(G103,2)=LEFT('112'!$M$9,2),B103&lt;'112'!$N$8,$L103='112'!$I$6)),"x",""))</f>
        <v/>
      </c>
      <c r="T103" s="51" t="str">
        <f>IF(ISERROR(FIND('112'!$M$9,G103,1)),"",IF((AND(RIGHT(G103,2)=RIGHT('112'!$M$9,2),B103&lt;'112'!$N$8,$M103='112'!$I$6)),"x",""))</f>
        <v/>
      </c>
      <c r="U103" s="51" t="str">
        <f>IF(AND(L103="154",'154'!$O$5&lt;=B103,'154'!$P$5&gt;=B103),"154",IF(AND(L103="632",'632'!$L$5&lt;=B103,'632'!$M$5&gt;=B103),"632",IF(AND(L103="642",'642'!$N$5&lt;=B103,'642'!$O$5&gt;=B103),"642",IF(AND(L103="641",'641'!$N$5&lt;=B103,'641'!$O$5&gt;=B103),"641",""))))</f>
        <v/>
      </c>
      <c r="V103" s="51" t="str">
        <f>IF(OR(TH!L103=TH!$V$7,M103=TH!$V$7),"x","")</f>
        <v/>
      </c>
      <c r="W103" s="51" t="str">
        <f>IF(AND(B103&gt;='IN-NX'!$P$3,B103&lt;='IN-NX'!$Q$3,'IN-NX'!$D$7=D103,OR(LEFT(L103,2)="15",AND(LEFT(M103,2)&lt;&gt;"15",LEFT(M103,2)&lt;&gt;"33"))),"x","")</f>
        <v/>
      </c>
      <c r="X103" s="51" t="str">
        <f>IF(AND(OR(LEFT(TH!L103,2)="15",LEFT(TH!M103,2)="15"),'152-CT'!$J$8=TH!F103),"x","")</f>
        <v/>
      </c>
      <c r="Y103" s="51" t="str">
        <f>IF(AND(OR(LEFT(TH!L103,2)="15",LEFT(TH!M103,2)="15"),TK!$E$7=TH!F103),"x","")</f>
        <v/>
      </c>
      <c r="Z103" s="51" t="str">
        <f>IF(AND(B103&lt;=NKC!$N$8,B103&gt;=NKC!$M$8),"x","")</f>
        <v/>
      </c>
      <c r="AA103" s="860"/>
      <c r="AC103" s="203"/>
      <c r="AD103" s="203"/>
    </row>
    <row r="104" spans="1:31" s="565" customFormat="1" ht="15.75" customHeight="1">
      <c r="A104" s="804" t="str">
        <f>IF(B104&lt;&gt;"",IF(AND(B104&gt;=_TM1,B104&lt;=_TM2,OR(TH!L104="1111",TH!M104="1111")),TH!D104,""),"")</f>
        <v/>
      </c>
      <c r="B104" s="661">
        <f t="shared" si="7"/>
        <v>2</v>
      </c>
      <c r="C104" s="830">
        <f t="shared" si="8"/>
        <v>42063</v>
      </c>
      <c r="D104" s="830" t="s">
        <v>1357</v>
      </c>
      <c r="E104" s="830">
        <v>42063</v>
      </c>
      <c r="F104" s="836" t="s">
        <v>1460</v>
      </c>
      <c r="G104" s="849"/>
      <c r="H104" s="914" t="s">
        <v>428</v>
      </c>
      <c r="I104" s="241"/>
      <c r="J104" s="241"/>
      <c r="K104" s="834">
        <v>5000000</v>
      </c>
      <c r="L104" s="851" t="s">
        <v>83</v>
      </c>
      <c r="M104" s="851" t="s">
        <v>47</v>
      </c>
      <c r="N104" s="51" t="str">
        <f>IF(AND('331-CT'!$E$7=TH!H104,OR(L104="331",M104="331")),"331",IF(AND(OR(L104="131",M104="131"),H104='131-CT'!$E$7),"131",""))</f>
        <v/>
      </c>
      <c r="O104" s="51" t="str">
        <f>IF(AND($B104&gt;='111'!$N$11,$B104&lt;='111'!$O$11,OR($L104=$O$7,$M104=$O$7)),"x","")</f>
        <v/>
      </c>
      <c r="P104" s="51" t="str">
        <f>IF(AND($L104=$O$7,$B104&lt;'111'!$N$11),"x","")</f>
        <v/>
      </c>
      <c r="Q104" s="51" t="str">
        <f>IF(AND($M104=$O$7,$B104&lt;'111'!$N$11),"x","")</f>
        <v>x</v>
      </c>
      <c r="R104" s="51" t="str">
        <f>IF(ISERROR(FIND('112'!$M$9,G104,1)),"",IF((AND(FIND('112'!$M$9,G104,1)&gt;=1,$B104&gt;='112'!$N$8,$B104&lt;='112'!$O$8,OR($L104='112'!$I$6,$M104='112'!$I$6))),"x",""))</f>
        <v/>
      </c>
      <c r="S104" s="51" t="str">
        <f>IF(ISERROR(FIND('112'!$M$9,G104,1)),"",IF((AND(LEFT(G104,2)=LEFT('112'!$M$9,2),B104&lt;'112'!$N$8,$L104='112'!$I$6)),"x",""))</f>
        <v/>
      </c>
      <c r="T104" s="51" t="str">
        <f>IF(ISERROR(FIND('112'!$M$9,G104,1)),"",IF((AND(RIGHT(G104,2)=RIGHT('112'!$M$9,2),B104&lt;'112'!$N$8,$M104='112'!$I$6)),"x",""))</f>
        <v/>
      </c>
      <c r="U104" s="51" t="str">
        <f>IF(AND(L104="154",'154'!$O$5&lt;=B104,'154'!$P$5&gt;=B104),"154",IF(AND(L104="632",'632'!$L$5&lt;=B104,'632'!$M$5&gt;=B104),"632",IF(AND(L104="642",'642'!$N$5&lt;=B104,'642'!$O$5&gt;=B104),"642",IF(AND(L104="641",'641'!$N$5&lt;=B104,'641'!$O$5&gt;=B104),"641",""))))</f>
        <v/>
      </c>
      <c r="V104" s="51" t="str">
        <f>IF(OR(TH!L104=TH!$V$7,M104=TH!$V$7),"x","")</f>
        <v>x</v>
      </c>
      <c r="W104" s="51" t="str">
        <f>IF(AND(B104&gt;='IN-NX'!$P$3,B104&lt;='IN-NX'!$Q$3,'IN-NX'!$D$7=D104,OR(LEFT(L104,2)="15",AND(LEFT(M104,2)&lt;&gt;"15",LEFT(M104,2)&lt;&gt;"33"))),"x","")</f>
        <v/>
      </c>
      <c r="X104" s="51" t="str">
        <f>IF(AND(OR(LEFT(TH!L104,2)="15",LEFT(TH!M104,2)="15"),'152-CT'!$J$8=TH!F104),"x","")</f>
        <v/>
      </c>
      <c r="Y104" s="51" t="str">
        <f>IF(AND(OR(LEFT(TH!L104,2)="15",LEFT(TH!M104,2)="15"),TK!$E$7=TH!F104),"x","")</f>
        <v/>
      </c>
      <c r="Z104" s="51" t="str">
        <f>IF(AND(B104&lt;=NKC!$N$8,B104&gt;=NKC!$M$8),"x","")</f>
        <v/>
      </c>
      <c r="AA104" s="915"/>
      <c r="AB104" s="662"/>
      <c r="AC104" s="916"/>
      <c r="AD104" s="916"/>
    </row>
    <row r="105" spans="1:31" s="565" customFormat="1" ht="15.75" customHeight="1">
      <c r="A105" s="804" t="str">
        <f>IF(B105&lt;&gt;"",IF(AND(B105&gt;=_TM1,B105&lt;=_TM2,OR(TH!L105="1111",TH!M105="1111")),TH!D105,""),"")</f>
        <v/>
      </c>
      <c r="B105" s="36">
        <f t="shared" si="7"/>
        <v>3</v>
      </c>
      <c r="C105" s="189">
        <f t="shared" si="8"/>
        <v>42066</v>
      </c>
      <c r="D105" s="189" t="s">
        <v>1353</v>
      </c>
      <c r="E105" s="817">
        <v>42066</v>
      </c>
      <c r="F105" s="190" t="s">
        <v>497</v>
      </c>
      <c r="G105" s="813" t="s">
        <v>495</v>
      </c>
      <c r="H105" s="191" t="s">
        <v>494</v>
      </c>
      <c r="I105" s="243">
        <v>40</v>
      </c>
      <c r="J105" s="243">
        <v>40680</v>
      </c>
      <c r="K105" s="573">
        <f t="shared" ref="K105:K110" si="9">ROUND(I105*J105,0)</f>
        <v>1627200</v>
      </c>
      <c r="L105" s="574" t="s">
        <v>417</v>
      </c>
      <c r="M105" s="574" t="s">
        <v>8</v>
      </c>
      <c r="N105" s="51" t="str">
        <f>IF(AND('331-CT'!$E$7=TH!H105,OR(L105="331",M105="331")),"331",IF(AND(OR(L105="131",M105="131"),H105='131-CT'!$E$7),"131",""))</f>
        <v/>
      </c>
      <c r="O105" s="51" t="str">
        <f>IF(AND($B105&gt;='111'!$N$11,$B105&lt;='111'!$O$11,OR($L105=$O$7,$M105=$O$7)),"x","")</f>
        <v/>
      </c>
      <c r="P105" s="51" t="str">
        <f>IF(AND($L105=$O$7,$B105&lt;'111'!$N$11),"x","")</f>
        <v/>
      </c>
      <c r="Q105" s="51" t="str">
        <f>IF(AND($M105=$O$7,$B105&lt;'111'!$N$11),"x","")</f>
        <v/>
      </c>
      <c r="R105" s="51" t="str">
        <f>IF(ISERROR(FIND('112'!$M$9,G105,1)),"",IF((AND(FIND('112'!$M$9,G105,1)&gt;=1,$B105&gt;='112'!$N$8,$B105&lt;='112'!$O$8,OR($L105='112'!$I$6,$M105='112'!$I$6))),"x",""))</f>
        <v/>
      </c>
      <c r="S105" s="51" t="str">
        <f>IF(ISERROR(FIND('112'!$M$9,G105,1)),"",IF((AND(LEFT(G105,2)=LEFT('112'!$M$9,2),B105&lt;'112'!$N$8,$L105='112'!$I$6)),"x",""))</f>
        <v/>
      </c>
      <c r="T105" s="51" t="str">
        <f>IF(ISERROR(FIND('112'!$M$9,G105,1)),"",IF((AND(RIGHT(G105,2)=RIGHT('112'!$M$9,2),B105&lt;'112'!$N$8,$M105='112'!$I$6)),"x",""))</f>
        <v/>
      </c>
      <c r="U105" s="51" t="str">
        <f>IF(AND(L105="154",'154'!$O$5&lt;=B105,'154'!$P$5&gt;=B105),"154",IF(AND(L105="632",'632'!$L$5&lt;=B105,'632'!$M$5&gt;=B105),"632",IF(AND(L105="642",'642'!$N$5&lt;=B105,'642'!$O$5&gt;=B105),"642",IF(AND(L105="641",'641'!$N$5&lt;=B105,'641'!$O$5&gt;=B105),"641",""))))</f>
        <v/>
      </c>
      <c r="V105" s="51" t="str">
        <f>IF(OR(TH!L105=TH!$V$7,M105=TH!$V$7),"x","")</f>
        <v/>
      </c>
      <c r="W105" s="51" t="str">
        <f>IF(AND(B105&gt;='IN-NX'!$P$3,B105&lt;='IN-NX'!$Q$3,'IN-NX'!$D$7=D105,OR(LEFT(L105,2)="15",AND(LEFT(M105,2)&lt;&gt;"15",LEFT(M105,2)&lt;&gt;"33"))),"x","")</f>
        <v/>
      </c>
      <c r="X105" s="51" t="str">
        <f>IF(AND(OR(LEFT(TH!L105,2)="15",LEFT(TH!M105,2)="15"),'152-CT'!$J$8=TH!F105),"x","")</f>
        <v/>
      </c>
      <c r="Y105" s="51" t="str">
        <f>IF(AND(OR(LEFT(TH!L105,2)="15",LEFT(TH!M105,2)="15"),TK!$E$7=TH!F105),"x","")</f>
        <v/>
      </c>
      <c r="Z105" s="51" t="str">
        <f>IF(AND(B105&lt;=NKC!$N$8,B105&gt;=NKC!$M$8),"x","")</f>
        <v/>
      </c>
      <c r="AA105" s="803"/>
      <c r="AC105" s="203"/>
      <c r="AD105" s="203"/>
      <c r="AE105" s="203"/>
    </row>
    <row r="106" spans="1:31" s="565" customFormat="1" ht="15.75" customHeight="1">
      <c r="A106" s="804" t="str">
        <f>IF(B106&lt;&gt;"",IF(AND(B106&gt;=_TM1,B106&lt;=_TM2,OR(TH!L106="1111",TH!M106="1111")),TH!D106,""),"")</f>
        <v/>
      </c>
      <c r="B106" s="36">
        <f t="shared" si="7"/>
        <v>3</v>
      </c>
      <c r="C106" s="189">
        <f t="shared" si="8"/>
        <v>42066</v>
      </c>
      <c r="D106" s="189" t="s">
        <v>1353</v>
      </c>
      <c r="E106" s="817">
        <v>42066</v>
      </c>
      <c r="F106" s="922" t="s">
        <v>498</v>
      </c>
      <c r="G106" s="813" t="s">
        <v>495</v>
      </c>
      <c r="H106" s="191" t="s">
        <v>494</v>
      </c>
      <c r="I106" s="243">
        <v>600</v>
      </c>
      <c r="J106" s="243">
        <v>6030</v>
      </c>
      <c r="K106" s="573">
        <f t="shared" si="9"/>
        <v>3618000</v>
      </c>
      <c r="L106" s="574" t="s">
        <v>417</v>
      </c>
      <c r="M106" s="574" t="s">
        <v>8</v>
      </c>
      <c r="N106" s="51" t="str">
        <f>IF(AND('331-CT'!$E$7=TH!H106,OR(L106="331",M106="331")),"331",IF(AND(OR(L106="131",M106="131"),H106='131-CT'!$E$7),"131",""))</f>
        <v/>
      </c>
      <c r="O106" s="51" t="str">
        <f>IF(AND($B106&gt;='111'!$N$11,$B106&lt;='111'!$O$11,OR($L106=$O$7,$M106=$O$7)),"x","")</f>
        <v/>
      </c>
      <c r="P106" s="51" t="str">
        <f>IF(AND($L106=$O$7,$B106&lt;'111'!$N$11),"x","")</f>
        <v/>
      </c>
      <c r="Q106" s="51" t="str">
        <f>IF(AND($M106=$O$7,$B106&lt;'111'!$N$11),"x","")</f>
        <v/>
      </c>
      <c r="R106" s="51" t="str">
        <f>IF(ISERROR(FIND('112'!$M$9,G106,1)),"",IF((AND(FIND('112'!$M$9,G106,1)&gt;=1,$B106&gt;='112'!$N$8,$B106&lt;='112'!$O$8,OR($L106='112'!$I$6,$M106='112'!$I$6))),"x",""))</f>
        <v/>
      </c>
      <c r="S106" s="51" t="str">
        <f>IF(ISERROR(FIND('112'!$M$9,G106,1)),"",IF((AND(LEFT(G106,2)=LEFT('112'!$M$9,2),B106&lt;'112'!$N$8,$L106='112'!$I$6)),"x",""))</f>
        <v/>
      </c>
      <c r="T106" s="51" t="str">
        <f>IF(ISERROR(FIND('112'!$M$9,G106,1)),"",IF((AND(RIGHT(G106,2)=RIGHT('112'!$M$9,2),B106&lt;'112'!$N$8,$M106='112'!$I$6)),"x",""))</f>
        <v/>
      </c>
      <c r="U106" s="51" t="str">
        <f>IF(AND(L106="154",'154'!$O$5&lt;=B106,'154'!$P$5&gt;=B106),"154",IF(AND(L106="632",'632'!$L$5&lt;=B106,'632'!$M$5&gt;=B106),"632",IF(AND(L106="642",'642'!$N$5&lt;=B106,'642'!$O$5&gt;=B106),"642",IF(AND(L106="641",'641'!$N$5&lt;=B106,'641'!$O$5&gt;=B106),"641",""))))</f>
        <v/>
      </c>
      <c r="V106" s="51" t="str">
        <f>IF(OR(TH!L106=TH!$V$7,M106=TH!$V$7),"x","")</f>
        <v/>
      </c>
      <c r="W106" s="51" t="str">
        <f>IF(AND(B106&gt;='IN-NX'!$P$3,B106&lt;='IN-NX'!$Q$3,'IN-NX'!$D$7=D106,OR(LEFT(L106,2)="15",AND(LEFT(M106,2)&lt;&gt;"15",LEFT(M106,2)&lt;&gt;"33"))),"x","")</f>
        <v/>
      </c>
      <c r="X106" s="51" t="str">
        <f>IF(AND(OR(LEFT(TH!L106,2)="15",LEFT(TH!M106,2)="15"),'152-CT'!$J$8=TH!F106),"x","")</f>
        <v/>
      </c>
      <c r="Y106" s="51" t="str">
        <f>IF(AND(OR(LEFT(TH!L106,2)="15",LEFT(TH!M106,2)="15"),TK!$E$7=TH!F106),"x","")</f>
        <v/>
      </c>
      <c r="Z106" s="51" t="str">
        <f>IF(AND(B106&lt;=NKC!$N$8,B106&gt;=NKC!$M$8),"x","")</f>
        <v/>
      </c>
      <c r="AA106" s="803"/>
      <c r="AC106" s="203"/>
      <c r="AD106" s="203"/>
      <c r="AE106" s="203"/>
    </row>
    <row r="107" spans="1:31" s="565" customFormat="1" ht="15.75" customHeight="1">
      <c r="A107" s="804" t="str">
        <f>IF(B107&lt;&gt;"",IF(AND(B107&gt;=_TM1,B107&lt;=_TM2,OR(TH!L107="1111",TH!M107="1111")),TH!D107,""),"")</f>
        <v/>
      </c>
      <c r="B107" s="36">
        <f t="shared" si="7"/>
        <v>3</v>
      </c>
      <c r="C107" s="189">
        <f t="shared" si="8"/>
        <v>42066</v>
      </c>
      <c r="D107" s="189" t="s">
        <v>1353</v>
      </c>
      <c r="E107" s="817">
        <v>42066</v>
      </c>
      <c r="F107" s="922" t="s">
        <v>497</v>
      </c>
      <c r="G107" s="813" t="s">
        <v>495</v>
      </c>
      <c r="H107" s="191" t="s">
        <v>494</v>
      </c>
      <c r="I107" s="243">
        <v>120</v>
      </c>
      <c r="J107" s="243">
        <v>40680</v>
      </c>
      <c r="K107" s="573">
        <f t="shared" si="9"/>
        <v>4881600</v>
      </c>
      <c r="L107" s="574" t="s">
        <v>417</v>
      </c>
      <c r="M107" s="574" t="s">
        <v>8</v>
      </c>
      <c r="N107" s="51" t="str">
        <f>IF(AND('331-CT'!$E$7=TH!H107,OR(L107="331",M107="331")),"331",IF(AND(OR(L107="131",M107="131"),H107='131-CT'!$E$7),"131",""))</f>
        <v/>
      </c>
      <c r="O107" s="51" t="str">
        <f>IF(AND($B107&gt;='111'!$N$11,$B107&lt;='111'!$O$11,OR($L107=$O$7,$M107=$O$7)),"x","")</f>
        <v/>
      </c>
      <c r="P107" s="51" t="str">
        <f>IF(AND($L107=$O$7,$B107&lt;'111'!$N$11),"x","")</f>
        <v/>
      </c>
      <c r="Q107" s="51" t="str">
        <f>IF(AND($M107=$O$7,$B107&lt;'111'!$N$11),"x","")</f>
        <v/>
      </c>
      <c r="R107" s="51" t="str">
        <f>IF(ISERROR(FIND('112'!$M$9,G107,1)),"",IF((AND(FIND('112'!$M$9,G107,1)&gt;=1,$B107&gt;='112'!$N$8,$B107&lt;='112'!$O$8,OR($L107='112'!$I$6,$M107='112'!$I$6))),"x",""))</f>
        <v/>
      </c>
      <c r="S107" s="51" t="str">
        <f>IF(ISERROR(FIND('112'!$M$9,G107,1)),"",IF((AND(LEFT(G107,2)=LEFT('112'!$M$9,2),B107&lt;'112'!$N$8,$L107='112'!$I$6)),"x",""))</f>
        <v/>
      </c>
      <c r="T107" s="51" t="str">
        <f>IF(ISERROR(FIND('112'!$M$9,G107,1)),"",IF((AND(RIGHT(G107,2)=RIGHT('112'!$M$9,2),B107&lt;'112'!$N$8,$M107='112'!$I$6)),"x",""))</f>
        <v/>
      </c>
      <c r="U107" s="51" t="str">
        <f>IF(AND(L107="154",'154'!$O$5&lt;=B107,'154'!$P$5&gt;=B107),"154",IF(AND(L107="632",'632'!$L$5&lt;=B107,'632'!$M$5&gt;=B107),"632",IF(AND(L107="642",'642'!$N$5&lt;=B107,'642'!$O$5&gt;=B107),"642",IF(AND(L107="641",'641'!$N$5&lt;=B107,'641'!$O$5&gt;=B107),"641",""))))</f>
        <v/>
      </c>
      <c r="V107" s="51" t="str">
        <f>IF(OR(TH!L107=TH!$V$7,M107=TH!$V$7),"x","")</f>
        <v/>
      </c>
      <c r="W107" s="51" t="str">
        <f>IF(AND(B107&gt;='IN-NX'!$P$3,B107&lt;='IN-NX'!$Q$3,'IN-NX'!$D$7=D107,OR(LEFT(L107,2)="15",AND(LEFT(M107,2)&lt;&gt;"15",LEFT(M107,2)&lt;&gt;"33"))),"x","")</f>
        <v/>
      </c>
      <c r="X107" s="51" t="str">
        <f>IF(AND(OR(LEFT(TH!L107,2)="15",LEFT(TH!M107,2)="15"),'152-CT'!$J$8=TH!F107),"x","")</f>
        <v/>
      </c>
      <c r="Y107" s="51" t="str">
        <f>IF(AND(OR(LEFT(TH!L107,2)="15",LEFT(TH!M107,2)="15"),TK!$E$7=TH!F107),"x","")</f>
        <v/>
      </c>
      <c r="Z107" s="51" t="str">
        <f>IF(AND(B107&lt;=NKC!$N$8,B107&gt;=NKC!$M$8),"x","")</f>
        <v/>
      </c>
      <c r="AA107" s="803"/>
      <c r="AC107" s="203"/>
      <c r="AD107" s="203"/>
      <c r="AE107" s="203"/>
    </row>
    <row r="108" spans="1:31" s="565" customFormat="1" ht="15.75" customHeight="1">
      <c r="A108" s="804" t="str">
        <f>IF(B108&lt;&gt;"",IF(AND(B108&gt;=_TM1,B108&lt;=_TM2,OR(TH!L108="1111",TH!M108="1111")),TH!D108,""),"")</f>
        <v/>
      </c>
      <c r="B108" s="36">
        <f t="shared" si="7"/>
        <v>3</v>
      </c>
      <c r="C108" s="189">
        <f t="shared" si="8"/>
        <v>42066</v>
      </c>
      <c r="D108" s="189" t="s">
        <v>1353</v>
      </c>
      <c r="E108" s="817">
        <v>42066</v>
      </c>
      <c r="F108" s="190" t="s">
        <v>499</v>
      </c>
      <c r="G108" s="813" t="s">
        <v>495</v>
      </c>
      <c r="H108" s="191" t="s">
        <v>494</v>
      </c>
      <c r="I108" s="243">
        <v>110</v>
      </c>
      <c r="J108" s="243">
        <v>13230</v>
      </c>
      <c r="K108" s="573">
        <f t="shared" si="9"/>
        <v>1455300</v>
      </c>
      <c r="L108" s="574" t="s">
        <v>417</v>
      </c>
      <c r="M108" s="574" t="s">
        <v>8</v>
      </c>
      <c r="N108" s="51" t="str">
        <f>IF(AND('331-CT'!$E$7=TH!H108,OR(L108="331",M108="331")),"331",IF(AND(OR(L108="131",M108="131"),H108='131-CT'!$E$7),"131",""))</f>
        <v/>
      </c>
      <c r="O108" s="51" t="str">
        <f>IF(AND($B108&gt;='111'!$N$11,$B108&lt;='111'!$O$11,OR($L108=$O$7,$M108=$O$7)),"x","")</f>
        <v/>
      </c>
      <c r="P108" s="51" t="str">
        <f>IF(AND($L108=$O$7,$B108&lt;'111'!$N$11),"x","")</f>
        <v/>
      </c>
      <c r="Q108" s="51" t="str">
        <f>IF(AND($M108=$O$7,$B108&lt;'111'!$N$11),"x","")</f>
        <v/>
      </c>
      <c r="R108" s="51" t="str">
        <f>IF(ISERROR(FIND('112'!$M$9,G108,1)),"",IF((AND(FIND('112'!$M$9,G108,1)&gt;=1,$B108&gt;='112'!$N$8,$B108&lt;='112'!$O$8,OR($L108='112'!$I$6,$M108='112'!$I$6))),"x",""))</f>
        <v/>
      </c>
      <c r="S108" s="51" t="str">
        <f>IF(ISERROR(FIND('112'!$M$9,G108,1)),"",IF((AND(LEFT(G108,2)=LEFT('112'!$M$9,2),B108&lt;'112'!$N$8,$L108='112'!$I$6)),"x",""))</f>
        <v/>
      </c>
      <c r="T108" s="51" t="str">
        <f>IF(ISERROR(FIND('112'!$M$9,G108,1)),"",IF((AND(RIGHT(G108,2)=RIGHT('112'!$M$9,2),B108&lt;'112'!$N$8,$M108='112'!$I$6)),"x",""))</f>
        <v/>
      </c>
      <c r="U108" s="51" t="str">
        <f>IF(AND(L108="154",'154'!$O$5&lt;=B108,'154'!$P$5&gt;=B108),"154",IF(AND(L108="632",'632'!$L$5&lt;=B108,'632'!$M$5&gt;=B108),"632",IF(AND(L108="642",'642'!$N$5&lt;=B108,'642'!$O$5&gt;=B108),"642",IF(AND(L108="641",'641'!$N$5&lt;=B108,'641'!$O$5&gt;=B108),"641",""))))</f>
        <v/>
      </c>
      <c r="V108" s="51" t="str">
        <f>IF(OR(TH!L108=TH!$V$7,M108=TH!$V$7),"x","")</f>
        <v/>
      </c>
      <c r="W108" s="51" t="str">
        <f>IF(AND(B108&gt;='IN-NX'!$P$3,B108&lt;='IN-NX'!$Q$3,'IN-NX'!$D$7=D108,OR(LEFT(L108,2)="15",AND(LEFT(M108,2)&lt;&gt;"15",LEFT(M108,2)&lt;&gt;"33"))),"x","")</f>
        <v/>
      </c>
      <c r="X108" s="51" t="str">
        <f>IF(AND(OR(LEFT(TH!L108,2)="15",LEFT(TH!M108,2)="15"),'152-CT'!$J$8=TH!F108),"x","")</f>
        <v/>
      </c>
      <c r="Y108" s="51" t="str">
        <f>IF(AND(OR(LEFT(TH!L108,2)="15",LEFT(TH!M108,2)="15"),TK!$E$7=TH!F108),"x","")</f>
        <v/>
      </c>
      <c r="Z108" s="51" t="str">
        <f>IF(AND(B108&lt;=NKC!$N$8,B108&gt;=NKC!$M$8),"x","")</f>
        <v/>
      </c>
      <c r="AA108" s="803"/>
      <c r="AC108" s="203"/>
      <c r="AD108" s="203"/>
      <c r="AE108" s="203"/>
    </row>
    <row r="109" spans="1:31" s="565" customFormat="1" ht="15.75" customHeight="1">
      <c r="A109" s="804" t="str">
        <f>IF(B109&lt;&gt;"",IF(AND(B109&gt;=_TM1,B109&lt;=_TM2,OR(TH!L109="1111",TH!M109="1111")),TH!D109,""),"")</f>
        <v/>
      </c>
      <c r="B109" s="36">
        <f t="shared" si="7"/>
        <v>3</v>
      </c>
      <c r="C109" s="189">
        <f t="shared" si="8"/>
        <v>42066</v>
      </c>
      <c r="D109" s="189" t="s">
        <v>1353</v>
      </c>
      <c r="E109" s="817">
        <v>42066</v>
      </c>
      <c r="F109" s="922" t="s">
        <v>500</v>
      </c>
      <c r="G109" s="813" t="s">
        <v>495</v>
      </c>
      <c r="H109" s="191" t="s">
        <v>494</v>
      </c>
      <c r="I109" s="243">
        <v>700</v>
      </c>
      <c r="J109" s="243">
        <v>2883</v>
      </c>
      <c r="K109" s="573">
        <f t="shared" si="9"/>
        <v>2018100</v>
      </c>
      <c r="L109" s="574" t="s">
        <v>417</v>
      </c>
      <c r="M109" s="574" t="s">
        <v>8</v>
      </c>
      <c r="N109" s="51" t="str">
        <f>IF(AND('331-CT'!$E$7=TH!H109,OR(L109="331",M109="331")),"331",IF(AND(OR(L109="131",M109="131"),H109='131-CT'!$E$7),"131",""))</f>
        <v/>
      </c>
      <c r="O109" s="51" t="str">
        <f>IF(AND($B109&gt;='111'!$N$11,$B109&lt;='111'!$O$11,OR($L109=$O$7,$M109=$O$7)),"x","")</f>
        <v/>
      </c>
      <c r="P109" s="51" t="str">
        <f>IF(AND($L109=$O$7,$B109&lt;'111'!$N$11),"x","")</f>
        <v/>
      </c>
      <c r="Q109" s="51" t="str">
        <f>IF(AND($M109=$O$7,$B109&lt;'111'!$N$11),"x","")</f>
        <v/>
      </c>
      <c r="R109" s="51" t="str">
        <f>IF(ISERROR(FIND('112'!$M$9,G109,1)),"",IF((AND(FIND('112'!$M$9,G109,1)&gt;=1,$B109&gt;='112'!$N$8,$B109&lt;='112'!$O$8,OR($L109='112'!$I$6,$M109='112'!$I$6))),"x",""))</f>
        <v/>
      </c>
      <c r="S109" s="51" t="str">
        <f>IF(ISERROR(FIND('112'!$M$9,G109,1)),"",IF((AND(LEFT(G109,2)=LEFT('112'!$M$9,2),B109&lt;'112'!$N$8,$L109='112'!$I$6)),"x",""))</f>
        <v/>
      </c>
      <c r="T109" s="51" t="str">
        <f>IF(ISERROR(FIND('112'!$M$9,G109,1)),"",IF((AND(RIGHT(G109,2)=RIGHT('112'!$M$9,2),B109&lt;'112'!$N$8,$M109='112'!$I$6)),"x",""))</f>
        <v/>
      </c>
      <c r="U109" s="51" t="str">
        <f>IF(AND(L109="154",'154'!$O$5&lt;=B109,'154'!$P$5&gt;=B109),"154",IF(AND(L109="632",'632'!$L$5&lt;=B109,'632'!$M$5&gt;=B109),"632",IF(AND(L109="642",'642'!$N$5&lt;=B109,'642'!$O$5&gt;=B109),"642",IF(AND(L109="641",'641'!$N$5&lt;=B109,'641'!$O$5&gt;=B109),"641",""))))</f>
        <v/>
      </c>
      <c r="V109" s="51" t="str">
        <f>IF(OR(TH!L109=TH!$V$7,M109=TH!$V$7),"x","")</f>
        <v/>
      </c>
      <c r="W109" s="51" t="str">
        <f>IF(AND(B109&gt;='IN-NX'!$P$3,B109&lt;='IN-NX'!$Q$3,'IN-NX'!$D$7=D109,OR(LEFT(L109,2)="15",AND(LEFT(M109,2)&lt;&gt;"15",LEFT(M109,2)&lt;&gt;"33"))),"x","")</f>
        <v/>
      </c>
      <c r="X109" s="51" t="str">
        <f>IF(AND(OR(LEFT(TH!L109,2)="15",LEFT(TH!M109,2)="15"),'152-CT'!$J$8=TH!F109),"x","")</f>
        <v/>
      </c>
      <c r="Y109" s="51" t="str">
        <f>IF(AND(OR(LEFT(TH!L109,2)="15",LEFT(TH!M109,2)="15"),TK!$E$7=TH!F109),"x","")</f>
        <v/>
      </c>
      <c r="Z109" s="51" t="str">
        <f>IF(AND(B109&lt;=NKC!$N$8,B109&gt;=NKC!$M$8),"x","")</f>
        <v/>
      </c>
      <c r="AA109" s="803"/>
      <c r="AC109" s="203"/>
      <c r="AD109" s="203"/>
      <c r="AE109" s="203"/>
    </row>
    <row r="110" spans="1:31" s="827" customFormat="1" ht="15.75" customHeight="1">
      <c r="A110" s="804" t="str">
        <f>IF(B110&lt;&gt;"",IF(AND(B110&gt;=_TM1,B110&lt;=_TM2,OR(TH!L110="1111",TH!M110="1111")),TH!D110,""),"")</f>
        <v/>
      </c>
      <c r="B110" s="36">
        <f t="shared" si="7"/>
        <v>3</v>
      </c>
      <c r="C110" s="189">
        <f t="shared" si="8"/>
        <v>42066</v>
      </c>
      <c r="D110" s="189" t="s">
        <v>1353</v>
      </c>
      <c r="E110" s="817">
        <v>42066</v>
      </c>
      <c r="F110" s="926" t="s">
        <v>501</v>
      </c>
      <c r="G110" s="813" t="s">
        <v>495</v>
      </c>
      <c r="H110" s="191" t="s">
        <v>494</v>
      </c>
      <c r="I110" s="243">
        <v>700</v>
      </c>
      <c r="J110" s="243">
        <v>6324</v>
      </c>
      <c r="K110" s="573">
        <f t="shared" si="9"/>
        <v>4426800</v>
      </c>
      <c r="L110" s="574" t="s">
        <v>417</v>
      </c>
      <c r="M110" s="574" t="s">
        <v>8</v>
      </c>
      <c r="N110" s="51" t="str">
        <f>IF(AND('331-CT'!$E$7=TH!H110,OR(L110="331",M110="331")),"331",IF(AND(OR(L110="131",M110="131"),H110='131-CT'!$E$7),"131",""))</f>
        <v/>
      </c>
      <c r="O110" s="51" t="str">
        <f>IF(AND($B110&gt;='111'!$N$11,$B110&lt;='111'!$O$11,OR($L110=$O$7,$M110=$O$7)),"x","")</f>
        <v/>
      </c>
      <c r="P110" s="51" t="str">
        <f>IF(AND($L110=$O$7,$B110&lt;'111'!$N$11),"x","")</f>
        <v/>
      </c>
      <c r="Q110" s="51" t="str">
        <f>IF(AND($M110=$O$7,$B110&lt;'111'!$N$11),"x","")</f>
        <v/>
      </c>
      <c r="R110" s="51" t="str">
        <f>IF(ISERROR(FIND('112'!$M$9,G110,1)),"",IF((AND(FIND('112'!$M$9,G110,1)&gt;=1,$B110&gt;='112'!$N$8,$B110&lt;='112'!$O$8,OR($L110='112'!$I$6,$M110='112'!$I$6))),"x",""))</f>
        <v/>
      </c>
      <c r="S110" s="51" t="str">
        <f>IF(ISERROR(FIND('112'!$M$9,G110,1)),"",IF((AND(LEFT(G110,2)=LEFT('112'!$M$9,2),B110&lt;'112'!$N$8,$L110='112'!$I$6)),"x",""))</f>
        <v/>
      </c>
      <c r="T110" s="51" t="str">
        <f>IF(ISERROR(FIND('112'!$M$9,G110,1)),"",IF((AND(RIGHT(G110,2)=RIGHT('112'!$M$9,2),B110&lt;'112'!$N$8,$M110='112'!$I$6)),"x",""))</f>
        <v/>
      </c>
      <c r="U110" s="51" t="str">
        <f>IF(AND(L110="154",'154'!$O$5&lt;=B110,'154'!$P$5&gt;=B110),"154",IF(AND(L110="632",'632'!$L$5&lt;=B110,'632'!$M$5&gt;=B110),"632",IF(AND(L110="642",'642'!$N$5&lt;=B110,'642'!$O$5&gt;=B110),"642",IF(AND(L110="641",'641'!$N$5&lt;=B110,'641'!$O$5&gt;=B110),"641",""))))</f>
        <v/>
      </c>
      <c r="V110" s="51" t="str">
        <f>IF(OR(TH!L110=TH!$V$7,M110=TH!$V$7),"x","")</f>
        <v/>
      </c>
      <c r="W110" s="51" t="str">
        <f>IF(AND(B110&gt;='IN-NX'!$P$3,B110&lt;='IN-NX'!$Q$3,'IN-NX'!$D$7=D110,OR(LEFT(L110,2)="15",AND(LEFT(M110,2)&lt;&gt;"15",LEFT(M110,2)&lt;&gt;"33"))),"x","")</f>
        <v/>
      </c>
      <c r="X110" s="51" t="str">
        <f>IF(AND(OR(LEFT(TH!L110,2)="15",LEFT(TH!M110,2)="15"),'152-CT'!$J$8=TH!F110),"x","")</f>
        <v/>
      </c>
      <c r="Y110" s="51" t="str">
        <f>IF(AND(OR(LEFT(TH!L110,2)="15",LEFT(TH!M110,2)="15"),TK!$E$7=TH!F110),"x","")</f>
        <v/>
      </c>
      <c r="Z110" s="51" t="str">
        <f>IF(AND(B110&lt;=NKC!$N$8,B110&gt;=NKC!$M$8),"x","")</f>
        <v/>
      </c>
      <c r="AA110" s="803"/>
      <c r="AB110" s="565"/>
      <c r="AC110" s="203"/>
      <c r="AD110" s="203"/>
      <c r="AE110" s="203"/>
    </row>
    <row r="111" spans="1:31" s="565" customFormat="1" ht="15.75" customHeight="1">
      <c r="A111" s="804" t="str">
        <f>IF(B111&lt;&gt;"",IF(AND(B111&gt;=_TM1,B111&lt;=_TM2,OR(TH!L111="1111",TH!M111="1111")),TH!D111,""),"")</f>
        <v/>
      </c>
      <c r="B111" s="36">
        <f t="shared" si="7"/>
        <v>3</v>
      </c>
      <c r="C111" s="189">
        <f t="shared" si="8"/>
        <v>42066</v>
      </c>
      <c r="D111" s="189" t="s">
        <v>1353</v>
      </c>
      <c r="E111" s="817">
        <v>42066</v>
      </c>
      <c r="F111" s="922" t="s">
        <v>496</v>
      </c>
      <c r="G111" s="813" t="s">
        <v>495</v>
      </c>
      <c r="H111" s="191" t="s">
        <v>494</v>
      </c>
      <c r="I111" s="243"/>
      <c r="J111" s="243"/>
      <c r="K111" s="573">
        <v>1802700</v>
      </c>
      <c r="L111" s="574" t="s">
        <v>9</v>
      </c>
      <c r="M111" s="574" t="s">
        <v>8</v>
      </c>
      <c r="N111" s="51" t="str">
        <f>IF(AND('331-CT'!$E$7=TH!H111,OR(L111="331",M111="331")),"331",IF(AND(OR(L111="131",M111="131"),H111='131-CT'!$E$7),"131",""))</f>
        <v/>
      </c>
      <c r="O111" s="51" t="str">
        <f>IF(AND($B111&gt;='111'!$N$11,$B111&lt;='111'!$O$11,OR($L111=$O$7,$M111=$O$7)),"x","")</f>
        <v/>
      </c>
      <c r="P111" s="51" t="str">
        <f>IF(AND($L111=$O$7,$B111&lt;'111'!$N$11),"x","")</f>
        <v/>
      </c>
      <c r="Q111" s="51" t="str">
        <f>IF(AND($M111=$O$7,$B111&lt;'111'!$N$11),"x","")</f>
        <v/>
      </c>
      <c r="R111" s="51" t="str">
        <f>IF(ISERROR(FIND('112'!$M$9,G111,1)),"",IF((AND(FIND('112'!$M$9,G111,1)&gt;=1,$B111&gt;='112'!$N$8,$B111&lt;='112'!$O$8,OR($L111='112'!$I$6,$M111='112'!$I$6))),"x",""))</f>
        <v/>
      </c>
      <c r="S111" s="51" t="str">
        <f>IF(ISERROR(FIND('112'!$M$9,G111,1)),"",IF((AND(LEFT(G111,2)=LEFT('112'!$M$9,2),B111&lt;'112'!$N$8,$L111='112'!$I$6)),"x",""))</f>
        <v/>
      </c>
      <c r="T111" s="51" t="str">
        <f>IF(ISERROR(FIND('112'!$M$9,G111,1)),"",IF((AND(RIGHT(G111,2)=RIGHT('112'!$M$9,2),B111&lt;'112'!$N$8,$M111='112'!$I$6)),"x",""))</f>
        <v/>
      </c>
      <c r="U111" s="51" t="str">
        <f>IF(AND(L111="154",'154'!$O$5&lt;=B111,'154'!$P$5&gt;=B111),"154",IF(AND(L111="632",'632'!$L$5&lt;=B111,'632'!$M$5&gt;=B111),"632",IF(AND(L111="642",'642'!$N$5&lt;=B111,'642'!$O$5&gt;=B111),"642",IF(AND(L111="641",'641'!$N$5&lt;=B111,'641'!$O$5&gt;=B111),"641",""))))</f>
        <v/>
      </c>
      <c r="V111" s="51" t="str">
        <f>IF(OR(TH!L111=TH!$V$7,M111=TH!$V$7),"x","")</f>
        <v/>
      </c>
      <c r="W111" s="51" t="str">
        <f>IF(AND(B111&gt;='IN-NX'!$P$3,B111&lt;='IN-NX'!$Q$3,'IN-NX'!$D$7=D111,OR(LEFT(L111,2)="15",AND(LEFT(M111,2)&lt;&gt;"15",LEFT(M111,2)&lt;&gt;"33"))),"x","")</f>
        <v/>
      </c>
      <c r="X111" s="51" t="str">
        <f>IF(AND(OR(LEFT(TH!L111,2)="15",LEFT(TH!M111,2)="15"),'152-CT'!$J$8=TH!F111),"x","")</f>
        <v/>
      </c>
      <c r="Y111" s="51" t="str">
        <f>IF(AND(OR(LEFT(TH!L111,2)="15",LEFT(TH!M111,2)="15"),TK!$E$7=TH!F111),"x","")</f>
        <v/>
      </c>
      <c r="Z111" s="51" t="str">
        <f>IF(AND(B111&lt;=NKC!$N$8,B111&gt;=NKC!$M$8),"x","")</f>
        <v/>
      </c>
      <c r="AA111" s="803">
        <v>1</v>
      </c>
      <c r="AC111" s="203"/>
      <c r="AD111" s="203"/>
      <c r="AE111" s="203"/>
    </row>
    <row r="112" spans="1:31" s="565" customFormat="1" ht="15.75" customHeight="1">
      <c r="A112" s="804" t="str">
        <f>IF(B112&lt;&gt;"",IF(AND(B112&gt;=_TM1,B112&lt;=_TM2,OR(TH!L112="1111",TH!M112="1111")),TH!D112,""),"")</f>
        <v/>
      </c>
      <c r="B112" s="36">
        <f t="shared" si="7"/>
        <v>3</v>
      </c>
      <c r="C112" s="189">
        <f t="shared" si="8"/>
        <v>42066</v>
      </c>
      <c r="D112" s="189" t="s">
        <v>1360</v>
      </c>
      <c r="E112" s="817">
        <v>42066</v>
      </c>
      <c r="F112" s="187" t="s">
        <v>438</v>
      </c>
      <c r="G112" s="813" t="s">
        <v>495</v>
      </c>
      <c r="H112" s="191" t="s">
        <v>494</v>
      </c>
      <c r="I112" s="243"/>
      <c r="J112" s="243"/>
      <c r="K112" s="573">
        <v>19829700</v>
      </c>
      <c r="L112" s="574" t="s">
        <v>8</v>
      </c>
      <c r="M112" s="574" t="s">
        <v>47</v>
      </c>
      <c r="N112" s="51" t="str">
        <f>IF(AND('331-CT'!$E$7=TH!H112,OR(L112="331",M112="331")),"331",IF(AND(OR(L112="131",M112="131"),H112='131-CT'!$E$7),"131",""))</f>
        <v/>
      </c>
      <c r="O112" s="51" t="str">
        <f>IF(AND($B112&gt;='111'!$N$11,$B112&lt;='111'!$O$11,OR($L112=$O$7,$M112=$O$7)),"x","")</f>
        <v/>
      </c>
      <c r="P112" s="51" t="str">
        <f>IF(AND($L112=$O$7,$B112&lt;'111'!$N$11),"x","")</f>
        <v/>
      </c>
      <c r="Q112" s="51" t="str">
        <f>IF(AND($M112=$O$7,$B112&lt;'111'!$N$11),"x","")</f>
        <v>x</v>
      </c>
      <c r="R112" s="51" t="str">
        <f>IF(ISERROR(FIND('112'!$M$9,G112,1)),"",IF((AND(FIND('112'!$M$9,G112,1)&gt;=1,$B112&gt;='112'!$N$8,$B112&lt;='112'!$O$8,OR($L112='112'!$I$6,$M112='112'!$I$6))),"x",""))</f>
        <v/>
      </c>
      <c r="S112" s="51" t="str">
        <f>IF(ISERROR(FIND('112'!$M$9,G112,1)),"",IF((AND(LEFT(G112,2)=LEFT('112'!$M$9,2),B112&lt;'112'!$N$8,$L112='112'!$I$6)),"x",""))</f>
        <v/>
      </c>
      <c r="T112" s="51" t="str">
        <f>IF(ISERROR(FIND('112'!$M$9,G112,1)),"",IF((AND(RIGHT(G112,2)=RIGHT('112'!$M$9,2),B112&lt;'112'!$N$8,$M112='112'!$I$6)),"x",""))</f>
        <v/>
      </c>
      <c r="U112" s="51" t="str">
        <f>IF(AND(L112="154",'154'!$O$5&lt;=B112,'154'!$P$5&gt;=B112),"154",IF(AND(L112="632",'632'!$L$5&lt;=B112,'632'!$M$5&gt;=B112),"632",IF(AND(L112="642",'642'!$N$5&lt;=B112,'642'!$O$5&gt;=B112),"642",IF(AND(L112="641",'641'!$N$5&lt;=B112,'641'!$O$5&gt;=B112),"641",""))))</f>
        <v/>
      </c>
      <c r="V112" s="51" t="str">
        <f>IF(OR(TH!L112=TH!$V$7,M112=TH!$V$7),"x","")</f>
        <v/>
      </c>
      <c r="W112" s="51" t="str">
        <f>IF(AND(B112&gt;='IN-NX'!$P$3,B112&lt;='IN-NX'!$Q$3,'IN-NX'!$D$7=D112,OR(LEFT(L112,2)="15",AND(LEFT(M112,2)&lt;&gt;"15",LEFT(M112,2)&lt;&gt;"33"))),"x","")</f>
        <v/>
      </c>
      <c r="X112" s="51" t="str">
        <f>IF(AND(OR(LEFT(TH!L112,2)="15",LEFT(TH!M112,2)="15"),'152-CT'!$J$8=TH!F112),"x","")</f>
        <v/>
      </c>
      <c r="Y112" s="51" t="str">
        <f>IF(AND(OR(LEFT(TH!L112,2)="15",LEFT(TH!M112,2)="15"),TK!$E$7=TH!F112),"x","")</f>
        <v/>
      </c>
      <c r="Z112" s="51" t="str">
        <f>IF(AND(B112&lt;=NKC!$N$8,B112&gt;=NKC!$M$8),"x","")</f>
        <v/>
      </c>
      <c r="AA112" s="803"/>
      <c r="AC112" s="203"/>
      <c r="AD112" s="203"/>
      <c r="AE112" s="203"/>
    </row>
    <row r="113" spans="1:31" s="565" customFormat="1" ht="15.75" customHeight="1">
      <c r="A113" s="804" t="str">
        <f>IF(B113&lt;&gt;"",IF(AND(B113&gt;=_TM1,B113&lt;=_TM2,OR(TH!L113="1111",TH!M113="1111")),TH!D113,""),"")</f>
        <v/>
      </c>
      <c r="B113" s="36">
        <f t="shared" si="7"/>
        <v>3</v>
      </c>
      <c r="C113" s="189">
        <f t="shared" si="8"/>
        <v>42068</v>
      </c>
      <c r="D113" s="189" t="s">
        <v>1356</v>
      </c>
      <c r="E113" s="189">
        <v>42068</v>
      </c>
      <c r="F113" s="922" t="s">
        <v>503</v>
      </c>
      <c r="G113" s="813" t="s">
        <v>502</v>
      </c>
      <c r="H113" s="191" t="s">
        <v>494</v>
      </c>
      <c r="I113" s="243">
        <v>700</v>
      </c>
      <c r="J113" s="243">
        <v>2604</v>
      </c>
      <c r="K113" s="573">
        <f>ROUND(I113*J113,0)</f>
        <v>1822800</v>
      </c>
      <c r="L113" s="574" t="s">
        <v>417</v>
      </c>
      <c r="M113" s="574" t="s">
        <v>8</v>
      </c>
      <c r="N113" s="51" t="str">
        <f>IF(AND('331-CT'!$E$7=TH!H113,OR(L113="331",M113="331")),"331",IF(AND(OR(L113="131",M113="131"),H113='131-CT'!$E$7),"131",""))</f>
        <v/>
      </c>
      <c r="O113" s="51" t="str">
        <f>IF(AND($B113&gt;='111'!$N$11,$B113&lt;='111'!$O$11,OR($L113=$O$7,$M113=$O$7)),"x","")</f>
        <v/>
      </c>
      <c r="P113" s="51" t="str">
        <f>IF(AND($L113=$O$7,$B113&lt;'111'!$N$11),"x","")</f>
        <v/>
      </c>
      <c r="Q113" s="51" t="str">
        <f>IF(AND($M113=$O$7,$B113&lt;'111'!$N$11),"x","")</f>
        <v/>
      </c>
      <c r="R113" s="51" t="str">
        <f>IF(ISERROR(FIND('112'!$M$9,G113,1)),"",IF((AND(FIND('112'!$M$9,G113,1)&gt;=1,$B113&gt;='112'!$N$8,$B113&lt;='112'!$O$8,OR($L113='112'!$I$6,$M113='112'!$I$6))),"x",""))</f>
        <v/>
      </c>
      <c r="S113" s="51" t="str">
        <f>IF(ISERROR(FIND('112'!$M$9,G113,1)),"",IF((AND(LEFT(G113,2)=LEFT('112'!$M$9,2),B113&lt;'112'!$N$8,$L113='112'!$I$6)),"x",""))</f>
        <v/>
      </c>
      <c r="T113" s="51" t="str">
        <f>IF(ISERROR(FIND('112'!$M$9,G113,1)),"",IF((AND(RIGHT(G113,2)=RIGHT('112'!$M$9,2),B113&lt;'112'!$N$8,$M113='112'!$I$6)),"x",""))</f>
        <v/>
      </c>
      <c r="U113" s="51" t="str">
        <f>IF(AND(L113="154",'154'!$O$5&lt;=B113,'154'!$P$5&gt;=B113),"154",IF(AND(L113="632",'632'!$L$5&lt;=B113,'632'!$M$5&gt;=B113),"632",IF(AND(L113="642",'642'!$N$5&lt;=B113,'642'!$O$5&gt;=B113),"642",IF(AND(L113="641",'641'!$N$5&lt;=B113,'641'!$O$5&gt;=B113),"641",""))))</f>
        <v/>
      </c>
      <c r="V113" s="51" t="str">
        <f>IF(OR(TH!L113=TH!$V$7,M113=TH!$V$7),"x","")</f>
        <v/>
      </c>
      <c r="W113" s="51" t="str">
        <f>IF(AND(B113&gt;='IN-NX'!$P$3,B113&lt;='IN-NX'!$Q$3,'IN-NX'!$D$7=D113,OR(LEFT(L113,2)="15",AND(LEFT(M113,2)&lt;&gt;"15",LEFT(M113,2)&lt;&gt;"33"))),"x","")</f>
        <v/>
      </c>
      <c r="X113" s="51" t="str">
        <f>IF(AND(OR(LEFT(TH!L113,2)="15",LEFT(TH!M113,2)="15"),'152-CT'!$J$8=TH!F113),"x","")</f>
        <v/>
      </c>
      <c r="Y113" s="51" t="str">
        <f>IF(AND(OR(LEFT(TH!L113,2)="15",LEFT(TH!M113,2)="15"),TK!$E$7=TH!F113),"x","")</f>
        <v/>
      </c>
      <c r="Z113" s="51" t="str">
        <f>IF(AND(B113&lt;=NKC!$N$8,B113&gt;=NKC!$M$8),"x","")</f>
        <v/>
      </c>
      <c r="AA113" s="803"/>
      <c r="AC113" s="203"/>
      <c r="AD113" s="203"/>
      <c r="AE113" s="203"/>
    </row>
    <row r="114" spans="1:31" s="565" customFormat="1" ht="15.75" customHeight="1">
      <c r="A114" s="804" t="str">
        <f>IF(B114&lt;&gt;"",IF(AND(B114&gt;=_TM1,B114&lt;=_TM2,OR(TH!L114="1111",TH!M114="1111")),TH!D114,""),"")</f>
        <v/>
      </c>
      <c r="B114" s="36">
        <f t="shared" si="7"/>
        <v>3</v>
      </c>
      <c r="C114" s="189">
        <f t="shared" si="8"/>
        <v>42068</v>
      </c>
      <c r="D114" s="189" t="s">
        <v>1356</v>
      </c>
      <c r="E114" s="189">
        <v>42068</v>
      </c>
      <c r="F114" s="922" t="s">
        <v>504</v>
      </c>
      <c r="G114" s="813" t="s">
        <v>502</v>
      </c>
      <c r="H114" s="191" t="s">
        <v>494</v>
      </c>
      <c r="I114" s="243">
        <v>700</v>
      </c>
      <c r="J114" s="243">
        <v>9021</v>
      </c>
      <c r="K114" s="573">
        <f>ROUND(I114*J114,0)</f>
        <v>6314700</v>
      </c>
      <c r="L114" s="574" t="s">
        <v>417</v>
      </c>
      <c r="M114" s="574" t="s">
        <v>8</v>
      </c>
      <c r="N114" s="51" t="str">
        <f>IF(AND('331-CT'!$E$7=TH!H114,OR(L114="331",M114="331")),"331",IF(AND(OR(L114="131",M114="131"),H114='131-CT'!$E$7),"131",""))</f>
        <v/>
      </c>
      <c r="O114" s="51" t="str">
        <f>IF(AND($B114&gt;='111'!$N$11,$B114&lt;='111'!$O$11,OR($L114=$O$7,$M114=$O$7)),"x","")</f>
        <v/>
      </c>
      <c r="P114" s="51" t="str">
        <f>IF(AND($L114=$O$7,$B114&lt;'111'!$N$11),"x","")</f>
        <v/>
      </c>
      <c r="Q114" s="51" t="str">
        <f>IF(AND($M114=$O$7,$B114&lt;'111'!$N$11),"x","")</f>
        <v/>
      </c>
      <c r="R114" s="51" t="str">
        <f>IF(ISERROR(FIND('112'!$M$9,G114,1)),"",IF((AND(FIND('112'!$M$9,G114,1)&gt;=1,$B114&gt;='112'!$N$8,$B114&lt;='112'!$O$8,OR($L114='112'!$I$6,$M114='112'!$I$6))),"x",""))</f>
        <v/>
      </c>
      <c r="S114" s="51" t="str">
        <f>IF(ISERROR(FIND('112'!$M$9,G114,1)),"",IF((AND(LEFT(G114,2)=LEFT('112'!$M$9,2),B114&lt;'112'!$N$8,$L114='112'!$I$6)),"x",""))</f>
        <v/>
      </c>
      <c r="T114" s="51" t="str">
        <f>IF(ISERROR(FIND('112'!$M$9,G114,1)),"",IF((AND(RIGHT(G114,2)=RIGHT('112'!$M$9,2),B114&lt;'112'!$N$8,$M114='112'!$I$6)),"x",""))</f>
        <v/>
      </c>
      <c r="U114" s="51" t="str">
        <f>IF(AND(L114="154",'154'!$O$5&lt;=B114,'154'!$P$5&gt;=B114),"154",IF(AND(L114="632",'632'!$L$5&lt;=B114,'632'!$M$5&gt;=B114),"632",IF(AND(L114="642",'642'!$N$5&lt;=B114,'642'!$O$5&gt;=B114),"642",IF(AND(L114="641",'641'!$N$5&lt;=B114,'641'!$O$5&gt;=B114),"641",""))))</f>
        <v/>
      </c>
      <c r="V114" s="51" t="str">
        <f>IF(OR(TH!L114=TH!$V$7,M114=TH!$V$7),"x","")</f>
        <v/>
      </c>
      <c r="W114" s="51" t="str">
        <f>IF(AND(B114&gt;='IN-NX'!$P$3,B114&lt;='IN-NX'!$Q$3,'IN-NX'!$D$7=D114,OR(LEFT(L114,2)="15",AND(LEFT(M114,2)&lt;&gt;"15",LEFT(M114,2)&lt;&gt;"33"))),"x","")</f>
        <v/>
      </c>
      <c r="X114" s="51" t="str">
        <f>IF(AND(OR(LEFT(TH!L114,2)="15",LEFT(TH!M114,2)="15"),'152-CT'!$J$8=TH!F114),"x","")</f>
        <v/>
      </c>
      <c r="Y114" s="51" t="str">
        <f>IF(AND(OR(LEFT(TH!L114,2)="15",LEFT(TH!M114,2)="15"),TK!$E$7=TH!F114),"x","")</f>
        <v/>
      </c>
      <c r="Z114" s="51" t="str">
        <f>IF(AND(B114&lt;=NKC!$N$8,B114&gt;=NKC!$M$8),"x","")</f>
        <v/>
      </c>
      <c r="AA114" s="803"/>
      <c r="AC114" s="203"/>
      <c r="AD114" s="203"/>
      <c r="AE114" s="203"/>
    </row>
    <row r="115" spans="1:31" s="565" customFormat="1" ht="15.75" customHeight="1">
      <c r="A115" s="804" t="str">
        <f>IF(B115&lt;&gt;"",IF(AND(B115&gt;=_TM1,B115&lt;=_TM2,OR(TH!L115="1111",TH!M115="1111")),TH!D115,""),"")</f>
        <v/>
      </c>
      <c r="B115" s="36">
        <f t="shared" si="7"/>
        <v>3</v>
      </c>
      <c r="C115" s="189">
        <f t="shared" si="8"/>
        <v>42068</v>
      </c>
      <c r="D115" s="189" t="s">
        <v>1356</v>
      </c>
      <c r="E115" s="189">
        <v>42068</v>
      </c>
      <c r="F115" s="922" t="s">
        <v>505</v>
      </c>
      <c r="G115" s="813" t="s">
        <v>502</v>
      </c>
      <c r="H115" s="191" t="s">
        <v>494</v>
      </c>
      <c r="I115" s="243">
        <v>2000</v>
      </c>
      <c r="J115" s="243">
        <v>1953</v>
      </c>
      <c r="K115" s="573">
        <f>ROUND(I115*J115,0)</f>
        <v>3906000</v>
      </c>
      <c r="L115" s="574" t="s">
        <v>417</v>
      </c>
      <c r="M115" s="574" t="s">
        <v>8</v>
      </c>
      <c r="N115" s="51" t="str">
        <f>IF(AND('331-CT'!$E$7=TH!H115,OR(L115="331",M115="331")),"331",IF(AND(OR(L115="131",M115="131"),H115='131-CT'!$E$7),"131",""))</f>
        <v/>
      </c>
      <c r="O115" s="51" t="str">
        <f>IF(AND($B115&gt;='111'!$N$11,$B115&lt;='111'!$O$11,OR($L115=$O$7,$M115=$O$7)),"x","")</f>
        <v/>
      </c>
      <c r="P115" s="51" t="str">
        <f>IF(AND($L115=$O$7,$B115&lt;'111'!$N$11),"x","")</f>
        <v/>
      </c>
      <c r="Q115" s="51" t="str">
        <f>IF(AND($M115=$O$7,$B115&lt;'111'!$N$11),"x","")</f>
        <v/>
      </c>
      <c r="R115" s="51" t="str">
        <f>IF(ISERROR(FIND('112'!$M$9,G115,1)),"",IF((AND(FIND('112'!$M$9,G115,1)&gt;=1,$B115&gt;='112'!$N$8,$B115&lt;='112'!$O$8,OR($L115='112'!$I$6,$M115='112'!$I$6))),"x",""))</f>
        <v/>
      </c>
      <c r="S115" s="51" t="str">
        <f>IF(ISERROR(FIND('112'!$M$9,G115,1)),"",IF((AND(LEFT(G115,2)=LEFT('112'!$M$9,2),B115&lt;'112'!$N$8,$L115='112'!$I$6)),"x",""))</f>
        <v/>
      </c>
      <c r="T115" s="51" t="str">
        <f>IF(ISERROR(FIND('112'!$M$9,G115,1)),"",IF((AND(RIGHT(G115,2)=RIGHT('112'!$M$9,2),B115&lt;'112'!$N$8,$M115='112'!$I$6)),"x",""))</f>
        <v/>
      </c>
      <c r="U115" s="51" t="str">
        <f>IF(AND(L115="154",'154'!$O$5&lt;=B115,'154'!$P$5&gt;=B115),"154",IF(AND(L115="632",'632'!$L$5&lt;=B115,'632'!$M$5&gt;=B115),"632",IF(AND(L115="642",'642'!$N$5&lt;=B115,'642'!$O$5&gt;=B115),"642",IF(AND(L115="641",'641'!$N$5&lt;=B115,'641'!$O$5&gt;=B115),"641",""))))</f>
        <v/>
      </c>
      <c r="V115" s="51" t="str">
        <f>IF(OR(TH!L115=TH!$V$7,M115=TH!$V$7),"x","")</f>
        <v/>
      </c>
      <c r="W115" s="51" t="str">
        <f>IF(AND(B115&gt;='IN-NX'!$P$3,B115&lt;='IN-NX'!$Q$3,'IN-NX'!$D$7=D115,OR(LEFT(L115,2)="15",AND(LEFT(M115,2)&lt;&gt;"15",LEFT(M115,2)&lt;&gt;"33"))),"x","")</f>
        <v/>
      </c>
      <c r="X115" s="51" t="str">
        <f>IF(AND(OR(LEFT(TH!L115,2)="15",LEFT(TH!M115,2)="15"),'152-CT'!$J$8=TH!F115),"x","")</f>
        <v/>
      </c>
      <c r="Y115" s="51" t="str">
        <f>IF(AND(OR(LEFT(TH!L115,2)="15",LEFT(TH!M115,2)="15"),TK!$E$7=TH!F115),"x","")</f>
        <v/>
      </c>
      <c r="Z115" s="51" t="str">
        <f>IF(AND(B115&lt;=NKC!$N$8,B115&gt;=NKC!$M$8),"x","")</f>
        <v/>
      </c>
      <c r="AA115" s="803"/>
      <c r="AC115" s="203"/>
      <c r="AD115" s="203"/>
      <c r="AE115" s="203"/>
    </row>
    <row r="116" spans="1:31" s="565" customFormat="1" ht="15.75" customHeight="1">
      <c r="A116" s="804" t="str">
        <f>IF(B116&lt;&gt;"",IF(AND(B116&gt;=_TM1,B116&lt;=_TM2,OR(TH!L116="1111",TH!M116="1111")),TH!D116,""),"")</f>
        <v/>
      </c>
      <c r="B116" s="36">
        <f t="shared" si="7"/>
        <v>3</v>
      </c>
      <c r="C116" s="189">
        <f t="shared" si="8"/>
        <v>42068</v>
      </c>
      <c r="D116" s="189" t="s">
        <v>1356</v>
      </c>
      <c r="E116" s="189">
        <v>42068</v>
      </c>
      <c r="F116" s="922" t="s">
        <v>1187</v>
      </c>
      <c r="G116" s="813" t="s">
        <v>502</v>
      </c>
      <c r="H116" s="191" t="s">
        <v>494</v>
      </c>
      <c r="I116" s="243">
        <v>6000</v>
      </c>
      <c r="J116" s="243">
        <v>205</v>
      </c>
      <c r="K116" s="573">
        <f>ROUND(I116*J116,0)</f>
        <v>1230000</v>
      </c>
      <c r="L116" s="574" t="s">
        <v>417</v>
      </c>
      <c r="M116" s="574" t="s">
        <v>8</v>
      </c>
      <c r="N116" s="51" t="str">
        <f>IF(AND('331-CT'!$E$7=TH!H116,OR(L116="331",M116="331")),"331",IF(AND(OR(L116="131",M116="131"),H116='131-CT'!$E$7),"131",""))</f>
        <v/>
      </c>
      <c r="O116" s="51" t="str">
        <f>IF(AND($B116&gt;='111'!$N$11,$B116&lt;='111'!$O$11,OR($L116=$O$7,$M116=$O$7)),"x","")</f>
        <v/>
      </c>
      <c r="P116" s="51" t="str">
        <f>IF(AND($L116=$O$7,$B116&lt;'111'!$N$11),"x","")</f>
        <v/>
      </c>
      <c r="Q116" s="51" t="str">
        <f>IF(AND($M116=$O$7,$B116&lt;'111'!$N$11),"x","")</f>
        <v/>
      </c>
      <c r="R116" s="51" t="str">
        <f>IF(ISERROR(FIND('112'!$M$9,G116,1)),"",IF((AND(FIND('112'!$M$9,G116,1)&gt;=1,$B116&gt;='112'!$N$8,$B116&lt;='112'!$O$8,OR($L116='112'!$I$6,$M116='112'!$I$6))),"x",""))</f>
        <v/>
      </c>
      <c r="S116" s="51" t="str">
        <f>IF(ISERROR(FIND('112'!$M$9,G116,1)),"",IF((AND(LEFT(G116,2)=LEFT('112'!$M$9,2),B116&lt;'112'!$N$8,$L116='112'!$I$6)),"x",""))</f>
        <v/>
      </c>
      <c r="T116" s="51" t="str">
        <f>IF(ISERROR(FIND('112'!$M$9,G116,1)),"",IF((AND(RIGHT(G116,2)=RIGHT('112'!$M$9,2),B116&lt;'112'!$N$8,$M116='112'!$I$6)),"x",""))</f>
        <v/>
      </c>
      <c r="U116" s="51" t="str">
        <f>IF(AND(L116="154",'154'!$O$5&lt;=B116,'154'!$P$5&gt;=B116),"154",IF(AND(L116="632",'632'!$L$5&lt;=B116,'632'!$M$5&gt;=B116),"632",IF(AND(L116="642",'642'!$N$5&lt;=B116,'642'!$O$5&gt;=B116),"642",IF(AND(L116="641",'641'!$N$5&lt;=B116,'641'!$O$5&gt;=B116),"641",""))))</f>
        <v/>
      </c>
      <c r="V116" s="51" t="str">
        <f>IF(OR(TH!L116=TH!$V$7,M116=TH!$V$7),"x","")</f>
        <v/>
      </c>
      <c r="W116" s="51" t="str">
        <f>IF(AND(B116&gt;='IN-NX'!$P$3,B116&lt;='IN-NX'!$Q$3,'IN-NX'!$D$7=D116,OR(LEFT(L116,2)="15",AND(LEFT(M116,2)&lt;&gt;"15",LEFT(M116,2)&lt;&gt;"33"))),"x","")</f>
        <v/>
      </c>
      <c r="X116" s="51" t="str">
        <f>IF(AND(OR(LEFT(TH!L116,2)="15",LEFT(TH!M116,2)="15"),'152-CT'!$J$8=TH!F116),"x","")</f>
        <v/>
      </c>
      <c r="Y116" s="51" t="str">
        <f>IF(AND(OR(LEFT(TH!L116,2)="15",LEFT(TH!M116,2)="15"),TK!$E$7=TH!F116),"x","")</f>
        <v/>
      </c>
      <c r="Z116" s="51" t="str">
        <f>IF(AND(B116&lt;=NKC!$N$8,B116&gt;=NKC!$M$8),"x","")</f>
        <v/>
      </c>
      <c r="AA116" s="803"/>
      <c r="AC116" s="203"/>
      <c r="AD116" s="203"/>
      <c r="AE116" s="203"/>
    </row>
    <row r="117" spans="1:31" s="565" customFormat="1" ht="15.75" customHeight="1">
      <c r="A117" s="804" t="str">
        <f>IF(B117&lt;&gt;"",IF(AND(B117&gt;=_TM1,B117&lt;=_TM2,OR(TH!L117="1111",TH!M117="1111")),TH!D117,""),"")</f>
        <v/>
      </c>
      <c r="B117" s="36">
        <f t="shared" si="7"/>
        <v>3</v>
      </c>
      <c r="C117" s="189">
        <f t="shared" si="8"/>
        <v>42068</v>
      </c>
      <c r="D117" s="189" t="s">
        <v>1356</v>
      </c>
      <c r="E117" s="189">
        <v>42068</v>
      </c>
      <c r="F117" s="926" t="s">
        <v>506</v>
      </c>
      <c r="G117" s="813" t="s">
        <v>502</v>
      </c>
      <c r="H117" s="191" t="s">
        <v>494</v>
      </c>
      <c r="I117" s="243">
        <v>1000</v>
      </c>
      <c r="J117" s="243">
        <v>4185</v>
      </c>
      <c r="K117" s="573">
        <f>ROUND(I117*J117,0)</f>
        <v>4185000</v>
      </c>
      <c r="L117" s="574" t="s">
        <v>417</v>
      </c>
      <c r="M117" s="574" t="s">
        <v>8</v>
      </c>
      <c r="N117" s="51" t="str">
        <f>IF(AND('331-CT'!$E$7=TH!H117,OR(L117="331",M117="331")),"331",IF(AND(OR(L117="131",M117="131"),H117='131-CT'!$E$7),"131",""))</f>
        <v/>
      </c>
      <c r="O117" s="51" t="str">
        <f>IF(AND($B117&gt;='111'!$N$11,$B117&lt;='111'!$O$11,OR($L117=$O$7,$M117=$O$7)),"x","")</f>
        <v/>
      </c>
      <c r="P117" s="51" t="str">
        <f>IF(AND($L117=$O$7,$B117&lt;'111'!$N$11),"x","")</f>
        <v/>
      </c>
      <c r="Q117" s="51" t="str">
        <f>IF(AND($M117=$O$7,$B117&lt;'111'!$N$11),"x","")</f>
        <v/>
      </c>
      <c r="R117" s="51" t="str">
        <f>IF(ISERROR(FIND('112'!$M$9,G117,1)),"",IF((AND(FIND('112'!$M$9,G117,1)&gt;=1,$B117&gt;='112'!$N$8,$B117&lt;='112'!$O$8,OR($L117='112'!$I$6,$M117='112'!$I$6))),"x",""))</f>
        <v/>
      </c>
      <c r="S117" s="51" t="str">
        <f>IF(ISERROR(FIND('112'!$M$9,G117,1)),"",IF((AND(LEFT(G117,2)=LEFT('112'!$M$9,2),B117&lt;'112'!$N$8,$L117='112'!$I$6)),"x",""))</f>
        <v/>
      </c>
      <c r="T117" s="51" t="str">
        <f>IF(ISERROR(FIND('112'!$M$9,G117,1)),"",IF((AND(RIGHT(G117,2)=RIGHT('112'!$M$9,2),B117&lt;'112'!$N$8,$M117='112'!$I$6)),"x",""))</f>
        <v/>
      </c>
      <c r="U117" s="51" t="str">
        <f>IF(AND(L117="154",'154'!$O$5&lt;=B117,'154'!$P$5&gt;=B117),"154",IF(AND(L117="632",'632'!$L$5&lt;=B117,'632'!$M$5&gt;=B117),"632",IF(AND(L117="642",'642'!$N$5&lt;=B117,'642'!$O$5&gt;=B117),"642",IF(AND(L117="641",'641'!$N$5&lt;=B117,'641'!$O$5&gt;=B117),"641",""))))</f>
        <v/>
      </c>
      <c r="V117" s="51" t="str">
        <f>IF(OR(TH!L117=TH!$V$7,M117=TH!$V$7),"x","")</f>
        <v/>
      </c>
      <c r="W117" s="51" t="str">
        <f>IF(AND(B117&gt;='IN-NX'!$P$3,B117&lt;='IN-NX'!$Q$3,'IN-NX'!$D$7=D117,OR(LEFT(L117,2)="15",AND(LEFT(M117,2)&lt;&gt;"15",LEFT(M117,2)&lt;&gt;"33"))),"x","")</f>
        <v/>
      </c>
      <c r="X117" s="51" t="str">
        <f>IF(AND(OR(LEFT(TH!L117,2)="15",LEFT(TH!M117,2)="15"),'152-CT'!$J$8=TH!F117),"x","")</f>
        <v/>
      </c>
      <c r="Y117" s="51" t="str">
        <f>IF(AND(OR(LEFT(TH!L117,2)="15",LEFT(TH!M117,2)="15"),TK!$E$7=TH!F117),"x","")</f>
        <v/>
      </c>
      <c r="Z117" s="51" t="str">
        <f>IF(AND(B117&lt;=NKC!$N$8,B117&gt;=NKC!$M$8),"x","")</f>
        <v/>
      </c>
      <c r="AA117" s="803"/>
      <c r="AC117" s="203"/>
      <c r="AD117" s="203"/>
      <c r="AE117" s="203"/>
    </row>
    <row r="118" spans="1:31" s="565" customFormat="1" ht="15.75" customHeight="1">
      <c r="A118" s="804" t="str">
        <f>IF(B118&lt;&gt;"",IF(AND(B118&gt;=_TM1,B118&lt;=_TM2,OR(TH!L118="1111",TH!M118="1111")),TH!D118,""),"")</f>
        <v/>
      </c>
      <c r="B118" s="36">
        <f t="shared" si="7"/>
        <v>3</v>
      </c>
      <c r="C118" s="189">
        <f t="shared" si="8"/>
        <v>42068</v>
      </c>
      <c r="D118" s="189" t="s">
        <v>1356</v>
      </c>
      <c r="E118" s="189">
        <v>42068</v>
      </c>
      <c r="F118" s="922" t="s">
        <v>496</v>
      </c>
      <c r="G118" s="813" t="s">
        <v>502</v>
      </c>
      <c r="H118" s="191" t="s">
        <v>494</v>
      </c>
      <c r="I118" s="243"/>
      <c r="J118" s="243"/>
      <c r="K118" s="573">
        <v>1745850</v>
      </c>
      <c r="L118" s="574" t="s">
        <v>9</v>
      </c>
      <c r="M118" s="574" t="s">
        <v>8</v>
      </c>
      <c r="N118" s="51" t="str">
        <f>IF(AND('331-CT'!$E$7=TH!H118,OR(L118="331",M118="331")),"331",IF(AND(OR(L118="131",M118="131"),H118='131-CT'!$E$7),"131",""))</f>
        <v/>
      </c>
      <c r="O118" s="51" t="str">
        <f>IF(AND($B118&gt;='111'!$N$11,$B118&lt;='111'!$O$11,OR($L118=$O$7,$M118=$O$7)),"x","")</f>
        <v/>
      </c>
      <c r="P118" s="51" t="str">
        <f>IF(AND($L118=$O$7,$B118&lt;'111'!$N$11),"x","")</f>
        <v/>
      </c>
      <c r="Q118" s="51" t="str">
        <f>IF(AND($M118=$O$7,$B118&lt;'111'!$N$11),"x","")</f>
        <v/>
      </c>
      <c r="R118" s="51" t="str">
        <f>IF(ISERROR(FIND('112'!$M$9,G118,1)),"",IF((AND(FIND('112'!$M$9,G118,1)&gt;=1,$B118&gt;='112'!$N$8,$B118&lt;='112'!$O$8,OR($L118='112'!$I$6,$M118='112'!$I$6))),"x",""))</f>
        <v/>
      </c>
      <c r="S118" s="51" t="str">
        <f>IF(ISERROR(FIND('112'!$M$9,G118,1)),"",IF((AND(LEFT(G118,2)=LEFT('112'!$M$9,2),B118&lt;'112'!$N$8,$L118='112'!$I$6)),"x",""))</f>
        <v/>
      </c>
      <c r="T118" s="51" t="str">
        <f>IF(ISERROR(FIND('112'!$M$9,G118,1)),"",IF((AND(RIGHT(G118,2)=RIGHT('112'!$M$9,2),B118&lt;'112'!$N$8,$M118='112'!$I$6)),"x",""))</f>
        <v/>
      </c>
      <c r="U118" s="51" t="str">
        <f>IF(AND(L118="154",'154'!$O$5&lt;=B118,'154'!$P$5&gt;=B118),"154",IF(AND(L118="632",'632'!$L$5&lt;=B118,'632'!$M$5&gt;=B118),"632",IF(AND(L118="642",'642'!$N$5&lt;=B118,'642'!$O$5&gt;=B118),"642",IF(AND(L118="641",'641'!$N$5&lt;=B118,'641'!$O$5&gt;=B118),"641",""))))</f>
        <v/>
      </c>
      <c r="V118" s="51" t="str">
        <f>IF(OR(TH!L118=TH!$V$7,M118=TH!$V$7),"x","")</f>
        <v/>
      </c>
      <c r="W118" s="51" t="str">
        <f>IF(AND(B118&gt;='IN-NX'!$P$3,B118&lt;='IN-NX'!$Q$3,'IN-NX'!$D$7=D118,OR(LEFT(L118,2)="15",AND(LEFT(M118,2)&lt;&gt;"15",LEFT(M118,2)&lt;&gt;"33"))),"x","")</f>
        <v/>
      </c>
      <c r="X118" s="51" t="str">
        <f>IF(AND(OR(LEFT(TH!L118,2)="15",LEFT(TH!M118,2)="15"),'152-CT'!$J$8=TH!F118),"x","")</f>
        <v/>
      </c>
      <c r="Y118" s="51" t="str">
        <f>IF(AND(OR(LEFT(TH!L118,2)="15",LEFT(TH!M118,2)="15"),TK!$E$7=TH!F118),"x","")</f>
        <v/>
      </c>
      <c r="Z118" s="51" t="str">
        <f>IF(AND(B118&lt;=NKC!$N$8,B118&gt;=NKC!$M$8),"x","")</f>
        <v/>
      </c>
      <c r="AA118" s="803">
        <v>1</v>
      </c>
      <c r="AC118" s="203"/>
      <c r="AE118" s="203"/>
    </row>
    <row r="119" spans="1:31" s="565" customFormat="1" ht="15.75" customHeight="1">
      <c r="A119" s="804" t="str">
        <f>IF(B119&lt;&gt;"",IF(AND(B119&gt;=_TM1,B119&lt;=_TM2,OR(TH!L119="1111",TH!M119="1111")),TH!D119,""),"")</f>
        <v/>
      </c>
      <c r="B119" s="36">
        <f t="shared" si="7"/>
        <v>3</v>
      </c>
      <c r="C119" s="189">
        <f t="shared" si="8"/>
        <v>42068</v>
      </c>
      <c r="D119" s="189" t="s">
        <v>1362</v>
      </c>
      <c r="E119" s="189">
        <v>42068</v>
      </c>
      <c r="F119" s="187" t="s">
        <v>438</v>
      </c>
      <c r="G119" s="813" t="s">
        <v>502</v>
      </c>
      <c r="H119" s="191" t="s">
        <v>494</v>
      </c>
      <c r="I119" s="243"/>
      <c r="J119" s="243"/>
      <c r="K119" s="573">
        <v>19204350</v>
      </c>
      <c r="L119" s="574" t="s">
        <v>8</v>
      </c>
      <c r="M119" s="574" t="s">
        <v>47</v>
      </c>
      <c r="N119" s="51" t="str">
        <f>IF(AND('331-CT'!$E$7=TH!H119,OR(L119="331",M119="331")),"331",IF(AND(OR(L119="131",M119="131"),H119='131-CT'!$E$7),"131",""))</f>
        <v/>
      </c>
      <c r="O119" s="51" t="str">
        <f>IF(AND($B119&gt;='111'!$N$11,$B119&lt;='111'!$O$11,OR($L119=$O$7,$M119=$O$7)),"x","")</f>
        <v/>
      </c>
      <c r="P119" s="51" t="str">
        <f>IF(AND($L119=$O$7,$B119&lt;'111'!$N$11),"x","")</f>
        <v/>
      </c>
      <c r="Q119" s="51" t="str">
        <f>IF(AND($M119=$O$7,$B119&lt;'111'!$N$11),"x","")</f>
        <v>x</v>
      </c>
      <c r="R119" s="51" t="str">
        <f>IF(ISERROR(FIND('112'!$M$9,G119,1)),"",IF((AND(FIND('112'!$M$9,G119,1)&gt;=1,$B119&gt;='112'!$N$8,$B119&lt;='112'!$O$8,OR($L119='112'!$I$6,$M119='112'!$I$6))),"x",""))</f>
        <v/>
      </c>
      <c r="S119" s="51" t="str">
        <f>IF(ISERROR(FIND('112'!$M$9,G119,1)),"",IF((AND(LEFT(G119,2)=LEFT('112'!$M$9,2),B119&lt;'112'!$N$8,$L119='112'!$I$6)),"x",""))</f>
        <v/>
      </c>
      <c r="T119" s="51" t="str">
        <f>IF(ISERROR(FIND('112'!$M$9,G119,1)),"",IF((AND(RIGHT(G119,2)=RIGHT('112'!$M$9,2),B119&lt;'112'!$N$8,$M119='112'!$I$6)),"x",""))</f>
        <v/>
      </c>
      <c r="U119" s="51" t="str">
        <f>IF(AND(L119="154",'154'!$O$5&lt;=B119,'154'!$P$5&gt;=B119),"154",IF(AND(L119="632",'632'!$L$5&lt;=B119,'632'!$M$5&gt;=B119),"632",IF(AND(L119="642",'642'!$N$5&lt;=B119,'642'!$O$5&gt;=B119),"642",IF(AND(L119="641",'641'!$N$5&lt;=B119,'641'!$O$5&gt;=B119),"641",""))))</f>
        <v/>
      </c>
      <c r="V119" s="51" t="str">
        <f>IF(OR(TH!L119=TH!$V$7,M119=TH!$V$7),"x","")</f>
        <v/>
      </c>
      <c r="W119" s="51" t="str">
        <f>IF(AND(B119&gt;='IN-NX'!$P$3,B119&lt;='IN-NX'!$Q$3,'IN-NX'!$D$7=D119,OR(LEFT(L119,2)="15",AND(LEFT(M119,2)&lt;&gt;"15",LEFT(M119,2)&lt;&gt;"33"))),"x","")</f>
        <v/>
      </c>
      <c r="X119" s="51" t="str">
        <f>IF(AND(OR(LEFT(TH!L119,2)="15",LEFT(TH!M119,2)="15"),'152-CT'!$J$8=TH!F119),"x","")</f>
        <v/>
      </c>
      <c r="Y119" s="51" t="str">
        <f>IF(AND(OR(LEFT(TH!L119,2)="15",LEFT(TH!M119,2)="15"),TK!$E$7=TH!F119),"x","")</f>
        <v/>
      </c>
      <c r="Z119" s="51" t="str">
        <f>IF(AND(B119&lt;=NKC!$N$8,B119&gt;=NKC!$M$8),"x","")</f>
        <v/>
      </c>
      <c r="AA119" s="803"/>
      <c r="AE119" s="203"/>
    </row>
    <row r="120" spans="1:31" s="565" customFormat="1" ht="15.75" customHeight="1">
      <c r="A120" s="804" t="str">
        <f>IF(B120&lt;&gt;"",IF(AND(B120&gt;=_TM1,B120&lt;=_TM2,OR(TH!L120="1111",TH!M120="1111")),TH!D120,""),"")</f>
        <v/>
      </c>
      <c r="B120" s="36">
        <f t="shared" si="7"/>
        <v>3</v>
      </c>
      <c r="C120" s="189">
        <f t="shared" si="8"/>
        <v>42071</v>
      </c>
      <c r="D120" s="189" t="s">
        <v>1296</v>
      </c>
      <c r="E120" s="189">
        <v>42071</v>
      </c>
      <c r="F120" s="922" t="s">
        <v>497</v>
      </c>
      <c r="G120" s="813" t="s">
        <v>978</v>
      </c>
      <c r="H120" s="202" t="s">
        <v>424</v>
      </c>
      <c r="I120" s="243">
        <v>40</v>
      </c>
      <c r="J120" s="243">
        <v>46000</v>
      </c>
      <c r="K120" s="573">
        <f>ROUND(I120*J120,0)</f>
        <v>1840000</v>
      </c>
      <c r="L120" s="574" t="s">
        <v>250</v>
      </c>
      <c r="M120" s="574" t="s">
        <v>164</v>
      </c>
      <c r="N120" s="51" t="str">
        <f>IF(AND('331-CT'!$E$7=TH!H120,OR(L120="331",M120="331")),"331",IF(AND(OR(L120="131",M120="131"),H120='131-CT'!$E$7),"131",""))</f>
        <v/>
      </c>
      <c r="O120" s="51" t="str">
        <f>IF(AND($B120&gt;='111'!$N$11,$B120&lt;='111'!$O$11,OR($L120=$O$7,$M120=$O$7)),"x","")</f>
        <v/>
      </c>
      <c r="P120" s="51" t="str">
        <f>IF(AND($L120=$O$7,$B120&lt;'111'!$N$11),"x","")</f>
        <v/>
      </c>
      <c r="Q120" s="51" t="str">
        <f>IF(AND($M120=$O$7,$B120&lt;'111'!$N$11),"x","")</f>
        <v/>
      </c>
      <c r="R120" s="51" t="str">
        <f>IF(ISERROR(FIND('112'!$M$9,G120,1)),"",IF((AND(FIND('112'!$M$9,G120,1)&gt;=1,$B120&gt;='112'!$N$8,$B120&lt;='112'!$O$8,OR($L120='112'!$I$6,$M120='112'!$I$6))),"x",""))</f>
        <v/>
      </c>
      <c r="S120" s="51" t="str">
        <f>IF(ISERROR(FIND('112'!$M$9,G120,1)),"",IF((AND(LEFT(G120,2)=LEFT('112'!$M$9,2),B120&lt;'112'!$N$8,$L120='112'!$I$6)),"x",""))</f>
        <v/>
      </c>
      <c r="T120" s="51" t="str">
        <f>IF(ISERROR(FIND('112'!$M$9,G120,1)),"",IF((AND(RIGHT(G120,2)=RIGHT('112'!$M$9,2),B120&lt;'112'!$N$8,$M120='112'!$I$6)),"x",""))</f>
        <v/>
      </c>
      <c r="U120" s="51" t="str">
        <f>IF(AND(L120="154",'154'!$O$5&lt;=B120,'154'!$P$5&gt;=B120),"154",IF(AND(L120="632",'632'!$L$5&lt;=B120,'632'!$M$5&gt;=B120),"632",IF(AND(L120="642",'642'!$N$5&lt;=B120,'642'!$O$5&gt;=B120),"642",IF(AND(L120="641",'641'!$N$5&lt;=B120,'641'!$O$5&gt;=B120),"641",""))))</f>
        <v/>
      </c>
      <c r="V120" s="51" t="str">
        <f>IF(OR(TH!L120=TH!$V$7,M120=TH!$V$7),"x","")</f>
        <v/>
      </c>
      <c r="W120" s="51" t="str">
        <f>IF(AND(B120&gt;='IN-NX'!$P$3,B120&lt;='IN-NX'!$Q$3,'IN-NX'!$D$7=D120,OR(LEFT(L120,2)="15",AND(LEFT(M120,2)&lt;&gt;"15",LEFT(M120,2)&lt;&gt;"33"))),"x","")</f>
        <v/>
      </c>
      <c r="X120" s="51" t="str">
        <f>IF(AND(OR(LEFT(TH!L120,2)="15",LEFT(TH!M120,2)="15"),'152-CT'!$J$8=TH!F120),"x","")</f>
        <v/>
      </c>
      <c r="Y120" s="51" t="str">
        <f>IF(AND(OR(LEFT(TH!L120,2)="15",LEFT(TH!M120,2)="15"),TK!$E$7=TH!F120),"x","")</f>
        <v/>
      </c>
      <c r="Z120" s="51" t="str">
        <f>IF(AND(B120&lt;=NKC!$N$8,B120&gt;=NKC!$M$8),"x","")</f>
        <v/>
      </c>
      <c r="AA120" s="803"/>
      <c r="AC120" s="203"/>
      <c r="AD120" s="203"/>
      <c r="AE120" s="203"/>
    </row>
    <row r="121" spans="1:31" s="565" customFormat="1" ht="15.75" customHeight="1">
      <c r="A121" s="804" t="str">
        <f>IF(B121&lt;&gt;"",IF(AND(B121&gt;=_TM1,B121&lt;=_TM2,OR(TH!L121="1111",TH!M121="1111")),TH!D121,""),"")</f>
        <v/>
      </c>
      <c r="B121" s="36">
        <f t="shared" si="7"/>
        <v>3</v>
      </c>
      <c r="C121" s="189">
        <f t="shared" si="8"/>
        <v>42071</v>
      </c>
      <c r="D121" s="189" t="s">
        <v>1296</v>
      </c>
      <c r="E121" s="189">
        <v>42071</v>
      </c>
      <c r="F121" s="926" t="s">
        <v>962</v>
      </c>
      <c r="G121" s="813" t="s">
        <v>978</v>
      </c>
      <c r="H121" s="202" t="s">
        <v>424</v>
      </c>
      <c r="I121" s="243"/>
      <c r="J121" s="243"/>
      <c r="K121" s="573">
        <v>184000</v>
      </c>
      <c r="L121" s="574" t="s">
        <v>250</v>
      </c>
      <c r="M121" s="574" t="s">
        <v>352</v>
      </c>
      <c r="N121" s="51" t="str">
        <f>IF(AND('331-CT'!$E$7=TH!H121,OR(L121="331",M121="331")),"331",IF(AND(OR(L121="131",M121="131"),H121='131-CT'!$E$7),"131",""))</f>
        <v/>
      </c>
      <c r="O121" s="51" t="str">
        <f>IF(AND($B121&gt;='111'!$N$11,$B121&lt;='111'!$O$11,OR($L121=$O$7,$M121=$O$7)),"x","")</f>
        <v/>
      </c>
      <c r="P121" s="51" t="str">
        <f>IF(AND($L121=$O$7,$B121&lt;'111'!$N$11),"x","")</f>
        <v/>
      </c>
      <c r="Q121" s="51" t="str">
        <f>IF(AND($M121=$O$7,$B121&lt;'111'!$N$11),"x","")</f>
        <v/>
      </c>
      <c r="R121" s="51" t="str">
        <f>IF(ISERROR(FIND('112'!$M$9,G121,1)),"",IF((AND(FIND('112'!$M$9,G121,1)&gt;=1,$B121&gt;='112'!$N$8,$B121&lt;='112'!$O$8,OR($L121='112'!$I$6,$M121='112'!$I$6))),"x",""))</f>
        <v/>
      </c>
      <c r="S121" s="51" t="str">
        <f>IF(ISERROR(FIND('112'!$M$9,G121,1)),"",IF((AND(LEFT(G121,2)=LEFT('112'!$M$9,2),B121&lt;'112'!$N$8,$L121='112'!$I$6)),"x",""))</f>
        <v/>
      </c>
      <c r="T121" s="51" t="str">
        <f>IF(ISERROR(FIND('112'!$M$9,G121,1)),"",IF((AND(RIGHT(G121,2)=RIGHT('112'!$M$9,2),B121&lt;'112'!$N$8,$M121='112'!$I$6)),"x",""))</f>
        <v/>
      </c>
      <c r="U121" s="51" t="str">
        <f>IF(AND(L121="154",'154'!$O$5&lt;=B121,'154'!$P$5&gt;=B121),"154",IF(AND(L121="632",'632'!$L$5&lt;=B121,'632'!$M$5&gt;=B121),"632",IF(AND(L121="642",'642'!$N$5&lt;=B121,'642'!$O$5&gt;=B121),"642",IF(AND(L121="641",'641'!$N$5&lt;=B121,'641'!$O$5&gt;=B121),"641",""))))</f>
        <v/>
      </c>
      <c r="V121" s="51" t="str">
        <f>IF(OR(TH!L121=TH!$V$7,M121=TH!$V$7),"x","")</f>
        <v/>
      </c>
      <c r="W121" s="51" t="str">
        <f>IF(AND(B121&gt;='IN-NX'!$P$3,B121&lt;='IN-NX'!$Q$3,'IN-NX'!$D$7=D121,OR(LEFT(L121,2)="15",AND(LEFT(M121,2)&lt;&gt;"15",LEFT(M121,2)&lt;&gt;"33"))),"x","")</f>
        <v/>
      </c>
      <c r="X121" s="51" t="str">
        <f>IF(AND(OR(LEFT(TH!L121,2)="15",LEFT(TH!M121,2)="15"),'152-CT'!$J$8=TH!F121),"x","")</f>
        <v/>
      </c>
      <c r="Y121" s="51" t="str">
        <f>IF(AND(OR(LEFT(TH!L121,2)="15",LEFT(TH!M121,2)="15"),TK!$E$7=TH!F121),"x","")</f>
        <v/>
      </c>
      <c r="Z121" s="51" t="str">
        <f>IF(AND(B121&lt;=NKC!$N$8,B121&gt;=NKC!$M$8),"x","")</f>
        <v/>
      </c>
      <c r="AA121" s="803"/>
      <c r="AC121" s="203"/>
      <c r="AD121" s="203"/>
      <c r="AE121" s="203"/>
    </row>
    <row r="122" spans="1:31" s="565" customFormat="1" ht="15.75" customHeight="1">
      <c r="A122" s="804" t="str">
        <f>IF(B122&lt;&gt;"",IF(AND(B122&gt;=_TM1,B122&lt;=_TM2,OR(TH!L122="1111",TH!M122="1111")),TH!D122,""),"")</f>
        <v/>
      </c>
      <c r="B122" s="36">
        <f t="shared" si="7"/>
        <v>3</v>
      </c>
      <c r="C122" s="189">
        <f t="shared" si="8"/>
        <v>42071</v>
      </c>
      <c r="D122" s="189" t="s">
        <v>1359</v>
      </c>
      <c r="E122" s="189">
        <v>42071</v>
      </c>
      <c r="F122" s="922" t="s">
        <v>423</v>
      </c>
      <c r="G122" s="813" t="s">
        <v>978</v>
      </c>
      <c r="H122" s="202" t="s">
        <v>424</v>
      </c>
      <c r="I122" s="243"/>
      <c r="J122" s="243"/>
      <c r="K122" s="573">
        <f>K120+K121</f>
        <v>2024000</v>
      </c>
      <c r="L122" s="574" t="s">
        <v>47</v>
      </c>
      <c r="M122" s="574" t="s">
        <v>250</v>
      </c>
      <c r="N122" s="51" t="str">
        <f>IF(AND('331-CT'!$E$7=TH!H122,OR(L122="331",M122="331")),"331",IF(AND(OR(L122="131",M122="131"),H122='131-CT'!$E$7),"131",""))</f>
        <v/>
      </c>
      <c r="O122" s="51" t="str">
        <f>IF(AND($B122&gt;='111'!$N$11,$B122&lt;='111'!$O$11,OR($L122=$O$7,$M122=$O$7)),"x","")</f>
        <v/>
      </c>
      <c r="P122" s="51" t="str">
        <f>IF(AND($L122=$O$7,$B122&lt;'111'!$N$11),"x","")</f>
        <v>x</v>
      </c>
      <c r="Q122" s="51" t="str">
        <f>IF(AND($M122=$O$7,$B122&lt;'111'!$N$11),"x","")</f>
        <v/>
      </c>
      <c r="R122" s="51" t="str">
        <f>IF(ISERROR(FIND('112'!$M$9,G122,1)),"",IF((AND(FIND('112'!$M$9,G122,1)&gt;=1,$B122&gt;='112'!$N$8,$B122&lt;='112'!$O$8,OR($L122='112'!$I$6,$M122='112'!$I$6))),"x",""))</f>
        <v/>
      </c>
      <c r="S122" s="51" t="str">
        <f>IF(ISERROR(FIND('112'!$M$9,G122,1)),"",IF((AND(LEFT(G122,2)=LEFT('112'!$M$9,2),B122&lt;'112'!$N$8,$L122='112'!$I$6)),"x",""))</f>
        <v/>
      </c>
      <c r="T122" s="51" t="str">
        <f>IF(ISERROR(FIND('112'!$M$9,G122,1)),"",IF((AND(RIGHT(G122,2)=RIGHT('112'!$M$9,2),B122&lt;'112'!$N$8,$M122='112'!$I$6)),"x",""))</f>
        <v/>
      </c>
      <c r="U122" s="51" t="str">
        <f>IF(AND(L122="154",'154'!$O$5&lt;=B122,'154'!$P$5&gt;=B122),"154",IF(AND(L122="632",'632'!$L$5&lt;=B122,'632'!$M$5&gt;=B122),"632",IF(AND(L122="642",'642'!$N$5&lt;=B122,'642'!$O$5&gt;=B122),"642",IF(AND(L122="641",'641'!$N$5&lt;=B122,'641'!$O$5&gt;=B122),"641",""))))</f>
        <v/>
      </c>
      <c r="V122" s="51" t="str">
        <f>IF(OR(TH!L122=TH!$V$7,M122=TH!$V$7),"x","")</f>
        <v/>
      </c>
      <c r="W122" s="51" t="str">
        <f>IF(AND(B122&gt;='IN-NX'!$P$3,B122&lt;='IN-NX'!$Q$3,'IN-NX'!$D$7=D122,OR(LEFT(L122,2)="15",AND(LEFT(M122,2)&lt;&gt;"15",LEFT(M122,2)&lt;&gt;"33"))),"x","")</f>
        <v/>
      </c>
      <c r="X122" s="51" t="str">
        <f>IF(AND(OR(LEFT(TH!L122,2)="15",LEFT(TH!M122,2)="15"),'152-CT'!$J$8=TH!F122),"x","")</f>
        <v/>
      </c>
      <c r="Y122" s="51" t="str">
        <f>IF(AND(OR(LEFT(TH!L122,2)="15",LEFT(TH!M122,2)="15"),TK!$E$7=TH!F122),"x","")</f>
        <v/>
      </c>
      <c r="Z122" s="51" t="str">
        <f>IF(AND(B122&lt;=NKC!$N$8,B122&gt;=NKC!$M$8),"x","")</f>
        <v/>
      </c>
      <c r="AA122" s="803"/>
      <c r="AC122" s="203"/>
      <c r="AD122" s="203"/>
      <c r="AE122" s="203"/>
    </row>
    <row r="123" spans="1:31" s="565" customFormat="1" ht="15.75" customHeight="1">
      <c r="A123" s="804" t="str">
        <f>IF(B123&lt;&gt;"",IF(AND(B123&gt;=_TM1,B123&lt;=_TM2,OR(TH!L123="1111",TH!M123="1111")),TH!D123,""),"")</f>
        <v/>
      </c>
      <c r="B123" s="36">
        <f t="shared" si="7"/>
        <v>3</v>
      </c>
      <c r="C123" s="189">
        <f t="shared" si="8"/>
        <v>42072</v>
      </c>
      <c r="D123" s="189" t="s">
        <v>422</v>
      </c>
      <c r="E123" s="182">
        <v>42072</v>
      </c>
      <c r="F123" s="187" t="s">
        <v>425</v>
      </c>
      <c r="G123" s="811" t="s">
        <v>415</v>
      </c>
      <c r="H123" s="7"/>
      <c r="I123" s="243"/>
      <c r="J123" s="243"/>
      <c r="K123" s="38">
        <v>55000</v>
      </c>
      <c r="L123" s="192" t="s">
        <v>83</v>
      </c>
      <c r="M123" s="192" t="s">
        <v>24</v>
      </c>
      <c r="N123" s="51" t="str">
        <f>IF(AND('331-CT'!$E$7=TH!H123,OR(L123="331",M123="331")),"331",IF(AND(OR(L123="131",M123="131"),H123='131-CT'!$E$7),"131",""))</f>
        <v/>
      </c>
      <c r="O123" s="51" t="str">
        <f>IF(AND($B123&gt;='111'!$N$11,$B123&lt;='111'!$O$11,OR($L123=$O$7,$M123=$O$7)),"x","")</f>
        <v/>
      </c>
      <c r="P123" s="51" t="str">
        <f>IF(AND($L123=$O$7,$B123&lt;'111'!$N$11),"x","")</f>
        <v/>
      </c>
      <c r="Q123" s="51" t="str">
        <f>IF(AND($M123=$O$7,$B123&lt;'111'!$N$11),"x","")</f>
        <v/>
      </c>
      <c r="R123" s="51" t="str">
        <f>IF(ISERROR(FIND('112'!$M$9,G123,1)),"",IF((AND(FIND('112'!$M$9,G123,1)&gt;=1,$B123&gt;='112'!$N$8,$B123&lt;='112'!$O$8,OR($L123='112'!$I$6,$M123='112'!$I$6))),"x",""))</f>
        <v>x</v>
      </c>
      <c r="S123" s="51" t="str">
        <f>IF(ISERROR(FIND('112'!$M$9,G123,1)),"",IF((AND(LEFT(G123,2)=LEFT('112'!$M$9,2),B123&lt;'112'!$N$8,$L123='112'!$I$6)),"x",""))</f>
        <v/>
      </c>
      <c r="T123" s="51" t="str">
        <f>IF(ISERROR(FIND('112'!$M$9,G123,1)),"",IF((AND(RIGHT(G123,2)=RIGHT('112'!$M$9,2),B123&lt;'112'!$N$8,$M123='112'!$I$6)),"x",""))</f>
        <v/>
      </c>
      <c r="U123" s="51" t="str">
        <f>IF(AND(L123="154",'154'!$O$5&lt;=B123,'154'!$P$5&gt;=B123),"154",IF(AND(L123="632",'632'!$L$5&lt;=B123,'632'!$M$5&gt;=B123),"632",IF(AND(L123="642",'642'!$N$5&lt;=B123,'642'!$O$5&gt;=B123),"642",IF(AND(L123="641",'641'!$N$5&lt;=B123,'641'!$O$5&gt;=B123),"641",""))))</f>
        <v/>
      </c>
      <c r="V123" s="51" t="str">
        <f>IF(OR(TH!L123=TH!$V$7,M123=TH!$V$7),"x","")</f>
        <v>x</v>
      </c>
      <c r="W123" s="51" t="str">
        <f>IF(AND(B123&gt;='IN-NX'!$P$3,B123&lt;='IN-NX'!$Q$3,'IN-NX'!$D$7=D123,OR(LEFT(L123,2)="15",AND(LEFT(M123,2)&lt;&gt;"15",LEFT(M123,2)&lt;&gt;"33"))),"x","")</f>
        <v/>
      </c>
      <c r="X123" s="51" t="str">
        <f>IF(AND(OR(LEFT(TH!L123,2)="15",LEFT(TH!M123,2)="15"),'152-CT'!$J$8=TH!F123),"x","")</f>
        <v/>
      </c>
      <c r="Y123" s="51" t="str">
        <f>IF(AND(OR(LEFT(TH!L123,2)="15",LEFT(TH!M123,2)="15"),TK!$E$7=TH!F123),"x","")</f>
        <v/>
      </c>
      <c r="Z123" s="51" t="str">
        <f>IF(AND(B123&lt;=NKC!$N$8,B123&gt;=NKC!$M$8),"x","")</f>
        <v/>
      </c>
      <c r="AA123" s="803"/>
      <c r="AC123" s="203"/>
      <c r="AD123" s="203"/>
      <c r="AE123" s="203"/>
    </row>
    <row r="124" spans="1:31" s="565" customFormat="1" ht="15.75" customHeight="1">
      <c r="A124" s="804" t="str">
        <f>IF(B124&lt;&gt;"",IF(AND(B124&gt;=_TM1,B124&lt;=_TM2,OR(TH!L124="1111",TH!M124="1111")),TH!D124,""),"")</f>
        <v/>
      </c>
      <c r="B124" s="36">
        <f t="shared" si="7"/>
        <v>3</v>
      </c>
      <c r="C124" s="189">
        <f t="shared" si="8"/>
        <v>42073</v>
      </c>
      <c r="D124" s="189" t="s">
        <v>421</v>
      </c>
      <c r="E124" s="182">
        <v>42073</v>
      </c>
      <c r="F124" s="926" t="s">
        <v>423</v>
      </c>
      <c r="G124" s="811" t="s">
        <v>415</v>
      </c>
      <c r="H124" s="7" t="s">
        <v>430</v>
      </c>
      <c r="I124" s="243"/>
      <c r="J124" s="243"/>
      <c r="K124" s="38">
        <v>2211000</v>
      </c>
      <c r="L124" s="192" t="s">
        <v>24</v>
      </c>
      <c r="M124" s="192" t="s">
        <v>250</v>
      </c>
      <c r="N124" s="51" t="str">
        <f>IF(AND('331-CT'!$E$7=TH!H124,OR(L124="331",M124="331")),"331",IF(AND(OR(L124="131",M124="131"),H124='131-CT'!$E$7),"131",""))</f>
        <v/>
      </c>
      <c r="O124" s="51" t="str">
        <f>IF(AND($B124&gt;='111'!$N$11,$B124&lt;='111'!$O$11,OR($L124=$O$7,$M124=$O$7)),"x","")</f>
        <v/>
      </c>
      <c r="P124" s="51" t="str">
        <f>IF(AND($L124=$O$7,$B124&lt;'111'!$N$11),"x","")</f>
        <v/>
      </c>
      <c r="Q124" s="51" t="str">
        <f>IF(AND($M124=$O$7,$B124&lt;'111'!$N$11),"x","")</f>
        <v/>
      </c>
      <c r="R124" s="51" t="str">
        <f>IF(ISERROR(FIND('112'!$M$9,G124,1)),"",IF((AND(FIND('112'!$M$9,G124,1)&gt;=1,$B124&gt;='112'!$N$8,$B124&lt;='112'!$O$8,OR($L124='112'!$I$6,$M124='112'!$I$6))),"x",""))</f>
        <v>x</v>
      </c>
      <c r="S124" s="51" t="str">
        <f>IF(ISERROR(FIND('112'!$M$9,G124,1)),"",IF((AND(LEFT(G124,2)=LEFT('112'!$M$9,2),B124&lt;'112'!$N$8,$L124='112'!$I$6)),"x",""))</f>
        <v/>
      </c>
      <c r="T124" s="51" t="str">
        <f>IF(ISERROR(FIND('112'!$M$9,G124,1)),"",IF((AND(RIGHT(G124,2)=RIGHT('112'!$M$9,2),B124&lt;'112'!$N$8,$M124='112'!$I$6)),"x",""))</f>
        <v/>
      </c>
      <c r="U124" s="51" t="str">
        <f>IF(AND(L124="154",'154'!$O$5&lt;=B124,'154'!$P$5&gt;=B124),"154",IF(AND(L124="632",'632'!$L$5&lt;=B124,'632'!$M$5&gt;=B124),"632",IF(AND(L124="642",'642'!$N$5&lt;=B124,'642'!$O$5&gt;=B124),"642",IF(AND(L124="641",'641'!$N$5&lt;=B124,'641'!$O$5&gt;=B124),"641",""))))</f>
        <v/>
      </c>
      <c r="V124" s="51" t="str">
        <f>IF(OR(TH!L124=TH!$V$7,M124=TH!$V$7),"x","")</f>
        <v/>
      </c>
      <c r="W124" s="51" t="str">
        <f>IF(AND(B124&gt;='IN-NX'!$P$3,B124&lt;='IN-NX'!$Q$3,'IN-NX'!$D$7=D124,OR(LEFT(L124,2)="15",AND(LEFT(M124,2)&lt;&gt;"15",LEFT(M124,2)&lt;&gt;"33"))),"x","")</f>
        <v/>
      </c>
      <c r="X124" s="51" t="str">
        <f>IF(AND(OR(LEFT(TH!L124,2)="15",LEFT(TH!M124,2)="15"),'152-CT'!$J$8=TH!F124),"x","")</f>
        <v/>
      </c>
      <c r="Y124" s="51" t="str">
        <f>IF(AND(OR(LEFT(TH!L124,2)="15",LEFT(TH!M124,2)="15"),TK!$E$7=TH!F124),"x","")</f>
        <v/>
      </c>
      <c r="Z124" s="51" t="str">
        <f>IF(AND(B124&lt;=NKC!$N$8,B124&gt;=NKC!$M$8),"x","")</f>
        <v/>
      </c>
      <c r="AA124" s="803"/>
      <c r="AC124" s="203"/>
      <c r="AD124" s="203"/>
      <c r="AE124" s="203"/>
    </row>
    <row r="125" spans="1:31" s="565" customFormat="1" ht="15.75" customHeight="1">
      <c r="A125" s="804" t="str">
        <f>IF(B125&lt;&gt;"",IF(AND(B125&gt;=_TM1,B125&lt;=_TM2,OR(TH!L125="1111",TH!M125="1111")),TH!D125,""),"")</f>
        <v/>
      </c>
      <c r="B125" s="36">
        <f t="shared" si="7"/>
        <v>3</v>
      </c>
      <c r="C125" s="189">
        <f t="shared" si="8"/>
        <v>42074</v>
      </c>
      <c r="D125" s="189" t="s">
        <v>421</v>
      </c>
      <c r="E125" s="182">
        <v>42074</v>
      </c>
      <c r="F125" s="922" t="s">
        <v>423</v>
      </c>
      <c r="G125" s="811" t="s">
        <v>415</v>
      </c>
      <c r="H125" s="202" t="s">
        <v>424</v>
      </c>
      <c r="I125" s="243"/>
      <c r="J125" s="243"/>
      <c r="K125" s="38">
        <v>37878260</v>
      </c>
      <c r="L125" s="192" t="s">
        <v>24</v>
      </c>
      <c r="M125" s="192" t="s">
        <v>250</v>
      </c>
      <c r="N125" s="51" t="str">
        <f>IF(AND('331-CT'!$E$7=TH!H125,OR(L125="331",M125="331")),"331",IF(AND(OR(L125="131",M125="131"),H125='131-CT'!$E$7),"131",""))</f>
        <v/>
      </c>
      <c r="O125" s="51" t="str">
        <f>IF(AND($B125&gt;='111'!$N$11,$B125&lt;='111'!$O$11,OR($L125=$O$7,$M125=$O$7)),"x","")</f>
        <v/>
      </c>
      <c r="P125" s="51" t="str">
        <f>IF(AND($L125=$O$7,$B125&lt;'111'!$N$11),"x","")</f>
        <v/>
      </c>
      <c r="Q125" s="51" t="str">
        <f>IF(AND($M125=$O$7,$B125&lt;'111'!$N$11),"x","")</f>
        <v/>
      </c>
      <c r="R125" s="51" t="str">
        <f>IF(ISERROR(FIND('112'!$M$9,G125,1)),"",IF((AND(FIND('112'!$M$9,G125,1)&gt;=1,$B125&gt;='112'!$N$8,$B125&lt;='112'!$O$8,OR($L125='112'!$I$6,$M125='112'!$I$6))),"x",""))</f>
        <v>x</v>
      </c>
      <c r="S125" s="51" t="str">
        <f>IF(ISERROR(FIND('112'!$M$9,G125,1)),"",IF((AND(LEFT(G125,2)=LEFT('112'!$M$9,2),B125&lt;'112'!$N$8,$L125='112'!$I$6)),"x",""))</f>
        <v/>
      </c>
      <c r="T125" s="51" t="str">
        <f>IF(ISERROR(FIND('112'!$M$9,G125,1)),"",IF((AND(RIGHT(G125,2)=RIGHT('112'!$M$9,2),B125&lt;'112'!$N$8,$M125='112'!$I$6)),"x",""))</f>
        <v/>
      </c>
      <c r="U125" s="51" t="str">
        <f>IF(AND(L125="154",'154'!$O$5&lt;=B125,'154'!$P$5&gt;=B125),"154",IF(AND(L125="632",'632'!$L$5&lt;=B125,'632'!$M$5&gt;=B125),"632",IF(AND(L125="642",'642'!$N$5&lt;=B125,'642'!$O$5&gt;=B125),"642",IF(AND(L125="641",'641'!$N$5&lt;=B125,'641'!$O$5&gt;=B125),"641",""))))</f>
        <v/>
      </c>
      <c r="V125" s="51" t="str">
        <f>IF(OR(TH!L125=TH!$V$7,M125=TH!$V$7),"x","")</f>
        <v/>
      </c>
      <c r="W125" s="51" t="str">
        <f>IF(AND(B125&gt;='IN-NX'!$P$3,B125&lt;='IN-NX'!$Q$3,'IN-NX'!$D$7=D125,OR(LEFT(L125,2)="15",AND(LEFT(M125,2)&lt;&gt;"15",LEFT(M125,2)&lt;&gt;"33"))),"x","")</f>
        <v/>
      </c>
      <c r="X125" s="51" t="str">
        <f>IF(AND(OR(LEFT(TH!L125,2)="15",LEFT(TH!M125,2)="15"),'152-CT'!$J$8=TH!F125),"x","")</f>
        <v/>
      </c>
      <c r="Y125" s="51" t="str">
        <f>IF(AND(OR(LEFT(TH!L125,2)="15",LEFT(TH!M125,2)="15"),TK!$E$7=TH!F125),"x","")</f>
        <v/>
      </c>
      <c r="Z125" s="51" t="str">
        <f>IF(AND(B125&lt;=NKC!$N$8,B125&gt;=NKC!$M$8),"x","")</f>
        <v/>
      </c>
      <c r="AA125" s="803"/>
      <c r="AC125" s="203"/>
      <c r="AD125" s="203"/>
      <c r="AE125" s="203"/>
    </row>
    <row r="126" spans="1:31" s="565" customFormat="1" ht="15.75" customHeight="1">
      <c r="A126" s="804" t="str">
        <f>IF(B126&lt;&gt;"",IF(AND(B126&gt;=_TM1,B126&lt;=_TM2,OR(TH!L126="1111",TH!M126="1111")),TH!D126,""),"")</f>
        <v/>
      </c>
      <c r="B126" s="36">
        <f t="shared" si="7"/>
        <v>3</v>
      </c>
      <c r="C126" s="189">
        <f t="shared" si="8"/>
        <v>42075</v>
      </c>
      <c r="D126" s="189" t="s">
        <v>1368</v>
      </c>
      <c r="E126" s="182">
        <v>42075</v>
      </c>
      <c r="F126" s="187" t="s">
        <v>427</v>
      </c>
      <c r="G126" s="811" t="s">
        <v>415</v>
      </c>
      <c r="H126" s="7" t="s">
        <v>428</v>
      </c>
      <c r="I126" s="243"/>
      <c r="J126" s="243"/>
      <c r="K126" s="38">
        <v>39950000</v>
      </c>
      <c r="L126" s="192" t="s">
        <v>47</v>
      </c>
      <c r="M126" s="192" t="s">
        <v>24</v>
      </c>
      <c r="N126" s="51" t="str">
        <f>IF(AND('331-CT'!$E$7=TH!H126,OR(L126="331",M126="331")),"331",IF(AND(OR(L126="131",M126="131"),H126='131-CT'!$E$7),"131",""))</f>
        <v/>
      </c>
      <c r="O126" s="51" t="str">
        <f>IF(AND($B126&gt;='111'!$N$11,$B126&lt;='111'!$O$11,OR($L126=$O$7,$M126=$O$7)),"x","")</f>
        <v/>
      </c>
      <c r="P126" s="51" t="str">
        <f>IF(AND($L126=$O$7,$B126&lt;'111'!$N$11),"x","")</f>
        <v>x</v>
      </c>
      <c r="Q126" s="51" t="str">
        <f>IF(AND($M126=$O$7,$B126&lt;'111'!$N$11),"x","")</f>
        <v/>
      </c>
      <c r="R126" s="51" t="str">
        <f>IF(ISERROR(FIND('112'!$M$9,G126,1)),"",IF((AND(FIND('112'!$M$9,G126,1)&gt;=1,$B126&gt;='112'!$N$8,$B126&lt;='112'!$O$8,OR($L126='112'!$I$6,$M126='112'!$I$6))),"x",""))</f>
        <v>x</v>
      </c>
      <c r="S126" s="51" t="str">
        <f>IF(ISERROR(FIND('112'!$M$9,G126,1)),"",IF((AND(LEFT(G126,2)=LEFT('112'!$M$9,2),B126&lt;'112'!$N$8,$L126='112'!$I$6)),"x",""))</f>
        <v/>
      </c>
      <c r="T126" s="51" t="str">
        <f>IF(ISERROR(FIND('112'!$M$9,G126,1)),"",IF((AND(RIGHT(G126,2)=RIGHT('112'!$M$9,2),B126&lt;'112'!$N$8,$M126='112'!$I$6)),"x",""))</f>
        <v/>
      </c>
      <c r="U126" s="51" t="str">
        <f>IF(AND(L126="154",'154'!$O$5&lt;=B126,'154'!$P$5&gt;=B126),"154",IF(AND(L126="632",'632'!$L$5&lt;=B126,'632'!$M$5&gt;=B126),"632",IF(AND(L126="642",'642'!$N$5&lt;=B126,'642'!$O$5&gt;=B126),"642",IF(AND(L126="641",'641'!$N$5&lt;=B126,'641'!$O$5&gt;=B126),"641",""))))</f>
        <v/>
      </c>
      <c r="V126" s="51" t="str">
        <f>IF(OR(TH!L126=TH!$V$7,M126=TH!$V$7),"x","")</f>
        <v/>
      </c>
      <c r="W126" s="51" t="str">
        <f>IF(AND(B126&gt;='IN-NX'!$P$3,B126&lt;='IN-NX'!$Q$3,'IN-NX'!$D$7=D126,OR(LEFT(L126,2)="15",AND(LEFT(M126,2)&lt;&gt;"15",LEFT(M126,2)&lt;&gt;"33"))),"x","")</f>
        <v/>
      </c>
      <c r="X126" s="51" t="str">
        <f>IF(AND(OR(LEFT(TH!L126,2)="15",LEFT(TH!M126,2)="15"),'152-CT'!$J$8=TH!F126),"x","")</f>
        <v/>
      </c>
      <c r="Y126" s="51" t="str">
        <f>IF(AND(OR(LEFT(TH!L126,2)="15",LEFT(TH!M126,2)="15"),TK!$E$7=TH!F126),"x","")</f>
        <v/>
      </c>
      <c r="Z126" s="51" t="str">
        <f>IF(AND(B126&lt;=NKC!$N$8,B126&gt;=NKC!$M$8),"x","")</f>
        <v/>
      </c>
      <c r="AA126" s="803"/>
      <c r="AC126" s="203"/>
      <c r="AD126" s="203"/>
      <c r="AE126" s="203"/>
    </row>
    <row r="127" spans="1:31" s="565" customFormat="1" ht="15.75" customHeight="1">
      <c r="A127" s="804" t="str">
        <f>IF(B127&lt;&gt;"",IF(AND(B127&gt;=_TM1,B127&lt;=_TM2,OR(TH!L127="1111",TH!M127="1111")),TH!D127,""),"")</f>
        <v/>
      </c>
      <c r="B127" s="36">
        <f t="shared" si="7"/>
        <v>3</v>
      </c>
      <c r="C127" s="189">
        <f t="shared" si="8"/>
        <v>42076</v>
      </c>
      <c r="D127" s="189" t="s">
        <v>1363</v>
      </c>
      <c r="E127" s="189">
        <v>42076</v>
      </c>
      <c r="F127" s="922" t="s">
        <v>485</v>
      </c>
      <c r="G127" s="813" t="s">
        <v>487</v>
      </c>
      <c r="H127" s="7" t="s">
        <v>452</v>
      </c>
      <c r="I127" s="243"/>
      <c r="J127" s="243"/>
      <c r="K127" s="573">
        <v>659000</v>
      </c>
      <c r="L127" s="574" t="s">
        <v>83</v>
      </c>
      <c r="M127" s="574" t="s">
        <v>47</v>
      </c>
      <c r="N127" s="51" t="str">
        <f>IF(AND('331-CT'!$E$7=TH!H127,OR(L127="331",M127="331")),"331",IF(AND(OR(L127="131",M127="131"),H127='131-CT'!$E$7),"131",""))</f>
        <v/>
      </c>
      <c r="O127" s="51" t="str">
        <f>IF(AND($B127&gt;='111'!$N$11,$B127&lt;='111'!$O$11,OR($L127=$O$7,$M127=$O$7)),"x","")</f>
        <v/>
      </c>
      <c r="P127" s="51" t="str">
        <f>IF(AND($L127=$O$7,$B127&lt;'111'!$N$11),"x","")</f>
        <v/>
      </c>
      <c r="Q127" s="51" t="str">
        <f>IF(AND($M127=$O$7,$B127&lt;'111'!$N$11),"x","")</f>
        <v>x</v>
      </c>
      <c r="R127" s="51" t="str">
        <f>IF(ISERROR(FIND('112'!$M$9,G127,1)),"",IF((AND(FIND('112'!$M$9,G127,1)&gt;=1,$B127&gt;='112'!$N$8,$B127&lt;='112'!$O$8,OR($L127='112'!$I$6,$M127='112'!$I$6))),"x",""))</f>
        <v/>
      </c>
      <c r="S127" s="51" t="str">
        <f>IF(ISERROR(FIND('112'!$M$9,G127,1)),"",IF((AND(LEFT(G127,2)=LEFT('112'!$M$9,2),B127&lt;'112'!$N$8,$L127='112'!$I$6)),"x",""))</f>
        <v/>
      </c>
      <c r="T127" s="51" t="str">
        <f>IF(ISERROR(FIND('112'!$M$9,G127,1)),"",IF((AND(RIGHT(G127,2)=RIGHT('112'!$M$9,2),B127&lt;'112'!$N$8,$M127='112'!$I$6)),"x",""))</f>
        <v/>
      </c>
      <c r="U127" s="51" t="str">
        <f>IF(AND(L127="154",'154'!$O$5&lt;=B127,'154'!$P$5&gt;=B127),"154",IF(AND(L127="632",'632'!$L$5&lt;=B127,'632'!$M$5&gt;=B127),"632",IF(AND(L127="642",'642'!$N$5&lt;=B127,'642'!$O$5&gt;=B127),"642",IF(AND(L127="641",'641'!$N$5&lt;=B127,'641'!$O$5&gt;=B127),"641",""))))</f>
        <v/>
      </c>
      <c r="V127" s="51" t="str">
        <f>IF(OR(TH!L127=TH!$V$7,M127=TH!$V$7),"x","")</f>
        <v>x</v>
      </c>
      <c r="W127" s="51" t="str">
        <f>IF(AND(B127&gt;='IN-NX'!$P$3,B127&lt;='IN-NX'!$Q$3,'IN-NX'!$D$7=D127,OR(LEFT(L127,2)="15",AND(LEFT(M127,2)&lt;&gt;"15",LEFT(M127,2)&lt;&gt;"33"))),"x","")</f>
        <v/>
      </c>
      <c r="X127" s="51" t="str">
        <f>IF(AND(OR(LEFT(TH!L127,2)="15",LEFT(TH!M127,2)="15"),'152-CT'!$J$8=TH!F127),"x","")</f>
        <v/>
      </c>
      <c r="Y127" s="51" t="str">
        <f>IF(AND(OR(LEFT(TH!L127,2)="15",LEFT(TH!M127,2)="15"),TK!$E$7=TH!F127),"x","")</f>
        <v/>
      </c>
      <c r="Z127" s="51" t="str">
        <f>IF(AND(B127&lt;=NKC!$N$8,B127&gt;=NKC!$M$8),"x","")</f>
        <v/>
      </c>
      <c r="AA127" s="803"/>
      <c r="AC127" s="203"/>
      <c r="AD127" s="203"/>
      <c r="AE127" s="203"/>
    </row>
    <row r="128" spans="1:31" s="565" customFormat="1" ht="15.75" customHeight="1">
      <c r="A128" s="804" t="str">
        <f>IF(B128&lt;&gt;"",IF(AND(B128&gt;=_TM1,B128&lt;=_TM2,OR(TH!L128="1111",TH!M128="1111")),TH!D128,""),"")</f>
        <v/>
      </c>
      <c r="B128" s="36">
        <f t="shared" si="7"/>
        <v>3</v>
      </c>
      <c r="C128" s="189">
        <f t="shared" si="8"/>
        <v>42076</v>
      </c>
      <c r="D128" s="189" t="s">
        <v>1363</v>
      </c>
      <c r="E128" s="189">
        <v>42076</v>
      </c>
      <c r="F128" s="922" t="s">
        <v>486</v>
      </c>
      <c r="G128" s="813" t="s">
        <v>487</v>
      </c>
      <c r="H128" s="7" t="s">
        <v>452</v>
      </c>
      <c r="I128" s="243"/>
      <c r="J128" s="243"/>
      <c r="K128" s="573">
        <v>65900</v>
      </c>
      <c r="L128" s="574" t="s">
        <v>9</v>
      </c>
      <c r="M128" s="574" t="s">
        <v>47</v>
      </c>
      <c r="N128" s="51" t="str">
        <f>IF(AND('331-CT'!$E$7=TH!H128,OR(L128="331",M128="331")),"331",IF(AND(OR(L128="131",M128="131"),H128='131-CT'!$E$7),"131",""))</f>
        <v/>
      </c>
      <c r="O128" s="51" t="str">
        <f>IF(AND($B128&gt;='111'!$N$11,$B128&lt;='111'!$O$11,OR($L128=$O$7,$M128=$O$7)),"x","")</f>
        <v/>
      </c>
      <c r="P128" s="51" t="str">
        <f>IF(AND($L128=$O$7,$B128&lt;'111'!$N$11),"x","")</f>
        <v/>
      </c>
      <c r="Q128" s="51" t="str">
        <f>IF(AND($M128=$O$7,$B128&lt;'111'!$N$11),"x","")</f>
        <v>x</v>
      </c>
      <c r="R128" s="51" t="str">
        <f>IF(ISERROR(FIND('112'!$M$9,G128,1)),"",IF((AND(FIND('112'!$M$9,G128,1)&gt;=1,$B128&gt;='112'!$N$8,$B128&lt;='112'!$O$8,OR($L128='112'!$I$6,$M128='112'!$I$6))),"x",""))</f>
        <v/>
      </c>
      <c r="S128" s="51" t="str">
        <f>IF(ISERROR(FIND('112'!$M$9,G128,1)),"",IF((AND(LEFT(G128,2)=LEFT('112'!$M$9,2),B128&lt;'112'!$N$8,$L128='112'!$I$6)),"x",""))</f>
        <v/>
      </c>
      <c r="T128" s="51" t="str">
        <f>IF(ISERROR(FIND('112'!$M$9,G128,1)),"",IF((AND(RIGHT(G128,2)=RIGHT('112'!$M$9,2),B128&lt;'112'!$N$8,$M128='112'!$I$6)),"x",""))</f>
        <v/>
      </c>
      <c r="U128" s="51" t="str">
        <f>IF(AND(L128="154",'154'!$O$5&lt;=B128,'154'!$P$5&gt;=B128),"154",IF(AND(L128="632",'632'!$L$5&lt;=B128,'632'!$M$5&gt;=B128),"632",IF(AND(L128="642",'642'!$N$5&lt;=B128,'642'!$O$5&gt;=B128),"642",IF(AND(L128="641",'641'!$N$5&lt;=B128,'641'!$O$5&gt;=B128),"641",""))))</f>
        <v/>
      </c>
      <c r="V128" s="51" t="str">
        <f>IF(OR(TH!L128=TH!$V$7,M128=TH!$V$7),"x","")</f>
        <v/>
      </c>
      <c r="W128" s="51" t="str">
        <f>IF(AND(B128&gt;='IN-NX'!$P$3,B128&lt;='IN-NX'!$Q$3,'IN-NX'!$D$7=D128,OR(LEFT(L128,2)="15",AND(LEFT(M128,2)&lt;&gt;"15",LEFT(M128,2)&lt;&gt;"33"))),"x","")</f>
        <v/>
      </c>
      <c r="X128" s="51" t="str">
        <f>IF(AND(OR(LEFT(TH!L128,2)="15",LEFT(TH!M128,2)="15"),'152-CT'!$J$8=TH!F128),"x","")</f>
        <v/>
      </c>
      <c r="Y128" s="51" t="str">
        <f>IF(AND(OR(LEFT(TH!L128,2)="15",LEFT(TH!M128,2)="15"),TK!$E$7=TH!F128),"x","")</f>
        <v/>
      </c>
      <c r="Z128" s="51" t="str">
        <f>IF(AND(B128&lt;=NKC!$N$8,B128&gt;=NKC!$M$8),"x","")</f>
        <v/>
      </c>
      <c r="AA128" s="803">
        <v>2</v>
      </c>
      <c r="AC128" s="203"/>
      <c r="AD128" s="203"/>
      <c r="AE128" s="203"/>
    </row>
    <row r="129" spans="1:31" s="565" customFormat="1" ht="15.75" customHeight="1">
      <c r="A129" s="804" t="str">
        <f>IF(B129&lt;&gt;"",IF(AND(B129&gt;=_TM1,B129&lt;=_TM2,OR(TH!L129="1111",TH!M129="1111")),TH!D129,""),"")</f>
        <v/>
      </c>
      <c r="B129" s="36">
        <f t="shared" si="7"/>
        <v>3</v>
      </c>
      <c r="C129" s="189">
        <f t="shared" si="8"/>
        <v>42076</v>
      </c>
      <c r="D129" s="189" t="s">
        <v>1361</v>
      </c>
      <c r="E129" s="189">
        <v>42076</v>
      </c>
      <c r="F129" s="922" t="s">
        <v>511</v>
      </c>
      <c r="G129" s="813" t="s">
        <v>510</v>
      </c>
      <c r="H129" s="191" t="s">
        <v>509</v>
      </c>
      <c r="I129" s="243">
        <v>600</v>
      </c>
      <c r="J129" s="243">
        <v>12030</v>
      </c>
      <c r="K129" s="573">
        <f>ROUND(I129*J129,0)</f>
        <v>7218000</v>
      </c>
      <c r="L129" s="574" t="s">
        <v>417</v>
      </c>
      <c r="M129" s="574" t="s">
        <v>8</v>
      </c>
      <c r="N129" s="51" t="str">
        <f>IF(AND('331-CT'!$E$7=TH!H129,OR(L129="331",M129="331")),"331",IF(AND(OR(L129="131",M129="131"),H129='131-CT'!$E$7),"131",""))</f>
        <v/>
      </c>
      <c r="O129" s="51" t="str">
        <f>IF(AND($B129&gt;='111'!$N$11,$B129&lt;='111'!$O$11,OR($L129=$O$7,$M129=$O$7)),"x","")</f>
        <v/>
      </c>
      <c r="P129" s="51" t="str">
        <f>IF(AND($L129=$O$7,$B129&lt;'111'!$N$11),"x","")</f>
        <v/>
      </c>
      <c r="Q129" s="51" t="str">
        <f>IF(AND($M129=$O$7,$B129&lt;'111'!$N$11),"x","")</f>
        <v/>
      </c>
      <c r="R129" s="51" t="str">
        <f>IF(ISERROR(FIND('112'!$M$9,G129,1)),"",IF((AND(FIND('112'!$M$9,G129,1)&gt;=1,$B129&gt;='112'!$N$8,$B129&lt;='112'!$O$8,OR($L129='112'!$I$6,$M129='112'!$I$6))),"x",""))</f>
        <v/>
      </c>
      <c r="S129" s="51" t="str">
        <f>IF(ISERROR(FIND('112'!$M$9,G129,1)),"",IF((AND(LEFT(G129,2)=LEFT('112'!$M$9,2),B129&lt;'112'!$N$8,$L129='112'!$I$6)),"x",""))</f>
        <v/>
      </c>
      <c r="T129" s="51" t="str">
        <f>IF(ISERROR(FIND('112'!$M$9,G129,1)),"",IF((AND(RIGHT(G129,2)=RIGHT('112'!$M$9,2),B129&lt;'112'!$N$8,$M129='112'!$I$6)),"x",""))</f>
        <v/>
      </c>
      <c r="U129" s="51" t="str">
        <f>IF(AND(L129="154",'154'!$O$5&lt;=B129,'154'!$P$5&gt;=B129),"154",IF(AND(L129="632",'632'!$L$5&lt;=B129,'632'!$M$5&gt;=B129),"632",IF(AND(L129="642",'642'!$N$5&lt;=B129,'642'!$O$5&gt;=B129),"642",IF(AND(L129="641",'641'!$N$5&lt;=B129,'641'!$O$5&gt;=B129),"641",""))))</f>
        <v/>
      </c>
      <c r="V129" s="51" t="str">
        <f>IF(OR(TH!L129=TH!$V$7,M129=TH!$V$7),"x","")</f>
        <v/>
      </c>
      <c r="W129" s="51" t="str">
        <f>IF(AND(B129&gt;='IN-NX'!$P$3,B129&lt;='IN-NX'!$Q$3,'IN-NX'!$D$7=D129,OR(LEFT(L129,2)="15",AND(LEFT(M129,2)&lt;&gt;"15",LEFT(M129,2)&lt;&gt;"33"))),"x","")</f>
        <v/>
      </c>
      <c r="X129" s="51" t="str">
        <f>IF(AND(OR(LEFT(TH!L129,2)="15",LEFT(TH!M129,2)="15"),'152-CT'!$J$8=TH!F129),"x","")</f>
        <v/>
      </c>
      <c r="Y129" s="51" t="str">
        <f>IF(AND(OR(LEFT(TH!L129,2)="15",LEFT(TH!M129,2)="15"),TK!$E$7=TH!F129),"x","")</f>
        <v/>
      </c>
      <c r="Z129" s="51" t="str">
        <f>IF(AND(B129&lt;=NKC!$N$8,B129&gt;=NKC!$M$8),"x","")</f>
        <v/>
      </c>
      <c r="AA129" s="803"/>
      <c r="AC129" s="203"/>
      <c r="AD129" s="203"/>
      <c r="AE129" s="203"/>
    </row>
    <row r="130" spans="1:31" s="565" customFormat="1" ht="15.75" customHeight="1">
      <c r="A130" s="804" t="str">
        <f>IF(B130&lt;&gt;"",IF(AND(B130&gt;=_TM1,B130&lt;=_TM2,OR(TH!L130="1111",TH!M130="1111")),TH!D130,""),"")</f>
        <v/>
      </c>
      <c r="B130" s="36">
        <f t="shared" si="7"/>
        <v>3</v>
      </c>
      <c r="C130" s="189">
        <f t="shared" si="8"/>
        <v>42076</v>
      </c>
      <c r="D130" s="189" t="s">
        <v>1361</v>
      </c>
      <c r="E130" s="189">
        <v>42076</v>
      </c>
      <c r="F130" s="922" t="s">
        <v>512</v>
      </c>
      <c r="G130" s="813" t="s">
        <v>510</v>
      </c>
      <c r="H130" s="191" t="s">
        <v>509</v>
      </c>
      <c r="I130" s="243">
        <v>450</v>
      </c>
      <c r="J130" s="764">
        <v>16065</v>
      </c>
      <c r="K130" s="573">
        <f>ROUND(I130*J130,0)</f>
        <v>7229250</v>
      </c>
      <c r="L130" s="574" t="s">
        <v>417</v>
      </c>
      <c r="M130" s="574" t="s">
        <v>8</v>
      </c>
      <c r="N130" s="51" t="str">
        <f>IF(AND('331-CT'!$E$7=TH!H130,OR(L130="331",M130="331")),"331",IF(AND(OR(L130="131",M130="131"),H130='131-CT'!$E$7),"131",""))</f>
        <v/>
      </c>
      <c r="O130" s="51" t="str">
        <f>IF(AND($B130&gt;='111'!$N$11,$B130&lt;='111'!$O$11,OR($L130=$O$7,$M130=$O$7)),"x","")</f>
        <v/>
      </c>
      <c r="P130" s="51" t="str">
        <f>IF(AND($L130=$O$7,$B130&lt;'111'!$N$11),"x","")</f>
        <v/>
      </c>
      <c r="Q130" s="51" t="str">
        <f>IF(AND($M130=$O$7,$B130&lt;'111'!$N$11),"x","")</f>
        <v/>
      </c>
      <c r="R130" s="51" t="str">
        <f>IF(ISERROR(FIND('112'!$M$9,G130,1)),"",IF((AND(FIND('112'!$M$9,G130,1)&gt;=1,$B130&gt;='112'!$N$8,$B130&lt;='112'!$O$8,OR($L130='112'!$I$6,$M130='112'!$I$6))),"x",""))</f>
        <v/>
      </c>
      <c r="S130" s="51" t="str">
        <f>IF(ISERROR(FIND('112'!$M$9,G130,1)),"",IF((AND(LEFT(G130,2)=LEFT('112'!$M$9,2),B130&lt;'112'!$N$8,$L130='112'!$I$6)),"x",""))</f>
        <v/>
      </c>
      <c r="T130" s="51" t="str">
        <f>IF(ISERROR(FIND('112'!$M$9,G130,1)),"",IF((AND(RIGHT(G130,2)=RIGHT('112'!$M$9,2),B130&lt;'112'!$N$8,$M130='112'!$I$6)),"x",""))</f>
        <v/>
      </c>
      <c r="U130" s="51" t="str">
        <f>IF(AND(L130="154",'154'!$O$5&lt;=B130,'154'!$P$5&gt;=B130),"154",IF(AND(L130="632",'632'!$L$5&lt;=B130,'632'!$M$5&gt;=B130),"632",IF(AND(L130="642",'642'!$N$5&lt;=B130,'642'!$O$5&gt;=B130),"642",IF(AND(L130="641",'641'!$N$5&lt;=B130,'641'!$O$5&gt;=B130),"641",""))))</f>
        <v/>
      </c>
      <c r="V130" s="51" t="str">
        <f>IF(OR(TH!L130=TH!$V$7,M130=TH!$V$7),"x","")</f>
        <v/>
      </c>
      <c r="W130" s="51" t="str">
        <f>IF(AND(B130&gt;='IN-NX'!$P$3,B130&lt;='IN-NX'!$Q$3,'IN-NX'!$D$7=D130,OR(LEFT(L130,2)="15",AND(LEFT(M130,2)&lt;&gt;"15",LEFT(M130,2)&lt;&gt;"33"))),"x","")</f>
        <v/>
      </c>
      <c r="X130" s="51" t="str">
        <f>IF(AND(OR(LEFT(TH!L130,2)="15",LEFT(TH!M130,2)="15"),'152-CT'!$J$8=TH!F130),"x","")</f>
        <v/>
      </c>
      <c r="Y130" s="51" t="str">
        <f>IF(AND(OR(LEFT(TH!L130,2)="15",LEFT(TH!M130,2)="15"),TK!$E$7=TH!F130),"x","")</f>
        <v/>
      </c>
      <c r="Z130" s="51" t="str">
        <f>IF(AND(B130&lt;=NKC!$N$8,B130&gt;=NKC!$M$8),"x","")</f>
        <v/>
      </c>
      <c r="AA130" s="803"/>
      <c r="AC130" s="203"/>
      <c r="AD130" s="203"/>
      <c r="AE130" s="203"/>
    </row>
    <row r="131" spans="1:31" s="565" customFormat="1" ht="15.75" customHeight="1">
      <c r="A131" s="804" t="str">
        <f>IF(B131&lt;&gt;"",IF(AND(B131&gt;=_TM1,B131&lt;=_TM2,OR(TH!L131="1111",TH!M131="1111")),TH!D131,""),"")</f>
        <v/>
      </c>
      <c r="B131" s="36">
        <f t="shared" si="7"/>
        <v>3</v>
      </c>
      <c r="C131" s="189">
        <f t="shared" si="8"/>
        <v>42076</v>
      </c>
      <c r="D131" s="189" t="s">
        <v>1361</v>
      </c>
      <c r="E131" s="189">
        <v>42076</v>
      </c>
      <c r="F131" s="926" t="s">
        <v>477</v>
      </c>
      <c r="G131" s="813" t="s">
        <v>510</v>
      </c>
      <c r="H131" s="191" t="s">
        <v>509</v>
      </c>
      <c r="I131" s="243">
        <v>250</v>
      </c>
      <c r="J131" s="243">
        <v>10144</v>
      </c>
      <c r="K131" s="573">
        <f>ROUND(I131*J131,0)</f>
        <v>2536000</v>
      </c>
      <c r="L131" s="574" t="s">
        <v>417</v>
      </c>
      <c r="M131" s="574" t="s">
        <v>8</v>
      </c>
      <c r="N131" s="51" t="str">
        <f>IF(AND('331-CT'!$E$7=TH!H131,OR(L131="331",M131="331")),"331",IF(AND(OR(L131="131",M131="131"),H131='131-CT'!$E$7),"131",""))</f>
        <v/>
      </c>
      <c r="O131" s="51" t="str">
        <f>IF(AND($B131&gt;='111'!$N$11,$B131&lt;='111'!$O$11,OR($L131=$O$7,$M131=$O$7)),"x","")</f>
        <v/>
      </c>
      <c r="P131" s="51" t="str">
        <f>IF(AND($L131=$O$7,$B131&lt;'111'!$N$11),"x","")</f>
        <v/>
      </c>
      <c r="Q131" s="51" t="str">
        <f>IF(AND($M131=$O$7,$B131&lt;'111'!$N$11),"x","")</f>
        <v/>
      </c>
      <c r="R131" s="51" t="str">
        <f>IF(ISERROR(FIND('112'!$M$9,G131,1)),"",IF((AND(FIND('112'!$M$9,G131,1)&gt;=1,$B131&gt;='112'!$N$8,$B131&lt;='112'!$O$8,OR($L131='112'!$I$6,$M131='112'!$I$6))),"x",""))</f>
        <v/>
      </c>
      <c r="S131" s="51" t="str">
        <f>IF(ISERROR(FIND('112'!$M$9,G131,1)),"",IF((AND(LEFT(G131,2)=LEFT('112'!$M$9,2),B131&lt;'112'!$N$8,$L131='112'!$I$6)),"x",""))</f>
        <v/>
      </c>
      <c r="T131" s="51" t="str">
        <f>IF(ISERROR(FIND('112'!$M$9,G131,1)),"",IF((AND(RIGHT(G131,2)=RIGHT('112'!$M$9,2),B131&lt;'112'!$N$8,$M131='112'!$I$6)),"x",""))</f>
        <v/>
      </c>
      <c r="U131" s="51" t="str">
        <f>IF(AND(L131="154",'154'!$O$5&lt;=B131,'154'!$P$5&gt;=B131),"154",IF(AND(L131="632",'632'!$L$5&lt;=B131,'632'!$M$5&gt;=B131),"632",IF(AND(L131="642",'642'!$N$5&lt;=B131,'642'!$O$5&gt;=B131),"642",IF(AND(L131="641",'641'!$N$5&lt;=B131,'641'!$O$5&gt;=B131),"641",""))))</f>
        <v/>
      </c>
      <c r="V131" s="51" t="str">
        <f>IF(OR(TH!L131=TH!$V$7,M131=TH!$V$7),"x","")</f>
        <v/>
      </c>
      <c r="W131" s="51" t="str">
        <f>IF(AND(B131&gt;='IN-NX'!$P$3,B131&lt;='IN-NX'!$Q$3,'IN-NX'!$D$7=D131,OR(LEFT(L131,2)="15",AND(LEFT(M131,2)&lt;&gt;"15",LEFT(M131,2)&lt;&gt;"33"))),"x","")</f>
        <v/>
      </c>
      <c r="X131" s="51" t="str">
        <f>IF(AND(OR(LEFT(TH!L131,2)="15",LEFT(TH!M131,2)="15"),'152-CT'!$J$8=TH!F131),"x","")</f>
        <v/>
      </c>
      <c r="Y131" s="51" t="str">
        <f>IF(AND(OR(LEFT(TH!L131,2)="15",LEFT(TH!M131,2)="15"),TK!$E$7=TH!F131),"x","")</f>
        <v/>
      </c>
      <c r="Z131" s="51" t="str">
        <f>IF(AND(B131&lt;=NKC!$N$8,B131&gt;=NKC!$M$8),"x","")</f>
        <v/>
      </c>
      <c r="AA131" s="803"/>
      <c r="AC131" s="203"/>
      <c r="AD131" s="203"/>
      <c r="AE131" s="203"/>
    </row>
    <row r="132" spans="1:31" s="565" customFormat="1" ht="15.75" customHeight="1">
      <c r="A132" s="804" t="str">
        <f>IF(B132&lt;&gt;"",IF(AND(B132&gt;=_TM1,B132&lt;=_TM2,OR(TH!L132="1111",TH!M132="1111")),TH!D132,""),"")</f>
        <v/>
      </c>
      <c r="B132" s="36">
        <f t="shared" si="7"/>
        <v>3</v>
      </c>
      <c r="C132" s="189">
        <f t="shared" si="8"/>
        <v>42076</v>
      </c>
      <c r="D132" s="189" t="s">
        <v>1361</v>
      </c>
      <c r="E132" s="189">
        <v>42076</v>
      </c>
      <c r="F132" s="922" t="s">
        <v>468</v>
      </c>
      <c r="G132" s="813" t="s">
        <v>510</v>
      </c>
      <c r="H132" s="191" t="s">
        <v>509</v>
      </c>
      <c r="I132" s="243"/>
      <c r="J132" s="764"/>
      <c r="K132" s="573">
        <v>1698325</v>
      </c>
      <c r="L132" s="574" t="s">
        <v>9</v>
      </c>
      <c r="M132" s="574" t="s">
        <v>8</v>
      </c>
      <c r="N132" s="51" t="str">
        <f>IF(AND('331-CT'!$E$7=TH!H132,OR(L132="331",M132="331")),"331",IF(AND(OR(L132="131",M132="131"),H132='131-CT'!$E$7),"131",""))</f>
        <v/>
      </c>
      <c r="O132" s="51" t="str">
        <f>IF(AND($B132&gt;='111'!$N$11,$B132&lt;='111'!$O$11,OR($L132=$O$7,$M132=$O$7)),"x","")</f>
        <v/>
      </c>
      <c r="P132" s="51" t="str">
        <f>IF(AND($L132=$O$7,$B132&lt;'111'!$N$11),"x","")</f>
        <v/>
      </c>
      <c r="Q132" s="51" t="str">
        <f>IF(AND($M132=$O$7,$B132&lt;'111'!$N$11),"x","")</f>
        <v/>
      </c>
      <c r="R132" s="51" t="str">
        <f>IF(ISERROR(FIND('112'!$M$9,G132,1)),"",IF((AND(FIND('112'!$M$9,G132,1)&gt;=1,$B132&gt;='112'!$N$8,$B132&lt;='112'!$O$8,OR($L132='112'!$I$6,$M132='112'!$I$6))),"x",""))</f>
        <v/>
      </c>
      <c r="S132" s="51" t="str">
        <f>IF(ISERROR(FIND('112'!$M$9,G132,1)),"",IF((AND(LEFT(G132,2)=LEFT('112'!$M$9,2),B132&lt;'112'!$N$8,$L132='112'!$I$6)),"x",""))</f>
        <v/>
      </c>
      <c r="T132" s="51" t="str">
        <f>IF(ISERROR(FIND('112'!$M$9,G132,1)),"",IF((AND(RIGHT(G132,2)=RIGHT('112'!$M$9,2),B132&lt;'112'!$N$8,$M132='112'!$I$6)),"x",""))</f>
        <v/>
      </c>
      <c r="U132" s="51" t="str">
        <f>IF(AND(L132="154",'154'!$O$5&lt;=B132,'154'!$P$5&gt;=B132),"154",IF(AND(L132="632",'632'!$L$5&lt;=B132,'632'!$M$5&gt;=B132),"632",IF(AND(L132="642",'642'!$N$5&lt;=B132,'642'!$O$5&gt;=B132),"642",IF(AND(L132="641",'641'!$N$5&lt;=B132,'641'!$O$5&gt;=B132),"641",""))))</f>
        <v/>
      </c>
      <c r="V132" s="51" t="str">
        <f>IF(OR(TH!L132=TH!$V$7,M132=TH!$V$7),"x","")</f>
        <v/>
      </c>
      <c r="W132" s="51" t="str">
        <f>IF(AND(B132&gt;='IN-NX'!$P$3,B132&lt;='IN-NX'!$Q$3,'IN-NX'!$D$7=D132,OR(LEFT(L132,2)="15",AND(LEFT(M132,2)&lt;&gt;"15",LEFT(M132,2)&lt;&gt;"33"))),"x","")</f>
        <v/>
      </c>
      <c r="X132" s="51" t="str">
        <f>IF(AND(OR(LEFT(TH!L132,2)="15",LEFT(TH!M132,2)="15"),'152-CT'!$J$8=TH!F132),"x","")</f>
        <v/>
      </c>
      <c r="Y132" s="51" t="str">
        <f>IF(AND(OR(LEFT(TH!L132,2)="15",LEFT(TH!M132,2)="15"),TK!$E$7=TH!F132),"x","")</f>
        <v/>
      </c>
      <c r="Z132" s="51" t="str">
        <f>IF(AND(B132&lt;=NKC!$N$8,B132&gt;=NKC!$M$8),"x","")</f>
        <v/>
      </c>
      <c r="AA132" s="803">
        <v>1</v>
      </c>
      <c r="AE132" s="203"/>
    </row>
    <row r="133" spans="1:31" s="565" customFormat="1" ht="15.75" customHeight="1">
      <c r="A133" s="804" t="str">
        <f>IF(B133&lt;&gt;"",IF(AND(B133&gt;=_TM1,B133&lt;=_TM2,OR(TH!L133="1111",TH!M133="1111")),TH!D133,""),"")</f>
        <v/>
      </c>
      <c r="B133" s="36">
        <f t="shared" si="7"/>
        <v>3</v>
      </c>
      <c r="C133" s="189">
        <f t="shared" si="8"/>
        <v>42076</v>
      </c>
      <c r="D133" s="189" t="s">
        <v>1366</v>
      </c>
      <c r="E133" s="189">
        <v>42076</v>
      </c>
      <c r="F133" s="187" t="s">
        <v>438</v>
      </c>
      <c r="G133" s="813" t="s">
        <v>510</v>
      </c>
      <c r="H133" s="191" t="s">
        <v>509</v>
      </c>
      <c r="I133" s="243"/>
      <c r="J133" s="764"/>
      <c r="K133" s="573">
        <v>18681575</v>
      </c>
      <c r="L133" s="574" t="s">
        <v>8</v>
      </c>
      <c r="M133" s="574" t="s">
        <v>47</v>
      </c>
      <c r="N133" s="51" t="str">
        <f>IF(AND('331-CT'!$E$7=TH!H133,OR(L133="331",M133="331")),"331",IF(AND(OR(L133="131",M133="131"),H133='131-CT'!$E$7),"131",""))</f>
        <v/>
      </c>
      <c r="O133" s="51" t="str">
        <f>IF(AND($B133&gt;='111'!$N$11,$B133&lt;='111'!$O$11,OR($L133=$O$7,$M133=$O$7)),"x","")</f>
        <v/>
      </c>
      <c r="P133" s="51" t="str">
        <f>IF(AND($L133=$O$7,$B133&lt;'111'!$N$11),"x","")</f>
        <v/>
      </c>
      <c r="Q133" s="51" t="str">
        <f>IF(AND($M133=$O$7,$B133&lt;'111'!$N$11),"x","")</f>
        <v>x</v>
      </c>
      <c r="R133" s="51" t="str">
        <f>IF(ISERROR(FIND('112'!$M$9,G133,1)),"",IF((AND(FIND('112'!$M$9,G133,1)&gt;=1,$B133&gt;='112'!$N$8,$B133&lt;='112'!$O$8,OR($L133='112'!$I$6,$M133='112'!$I$6))),"x",""))</f>
        <v/>
      </c>
      <c r="S133" s="51" t="str">
        <f>IF(ISERROR(FIND('112'!$M$9,G133,1)),"",IF((AND(LEFT(G133,2)=LEFT('112'!$M$9,2),B133&lt;'112'!$N$8,$L133='112'!$I$6)),"x",""))</f>
        <v/>
      </c>
      <c r="T133" s="51" t="str">
        <f>IF(ISERROR(FIND('112'!$M$9,G133,1)),"",IF((AND(RIGHT(G133,2)=RIGHT('112'!$M$9,2),B133&lt;'112'!$N$8,$M133='112'!$I$6)),"x",""))</f>
        <v/>
      </c>
      <c r="U133" s="51" t="str">
        <f>IF(AND(L133="154",'154'!$O$5&lt;=B133,'154'!$P$5&gt;=B133),"154",IF(AND(L133="632",'632'!$L$5&lt;=B133,'632'!$M$5&gt;=B133),"632",IF(AND(L133="642",'642'!$N$5&lt;=B133,'642'!$O$5&gt;=B133),"642",IF(AND(L133="641",'641'!$N$5&lt;=B133,'641'!$O$5&gt;=B133),"641",""))))</f>
        <v/>
      </c>
      <c r="V133" s="51" t="str">
        <f>IF(OR(TH!L133=TH!$V$7,M133=TH!$V$7),"x","")</f>
        <v/>
      </c>
      <c r="W133" s="51" t="str">
        <f>IF(AND(B133&gt;='IN-NX'!$P$3,B133&lt;='IN-NX'!$Q$3,'IN-NX'!$D$7=D133,OR(LEFT(L133,2)="15",AND(LEFT(M133,2)&lt;&gt;"15",LEFT(M133,2)&lt;&gt;"33"))),"x","")</f>
        <v/>
      </c>
      <c r="X133" s="51" t="str">
        <f>IF(AND(OR(LEFT(TH!L133,2)="15",LEFT(TH!M133,2)="15"),'152-CT'!$J$8=TH!F133),"x","")</f>
        <v/>
      </c>
      <c r="Y133" s="51" t="str">
        <f>IF(AND(OR(LEFT(TH!L133,2)="15",LEFT(TH!M133,2)="15"),TK!$E$7=TH!F133),"x","")</f>
        <v/>
      </c>
      <c r="Z133" s="51" t="str">
        <f>IF(AND(B133&lt;=NKC!$N$8,B133&gt;=NKC!$M$8),"x","")</f>
        <v/>
      </c>
      <c r="AA133" s="803"/>
      <c r="AE133" s="203"/>
    </row>
    <row r="134" spans="1:31" s="565" customFormat="1" ht="15.75" customHeight="1">
      <c r="A134" s="804" t="str">
        <f>IF(B134&lt;&gt;"",IF(AND(B134&gt;=_TM1,B134&lt;=_TM2,OR(TH!L134="1111",TH!M134="1111")),TH!D134,""),"")</f>
        <v/>
      </c>
      <c r="B134" s="36">
        <f t="shared" si="7"/>
        <v>3</v>
      </c>
      <c r="C134" s="189">
        <f t="shared" si="8"/>
        <v>42077</v>
      </c>
      <c r="D134" s="189" t="s">
        <v>1367</v>
      </c>
      <c r="E134" s="189">
        <v>42077</v>
      </c>
      <c r="F134" s="922" t="s">
        <v>490</v>
      </c>
      <c r="G134" s="813" t="s">
        <v>489</v>
      </c>
      <c r="H134" s="191" t="s">
        <v>488</v>
      </c>
      <c r="I134" s="243"/>
      <c r="J134" s="243"/>
      <c r="K134" s="573">
        <v>176000</v>
      </c>
      <c r="L134" s="574" t="s">
        <v>251</v>
      </c>
      <c r="M134" s="574" t="s">
        <v>47</v>
      </c>
      <c r="N134" s="51" t="str">
        <f>IF(AND('331-CT'!$E$7=TH!H134,OR(L134="331",M134="331")),"331",IF(AND(OR(L134="131",M134="131"),H134='131-CT'!$E$7),"131",""))</f>
        <v/>
      </c>
      <c r="O134" s="51" t="str">
        <f>IF(AND($B134&gt;='111'!$N$11,$B134&lt;='111'!$O$11,OR($L134=$O$7,$M134=$O$7)),"x","")</f>
        <v/>
      </c>
      <c r="P134" s="51" t="str">
        <f>IF(AND($L134=$O$7,$B134&lt;'111'!$N$11),"x","")</f>
        <v/>
      </c>
      <c r="Q134" s="51" t="str">
        <f>IF(AND($M134=$O$7,$B134&lt;'111'!$N$11),"x","")</f>
        <v>x</v>
      </c>
      <c r="R134" s="51" t="str">
        <f>IF(ISERROR(FIND('112'!$M$9,G134,1)),"",IF((AND(FIND('112'!$M$9,G134,1)&gt;=1,$B134&gt;='112'!$N$8,$B134&lt;='112'!$O$8,OR($L134='112'!$I$6,$M134='112'!$I$6))),"x",""))</f>
        <v/>
      </c>
      <c r="S134" s="51" t="str">
        <f>IF(ISERROR(FIND('112'!$M$9,G134,1)),"",IF((AND(LEFT(G134,2)=LEFT('112'!$M$9,2),B134&lt;'112'!$N$8,$L134='112'!$I$6)),"x",""))</f>
        <v/>
      </c>
      <c r="T134" s="51" t="str">
        <f>IF(ISERROR(FIND('112'!$M$9,G134,1)),"",IF((AND(RIGHT(G134,2)=RIGHT('112'!$M$9,2),B134&lt;'112'!$N$8,$M134='112'!$I$6)),"x",""))</f>
        <v/>
      </c>
      <c r="U134" s="51" t="str">
        <f>IF(AND(L134="154",'154'!$O$5&lt;=B134,'154'!$P$5&gt;=B134),"154",IF(AND(L134="632",'632'!$L$5&lt;=B134,'632'!$M$5&gt;=B134),"632",IF(AND(L134="642",'642'!$N$5&lt;=B134,'642'!$O$5&gt;=B134),"642",IF(AND(L134="641",'641'!$N$5&lt;=B134,'641'!$O$5&gt;=B134),"641",""))))</f>
        <v/>
      </c>
      <c r="V134" s="51" t="str">
        <f>IF(OR(TH!L134=TH!$V$7,M134=TH!$V$7),"x","")</f>
        <v/>
      </c>
      <c r="W134" s="51" t="str">
        <f>IF(AND(B134&gt;='IN-NX'!$P$3,B134&lt;='IN-NX'!$Q$3,'IN-NX'!$D$7=D134,OR(LEFT(L134,2)="15",AND(LEFT(M134,2)&lt;&gt;"15",LEFT(M134,2)&lt;&gt;"33"))),"x","")</f>
        <v/>
      </c>
      <c r="X134" s="51" t="str">
        <f>IF(AND(OR(LEFT(TH!L134,2)="15",LEFT(TH!M134,2)="15"),'152-CT'!$J$8=TH!F134),"x","")</f>
        <v/>
      </c>
      <c r="Y134" s="51" t="str">
        <f>IF(AND(OR(LEFT(TH!L134,2)="15",LEFT(TH!M134,2)="15"),TK!$E$7=TH!F134),"x","")</f>
        <v/>
      </c>
      <c r="Z134" s="51" t="str">
        <f>IF(AND(B134&lt;=NKC!$N$8,B134&gt;=NKC!$M$8),"x","")</f>
        <v/>
      </c>
      <c r="AA134" s="803"/>
      <c r="AC134" s="203"/>
      <c r="AD134" s="203"/>
      <c r="AE134" s="203"/>
    </row>
    <row r="135" spans="1:31" s="565" customFormat="1" ht="15.75" customHeight="1">
      <c r="A135" s="804" t="str">
        <f>IF(B135&lt;&gt;"",IF(AND(B135&gt;=_TM1,B135&lt;=_TM2,OR(TH!L135="1111",TH!M135="1111")),TH!D135,""),"")</f>
        <v/>
      </c>
      <c r="B135" s="36">
        <f t="shared" si="7"/>
        <v>3</v>
      </c>
      <c r="C135" s="189">
        <f t="shared" si="8"/>
        <v>42077</v>
      </c>
      <c r="D135" s="189" t="s">
        <v>1367</v>
      </c>
      <c r="E135" s="189">
        <v>42077</v>
      </c>
      <c r="F135" s="190" t="s">
        <v>491</v>
      </c>
      <c r="G135" s="813" t="s">
        <v>489</v>
      </c>
      <c r="H135" s="191" t="s">
        <v>488</v>
      </c>
      <c r="I135" s="243"/>
      <c r="J135" s="243"/>
      <c r="K135" s="573">
        <v>17600</v>
      </c>
      <c r="L135" s="574" t="s">
        <v>9</v>
      </c>
      <c r="M135" s="574" t="s">
        <v>47</v>
      </c>
      <c r="N135" s="51" t="str">
        <f>IF(AND('331-CT'!$E$7=TH!H135,OR(L135="331",M135="331")),"331",IF(AND(OR(L135="131",M135="131"),H135='131-CT'!$E$7),"131",""))</f>
        <v/>
      </c>
      <c r="O135" s="51" t="str">
        <f>IF(AND($B135&gt;='111'!$N$11,$B135&lt;='111'!$O$11,OR($L135=$O$7,$M135=$O$7)),"x","")</f>
        <v/>
      </c>
      <c r="P135" s="51" t="str">
        <f>IF(AND($L135=$O$7,$B135&lt;'111'!$N$11),"x","")</f>
        <v/>
      </c>
      <c r="Q135" s="51" t="str">
        <f>IF(AND($M135=$O$7,$B135&lt;'111'!$N$11),"x","")</f>
        <v>x</v>
      </c>
      <c r="R135" s="51" t="str">
        <f>IF(ISERROR(FIND('112'!$M$9,G135,1)),"",IF((AND(FIND('112'!$M$9,G135,1)&gt;=1,$B135&gt;='112'!$N$8,$B135&lt;='112'!$O$8,OR($L135='112'!$I$6,$M135='112'!$I$6))),"x",""))</f>
        <v/>
      </c>
      <c r="S135" s="51" t="str">
        <f>IF(ISERROR(FIND('112'!$M$9,G135,1)),"",IF((AND(LEFT(G135,2)=LEFT('112'!$M$9,2),B135&lt;'112'!$N$8,$L135='112'!$I$6)),"x",""))</f>
        <v/>
      </c>
      <c r="T135" s="51" t="str">
        <f>IF(ISERROR(FIND('112'!$M$9,G135,1)),"",IF((AND(RIGHT(G135,2)=RIGHT('112'!$M$9,2),B135&lt;'112'!$N$8,$M135='112'!$I$6)),"x",""))</f>
        <v/>
      </c>
      <c r="U135" s="51" t="str">
        <f>IF(AND(L135="154",'154'!$O$5&lt;=B135,'154'!$P$5&gt;=B135),"154",IF(AND(L135="632",'632'!$L$5&lt;=B135,'632'!$M$5&gt;=B135),"632",IF(AND(L135="642",'642'!$N$5&lt;=B135,'642'!$O$5&gt;=B135),"642",IF(AND(L135="641",'641'!$N$5&lt;=B135,'641'!$O$5&gt;=B135),"641",""))))</f>
        <v/>
      </c>
      <c r="V135" s="51" t="str">
        <f>IF(OR(TH!L135=TH!$V$7,M135=TH!$V$7),"x","")</f>
        <v/>
      </c>
      <c r="W135" s="51" t="str">
        <f>IF(AND(B135&gt;='IN-NX'!$P$3,B135&lt;='IN-NX'!$Q$3,'IN-NX'!$D$7=D135,OR(LEFT(L135,2)="15",AND(LEFT(M135,2)&lt;&gt;"15",LEFT(M135,2)&lt;&gt;"33"))),"x","")</f>
        <v/>
      </c>
      <c r="X135" s="51" t="str">
        <f>IF(AND(OR(LEFT(TH!L135,2)="15",LEFT(TH!M135,2)="15"),'152-CT'!$J$8=TH!F135),"x","")</f>
        <v/>
      </c>
      <c r="Y135" s="51" t="str">
        <f>IF(AND(OR(LEFT(TH!L135,2)="15",LEFT(TH!M135,2)="15"),TK!$E$7=TH!F135),"x","")</f>
        <v/>
      </c>
      <c r="Z135" s="51" t="str">
        <f>IF(AND(B135&lt;=NKC!$N$8,B135&gt;=NKC!$M$8),"x","")</f>
        <v/>
      </c>
      <c r="AA135" s="803">
        <v>1</v>
      </c>
      <c r="AC135" s="203"/>
      <c r="AD135" s="203"/>
      <c r="AE135" s="203"/>
    </row>
    <row r="136" spans="1:31" s="565" customFormat="1" ht="15.75" customHeight="1">
      <c r="A136" s="804" t="str">
        <f>IF(B136&lt;&gt;"",IF(AND(B136&gt;=_TM1,B136&lt;=_TM2,OR(TH!L136="1111",TH!M136="1111")),TH!D136,""),"")</f>
        <v/>
      </c>
      <c r="B136" s="36">
        <f t="shared" si="7"/>
        <v>3</v>
      </c>
      <c r="C136" s="189">
        <f t="shared" si="8"/>
        <v>42078</v>
      </c>
      <c r="D136" s="189" t="s">
        <v>1364</v>
      </c>
      <c r="E136" s="189">
        <v>42078</v>
      </c>
      <c r="F136" s="926" t="s">
        <v>497</v>
      </c>
      <c r="G136" s="813" t="s">
        <v>507</v>
      </c>
      <c r="H136" s="191" t="s">
        <v>494</v>
      </c>
      <c r="I136" s="243">
        <v>400</v>
      </c>
      <c r="J136" s="243">
        <v>40680</v>
      </c>
      <c r="K136" s="573">
        <f>ROUND(I136*J136,0)</f>
        <v>16272000</v>
      </c>
      <c r="L136" s="574" t="s">
        <v>417</v>
      </c>
      <c r="M136" s="574" t="s">
        <v>8</v>
      </c>
      <c r="N136" s="51" t="str">
        <f>IF(AND('331-CT'!$E$7=TH!H136,OR(L136="331",M136="331")),"331",IF(AND(OR(L136="131",M136="131"),H136='131-CT'!$E$7),"131",""))</f>
        <v/>
      </c>
      <c r="O136" s="51" t="str">
        <f>IF(AND($B136&gt;='111'!$N$11,$B136&lt;='111'!$O$11,OR($L136=$O$7,$M136=$O$7)),"x","")</f>
        <v/>
      </c>
      <c r="P136" s="51" t="str">
        <f>IF(AND($L136=$O$7,$B136&lt;'111'!$N$11),"x","")</f>
        <v/>
      </c>
      <c r="Q136" s="51" t="str">
        <f>IF(AND($M136=$O$7,$B136&lt;'111'!$N$11),"x","")</f>
        <v/>
      </c>
      <c r="R136" s="51" t="str">
        <f>IF(ISERROR(FIND('112'!$M$9,G136,1)),"",IF((AND(FIND('112'!$M$9,G136,1)&gt;=1,$B136&gt;='112'!$N$8,$B136&lt;='112'!$O$8,OR($L136='112'!$I$6,$M136='112'!$I$6))),"x",""))</f>
        <v/>
      </c>
      <c r="S136" s="51" t="str">
        <f>IF(ISERROR(FIND('112'!$M$9,G136,1)),"",IF((AND(LEFT(G136,2)=LEFT('112'!$M$9,2),B136&lt;'112'!$N$8,$L136='112'!$I$6)),"x",""))</f>
        <v/>
      </c>
      <c r="T136" s="51" t="str">
        <f>IF(ISERROR(FIND('112'!$M$9,G136,1)),"",IF((AND(RIGHT(G136,2)=RIGHT('112'!$M$9,2),B136&lt;'112'!$N$8,$M136='112'!$I$6)),"x",""))</f>
        <v/>
      </c>
      <c r="U136" s="51" t="str">
        <f>IF(AND(L136="154",'154'!$O$5&lt;=B136,'154'!$P$5&gt;=B136),"154",IF(AND(L136="632",'632'!$L$5&lt;=B136,'632'!$M$5&gt;=B136),"632",IF(AND(L136="642",'642'!$N$5&lt;=B136,'642'!$O$5&gt;=B136),"642",IF(AND(L136="641",'641'!$N$5&lt;=B136,'641'!$O$5&gt;=B136),"641",""))))</f>
        <v/>
      </c>
      <c r="V136" s="51" t="str">
        <f>IF(OR(TH!L136=TH!$V$7,M136=TH!$V$7),"x","")</f>
        <v/>
      </c>
      <c r="W136" s="51" t="str">
        <f>IF(AND(B136&gt;='IN-NX'!$P$3,B136&lt;='IN-NX'!$Q$3,'IN-NX'!$D$7=D136,OR(LEFT(L136,2)="15",AND(LEFT(M136,2)&lt;&gt;"15",LEFT(M136,2)&lt;&gt;"33"))),"x","")</f>
        <v/>
      </c>
      <c r="X136" s="51" t="str">
        <f>IF(AND(OR(LEFT(TH!L136,2)="15",LEFT(TH!M136,2)="15"),'152-CT'!$J$8=TH!F136),"x","")</f>
        <v/>
      </c>
      <c r="Y136" s="51" t="str">
        <f>IF(AND(OR(LEFT(TH!L136,2)="15",LEFT(TH!M136,2)="15"),TK!$E$7=TH!F136),"x","")</f>
        <v/>
      </c>
      <c r="Z136" s="51" t="str">
        <f>IF(AND(B136&lt;=NKC!$N$8,B136&gt;=NKC!$M$8),"x","")</f>
        <v/>
      </c>
      <c r="AA136" s="803"/>
      <c r="AC136" s="203"/>
      <c r="AD136" s="203"/>
      <c r="AE136" s="203"/>
    </row>
    <row r="137" spans="1:31" s="565" customFormat="1" ht="15.75" customHeight="1">
      <c r="A137" s="804" t="str">
        <f>IF(B137&lt;&gt;"",IF(AND(B137&gt;=_TM1,B137&lt;=_TM2,OR(TH!L137="1111",TH!M137="1111")),TH!D137,""),"")</f>
        <v/>
      </c>
      <c r="B137" s="36">
        <f t="shared" si="7"/>
        <v>3</v>
      </c>
      <c r="C137" s="189">
        <f t="shared" si="8"/>
        <v>42078</v>
      </c>
      <c r="D137" s="189" t="s">
        <v>1364</v>
      </c>
      <c r="E137" s="189">
        <v>42078</v>
      </c>
      <c r="F137" s="922" t="s">
        <v>496</v>
      </c>
      <c r="G137" s="813" t="s">
        <v>507</v>
      </c>
      <c r="H137" s="191" t="s">
        <v>494</v>
      </c>
      <c r="I137" s="243"/>
      <c r="J137" s="243"/>
      <c r="K137" s="573">
        <v>1627200</v>
      </c>
      <c r="L137" s="574" t="s">
        <v>9</v>
      </c>
      <c r="M137" s="574" t="s">
        <v>8</v>
      </c>
      <c r="N137" s="51" t="str">
        <f>IF(AND('331-CT'!$E$7=TH!H137,OR(L137="331",M137="331")),"331",IF(AND(OR(L137="131",M137="131"),H137='131-CT'!$E$7),"131",""))</f>
        <v/>
      </c>
      <c r="O137" s="51" t="str">
        <f>IF(AND($B137&gt;='111'!$N$11,$B137&lt;='111'!$O$11,OR($L137=$O$7,$M137=$O$7)),"x","")</f>
        <v/>
      </c>
      <c r="P137" s="51" t="str">
        <f>IF(AND($L137=$O$7,$B137&lt;'111'!$N$11),"x","")</f>
        <v/>
      </c>
      <c r="Q137" s="51" t="str">
        <f>IF(AND($M137=$O$7,$B137&lt;'111'!$N$11),"x","")</f>
        <v/>
      </c>
      <c r="R137" s="51" t="str">
        <f>IF(ISERROR(FIND('112'!$M$9,G137,1)),"",IF((AND(FIND('112'!$M$9,G137,1)&gt;=1,$B137&gt;='112'!$N$8,$B137&lt;='112'!$O$8,OR($L137='112'!$I$6,$M137='112'!$I$6))),"x",""))</f>
        <v/>
      </c>
      <c r="S137" s="51" t="str">
        <f>IF(ISERROR(FIND('112'!$M$9,G137,1)),"",IF((AND(LEFT(G137,2)=LEFT('112'!$M$9,2),B137&lt;'112'!$N$8,$L137='112'!$I$6)),"x",""))</f>
        <v/>
      </c>
      <c r="T137" s="51" t="str">
        <f>IF(ISERROR(FIND('112'!$M$9,G137,1)),"",IF((AND(RIGHT(G137,2)=RIGHT('112'!$M$9,2),B137&lt;'112'!$N$8,$M137='112'!$I$6)),"x",""))</f>
        <v/>
      </c>
      <c r="U137" s="51" t="str">
        <f>IF(AND(L137="154",'154'!$O$5&lt;=B137,'154'!$P$5&gt;=B137),"154",IF(AND(L137="632",'632'!$L$5&lt;=B137,'632'!$M$5&gt;=B137),"632",IF(AND(L137="642",'642'!$N$5&lt;=B137,'642'!$O$5&gt;=B137),"642",IF(AND(L137="641",'641'!$N$5&lt;=B137,'641'!$O$5&gt;=B137),"641",""))))</f>
        <v/>
      </c>
      <c r="V137" s="51" t="str">
        <f>IF(OR(TH!L137=TH!$V$7,M137=TH!$V$7),"x","")</f>
        <v/>
      </c>
      <c r="W137" s="51" t="str">
        <f>IF(AND(B137&gt;='IN-NX'!$P$3,B137&lt;='IN-NX'!$Q$3,'IN-NX'!$D$7=D137,OR(LEFT(L137,2)="15",AND(LEFT(M137,2)&lt;&gt;"15",LEFT(M137,2)&lt;&gt;"33"))),"x","")</f>
        <v/>
      </c>
      <c r="X137" s="51" t="str">
        <f>IF(AND(OR(LEFT(TH!L137,2)="15",LEFT(TH!M137,2)="15"),'152-CT'!$J$8=TH!F137),"x","")</f>
        <v/>
      </c>
      <c r="Y137" s="51" t="str">
        <f>IF(AND(OR(LEFT(TH!L137,2)="15",LEFT(TH!M137,2)="15"),TK!$E$7=TH!F137),"x","")</f>
        <v/>
      </c>
      <c r="Z137" s="51" t="str">
        <f>IF(AND(B137&lt;=NKC!$N$8,B137&gt;=NKC!$M$8),"x","")</f>
        <v/>
      </c>
      <c r="AA137" s="803">
        <v>1</v>
      </c>
      <c r="AC137" s="203"/>
      <c r="AE137" s="203"/>
    </row>
    <row r="138" spans="1:31" s="565" customFormat="1" ht="15.75" customHeight="1">
      <c r="A138" s="804" t="str">
        <f>IF(B138&lt;&gt;"",IF(AND(B138&gt;=_TM1,B138&lt;=_TM2,OR(TH!L138="1111",TH!M138="1111")),TH!D138,""),"")</f>
        <v/>
      </c>
      <c r="B138" s="36">
        <f t="shared" si="7"/>
        <v>3</v>
      </c>
      <c r="C138" s="189">
        <f t="shared" si="8"/>
        <v>42078</v>
      </c>
      <c r="D138" s="189" t="s">
        <v>1373</v>
      </c>
      <c r="E138" s="189">
        <v>42078</v>
      </c>
      <c r="F138" s="187" t="s">
        <v>438</v>
      </c>
      <c r="G138" s="813" t="s">
        <v>507</v>
      </c>
      <c r="H138" s="191" t="s">
        <v>494</v>
      </c>
      <c r="I138" s="243"/>
      <c r="J138" s="243"/>
      <c r="K138" s="573">
        <v>17899200</v>
      </c>
      <c r="L138" s="574" t="s">
        <v>8</v>
      </c>
      <c r="M138" s="574" t="s">
        <v>47</v>
      </c>
      <c r="N138" s="51" t="str">
        <f>IF(AND('331-CT'!$E$7=TH!H138,OR(L138="331",M138="331")),"331",IF(AND(OR(L138="131",M138="131"),H138='131-CT'!$E$7),"131",""))</f>
        <v/>
      </c>
      <c r="O138" s="51" t="str">
        <f>IF(AND($B138&gt;='111'!$N$11,$B138&lt;='111'!$O$11,OR($L138=$O$7,$M138=$O$7)),"x","")</f>
        <v/>
      </c>
      <c r="P138" s="51" t="str">
        <f>IF(AND($L138=$O$7,$B138&lt;'111'!$N$11),"x","")</f>
        <v/>
      </c>
      <c r="Q138" s="51" t="str">
        <f>IF(AND($M138=$O$7,$B138&lt;'111'!$N$11),"x","")</f>
        <v>x</v>
      </c>
      <c r="R138" s="51" t="str">
        <f>IF(ISERROR(FIND('112'!$M$9,G138,1)),"",IF((AND(FIND('112'!$M$9,G138,1)&gt;=1,$B138&gt;='112'!$N$8,$B138&lt;='112'!$O$8,OR($L138='112'!$I$6,$M138='112'!$I$6))),"x",""))</f>
        <v/>
      </c>
      <c r="S138" s="51" t="str">
        <f>IF(ISERROR(FIND('112'!$M$9,G138,1)),"",IF((AND(LEFT(G138,2)=LEFT('112'!$M$9,2),B138&lt;'112'!$N$8,$L138='112'!$I$6)),"x",""))</f>
        <v/>
      </c>
      <c r="T138" s="51" t="str">
        <f>IF(ISERROR(FIND('112'!$M$9,G138,1)),"",IF((AND(RIGHT(G138,2)=RIGHT('112'!$M$9,2),B138&lt;'112'!$N$8,$M138='112'!$I$6)),"x",""))</f>
        <v/>
      </c>
      <c r="U138" s="51" t="str">
        <f>IF(AND(L138="154",'154'!$O$5&lt;=B138,'154'!$P$5&gt;=B138),"154",IF(AND(L138="632",'632'!$L$5&lt;=B138,'632'!$M$5&gt;=B138),"632",IF(AND(L138="642",'642'!$N$5&lt;=B138,'642'!$O$5&gt;=B138),"642",IF(AND(L138="641",'641'!$N$5&lt;=B138,'641'!$O$5&gt;=B138),"641",""))))</f>
        <v/>
      </c>
      <c r="V138" s="51" t="str">
        <f>IF(OR(TH!L138=TH!$V$7,M138=TH!$V$7),"x","")</f>
        <v/>
      </c>
      <c r="W138" s="51" t="str">
        <f>IF(AND(B138&gt;='IN-NX'!$P$3,B138&lt;='IN-NX'!$Q$3,'IN-NX'!$D$7=D138,OR(LEFT(L138,2)="15",AND(LEFT(M138,2)&lt;&gt;"15",LEFT(M138,2)&lt;&gt;"33"))),"x","")</f>
        <v/>
      </c>
      <c r="X138" s="51" t="str">
        <f>IF(AND(OR(LEFT(TH!L138,2)="15",LEFT(TH!M138,2)="15"),'152-CT'!$J$8=TH!F138),"x","")</f>
        <v/>
      </c>
      <c r="Y138" s="51" t="str">
        <f>IF(AND(OR(LEFT(TH!L138,2)="15",LEFT(TH!M138,2)="15"),TK!$E$7=TH!F138),"x","")</f>
        <v/>
      </c>
      <c r="Z138" s="51" t="str">
        <f>IF(AND(B138&lt;=NKC!$N$8,B138&gt;=NKC!$M$8),"x","")</f>
        <v/>
      </c>
      <c r="AA138" s="803"/>
      <c r="AE138" s="203"/>
    </row>
    <row r="139" spans="1:31" s="565" customFormat="1" ht="15.75" customHeight="1">
      <c r="A139" s="804" t="str">
        <f>IF(B139&lt;&gt;"",IF(AND(B139&gt;=_TM1,B139&lt;=_TM2,OR(TH!L139="1111",TH!M139="1111")),TH!D139,""),"")</f>
        <v/>
      </c>
      <c r="B139" s="36">
        <f t="shared" si="7"/>
        <v>3</v>
      </c>
      <c r="C139" s="189">
        <f t="shared" si="8"/>
        <v>42079</v>
      </c>
      <c r="D139" s="189" t="s">
        <v>1297</v>
      </c>
      <c r="E139" s="189">
        <v>42079</v>
      </c>
      <c r="F139" s="922" t="s">
        <v>498</v>
      </c>
      <c r="G139" s="813" t="s">
        <v>979</v>
      </c>
      <c r="H139" s="7" t="s">
        <v>430</v>
      </c>
      <c r="I139" s="243">
        <v>600</v>
      </c>
      <c r="J139" s="243">
        <v>6700</v>
      </c>
      <c r="K139" s="573">
        <f>ROUND(I139*J139,0)</f>
        <v>4020000</v>
      </c>
      <c r="L139" s="574" t="s">
        <v>250</v>
      </c>
      <c r="M139" s="574" t="s">
        <v>164</v>
      </c>
      <c r="N139" s="51" t="str">
        <f>IF(AND('331-CT'!$E$7=TH!H139,OR(L139="331",M139="331")),"331",IF(AND(OR(L139="131",M139="131"),H139='131-CT'!$E$7),"131",""))</f>
        <v/>
      </c>
      <c r="O139" s="51" t="str">
        <f>IF(AND($B139&gt;='111'!$N$11,$B139&lt;='111'!$O$11,OR($L139=$O$7,$M139=$O$7)),"x","")</f>
        <v/>
      </c>
      <c r="P139" s="51" t="str">
        <f>IF(AND($L139=$O$7,$B139&lt;'111'!$N$11),"x","")</f>
        <v/>
      </c>
      <c r="Q139" s="51" t="str">
        <f>IF(AND($M139=$O$7,$B139&lt;'111'!$N$11),"x","")</f>
        <v/>
      </c>
      <c r="R139" s="51" t="str">
        <f>IF(ISERROR(FIND('112'!$M$9,G139,1)),"",IF((AND(FIND('112'!$M$9,G139,1)&gt;=1,$B139&gt;='112'!$N$8,$B139&lt;='112'!$O$8,OR($L139='112'!$I$6,$M139='112'!$I$6))),"x",""))</f>
        <v/>
      </c>
      <c r="S139" s="51" t="str">
        <f>IF(ISERROR(FIND('112'!$M$9,G139,1)),"",IF((AND(LEFT(G139,2)=LEFT('112'!$M$9,2),B139&lt;'112'!$N$8,$L139='112'!$I$6)),"x",""))</f>
        <v/>
      </c>
      <c r="T139" s="51" t="str">
        <f>IF(ISERROR(FIND('112'!$M$9,G139,1)),"",IF((AND(RIGHT(G139,2)=RIGHT('112'!$M$9,2),B139&lt;'112'!$N$8,$M139='112'!$I$6)),"x",""))</f>
        <v/>
      </c>
      <c r="U139" s="51" t="str">
        <f>IF(AND(L139="154",'154'!$O$5&lt;=B139,'154'!$P$5&gt;=B139),"154",IF(AND(L139="632",'632'!$L$5&lt;=B139,'632'!$M$5&gt;=B139),"632",IF(AND(L139="642",'642'!$N$5&lt;=B139,'642'!$O$5&gt;=B139),"642",IF(AND(L139="641",'641'!$N$5&lt;=B139,'641'!$O$5&gt;=B139),"641",""))))</f>
        <v/>
      </c>
      <c r="V139" s="51" t="str">
        <f>IF(OR(TH!L139=TH!$V$7,M139=TH!$V$7),"x","")</f>
        <v/>
      </c>
      <c r="W139" s="51" t="str">
        <f>IF(AND(B139&gt;='IN-NX'!$P$3,B139&lt;='IN-NX'!$Q$3,'IN-NX'!$D$7=D139,OR(LEFT(L139,2)="15",AND(LEFT(M139,2)&lt;&gt;"15",LEFT(M139,2)&lt;&gt;"33"))),"x","")</f>
        <v/>
      </c>
      <c r="X139" s="51" t="str">
        <f>IF(AND(OR(LEFT(TH!L139,2)="15",LEFT(TH!M139,2)="15"),'152-CT'!$J$8=TH!F139),"x","")</f>
        <v/>
      </c>
      <c r="Y139" s="51" t="str">
        <f>IF(AND(OR(LEFT(TH!L139,2)="15",LEFT(TH!M139,2)="15"),TK!$E$7=TH!F139),"x","")</f>
        <v/>
      </c>
      <c r="Z139" s="51" t="str">
        <f>IF(AND(B139&lt;=NKC!$N$8,B139&gt;=NKC!$M$8),"x","")</f>
        <v/>
      </c>
      <c r="AA139" s="803"/>
      <c r="AC139" s="203"/>
      <c r="AD139" s="203"/>
      <c r="AE139" s="203"/>
    </row>
    <row r="140" spans="1:31" s="565" customFormat="1" ht="15.75" customHeight="1">
      <c r="A140" s="804" t="str">
        <f>IF(B140&lt;&gt;"",IF(AND(B140&gt;=_TM1,B140&lt;=_TM2,OR(TH!L140="1111",TH!M140="1111")),TH!D140,""),"")</f>
        <v/>
      </c>
      <c r="B140" s="36">
        <f t="shared" si="7"/>
        <v>3</v>
      </c>
      <c r="C140" s="189">
        <f t="shared" si="8"/>
        <v>42079</v>
      </c>
      <c r="D140" s="189" t="s">
        <v>1297</v>
      </c>
      <c r="E140" s="189">
        <v>42079</v>
      </c>
      <c r="F140" s="922" t="s">
        <v>962</v>
      </c>
      <c r="G140" s="813" t="s">
        <v>979</v>
      </c>
      <c r="H140" s="7" t="s">
        <v>430</v>
      </c>
      <c r="I140" s="243"/>
      <c r="J140" s="243"/>
      <c r="K140" s="573">
        <v>402000</v>
      </c>
      <c r="L140" s="574" t="s">
        <v>250</v>
      </c>
      <c r="M140" s="574" t="s">
        <v>352</v>
      </c>
      <c r="N140" s="51" t="str">
        <f>IF(AND('331-CT'!$E$7=TH!H140,OR(L140="331",M140="331")),"331",IF(AND(OR(L140="131",M140="131"),H140='131-CT'!$E$7),"131",""))</f>
        <v/>
      </c>
      <c r="O140" s="51" t="str">
        <f>IF(AND($B140&gt;='111'!$N$11,$B140&lt;='111'!$O$11,OR($L140=$O$7,$M140=$O$7)),"x","")</f>
        <v/>
      </c>
      <c r="P140" s="51" t="str">
        <f>IF(AND($L140=$O$7,$B140&lt;'111'!$N$11),"x","")</f>
        <v/>
      </c>
      <c r="Q140" s="51" t="str">
        <f>IF(AND($M140=$O$7,$B140&lt;'111'!$N$11),"x","")</f>
        <v/>
      </c>
      <c r="R140" s="51" t="str">
        <f>IF(ISERROR(FIND('112'!$M$9,G140,1)),"",IF((AND(FIND('112'!$M$9,G140,1)&gt;=1,$B140&gt;='112'!$N$8,$B140&lt;='112'!$O$8,OR($L140='112'!$I$6,$M140='112'!$I$6))),"x",""))</f>
        <v/>
      </c>
      <c r="S140" s="51" t="str">
        <f>IF(ISERROR(FIND('112'!$M$9,G140,1)),"",IF((AND(LEFT(G140,2)=LEFT('112'!$M$9,2),B140&lt;'112'!$N$8,$L140='112'!$I$6)),"x",""))</f>
        <v/>
      </c>
      <c r="T140" s="51" t="str">
        <f>IF(ISERROR(FIND('112'!$M$9,G140,1)),"",IF((AND(RIGHT(G140,2)=RIGHT('112'!$M$9,2),B140&lt;'112'!$N$8,$M140='112'!$I$6)),"x",""))</f>
        <v/>
      </c>
      <c r="U140" s="51" t="str">
        <f>IF(AND(L140="154",'154'!$O$5&lt;=B140,'154'!$P$5&gt;=B140),"154",IF(AND(L140="632",'632'!$L$5&lt;=B140,'632'!$M$5&gt;=B140),"632",IF(AND(L140="642",'642'!$N$5&lt;=B140,'642'!$O$5&gt;=B140),"642",IF(AND(L140="641",'641'!$N$5&lt;=B140,'641'!$O$5&gt;=B140),"641",""))))</f>
        <v/>
      </c>
      <c r="V140" s="51" t="str">
        <f>IF(OR(TH!L140=TH!$V$7,M140=TH!$V$7),"x","")</f>
        <v/>
      </c>
      <c r="W140" s="51" t="str">
        <f>IF(AND(B140&gt;='IN-NX'!$P$3,B140&lt;='IN-NX'!$Q$3,'IN-NX'!$D$7=D140,OR(LEFT(L140,2)="15",AND(LEFT(M140,2)&lt;&gt;"15",LEFT(M140,2)&lt;&gt;"33"))),"x","")</f>
        <v/>
      </c>
      <c r="X140" s="51" t="str">
        <f>IF(AND(OR(LEFT(TH!L140,2)="15",LEFT(TH!M140,2)="15"),'152-CT'!$J$8=TH!F140),"x","")</f>
        <v/>
      </c>
      <c r="Y140" s="51" t="str">
        <f>IF(AND(OR(LEFT(TH!L140,2)="15",LEFT(TH!M140,2)="15"),TK!$E$7=TH!F140),"x","")</f>
        <v/>
      </c>
      <c r="Z140" s="51" t="str">
        <f>IF(AND(B140&lt;=NKC!$N$8,B140&gt;=NKC!$M$8),"x","")</f>
        <v/>
      </c>
      <c r="AA140" s="803"/>
      <c r="AC140" s="203"/>
      <c r="AD140" s="203"/>
      <c r="AE140" s="203"/>
    </row>
    <row r="141" spans="1:31" s="565" customFormat="1" ht="15.75" customHeight="1">
      <c r="A141" s="804" t="str">
        <f>IF(B141&lt;&gt;"",IF(AND(B141&gt;=_TM1,B141&lt;=_TM2,OR(TH!L141="1111",TH!M141="1111")),TH!D141,""),"")</f>
        <v/>
      </c>
      <c r="B141" s="36">
        <f t="shared" si="7"/>
        <v>3</v>
      </c>
      <c r="C141" s="189">
        <f t="shared" si="8"/>
        <v>42080</v>
      </c>
      <c r="D141" s="189" t="s">
        <v>1365</v>
      </c>
      <c r="E141" s="189">
        <v>42080</v>
      </c>
      <c r="F141" s="926" t="s">
        <v>497</v>
      </c>
      <c r="G141" s="813" t="s">
        <v>508</v>
      </c>
      <c r="H141" s="191" t="s">
        <v>494</v>
      </c>
      <c r="I141" s="243">
        <v>378</v>
      </c>
      <c r="J141" s="243">
        <v>40680</v>
      </c>
      <c r="K141" s="573">
        <f>ROUND(I141*J141,0)</f>
        <v>15377040</v>
      </c>
      <c r="L141" s="574" t="s">
        <v>417</v>
      </c>
      <c r="M141" s="574" t="s">
        <v>8</v>
      </c>
      <c r="N141" s="51" t="str">
        <f>IF(AND('331-CT'!$E$7=TH!H141,OR(L141="331",M141="331")),"331",IF(AND(OR(L141="131",M141="131"),H141='131-CT'!$E$7),"131",""))</f>
        <v/>
      </c>
      <c r="O141" s="51" t="str">
        <f>IF(AND($B141&gt;='111'!$N$11,$B141&lt;='111'!$O$11,OR($L141=$O$7,$M141=$O$7)),"x","")</f>
        <v/>
      </c>
      <c r="P141" s="51" t="str">
        <f>IF(AND($L141=$O$7,$B141&lt;'111'!$N$11),"x","")</f>
        <v/>
      </c>
      <c r="Q141" s="51" t="str">
        <f>IF(AND($M141=$O$7,$B141&lt;'111'!$N$11),"x","")</f>
        <v/>
      </c>
      <c r="R141" s="51" t="str">
        <f>IF(ISERROR(FIND('112'!$M$9,G141,1)),"",IF((AND(FIND('112'!$M$9,G141,1)&gt;=1,$B141&gt;='112'!$N$8,$B141&lt;='112'!$O$8,OR($L141='112'!$I$6,$M141='112'!$I$6))),"x",""))</f>
        <v/>
      </c>
      <c r="S141" s="51" t="str">
        <f>IF(ISERROR(FIND('112'!$M$9,G141,1)),"",IF((AND(LEFT(G141,2)=LEFT('112'!$M$9,2),B141&lt;'112'!$N$8,$L141='112'!$I$6)),"x",""))</f>
        <v/>
      </c>
      <c r="T141" s="51" t="str">
        <f>IF(ISERROR(FIND('112'!$M$9,G141,1)),"",IF((AND(RIGHT(G141,2)=RIGHT('112'!$M$9,2),B141&lt;'112'!$N$8,$M141='112'!$I$6)),"x",""))</f>
        <v/>
      </c>
      <c r="U141" s="51" t="str">
        <f>IF(AND(L141="154",'154'!$O$5&lt;=B141,'154'!$P$5&gt;=B141),"154",IF(AND(L141="632",'632'!$L$5&lt;=B141,'632'!$M$5&gt;=B141),"632",IF(AND(L141="642",'642'!$N$5&lt;=B141,'642'!$O$5&gt;=B141),"642",IF(AND(L141="641",'641'!$N$5&lt;=B141,'641'!$O$5&gt;=B141),"641",""))))</f>
        <v/>
      </c>
      <c r="V141" s="51" t="str">
        <f>IF(OR(TH!L141=TH!$V$7,M141=TH!$V$7),"x","")</f>
        <v/>
      </c>
      <c r="W141" s="51" t="str">
        <f>IF(AND(B141&gt;='IN-NX'!$P$3,B141&lt;='IN-NX'!$Q$3,'IN-NX'!$D$7=D141,OR(LEFT(L141,2)="15",AND(LEFT(M141,2)&lt;&gt;"15",LEFT(M141,2)&lt;&gt;"33"))),"x","")</f>
        <v/>
      </c>
      <c r="X141" s="51" t="str">
        <f>IF(AND(OR(LEFT(TH!L141,2)="15",LEFT(TH!M141,2)="15"),'152-CT'!$J$8=TH!F141),"x","")</f>
        <v/>
      </c>
      <c r="Y141" s="51" t="str">
        <f>IF(AND(OR(LEFT(TH!L141,2)="15",LEFT(TH!M141,2)="15"),TK!$E$7=TH!F141),"x","")</f>
        <v/>
      </c>
      <c r="Z141" s="51" t="str">
        <f>IF(AND(B141&lt;=NKC!$N$8,B141&gt;=NKC!$M$8),"x","")</f>
        <v/>
      </c>
      <c r="AA141" s="803"/>
      <c r="AC141" s="203"/>
      <c r="AD141" s="203"/>
      <c r="AE141" s="203"/>
    </row>
    <row r="142" spans="1:31" s="565" customFormat="1" ht="15.75" customHeight="1">
      <c r="A142" s="804" t="str">
        <f>IF(B142&lt;&gt;"",IF(AND(B142&gt;=_TM1,B142&lt;=_TM2,OR(TH!L142="1111",TH!M142="1111")),TH!D142,""),"")</f>
        <v/>
      </c>
      <c r="B142" s="36">
        <f t="shared" si="7"/>
        <v>3</v>
      </c>
      <c r="C142" s="189">
        <f t="shared" si="8"/>
        <v>42080</v>
      </c>
      <c r="D142" s="189" t="s">
        <v>1365</v>
      </c>
      <c r="E142" s="189">
        <v>42080</v>
      </c>
      <c r="F142" s="922" t="s">
        <v>496</v>
      </c>
      <c r="G142" s="813" t="s">
        <v>508</v>
      </c>
      <c r="H142" s="191" t="s">
        <v>494</v>
      </c>
      <c r="I142" s="243"/>
      <c r="J142" s="243"/>
      <c r="K142" s="573">
        <v>1537704</v>
      </c>
      <c r="L142" s="574" t="s">
        <v>9</v>
      </c>
      <c r="M142" s="574" t="s">
        <v>8</v>
      </c>
      <c r="N142" s="51" t="str">
        <f>IF(AND('331-CT'!$E$7=TH!H142,OR(L142="331",M142="331")),"331",IF(AND(OR(L142="131",M142="131"),H142='131-CT'!$E$7),"131",""))</f>
        <v/>
      </c>
      <c r="O142" s="51" t="str">
        <f>IF(AND($B142&gt;='111'!$N$11,$B142&lt;='111'!$O$11,OR($L142=$O$7,$M142=$O$7)),"x","")</f>
        <v/>
      </c>
      <c r="P142" s="51" t="str">
        <f>IF(AND($L142=$O$7,$B142&lt;'111'!$N$11),"x","")</f>
        <v/>
      </c>
      <c r="Q142" s="51" t="str">
        <f>IF(AND($M142=$O$7,$B142&lt;'111'!$N$11),"x","")</f>
        <v/>
      </c>
      <c r="R142" s="51" t="str">
        <f>IF(ISERROR(FIND('112'!$M$9,G142,1)),"",IF((AND(FIND('112'!$M$9,G142,1)&gt;=1,$B142&gt;='112'!$N$8,$B142&lt;='112'!$O$8,OR($L142='112'!$I$6,$M142='112'!$I$6))),"x",""))</f>
        <v/>
      </c>
      <c r="S142" s="51" t="str">
        <f>IF(ISERROR(FIND('112'!$M$9,G142,1)),"",IF((AND(LEFT(G142,2)=LEFT('112'!$M$9,2),B142&lt;'112'!$N$8,$L142='112'!$I$6)),"x",""))</f>
        <v/>
      </c>
      <c r="T142" s="51" t="str">
        <f>IF(ISERROR(FIND('112'!$M$9,G142,1)),"",IF((AND(RIGHT(G142,2)=RIGHT('112'!$M$9,2),B142&lt;'112'!$N$8,$M142='112'!$I$6)),"x",""))</f>
        <v/>
      </c>
      <c r="U142" s="51" t="str">
        <f>IF(AND(L142="154",'154'!$O$5&lt;=B142,'154'!$P$5&gt;=B142),"154",IF(AND(L142="632",'632'!$L$5&lt;=B142,'632'!$M$5&gt;=B142),"632",IF(AND(L142="642",'642'!$N$5&lt;=B142,'642'!$O$5&gt;=B142),"642",IF(AND(L142="641",'641'!$N$5&lt;=B142,'641'!$O$5&gt;=B142),"641",""))))</f>
        <v/>
      </c>
      <c r="V142" s="51" t="str">
        <f>IF(OR(TH!L142=TH!$V$7,M142=TH!$V$7),"x","")</f>
        <v/>
      </c>
      <c r="W142" s="51" t="str">
        <f>IF(AND(B142&gt;='IN-NX'!$P$3,B142&lt;='IN-NX'!$Q$3,'IN-NX'!$D$7=D142,OR(LEFT(L142,2)="15",AND(LEFT(M142,2)&lt;&gt;"15",LEFT(M142,2)&lt;&gt;"33"))),"x","")</f>
        <v/>
      </c>
      <c r="X142" s="51" t="str">
        <f>IF(AND(OR(LEFT(TH!L142,2)="15",LEFT(TH!M142,2)="15"),'152-CT'!$J$8=TH!F142),"x","")</f>
        <v/>
      </c>
      <c r="Y142" s="51" t="str">
        <f>IF(AND(OR(LEFT(TH!L142,2)="15",LEFT(TH!M142,2)="15"),TK!$E$7=TH!F142),"x","")</f>
        <v/>
      </c>
      <c r="Z142" s="51" t="str">
        <f>IF(AND(B142&lt;=NKC!$N$8,B142&gt;=NKC!$M$8),"x","")</f>
        <v/>
      </c>
      <c r="AA142" s="803">
        <v>1</v>
      </c>
      <c r="AE142" s="203"/>
    </row>
    <row r="143" spans="1:31" s="565" customFormat="1" ht="15.75" customHeight="1">
      <c r="A143" s="804" t="str">
        <f>IF(B143&lt;&gt;"",IF(AND(B143&gt;=_TM1,B143&lt;=_TM2,OR(TH!L143="1111",TH!M143="1111")),TH!D143,""),"")</f>
        <v/>
      </c>
      <c r="B143" s="36">
        <f t="shared" si="7"/>
        <v>3</v>
      </c>
      <c r="C143" s="189">
        <f t="shared" si="8"/>
        <v>42080</v>
      </c>
      <c r="D143" s="189" t="s">
        <v>1374</v>
      </c>
      <c r="E143" s="189">
        <v>42080</v>
      </c>
      <c r="F143" s="187" t="s">
        <v>438</v>
      </c>
      <c r="G143" s="813" t="s">
        <v>508</v>
      </c>
      <c r="H143" s="191" t="s">
        <v>494</v>
      </c>
      <c r="I143" s="243"/>
      <c r="J143" s="243"/>
      <c r="K143" s="573">
        <v>16914744</v>
      </c>
      <c r="L143" s="574" t="s">
        <v>8</v>
      </c>
      <c r="M143" s="574" t="s">
        <v>47</v>
      </c>
      <c r="N143" s="51" t="str">
        <f>IF(AND('331-CT'!$E$7=TH!H143,OR(L143="331",M143="331")),"331",IF(AND(OR(L143="131",M143="131"),H143='131-CT'!$E$7),"131",""))</f>
        <v/>
      </c>
      <c r="O143" s="51" t="str">
        <f>IF(AND($B143&gt;='111'!$N$11,$B143&lt;='111'!$O$11,OR($L143=$O$7,$M143=$O$7)),"x","")</f>
        <v/>
      </c>
      <c r="P143" s="51" t="str">
        <f>IF(AND($L143=$O$7,$B143&lt;'111'!$N$11),"x","")</f>
        <v/>
      </c>
      <c r="Q143" s="51" t="str">
        <f>IF(AND($M143=$O$7,$B143&lt;'111'!$N$11),"x","")</f>
        <v>x</v>
      </c>
      <c r="R143" s="51" t="str">
        <f>IF(ISERROR(FIND('112'!$M$9,G143,1)),"",IF((AND(FIND('112'!$M$9,G143,1)&gt;=1,$B143&gt;='112'!$N$8,$B143&lt;='112'!$O$8,OR($L143='112'!$I$6,$M143='112'!$I$6))),"x",""))</f>
        <v/>
      </c>
      <c r="S143" s="51" t="str">
        <f>IF(ISERROR(FIND('112'!$M$9,G143,1)),"",IF((AND(LEFT(G143,2)=LEFT('112'!$M$9,2),B143&lt;'112'!$N$8,$L143='112'!$I$6)),"x",""))</f>
        <v/>
      </c>
      <c r="T143" s="51" t="str">
        <f>IF(ISERROR(FIND('112'!$M$9,G143,1)),"",IF((AND(RIGHT(G143,2)=RIGHT('112'!$M$9,2),B143&lt;'112'!$N$8,$M143='112'!$I$6)),"x",""))</f>
        <v/>
      </c>
      <c r="U143" s="51" t="str">
        <f>IF(AND(L143="154",'154'!$O$5&lt;=B143,'154'!$P$5&gt;=B143),"154",IF(AND(L143="632",'632'!$L$5&lt;=B143,'632'!$M$5&gt;=B143),"632",IF(AND(L143="642",'642'!$N$5&lt;=B143,'642'!$O$5&gt;=B143),"642",IF(AND(L143="641",'641'!$N$5&lt;=B143,'641'!$O$5&gt;=B143),"641",""))))</f>
        <v/>
      </c>
      <c r="V143" s="51" t="str">
        <f>IF(OR(TH!L143=TH!$V$7,M143=TH!$V$7),"x","")</f>
        <v/>
      </c>
      <c r="W143" s="51" t="str">
        <f>IF(AND(B143&gt;='IN-NX'!$P$3,B143&lt;='IN-NX'!$Q$3,'IN-NX'!$D$7=D143,OR(LEFT(L143,2)="15",AND(LEFT(M143,2)&lt;&gt;"15",LEFT(M143,2)&lt;&gt;"33"))),"x","")</f>
        <v/>
      </c>
      <c r="X143" s="51" t="str">
        <f>IF(AND(OR(LEFT(TH!L143,2)="15",LEFT(TH!M143,2)="15"),'152-CT'!$J$8=TH!F143),"x","")</f>
        <v/>
      </c>
      <c r="Y143" s="51" t="str">
        <f>IF(AND(OR(LEFT(TH!L143,2)="15",LEFT(TH!M143,2)="15"),TK!$E$7=TH!F143),"x","")</f>
        <v/>
      </c>
      <c r="Z143" s="51" t="str">
        <f>IF(AND(B143&lt;=NKC!$N$8,B143&gt;=NKC!$M$8),"x","")</f>
        <v/>
      </c>
      <c r="AA143" s="803"/>
      <c r="AE143" s="203"/>
    </row>
    <row r="144" spans="1:31" s="565" customFormat="1" ht="15.75" customHeight="1">
      <c r="A144" s="804" t="str">
        <f>IF(B144&lt;&gt;"",IF(AND(B144&gt;=_TM1,B144&lt;=_TM2,OR(TH!L144="1111",TH!M144="1111")),TH!D144,""),"")</f>
        <v/>
      </c>
      <c r="B144" s="36">
        <f t="shared" si="7"/>
        <v>3</v>
      </c>
      <c r="C144" s="189">
        <f t="shared" si="8"/>
        <v>42081</v>
      </c>
      <c r="D144" s="189" t="s">
        <v>1298</v>
      </c>
      <c r="E144" s="189">
        <v>42081</v>
      </c>
      <c r="F144" s="922" t="s">
        <v>497</v>
      </c>
      <c r="G144" s="813" t="s">
        <v>980</v>
      </c>
      <c r="H144" s="202" t="s">
        <v>424</v>
      </c>
      <c r="I144" s="243">
        <v>120</v>
      </c>
      <c r="J144" s="243">
        <v>45200</v>
      </c>
      <c r="K144" s="573">
        <f>ROUND(I144*J144,0)</f>
        <v>5424000</v>
      </c>
      <c r="L144" s="574" t="s">
        <v>250</v>
      </c>
      <c r="M144" s="574" t="s">
        <v>164</v>
      </c>
      <c r="N144" s="51" t="str">
        <f>IF(AND('331-CT'!$E$7=TH!H144,OR(L144="331",M144="331")),"331",IF(AND(OR(L144="131",M144="131"),H144='131-CT'!$E$7),"131",""))</f>
        <v/>
      </c>
      <c r="O144" s="51" t="str">
        <f>IF(AND($B144&gt;='111'!$N$11,$B144&lt;='111'!$O$11,OR($L144=$O$7,$M144=$O$7)),"x","")</f>
        <v/>
      </c>
      <c r="P144" s="51" t="str">
        <f>IF(AND($L144=$O$7,$B144&lt;'111'!$N$11),"x","")</f>
        <v/>
      </c>
      <c r="Q144" s="51" t="str">
        <f>IF(AND($M144=$O$7,$B144&lt;'111'!$N$11),"x","")</f>
        <v/>
      </c>
      <c r="R144" s="51" t="str">
        <f>IF(ISERROR(FIND('112'!$M$9,G144,1)),"",IF((AND(FIND('112'!$M$9,G144,1)&gt;=1,$B144&gt;='112'!$N$8,$B144&lt;='112'!$O$8,OR($L144='112'!$I$6,$M144='112'!$I$6))),"x",""))</f>
        <v/>
      </c>
      <c r="S144" s="51" t="str">
        <f>IF(ISERROR(FIND('112'!$M$9,G144,1)),"",IF((AND(LEFT(G144,2)=LEFT('112'!$M$9,2),B144&lt;'112'!$N$8,$L144='112'!$I$6)),"x",""))</f>
        <v/>
      </c>
      <c r="T144" s="51" t="str">
        <f>IF(ISERROR(FIND('112'!$M$9,G144,1)),"",IF((AND(RIGHT(G144,2)=RIGHT('112'!$M$9,2),B144&lt;'112'!$N$8,$M144='112'!$I$6)),"x",""))</f>
        <v/>
      </c>
      <c r="U144" s="51" t="str">
        <f>IF(AND(L144="154",'154'!$O$5&lt;=B144,'154'!$P$5&gt;=B144),"154",IF(AND(L144="632",'632'!$L$5&lt;=B144,'632'!$M$5&gt;=B144),"632",IF(AND(L144="642",'642'!$N$5&lt;=B144,'642'!$O$5&gt;=B144),"642",IF(AND(L144="641",'641'!$N$5&lt;=B144,'641'!$O$5&gt;=B144),"641",""))))</f>
        <v/>
      </c>
      <c r="V144" s="51" t="str">
        <f>IF(OR(TH!L144=TH!$V$7,M144=TH!$V$7),"x","")</f>
        <v/>
      </c>
      <c r="W144" s="51" t="str">
        <f>IF(AND(B144&gt;='IN-NX'!$P$3,B144&lt;='IN-NX'!$Q$3,'IN-NX'!$D$7=D144,OR(LEFT(L144,2)="15",AND(LEFT(M144,2)&lt;&gt;"15",LEFT(M144,2)&lt;&gt;"33"))),"x","")</f>
        <v/>
      </c>
      <c r="X144" s="51" t="str">
        <f>IF(AND(OR(LEFT(TH!L144,2)="15",LEFT(TH!M144,2)="15"),'152-CT'!$J$8=TH!F144),"x","")</f>
        <v/>
      </c>
      <c r="Y144" s="51" t="str">
        <f>IF(AND(OR(LEFT(TH!L144,2)="15",LEFT(TH!M144,2)="15"),TK!$E$7=TH!F144),"x","")</f>
        <v/>
      </c>
      <c r="Z144" s="51" t="str">
        <f>IF(AND(B144&lt;=NKC!$N$8,B144&gt;=NKC!$M$8),"x","")</f>
        <v/>
      </c>
      <c r="AA144" s="803"/>
      <c r="AC144" s="203"/>
      <c r="AD144" s="203"/>
      <c r="AE144" s="203"/>
    </row>
    <row r="145" spans="1:31" s="565" customFormat="1" ht="15.75" customHeight="1">
      <c r="A145" s="804" t="str">
        <f>IF(B145&lt;&gt;"",IF(AND(B145&gt;=_TM1,B145&lt;=_TM2,OR(TH!L145="1111",TH!M145="1111")),TH!D145,""),"")</f>
        <v/>
      </c>
      <c r="B145" s="36">
        <f t="shared" si="7"/>
        <v>3</v>
      </c>
      <c r="C145" s="189">
        <f t="shared" si="8"/>
        <v>42081</v>
      </c>
      <c r="D145" s="189" t="s">
        <v>1298</v>
      </c>
      <c r="E145" s="189">
        <v>42081</v>
      </c>
      <c r="F145" s="922" t="s">
        <v>962</v>
      </c>
      <c r="G145" s="813" t="s">
        <v>980</v>
      </c>
      <c r="H145" s="202" t="s">
        <v>424</v>
      </c>
      <c r="I145" s="243"/>
      <c r="J145" s="243"/>
      <c r="K145" s="573">
        <v>542400</v>
      </c>
      <c r="L145" s="574" t="s">
        <v>250</v>
      </c>
      <c r="M145" s="574" t="s">
        <v>352</v>
      </c>
      <c r="N145" s="51" t="str">
        <f>IF(AND('331-CT'!$E$7=TH!H145,OR(L145="331",M145="331")),"331",IF(AND(OR(L145="131",M145="131"),H145='131-CT'!$E$7),"131",""))</f>
        <v/>
      </c>
      <c r="O145" s="51" t="str">
        <f>IF(AND($B145&gt;='111'!$N$11,$B145&lt;='111'!$O$11,OR($L145=$O$7,$M145=$O$7)),"x","")</f>
        <v/>
      </c>
      <c r="P145" s="51" t="str">
        <f>IF(AND($L145=$O$7,$B145&lt;'111'!$N$11),"x","")</f>
        <v/>
      </c>
      <c r="Q145" s="51" t="str">
        <f>IF(AND($M145=$O$7,$B145&lt;'111'!$N$11),"x","")</f>
        <v/>
      </c>
      <c r="R145" s="51" t="str">
        <f>IF(ISERROR(FIND('112'!$M$9,G145,1)),"",IF((AND(FIND('112'!$M$9,G145,1)&gt;=1,$B145&gt;='112'!$N$8,$B145&lt;='112'!$O$8,OR($L145='112'!$I$6,$M145='112'!$I$6))),"x",""))</f>
        <v/>
      </c>
      <c r="S145" s="51" t="str">
        <f>IF(ISERROR(FIND('112'!$M$9,G145,1)),"",IF((AND(LEFT(G145,2)=LEFT('112'!$M$9,2),B145&lt;'112'!$N$8,$L145='112'!$I$6)),"x",""))</f>
        <v/>
      </c>
      <c r="T145" s="51" t="str">
        <f>IF(ISERROR(FIND('112'!$M$9,G145,1)),"",IF((AND(RIGHT(G145,2)=RIGHT('112'!$M$9,2),B145&lt;'112'!$N$8,$M145='112'!$I$6)),"x",""))</f>
        <v/>
      </c>
      <c r="U145" s="51" t="str">
        <f>IF(AND(L145="154",'154'!$O$5&lt;=B145,'154'!$P$5&gt;=B145),"154",IF(AND(L145="632",'632'!$L$5&lt;=B145,'632'!$M$5&gt;=B145),"632",IF(AND(L145="642",'642'!$N$5&lt;=B145,'642'!$O$5&gt;=B145),"642",IF(AND(L145="641",'641'!$N$5&lt;=B145,'641'!$O$5&gt;=B145),"641",""))))</f>
        <v/>
      </c>
      <c r="V145" s="51" t="str">
        <f>IF(OR(TH!L145=TH!$V$7,M145=TH!$V$7),"x","")</f>
        <v/>
      </c>
      <c r="W145" s="51" t="str">
        <f>IF(AND(B145&gt;='IN-NX'!$P$3,B145&lt;='IN-NX'!$Q$3,'IN-NX'!$D$7=D145,OR(LEFT(L145,2)="15",AND(LEFT(M145,2)&lt;&gt;"15",LEFT(M145,2)&lt;&gt;"33"))),"x","")</f>
        <v/>
      </c>
      <c r="X145" s="51" t="str">
        <f>IF(AND(OR(LEFT(TH!L145,2)="15",LEFT(TH!M145,2)="15"),'152-CT'!$J$8=TH!F145),"x","")</f>
        <v/>
      </c>
      <c r="Y145" s="51" t="str">
        <f>IF(AND(OR(LEFT(TH!L145,2)="15",LEFT(TH!M145,2)="15"),TK!$E$7=TH!F145),"x","")</f>
        <v/>
      </c>
      <c r="Z145" s="51" t="str">
        <f>IF(AND(B145&lt;=NKC!$N$8,B145&gt;=NKC!$M$8),"x","")</f>
        <v/>
      </c>
      <c r="AA145" s="803"/>
      <c r="AC145" s="203"/>
      <c r="AD145" s="203"/>
      <c r="AE145" s="203"/>
    </row>
    <row r="146" spans="1:31" s="565" customFormat="1" ht="15.75" customHeight="1">
      <c r="A146" s="804" t="str">
        <f>IF(B146&lt;&gt;"",IF(AND(B146&gt;=_TM1,B146&lt;=_TM2,OR(TH!L146="1111",TH!M146="1111")),TH!D146,""),"")</f>
        <v/>
      </c>
      <c r="B146" s="36">
        <f t="shared" si="7"/>
        <v>3</v>
      </c>
      <c r="C146" s="189">
        <f t="shared" si="8"/>
        <v>42081</v>
      </c>
      <c r="D146" s="189" t="s">
        <v>1369</v>
      </c>
      <c r="E146" s="189">
        <v>42081</v>
      </c>
      <c r="F146" s="926" t="s">
        <v>423</v>
      </c>
      <c r="G146" s="813" t="s">
        <v>980</v>
      </c>
      <c r="H146" s="202" t="s">
        <v>424</v>
      </c>
      <c r="I146" s="243"/>
      <c r="J146" s="243"/>
      <c r="K146" s="573">
        <f>K144+K145</f>
        <v>5966400</v>
      </c>
      <c r="L146" s="574" t="s">
        <v>47</v>
      </c>
      <c r="M146" s="574" t="s">
        <v>250</v>
      </c>
      <c r="N146" s="51" t="str">
        <f>IF(AND('331-CT'!$E$7=TH!H146,OR(L146="331",M146="331")),"331",IF(AND(OR(L146="131",M146="131"),H146='131-CT'!$E$7),"131",""))</f>
        <v/>
      </c>
      <c r="O146" s="51" t="str">
        <f>IF(AND($B146&gt;='111'!$N$11,$B146&lt;='111'!$O$11,OR($L146=$O$7,$M146=$O$7)),"x","")</f>
        <v/>
      </c>
      <c r="P146" s="51" t="str">
        <f>IF(AND($L146=$O$7,$B146&lt;'111'!$N$11),"x","")</f>
        <v>x</v>
      </c>
      <c r="Q146" s="51" t="str">
        <f>IF(AND($M146=$O$7,$B146&lt;'111'!$N$11),"x","")</f>
        <v/>
      </c>
      <c r="R146" s="51" t="str">
        <f>IF(ISERROR(FIND('112'!$M$9,G146,1)),"",IF((AND(FIND('112'!$M$9,G146,1)&gt;=1,$B146&gt;='112'!$N$8,$B146&lt;='112'!$O$8,OR($L146='112'!$I$6,$M146='112'!$I$6))),"x",""))</f>
        <v/>
      </c>
      <c r="S146" s="51" t="str">
        <f>IF(ISERROR(FIND('112'!$M$9,G146,1)),"",IF((AND(LEFT(G146,2)=LEFT('112'!$M$9,2),B146&lt;'112'!$N$8,$L146='112'!$I$6)),"x",""))</f>
        <v/>
      </c>
      <c r="T146" s="51" t="str">
        <f>IF(ISERROR(FIND('112'!$M$9,G146,1)),"",IF((AND(RIGHT(G146,2)=RIGHT('112'!$M$9,2),B146&lt;'112'!$N$8,$M146='112'!$I$6)),"x",""))</f>
        <v/>
      </c>
      <c r="U146" s="51" t="str">
        <f>IF(AND(L146="154",'154'!$O$5&lt;=B146,'154'!$P$5&gt;=B146),"154",IF(AND(L146="632",'632'!$L$5&lt;=B146,'632'!$M$5&gt;=B146),"632",IF(AND(L146="642",'642'!$N$5&lt;=B146,'642'!$O$5&gt;=B146),"642",IF(AND(L146="641",'641'!$N$5&lt;=B146,'641'!$O$5&gt;=B146),"641",""))))</f>
        <v/>
      </c>
      <c r="V146" s="51" t="str">
        <f>IF(OR(TH!L146=TH!$V$7,M146=TH!$V$7),"x","")</f>
        <v/>
      </c>
      <c r="W146" s="51" t="str">
        <f>IF(AND(B146&gt;='IN-NX'!$P$3,B146&lt;='IN-NX'!$Q$3,'IN-NX'!$D$7=D146,OR(LEFT(L146,2)="15",AND(LEFT(M146,2)&lt;&gt;"15",LEFT(M146,2)&lt;&gt;"33"))),"x","")</f>
        <v/>
      </c>
      <c r="X146" s="51" t="str">
        <f>IF(AND(OR(LEFT(TH!L146,2)="15",LEFT(TH!M146,2)="15"),'152-CT'!$J$8=TH!F146),"x","")</f>
        <v/>
      </c>
      <c r="Y146" s="51" t="str">
        <f>IF(AND(OR(LEFT(TH!L146,2)="15",LEFT(TH!M146,2)="15"),TK!$E$7=TH!F146),"x","")</f>
        <v/>
      </c>
      <c r="Z146" s="51" t="str">
        <f>IF(AND(B146&lt;=NKC!$N$8,B146&gt;=NKC!$M$8),"x","")</f>
        <v/>
      </c>
      <c r="AA146" s="803"/>
      <c r="AC146" s="203"/>
      <c r="AD146" s="203"/>
      <c r="AE146" s="203"/>
    </row>
    <row r="147" spans="1:31" s="565" customFormat="1" ht="15.75" customHeight="1">
      <c r="A147" s="804" t="str">
        <f>IF(B147&lt;&gt;"",IF(AND(B147&gt;=_TM1,B147&lt;=_TM2,OR(TH!L147="1111",TH!M147="1111")),TH!D147,""),"")</f>
        <v/>
      </c>
      <c r="B147" s="36">
        <f t="shared" si="7"/>
        <v>3</v>
      </c>
      <c r="C147" s="189">
        <f t="shared" si="8"/>
        <v>42083</v>
      </c>
      <c r="D147" s="189" t="s">
        <v>421</v>
      </c>
      <c r="E147" s="182">
        <v>42083</v>
      </c>
      <c r="F147" s="922" t="s">
        <v>423</v>
      </c>
      <c r="G147" s="811" t="s">
        <v>415</v>
      </c>
      <c r="H147" s="7" t="s">
        <v>430</v>
      </c>
      <c r="I147" s="243"/>
      <c r="J147" s="243"/>
      <c r="K147" s="38">
        <v>14003000</v>
      </c>
      <c r="L147" s="192" t="s">
        <v>24</v>
      </c>
      <c r="M147" s="192" t="s">
        <v>250</v>
      </c>
      <c r="N147" s="51" t="str">
        <f>IF(AND('331-CT'!$E$7=TH!H147,OR(L147="331",M147="331")),"331",IF(AND(OR(L147="131",M147="131"),H147='131-CT'!$E$7),"131",""))</f>
        <v/>
      </c>
      <c r="O147" s="51" t="str">
        <f>IF(AND($B147&gt;='111'!$N$11,$B147&lt;='111'!$O$11,OR($L147=$O$7,$M147=$O$7)),"x","")</f>
        <v/>
      </c>
      <c r="P147" s="51" t="str">
        <f>IF(AND($L147=$O$7,$B147&lt;'111'!$N$11),"x","")</f>
        <v/>
      </c>
      <c r="Q147" s="51" t="str">
        <f>IF(AND($M147=$O$7,$B147&lt;'111'!$N$11),"x","")</f>
        <v/>
      </c>
      <c r="R147" s="51" t="str">
        <f>IF(ISERROR(FIND('112'!$M$9,G147,1)),"",IF((AND(FIND('112'!$M$9,G147,1)&gt;=1,$B147&gt;='112'!$N$8,$B147&lt;='112'!$O$8,OR($L147='112'!$I$6,$M147='112'!$I$6))),"x",""))</f>
        <v>x</v>
      </c>
      <c r="S147" s="51" t="str">
        <f>IF(ISERROR(FIND('112'!$M$9,G147,1)),"",IF((AND(LEFT(G147,2)=LEFT('112'!$M$9,2),B147&lt;'112'!$N$8,$L147='112'!$I$6)),"x",""))</f>
        <v/>
      </c>
      <c r="T147" s="51" t="str">
        <f>IF(ISERROR(FIND('112'!$M$9,G147,1)),"",IF((AND(RIGHT(G147,2)=RIGHT('112'!$M$9,2),B147&lt;'112'!$N$8,$M147='112'!$I$6)),"x",""))</f>
        <v/>
      </c>
      <c r="U147" s="51" t="str">
        <f>IF(AND(L147="154",'154'!$O$5&lt;=B147,'154'!$P$5&gt;=B147),"154",IF(AND(L147="632",'632'!$L$5&lt;=B147,'632'!$M$5&gt;=B147),"632",IF(AND(L147="642",'642'!$N$5&lt;=B147,'642'!$O$5&gt;=B147),"642",IF(AND(L147="641",'641'!$N$5&lt;=B147,'641'!$O$5&gt;=B147),"641",""))))</f>
        <v/>
      </c>
      <c r="V147" s="51" t="str">
        <f>IF(OR(TH!L147=TH!$V$7,M147=TH!$V$7),"x","")</f>
        <v/>
      </c>
      <c r="W147" s="51" t="str">
        <f>IF(AND(B147&gt;='IN-NX'!$P$3,B147&lt;='IN-NX'!$Q$3,'IN-NX'!$D$7=D147,OR(LEFT(L147,2)="15",AND(LEFT(M147,2)&lt;&gt;"15",LEFT(M147,2)&lt;&gt;"33"))),"x","")</f>
        <v/>
      </c>
      <c r="X147" s="51" t="str">
        <f>IF(AND(OR(LEFT(TH!L147,2)="15",LEFT(TH!M147,2)="15"),'152-CT'!$J$8=TH!F147),"x","")</f>
        <v/>
      </c>
      <c r="Y147" s="51" t="str">
        <f>IF(AND(OR(LEFT(TH!L147,2)="15",LEFT(TH!M147,2)="15"),TK!$E$7=TH!F147),"x","")</f>
        <v/>
      </c>
      <c r="Z147" s="51" t="str">
        <f>IF(AND(B147&lt;=NKC!$N$8,B147&gt;=NKC!$M$8),"x","")</f>
        <v/>
      </c>
      <c r="AA147" s="803"/>
      <c r="AC147" s="203"/>
      <c r="AD147" s="203"/>
      <c r="AE147" s="203"/>
    </row>
    <row r="148" spans="1:31" s="565" customFormat="1" ht="15.75" customHeight="1">
      <c r="A148" s="804" t="str">
        <f>IF(B148&lt;&gt;"",IF(AND(B148&gt;=_TM1,B148&lt;=_TM2,OR(TH!L148="1111",TH!M148="1111")),TH!D148,""),"")</f>
        <v/>
      </c>
      <c r="B148" s="36">
        <f t="shared" si="7"/>
        <v>3</v>
      </c>
      <c r="C148" s="189">
        <f t="shared" si="8"/>
        <v>42083</v>
      </c>
      <c r="D148" s="189" t="s">
        <v>1370</v>
      </c>
      <c r="E148" s="182">
        <v>42083</v>
      </c>
      <c r="F148" s="187" t="s">
        <v>427</v>
      </c>
      <c r="G148" s="811" t="s">
        <v>415</v>
      </c>
      <c r="H148" s="7" t="s">
        <v>428</v>
      </c>
      <c r="I148" s="243"/>
      <c r="J148" s="243"/>
      <c r="K148" s="38">
        <v>14000000</v>
      </c>
      <c r="L148" s="192" t="s">
        <v>47</v>
      </c>
      <c r="M148" s="192" t="s">
        <v>24</v>
      </c>
      <c r="N148" s="51" t="str">
        <f>IF(AND('331-CT'!$E$7=TH!H148,OR(L148="331",M148="331")),"331",IF(AND(OR(L148="131",M148="131"),H148='131-CT'!$E$7),"131",""))</f>
        <v/>
      </c>
      <c r="O148" s="51" t="str">
        <f>IF(AND($B148&gt;='111'!$N$11,$B148&lt;='111'!$O$11,OR($L148=$O$7,$M148=$O$7)),"x","")</f>
        <v/>
      </c>
      <c r="P148" s="51" t="str">
        <f>IF(AND($L148=$O$7,$B148&lt;'111'!$N$11),"x","")</f>
        <v>x</v>
      </c>
      <c r="Q148" s="51" t="str">
        <f>IF(AND($M148=$O$7,$B148&lt;'111'!$N$11),"x","")</f>
        <v/>
      </c>
      <c r="R148" s="51" t="str">
        <f>IF(ISERROR(FIND('112'!$M$9,G148,1)),"",IF((AND(FIND('112'!$M$9,G148,1)&gt;=1,$B148&gt;='112'!$N$8,$B148&lt;='112'!$O$8,OR($L148='112'!$I$6,$M148='112'!$I$6))),"x",""))</f>
        <v>x</v>
      </c>
      <c r="S148" s="51" t="str">
        <f>IF(ISERROR(FIND('112'!$M$9,G148,1)),"",IF((AND(LEFT(G148,2)=LEFT('112'!$M$9,2),B148&lt;'112'!$N$8,$L148='112'!$I$6)),"x",""))</f>
        <v/>
      </c>
      <c r="T148" s="51" t="str">
        <f>IF(ISERROR(FIND('112'!$M$9,G148,1)),"",IF((AND(RIGHT(G148,2)=RIGHT('112'!$M$9,2),B148&lt;'112'!$N$8,$M148='112'!$I$6)),"x",""))</f>
        <v/>
      </c>
      <c r="U148" s="51" t="str">
        <f>IF(AND(L148="154",'154'!$O$5&lt;=B148,'154'!$P$5&gt;=B148),"154",IF(AND(L148="632",'632'!$L$5&lt;=B148,'632'!$M$5&gt;=B148),"632",IF(AND(L148="642",'642'!$N$5&lt;=B148,'642'!$O$5&gt;=B148),"642",IF(AND(L148="641",'641'!$N$5&lt;=B148,'641'!$O$5&gt;=B148),"641",""))))</f>
        <v/>
      </c>
      <c r="V148" s="51" t="str">
        <f>IF(OR(TH!L148=TH!$V$7,M148=TH!$V$7),"x","")</f>
        <v/>
      </c>
      <c r="W148" s="51" t="str">
        <f>IF(AND(B148&gt;='IN-NX'!$P$3,B148&lt;='IN-NX'!$Q$3,'IN-NX'!$D$7=D148,OR(LEFT(L148,2)="15",AND(LEFT(M148,2)&lt;&gt;"15",LEFT(M148,2)&lt;&gt;"33"))),"x","")</f>
        <v/>
      </c>
      <c r="X148" s="51" t="str">
        <f>IF(AND(OR(LEFT(TH!L148,2)="15",LEFT(TH!M148,2)="15"),'152-CT'!$J$8=TH!F148),"x","")</f>
        <v/>
      </c>
      <c r="Y148" s="51" t="str">
        <f>IF(AND(OR(LEFT(TH!L148,2)="15",LEFT(TH!M148,2)="15"),TK!$E$7=TH!F148),"x","")</f>
        <v/>
      </c>
      <c r="Z148" s="51" t="str">
        <f>IF(AND(B148&lt;=NKC!$N$8,B148&gt;=NKC!$M$8),"x","")</f>
        <v/>
      </c>
      <c r="AA148" s="803"/>
      <c r="AC148" s="203"/>
      <c r="AD148" s="203"/>
      <c r="AE148" s="203"/>
    </row>
    <row r="149" spans="1:31" s="565" customFormat="1" ht="15.75" customHeight="1">
      <c r="A149" s="804" t="str">
        <f>IF(B149&lt;&gt;"",IF(AND(B149&gt;=_TM1,B149&lt;=_TM2,OR(TH!L149="1111",TH!M149="1111")),TH!D149,""),"")</f>
        <v/>
      </c>
      <c r="B149" s="36">
        <f t="shared" si="7"/>
        <v>3</v>
      </c>
      <c r="C149" s="189">
        <f t="shared" si="8"/>
        <v>42083</v>
      </c>
      <c r="D149" s="189" t="s">
        <v>1299</v>
      </c>
      <c r="E149" s="189">
        <v>42083</v>
      </c>
      <c r="F149" s="922" t="s">
        <v>499</v>
      </c>
      <c r="G149" s="813" t="s">
        <v>981</v>
      </c>
      <c r="H149" s="7" t="s">
        <v>446</v>
      </c>
      <c r="I149" s="243">
        <v>110</v>
      </c>
      <c r="J149" s="243">
        <v>14700</v>
      </c>
      <c r="K149" s="573">
        <f>ROUND(I149*J149,0)</f>
        <v>1617000</v>
      </c>
      <c r="L149" s="574" t="s">
        <v>250</v>
      </c>
      <c r="M149" s="574" t="s">
        <v>164</v>
      </c>
      <c r="N149" s="51" t="str">
        <f>IF(AND('331-CT'!$E$7=TH!H149,OR(L149="331",M149="331")),"331",IF(AND(OR(L149="131",M149="131"),H149='131-CT'!$E$7),"131",""))</f>
        <v/>
      </c>
      <c r="O149" s="51" t="str">
        <f>IF(AND($B149&gt;='111'!$N$11,$B149&lt;='111'!$O$11,OR($L149=$O$7,$M149=$O$7)),"x","")</f>
        <v/>
      </c>
      <c r="P149" s="51" t="str">
        <f>IF(AND($L149=$O$7,$B149&lt;'111'!$N$11),"x","")</f>
        <v/>
      </c>
      <c r="Q149" s="51" t="str">
        <f>IF(AND($M149=$O$7,$B149&lt;'111'!$N$11),"x","")</f>
        <v/>
      </c>
      <c r="R149" s="51" t="str">
        <f>IF(ISERROR(FIND('112'!$M$9,G149,1)),"",IF((AND(FIND('112'!$M$9,G149,1)&gt;=1,$B149&gt;='112'!$N$8,$B149&lt;='112'!$O$8,OR($L149='112'!$I$6,$M149='112'!$I$6))),"x",""))</f>
        <v/>
      </c>
      <c r="S149" s="51" t="str">
        <f>IF(ISERROR(FIND('112'!$M$9,G149,1)),"",IF((AND(LEFT(G149,2)=LEFT('112'!$M$9,2),B149&lt;'112'!$N$8,$L149='112'!$I$6)),"x",""))</f>
        <v/>
      </c>
      <c r="T149" s="51" t="str">
        <f>IF(ISERROR(FIND('112'!$M$9,G149,1)),"",IF((AND(RIGHT(G149,2)=RIGHT('112'!$M$9,2),B149&lt;'112'!$N$8,$M149='112'!$I$6)),"x",""))</f>
        <v/>
      </c>
      <c r="U149" s="51" t="str">
        <f>IF(AND(L149="154",'154'!$O$5&lt;=B149,'154'!$P$5&gt;=B149),"154",IF(AND(L149="632",'632'!$L$5&lt;=B149,'632'!$M$5&gt;=B149),"632",IF(AND(L149="642",'642'!$N$5&lt;=B149,'642'!$O$5&gt;=B149),"642",IF(AND(L149="641",'641'!$N$5&lt;=B149,'641'!$O$5&gt;=B149),"641",""))))</f>
        <v/>
      </c>
      <c r="V149" s="51" t="str">
        <f>IF(OR(TH!L149=TH!$V$7,M149=TH!$V$7),"x","")</f>
        <v/>
      </c>
      <c r="W149" s="51" t="str">
        <f>IF(AND(B149&gt;='IN-NX'!$P$3,B149&lt;='IN-NX'!$Q$3,'IN-NX'!$D$7=D149,OR(LEFT(L149,2)="15",AND(LEFT(M149,2)&lt;&gt;"15",LEFT(M149,2)&lt;&gt;"33"))),"x","")</f>
        <v/>
      </c>
      <c r="X149" s="51" t="str">
        <f>IF(AND(OR(LEFT(TH!L149,2)="15",LEFT(TH!M149,2)="15"),'152-CT'!$J$8=TH!F149),"x","")</f>
        <v/>
      </c>
      <c r="Y149" s="51" t="str">
        <f>IF(AND(OR(LEFT(TH!L149,2)="15",LEFT(TH!M149,2)="15"),TK!$E$7=TH!F149),"x","")</f>
        <v/>
      </c>
      <c r="Z149" s="51" t="str">
        <f>IF(AND(B149&lt;=NKC!$N$8,B149&gt;=NKC!$M$8),"x","")</f>
        <v/>
      </c>
      <c r="AA149" s="803"/>
      <c r="AC149" s="203"/>
      <c r="AD149" s="203"/>
      <c r="AE149" s="203"/>
    </row>
    <row r="150" spans="1:31" s="565" customFormat="1" ht="15.75" customHeight="1">
      <c r="A150" s="804" t="str">
        <f>IF(B150&lt;&gt;"",IF(AND(B150&gt;=_TM1,B150&lt;=_TM2,OR(TH!L150="1111",TH!M150="1111")),TH!D150,""),"")</f>
        <v/>
      </c>
      <c r="B150" s="36">
        <f t="shared" si="7"/>
        <v>3</v>
      </c>
      <c r="C150" s="189">
        <f t="shared" si="8"/>
        <v>42083</v>
      </c>
      <c r="D150" s="189" t="s">
        <v>1299</v>
      </c>
      <c r="E150" s="189">
        <v>42083</v>
      </c>
      <c r="F150" s="922" t="s">
        <v>962</v>
      </c>
      <c r="G150" s="813" t="s">
        <v>981</v>
      </c>
      <c r="H150" s="7" t="s">
        <v>446</v>
      </c>
      <c r="I150" s="243"/>
      <c r="J150" s="243"/>
      <c r="K150" s="573">
        <v>161700</v>
      </c>
      <c r="L150" s="574" t="s">
        <v>250</v>
      </c>
      <c r="M150" s="574" t="s">
        <v>352</v>
      </c>
      <c r="N150" s="51" t="str">
        <f>IF(AND('331-CT'!$E$7=TH!H150,OR(L150="331",M150="331")),"331",IF(AND(OR(L150="131",M150="131"),H150='131-CT'!$E$7),"131",""))</f>
        <v/>
      </c>
      <c r="O150" s="51" t="str">
        <f>IF(AND($B150&gt;='111'!$N$11,$B150&lt;='111'!$O$11,OR($L150=$O$7,$M150=$O$7)),"x","")</f>
        <v/>
      </c>
      <c r="P150" s="51" t="str">
        <f>IF(AND($L150=$O$7,$B150&lt;'111'!$N$11),"x","")</f>
        <v/>
      </c>
      <c r="Q150" s="51" t="str">
        <f>IF(AND($M150=$O$7,$B150&lt;'111'!$N$11),"x","")</f>
        <v/>
      </c>
      <c r="R150" s="51" t="str">
        <f>IF(ISERROR(FIND('112'!$M$9,G150,1)),"",IF((AND(FIND('112'!$M$9,G150,1)&gt;=1,$B150&gt;='112'!$N$8,$B150&lt;='112'!$O$8,OR($L150='112'!$I$6,$M150='112'!$I$6))),"x",""))</f>
        <v/>
      </c>
      <c r="S150" s="51" t="str">
        <f>IF(ISERROR(FIND('112'!$M$9,G150,1)),"",IF((AND(LEFT(G150,2)=LEFT('112'!$M$9,2),B150&lt;'112'!$N$8,$L150='112'!$I$6)),"x",""))</f>
        <v/>
      </c>
      <c r="T150" s="51" t="str">
        <f>IF(ISERROR(FIND('112'!$M$9,G150,1)),"",IF((AND(RIGHT(G150,2)=RIGHT('112'!$M$9,2),B150&lt;'112'!$N$8,$M150='112'!$I$6)),"x",""))</f>
        <v/>
      </c>
      <c r="U150" s="51" t="str">
        <f>IF(AND(L150="154",'154'!$O$5&lt;=B150,'154'!$P$5&gt;=B150),"154",IF(AND(L150="632",'632'!$L$5&lt;=B150,'632'!$M$5&gt;=B150),"632",IF(AND(L150="642",'642'!$N$5&lt;=B150,'642'!$O$5&gt;=B150),"642",IF(AND(L150="641",'641'!$N$5&lt;=B150,'641'!$O$5&gt;=B150),"641",""))))</f>
        <v/>
      </c>
      <c r="V150" s="51" t="str">
        <f>IF(OR(TH!L150=TH!$V$7,M150=TH!$V$7),"x","")</f>
        <v/>
      </c>
      <c r="W150" s="51" t="str">
        <f>IF(AND(B150&gt;='IN-NX'!$P$3,B150&lt;='IN-NX'!$Q$3,'IN-NX'!$D$7=D150,OR(LEFT(L150,2)="15",AND(LEFT(M150,2)&lt;&gt;"15",LEFT(M150,2)&lt;&gt;"33"))),"x","")</f>
        <v/>
      </c>
      <c r="X150" s="51" t="str">
        <f>IF(AND(OR(LEFT(TH!L150,2)="15",LEFT(TH!M150,2)="15"),'152-CT'!$J$8=TH!F150),"x","")</f>
        <v/>
      </c>
      <c r="Y150" s="51" t="str">
        <f>IF(AND(OR(LEFT(TH!L150,2)="15",LEFT(TH!M150,2)="15"),TK!$E$7=TH!F150),"x","")</f>
        <v/>
      </c>
      <c r="Z150" s="51" t="str">
        <f>IF(AND(B150&lt;=NKC!$N$8,B150&gt;=NKC!$M$8),"x","")</f>
        <v/>
      </c>
      <c r="AA150" s="803"/>
      <c r="AE150" s="203"/>
    </row>
    <row r="151" spans="1:31" s="565" customFormat="1" ht="15.75" customHeight="1">
      <c r="A151" s="804" t="str">
        <f>IF(B151&lt;&gt;"",IF(AND(B151&gt;=_TM1,B151&lt;=_TM2,OR(TH!L151="1111",TH!M151="1111")),TH!D151,""),"")</f>
        <v/>
      </c>
      <c r="B151" s="36">
        <f t="shared" ref="B151:B214" si="10">IF(C151&lt;&gt;"",MONTH(C151),"")</f>
        <v>3</v>
      </c>
      <c r="C151" s="189">
        <f t="shared" ref="C151:C214" si="11">E151</f>
        <v>42083</v>
      </c>
      <c r="D151" s="189" t="s">
        <v>1371</v>
      </c>
      <c r="E151" s="189">
        <v>42083</v>
      </c>
      <c r="F151" s="926" t="s">
        <v>423</v>
      </c>
      <c r="G151" s="813" t="s">
        <v>981</v>
      </c>
      <c r="H151" s="7" t="s">
        <v>446</v>
      </c>
      <c r="I151" s="243"/>
      <c r="J151" s="243"/>
      <c r="K151" s="573">
        <v>1778700</v>
      </c>
      <c r="L151" s="574" t="s">
        <v>47</v>
      </c>
      <c r="M151" s="574" t="s">
        <v>250</v>
      </c>
      <c r="N151" s="51" t="str">
        <f>IF(AND('331-CT'!$E$7=TH!H151,OR(L151="331",M151="331")),"331",IF(AND(OR(L151="131",M151="131"),H151='131-CT'!$E$7),"131",""))</f>
        <v/>
      </c>
      <c r="O151" s="51" t="str">
        <f>IF(AND($B151&gt;='111'!$N$11,$B151&lt;='111'!$O$11,OR($L151=$O$7,$M151=$O$7)),"x","")</f>
        <v/>
      </c>
      <c r="P151" s="51" t="str">
        <f>IF(AND($L151=$O$7,$B151&lt;'111'!$N$11),"x","")</f>
        <v>x</v>
      </c>
      <c r="Q151" s="51" t="str">
        <f>IF(AND($M151=$O$7,$B151&lt;'111'!$N$11),"x","")</f>
        <v/>
      </c>
      <c r="R151" s="51" t="str">
        <f>IF(ISERROR(FIND('112'!$M$9,G151,1)),"",IF((AND(FIND('112'!$M$9,G151,1)&gt;=1,$B151&gt;='112'!$N$8,$B151&lt;='112'!$O$8,OR($L151='112'!$I$6,$M151='112'!$I$6))),"x",""))</f>
        <v/>
      </c>
      <c r="S151" s="51" t="str">
        <f>IF(ISERROR(FIND('112'!$M$9,G151,1)),"",IF((AND(LEFT(G151,2)=LEFT('112'!$M$9,2),B151&lt;'112'!$N$8,$L151='112'!$I$6)),"x",""))</f>
        <v/>
      </c>
      <c r="T151" s="51" t="str">
        <f>IF(ISERROR(FIND('112'!$M$9,G151,1)),"",IF((AND(RIGHT(G151,2)=RIGHT('112'!$M$9,2),B151&lt;'112'!$N$8,$M151='112'!$I$6)),"x",""))</f>
        <v/>
      </c>
      <c r="U151" s="51" t="str">
        <f>IF(AND(L151="154",'154'!$O$5&lt;=B151,'154'!$P$5&gt;=B151),"154",IF(AND(L151="632",'632'!$L$5&lt;=B151,'632'!$M$5&gt;=B151),"632",IF(AND(L151="642",'642'!$N$5&lt;=B151,'642'!$O$5&gt;=B151),"642",IF(AND(L151="641",'641'!$N$5&lt;=B151,'641'!$O$5&gt;=B151),"641",""))))</f>
        <v/>
      </c>
      <c r="V151" s="51" t="str">
        <f>IF(OR(TH!L151=TH!$V$7,M151=TH!$V$7),"x","")</f>
        <v/>
      </c>
      <c r="W151" s="51" t="str">
        <f>IF(AND(B151&gt;='IN-NX'!$P$3,B151&lt;='IN-NX'!$Q$3,'IN-NX'!$D$7=D151,OR(LEFT(L151,2)="15",AND(LEFT(M151,2)&lt;&gt;"15",LEFT(M151,2)&lt;&gt;"33"))),"x","")</f>
        <v/>
      </c>
      <c r="X151" s="51" t="str">
        <f>IF(AND(OR(LEFT(TH!L151,2)="15",LEFT(TH!M151,2)="15"),'152-CT'!$J$8=TH!F151),"x","")</f>
        <v/>
      </c>
      <c r="Y151" s="51" t="str">
        <f>IF(AND(OR(LEFT(TH!L151,2)="15",LEFT(TH!M151,2)="15"),TK!$E$7=TH!F151),"x","")</f>
        <v/>
      </c>
      <c r="Z151" s="51" t="str">
        <f>IF(AND(B151&lt;=NKC!$N$8,B151&gt;=NKC!$M$8),"x","")</f>
        <v/>
      </c>
      <c r="AA151" s="803"/>
      <c r="AE151" s="203"/>
    </row>
    <row r="152" spans="1:31" s="565" customFormat="1" ht="15.75" customHeight="1">
      <c r="A152" s="804" t="str">
        <f>IF(B152&lt;&gt;"",IF(AND(B152&gt;=_TM1,B152&lt;=_TM2,OR(TH!L152="1111",TH!M152="1111")),TH!D152,""),"")</f>
        <v/>
      </c>
      <c r="B152" s="36">
        <f t="shared" si="10"/>
        <v>3</v>
      </c>
      <c r="C152" s="189">
        <f t="shared" si="11"/>
        <v>42087</v>
      </c>
      <c r="D152" s="189" t="s">
        <v>421</v>
      </c>
      <c r="E152" s="182">
        <v>42087</v>
      </c>
      <c r="F152" s="922" t="s">
        <v>423</v>
      </c>
      <c r="G152" s="811" t="s">
        <v>415</v>
      </c>
      <c r="H152" s="7" t="s">
        <v>430</v>
      </c>
      <c r="I152" s="243"/>
      <c r="J152" s="243"/>
      <c r="K152" s="38">
        <v>2475000</v>
      </c>
      <c r="L152" s="192" t="s">
        <v>24</v>
      </c>
      <c r="M152" s="192" t="s">
        <v>250</v>
      </c>
      <c r="N152" s="51" t="str">
        <f>IF(AND('331-CT'!$E$7=TH!H152,OR(L152="331",M152="331")),"331",IF(AND(OR(L152="131",M152="131"),H152='131-CT'!$E$7),"131",""))</f>
        <v/>
      </c>
      <c r="O152" s="51" t="str">
        <f>IF(AND($B152&gt;='111'!$N$11,$B152&lt;='111'!$O$11,OR($L152=$O$7,$M152=$O$7)),"x","")</f>
        <v/>
      </c>
      <c r="P152" s="51" t="str">
        <f>IF(AND($L152=$O$7,$B152&lt;'111'!$N$11),"x","")</f>
        <v/>
      </c>
      <c r="Q152" s="51" t="str">
        <f>IF(AND($M152=$O$7,$B152&lt;'111'!$N$11),"x","")</f>
        <v/>
      </c>
      <c r="R152" s="51" t="str">
        <f>IF(ISERROR(FIND('112'!$M$9,G152,1)),"",IF((AND(FIND('112'!$M$9,G152,1)&gt;=1,$B152&gt;='112'!$N$8,$B152&lt;='112'!$O$8,OR($L152='112'!$I$6,$M152='112'!$I$6))),"x",""))</f>
        <v>x</v>
      </c>
      <c r="S152" s="51" t="str">
        <f>IF(ISERROR(FIND('112'!$M$9,G152,1)),"",IF((AND(LEFT(G152,2)=LEFT('112'!$M$9,2),B152&lt;'112'!$N$8,$L152='112'!$I$6)),"x",""))</f>
        <v/>
      </c>
      <c r="T152" s="51" t="str">
        <f>IF(ISERROR(FIND('112'!$M$9,G152,1)),"",IF((AND(RIGHT(G152,2)=RIGHT('112'!$M$9,2),B152&lt;'112'!$N$8,$M152='112'!$I$6)),"x",""))</f>
        <v/>
      </c>
      <c r="U152" s="51" t="str">
        <f>IF(AND(L152="154",'154'!$O$5&lt;=B152,'154'!$P$5&gt;=B152),"154",IF(AND(L152="632",'632'!$L$5&lt;=B152,'632'!$M$5&gt;=B152),"632",IF(AND(L152="642",'642'!$N$5&lt;=B152,'642'!$O$5&gt;=B152),"642",IF(AND(L152="641",'641'!$N$5&lt;=B152,'641'!$O$5&gt;=B152),"641",""))))</f>
        <v/>
      </c>
      <c r="V152" s="51" t="str">
        <f>IF(OR(TH!L152=TH!$V$7,M152=TH!$V$7),"x","")</f>
        <v/>
      </c>
      <c r="W152" s="51" t="str">
        <f>IF(AND(B152&gt;='IN-NX'!$P$3,B152&lt;='IN-NX'!$Q$3,'IN-NX'!$D$7=D152,OR(LEFT(L152,2)="15",AND(LEFT(M152,2)&lt;&gt;"15",LEFT(M152,2)&lt;&gt;"33"))),"x","")</f>
        <v/>
      </c>
      <c r="X152" s="51" t="str">
        <f>IF(AND(OR(LEFT(TH!L152,2)="15",LEFT(TH!M152,2)="15"),'152-CT'!$J$8=TH!F152),"x","")</f>
        <v/>
      </c>
      <c r="Y152" s="51" t="str">
        <f>IF(AND(OR(LEFT(TH!L152,2)="15",LEFT(TH!M152,2)="15"),TK!$E$7=TH!F152),"x","")</f>
        <v/>
      </c>
      <c r="Z152" s="51" t="str">
        <f>IF(AND(B152&lt;=NKC!$N$8,B152&gt;=NKC!$M$8),"x","")</f>
        <v/>
      </c>
      <c r="AA152" s="803"/>
      <c r="AC152" s="203"/>
      <c r="AD152" s="203"/>
      <c r="AE152" s="203"/>
    </row>
    <row r="153" spans="1:31" s="565" customFormat="1" ht="15.75" customHeight="1">
      <c r="A153" s="804" t="str">
        <f>IF(B153&lt;&gt;"",IF(AND(B153&gt;=_TM1,B153&lt;=_TM2,OR(TH!L153="1111",TH!M153="1111")),TH!D153,""),"")</f>
        <v/>
      </c>
      <c r="B153" s="36">
        <f t="shared" si="10"/>
        <v>3</v>
      </c>
      <c r="C153" s="189">
        <f t="shared" si="11"/>
        <v>42087</v>
      </c>
      <c r="D153" s="189" t="s">
        <v>1372</v>
      </c>
      <c r="E153" s="182">
        <v>42087</v>
      </c>
      <c r="F153" s="187" t="s">
        <v>427</v>
      </c>
      <c r="G153" s="811" t="s">
        <v>415</v>
      </c>
      <c r="H153" s="7" t="s">
        <v>428</v>
      </c>
      <c r="I153" s="243"/>
      <c r="J153" s="243"/>
      <c r="K153" s="38">
        <v>2500000</v>
      </c>
      <c r="L153" s="192" t="s">
        <v>47</v>
      </c>
      <c r="M153" s="192" t="s">
        <v>24</v>
      </c>
      <c r="N153" s="51" t="str">
        <f>IF(AND('331-CT'!$E$7=TH!H153,OR(L153="331",M153="331")),"331",IF(AND(OR(L153="131",M153="131"),H153='131-CT'!$E$7),"131",""))</f>
        <v/>
      </c>
      <c r="O153" s="51" t="str">
        <f>IF(AND($B153&gt;='111'!$N$11,$B153&lt;='111'!$O$11,OR($L153=$O$7,$M153=$O$7)),"x","")</f>
        <v/>
      </c>
      <c r="P153" s="51" t="str">
        <f>IF(AND($L153=$O$7,$B153&lt;'111'!$N$11),"x","")</f>
        <v>x</v>
      </c>
      <c r="Q153" s="51" t="str">
        <f>IF(AND($M153=$O$7,$B153&lt;'111'!$N$11),"x","")</f>
        <v/>
      </c>
      <c r="R153" s="51" t="str">
        <f>IF(ISERROR(FIND('112'!$M$9,G153,1)),"",IF((AND(FIND('112'!$M$9,G153,1)&gt;=1,$B153&gt;='112'!$N$8,$B153&lt;='112'!$O$8,OR($L153='112'!$I$6,$M153='112'!$I$6))),"x",""))</f>
        <v>x</v>
      </c>
      <c r="S153" s="51" t="str">
        <f>IF(ISERROR(FIND('112'!$M$9,G153,1)),"",IF((AND(LEFT(G153,2)=LEFT('112'!$M$9,2),B153&lt;'112'!$N$8,$L153='112'!$I$6)),"x",""))</f>
        <v/>
      </c>
      <c r="T153" s="51" t="str">
        <f>IF(ISERROR(FIND('112'!$M$9,G153,1)),"",IF((AND(RIGHT(G153,2)=RIGHT('112'!$M$9,2),B153&lt;'112'!$N$8,$M153='112'!$I$6)),"x",""))</f>
        <v/>
      </c>
      <c r="U153" s="51" t="str">
        <f>IF(AND(L153="154",'154'!$O$5&lt;=B153,'154'!$P$5&gt;=B153),"154",IF(AND(L153="632",'632'!$L$5&lt;=B153,'632'!$M$5&gt;=B153),"632",IF(AND(L153="642",'642'!$N$5&lt;=B153,'642'!$O$5&gt;=B153),"642",IF(AND(L153="641",'641'!$N$5&lt;=B153,'641'!$O$5&gt;=B153),"641",""))))</f>
        <v/>
      </c>
      <c r="V153" s="51" t="str">
        <f>IF(OR(TH!L153=TH!$V$7,M153=TH!$V$7),"x","")</f>
        <v/>
      </c>
      <c r="W153" s="51" t="str">
        <f>IF(AND(B153&gt;='IN-NX'!$P$3,B153&lt;='IN-NX'!$Q$3,'IN-NX'!$D$7=D153,OR(LEFT(L153,2)="15",AND(LEFT(M153,2)&lt;&gt;"15",LEFT(M153,2)&lt;&gt;"33"))),"x","")</f>
        <v/>
      </c>
      <c r="X153" s="51" t="str">
        <f>IF(AND(OR(LEFT(TH!L153,2)="15",LEFT(TH!M153,2)="15"),'152-CT'!$J$8=TH!F153),"x","")</f>
        <v/>
      </c>
      <c r="Y153" s="51" t="str">
        <f>IF(AND(OR(LEFT(TH!L153,2)="15",LEFT(TH!M153,2)="15"),TK!$E$7=TH!F153),"x","")</f>
        <v/>
      </c>
      <c r="Z153" s="51" t="str">
        <f>IF(AND(B153&lt;=NKC!$N$8,B153&gt;=NKC!$M$8),"x","")</f>
        <v/>
      </c>
      <c r="AA153" s="803"/>
      <c r="AC153" s="203"/>
      <c r="AD153" s="203"/>
      <c r="AE153" s="203"/>
    </row>
    <row r="154" spans="1:31" s="565" customFormat="1" ht="15.75" customHeight="1">
      <c r="A154" s="804" t="str">
        <f>IF(B154&lt;&gt;"",IF(AND(B154&gt;=_TM1,B154&lt;=_TM2,OR(TH!L154="1111",TH!M154="1111")),TH!D154,""),"")</f>
        <v/>
      </c>
      <c r="B154" s="36">
        <f t="shared" si="10"/>
        <v>3</v>
      </c>
      <c r="C154" s="189">
        <f t="shared" si="11"/>
        <v>42088</v>
      </c>
      <c r="D154" s="189" t="s">
        <v>421</v>
      </c>
      <c r="E154" s="182">
        <v>42088</v>
      </c>
      <c r="F154" s="922" t="s">
        <v>429</v>
      </c>
      <c r="G154" s="811" t="s">
        <v>415</v>
      </c>
      <c r="H154" s="7"/>
      <c r="I154" s="243"/>
      <c r="J154" s="243"/>
      <c r="K154" s="38">
        <v>1558</v>
      </c>
      <c r="L154" s="192" t="s">
        <v>24</v>
      </c>
      <c r="M154" s="192" t="s">
        <v>40</v>
      </c>
      <c r="N154" s="51" t="str">
        <f>IF(AND('331-CT'!$E$7=TH!H154,OR(L154="331",M154="331")),"331",IF(AND(OR(L154="131",M154="131"),H154='131-CT'!$E$7),"131",""))</f>
        <v/>
      </c>
      <c r="O154" s="51" t="str">
        <f>IF(AND($B154&gt;='111'!$N$11,$B154&lt;='111'!$O$11,OR($L154=$O$7,$M154=$O$7)),"x","")</f>
        <v/>
      </c>
      <c r="P154" s="51" t="str">
        <f>IF(AND($L154=$O$7,$B154&lt;'111'!$N$11),"x","")</f>
        <v/>
      </c>
      <c r="Q154" s="51" t="str">
        <f>IF(AND($M154=$O$7,$B154&lt;'111'!$N$11),"x","")</f>
        <v/>
      </c>
      <c r="R154" s="51" t="str">
        <f>IF(ISERROR(FIND('112'!$M$9,G154,1)),"",IF((AND(FIND('112'!$M$9,G154,1)&gt;=1,$B154&gt;='112'!$N$8,$B154&lt;='112'!$O$8,OR($L154='112'!$I$6,$M154='112'!$I$6))),"x",""))</f>
        <v>x</v>
      </c>
      <c r="S154" s="51" t="str">
        <f>IF(ISERROR(FIND('112'!$M$9,G154,1)),"",IF((AND(LEFT(G154,2)=LEFT('112'!$M$9,2),B154&lt;'112'!$N$8,$L154='112'!$I$6)),"x",""))</f>
        <v/>
      </c>
      <c r="T154" s="51" t="str">
        <f>IF(ISERROR(FIND('112'!$M$9,G154,1)),"",IF((AND(RIGHT(G154,2)=RIGHT('112'!$M$9,2),B154&lt;'112'!$N$8,$M154='112'!$I$6)),"x",""))</f>
        <v/>
      </c>
      <c r="U154" s="51" t="str">
        <f>IF(AND(L154="154",'154'!$O$5&lt;=B154,'154'!$P$5&gt;=B154),"154",IF(AND(L154="632",'632'!$L$5&lt;=B154,'632'!$M$5&gt;=B154),"632",IF(AND(L154="642",'642'!$N$5&lt;=B154,'642'!$O$5&gt;=B154),"642",IF(AND(L154="641",'641'!$N$5&lt;=B154,'641'!$O$5&gt;=B154),"641",""))))</f>
        <v/>
      </c>
      <c r="V154" s="51" t="str">
        <f>IF(OR(TH!L154=TH!$V$7,M154=TH!$V$7),"x","")</f>
        <v/>
      </c>
      <c r="W154" s="51" t="str">
        <f>IF(AND(B154&gt;='IN-NX'!$P$3,B154&lt;='IN-NX'!$Q$3,'IN-NX'!$D$7=D154,OR(LEFT(L154,2)="15",AND(LEFT(M154,2)&lt;&gt;"15",LEFT(M154,2)&lt;&gt;"33"))),"x","")</f>
        <v/>
      </c>
      <c r="X154" s="51" t="str">
        <f>IF(AND(OR(LEFT(TH!L154,2)="15",LEFT(TH!M154,2)="15"),'152-CT'!$J$8=TH!F154),"x","")</f>
        <v/>
      </c>
      <c r="Y154" s="51" t="str">
        <f>IF(AND(OR(LEFT(TH!L154,2)="15",LEFT(TH!M154,2)="15"),TK!$E$7=TH!F154),"x","")</f>
        <v/>
      </c>
      <c r="Z154" s="51" t="str">
        <f>IF(AND(B154&lt;=NKC!$N$8,B154&gt;=NKC!$M$8),"x","")</f>
        <v/>
      </c>
      <c r="AA154" s="803"/>
      <c r="AC154" s="203"/>
      <c r="AD154" s="203"/>
      <c r="AE154" s="203"/>
    </row>
    <row r="155" spans="1:31" s="565" customFormat="1" ht="15.75" customHeight="1">
      <c r="A155" s="804" t="str">
        <f>IF(B155&lt;&gt;"",IF(AND(B155&gt;=_TM1,B155&lt;=_TM2,OR(TH!L155="1111",TH!M155="1111")),TH!D155,""),"")</f>
        <v/>
      </c>
      <c r="B155" s="36">
        <f t="shared" si="10"/>
        <v>3</v>
      </c>
      <c r="C155" s="189">
        <f t="shared" si="11"/>
        <v>42088</v>
      </c>
      <c r="D155" s="189" t="s">
        <v>422</v>
      </c>
      <c r="E155" s="182">
        <v>42088</v>
      </c>
      <c r="F155" s="187" t="s">
        <v>426</v>
      </c>
      <c r="G155" s="811" t="s">
        <v>415</v>
      </c>
      <c r="H155" s="7"/>
      <c r="I155" s="243"/>
      <c r="J155" s="243"/>
      <c r="K155" s="573">
        <v>11000</v>
      </c>
      <c r="L155" s="192" t="s">
        <v>83</v>
      </c>
      <c r="M155" s="192" t="s">
        <v>24</v>
      </c>
      <c r="N155" s="51" t="str">
        <f>IF(AND('331-CT'!$E$7=TH!H155,OR(L155="331",M155="331")),"331",IF(AND(OR(L155="131",M155="131"),H155='131-CT'!$E$7),"131",""))</f>
        <v/>
      </c>
      <c r="O155" s="51" t="str">
        <f>IF(AND($B155&gt;='111'!$N$11,$B155&lt;='111'!$O$11,OR($L155=$O$7,$M155=$O$7)),"x","")</f>
        <v/>
      </c>
      <c r="P155" s="51" t="str">
        <f>IF(AND($L155=$O$7,$B155&lt;'111'!$N$11),"x","")</f>
        <v/>
      </c>
      <c r="Q155" s="51" t="str">
        <f>IF(AND($M155=$O$7,$B155&lt;'111'!$N$11),"x","")</f>
        <v/>
      </c>
      <c r="R155" s="51" t="str">
        <f>IF(ISERROR(FIND('112'!$M$9,G155,1)),"",IF((AND(FIND('112'!$M$9,G155,1)&gt;=1,$B155&gt;='112'!$N$8,$B155&lt;='112'!$O$8,OR($L155='112'!$I$6,$M155='112'!$I$6))),"x",""))</f>
        <v>x</v>
      </c>
      <c r="S155" s="51" t="str">
        <f>IF(ISERROR(FIND('112'!$M$9,G155,1)),"",IF((AND(LEFT(G155,2)=LEFT('112'!$M$9,2),B155&lt;'112'!$N$8,$L155='112'!$I$6)),"x",""))</f>
        <v/>
      </c>
      <c r="T155" s="51" t="str">
        <f>IF(ISERROR(FIND('112'!$M$9,G155,1)),"",IF((AND(RIGHT(G155,2)=RIGHT('112'!$M$9,2),B155&lt;'112'!$N$8,$M155='112'!$I$6)),"x",""))</f>
        <v/>
      </c>
      <c r="U155" s="51" t="str">
        <f>IF(AND(L155="154",'154'!$O$5&lt;=B155,'154'!$P$5&gt;=B155),"154",IF(AND(L155="632",'632'!$L$5&lt;=B155,'632'!$M$5&gt;=B155),"632",IF(AND(L155="642",'642'!$N$5&lt;=B155,'642'!$O$5&gt;=B155),"642",IF(AND(L155="641",'641'!$N$5&lt;=B155,'641'!$O$5&gt;=B155),"641",""))))</f>
        <v/>
      </c>
      <c r="V155" s="51" t="str">
        <f>IF(OR(TH!L155=TH!$V$7,M155=TH!$V$7),"x","")</f>
        <v>x</v>
      </c>
      <c r="W155" s="51" t="str">
        <f>IF(AND(B155&gt;='IN-NX'!$P$3,B155&lt;='IN-NX'!$Q$3,'IN-NX'!$D$7=D155,OR(LEFT(L155,2)="15",AND(LEFT(M155,2)&lt;&gt;"15",LEFT(M155,2)&lt;&gt;"33"))),"x","")</f>
        <v/>
      </c>
      <c r="X155" s="51" t="str">
        <f>IF(AND(OR(LEFT(TH!L155,2)="15",LEFT(TH!M155,2)="15"),'152-CT'!$J$8=TH!F155),"x","")</f>
        <v/>
      </c>
      <c r="Y155" s="51" t="str">
        <f>IF(AND(OR(LEFT(TH!L155,2)="15",LEFT(TH!M155,2)="15"),TK!$E$7=TH!F155),"x","")</f>
        <v/>
      </c>
      <c r="Z155" s="51" t="str">
        <f>IF(AND(B155&lt;=NKC!$N$8,B155&gt;=NKC!$M$8),"x","")</f>
        <v/>
      </c>
      <c r="AA155" s="803"/>
      <c r="AC155" s="203"/>
      <c r="AD155" s="203"/>
      <c r="AE155" s="203"/>
    </row>
    <row r="156" spans="1:31" s="565" customFormat="1" ht="15.75" customHeight="1">
      <c r="A156" s="804" t="str">
        <f>IF(B156&lt;&gt;"",IF(AND(B156&gt;=_TM1,B156&lt;=_TM2,OR(TH!L156="1111",TH!M156="1111")),TH!D156,""),"")</f>
        <v/>
      </c>
      <c r="B156" s="36">
        <f t="shared" si="10"/>
        <v>3</v>
      </c>
      <c r="C156" s="189">
        <f t="shared" si="11"/>
        <v>42089</v>
      </c>
      <c r="D156" s="189" t="s">
        <v>421</v>
      </c>
      <c r="E156" s="182">
        <v>42089</v>
      </c>
      <c r="F156" s="922" t="s">
        <v>423</v>
      </c>
      <c r="G156" s="811" t="s">
        <v>415</v>
      </c>
      <c r="H156" s="202" t="s">
        <v>424</v>
      </c>
      <c r="I156" s="243"/>
      <c r="J156" s="243"/>
      <c r="K156" s="38">
        <v>20514460</v>
      </c>
      <c r="L156" s="192" t="s">
        <v>24</v>
      </c>
      <c r="M156" s="192" t="s">
        <v>250</v>
      </c>
      <c r="N156" s="51" t="str">
        <f>IF(AND('331-CT'!$E$7=TH!H156,OR(L156="331",M156="331")),"331",IF(AND(OR(L156="131",M156="131"),H156='131-CT'!$E$7),"131",""))</f>
        <v/>
      </c>
      <c r="O156" s="51" t="str">
        <f>IF(AND($B156&gt;='111'!$N$11,$B156&lt;='111'!$O$11,OR($L156=$O$7,$M156=$O$7)),"x","")</f>
        <v/>
      </c>
      <c r="P156" s="51" t="str">
        <f>IF(AND($L156=$O$7,$B156&lt;'111'!$N$11),"x","")</f>
        <v/>
      </c>
      <c r="Q156" s="51" t="str">
        <f>IF(AND($M156=$O$7,$B156&lt;'111'!$N$11),"x","")</f>
        <v/>
      </c>
      <c r="R156" s="51" t="str">
        <f>IF(ISERROR(FIND('112'!$M$9,G156,1)),"",IF((AND(FIND('112'!$M$9,G156,1)&gt;=1,$B156&gt;='112'!$N$8,$B156&lt;='112'!$O$8,OR($L156='112'!$I$6,$M156='112'!$I$6))),"x",""))</f>
        <v>x</v>
      </c>
      <c r="S156" s="51" t="str">
        <f>IF(ISERROR(FIND('112'!$M$9,G156,1)),"",IF((AND(LEFT(G156,2)=LEFT('112'!$M$9,2),B156&lt;'112'!$N$8,$L156='112'!$I$6)),"x",""))</f>
        <v/>
      </c>
      <c r="T156" s="51" t="str">
        <f>IF(ISERROR(FIND('112'!$M$9,G156,1)),"",IF((AND(RIGHT(G156,2)=RIGHT('112'!$M$9,2),B156&lt;'112'!$N$8,$M156='112'!$I$6)),"x",""))</f>
        <v/>
      </c>
      <c r="U156" s="51" t="str">
        <f>IF(AND(L156="154",'154'!$O$5&lt;=B156,'154'!$P$5&gt;=B156),"154",IF(AND(L156="632",'632'!$L$5&lt;=B156,'632'!$M$5&gt;=B156),"632",IF(AND(L156="642",'642'!$N$5&lt;=B156,'642'!$O$5&gt;=B156),"642",IF(AND(L156="641",'641'!$N$5&lt;=B156,'641'!$O$5&gt;=B156),"641",""))))</f>
        <v/>
      </c>
      <c r="V156" s="51" t="str">
        <f>IF(OR(TH!L156=TH!$V$7,M156=TH!$V$7),"x","")</f>
        <v/>
      </c>
      <c r="W156" s="51" t="str">
        <f>IF(AND(B156&gt;='IN-NX'!$P$3,B156&lt;='IN-NX'!$Q$3,'IN-NX'!$D$7=D156,OR(LEFT(L156,2)="15",AND(LEFT(M156,2)&lt;&gt;"15",LEFT(M156,2)&lt;&gt;"33"))),"x","")</f>
        <v/>
      </c>
      <c r="X156" s="51" t="str">
        <f>IF(AND(OR(LEFT(TH!L156,2)="15",LEFT(TH!M156,2)="15"),'152-CT'!$J$8=TH!F156),"x","")</f>
        <v/>
      </c>
      <c r="Y156" s="51" t="str">
        <f>IF(AND(OR(LEFT(TH!L156,2)="15",LEFT(TH!M156,2)="15"),TK!$E$7=TH!F156),"x","")</f>
        <v/>
      </c>
      <c r="Z156" s="51" t="str">
        <f>IF(AND(B156&lt;=NKC!$N$8,B156&gt;=NKC!$M$8),"x","")</f>
        <v/>
      </c>
      <c r="AA156" s="803"/>
      <c r="AC156" s="203"/>
      <c r="AD156" s="203"/>
      <c r="AE156" s="203"/>
    </row>
    <row r="157" spans="1:31" s="565" customFormat="1" ht="15.75" customHeight="1">
      <c r="A157" s="804" t="str">
        <f>IF(B157&lt;&gt;"",IF(AND(B157&gt;=_TM1,B157&lt;=_TM2,OR(TH!L157="1111",TH!M157="1111")),TH!D157,""),"")</f>
        <v/>
      </c>
      <c r="B157" s="36">
        <f t="shared" si="10"/>
        <v>3</v>
      </c>
      <c r="C157" s="189">
        <f t="shared" si="11"/>
        <v>42089</v>
      </c>
      <c r="D157" s="189" t="s">
        <v>1375</v>
      </c>
      <c r="E157" s="182">
        <v>42089</v>
      </c>
      <c r="F157" s="187" t="s">
        <v>427</v>
      </c>
      <c r="G157" s="811" t="s">
        <v>415</v>
      </c>
      <c r="H157" s="7" t="s">
        <v>428</v>
      </c>
      <c r="I157" s="243"/>
      <c r="J157" s="243"/>
      <c r="K157" s="38">
        <v>20500000</v>
      </c>
      <c r="L157" s="192" t="s">
        <v>47</v>
      </c>
      <c r="M157" s="192" t="s">
        <v>24</v>
      </c>
      <c r="N157" s="51" t="str">
        <f>IF(AND('331-CT'!$E$7=TH!H157,OR(L157="331",M157="331")),"331",IF(AND(OR(L157="131",M157="131"),H157='131-CT'!$E$7),"131",""))</f>
        <v/>
      </c>
      <c r="O157" s="51" t="str">
        <f>IF(AND($B157&gt;='111'!$N$11,$B157&lt;='111'!$O$11,OR($L157=$O$7,$M157=$O$7)),"x","")</f>
        <v/>
      </c>
      <c r="P157" s="51" t="str">
        <f>IF(AND($L157=$O$7,$B157&lt;'111'!$N$11),"x","")</f>
        <v>x</v>
      </c>
      <c r="Q157" s="51" t="str">
        <f>IF(AND($M157=$O$7,$B157&lt;'111'!$N$11),"x","")</f>
        <v/>
      </c>
      <c r="R157" s="51" t="str">
        <f>IF(ISERROR(FIND('112'!$M$9,G157,1)),"",IF((AND(FIND('112'!$M$9,G157,1)&gt;=1,$B157&gt;='112'!$N$8,$B157&lt;='112'!$O$8,OR($L157='112'!$I$6,$M157='112'!$I$6))),"x",""))</f>
        <v>x</v>
      </c>
      <c r="S157" s="51" t="str">
        <f>IF(ISERROR(FIND('112'!$M$9,G157,1)),"",IF((AND(LEFT(G157,2)=LEFT('112'!$M$9,2),B157&lt;'112'!$N$8,$L157='112'!$I$6)),"x",""))</f>
        <v/>
      </c>
      <c r="T157" s="51" t="str">
        <f>IF(ISERROR(FIND('112'!$M$9,G157,1)),"",IF((AND(RIGHT(G157,2)=RIGHT('112'!$M$9,2),B157&lt;'112'!$N$8,$M157='112'!$I$6)),"x",""))</f>
        <v/>
      </c>
      <c r="U157" s="51" t="str">
        <f>IF(AND(L157="154",'154'!$O$5&lt;=B157,'154'!$P$5&gt;=B157),"154",IF(AND(L157="632",'632'!$L$5&lt;=B157,'632'!$M$5&gt;=B157),"632",IF(AND(L157="642",'642'!$N$5&lt;=B157,'642'!$O$5&gt;=B157),"642",IF(AND(L157="641",'641'!$N$5&lt;=B157,'641'!$O$5&gt;=B157),"641",""))))</f>
        <v/>
      </c>
      <c r="V157" s="51" t="str">
        <f>IF(OR(TH!L157=TH!$V$7,M157=TH!$V$7),"x","")</f>
        <v/>
      </c>
      <c r="W157" s="51" t="str">
        <f>IF(AND(B157&gt;='IN-NX'!$P$3,B157&lt;='IN-NX'!$Q$3,'IN-NX'!$D$7=D157,OR(LEFT(L157,2)="15",AND(LEFT(M157,2)&lt;&gt;"15",LEFT(M157,2)&lt;&gt;"33"))),"x","")</f>
        <v/>
      </c>
      <c r="X157" s="51" t="str">
        <f>IF(AND(OR(LEFT(TH!L157,2)="15",LEFT(TH!M157,2)="15"),'152-CT'!$J$8=TH!F157),"x","")</f>
        <v/>
      </c>
      <c r="Y157" s="51" t="str">
        <f>IF(AND(OR(LEFT(TH!L157,2)="15",LEFT(TH!M157,2)="15"),TK!$E$7=TH!F157),"x","")</f>
        <v/>
      </c>
      <c r="Z157" s="51" t="str">
        <f>IF(AND(B157&lt;=NKC!$N$8,B157&gt;=NKC!$M$8),"x","")</f>
        <v/>
      </c>
      <c r="AA157" s="803"/>
      <c r="AC157" s="203"/>
      <c r="AD157" s="203"/>
      <c r="AE157" s="203"/>
    </row>
    <row r="158" spans="1:31" s="565" customFormat="1" ht="15.75" customHeight="1">
      <c r="A158" s="804" t="str">
        <f>IF(B158&lt;&gt;"",IF(AND(B158&gt;=_TM1,B158&lt;=_TM2,OR(TH!L158="1111",TH!M158="1111")),TH!D158,""),"")</f>
        <v/>
      </c>
      <c r="B158" s="36">
        <f t="shared" si="10"/>
        <v>3</v>
      </c>
      <c r="C158" s="189">
        <f t="shared" si="11"/>
        <v>42093</v>
      </c>
      <c r="D158" s="189" t="s">
        <v>1379</v>
      </c>
      <c r="E158" s="189">
        <v>42093</v>
      </c>
      <c r="F158" s="922" t="s">
        <v>460</v>
      </c>
      <c r="G158" s="813" t="s">
        <v>493</v>
      </c>
      <c r="H158" s="191" t="s">
        <v>492</v>
      </c>
      <c r="I158" s="243"/>
      <c r="J158" s="243"/>
      <c r="K158" s="573">
        <v>909087</v>
      </c>
      <c r="L158" s="574" t="s">
        <v>83</v>
      </c>
      <c r="M158" s="574" t="s">
        <v>47</v>
      </c>
      <c r="N158" s="51" t="str">
        <f>IF(AND('331-CT'!$E$7=TH!H158,OR(L158="331",M158="331")),"331",IF(AND(OR(L158="131",M158="131"),H158='131-CT'!$E$7),"131",""))</f>
        <v/>
      </c>
      <c r="O158" s="51" t="str">
        <f>IF(AND($B158&gt;='111'!$N$11,$B158&lt;='111'!$O$11,OR($L158=$O$7,$M158=$O$7)),"x","")</f>
        <v/>
      </c>
      <c r="P158" s="51" t="str">
        <f>IF(AND($L158=$O$7,$B158&lt;'111'!$N$11),"x","")</f>
        <v/>
      </c>
      <c r="Q158" s="51" t="str">
        <f>IF(AND($M158=$O$7,$B158&lt;'111'!$N$11),"x","")</f>
        <v>x</v>
      </c>
      <c r="R158" s="51" t="str">
        <f>IF(ISERROR(FIND('112'!$M$9,G158,1)),"",IF((AND(FIND('112'!$M$9,G158,1)&gt;=1,$B158&gt;='112'!$N$8,$B158&lt;='112'!$O$8,OR($L158='112'!$I$6,$M158='112'!$I$6))),"x",""))</f>
        <v/>
      </c>
      <c r="S158" s="51" t="str">
        <f>IF(ISERROR(FIND('112'!$M$9,G158,1)),"",IF((AND(LEFT(G158,2)=LEFT('112'!$M$9,2),B158&lt;'112'!$N$8,$L158='112'!$I$6)),"x",""))</f>
        <v/>
      </c>
      <c r="T158" s="51" t="str">
        <f>IF(ISERROR(FIND('112'!$M$9,G158,1)),"",IF((AND(RIGHT(G158,2)=RIGHT('112'!$M$9,2),B158&lt;'112'!$N$8,$M158='112'!$I$6)),"x",""))</f>
        <v/>
      </c>
      <c r="U158" s="51" t="str">
        <f>IF(AND(L158="154",'154'!$O$5&lt;=B158,'154'!$P$5&gt;=B158),"154",IF(AND(L158="632",'632'!$L$5&lt;=B158,'632'!$M$5&gt;=B158),"632",IF(AND(L158="642",'642'!$N$5&lt;=B158,'642'!$O$5&gt;=B158),"642",IF(AND(L158="641",'641'!$N$5&lt;=B158,'641'!$O$5&gt;=B158),"641",""))))</f>
        <v/>
      </c>
      <c r="V158" s="51" t="str">
        <f>IF(OR(TH!L158=TH!$V$7,M158=TH!$V$7),"x","")</f>
        <v>x</v>
      </c>
      <c r="W158" s="51" t="str">
        <f>IF(AND(B158&gt;='IN-NX'!$P$3,B158&lt;='IN-NX'!$Q$3,'IN-NX'!$D$7=D158,OR(LEFT(L158,2)="15",AND(LEFT(M158,2)&lt;&gt;"15",LEFT(M158,2)&lt;&gt;"33"))),"x","")</f>
        <v/>
      </c>
      <c r="X158" s="51" t="str">
        <f>IF(AND(OR(LEFT(TH!L158,2)="15",LEFT(TH!M158,2)="15"),'152-CT'!$J$8=TH!F158),"x","")</f>
        <v/>
      </c>
      <c r="Y158" s="51" t="str">
        <f>IF(AND(OR(LEFT(TH!L158,2)="15",LEFT(TH!M158,2)="15"),TK!$E$7=TH!F158),"x","")</f>
        <v/>
      </c>
      <c r="Z158" s="51" t="str">
        <f>IF(AND(B158&lt;=NKC!$N$8,B158&gt;=NKC!$M$8),"x","")</f>
        <v/>
      </c>
      <c r="AA158" s="803"/>
      <c r="AC158" s="203"/>
      <c r="AD158" s="203"/>
      <c r="AE158" s="203"/>
    </row>
    <row r="159" spans="1:31" s="565" customFormat="1" ht="15.75" customHeight="1">
      <c r="A159" s="804" t="str">
        <f>IF(B159&lt;&gt;"",IF(AND(B159&gt;=_TM1,B159&lt;=_TM2,OR(TH!L159="1111",TH!M159="1111")),TH!D159,""),"")</f>
        <v/>
      </c>
      <c r="B159" s="36">
        <f t="shared" si="10"/>
        <v>3</v>
      </c>
      <c r="C159" s="189">
        <f t="shared" si="11"/>
        <v>42093</v>
      </c>
      <c r="D159" s="189" t="s">
        <v>1379</v>
      </c>
      <c r="E159" s="189">
        <v>42093</v>
      </c>
      <c r="F159" s="922" t="s">
        <v>461</v>
      </c>
      <c r="G159" s="813" t="s">
        <v>493</v>
      </c>
      <c r="H159" s="191" t="s">
        <v>492</v>
      </c>
      <c r="I159" s="243"/>
      <c r="J159" s="243"/>
      <c r="K159" s="573">
        <v>90908</v>
      </c>
      <c r="L159" s="574" t="s">
        <v>9</v>
      </c>
      <c r="M159" s="574" t="s">
        <v>47</v>
      </c>
      <c r="N159" s="51" t="str">
        <f>IF(AND('331-CT'!$E$7=TH!H159,OR(L159="331",M159="331")),"331",IF(AND(OR(L159="131",M159="131"),H159='131-CT'!$E$7),"131",""))</f>
        <v/>
      </c>
      <c r="O159" s="51" t="str">
        <f>IF(AND($B159&gt;='111'!$N$11,$B159&lt;='111'!$O$11,OR($L159=$O$7,$M159=$O$7)),"x","")</f>
        <v/>
      </c>
      <c r="P159" s="51" t="str">
        <f>IF(AND($L159=$O$7,$B159&lt;'111'!$N$11),"x","")</f>
        <v/>
      </c>
      <c r="Q159" s="51" t="str">
        <f>IF(AND($M159=$O$7,$B159&lt;'111'!$N$11),"x","")</f>
        <v>x</v>
      </c>
      <c r="R159" s="51" t="str">
        <f>IF(ISERROR(FIND('112'!$M$9,G159,1)),"",IF((AND(FIND('112'!$M$9,G159,1)&gt;=1,$B159&gt;='112'!$N$8,$B159&lt;='112'!$O$8,OR($L159='112'!$I$6,$M159='112'!$I$6))),"x",""))</f>
        <v/>
      </c>
      <c r="S159" s="51" t="str">
        <f>IF(ISERROR(FIND('112'!$M$9,G159,1)),"",IF((AND(LEFT(G159,2)=LEFT('112'!$M$9,2),B159&lt;'112'!$N$8,$L159='112'!$I$6)),"x",""))</f>
        <v/>
      </c>
      <c r="T159" s="51" t="str">
        <f>IF(ISERROR(FIND('112'!$M$9,G159,1)),"",IF((AND(RIGHT(G159,2)=RIGHT('112'!$M$9,2),B159&lt;'112'!$N$8,$M159='112'!$I$6)),"x",""))</f>
        <v/>
      </c>
      <c r="U159" s="51" t="str">
        <f>IF(AND(L159="154",'154'!$O$5&lt;=B159,'154'!$P$5&gt;=B159),"154",IF(AND(L159="632",'632'!$L$5&lt;=B159,'632'!$M$5&gt;=B159),"632",IF(AND(L159="642",'642'!$N$5&lt;=B159,'642'!$O$5&gt;=B159),"642",IF(AND(L159="641",'641'!$N$5&lt;=B159,'641'!$O$5&gt;=B159),"641",""))))</f>
        <v/>
      </c>
      <c r="V159" s="51" t="str">
        <f>IF(OR(TH!L159=TH!$V$7,M159=TH!$V$7),"x","")</f>
        <v/>
      </c>
      <c r="W159" s="51" t="str">
        <f>IF(AND(B159&gt;='IN-NX'!$P$3,B159&lt;='IN-NX'!$Q$3,'IN-NX'!$D$7=D159,OR(LEFT(L159,2)="15",AND(LEFT(M159,2)&lt;&gt;"15",LEFT(M159,2)&lt;&gt;"33"))),"x","")</f>
        <v/>
      </c>
      <c r="X159" s="51" t="str">
        <f>IF(AND(OR(LEFT(TH!L159,2)="15",LEFT(TH!M159,2)="15"),'152-CT'!$J$8=TH!F159),"x","")</f>
        <v/>
      </c>
      <c r="Y159" s="51" t="str">
        <f>IF(AND(OR(LEFT(TH!L159,2)="15",LEFT(TH!M159,2)="15"),TK!$E$7=TH!F159),"x","")</f>
        <v/>
      </c>
      <c r="Z159" s="51" t="str">
        <f>IF(AND(B159&lt;=NKC!$N$8,B159&gt;=NKC!$M$8),"x","")</f>
        <v/>
      </c>
      <c r="AA159" s="803">
        <v>1</v>
      </c>
      <c r="AC159" s="203"/>
      <c r="AD159" s="203"/>
      <c r="AE159" s="203"/>
    </row>
    <row r="160" spans="1:31" s="565" customFormat="1" ht="15.75" customHeight="1">
      <c r="A160" s="804" t="str">
        <f>IF(B160&lt;&gt;"",IF(AND(B160&gt;=_TM1,B160&lt;=_TM2,OR(TH!L160="1111",TH!M160="1111")),TH!D160,""),"")</f>
        <v/>
      </c>
      <c r="B160" s="36">
        <f t="shared" si="10"/>
        <v>3</v>
      </c>
      <c r="C160" s="189">
        <f t="shared" si="11"/>
        <v>42093</v>
      </c>
      <c r="D160" s="189" t="s">
        <v>1376</v>
      </c>
      <c r="E160" s="189">
        <v>42093</v>
      </c>
      <c r="F160" s="922" t="s">
        <v>964</v>
      </c>
      <c r="G160" s="813" t="s">
        <v>982</v>
      </c>
      <c r="H160" s="191" t="s">
        <v>975</v>
      </c>
      <c r="I160" s="243"/>
      <c r="J160" s="243"/>
      <c r="K160" s="573">
        <v>15200000</v>
      </c>
      <c r="L160" s="574" t="s">
        <v>47</v>
      </c>
      <c r="M160" s="574" t="s">
        <v>408</v>
      </c>
      <c r="N160" s="51" t="str">
        <f>IF(AND('331-CT'!$E$7=TH!H160,OR(L160="331",M160="331")),"331",IF(AND(OR(L160="131",M160="131"),H160='131-CT'!$E$7),"131",""))</f>
        <v/>
      </c>
      <c r="O160" s="51" t="str">
        <f>IF(AND($B160&gt;='111'!$N$11,$B160&lt;='111'!$O$11,OR($L160=$O$7,$M160=$O$7)),"x","")</f>
        <v/>
      </c>
      <c r="P160" s="51" t="str">
        <f>IF(AND($L160=$O$7,$B160&lt;'111'!$N$11),"x","")</f>
        <v>x</v>
      </c>
      <c r="Q160" s="51" t="str">
        <f>IF(AND($M160=$O$7,$B160&lt;'111'!$N$11),"x","")</f>
        <v/>
      </c>
      <c r="R160" s="51" t="str">
        <f>IF(ISERROR(FIND('112'!$M$9,G160,1)),"",IF((AND(FIND('112'!$M$9,G160,1)&gt;=1,$B160&gt;='112'!$N$8,$B160&lt;='112'!$O$8,OR($L160='112'!$I$6,$M160='112'!$I$6))),"x",""))</f>
        <v/>
      </c>
      <c r="S160" s="51" t="str">
        <f>IF(ISERROR(FIND('112'!$M$9,G160,1)),"",IF((AND(LEFT(G160,2)=LEFT('112'!$M$9,2),B160&lt;'112'!$N$8,$L160='112'!$I$6)),"x",""))</f>
        <v/>
      </c>
      <c r="T160" s="51" t="str">
        <f>IF(ISERROR(FIND('112'!$M$9,G160,1)),"",IF((AND(RIGHT(G160,2)=RIGHT('112'!$M$9,2),B160&lt;'112'!$N$8,$M160='112'!$I$6)),"x",""))</f>
        <v/>
      </c>
      <c r="U160" s="51" t="str">
        <f>IF(AND(L160="154",'154'!$O$5&lt;=B160,'154'!$P$5&gt;=B160),"154",IF(AND(L160="632",'632'!$L$5&lt;=B160,'632'!$M$5&gt;=B160),"632",IF(AND(L160="642",'642'!$N$5&lt;=B160,'642'!$O$5&gt;=B160),"642",IF(AND(L160="641",'641'!$N$5&lt;=B160,'641'!$O$5&gt;=B160),"641",""))))</f>
        <v/>
      </c>
      <c r="V160" s="51" t="str">
        <f>IF(OR(TH!L160=TH!$V$7,M160=TH!$V$7),"x","")</f>
        <v/>
      </c>
      <c r="W160" s="51" t="str">
        <f>IF(AND(B160&gt;='IN-NX'!$P$3,B160&lt;='IN-NX'!$Q$3,'IN-NX'!$D$7=D160,OR(LEFT(L160,2)="15",AND(LEFT(M160,2)&lt;&gt;"15",LEFT(M160,2)&lt;&gt;"33"))),"x","")</f>
        <v/>
      </c>
      <c r="X160" s="51" t="str">
        <f>IF(AND(OR(LEFT(TH!L160,2)="15",LEFT(TH!M160,2)="15"),'152-CT'!$J$8=TH!F160),"x","")</f>
        <v/>
      </c>
      <c r="Y160" s="51" t="str">
        <f>IF(AND(OR(LEFT(TH!L160,2)="15",LEFT(TH!M160,2)="15"),TK!$E$7=TH!F160),"x","")</f>
        <v/>
      </c>
      <c r="Z160" s="51" t="str">
        <f>IF(AND(B160&lt;=NKC!$N$8,B160&gt;=NKC!$M$8),"x","")</f>
        <v/>
      </c>
      <c r="AA160" s="803"/>
      <c r="AC160" s="203"/>
      <c r="AD160" s="203"/>
      <c r="AE160" s="203"/>
    </row>
    <row r="161" spans="1:31" s="565" customFormat="1" ht="15.75" customHeight="1">
      <c r="A161" s="804" t="str">
        <f>IF(B161&lt;&gt;"",IF(AND(B161&gt;=_TM1,B161&lt;=_TM2,OR(TH!L161="1111",TH!M161="1111")),TH!D161,""),"")</f>
        <v/>
      </c>
      <c r="B161" s="36">
        <f t="shared" si="10"/>
        <v>3</v>
      </c>
      <c r="C161" s="189">
        <f t="shared" si="11"/>
        <v>42093</v>
      </c>
      <c r="D161" s="189" t="s">
        <v>1376</v>
      </c>
      <c r="E161" s="189">
        <v>42093</v>
      </c>
      <c r="F161" s="190" t="s">
        <v>1110</v>
      </c>
      <c r="G161" s="813" t="s">
        <v>982</v>
      </c>
      <c r="H161" s="191" t="s">
        <v>975</v>
      </c>
      <c r="I161" s="243"/>
      <c r="J161" s="243"/>
      <c r="K161" s="573">
        <v>1520000</v>
      </c>
      <c r="L161" s="574" t="s">
        <v>47</v>
      </c>
      <c r="M161" s="574" t="s">
        <v>352</v>
      </c>
      <c r="N161" s="51" t="str">
        <f>IF(AND('331-CT'!$E$7=TH!H161,OR(L161="331",M161="331")),"331",IF(AND(OR(L161="131",M161="131"),H161='131-CT'!$E$7),"131",""))</f>
        <v/>
      </c>
      <c r="O161" s="51" t="str">
        <f>IF(AND($B161&gt;='111'!$N$11,$B161&lt;='111'!$O$11,OR($L161=$O$7,$M161=$O$7)),"x","")</f>
        <v/>
      </c>
      <c r="P161" s="51" t="str">
        <f>IF(AND($L161=$O$7,$B161&lt;'111'!$N$11),"x","")</f>
        <v>x</v>
      </c>
      <c r="Q161" s="51" t="str">
        <f>IF(AND($M161=$O$7,$B161&lt;'111'!$N$11),"x","")</f>
        <v/>
      </c>
      <c r="R161" s="51" t="str">
        <f>IF(ISERROR(FIND('112'!$M$9,G161,1)),"",IF((AND(FIND('112'!$M$9,G161,1)&gt;=1,$B161&gt;='112'!$N$8,$B161&lt;='112'!$O$8,OR($L161='112'!$I$6,$M161='112'!$I$6))),"x",""))</f>
        <v/>
      </c>
      <c r="S161" s="51" t="str">
        <f>IF(ISERROR(FIND('112'!$M$9,G161,1)),"",IF((AND(LEFT(G161,2)=LEFT('112'!$M$9,2),B161&lt;'112'!$N$8,$L161='112'!$I$6)),"x",""))</f>
        <v/>
      </c>
      <c r="T161" s="51" t="str">
        <f>IF(ISERROR(FIND('112'!$M$9,G161,1)),"",IF((AND(RIGHT(G161,2)=RIGHT('112'!$M$9,2),B161&lt;'112'!$N$8,$M161='112'!$I$6)),"x",""))</f>
        <v/>
      </c>
      <c r="U161" s="51" t="str">
        <f>IF(AND(L161="154",'154'!$O$5&lt;=B161,'154'!$P$5&gt;=B161),"154",IF(AND(L161="632",'632'!$L$5&lt;=B161,'632'!$M$5&gt;=B161),"632",IF(AND(L161="642",'642'!$N$5&lt;=B161,'642'!$O$5&gt;=B161),"642",IF(AND(L161="641",'641'!$N$5&lt;=B161,'641'!$O$5&gt;=B161),"641",""))))</f>
        <v/>
      </c>
      <c r="V161" s="51" t="str">
        <f>IF(OR(TH!L161=TH!$V$7,M161=TH!$V$7),"x","")</f>
        <v/>
      </c>
      <c r="W161" s="51" t="str">
        <f>IF(AND(B161&gt;='IN-NX'!$P$3,B161&lt;='IN-NX'!$Q$3,'IN-NX'!$D$7=D161,OR(LEFT(L161,2)="15",AND(LEFT(M161,2)&lt;&gt;"15",LEFT(M161,2)&lt;&gt;"33"))),"x","")</f>
        <v/>
      </c>
      <c r="X161" s="51" t="str">
        <f>IF(AND(OR(LEFT(TH!L161,2)="15",LEFT(TH!M161,2)="15"),'152-CT'!$J$8=TH!F161),"x","")</f>
        <v/>
      </c>
      <c r="Y161" s="51" t="str">
        <f>IF(AND(OR(LEFT(TH!L161,2)="15",LEFT(TH!M161,2)="15"),TK!$E$7=TH!F161),"x","")</f>
        <v/>
      </c>
      <c r="Z161" s="51" t="str">
        <f>IF(AND(B161&lt;=NKC!$N$8,B161&gt;=NKC!$M$8),"x","")</f>
        <v/>
      </c>
      <c r="AA161" s="803"/>
      <c r="AC161" s="203"/>
      <c r="AD161" s="203"/>
      <c r="AE161" s="203"/>
    </row>
    <row r="162" spans="1:31" s="565" customFormat="1" ht="15.75" customHeight="1">
      <c r="A162" s="804" t="str">
        <f>IF(B162&lt;&gt;"",IF(AND(B162&gt;=_TM1,B162&lt;=_TM2,OR(TH!L162="1111",TH!M162="1111")),TH!D162,""),"")</f>
        <v/>
      </c>
      <c r="B162" s="36">
        <f t="shared" si="10"/>
        <v>3</v>
      </c>
      <c r="C162" s="189">
        <f t="shared" si="11"/>
        <v>42093</v>
      </c>
      <c r="D162" s="189" t="s">
        <v>1300</v>
      </c>
      <c r="E162" s="189">
        <v>42093</v>
      </c>
      <c r="F162" s="190" t="s">
        <v>497</v>
      </c>
      <c r="G162" s="813" t="s">
        <v>983</v>
      </c>
      <c r="H162" s="191" t="s">
        <v>441</v>
      </c>
      <c r="I162" s="243">
        <v>400</v>
      </c>
      <c r="J162" s="243">
        <v>45000</v>
      </c>
      <c r="K162" s="573">
        <f>ROUND(I162*J162,0)</f>
        <v>18000000</v>
      </c>
      <c r="L162" s="574" t="s">
        <v>250</v>
      </c>
      <c r="M162" s="574" t="s">
        <v>164</v>
      </c>
      <c r="N162" s="51" t="str">
        <f>IF(AND('331-CT'!$E$7=TH!H162,OR(L162="331",M162="331")),"331",IF(AND(OR(L162="131",M162="131"),H162='131-CT'!$E$7),"131",""))</f>
        <v/>
      </c>
      <c r="O162" s="51" t="str">
        <f>IF(AND($B162&gt;='111'!$N$11,$B162&lt;='111'!$O$11,OR($L162=$O$7,$M162=$O$7)),"x","")</f>
        <v/>
      </c>
      <c r="P162" s="51" t="str">
        <f>IF(AND($L162=$O$7,$B162&lt;'111'!$N$11),"x","")</f>
        <v/>
      </c>
      <c r="Q162" s="51" t="str">
        <f>IF(AND($M162=$O$7,$B162&lt;'111'!$N$11),"x","")</f>
        <v/>
      </c>
      <c r="R162" s="51" t="str">
        <f>IF(ISERROR(FIND('112'!$M$9,G162,1)),"",IF((AND(FIND('112'!$M$9,G162,1)&gt;=1,$B162&gt;='112'!$N$8,$B162&lt;='112'!$O$8,OR($L162='112'!$I$6,$M162='112'!$I$6))),"x",""))</f>
        <v/>
      </c>
      <c r="S162" s="51" t="str">
        <f>IF(ISERROR(FIND('112'!$M$9,G162,1)),"",IF((AND(LEFT(G162,2)=LEFT('112'!$M$9,2),B162&lt;'112'!$N$8,$L162='112'!$I$6)),"x",""))</f>
        <v/>
      </c>
      <c r="T162" s="51" t="str">
        <f>IF(ISERROR(FIND('112'!$M$9,G162,1)),"",IF((AND(RIGHT(G162,2)=RIGHT('112'!$M$9,2),B162&lt;'112'!$N$8,$M162='112'!$I$6)),"x",""))</f>
        <v/>
      </c>
      <c r="U162" s="51" t="str">
        <f>IF(AND(L162="154",'154'!$O$5&lt;=B162,'154'!$P$5&gt;=B162),"154",IF(AND(L162="632",'632'!$L$5&lt;=B162,'632'!$M$5&gt;=B162),"632",IF(AND(L162="642",'642'!$N$5&lt;=B162,'642'!$O$5&gt;=B162),"642",IF(AND(L162="641",'641'!$N$5&lt;=B162,'641'!$O$5&gt;=B162),"641",""))))</f>
        <v/>
      </c>
      <c r="V162" s="51" t="str">
        <f>IF(OR(TH!L162=TH!$V$7,M162=TH!$V$7),"x","")</f>
        <v/>
      </c>
      <c r="W162" s="51" t="str">
        <f>IF(AND(B162&gt;='IN-NX'!$P$3,B162&lt;='IN-NX'!$Q$3,'IN-NX'!$D$7=D162,OR(LEFT(L162,2)="15",AND(LEFT(M162,2)&lt;&gt;"15",LEFT(M162,2)&lt;&gt;"33"))),"x","")</f>
        <v/>
      </c>
      <c r="X162" s="51" t="str">
        <f>IF(AND(OR(LEFT(TH!L162,2)="15",LEFT(TH!M162,2)="15"),'152-CT'!$J$8=TH!F162),"x","")</f>
        <v/>
      </c>
      <c r="Y162" s="51" t="str">
        <f>IF(AND(OR(LEFT(TH!L162,2)="15",LEFT(TH!M162,2)="15"),TK!$E$7=TH!F162),"x","")</f>
        <v/>
      </c>
      <c r="Z162" s="51" t="str">
        <f>IF(AND(B162&lt;=NKC!$N$8,B162&gt;=NKC!$M$8),"x","")</f>
        <v/>
      </c>
      <c r="AA162" s="803"/>
      <c r="AC162" s="203"/>
      <c r="AD162" s="203"/>
      <c r="AE162" s="203"/>
    </row>
    <row r="163" spans="1:31" s="565" customFormat="1" ht="15.75" customHeight="1">
      <c r="A163" s="804" t="str">
        <f>IF(B163&lt;&gt;"",IF(AND(B163&gt;=_TM1,B163&lt;=_TM2,OR(TH!L163="1111",TH!M163="1111")),TH!D163,""),"")</f>
        <v/>
      </c>
      <c r="B163" s="36">
        <f t="shared" si="10"/>
        <v>3</v>
      </c>
      <c r="C163" s="189">
        <f t="shared" si="11"/>
        <v>42093</v>
      </c>
      <c r="D163" s="189" t="s">
        <v>1300</v>
      </c>
      <c r="E163" s="189">
        <v>42093</v>
      </c>
      <c r="F163" s="926" t="s">
        <v>962</v>
      </c>
      <c r="G163" s="813" t="s">
        <v>983</v>
      </c>
      <c r="H163" s="191" t="s">
        <v>441</v>
      </c>
      <c r="I163" s="243"/>
      <c r="J163" s="243"/>
      <c r="K163" s="573">
        <v>1800000</v>
      </c>
      <c r="L163" s="574" t="s">
        <v>250</v>
      </c>
      <c r="M163" s="574" t="s">
        <v>352</v>
      </c>
      <c r="N163" s="51" t="str">
        <f>IF(AND('331-CT'!$E$7=TH!H163,OR(L163="331",M163="331")),"331",IF(AND(OR(L163="131",M163="131"),H163='131-CT'!$E$7),"131",""))</f>
        <v/>
      </c>
      <c r="O163" s="51" t="str">
        <f>IF(AND($B163&gt;='111'!$N$11,$B163&lt;='111'!$O$11,OR($L163=$O$7,$M163=$O$7)),"x","")</f>
        <v/>
      </c>
      <c r="P163" s="51" t="str">
        <f>IF(AND($L163=$O$7,$B163&lt;'111'!$N$11),"x","")</f>
        <v/>
      </c>
      <c r="Q163" s="51" t="str">
        <f>IF(AND($M163=$O$7,$B163&lt;'111'!$N$11),"x","")</f>
        <v/>
      </c>
      <c r="R163" s="51" t="str">
        <f>IF(ISERROR(FIND('112'!$M$9,G163,1)),"",IF((AND(FIND('112'!$M$9,G163,1)&gt;=1,$B163&gt;='112'!$N$8,$B163&lt;='112'!$O$8,OR($L163='112'!$I$6,$M163='112'!$I$6))),"x",""))</f>
        <v/>
      </c>
      <c r="S163" s="51" t="str">
        <f>IF(ISERROR(FIND('112'!$M$9,G163,1)),"",IF((AND(LEFT(G163,2)=LEFT('112'!$M$9,2),B163&lt;'112'!$N$8,$L163='112'!$I$6)),"x",""))</f>
        <v/>
      </c>
      <c r="T163" s="51" t="str">
        <f>IF(ISERROR(FIND('112'!$M$9,G163,1)),"",IF((AND(RIGHT(G163,2)=RIGHT('112'!$M$9,2),B163&lt;'112'!$N$8,$M163='112'!$I$6)),"x",""))</f>
        <v/>
      </c>
      <c r="U163" s="51" t="str">
        <f>IF(AND(L163="154",'154'!$O$5&lt;=B163,'154'!$P$5&gt;=B163),"154",IF(AND(L163="632",'632'!$L$5&lt;=B163,'632'!$M$5&gt;=B163),"632",IF(AND(L163="642",'642'!$N$5&lt;=B163,'642'!$O$5&gt;=B163),"642",IF(AND(L163="641",'641'!$N$5&lt;=B163,'641'!$O$5&gt;=B163),"641",""))))</f>
        <v/>
      </c>
      <c r="V163" s="51" t="str">
        <f>IF(OR(TH!L163=TH!$V$7,M163=TH!$V$7),"x","")</f>
        <v/>
      </c>
      <c r="W163" s="51" t="str">
        <f>IF(AND(B163&gt;='IN-NX'!$P$3,B163&lt;='IN-NX'!$Q$3,'IN-NX'!$D$7=D163,OR(LEFT(L163,2)="15",AND(LEFT(M163,2)&lt;&gt;"15",LEFT(M163,2)&lt;&gt;"33"))),"x","")</f>
        <v/>
      </c>
      <c r="X163" s="51" t="str">
        <f>IF(AND(OR(LEFT(TH!L163,2)="15",LEFT(TH!M163,2)="15"),'152-CT'!$J$8=TH!F163),"x","")</f>
        <v/>
      </c>
      <c r="Y163" s="51" t="str">
        <f>IF(AND(OR(LEFT(TH!L163,2)="15",LEFT(TH!M163,2)="15"),TK!$E$7=TH!F163),"x","")</f>
        <v/>
      </c>
      <c r="Z163" s="51" t="str">
        <f>IF(AND(B163&lt;=NKC!$N$8,B163&gt;=NKC!$M$8),"x","")</f>
        <v/>
      </c>
      <c r="AA163" s="803"/>
      <c r="AE163" s="203"/>
    </row>
    <row r="164" spans="1:31" ht="15.75" customHeight="1">
      <c r="A164" s="804" t="str">
        <f>IF(B164&lt;&gt;"",IF(AND(B164&gt;=_TM1,B164&lt;=_TM2,OR(TH!L164="1111",TH!M164="1111")),TH!D164,""),"")</f>
        <v/>
      </c>
      <c r="B164" s="36">
        <f t="shared" si="10"/>
        <v>3</v>
      </c>
      <c r="C164" s="189">
        <f t="shared" si="11"/>
        <v>42093</v>
      </c>
      <c r="D164" s="189" t="s">
        <v>1377</v>
      </c>
      <c r="E164" s="189">
        <v>42093</v>
      </c>
      <c r="F164" s="926" t="s">
        <v>423</v>
      </c>
      <c r="G164" s="813" t="s">
        <v>983</v>
      </c>
      <c r="H164" s="191" t="s">
        <v>441</v>
      </c>
      <c r="I164" s="243"/>
      <c r="J164" s="243"/>
      <c r="K164" s="573">
        <v>19800000</v>
      </c>
      <c r="L164" s="574" t="s">
        <v>47</v>
      </c>
      <c r="M164" s="574" t="s">
        <v>250</v>
      </c>
      <c r="N164" s="51" t="str">
        <f>IF(AND('331-CT'!$E$7=TH!H164,OR(L164="331",M164="331")),"331",IF(AND(OR(L164="131",M164="131"),H164='131-CT'!$E$7),"131",""))</f>
        <v/>
      </c>
      <c r="O164" s="51" t="str">
        <f>IF(AND($B164&gt;='111'!$N$11,$B164&lt;='111'!$O$11,OR($L164=$O$7,$M164=$O$7)),"x","")</f>
        <v/>
      </c>
      <c r="P164" s="51" t="str">
        <f>IF(AND($L164=$O$7,$B164&lt;'111'!$N$11),"x","")</f>
        <v>x</v>
      </c>
      <c r="Q164" s="51" t="str">
        <f>IF(AND($M164=$O$7,$B164&lt;'111'!$N$11),"x","")</f>
        <v/>
      </c>
      <c r="R164" s="51" t="str">
        <f>IF(ISERROR(FIND('112'!$M$9,G164,1)),"",IF((AND(FIND('112'!$M$9,G164,1)&gt;=1,$B164&gt;='112'!$N$8,$B164&lt;='112'!$O$8,OR($L164='112'!$I$6,$M164='112'!$I$6))),"x",""))</f>
        <v/>
      </c>
      <c r="S164" s="51" t="str">
        <f>IF(ISERROR(FIND('112'!$M$9,G164,1)),"",IF((AND(LEFT(G164,2)=LEFT('112'!$M$9,2),B164&lt;'112'!$N$8,$L164='112'!$I$6)),"x",""))</f>
        <v/>
      </c>
      <c r="T164" s="51" t="str">
        <f>IF(ISERROR(FIND('112'!$M$9,G164,1)),"",IF((AND(RIGHT(G164,2)=RIGHT('112'!$M$9,2),B164&lt;'112'!$N$8,$M164='112'!$I$6)),"x",""))</f>
        <v/>
      </c>
      <c r="U164" s="51" t="str">
        <f>IF(AND(L164="154",'154'!$O$5&lt;=B164,'154'!$P$5&gt;=B164),"154",IF(AND(L164="632",'632'!$L$5&lt;=B164,'632'!$M$5&gt;=B164),"632",IF(AND(L164="642",'642'!$N$5&lt;=B164,'642'!$O$5&gt;=B164),"642",IF(AND(L164="641",'641'!$N$5&lt;=B164,'641'!$O$5&gt;=B164),"641",""))))</f>
        <v/>
      </c>
      <c r="V164" s="51" t="str">
        <f>IF(OR(TH!L164=TH!$V$7,M164=TH!$V$7),"x","")</f>
        <v/>
      </c>
      <c r="W164" s="51" t="str">
        <f>IF(AND(B164&gt;='IN-NX'!$P$3,B164&lt;='IN-NX'!$Q$3,'IN-NX'!$D$7=D164,OR(LEFT(L164,2)="15",AND(LEFT(M164,2)&lt;&gt;"15",LEFT(M164,2)&lt;&gt;"33"))),"x","")</f>
        <v/>
      </c>
      <c r="X164" s="51" t="str">
        <f>IF(AND(OR(LEFT(TH!L164,2)="15",LEFT(TH!M164,2)="15"),'152-CT'!$J$8=TH!F164),"x","")</f>
        <v/>
      </c>
      <c r="Y164" s="51" t="str">
        <f>IF(AND(OR(LEFT(TH!L164,2)="15",LEFT(TH!M164,2)="15"),TK!$E$7=TH!F164),"x","")</f>
        <v/>
      </c>
      <c r="Z164" s="51" t="str">
        <f>IF(AND(B164&lt;=NKC!$N$8,B164&gt;=NKC!$M$8),"x","")</f>
        <v/>
      </c>
      <c r="AA164" s="803"/>
      <c r="AB164" s="565"/>
      <c r="AC164" s="565"/>
      <c r="AD164" s="565"/>
    </row>
    <row r="165" spans="1:31" ht="15.75" customHeight="1">
      <c r="A165" s="804" t="str">
        <f>IF(B165&lt;&gt;"",IF(AND(B165&gt;=_TM1,B165&lt;=_TM2,OR(TH!L165="1111",TH!M165="1111")),TH!D165,""),"")</f>
        <v/>
      </c>
      <c r="B165" s="36">
        <f t="shared" si="10"/>
        <v>3</v>
      </c>
      <c r="C165" s="853">
        <f t="shared" si="11"/>
        <v>42094</v>
      </c>
      <c r="D165" s="853" t="s">
        <v>319</v>
      </c>
      <c r="E165" s="853">
        <v>42094</v>
      </c>
      <c r="F165" s="854" t="s">
        <v>1262</v>
      </c>
      <c r="G165" s="855"/>
      <c r="H165" s="856"/>
      <c r="I165" s="857"/>
      <c r="J165" s="857"/>
      <c r="K165" s="858">
        <v>11680000</v>
      </c>
      <c r="L165" s="859" t="s">
        <v>83</v>
      </c>
      <c r="M165" s="859" t="s">
        <v>252</v>
      </c>
      <c r="N165" s="51" t="str">
        <f>IF(AND('331-CT'!$E$7=TH!H165,OR(L165="331",M165="331")),"331",IF(AND(OR(L165="131",M165="131"),H165='131-CT'!$E$7),"131",""))</f>
        <v/>
      </c>
      <c r="O165" s="51" t="str">
        <f>IF(AND($B165&gt;='111'!$N$11,$B165&lt;='111'!$O$11,OR($L165=$O$7,$M165=$O$7)),"x","")</f>
        <v/>
      </c>
      <c r="P165" s="51" t="str">
        <f>IF(AND($L165=$O$7,$B165&lt;'111'!$N$11),"x","")</f>
        <v/>
      </c>
      <c r="Q165" s="51" t="str">
        <f>IF(AND($M165=$O$7,$B165&lt;'111'!$N$11),"x","")</f>
        <v/>
      </c>
      <c r="R165" s="51" t="str">
        <f>IF(ISERROR(FIND('112'!$M$9,G165,1)),"",IF((AND(FIND('112'!$M$9,G165,1)&gt;=1,$B165&gt;='112'!$N$8,$B165&lt;='112'!$O$8,OR($L165='112'!$I$6,$M165='112'!$I$6))),"x",""))</f>
        <v/>
      </c>
      <c r="S165" s="51" t="str">
        <f>IF(ISERROR(FIND('112'!$M$9,G165,1)),"",IF((AND(LEFT(G165,2)=LEFT('112'!$M$9,2),B165&lt;'112'!$N$8,$L165='112'!$I$6)),"x",""))</f>
        <v/>
      </c>
      <c r="T165" s="51" t="str">
        <f>IF(ISERROR(FIND('112'!$M$9,G165,1)),"",IF((AND(RIGHT(G165,2)=RIGHT('112'!$M$9,2),B165&lt;'112'!$N$8,$M165='112'!$I$6)),"x",""))</f>
        <v/>
      </c>
      <c r="U165" s="51" t="str">
        <f>IF(AND(L165="154",'154'!$O$5&lt;=B165,'154'!$P$5&gt;=B165),"154",IF(AND(L165="632",'632'!$L$5&lt;=B165,'632'!$M$5&gt;=B165),"632",IF(AND(L165="642",'642'!$N$5&lt;=B165,'642'!$O$5&gt;=B165),"642",IF(AND(L165="641",'641'!$N$5&lt;=B165,'641'!$O$5&gt;=B165),"641",""))))</f>
        <v/>
      </c>
      <c r="V165" s="51" t="str">
        <f>IF(OR(TH!L165=TH!$V$7,M165=TH!$V$7),"x","")</f>
        <v>x</v>
      </c>
      <c r="W165" s="51" t="str">
        <f>IF(AND(B165&gt;='IN-NX'!$P$3,B165&lt;='IN-NX'!$Q$3,'IN-NX'!$D$7=D165,OR(LEFT(L165,2)="15",AND(LEFT(M165,2)&lt;&gt;"15",LEFT(M165,2)&lt;&gt;"33"))),"x","")</f>
        <v/>
      </c>
      <c r="X165" s="51" t="str">
        <f>IF(AND(OR(LEFT(TH!L165,2)="15",LEFT(TH!M165,2)="15"),'152-CT'!$J$8=TH!F165),"x","")</f>
        <v/>
      </c>
      <c r="Y165" s="51" t="str">
        <f>IF(AND(OR(LEFT(TH!L165,2)="15",LEFT(TH!M165,2)="15"),TK!$E$7=TH!F165),"x","")</f>
        <v/>
      </c>
      <c r="Z165" s="51" t="str">
        <f>IF(AND(B165&lt;=NKC!$N$8,B165&gt;=NKC!$M$8),"x","")</f>
        <v/>
      </c>
      <c r="AA165" s="860"/>
      <c r="AB165" s="565"/>
      <c r="AE165" s="565"/>
    </row>
    <row r="166" spans="1:31" ht="15.75" customHeight="1">
      <c r="A166" s="804" t="str">
        <f>IF(B166&lt;&gt;"",IF(AND(B166&gt;=_TM1,B166&lt;=_TM2,OR(TH!L166="1111",TH!M166="1111")),TH!D166,""),"")</f>
        <v/>
      </c>
      <c r="B166" s="36">
        <f t="shared" si="10"/>
        <v>3</v>
      </c>
      <c r="C166" s="853">
        <f t="shared" si="11"/>
        <v>42094</v>
      </c>
      <c r="D166" s="853" t="s">
        <v>319</v>
      </c>
      <c r="E166" s="853">
        <v>42094</v>
      </c>
      <c r="F166" s="854" t="s">
        <v>1263</v>
      </c>
      <c r="G166" s="855"/>
      <c r="H166" s="856"/>
      <c r="I166" s="857"/>
      <c r="J166" s="857"/>
      <c r="K166" s="858">
        <v>3020000</v>
      </c>
      <c r="L166" s="859" t="s">
        <v>160</v>
      </c>
      <c r="M166" s="859" t="s">
        <v>252</v>
      </c>
      <c r="N166" s="51" t="str">
        <f>IF(AND('331-CT'!$E$7=TH!H166,OR(L166="331",M166="331")),"331",IF(AND(OR(L166="131",M166="131"),H166='131-CT'!$E$7),"131",""))</f>
        <v/>
      </c>
      <c r="O166" s="51" t="str">
        <f>IF(AND($B166&gt;='111'!$N$11,$B166&lt;='111'!$O$11,OR($L166=$O$7,$M166=$O$7)),"x","")</f>
        <v/>
      </c>
      <c r="P166" s="51" t="str">
        <f>IF(AND($L166=$O$7,$B166&lt;'111'!$N$11),"x","")</f>
        <v/>
      </c>
      <c r="Q166" s="51" t="str">
        <f>IF(AND($M166=$O$7,$B166&lt;'111'!$N$11),"x","")</f>
        <v/>
      </c>
      <c r="R166" s="51" t="str">
        <f>IF(ISERROR(FIND('112'!$M$9,G166,1)),"",IF((AND(FIND('112'!$M$9,G166,1)&gt;=1,$B166&gt;='112'!$N$8,$B166&lt;='112'!$O$8,OR($L166='112'!$I$6,$M166='112'!$I$6))),"x",""))</f>
        <v/>
      </c>
      <c r="S166" s="51" t="str">
        <f>IF(ISERROR(FIND('112'!$M$9,G166,1)),"",IF((AND(LEFT(G166,2)=LEFT('112'!$M$9,2),B166&lt;'112'!$N$8,$L166='112'!$I$6)),"x",""))</f>
        <v/>
      </c>
      <c r="T166" s="51" t="str">
        <f>IF(ISERROR(FIND('112'!$M$9,G166,1)),"",IF((AND(RIGHT(G166,2)=RIGHT('112'!$M$9,2),B166&lt;'112'!$N$8,$M166='112'!$I$6)),"x",""))</f>
        <v/>
      </c>
      <c r="U166" s="51" t="str">
        <f>IF(AND(L166="154",'154'!$O$5&lt;=B166,'154'!$P$5&gt;=B166),"154",IF(AND(L166="632",'632'!$L$5&lt;=B166,'632'!$M$5&gt;=B166),"632",IF(AND(L166="642",'642'!$N$5&lt;=B166,'642'!$O$5&gt;=B166),"642",IF(AND(L166="641",'641'!$N$5&lt;=B166,'641'!$O$5&gt;=B166),"641",""))))</f>
        <v/>
      </c>
      <c r="V166" s="51" t="str">
        <f>IF(OR(TH!L166=TH!$V$7,M166=TH!$V$7),"x","")</f>
        <v/>
      </c>
      <c r="W166" s="51" t="str">
        <f>IF(AND(B166&gt;='IN-NX'!$P$3,B166&lt;='IN-NX'!$Q$3,'IN-NX'!$D$7=D166,OR(LEFT(L166,2)="15",AND(LEFT(M166,2)&lt;&gt;"15",LEFT(M166,2)&lt;&gt;"33"))),"x","")</f>
        <v/>
      </c>
      <c r="X166" s="51" t="str">
        <f>IF(AND(OR(LEFT(TH!L166,2)="15",LEFT(TH!M166,2)="15"),'152-CT'!$J$8=TH!F166),"x","")</f>
        <v/>
      </c>
      <c r="Y166" s="51" t="str">
        <f>IF(AND(OR(LEFT(TH!L166,2)="15",LEFT(TH!M166,2)="15"),TK!$E$7=TH!F166),"x","")</f>
        <v/>
      </c>
      <c r="Z166" s="51" t="str">
        <f>IF(AND(B166&lt;=NKC!$N$8,B166&gt;=NKC!$M$8),"x","")</f>
        <v/>
      </c>
      <c r="AA166" s="860"/>
      <c r="AB166" s="565"/>
      <c r="AE166" s="565"/>
    </row>
    <row r="167" spans="1:31" ht="15.75" customHeight="1">
      <c r="A167" s="804" t="str">
        <f>IF(B167&lt;&gt;"",IF(AND(B167&gt;=_TM1,B167&lt;=_TM2,OR(TH!L167="1111",TH!M167="1111")),TH!D167,""),"")</f>
        <v/>
      </c>
      <c r="B167" s="36">
        <f t="shared" si="10"/>
        <v>3</v>
      </c>
      <c r="C167" s="853">
        <f t="shared" si="11"/>
        <v>42094</v>
      </c>
      <c r="D167" s="861" t="s">
        <v>1380</v>
      </c>
      <c r="E167" s="853">
        <v>42094</v>
      </c>
      <c r="F167" s="854" t="s">
        <v>1275</v>
      </c>
      <c r="G167" s="855"/>
      <c r="H167" s="7" t="s">
        <v>437</v>
      </c>
      <c r="I167" s="857"/>
      <c r="J167" s="857"/>
      <c r="K167" s="858">
        <f>K165+K166</f>
        <v>14700000</v>
      </c>
      <c r="L167" s="859" t="s">
        <v>252</v>
      </c>
      <c r="M167" s="859" t="s">
        <v>47</v>
      </c>
      <c r="N167" s="51" t="str">
        <f>IF(AND('331-CT'!$E$7=TH!H167,OR(L167="331",M167="331")),"331",IF(AND(OR(L167="131",M167="131"),H167='131-CT'!$E$7),"131",""))</f>
        <v/>
      </c>
      <c r="O167" s="51" t="str">
        <f>IF(AND($B167&gt;='111'!$N$11,$B167&lt;='111'!$O$11,OR($L167=$O$7,$M167=$O$7)),"x","")</f>
        <v/>
      </c>
      <c r="P167" s="51" t="str">
        <f>IF(AND($L167=$O$7,$B167&lt;'111'!$N$11),"x","")</f>
        <v/>
      </c>
      <c r="Q167" s="51" t="str">
        <f>IF(AND($M167=$O$7,$B167&lt;'111'!$N$11),"x","")</f>
        <v>x</v>
      </c>
      <c r="R167" s="51" t="str">
        <f>IF(ISERROR(FIND('112'!$M$9,G167,1)),"",IF((AND(FIND('112'!$M$9,G167,1)&gt;=1,$B167&gt;='112'!$N$8,$B167&lt;='112'!$O$8,OR($L167='112'!$I$6,$M167='112'!$I$6))),"x",""))</f>
        <v/>
      </c>
      <c r="S167" s="51" t="str">
        <f>IF(ISERROR(FIND('112'!$M$9,G167,1)),"",IF((AND(LEFT(G167,2)=LEFT('112'!$M$9,2),B167&lt;'112'!$N$8,$L167='112'!$I$6)),"x",""))</f>
        <v/>
      </c>
      <c r="T167" s="51" t="str">
        <f>IF(ISERROR(FIND('112'!$M$9,G167,1)),"",IF((AND(RIGHT(G167,2)=RIGHT('112'!$M$9,2),B167&lt;'112'!$N$8,$M167='112'!$I$6)),"x",""))</f>
        <v/>
      </c>
      <c r="U167" s="51" t="str">
        <f>IF(AND(L167="154",'154'!$O$5&lt;=B167,'154'!$P$5&gt;=B167),"154",IF(AND(L167="632",'632'!$L$5&lt;=B167,'632'!$M$5&gt;=B167),"632",IF(AND(L167="642",'642'!$N$5&lt;=B167,'642'!$O$5&gt;=B167),"642",IF(AND(L167="641",'641'!$N$5&lt;=B167,'641'!$O$5&gt;=B167),"641",""))))</f>
        <v/>
      </c>
      <c r="V167" s="51" t="str">
        <f>IF(OR(TH!L167=TH!$V$7,M167=TH!$V$7),"x","")</f>
        <v/>
      </c>
      <c r="W167" s="51" t="str">
        <f>IF(AND(B167&gt;='IN-NX'!$P$3,B167&lt;='IN-NX'!$Q$3,'IN-NX'!$D$7=D167,OR(LEFT(L167,2)="15",AND(LEFT(M167,2)&lt;&gt;"15",LEFT(M167,2)&lt;&gt;"33"))),"x","")</f>
        <v/>
      </c>
      <c r="X167" s="51" t="str">
        <f>IF(AND(OR(LEFT(TH!L167,2)="15",LEFT(TH!M167,2)="15"),'152-CT'!$J$8=TH!F167),"x","")</f>
        <v/>
      </c>
      <c r="Y167" s="51" t="str">
        <f>IF(AND(OR(LEFT(TH!L167,2)="15",LEFT(TH!M167,2)="15"),TK!$E$7=TH!F167),"x","")</f>
        <v/>
      </c>
      <c r="Z167" s="51" t="str">
        <f>IF(AND(B167&lt;=NKC!$N$8,B167&gt;=NKC!$M$8),"x","")</f>
        <v/>
      </c>
      <c r="AA167" s="860"/>
      <c r="AB167" s="565"/>
      <c r="AE167" s="565"/>
    </row>
    <row r="168" spans="1:31" ht="15.75" customHeight="1">
      <c r="A168" s="804" t="str">
        <f>IF(B168&lt;&gt;"",IF(AND(B168&gt;=_TM1,B168&lt;=_TM2,OR(TH!L168="1111",TH!M168="1111")),TH!D168,""),"")</f>
        <v/>
      </c>
      <c r="B168" s="36">
        <f t="shared" si="10"/>
        <v>3</v>
      </c>
      <c r="C168" s="189">
        <f t="shared" si="11"/>
        <v>42094</v>
      </c>
      <c r="D168" s="189" t="s">
        <v>1301</v>
      </c>
      <c r="E168" s="189">
        <v>42094</v>
      </c>
      <c r="F168" s="190" t="s">
        <v>497</v>
      </c>
      <c r="G168" s="813" t="s">
        <v>984</v>
      </c>
      <c r="H168" s="191" t="s">
        <v>441</v>
      </c>
      <c r="I168" s="243">
        <v>378</v>
      </c>
      <c r="J168" s="243">
        <v>45000</v>
      </c>
      <c r="K168" s="573">
        <f>ROUND(I168*J168,0)</f>
        <v>17010000</v>
      </c>
      <c r="L168" s="574" t="s">
        <v>250</v>
      </c>
      <c r="M168" s="574" t="s">
        <v>164</v>
      </c>
      <c r="N168" s="51" t="str">
        <f>IF(AND('331-CT'!$E$7=TH!H168,OR(L168="331",M168="331")),"331",IF(AND(OR(L168="131",M168="131"),H168='131-CT'!$E$7),"131",""))</f>
        <v/>
      </c>
      <c r="O168" s="51" t="str">
        <f>IF(AND($B168&gt;='111'!$N$11,$B168&lt;='111'!$O$11,OR($L168=$O$7,$M168=$O$7)),"x","")</f>
        <v/>
      </c>
      <c r="P168" s="51" t="str">
        <f>IF(AND($L168=$O$7,$B168&lt;'111'!$N$11),"x","")</f>
        <v/>
      </c>
      <c r="Q168" s="51" t="str">
        <f>IF(AND($M168=$O$7,$B168&lt;'111'!$N$11),"x","")</f>
        <v/>
      </c>
      <c r="R168" s="51" t="str">
        <f>IF(ISERROR(FIND('112'!$M$9,G168,1)),"",IF((AND(FIND('112'!$M$9,G168,1)&gt;=1,$B168&gt;='112'!$N$8,$B168&lt;='112'!$O$8,OR($L168='112'!$I$6,$M168='112'!$I$6))),"x",""))</f>
        <v/>
      </c>
      <c r="S168" s="51" t="str">
        <f>IF(ISERROR(FIND('112'!$M$9,G168,1)),"",IF((AND(LEFT(G168,2)=LEFT('112'!$M$9,2),B168&lt;'112'!$N$8,$L168='112'!$I$6)),"x",""))</f>
        <v/>
      </c>
      <c r="T168" s="51" t="str">
        <f>IF(ISERROR(FIND('112'!$M$9,G168,1)),"",IF((AND(RIGHT(G168,2)=RIGHT('112'!$M$9,2),B168&lt;'112'!$N$8,$M168='112'!$I$6)),"x",""))</f>
        <v/>
      </c>
      <c r="U168" s="51" t="str">
        <f>IF(AND(L168="154",'154'!$O$5&lt;=B168,'154'!$P$5&gt;=B168),"154",IF(AND(L168="632",'632'!$L$5&lt;=B168,'632'!$M$5&gt;=B168),"632",IF(AND(L168="642",'642'!$N$5&lt;=B168,'642'!$O$5&gt;=B168),"642",IF(AND(L168="641",'641'!$N$5&lt;=B168,'641'!$O$5&gt;=B168),"641",""))))</f>
        <v/>
      </c>
      <c r="V168" s="51" t="str">
        <f>IF(OR(TH!L168=TH!$V$7,M168=TH!$V$7),"x","")</f>
        <v/>
      </c>
      <c r="W168" s="51" t="str">
        <f>IF(AND(B168&gt;='IN-NX'!$P$3,B168&lt;='IN-NX'!$Q$3,'IN-NX'!$D$7=D168,OR(LEFT(L168,2)="15",AND(LEFT(M168,2)&lt;&gt;"15",LEFT(M168,2)&lt;&gt;"33"))),"x","")</f>
        <v/>
      </c>
      <c r="X168" s="51" t="str">
        <f>IF(AND(OR(LEFT(TH!L168,2)="15",LEFT(TH!M168,2)="15"),'152-CT'!$J$8=TH!F168),"x","")</f>
        <v/>
      </c>
      <c r="Y168" s="51" t="str">
        <f>IF(AND(OR(LEFT(TH!L168,2)="15",LEFT(TH!M168,2)="15"),TK!$E$7=TH!F168),"x","")</f>
        <v/>
      </c>
      <c r="Z168" s="51" t="str">
        <f>IF(AND(B168&lt;=NKC!$N$8,B168&gt;=NKC!$M$8),"x","")</f>
        <v/>
      </c>
      <c r="AA168" s="803"/>
      <c r="AB168" s="565"/>
    </row>
    <row r="169" spans="1:31" ht="15.75" customHeight="1">
      <c r="A169" s="804" t="str">
        <f>IF(B169&lt;&gt;"",IF(AND(B169&gt;=_TM1,B169&lt;=_TM2,OR(TH!L169="1111",TH!M169="1111")),TH!D169,""),"")</f>
        <v/>
      </c>
      <c r="B169" s="36">
        <f t="shared" si="10"/>
        <v>3</v>
      </c>
      <c r="C169" s="189">
        <f t="shared" si="11"/>
        <v>42094</v>
      </c>
      <c r="D169" s="189" t="s">
        <v>1301</v>
      </c>
      <c r="E169" s="189">
        <v>42094</v>
      </c>
      <c r="F169" s="868" t="s">
        <v>962</v>
      </c>
      <c r="G169" s="813" t="s">
        <v>984</v>
      </c>
      <c r="H169" s="191" t="s">
        <v>441</v>
      </c>
      <c r="I169" s="243"/>
      <c r="J169" s="243"/>
      <c r="K169" s="573">
        <v>1701000</v>
      </c>
      <c r="L169" s="574" t="s">
        <v>250</v>
      </c>
      <c r="M169" s="574" t="s">
        <v>352</v>
      </c>
      <c r="N169" s="51" t="str">
        <f>IF(AND('331-CT'!$E$7=TH!H169,OR(L169="331",M169="331")),"331",IF(AND(OR(L169="131",M169="131"),H169='131-CT'!$E$7),"131",""))</f>
        <v/>
      </c>
      <c r="O169" s="51" t="str">
        <f>IF(AND($B169&gt;='111'!$N$11,$B169&lt;='111'!$O$11,OR($L169=$O$7,$M169=$O$7)),"x","")</f>
        <v/>
      </c>
      <c r="P169" s="51" t="str">
        <f>IF(AND($L169=$O$7,$B169&lt;'111'!$N$11),"x","")</f>
        <v/>
      </c>
      <c r="Q169" s="51" t="str">
        <f>IF(AND($M169=$O$7,$B169&lt;'111'!$N$11),"x","")</f>
        <v/>
      </c>
      <c r="R169" s="51" t="str">
        <f>IF(ISERROR(FIND('112'!$M$9,G169,1)),"",IF((AND(FIND('112'!$M$9,G169,1)&gt;=1,$B169&gt;='112'!$N$8,$B169&lt;='112'!$O$8,OR($L169='112'!$I$6,$M169='112'!$I$6))),"x",""))</f>
        <v/>
      </c>
      <c r="S169" s="51" t="str">
        <f>IF(ISERROR(FIND('112'!$M$9,G169,1)),"",IF((AND(LEFT(G169,2)=LEFT('112'!$M$9,2),B169&lt;'112'!$N$8,$L169='112'!$I$6)),"x",""))</f>
        <v/>
      </c>
      <c r="T169" s="51" t="str">
        <f>IF(ISERROR(FIND('112'!$M$9,G169,1)),"",IF((AND(RIGHT(G169,2)=RIGHT('112'!$M$9,2),B169&lt;'112'!$N$8,$M169='112'!$I$6)),"x",""))</f>
        <v/>
      </c>
      <c r="U169" s="51" t="str">
        <f>IF(AND(L169="154",'154'!$O$5&lt;=B169,'154'!$P$5&gt;=B169),"154",IF(AND(L169="632",'632'!$L$5&lt;=B169,'632'!$M$5&gt;=B169),"632",IF(AND(L169="642",'642'!$N$5&lt;=B169,'642'!$O$5&gt;=B169),"642",IF(AND(L169="641",'641'!$N$5&lt;=B169,'641'!$O$5&gt;=B169),"641",""))))</f>
        <v/>
      </c>
      <c r="V169" s="51" t="str">
        <f>IF(OR(TH!L169=TH!$V$7,M169=TH!$V$7),"x","")</f>
        <v/>
      </c>
      <c r="W169" s="51" t="str">
        <f>IF(AND(B169&gt;='IN-NX'!$P$3,B169&lt;='IN-NX'!$Q$3,'IN-NX'!$D$7=D169,OR(LEFT(L169,2)="15",AND(LEFT(M169,2)&lt;&gt;"15",LEFT(M169,2)&lt;&gt;"33"))),"x","")</f>
        <v/>
      </c>
      <c r="X169" s="51" t="str">
        <f>IF(AND(OR(LEFT(TH!L169,2)="15",LEFT(TH!M169,2)="15"),'152-CT'!$J$8=TH!F169),"x","")</f>
        <v/>
      </c>
      <c r="Y169" s="51" t="str">
        <f>IF(AND(OR(LEFT(TH!L169,2)="15",LEFT(TH!M169,2)="15"),TK!$E$7=TH!F169),"x","")</f>
        <v/>
      </c>
      <c r="Z169" s="51" t="str">
        <f>IF(AND(B169&lt;=NKC!$N$8,B169&gt;=NKC!$M$8),"x","")</f>
        <v/>
      </c>
      <c r="AA169" s="803"/>
      <c r="AB169" s="565"/>
      <c r="AC169" s="565"/>
      <c r="AD169" s="565"/>
    </row>
    <row r="170" spans="1:31" s="565" customFormat="1" ht="15.75" customHeight="1">
      <c r="A170" s="804" t="str">
        <f>IF(B170&lt;&gt;"",IF(AND(B170&gt;=_TM1,B170&lt;=_TM2,OR(TH!L170="1111",TH!M170="1111")),TH!D170,""),"")</f>
        <v/>
      </c>
      <c r="B170" s="36">
        <f t="shared" si="10"/>
        <v>3</v>
      </c>
      <c r="C170" s="189">
        <f t="shared" si="11"/>
        <v>42094</v>
      </c>
      <c r="D170" s="189" t="s">
        <v>1378</v>
      </c>
      <c r="E170" s="189">
        <v>42094</v>
      </c>
      <c r="F170" s="922" t="s">
        <v>423</v>
      </c>
      <c r="G170" s="813" t="s">
        <v>984</v>
      </c>
      <c r="H170" s="191" t="s">
        <v>441</v>
      </c>
      <c r="I170" s="243"/>
      <c r="J170" s="243"/>
      <c r="K170" s="573">
        <v>18711000</v>
      </c>
      <c r="L170" s="574" t="s">
        <v>47</v>
      </c>
      <c r="M170" s="574" t="s">
        <v>250</v>
      </c>
      <c r="N170" s="51" t="str">
        <f>IF(AND('331-CT'!$E$7=TH!H170,OR(L170="331",M170="331")),"331",IF(AND(OR(L170="131",M170="131"),H170='131-CT'!$E$7),"131",""))</f>
        <v/>
      </c>
      <c r="O170" s="51" t="str">
        <f>IF(AND($B170&gt;='111'!$N$11,$B170&lt;='111'!$O$11,OR($L170=$O$7,$M170=$O$7)),"x","")</f>
        <v/>
      </c>
      <c r="P170" s="51" t="str">
        <f>IF(AND($L170=$O$7,$B170&lt;'111'!$N$11),"x","")</f>
        <v>x</v>
      </c>
      <c r="Q170" s="51" t="str">
        <f>IF(AND($M170=$O$7,$B170&lt;'111'!$N$11),"x","")</f>
        <v/>
      </c>
      <c r="R170" s="51" t="str">
        <f>IF(ISERROR(FIND('112'!$M$9,G170,1)),"",IF((AND(FIND('112'!$M$9,G170,1)&gt;=1,$B170&gt;='112'!$N$8,$B170&lt;='112'!$O$8,OR($L170='112'!$I$6,$M170='112'!$I$6))),"x",""))</f>
        <v/>
      </c>
      <c r="S170" s="51" t="str">
        <f>IF(ISERROR(FIND('112'!$M$9,G170,1)),"",IF((AND(LEFT(G170,2)=LEFT('112'!$M$9,2),B170&lt;'112'!$N$8,$L170='112'!$I$6)),"x",""))</f>
        <v/>
      </c>
      <c r="T170" s="51" t="str">
        <f>IF(ISERROR(FIND('112'!$M$9,G170,1)),"",IF((AND(RIGHT(G170,2)=RIGHT('112'!$M$9,2),B170&lt;'112'!$N$8,$M170='112'!$I$6)),"x",""))</f>
        <v/>
      </c>
      <c r="U170" s="51" t="str">
        <f>IF(AND(L170="154",'154'!$O$5&lt;=B170,'154'!$P$5&gt;=B170),"154",IF(AND(L170="632",'632'!$L$5&lt;=B170,'632'!$M$5&gt;=B170),"632",IF(AND(L170="642",'642'!$N$5&lt;=B170,'642'!$O$5&gt;=B170),"642",IF(AND(L170="641",'641'!$N$5&lt;=B170,'641'!$O$5&gt;=B170),"641",""))))</f>
        <v/>
      </c>
      <c r="V170" s="51" t="str">
        <f>IF(OR(TH!L170=TH!$V$7,M170=TH!$V$7),"x","")</f>
        <v/>
      </c>
      <c r="W170" s="51" t="str">
        <f>IF(AND(B170&gt;='IN-NX'!$P$3,B170&lt;='IN-NX'!$Q$3,'IN-NX'!$D$7=D170,OR(LEFT(L170,2)="15",AND(LEFT(M170,2)&lt;&gt;"15",LEFT(M170,2)&lt;&gt;"33"))),"x","")</f>
        <v/>
      </c>
      <c r="X170" s="51" t="str">
        <f>IF(AND(OR(LEFT(TH!L170,2)="15",LEFT(TH!M170,2)="15"),'152-CT'!$J$8=TH!F170),"x","")</f>
        <v/>
      </c>
      <c r="Y170" s="51" t="str">
        <f>IF(AND(OR(LEFT(TH!L170,2)="15",LEFT(TH!M170,2)="15"),TK!$E$7=TH!F170),"x","")</f>
        <v/>
      </c>
      <c r="Z170" s="51" t="str">
        <f>IF(AND(B170&lt;=NKC!$N$8,B170&gt;=NKC!$M$8),"x","")</f>
        <v/>
      </c>
      <c r="AA170" s="803"/>
      <c r="AE170" s="203"/>
    </row>
    <row r="171" spans="1:31" s="565" customFormat="1" ht="15.75" customHeight="1">
      <c r="A171" s="804" t="str">
        <f>IF(B171&lt;&gt;"",IF(AND(B171&gt;=_TM1,B171&lt;=_TM2,OR(TH!L171="1111",TH!M171="1111")),TH!D171,""),"")</f>
        <v/>
      </c>
      <c r="B171" s="661">
        <f t="shared" si="10"/>
        <v>3</v>
      </c>
      <c r="C171" s="830">
        <f t="shared" si="11"/>
        <v>42094</v>
      </c>
      <c r="D171" s="830" t="s">
        <v>345</v>
      </c>
      <c r="E171" s="830">
        <v>42094</v>
      </c>
      <c r="F171" s="836" t="s">
        <v>1461</v>
      </c>
      <c r="G171" s="849"/>
      <c r="H171" s="914" t="s">
        <v>428</v>
      </c>
      <c r="I171" s="241"/>
      <c r="J171" s="241"/>
      <c r="K171" s="834">
        <v>5000000</v>
      </c>
      <c r="L171" s="851" t="s">
        <v>83</v>
      </c>
      <c r="M171" s="851" t="s">
        <v>47</v>
      </c>
      <c r="N171" s="51" t="str">
        <f>IF(AND('331-CT'!$E$7=TH!H171,OR(L171="331",M171="331")),"331",IF(AND(OR(L171="131",M171="131"),H171='131-CT'!$E$7),"131",""))</f>
        <v/>
      </c>
      <c r="O171" s="51" t="str">
        <f>IF(AND($B171&gt;='111'!$N$11,$B171&lt;='111'!$O$11,OR($L171=$O$7,$M171=$O$7)),"x","")</f>
        <v/>
      </c>
      <c r="P171" s="51" t="str">
        <f>IF(AND($L171=$O$7,$B171&lt;'111'!$N$11),"x","")</f>
        <v/>
      </c>
      <c r="Q171" s="51" t="str">
        <f>IF(AND($M171=$O$7,$B171&lt;'111'!$N$11),"x","")</f>
        <v>x</v>
      </c>
      <c r="R171" s="51" t="str">
        <f>IF(ISERROR(FIND('112'!$M$9,G171,1)),"",IF((AND(FIND('112'!$M$9,G171,1)&gt;=1,$B171&gt;='112'!$N$8,$B171&lt;='112'!$O$8,OR($L171='112'!$I$6,$M171='112'!$I$6))),"x",""))</f>
        <v/>
      </c>
      <c r="S171" s="51" t="str">
        <f>IF(ISERROR(FIND('112'!$M$9,G171,1)),"",IF((AND(LEFT(G171,2)=LEFT('112'!$M$9,2),B171&lt;'112'!$N$8,$L171='112'!$I$6)),"x",""))</f>
        <v/>
      </c>
      <c r="T171" s="51" t="str">
        <f>IF(ISERROR(FIND('112'!$M$9,G171,1)),"",IF((AND(RIGHT(G171,2)=RIGHT('112'!$M$9,2),B171&lt;'112'!$N$8,$M171='112'!$I$6)),"x",""))</f>
        <v/>
      </c>
      <c r="U171" s="51" t="str">
        <f>IF(AND(L171="154",'154'!$O$5&lt;=B171,'154'!$P$5&gt;=B171),"154",IF(AND(L171="632",'632'!$L$5&lt;=B171,'632'!$M$5&gt;=B171),"632",IF(AND(L171="642",'642'!$N$5&lt;=B171,'642'!$O$5&gt;=B171),"642",IF(AND(L171="641",'641'!$N$5&lt;=B171,'641'!$O$5&gt;=B171),"641",""))))</f>
        <v/>
      </c>
      <c r="V171" s="51" t="str">
        <f>IF(OR(TH!L171=TH!$V$7,M171=TH!$V$7),"x","")</f>
        <v>x</v>
      </c>
      <c r="W171" s="51" t="str">
        <f>IF(AND(B171&gt;='IN-NX'!$P$3,B171&lt;='IN-NX'!$Q$3,'IN-NX'!$D$7=D171,OR(LEFT(L171,2)="15",AND(LEFT(M171,2)&lt;&gt;"15",LEFT(M171,2)&lt;&gt;"33"))),"x","")</f>
        <v/>
      </c>
      <c r="X171" s="51" t="str">
        <f>IF(AND(OR(LEFT(TH!L171,2)="15",LEFT(TH!M171,2)="15"),'152-CT'!$J$8=TH!F171),"x","")</f>
        <v/>
      </c>
      <c r="Y171" s="51" t="str">
        <f>IF(AND(OR(LEFT(TH!L171,2)="15",LEFT(TH!M171,2)="15"),TK!$E$7=TH!F171),"x","")</f>
        <v/>
      </c>
      <c r="Z171" s="51" t="str">
        <f>IF(AND(B171&lt;=NKC!$N$8,B171&gt;=NKC!$M$8),"x","")</f>
        <v/>
      </c>
      <c r="AA171" s="915"/>
      <c r="AB171" s="662"/>
      <c r="AC171" s="916"/>
      <c r="AD171" s="916"/>
    </row>
    <row r="172" spans="1:31" s="565" customFormat="1" ht="15.75" customHeight="1">
      <c r="A172" s="804" t="str">
        <f>IF(B172&lt;&gt;"",IF(AND(B172&gt;=_TM1,B172&lt;=_TM2,OR(TH!L172="1111",TH!M172="1111")),TH!D172,""),"")</f>
        <v/>
      </c>
      <c r="B172" s="36">
        <f t="shared" si="10"/>
        <v>4</v>
      </c>
      <c r="C172" s="189">
        <f t="shared" si="11"/>
        <v>42097</v>
      </c>
      <c r="D172" s="189" t="s">
        <v>1283</v>
      </c>
      <c r="E172" s="189">
        <v>42097</v>
      </c>
      <c r="F172" s="922" t="s">
        <v>500</v>
      </c>
      <c r="G172" s="813" t="s">
        <v>1111</v>
      </c>
      <c r="H172" s="7" t="s">
        <v>430</v>
      </c>
      <c r="I172" s="243">
        <v>700</v>
      </c>
      <c r="J172" s="243">
        <v>3100</v>
      </c>
      <c r="K172" s="573">
        <f t="shared" ref="K172:K178" si="12">ROUND(I172*J172,0)</f>
        <v>2170000</v>
      </c>
      <c r="L172" s="574" t="s">
        <v>250</v>
      </c>
      <c r="M172" s="574" t="s">
        <v>164</v>
      </c>
      <c r="N172" s="51" t="str">
        <f>IF(AND('331-CT'!$E$7=TH!H172,OR(L172="331",M172="331")),"331",IF(AND(OR(L172="131",M172="131"),H172='131-CT'!$E$7),"131",""))</f>
        <v/>
      </c>
      <c r="O172" s="51" t="str">
        <f>IF(AND($B172&gt;='111'!$N$11,$B172&lt;='111'!$O$11,OR($L172=$O$7,$M172=$O$7)),"x","")</f>
        <v/>
      </c>
      <c r="P172" s="51" t="str">
        <f>IF(AND($L172=$O$7,$B172&lt;'111'!$N$11),"x","")</f>
        <v/>
      </c>
      <c r="Q172" s="51" t="str">
        <f>IF(AND($M172=$O$7,$B172&lt;'111'!$N$11),"x","")</f>
        <v/>
      </c>
      <c r="R172" s="51" t="str">
        <f>IF(ISERROR(FIND('112'!$M$9,G172,1)),"",IF((AND(FIND('112'!$M$9,G172,1)&gt;=1,$B172&gt;='112'!$N$8,$B172&lt;='112'!$O$8,OR($L172='112'!$I$6,$M172='112'!$I$6))),"x",""))</f>
        <v/>
      </c>
      <c r="S172" s="51" t="str">
        <f>IF(ISERROR(FIND('112'!$M$9,G172,1)),"",IF((AND(LEFT(G172,2)=LEFT('112'!$M$9,2),B172&lt;'112'!$N$8,$L172='112'!$I$6)),"x",""))</f>
        <v/>
      </c>
      <c r="T172" s="51" t="str">
        <f>IF(ISERROR(FIND('112'!$M$9,G172,1)),"",IF((AND(RIGHT(G172,2)=RIGHT('112'!$M$9,2),B172&lt;'112'!$N$8,$M172='112'!$I$6)),"x",""))</f>
        <v/>
      </c>
      <c r="U172" s="51" t="str">
        <f>IF(AND(L172="154",'154'!$O$5&lt;=B172,'154'!$P$5&gt;=B172),"154",IF(AND(L172="632",'632'!$L$5&lt;=B172,'632'!$M$5&gt;=B172),"632",IF(AND(L172="642",'642'!$N$5&lt;=B172,'642'!$O$5&gt;=B172),"642",IF(AND(L172="641",'641'!$N$5&lt;=B172,'641'!$O$5&gt;=B172),"641",""))))</f>
        <v/>
      </c>
      <c r="V172" s="51" t="str">
        <f>IF(OR(TH!L172=TH!$V$7,M172=TH!$V$7),"x","")</f>
        <v/>
      </c>
      <c r="W172" s="51" t="str">
        <f>IF(AND(B172&gt;='IN-NX'!$P$3,B172&lt;='IN-NX'!$Q$3,'IN-NX'!$D$7=D172,OR(LEFT(L172,2)="15",AND(LEFT(M172,2)&lt;&gt;"15",LEFT(M172,2)&lt;&gt;"33"))),"x","")</f>
        <v/>
      </c>
      <c r="X172" s="51" t="str">
        <f>IF(AND(OR(LEFT(TH!L172,2)="15",LEFT(TH!M172,2)="15"),'152-CT'!$J$8=TH!F172),"x","")</f>
        <v/>
      </c>
      <c r="Y172" s="51" t="str">
        <f>IF(AND(OR(LEFT(TH!L172,2)="15",LEFT(TH!M172,2)="15"),TK!$E$7=TH!F172),"x","")</f>
        <v/>
      </c>
      <c r="Z172" s="51" t="str">
        <f>IF(AND(B172&lt;=NKC!$N$8,B172&gt;=NKC!$M$8),"x","")</f>
        <v/>
      </c>
      <c r="AA172" s="803"/>
      <c r="AC172" s="203"/>
      <c r="AD172" s="203"/>
      <c r="AE172" s="203"/>
    </row>
    <row r="173" spans="1:31" s="565" customFormat="1" ht="15.75" customHeight="1">
      <c r="A173" s="804" t="str">
        <f>IF(B173&lt;&gt;"",IF(AND(B173&gt;=_TM1,B173&lt;=_TM2,OR(TH!L173="1111",TH!M173="1111")),TH!D173,""),"")</f>
        <v/>
      </c>
      <c r="B173" s="36">
        <f t="shared" si="10"/>
        <v>4</v>
      </c>
      <c r="C173" s="189">
        <f t="shared" si="11"/>
        <v>42097</v>
      </c>
      <c r="D173" s="189" t="s">
        <v>1283</v>
      </c>
      <c r="E173" s="189">
        <v>42097</v>
      </c>
      <c r="F173" s="922" t="s">
        <v>503</v>
      </c>
      <c r="G173" s="813" t="s">
        <v>1111</v>
      </c>
      <c r="H173" s="7" t="s">
        <v>430</v>
      </c>
      <c r="I173" s="243">
        <v>700</v>
      </c>
      <c r="J173" s="243">
        <v>2800</v>
      </c>
      <c r="K173" s="573">
        <f t="shared" si="12"/>
        <v>1960000</v>
      </c>
      <c r="L173" s="574" t="s">
        <v>250</v>
      </c>
      <c r="M173" s="574" t="s">
        <v>164</v>
      </c>
      <c r="N173" s="51" t="str">
        <f>IF(AND('331-CT'!$E$7=TH!H173,OR(L173="331",M173="331")),"331",IF(AND(OR(L173="131",M173="131"),H173='131-CT'!$E$7),"131",""))</f>
        <v/>
      </c>
      <c r="O173" s="51" t="str">
        <f>IF(AND($B173&gt;='111'!$N$11,$B173&lt;='111'!$O$11,OR($L173=$O$7,$M173=$O$7)),"x","")</f>
        <v/>
      </c>
      <c r="P173" s="51" t="str">
        <f>IF(AND($L173=$O$7,$B173&lt;'111'!$N$11),"x","")</f>
        <v/>
      </c>
      <c r="Q173" s="51" t="str">
        <f>IF(AND($M173=$O$7,$B173&lt;'111'!$N$11),"x","")</f>
        <v/>
      </c>
      <c r="R173" s="51" t="str">
        <f>IF(ISERROR(FIND('112'!$M$9,G173,1)),"",IF((AND(FIND('112'!$M$9,G173,1)&gt;=1,$B173&gt;='112'!$N$8,$B173&lt;='112'!$O$8,OR($L173='112'!$I$6,$M173='112'!$I$6))),"x",""))</f>
        <v/>
      </c>
      <c r="S173" s="51" t="str">
        <f>IF(ISERROR(FIND('112'!$M$9,G173,1)),"",IF((AND(LEFT(G173,2)=LEFT('112'!$M$9,2),B173&lt;'112'!$N$8,$L173='112'!$I$6)),"x",""))</f>
        <v/>
      </c>
      <c r="T173" s="51" t="str">
        <f>IF(ISERROR(FIND('112'!$M$9,G173,1)),"",IF((AND(RIGHT(G173,2)=RIGHT('112'!$M$9,2),B173&lt;'112'!$N$8,$M173='112'!$I$6)),"x",""))</f>
        <v/>
      </c>
      <c r="U173" s="51" t="str">
        <f>IF(AND(L173="154",'154'!$O$5&lt;=B173,'154'!$P$5&gt;=B173),"154",IF(AND(L173="632",'632'!$L$5&lt;=B173,'632'!$M$5&gt;=B173),"632",IF(AND(L173="642",'642'!$N$5&lt;=B173,'642'!$O$5&gt;=B173),"642",IF(AND(L173="641",'641'!$N$5&lt;=B173,'641'!$O$5&gt;=B173),"641",""))))</f>
        <v/>
      </c>
      <c r="V173" s="51" t="str">
        <f>IF(OR(TH!L173=TH!$V$7,M173=TH!$V$7),"x","")</f>
        <v/>
      </c>
      <c r="W173" s="51" t="str">
        <f>IF(AND(B173&gt;='IN-NX'!$P$3,B173&lt;='IN-NX'!$Q$3,'IN-NX'!$D$7=D173,OR(LEFT(L173,2)="15",AND(LEFT(M173,2)&lt;&gt;"15",LEFT(M173,2)&lt;&gt;"33"))),"x","")</f>
        <v/>
      </c>
      <c r="X173" s="51" t="str">
        <f>IF(AND(OR(LEFT(TH!L173,2)="15",LEFT(TH!M173,2)="15"),'152-CT'!$J$8=TH!F173),"x","")</f>
        <v/>
      </c>
      <c r="Y173" s="51" t="str">
        <f>IF(AND(OR(LEFT(TH!L173,2)="15",LEFT(TH!M173,2)="15"),TK!$E$7=TH!F173),"x","")</f>
        <v/>
      </c>
      <c r="Z173" s="51" t="str">
        <f>IF(AND(B173&lt;=NKC!$N$8,B173&gt;=NKC!$M$8),"x","")</f>
        <v/>
      </c>
      <c r="AA173" s="803"/>
      <c r="AC173" s="203"/>
      <c r="AD173" s="203"/>
      <c r="AE173" s="203"/>
    </row>
    <row r="174" spans="1:31" s="565" customFormat="1" ht="15.75" customHeight="1">
      <c r="A174" s="804" t="str">
        <f>IF(B174&lt;&gt;"",IF(AND(B174&gt;=_TM1,B174&lt;=_TM2,OR(TH!L174="1111",TH!M174="1111")),TH!D174,""),"")</f>
        <v/>
      </c>
      <c r="B174" s="36">
        <f t="shared" si="10"/>
        <v>4</v>
      </c>
      <c r="C174" s="189">
        <f t="shared" si="11"/>
        <v>42097</v>
      </c>
      <c r="D174" s="189" t="s">
        <v>1283</v>
      </c>
      <c r="E174" s="189">
        <v>42097</v>
      </c>
      <c r="F174" s="190" t="s">
        <v>501</v>
      </c>
      <c r="G174" s="813" t="s">
        <v>1111</v>
      </c>
      <c r="H174" s="7" t="s">
        <v>430</v>
      </c>
      <c r="I174" s="243">
        <v>700</v>
      </c>
      <c r="J174" s="243">
        <v>6120</v>
      </c>
      <c r="K174" s="573">
        <f t="shared" si="12"/>
        <v>4284000</v>
      </c>
      <c r="L174" s="574" t="s">
        <v>250</v>
      </c>
      <c r="M174" s="574" t="s">
        <v>164</v>
      </c>
      <c r="N174" s="51" t="str">
        <f>IF(AND('331-CT'!$E$7=TH!H174,OR(L174="331",M174="331")),"331",IF(AND(OR(L174="131",M174="131"),H174='131-CT'!$E$7),"131",""))</f>
        <v/>
      </c>
      <c r="O174" s="51" t="str">
        <f>IF(AND($B174&gt;='111'!$N$11,$B174&lt;='111'!$O$11,OR($L174=$O$7,$M174=$O$7)),"x","")</f>
        <v/>
      </c>
      <c r="P174" s="51" t="str">
        <f>IF(AND($L174=$O$7,$B174&lt;'111'!$N$11),"x","")</f>
        <v/>
      </c>
      <c r="Q174" s="51" t="str">
        <f>IF(AND($M174=$O$7,$B174&lt;'111'!$N$11),"x","")</f>
        <v/>
      </c>
      <c r="R174" s="51" t="str">
        <f>IF(ISERROR(FIND('112'!$M$9,G174,1)),"",IF((AND(FIND('112'!$M$9,G174,1)&gt;=1,$B174&gt;='112'!$N$8,$B174&lt;='112'!$O$8,OR($L174='112'!$I$6,$M174='112'!$I$6))),"x",""))</f>
        <v/>
      </c>
      <c r="S174" s="51" t="str">
        <f>IF(ISERROR(FIND('112'!$M$9,G174,1)),"",IF((AND(LEFT(G174,2)=LEFT('112'!$M$9,2),B174&lt;'112'!$N$8,$L174='112'!$I$6)),"x",""))</f>
        <v/>
      </c>
      <c r="T174" s="51" t="str">
        <f>IF(ISERROR(FIND('112'!$M$9,G174,1)),"",IF((AND(RIGHT(G174,2)=RIGHT('112'!$M$9,2),B174&lt;'112'!$N$8,$M174='112'!$I$6)),"x",""))</f>
        <v/>
      </c>
      <c r="U174" s="51" t="str">
        <f>IF(AND(L174="154",'154'!$O$5&lt;=B174,'154'!$P$5&gt;=B174),"154",IF(AND(L174="632",'632'!$L$5&lt;=B174,'632'!$M$5&gt;=B174),"632",IF(AND(L174="642",'642'!$N$5&lt;=B174,'642'!$O$5&gt;=B174),"642",IF(AND(L174="641",'641'!$N$5&lt;=B174,'641'!$O$5&gt;=B174),"641",""))))</f>
        <v/>
      </c>
      <c r="V174" s="51" t="str">
        <f>IF(OR(TH!L174=TH!$V$7,M174=TH!$V$7),"x","")</f>
        <v/>
      </c>
      <c r="W174" s="51" t="str">
        <f>IF(AND(B174&gt;='IN-NX'!$P$3,B174&lt;='IN-NX'!$Q$3,'IN-NX'!$D$7=D174,OR(LEFT(L174,2)="15",AND(LEFT(M174,2)&lt;&gt;"15",LEFT(M174,2)&lt;&gt;"33"))),"x","")</f>
        <v/>
      </c>
      <c r="X174" s="51" t="str">
        <f>IF(AND(OR(LEFT(TH!L174,2)="15",LEFT(TH!M174,2)="15"),'152-CT'!$J$8=TH!F174),"x","")</f>
        <v/>
      </c>
      <c r="Y174" s="51" t="str">
        <f>IF(AND(OR(LEFT(TH!L174,2)="15",LEFT(TH!M174,2)="15"),TK!$E$7=TH!F174),"x","")</f>
        <v/>
      </c>
      <c r="Z174" s="51" t="str">
        <f>IF(AND(B174&lt;=NKC!$N$8,B174&gt;=NKC!$M$8),"x","")</f>
        <v/>
      </c>
      <c r="AA174" s="803"/>
      <c r="AC174" s="203"/>
      <c r="AD174" s="203"/>
      <c r="AE174" s="203"/>
    </row>
    <row r="175" spans="1:31" s="565" customFormat="1" ht="15.75" customHeight="1">
      <c r="A175" s="804" t="str">
        <f>IF(B175&lt;&gt;"",IF(AND(B175&gt;=_TM1,B175&lt;=_TM2,OR(TH!L175="1111",TH!M175="1111")),TH!D175,""),"")</f>
        <v/>
      </c>
      <c r="B175" s="36">
        <f t="shared" si="10"/>
        <v>4</v>
      </c>
      <c r="C175" s="189">
        <f t="shared" si="11"/>
        <v>42097</v>
      </c>
      <c r="D175" s="189" t="s">
        <v>1283</v>
      </c>
      <c r="E175" s="189">
        <v>42097</v>
      </c>
      <c r="F175" s="922" t="s">
        <v>504</v>
      </c>
      <c r="G175" s="813" t="s">
        <v>1111</v>
      </c>
      <c r="H175" s="7" t="s">
        <v>430</v>
      </c>
      <c r="I175" s="243">
        <v>700</v>
      </c>
      <c r="J175" s="243">
        <v>9700</v>
      </c>
      <c r="K175" s="573">
        <f t="shared" si="12"/>
        <v>6790000</v>
      </c>
      <c r="L175" s="574" t="s">
        <v>250</v>
      </c>
      <c r="M175" s="574" t="s">
        <v>164</v>
      </c>
      <c r="N175" s="51" t="str">
        <f>IF(AND('331-CT'!$E$7=TH!H175,OR(L175="331",M175="331")),"331",IF(AND(OR(L175="131",M175="131"),H175='131-CT'!$E$7),"131",""))</f>
        <v/>
      </c>
      <c r="O175" s="51" t="str">
        <f>IF(AND($B175&gt;='111'!$N$11,$B175&lt;='111'!$O$11,OR($L175=$O$7,$M175=$O$7)),"x","")</f>
        <v/>
      </c>
      <c r="P175" s="51" t="str">
        <f>IF(AND($L175=$O$7,$B175&lt;'111'!$N$11),"x","")</f>
        <v/>
      </c>
      <c r="Q175" s="51" t="str">
        <f>IF(AND($M175=$O$7,$B175&lt;'111'!$N$11),"x","")</f>
        <v/>
      </c>
      <c r="R175" s="51" t="str">
        <f>IF(ISERROR(FIND('112'!$M$9,G175,1)),"",IF((AND(FIND('112'!$M$9,G175,1)&gt;=1,$B175&gt;='112'!$N$8,$B175&lt;='112'!$O$8,OR($L175='112'!$I$6,$M175='112'!$I$6))),"x",""))</f>
        <v/>
      </c>
      <c r="S175" s="51" t="str">
        <f>IF(ISERROR(FIND('112'!$M$9,G175,1)),"",IF((AND(LEFT(G175,2)=LEFT('112'!$M$9,2),B175&lt;'112'!$N$8,$L175='112'!$I$6)),"x",""))</f>
        <v/>
      </c>
      <c r="T175" s="51" t="str">
        <f>IF(ISERROR(FIND('112'!$M$9,G175,1)),"",IF((AND(RIGHT(G175,2)=RIGHT('112'!$M$9,2),B175&lt;'112'!$N$8,$M175='112'!$I$6)),"x",""))</f>
        <v/>
      </c>
      <c r="U175" s="51" t="str">
        <f>IF(AND(L175="154",'154'!$O$5&lt;=B175,'154'!$P$5&gt;=B175),"154",IF(AND(L175="632",'632'!$L$5&lt;=B175,'632'!$M$5&gt;=B175),"632",IF(AND(L175="642",'642'!$N$5&lt;=B175,'642'!$O$5&gt;=B175),"642",IF(AND(L175="641",'641'!$N$5&lt;=B175,'641'!$O$5&gt;=B175),"641",""))))</f>
        <v/>
      </c>
      <c r="V175" s="51" t="str">
        <f>IF(OR(TH!L175=TH!$V$7,M175=TH!$V$7),"x","")</f>
        <v/>
      </c>
      <c r="W175" s="51" t="str">
        <f>IF(AND(B175&gt;='IN-NX'!$P$3,B175&lt;='IN-NX'!$Q$3,'IN-NX'!$D$7=D175,OR(LEFT(L175,2)="15",AND(LEFT(M175,2)&lt;&gt;"15",LEFT(M175,2)&lt;&gt;"33"))),"x","")</f>
        <v/>
      </c>
      <c r="X175" s="51" t="str">
        <f>IF(AND(OR(LEFT(TH!L175,2)="15",LEFT(TH!M175,2)="15"),'152-CT'!$J$8=TH!F175),"x","")</f>
        <v/>
      </c>
      <c r="Y175" s="51" t="str">
        <f>IF(AND(OR(LEFT(TH!L175,2)="15",LEFT(TH!M175,2)="15"),TK!$E$7=TH!F175),"x","")</f>
        <v/>
      </c>
      <c r="Z175" s="51" t="str">
        <f>IF(AND(B175&lt;=NKC!$N$8,B175&gt;=NKC!$M$8),"x","")</f>
        <v/>
      </c>
      <c r="AA175" s="803"/>
      <c r="AC175" s="203"/>
      <c r="AD175" s="203"/>
      <c r="AE175" s="203"/>
    </row>
    <row r="176" spans="1:31" s="565" customFormat="1" ht="15.75" customHeight="1">
      <c r="A176" s="804" t="str">
        <f>IF(B176&lt;&gt;"",IF(AND(B176&gt;=_TM1,B176&lt;=_TM2,OR(TH!L176="1111",TH!M176="1111")),TH!D176,""),"")</f>
        <v/>
      </c>
      <c r="B176" s="36">
        <f t="shared" si="10"/>
        <v>4</v>
      </c>
      <c r="C176" s="189">
        <f t="shared" si="11"/>
        <v>42097</v>
      </c>
      <c r="D176" s="189" t="s">
        <v>1283</v>
      </c>
      <c r="E176" s="189">
        <v>42097</v>
      </c>
      <c r="F176" s="922" t="s">
        <v>506</v>
      </c>
      <c r="G176" s="813" t="s">
        <v>1111</v>
      </c>
      <c r="H176" s="7" t="s">
        <v>430</v>
      </c>
      <c r="I176" s="243">
        <v>1000</v>
      </c>
      <c r="J176" s="243">
        <v>4500</v>
      </c>
      <c r="K176" s="573">
        <f t="shared" si="12"/>
        <v>4500000</v>
      </c>
      <c r="L176" s="574" t="s">
        <v>250</v>
      </c>
      <c r="M176" s="574" t="s">
        <v>164</v>
      </c>
      <c r="N176" s="51" t="str">
        <f>IF(AND('331-CT'!$E$7=TH!H176,OR(L176="331",M176="331")),"331",IF(AND(OR(L176="131",M176="131"),H176='131-CT'!$E$7),"131",""))</f>
        <v/>
      </c>
      <c r="O176" s="51" t="str">
        <f>IF(AND($B176&gt;='111'!$N$11,$B176&lt;='111'!$O$11,OR($L176=$O$7,$M176=$O$7)),"x","")</f>
        <v/>
      </c>
      <c r="P176" s="51" t="str">
        <f>IF(AND($L176=$O$7,$B176&lt;'111'!$N$11),"x","")</f>
        <v/>
      </c>
      <c r="Q176" s="51" t="str">
        <f>IF(AND($M176=$O$7,$B176&lt;'111'!$N$11),"x","")</f>
        <v/>
      </c>
      <c r="R176" s="51" t="str">
        <f>IF(ISERROR(FIND('112'!$M$9,G176,1)),"",IF((AND(FIND('112'!$M$9,G176,1)&gt;=1,$B176&gt;='112'!$N$8,$B176&lt;='112'!$O$8,OR($L176='112'!$I$6,$M176='112'!$I$6))),"x",""))</f>
        <v/>
      </c>
      <c r="S176" s="51" t="str">
        <f>IF(ISERROR(FIND('112'!$M$9,G176,1)),"",IF((AND(LEFT(G176,2)=LEFT('112'!$M$9,2),B176&lt;'112'!$N$8,$L176='112'!$I$6)),"x",""))</f>
        <v/>
      </c>
      <c r="T176" s="51" t="str">
        <f>IF(ISERROR(FIND('112'!$M$9,G176,1)),"",IF((AND(RIGHT(G176,2)=RIGHT('112'!$M$9,2),B176&lt;'112'!$N$8,$M176='112'!$I$6)),"x",""))</f>
        <v/>
      </c>
      <c r="U176" s="51" t="str">
        <f>IF(AND(L176="154",'154'!$O$5&lt;=B176,'154'!$P$5&gt;=B176),"154",IF(AND(L176="632",'632'!$L$5&lt;=B176,'632'!$M$5&gt;=B176),"632",IF(AND(L176="642",'642'!$N$5&lt;=B176,'642'!$O$5&gt;=B176),"642",IF(AND(L176="641",'641'!$N$5&lt;=B176,'641'!$O$5&gt;=B176),"641",""))))</f>
        <v/>
      </c>
      <c r="V176" s="51" t="str">
        <f>IF(OR(TH!L176=TH!$V$7,M176=TH!$V$7),"x","")</f>
        <v/>
      </c>
      <c r="W176" s="51" t="str">
        <f>IF(AND(B176&gt;='IN-NX'!$P$3,B176&lt;='IN-NX'!$Q$3,'IN-NX'!$D$7=D176,OR(LEFT(L176,2)="15",AND(LEFT(M176,2)&lt;&gt;"15",LEFT(M176,2)&lt;&gt;"33"))),"x","")</f>
        <v/>
      </c>
      <c r="X176" s="51" t="str">
        <f>IF(AND(OR(LEFT(TH!L176,2)="15",LEFT(TH!M176,2)="15"),'152-CT'!$J$8=TH!F176),"x","")</f>
        <v/>
      </c>
      <c r="Y176" s="51" t="str">
        <f>IF(AND(OR(LEFT(TH!L176,2)="15",LEFT(TH!M176,2)="15"),TK!$E$7=TH!F176),"x","")</f>
        <v/>
      </c>
      <c r="Z176" s="51" t="str">
        <f>IF(AND(B176&lt;=NKC!$N$8,B176&gt;=NKC!$M$8),"x","")</f>
        <v/>
      </c>
      <c r="AA176" s="803"/>
      <c r="AC176" s="203"/>
      <c r="AD176" s="203"/>
      <c r="AE176" s="203"/>
    </row>
    <row r="177" spans="1:31" s="565" customFormat="1" ht="15.75" customHeight="1">
      <c r="A177" s="804" t="str">
        <f>IF(B177&lt;&gt;"",IF(AND(B177&gt;=_TM1,B177&lt;=_TM2,OR(TH!L177="1111",TH!M177="1111")),TH!D177,""),"")</f>
        <v/>
      </c>
      <c r="B177" s="36">
        <f t="shared" si="10"/>
        <v>4</v>
      </c>
      <c r="C177" s="189">
        <f t="shared" si="11"/>
        <v>42097</v>
      </c>
      <c r="D177" s="189" t="s">
        <v>1283</v>
      </c>
      <c r="E177" s="189">
        <v>42097</v>
      </c>
      <c r="F177" s="922" t="s">
        <v>505</v>
      </c>
      <c r="G177" s="813" t="s">
        <v>1111</v>
      </c>
      <c r="H177" s="7" t="s">
        <v>430</v>
      </c>
      <c r="I177" s="243">
        <v>2000</v>
      </c>
      <c r="J177" s="243">
        <v>2100</v>
      </c>
      <c r="K177" s="573">
        <f t="shared" si="12"/>
        <v>4200000</v>
      </c>
      <c r="L177" s="574" t="s">
        <v>250</v>
      </c>
      <c r="M177" s="574" t="s">
        <v>164</v>
      </c>
      <c r="N177" s="51" t="str">
        <f>IF(AND('331-CT'!$E$7=TH!H177,OR(L177="331",M177="331")),"331",IF(AND(OR(L177="131",M177="131"),H177='131-CT'!$E$7),"131",""))</f>
        <v/>
      </c>
      <c r="O177" s="51" t="str">
        <f>IF(AND($B177&gt;='111'!$N$11,$B177&lt;='111'!$O$11,OR($L177=$O$7,$M177=$O$7)),"x","")</f>
        <v/>
      </c>
      <c r="P177" s="51" t="str">
        <f>IF(AND($L177=$O$7,$B177&lt;'111'!$N$11),"x","")</f>
        <v/>
      </c>
      <c r="Q177" s="51" t="str">
        <f>IF(AND($M177=$O$7,$B177&lt;'111'!$N$11),"x","")</f>
        <v/>
      </c>
      <c r="R177" s="51" t="str">
        <f>IF(ISERROR(FIND('112'!$M$9,G177,1)),"",IF((AND(FIND('112'!$M$9,G177,1)&gt;=1,$B177&gt;='112'!$N$8,$B177&lt;='112'!$O$8,OR($L177='112'!$I$6,$M177='112'!$I$6))),"x",""))</f>
        <v/>
      </c>
      <c r="S177" s="51" t="str">
        <f>IF(ISERROR(FIND('112'!$M$9,G177,1)),"",IF((AND(LEFT(G177,2)=LEFT('112'!$M$9,2),B177&lt;'112'!$N$8,$L177='112'!$I$6)),"x",""))</f>
        <v/>
      </c>
      <c r="T177" s="51" t="str">
        <f>IF(ISERROR(FIND('112'!$M$9,G177,1)),"",IF((AND(RIGHT(G177,2)=RIGHT('112'!$M$9,2),B177&lt;'112'!$N$8,$M177='112'!$I$6)),"x",""))</f>
        <v/>
      </c>
      <c r="U177" s="51" t="str">
        <f>IF(AND(L177="154",'154'!$O$5&lt;=B177,'154'!$P$5&gt;=B177),"154",IF(AND(L177="632",'632'!$L$5&lt;=B177,'632'!$M$5&gt;=B177),"632",IF(AND(L177="642",'642'!$N$5&lt;=B177,'642'!$O$5&gt;=B177),"642",IF(AND(L177="641",'641'!$N$5&lt;=B177,'641'!$O$5&gt;=B177),"641",""))))</f>
        <v/>
      </c>
      <c r="V177" s="51" t="str">
        <f>IF(OR(TH!L177=TH!$V$7,M177=TH!$V$7),"x","")</f>
        <v/>
      </c>
      <c r="W177" s="51" t="str">
        <f>IF(AND(B177&gt;='IN-NX'!$P$3,B177&lt;='IN-NX'!$Q$3,'IN-NX'!$D$7=D177,OR(LEFT(L177,2)="15",AND(LEFT(M177,2)&lt;&gt;"15",LEFT(M177,2)&lt;&gt;"33"))),"x","")</f>
        <v/>
      </c>
      <c r="X177" s="51" t="str">
        <f>IF(AND(OR(LEFT(TH!L177,2)="15",LEFT(TH!M177,2)="15"),'152-CT'!$J$8=TH!F177),"x","")</f>
        <v/>
      </c>
      <c r="Y177" s="51" t="str">
        <f>IF(AND(OR(LEFT(TH!L177,2)="15",LEFT(TH!M177,2)="15"),TK!$E$7=TH!F177),"x","")</f>
        <v/>
      </c>
      <c r="Z177" s="51" t="str">
        <f>IF(AND(B177&lt;=NKC!$N$8,B177&gt;=NKC!$M$8),"x","")</f>
        <v/>
      </c>
      <c r="AA177" s="803"/>
      <c r="AC177" s="203"/>
      <c r="AD177" s="203"/>
      <c r="AE177" s="203"/>
    </row>
    <row r="178" spans="1:31" s="565" customFormat="1" ht="15.75" customHeight="1">
      <c r="A178" s="804" t="str">
        <f>IF(B178&lt;&gt;"",IF(AND(B178&gt;=_TM1,B178&lt;=_TM2,OR(TH!L178="1111",TH!M178="1111")),TH!D178,""),"")</f>
        <v/>
      </c>
      <c r="B178" s="36">
        <f t="shared" si="10"/>
        <v>4</v>
      </c>
      <c r="C178" s="189">
        <f t="shared" si="11"/>
        <v>42097</v>
      </c>
      <c r="D178" s="189" t="s">
        <v>1283</v>
      </c>
      <c r="E178" s="189">
        <v>42097</v>
      </c>
      <c r="F178" s="922" t="s">
        <v>1187</v>
      </c>
      <c r="G178" s="813" t="s">
        <v>1111</v>
      </c>
      <c r="H178" s="7" t="s">
        <v>430</v>
      </c>
      <c r="I178" s="243">
        <v>6000</v>
      </c>
      <c r="J178" s="243">
        <v>260</v>
      </c>
      <c r="K178" s="573">
        <f t="shared" si="12"/>
        <v>1560000</v>
      </c>
      <c r="L178" s="574" t="s">
        <v>250</v>
      </c>
      <c r="M178" s="574" t="s">
        <v>164</v>
      </c>
      <c r="N178" s="51" t="str">
        <f>IF(AND('331-CT'!$E$7=TH!H178,OR(L178="331",M178="331")),"331",IF(AND(OR(L178="131",M178="131"),H178='131-CT'!$E$7),"131",""))</f>
        <v/>
      </c>
      <c r="O178" s="51" t="str">
        <f>IF(AND($B178&gt;='111'!$N$11,$B178&lt;='111'!$O$11,OR($L178=$O$7,$M178=$O$7)),"x","")</f>
        <v/>
      </c>
      <c r="P178" s="51" t="str">
        <f>IF(AND($L178=$O$7,$B178&lt;'111'!$N$11),"x","")</f>
        <v/>
      </c>
      <c r="Q178" s="51" t="str">
        <f>IF(AND($M178=$O$7,$B178&lt;'111'!$N$11),"x","")</f>
        <v/>
      </c>
      <c r="R178" s="51" t="str">
        <f>IF(ISERROR(FIND('112'!$M$9,G178,1)),"",IF((AND(FIND('112'!$M$9,G178,1)&gt;=1,$B178&gt;='112'!$N$8,$B178&lt;='112'!$O$8,OR($L178='112'!$I$6,$M178='112'!$I$6))),"x",""))</f>
        <v/>
      </c>
      <c r="S178" s="51" t="str">
        <f>IF(ISERROR(FIND('112'!$M$9,G178,1)),"",IF((AND(LEFT(G178,2)=LEFT('112'!$M$9,2),B178&lt;'112'!$N$8,$L178='112'!$I$6)),"x",""))</f>
        <v/>
      </c>
      <c r="T178" s="51" t="str">
        <f>IF(ISERROR(FIND('112'!$M$9,G178,1)),"",IF((AND(RIGHT(G178,2)=RIGHT('112'!$M$9,2),B178&lt;'112'!$N$8,$M178='112'!$I$6)),"x",""))</f>
        <v/>
      </c>
      <c r="U178" s="51" t="str">
        <f>IF(AND(L178="154",'154'!$O$5&lt;=B178,'154'!$P$5&gt;=B178),"154",IF(AND(L178="632",'632'!$L$5&lt;=B178,'632'!$M$5&gt;=B178),"632",IF(AND(L178="642",'642'!$N$5&lt;=B178,'642'!$O$5&gt;=B178),"642",IF(AND(L178="641",'641'!$N$5&lt;=B178,'641'!$O$5&gt;=B178),"641",""))))</f>
        <v/>
      </c>
      <c r="V178" s="51" t="str">
        <f>IF(OR(TH!L178=TH!$V$7,M178=TH!$V$7),"x","")</f>
        <v/>
      </c>
      <c r="W178" s="51" t="str">
        <f>IF(AND(B178&gt;='IN-NX'!$P$3,B178&lt;='IN-NX'!$Q$3,'IN-NX'!$D$7=D178,OR(LEFT(L178,2)="15",AND(LEFT(M178,2)&lt;&gt;"15",LEFT(M178,2)&lt;&gt;"33"))),"x","")</f>
        <v/>
      </c>
      <c r="X178" s="51" t="str">
        <f>IF(AND(OR(LEFT(TH!L178,2)="15",LEFT(TH!M178,2)="15"),'152-CT'!$J$8=TH!F178),"x","")</f>
        <v/>
      </c>
      <c r="Y178" s="51" t="str">
        <f>IF(AND(OR(LEFT(TH!L178,2)="15",LEFT(TH!M178,2)="15"),TK!$E$7=TH!F178),"x","")</f>
        <v/>
      </c>
      <c r="Z178" s="51" t="str">
        <f>IF(AND(B178&lt;=NKC!$N$8,B178&gt;=NKC!$M$8),"x","")</f>
        <v/>
      </c>
      <c r="AA178" s="803"/>
      <c r="AC178" s="203"/>
      <c r="AD178" s="203"/>
      <c r="AE178" s="203"/>
    </row>
    <row r="179" spans="1:31" s="565" customFormat="1" ht="15.75" customHeight="1">
      <c r="A179" s="804" t="str">
        <f>IF(B179&lt;&gt;"",IF(AND(B179&gt;=_TM1,B179&lt;=_TM2,OR(TH!L179="1111",TH!M179="1111")),TH!D179,""),"")</f>
        <v/>
      </c>
      <c r="B179" s="36">
        <f t="shared" si="10"/>
        <v>4</v>
      </c>
      <c r="C179" s="189">
        <f t="shared" si="11"/>
        <v>42097</v>
      </c>
      <c r="D179" s="189" t="s">
        <v>1283</v>
      </c>
      <c r="E179" s="189">
        <v>42097</v>
      </c>
      <c r="F179" s="926" t="s">
        <v>962</v>
      </c>
      <c r="G179" s="813" t="s">
        <v>1111</v>
      </c>
      <c r="H179" s="7" t="s">
        <v>430</v>
      </c>
      <c r="I179" s="243"/>
      <c r="J179" s="243"/>
      <c r="K179" s="573">
        <v>2546400</v>
      </c>
      <c r="L179" s="574" t="s">
        <v>250</v>
      </c>
      <c r="M179" s="574" t="s">
        <v>352</v>
      </c>
      <c r="N179" s="51" t="str">
        <f>IF(AND('331-CT'!$E$7=TH!H179,OR(L179="331",M179="331")),"331",IF(AND(OR(L179="131",M179="131"),H179='131-CT'!$E$7),"131",""))</f>
        <v/>
      </c>
      <c r="O179" s="51" t="str">
        <f>IF(AND($B179&gt;='111'!$N$11,$B179&lt;='111'!$O$11,OR($L179=$O$7,$M179=$O$7)),"x","")</f>
        <v/>
      </c>
      <c r="P179" s="51" t="str">
        <f>IF(AND($L179=$O$7,$B179&lt;'111'!$N$11),"x","")</f>
        <v/>
      </c>
      <c r="Q179" s="51" t="str">
        <f>IF(AND($M179=$O$7,$B179&lt;'111'!$N$11),"x","")</f>
        <v/>
      </c>
      <c r="R179" s="51" t="str">
        <f>IF(ISERROR(FIND('112'!$M$9,G179,1)),"",IF((AND(FIND('112'!$M$9,G179,1)&gt;=1,$B179&gt;='112'!$N$8,$B179&lt;='112'!$O$8,OR($L179='112'!$I$6,$M179='112'!$I$6))),"x",""))</f>
        <v/>
      </c>
      <c r="S179" s="51" t="str">
        <f>IF(ISERROR(FIND('112'!$M$9,G179,1)),"",IF((AND(LEFT(G179,2)=LEFT('112'!$M$9,2),B179&lt;'112'!$N$8,$L179='112'!$I$6)),"x",""))</f>
        <v/>
      </c>
      <c r="T179" s="51" t="str">
        <f>IF(ISERROR(FIND('112'!$M$9,G179,1)),"",IF((AND(RIGHT(G179,2)=RIGHT('112'!$M$9,2),B179&lt;'112'!$N$8,$M179='112'!$I$6)),"x",""))</f>
        <v/>
      </c>
      <c r="U179" s="51" t="str">
        <f>IF(AND(L179="154",'154'!$O$5&lt;=B179,'154'!$P$5&gt;=B179),"154",IF(AND(L179="632",'632'!$L$5&lt;=B179,'632'!$M$5&gt;=B179),"632",IF(AND(L179="642",'642'!$N$5&lt;=B179,'642'!$O$5&gt;=B179),"642",IF(AND(L179="641",'641'!$N$5&lt;=B179,'641'!$O$5&gt;=B179),"641",""))))</f>
        <v/>
      </c>
      <c r="V179" s="51" t="str">
        <f>IF(OR(TH!L179=TH!$V$7,M179=TH!$V$7),"x","")</f>
        <v/>
      </c>
      <c r="W179" s="51" t="str">
        <f>IF(AND(B179&gt;='IN-NX'!$P$3,B179&lt;='IN-NX'!$Q$3,'IN-NX'!$D$7=D179,OR(LEFT(L179,2)="15",AND(LEFT(M179,2)&lt;&gt;"15",LEFT(M179,2)&lt;&gt;"33"))),"x","")</f>
        <v/>
      </c>
      <c r="X179" s="51" t="str">
        <f>IF(AND(OR(LEFT(TH!L179,2)="15",LEFT(TH!M179,2)="15"),'152-CT'!$J$8=TH!F179),"x","")</f>
        <v/>
      </c>
      <c r="Y179" s="51" t="str">
        <f>IF(AND(OR(LEFT(TH!L179,2)="15",LEFT(TH!M179,2)="15"),TK!$E$7=TH!F179),"x","")</f>
        <v/>
      </c>
      <c r="Z179" s="51" t="str">
        <f>IF(AND(B179&lt;=NKC!$N$8,B179&gt;=NKC!$M$8),"x","")</f>
        <v/>
      </c>
      <c r="AA179" s="803"/>
      <c r="AE179" s="203"/>
    </row>
    <row r="180" spans="1:31" s="565" customFormat="1" ht="15.75" customHeight="1">
      <c r="A180" s="804" t="str">
        <f>IF(B180&lt;&gt;"",IF(AND(B180&gt;=_TM1,B180&lt;=_TM2,OR(TH!L180="1111",TH!M180="1111")),TH!D180,""),"")</f>
        <v/>
      </c>
      <c r="B180" s="36">
        <f t="shared" si="10"/>
        <v>4</v>
      </c>
      <c r="C180" s="189">
        <f t="shared" si="11"/>
        <v>42097</v>
      </c>
      <c r="D180" s="189" t="s">
        <v>1284</v>
      </c>
      <c r="E180" s="189">
        <v>42097</v>
      </c>
      <c r="F180" s="922" t="s">
        <v>503</v>
      </c>
      <c r="G180" s="813" t="s">
        <v>905</v>
      </c>
      <c r="H180" s="7" t="s">
        <v>430</v>
      </c>
      <c r="I180" s="243">
        <v>52</v>
      </c>
      <c r="J180" s="243">
        <v>2800</v>
      </c>
      <c r="K180" s="573">
        <f>ROUND(I180*J180,0)</f>
        <v>145600</v>
      </c>
      <c r="L180" s="574" t="s">
        <v>250</v>
      </c>
      <c r="M180" s="574" t="s">
        <v>164</v>
      </c>
      <c r="N180" s="51" t="str">
        <f>IF(AND('331-CT'!$E$7=TH!H180,OR(L180="331",M180="331")),"331",IF(AND(OR(L180="131",M180="131"),H180='131-CT'!$E$7),"131",""))</f>
        <v/>
      </c>
      <c r="O180" s="51" t="str">
        <f>IF(AND($B180&gt;='111'!$N$11,$B180&lt;='111'!$O$11,OR($L180=$O$7,$M180=$O$7)),"x","")</f>
        <v/>
      </c>
      <c r="P180" s="51" t="str">
        <f>IF(AND($L180=$O$7,$B180&lt;'111'!$N$11),"x","")</f>
        <v/>
      </c>
      <c r="Q180" s="51" t="str">
        <f>IF(AND($M180=$O$7,$B180&lt;'111'!$N$11),"x","")</f>
        <v/>
      </c>
      <c r="R180" s="51" t="str">
        <f>IF(ISERROR(FIND('112'!$M$9,G180,1)),"",IF((AND(FIND('112'!$M$9,G180,1)&gt;=1,$B180&gt;='112'!$N$8,$B180&lt;='112'!$O$8,OR($L180='112'!$I$6,$M180='112'!$I$6))),"x",""))</f>
        <v/>
      </c>
      <c r="S180" s="51" t="str">
        <f>IF(ISERROR(FIND('112'!$M$9,G180,1)),"",IF((AND(LEFT(G180,2)=LEFT('112'!$M$9,2),B180&lt;'112'!$N$8,$L180='112'!$I$6)),"x",""))</f>
        <v/>
      </c>
      <c r="T180" s="51" t="str">
        <f>IF(ISERROR(FIND('112'!$M$9,G180,1)),"",IF((AND(RIGHT(G180,2)=RIGHT('112'!$M$9,2),B180&lt;'112'!$N$8,$M180='112'!$I$6)),"x",""))</f>
        <v/>
      </c>
      <c r="U180" s="51" t="str">
        <f>IF(AND(L180="154",'154'!$O$5&lt;=B180,'154'!$P$5&gt;=B180),"154",IF(AND(L180="632",'632'!$L$5&lt;=B180,'632'!$M$5&gt;=B180),"632",IF(AND(L180="642",'642'!$N$5&lt;=B180,'642'!$O$5&gt;=B180),"642",IF(AND(L180="641",'641'!$N$5&lt;=B180,'641'!$O$5&gt;=B180),"641",""))))</f>
        <v/>
      </c>
      <c r="V180" s="51" t="str">
        <f>IF(OR(TH!L180=TH!$V$7,M180=TH!$V$7),"x","")</f>
        <v/>
      </c>
      <c r="W180" s="51" t="str">
        <f>IF(AND(B180&gt;='IN-NX'!$P$3,B180&lt;='IN-NX'!$Q$3,'IN-NX'!$D$7=D180,OR(LEFT(L180,2)="15",AND(LEFT(M180,2)&lt;&gt;"15",LEFT(M180,2)&lt;&gt;"33"))),"x","")</f>
        <v/>
      </c>
      <c r="X180" s="51" t="str">
        <f>IF(AND(OR(LEFT(TH!L180,2)="15",LEFT(TH!M180,2)="15"),'152-CT'!$J$8=TH!F180),"x","")</f>
        <v/>
      </c>
      <c r="Y180" s="51" t="str">
        <f>IF(AND(OR(LEFT(TH!L180,2)="15",LEFT(TH!M180,2)="15"),TK!$E$7=TH!F180),"x","")</f>
        <v/>
      </c>
      <c r="Z180" s="51" t="str">
        <f>IF(AND(B180&lt;=NKC!$N$8,B180&gt;=NKC!$M$8),"x","")</f>
        <v/>
      </c>
      <c r="AA180" s="803"/>
      <c r="AC180" s="203"/>
      <c r="AD180" s="203"/>
      <c r="AE180" s="203"/>
    </row>
    <row r="181" spans="1:31" s="565" customFormat="1" ht="15.75" customHeight="1">
      <c r="A181" s="804" t="str">
        <f>IF(B181&lt;&gt;"",IF(AND(B181&gt;=_TM1,B181&lt;=_TM2,OR(TH!L181="1111",TH!M181="1111")),TH!D181,""),"")</f>
        <v/>
      </c>
      <c r="B181" s="36">
        <f t="shared" si="10"/>
        <v>4</v>
      </c>
      <c r="C181" s="189">
        <f t="shared" si="11"/>
        <v>42097</v>
      </c>
      <c r="D181" s="189" t="s">
        <v>1284</v>
      </c>
      <c r="E181" s="189">
        <v>42097</v>
      </c>
      <c r="F181" s="922" t="s">
        <v>962</v>
      </c>
      <c r="G181" s="813" t="s">
        <v>905</v>
      </c>
      <c r="H181" s="7" t="s">
        <v>430</v>
      </c>
      <c r="I181" s="243"/>
      <c r="J181" s="243"/>
      <c r="K181" s="573">
        <v>14560</v>
      </c>
      <c r="L181" s="574" t="s">
        <v>250</v>
      </c>
      <c r="M181" s="574" t="s">
        <v>352</v>
      </c>
      <c r="N181" s="51" t="str">
        <f>IF(AND('331-CT'!$E$7=TH!H181,OR(L181="331",M181="331")),"331",IF(AND(OR(L181="131",M181="131"),H181='131-CT'!$E$7),"131",""))</f>
        <v/>
      </c>
      <c r="O181" s="51" t="str">
        <f>IF(AND($B181&gt;='111'!$N$11,$B181&lt;='111'!$O$11,OR($L181=$O$7,$M181=$O$7)),"x","")</f>
        <v/>
      </c>
      <c r="P181" s="51" t="str">
        <f>IF(AND($L181=$O$7,$B181&lt;'111'!$N$11),"x","")</f>
        <v/>
      </c>
      <c r="Q181" s="51" t="str">
        <f>IF(AND($M181=$O$7,$B181&lt;'111'!$N$11),"x","")</f>
        <v/>
      </c>
      <c r="R181" s="51" t="str">
        <f>IF(ISERROR(FIND('112'!$M$9,G181,1)),"",IF((AND(FIND('112'!$M$9,G181,1)&gt;=1,$B181&gt;='112'!$N$8,$B181&lt;='112'!$O$8,OR($L181='112'!$I$6,$M181='112'!$I$6))),"x",""))</f>
        <v/>
      </c>
      <c r="S181" s="51" t="str">
        <f>IF(ISERROR(FIND('112'!$M$9,G181,1)),"",IF((AND(LEFT(G181,2)=LEFT('112'!$M$9,2),B181&lt;'112'!$N$8,$L181='112'!$I$6)),"x",""))</f>
        <v/>
      </c>
      <c r="T181" s="51" t="str">
        <f>IF(ISERROR(FIND('112'!$M$9,G181,1)),"",IF((AND(RIGHT(G181,2)=RIGHT('112'!$M$9,2),B181&lt;'112'!$N$8,$M181='112'!$I$6)),"x",""))</f>
        <v/>
      </c>
      <c r="U181" s="51" t="str">
        <f>IF(AND(L181="154",'154'!$O$5&lt;=B181,'154'!$P$5&gt;=B181),"154",IF(AND(L181="632",'632'!$L$5&lt;=B181,'632'!$M$5&gt;=B181),"632",IF(AND(L181="642",'642'!$N$5&lt;=B181,'642'!$O$5&gt;=B181),"642",IF(AND(L181="641",'641'!$N$5&lt;=B181,'641'!$O$5&gt;=B181),"641",""))))</f>
        <v/>
      </c>
      <c r="V181" s="51" t="str">
        <f>IF(OR(TH!L181=TH!$V$7,M181=TH!$V$7),"x","")</f>
        <v/>
      </c>
      <c r="W181" s="51" t="str">
        <f>IF(AND(B181&gt;='IN-NX'!$P$3,B181&lt;='IN-NX'!$Q$3,'IN-NX'!$D$7=D181,OR(LEFT(L181,2)="15",AND(LEFT(M181,2)&lt;&gt;"15",LEFT(M181,2)&lt;&gt;"33"))),"x","")</f>
        <v/>
      </c>
      <c r="X181" s="51" t="str">
        <f>IF(AND(OR(LEFT(TH!L181,2)="15",LEFT(TH!M181,2)="15"),'152-CT'!$J$8=TH!F181),"x","")</f>
        <v/>
      </c>
      <c r="Y181" s="51" t="str">
        <f>IF(AND(OR(LEFT(TH!L181,2)="15",LEFT(TH!M181,2)="15"),TK!$E$7=TH!F181),"x","")</f>
        <v/>
      </c>
      <c r="Z181" s="51" t="str">
        <f>IF(AND(B181&lt;=NKC!$N$8,B181&gt;=NKC!$M$8),"x","")</f>
        <v/>
      </c>
      <c r="AA181" s="803"/>
      <c r="AE181" s="203"/>
    </row>
    <row r="182" spans="1:31" s="565" customFormat="1" ht="15.75" customHeight="1">
      <c r="A182" s="804" t="str">
        <f>IF(B182&lt;&gt;"",IF(AND(B182&gt;=_TM1,B182&lt;=_TM2,OR(TH!L182="1111",TH!M182="1111")),TH!D182,""),"")</f>
        <v/>
      </c>
      <c r="B182" s="36">
        <f t="shared" si="10"/>
        <v>4</v>
      </c>
      <c r="C182" s="189">
        <f t="shared" si="11"/>
        <v>42099</v>
      </c>
      <c r="D182" s="189" t="s">
        <v>422</v>
      </c>
      <c r="E182" s="182">
        <v>42099</v>
      </c>
      <c r="F182" s="187" t="s">
        <v>425</v>
      </c>
      <c r="G182" s="811" t="s">
        <v>415</v>
      </c>
      <c r="H182" s="202"/>
      <c r="I182" s="243"/>
      <c r="J182" s="243"/>
      <c r="K182" s="38">
        <v>55000</v>
      </c>
      <c r="L182" s="192" t="s">
        <v>83</v>
      </c>
      <c r="M182" s="192" t="s">
        <v>24</v>
      </c>
      <c r="N182" s="51" t="str">
        <f>IF(AND('331-CT'!$E$7=TH!H182,OR(L182="331",M182="331")),"331",IF(AND(OR(L182="131",M182="131"),H182='131-CT'!$E$7),"131",""))</f>
        <v/>
      </c>
      <c r="O182" s="51" t="str">
        <f>IF(AND($B182&gt;='111'!$N$11,$B182&lt;='111'!$O$11,OR($L182=$O$7,$M182=$O$7)),"x","")</f>
        <v/>
      </c>
      <c r="P182" s="51" t="str">
        <f>IF(AND($L182=$O$7,$B182&lt;'111'!$N$11),"x","")</f>
        <v/>
      </c>
      <c r="Q182" s="51" t="str">
        <f>IF(AND($M182=$O$7,$B182&lt;'111'!$N$11),"x","")</f>
        <v/>
      </c>
      <c r="R182" s="51" t="str">
        <f>IF(ISERROR(FIND('112'!$M$9,G182,1)),"",IF((AND(FIND('112'!$M$9,G182,1)&gt;=1,$B182&gt;='112'!$N$8,$B182&lt;='112'!$O$8,OR($L182='112'!$I$6,$M182='112'!$I$6))),"x",""))</f>
        <v/>
      </c>
      <c r="S182" s="51" t="str">
        <f>IF(ISERROR(FIND('112'!$M$9,G182,1)),"",IF((AND(LEFT(G182,2)=LEFT('112'!$M$9,2),B182&lt;'112'!$N$8,$L182='112'!$I$6)),"x",""))</f>
        <v/>
      </c>
      <c r="T182" s="51" t="str">
        <f>IF(ISERROR(FIND('112'!$M$9,G182,1)),"",IF((AND(RIGHT(G182,2)=RIGHT('112'!$M$9,2),B182&lt;'112'!$N$8,$M182='112'!$I$6)),"x",""))</f>
        <v/>
      </c>
      <c r="U182" s="51" t="str">
        <f>IF(AND(L182="154",'154'!$O$5&lt;=B182,'154'!$P$5&gt;=B182),"154",IF(AND(L182="632",'632'!$L$5&lt;=B182,'632'!$M$5&gt;=B182),"632",IF(AND(L182="642",'642'!$N$5&lt;=B182,'642'!$O$5&gt;=B182),"642",IF(AND(L182="641",'641'!$N$5&lt;=B182,'641'!$O$5&gt;=B182),"641",""))))</f>
        <v>642</v>
      </c>
      <c r="V182" s="51" t="str">
        <f>IF(OR(TH!L182=TH!$V$7,M182=TH!$V$7),"x","")</f>
        <v>x</v>
      </c>
      <c r="W182" s="51" t="str">
        <f>IF(AND(B182&gt;='IN-NX'!$P$3,B182&lt;='IN-NX'!$Q$3,'IN-NX'!$D$7=D182,OR(LEFT(L182,2)="15",AND(LEFT(M182,2)&lt;&gt;"15",LEFT(M182,2)&lt;&gt;"33"))),"x","")</f>
        <v/>
      </c>
      <c r="X182" s="51" t="str">
        <f>IF(AND(OR(LEFT(TH!L182,2)="15",LEFT(TH!M182,2)="15"),'152-CT'!$J$8=TH!F182),"x","")</f>
        <v/>
      </c>
      <c r="Y182" s="51" t="str">
        <f>IF(AND(OR(LEFT(TH!L182,2)="15",LEFT(TH!M182,2)="15"),TK!$E$7=TH!F182),"x","")</f>
        <v/>
      </c>
      <c r="Z182" s="51" t="str">
        <f>IF(AND(B182&lt;=NKC!$N$8,B182&gt;=NKC!$M$8),"x","")</f>
        <v/>
      </c>
      <c r="AA182" s="803"/>
      <c r="AC182" s="203"/>
      <c r="AD182" s="203"/>
      <c r="AE182" s="203"/>
    </row>
    <row r="183" spans="1:31" s="565" customFormat="1" ht="15.75" customHeight="1">
      <c r="A183" s="804" t="str">
        <f>IF(B183&lt;&gt;"",IF(AND(B183&gt;=_TM1,B183&lt;=_TM2,OR(TH!L183="1111",TH!M183="1111")),TH!D183,""),"")</f>
        <v/>
      </c>
      <c r="B183" s="36">
        <f t="shared" si="10"/>
        <v>4</v>
      </c>
      <c r="C183" s="189">
        <f t="shared" si="11"/>
        <v>42100</v>
      </c>
      <c r="D183" s="189" t="s">
        <v>1290</v>
      </c>
      <c r="E183" s="189">
        <v>42100</v>
      </c>
      <c r="F183" s="922" t="s">
        <v>713</v>
      </c>
      <c r="G183" s="813" t="s">
        <v>985</v>
      </c>
      <c r="H183" s="7" t="s">
        <v>446</v>
      </c>
      <c r="I183" s="243">
        <v>450</v>
      </c>
      <c r="J183" s="243">
        <v>15000</v>
      </c>
      <c r="K183" s="573">
        <f>ROUND(I183*J183,0)</f>
        <v>6750000</v>
      </c>
      <c r="L183" s="574" t="s">
        <v>250</v>
      </c>
      <c r="M183" s="574" t="s">
        <v>164</v>
      </c>
      <c r="N183" s="51" t="str">
        <f>IF(AND('331-CT'!$E$7=TH!H183,OR(L183="331",M183="331")),"331",IF(AND(OR(L183="131",M183="131"),H183='131-CT'!$E$7),"131",""))</f>
        <v/>
      </c>
      <c r="O183" s="51" t="str">
        <f>IF(AND($B183&gt;='111'!$N$11,$B183&lt;='111'!$O$11,OR($L183=$O$7,$M183=$O$7)),"x","")</f>
        <v/>
      </c>
      <c r="P183" s="51" t="str">
        <f>IF(AND($L183=$O$7,$B183&lt;'111'!$N$11),"x","")</f>
        <v/>
      </c>
      <c r="Q183" s="51" t="str">
        <f>IF(AND($M183=$O$7,$B183&lt;'111'!$N$11),"x","")</f>
        <v/>
      </c>
      <c r="R183" s="51" t="str">
        <f>IF(ISERROR(FIND('112'!$M$9,G183,1)),"",IF((AND(FIND('112'!$M$9,G183,1)&gt;=1,$B183&gt;='112'!$N$8,$B183&lt;='112'!$O$8,OR($L183='112'!$I$6,$M183='112'!$I$6))),"x",""))</f>
        <v/>
      </c>
      <c r="S183" s="51" t="str">
        <f>IF(ISERROR(FIND('112'!$M$9,G183,1)),"",IF((AND(LEFT(G183,2)=LEFT('112'!$M$9,2),B183&lt;'112'!$N$8,$L183='112'!$I$6)),"x",""))</f>
        <v/>
      </c>
      <c r="T183" s="51" t="str">
        <f>IF(ISERROR(FIND('112'!$M$9,G183,1)),"",IF((AND(RIGHT(G183,2)=RIGHT('112'!$M$9,2),B183&lt;'112'!$N$8,$M183='112'!$I$6)),"x",""))</f>
        <v/>
      </c>
      <c r="U183" s="51" t="str">
        <f>IF(AND(L183="154",'154'!$O$5&lt;=B183,'154'!$P$5&gt;=B183),"154",IF(AND(L183="632",'632'!$L$5&lt;=B183,'632'!$M$5&gt;=B183),"632",IF(AND(L183="642",'642'!$N$5&lt;=B183,'642'!$O$5&gt;=B183),"642",IF(AND(L183="641",'641'!$N$5&lt;=B183,'641'!$O$5&gt;=B183),"641",""))))</f>
        <v/>
      </c>
      <c r="V183" s="51" t="str">
        <f>IF(OR(TH!L183=TH!$V$7,M183=TH!$V$7),"x","")</f>
        <v/>
      </c>
      <c r="W183" s="51" t="str">
        <f>IF(AND(B183&gt;='IN-NX'!$P$3,B183&lt;='IN-NX'!$Q$3,'IN-NX'!$D$7=D183,OR(LEFT(L183,2)="15",AND(LEFT(M183,2)&lt;&gt;"15",LEFT(M183,2)&lt;&gt;"33"))),"x","")</f>
        <v/>
      </c>
      <c r="X183" s="51" t="str">
        <f>IF(AND(OR(LEFT(TH!L183,2)="15",LEFT(TH!M183,2)="15"),'152-CT'!$J$8=TH!F183),"x","")</f>
        <v/>
      </c>
      <c r="Y183" s="51" t="str">
        <f>IF(AND(OR(LEFT(TH!L183,2)="15",LEFT(TH!M183,2)="15"),TK!$E$7=TH!F183),"x","")</f>
        <v/>
      </c>
      <c r="Z183" s="51" t="str">
        <f>IF(AND(B183&lt;=NKC!$N$8,B183&gt;=NKC!$M$8),"x","")</f>
        <v/>
      </c>
      <c r="AA183" s="803"/>
      <c r="AC183" s="203"/>
      <c r="AD183" s="203"/>
      <c r="AE183" s="203"/>
    </row>
    <row r="184" spans="1:31" s="565" customFormat="1" ht="15.75" customHeight="1">
      <c r="A184" s="804" t="str">
        <f>IF(B184&lt;&gt;"",IF(AND(B184&gt;=_TM1,B184&lt;=_TM2,OR(TH!L184="1111",TH!M184="1111")),TH!D184,""),"")</f>
        <v/>
      </c>
      <c r="B184" s="36">
        <f t="shared" si="10"/>
        <v>4</v>
      </c>
      <c r="C184" s="189">
        <f t="shared" si="11"/>
        <v>42100</v>
      </c>
      <c r="D184" s="189" t="s">
        <v>1290</v>
      </c>
      <c r="E184" s="189">
        <v>42100</v>
      </c>
      <c r="F184" s="922" t="s">
        <v>1188</v>
      </c>
      <c r="G184" s="813" t="s">
        <v>985</v>
      </c>
      <c r="H184" s="7" t="s">
        <v>446</v>
      </c>
      <c r="I184" s="243">
        <v>210</v>
      </c>
      <c r="J184" s="243">
        <v>14300</v>
      </c>
      <c r="K184" s="573">
        <f>ROUND(I184*J184,0)</f>
        <v>3003000</v>
      </c>
      <c r="L184" s="574" t="s">
        <v>250</v>
      </c>
      <c r="M184" s="574" t="s">
        <v>164</v>
      </c>
      <c r="N184" s="51" t="str">
        <f>IF(AND('331-CT'!$E$7=TH!H184,OR(L184="331",M184="331")),"331",IF(AND(OR(L184="131",M184="131"),H184='131-CT'!$E$7),"131",""))</f>
        <v/>
      </c>
      <c r="O184" s="51" t="str">
        <f>IF(AND($B184&gt;='111'!$N$11,$B184&lt;='111'!$O$11,OR($L184=$O$7,$M184=$O$7)),"x","")</f>
        <v/>
      </c>
      <c r="P184" s="51" t="str">
        <f>IF(AND($L184=$O$7,$B184&lt;'111'!$N$11),"x","")</f>
        <v/>
      </c>
      <c r="Q184" s="51" t="str">
        <f>IF(AND($M184=$O$7,$B184&lt;'111'!$N$11),"x","")</f>
        <v/>
      </c>
      <c r="R184" s="51" t="str">
        <f>IF(ISERROR(FIND('112'!$M$9,G184,1)),"",IF((AND(FIND('112'!$M$9,G184,1)&gt;=1,$B184&gt;='112'!$N$8,$B184&lt;='112'!$O$8,OR($L184='112'!$I$6,$M184='112'!$I$6))),"x",""))</f>
        <v/>
      </c>
      <c r="S184" s="51" t="str">
        <f>IF(ISERROR(FIND('112'!$M$9,G184,1)),"",IF((AND(LEFT(G184,2)=LEFT('112'!$M$9,2),B184&lt;'112'!$N$8,$L184='112'!$I$6)),"x",""))</f>
        <v/>
      </c>
      <c r="T184" s="51" t="str">
        <f>IF(ISERROR(FIND('112'!$M$9,G184,1)),"",IF((AND(RIGHT(G184,2)=RIGHT('112'!$M$9,2),B184&lt;'112'!$N$8,$M184='112'!$I$6)),"x",""))</f>
        <v/>
      </c>
      <c r="U184" s="51" t="str">
        <f>IF(AND(L184="154",'154'!$O$5&lt;=B184,'154'!$P$5&gt;=B184),"154",IF(AND(L184="632",'632'!$L$5&lt;=B184,'632'!$M$5&gt;=B184),"632",IF(AND(L184="642",'642'!$N$5&lt;=B184,'642'!$O$5&gt;=B184),"642",IF(AND(L184="641",'641'!$N$5&lt;=B184,'641'!$O$5&gt;=B184),"641",""))))</f>
        <v/>
      </c>
      <c r="V184" s="51" t="str">
        <f>IF(OR(TH!L184=TH!$V$7,M184=TH!$V$7),"x","")</f>
        <v/>
      </c>
      <c r="W184" s="51" t="str">
        <f>IF(AND(B184&gt;='IN-NX'!$P$3,B184&lt;='IN-NX'!$Q$3,'IN-NX'!$D$7=D184,OR(LEFT(L184,2)="15",AND(LEFT(M184,2)&lt;&gt;"15",LEFT(M184,2)&lt;&gt;"33"))),"x","")</f>
        <v/>
      </c>
      <c r="X184" s="51" t="str">
        <f>IF(AND(OR(LEFT(TH!L184,2)="15",LEFT(TH!M184,2)="15"),'152-CT'!$J$8=TH!F184),"x","")</f>
        <v/>
      </c>
      <c r="Y184" s="51" t="str">
        <f>IF(AND(OR(LEFT(TH!L184,2)="15",LEFT(TH!M184,2)="15"),TK!$E$7=TH!F184),"x","")</f>
        <v/>
      </c>
      <c r="Z184" s="51" t="str">
        <f>IF(AND(B184&lt;=NKC!$N$8,B184&gt;=NKC!$M$8),"x","")</f>
        <v/>
      </c>
      <c r="AA184" s="803"/>
      <c r="AC184" s="203"/>
      <c r="AD184" s="203"/>
      <c r="AE184" s="203"/>
    </row>
    <row r="185" spans="1:31" s="565" customFormat="1" ht="15.75" customHeight="1">
      <c r="A185" s="804" t="str">
        <f>IF(B185&lt;&gt;"",IF(AND(B185&gt;=_TM1,B185&lt;=_TM2,OR(TH!L185="1111",TH!M185="1111")),TH!D185,""),"")</f>
        <v/>
      </c>
      <c r="B185" s="36">
        <f t="shared" si="10"/>
        <v>4</v>
      </c>
      <c r="C185" s="189">
        <f t="shared" si="11"/>
        <v>42100</v>
      </c>
      <c r="D185" s="189" t="s">
        <v>1290</v>
      </c>
      <c r="E185" s="189">
        <v>42100</v>
      </c>
      <c r="F185" s="926" t="s">
        <v>962</v>
      </c>
      <c r="G185" s="813" t="s">
        <v>985</v>
      </c>
      <c r="H185" s="7" t="s">
        <v>446</v>
      </c>
      <c r="I185" s="243"/>
      <c r="J185" s="243"/>
      <c r="K185" s="573">
        <v>975300</v>
      </c>
      <c r="L185" s="574" t="s">
        <v>250</v>
      </c>
      <c r="M185" s="574" t="s">
        <v>352</v>
      </c>
      <c r="N185" s="51" t="str">
        <f>IF(AND('331-CT'!$E$7=TH!H185,OR(L185="331",M185="331")),"331",IF(AND(OR(L185="131",M185="131"),H185='131-CT'!$E$7),"131",""))</f>
        <v/>
      </c>
      <c r="O185" s="51" t="str">
        <f>IF(AND($B185&gt;='111'!$N$11,$B185&lt;='111'!$O$11,OR($L185=$O$7,$M185=$O$7)),"x","")</f>
        <v/>
      </c>
      <c r="P185" s="51" t="str">
        <f>IF(AND($L185=$O$7,$B185&lt;'111'!$N$11),"x","")</f>
        <v/>
      </c>
      <c r="Q185" s="51" t="str">
        <f>IF(AND($M185=$O$7,$B185&lt;'111'!$N$11),"x","")</f>
        <v/>
      </c>
      <c r="R185" s="51" t="str">
        <f>IF(ISERROR(FIND('112'!$M$9,G185,1)),"",IF((AND(FIND('112'!$M$9,G185,1)&gt;=1,$B185&gt;='112'!$N$8,$B185&lt;='112'!$O$8,OR($L185='112'!$I$6,$M185='112'!$I$6))),"x",""))</f>
        <v/>
      </c>
      <c r="S185" s="51" t="str">
        <f>IF(ISERROR(FIND('112'!$M$9,G185,1)),"",IF((AND(LEFT(G185,2)=LEFT('112'!$M$9,2),B185&lt;'112'!$N$8,$L185='112'!$I$6)),"x",""))</f>
        <v/>
      </c>
      <c r="T185" s="51" t="str">
        <f>IF(ISERROR(FIND('112'!$M$9,G185,1)),"",IF((AND(RIGHT(G185,2)=RIGHT('112'!$M$9,2),B185&lt;'112'!$N$8,$M185='112'!$I$6)),"x",""))</f>
        <v/>
      </c>
      <c r="U185" s="51" t="str">
        <f>IF(AND(L185="154",'154'!$O$5&lt;=B185,'154'!$P$5&gt;=B185),"154",IF(AND(L185="632",'632'!$L$5&lt;=B185,'632'!$M$5&gt;=B185),"632",IF(AND(L185="642",'642'!$N$5&lt;=B185,'642'!$O$5&gt;=B185),"642",IF(AND(L185="641",'641'!$N$5&lt;=B185,'641'!$O$5&gt;=B185),"641",""))))</f>
        <v/>
      </c>
      <c r="V185" s="51" t="str">
        <f>IF(OR(TH!L185=TH!$V$7,M185=TH!$V$7),"x","")</f>
        <v/>
      </c>
      <c r="W185" s="51" t="str">
        <f>IF(AND(B185&gt;='IN-NX'!$P$3,B185&lt;='IN-NX'!$Q$3,'IN-NX'!$D$7=D185,OR(LEFT(L185,2)="15",AND(LEFT(M185,2)&lt;&gt;"15",LEFT(M185,2)&lt;&gt;"33"))),"x","")</f>
        <v/>
      </c>
      <c r="X185" s="51" t="str">
        <f>IF(AND(OR(LEFT(TH!L185,2)="15",LEFT(TH!M185,2)="15"),'152-CT'!$J$8=TH!F185),"x","")</f>
        <v/>
      </c>
      <c r="Y185" s="51" t="str">
        <f>IF(AND(OR(LEFT(TH!L185,2)="15",LEFT(TH!M185,2)="15"),TK!$E$7=TH!F185),"x","")</f>
        <v/>
      </c>
      <c r="Z185" s="51" t="str">
        <f>IF(AND(B185&lt;=NKC!$N$8,B185&gt;=NKC!$M$8),"x","")</f>
        <v/>
      </c>
      <c r="AA185" s="803"/>
      <c r="AC185" s="203"/>
      <c r="AD185" s="203"/>
      <c r="AE185" s="203"/>
    </row>
    <row r="186" spans="1:31" s="565" customFormat="1" ht="15.75" customHeight="1">
      <c r="A186" s="804" t="str">
        <f>IF(B186&lt;&gt;"",IF(AND(B186&gt;=_TM1,B186&lt;=_TM2,OR(TH!L186="1111",TH!M186="1111")),TH!D186,""),"")</f>
        <v/>
      </c>
      <c r="B186" s="36">
        <f t="shared" si="10"/>
        <v>4</v>
      </c>
      <c r="C186" s="189">
        <f t="shared" si="11"/>
        <v>42100</v>
      </c>
      <c r="D186" s="189" t="s">
        <v>339</v>
      </c>
      <c r="E186" s="189">
        <v>42100</v>
      </c>
      <c r="F186" s="922" t="s">
        <v>423</v>
      </c>
      <c r="G186" s="813" t="s">
        <v>985</v>
      </c>
      <c r="H186" s="7" t="s">
        <v>446</v>
      </c>
      <c r="I186" s="243"/>
      <c r="J186" s="243"/>
      <c r="K186" s="573">
        <v>10728300</v>
      </c>
      <c r="L186" s="574" t="s">
        <v>47</v>
      </c>
      <c r="M186" s="574" t="s">
        <v>250</v>
      </c>
      <c r="N186" s="51" t="str">
        <f>IF(AND('331-CT'!$E$7=TH!H186,OR(L186="331",M186="331")),"331",IF(AND(OR(L186="131",M186="131"),H186='131-CT'!$E$7),"131",""))</f>
        <v/>
      </c>
      <c r="O186" s="51" t="str">
        <f>IF(AND($B186&gt;='111'!$N$11,$B186&lt;='111'!$O$11,OR($L186=$O$7,$M186=$O$7)),"x","")</f>
        <v/>
      </c>
      <c r="P186" s="51" t="str">
        <f>IF(AND($L186=$O$7,$B186&lt;'111'!$N$11),"x","")</f>
        <v>x</v>
      </c>
      <c r="Q186" s="51" t="str">
        <f>IF(AND($M186=$O$7,$B186&lt;'111'!$N$11),"x","")</f>
        <v/>
      </c>
      <c r="R186" s="51" t="str">
        <f>IF(ISERROR(FIND('112'!$M$9,G186,1)),"",IF((AND(FIND('112'!$M$9,G186,1)&gt;=1,$B186&gt;='112'!$N$8,$B186&lt;='112'!$O$8,OR($L186='112'!$I$6,$M186='112'!$I$6))),"x",""))</f>
        <v/>
      </c>
      <c r="S186" s="51" t="str">
        <f>IF(ISERROR(FIND('112'!$M$9,G186,1)),"",IF((AND(LEFT(G186,2)=LEFT('112'!$M$9,2),B186&lt;'112'!$N$8,$L186='112'!$I$6)),"x",""))</f>
        <v/>
      </c>
      <c r="T186" s="51" t="str">
        <f>IF(ISERROR(FIND('112'!$M$9,G186,1)),"",IF((AND(RIGHT(G186,2)=RIGHT('112'!$M$9,2),B186&lt;'112'!$N$8,$M186='112'!$I$6)),"x",""))</f>
        <v/>
      </c>
      <c r="U186" s="51" t="str">
        <f>IF(AND(L186="154",'154'!$O$5&lt;=B186,'154'!$P$5&gt;=B186),"154",IF(AND(L186="632",'632'!$L$5&lt;=B186,'632'!$M$5&gt;=B186),"632",IF(AND(L186="642",'642'!$N$5&lt;=B186,'642'!$O$5&gt;=B186),"642",IF(AND(L186="641",'641'!$N$5&lt;=B186,'641'!$O$5&gt;=B186),"641",""))))</f>
        <v/>
      </c>
      <c r="V186" s="51" t="str">
        <f>IF(OR(TH!L186=TH!$V$7,M186=TH!$V$7),"x","")</f>
        <v/>
      </c>
      <c r="W186" s="51" t="str">
        <f>IF(AND(B186&gt;='IN-NX'!$P$3,B186&lt;='IN-NX'!$Q$3,'IN-NX'!$D$7=D186,OR(LEFT(L186,2)="15",AND(LEFT(M186,2)&lt;&gt;"15",LEFT(M186,2)&lt;&gt;"33"))),"x","")</f>
        <v/>
      </c>
      <c r="X186" s="51" t="str">
        <f>IF(AND(OR(LEFT(TH!L186,2)="15",LEFT(TH!M186,2)="15"),'152-CT'!$J$8=TH!F186),"x","")</f>
        <v/>
      </c>
      <c r="Y186" s="51" t="str">
        <f>IF(AND(OR(LEFT(TH!L186,2)="15",LEFT(TH!M186,2)="15"),TK!$E$7=TH!F186),"x","")</f>
        <v/>
      </c>
      <c r="Z186" s="51" t="str">
        <f>IF(AND(B186&lt;=NKC!$N$8,B186&gt;=NKC!$M$8),"x","")</f>
        <v/>
      </c>
      <c r="AA186" s="803"/>
      <c r="AC186" s="203"/>
      <c r="AD186" s="203"/>
      <c r="AE186" s="203"/>
    </row>
    <row r="187" spans="1:31" s="565" customFormat="1" ht="15.75" customHeight="1">
      <c r="A187" s="804" t="str">
        <f>IF(B187&lt;&gt;"",IF(AND(B187&gt;=_TM1,B187&lt;=_TM2,OR(TH!L187="1111",TH!M187="1111")),TH!D187,""),"")</f>
        <v/>
      </c>
      <c r="B187" s="36">
        <f t="shared" si="10"/>
        <v>4</v>
      </c>
      <c r="C187" s="189">
        <f t="shared" si="11"/>
        <v>42104</v>
      </c>
      <c r="D187" s="189" t="s">
        <v>421</v>
      </c>
      <c r="E187" s="182">
        <v>42104</v>
      </c>
      <c r="F187" s="922" t="s">
        <v>423</v>
      </c>
      <c r="G187" s="811" t="s">
        <v>415</v>
      </c>
      <c r="H187" s="7" t="s">
        <v>430</v>
      </c>
      <c r="I187" s="243"/>
      <c r="J187" s="243"/>
      <c r="K187" s="38">
        <v>13903560</v>
      </c>
      <c r="L187" s="192" t="s">
        <v>24</v>
      </c>
      <c r="M187" s="192" t="s">
        <v>250</v>
      </c>
      <c r="N187" s="51" t="str">
        <f>IF(AND('331-CT'!$E$7=TH!H187,OR(L187="331",M187="331")),"331",IF(AND(OR(L187="131",M187="131"),H187='131-CT'!$E$7),"131",""))</f>
        <v/>
      </c>
      <c r="O187" s="51" t="str">
        <f>IF(AND($B187&gt;='111'!$N$11,$B187&lt;='111'!$O$11,OR($L187=$O$7,$M187=$O$7)),"x","")</f>
        <v/>
      </c>
      <c r="P187" s="51" t="str">
        <f>IF(AND($L187=$O$7,$B187&lt;'111'!$N$11),"x","")</f>
        <v/>
      </c>
      <c r="Q187" s="51" t="str">
        <f>IF(AND($M187=$O$7,$B187&lt;'111'!$N$11),"x","")</f>
        <v/>
      </c>
      <c r="R187" s="51" t="str">
        <f>IF(ISERROR(FIND('112'!$M$9,G187,1)),"",IF((AND(FIND('112'!$M$9,G187,1)&gt;=1,$B187&gt;='112'!$N$8,$B187&lt;='112'!$O$8,OR($L187='112'!$I$6,$M187='112'!$I$6))),"x",""))</f>
        <v/>
      </c>
      <c r="S187" s="51" t="str">
        <f>IF(ISERROR(FIND('112'!$M$9,G187,1)),"",IF((AND(LEFT(G187,2)=LEFT('112'!$M$9,2),B187&lt;'112'!$N$8,$L187='112'!$I$6)),"x",""))</f>
        <v/>
      </c>
      <c r="T187" s="51" t="str">
        <f>IF(ISERROR(FIND('112'!$M$9,G187,1)),"",IF((AND(RIGHT(G187,2)=RIGHT('112'!$M$9,2),B187&lt;'112'!$N$8,$M187='112'!$I$6)),"x",""))</f>
        <v/>
      </c>
      <c r="U187" s="51" t="str">
        <f>IF(AND(L187="154",'154'!$O$5&lt;=B187,'154'!$P$5&gt;=B187),"154",IF(AND(L187="632",'632'!$L$5&lt;=B187,'632'!$M$5&gt;=B187),"632",IF(AND(L187="642",'642'!$N$5&lt;=B187,'642'!$O$5&gt;=B187),"642",IF(AND(L187="641",'641'!$N$5&lt;=B187,'641'!$O$5&gt;=B187),"641",""))))</f>
        <v/>
      </c>
      <c r="V187" s="51" t="str">
        <f>IF(OR(TH!L187=TH!$V$7,M187=TH!$V$7),"x","")</f>
        <v/>
      </c>
      <c r="W187" s="51" t="str">
        <f>IF(AND(B187&gt;='IN-NX'!$P$3,B187&lt;='IN-NX'!$Q$3,'IN-NX'!$D$7=D187,OR(LEFT(L187,2)="15",AND(LEFT(M187,2)&lt;&gt;"15",LEFT(M187,2)&lt;&gt;"33"))),"x","")</f>
        <v/>
      </c>
      <c r="X187" s="51" t="str">
        <f>IF(AND(OR(LEFT(TH!L187,2)="15",LEFT(TH!M187,2)="15"),'152-CT'!$J$8=TH!F187),"x","")</f>
        <v/>
      </c>
      <c r="Y187" s="51" t="str">
        <f>IF(AND(OR(LEFT(TH!L187,2)="15",LEFT(TH!M187,2)="15"),TK!$E$7=TH!F187),"x","")</f>
        <v/>
      </c>
      <c r="Z187" s="51" t="str">
        <f>IF(AND(B187&lt;=NKC!$N$8,B187&gt;=NKC!$M$8),"x","")</f>
        <v/>
      </c>
      <c r="AA187" s="803"/>
      <c r="AC187" s="203"/>
      <c r="AD187" s="203"/>
      <c r="AE187" s="203"/>
    </row>
    <row r="188" spans="1:31" ht="15.75" customHeight="1">
      <c r="A188" s="804" t="str">
        <f>IF(B188&lt;&gt;"",IF(AND(B188&gt;=_TM1,B188&lt;=_TM2,OR(TH!L188="1111",TH!M188="1111")),TH!D188,""),"")</f>
        <v/>
      </c>
      <c r="B188" s="36">
        <f t="shared" si="10"/>
        <v>4</v>
      </c>
      <c r="C188" s="189">
        <f t="shared" si="11"/>
        <v>42108</v>
      </c>
      <c r="D188" s="189" t="s">
        <v>340</v>
      </c>
      <c r="E188" s="182">
        <v>42108</v>
      </c>
      <c r="F188" s="187" t="s">
        <v>427</v>
      </c>
      <c r="G188" s="811" t="s">
        <v>415</v>
      </c>
      <c r="H188" s="7" t="s">
        <v>428</v>
      </c>
      <c r="I188" s="243"/>
      <c r="J188" s="243"/>
      <c r="K188" s="38">
        <v>13850000</v>
      </c>
      <c r="L188" s="192" t="s">
        <v>47</v>
      </c>
      <c r="M188" s="192" t="s">
        <v>24</v>
      </c>
      <c r="N188" s="51" t="str">
        <f>IF(AND('331-CT'!$E$7=TH!H188,OR(L188="331",M188="331")),"331",IF(AND(OR(L188="131",M188="131"),H188='131-CT'!$E$7),"131",""))</f>
        <v/>
      </c>
      <c r="O188" s="51" t="str">
        <f>IF(AND($B188&gt;='111'!$N$11,$B188&lt;='111'!$O$11,OR($L188=$O$7,$M188=$O$7)),"x","")</f>
        <v/>
      </c>
      <c r="P188" s="51" t="str">
        <f>IF(AND($L188=$O$7,$B188&lt;'111'!$N$11),"x","")</f>
        <v>x</v>
      </c>
      <c r="Q188" s="51" t="str">
        <f>IF(AND($M188=$O$7,$B188&lt;'111'!$N$11),"x","")</f>
        <v/>
      </c>
      <c r="R188" s="51" t="str">
        <f>IF(ISERROR(FIND('112'!$M$9,G188,1)),"",IF((AND(FIND('112'!$M$9,G188,1)&gt;=1,$B188&gt;='112'!$N$8,$B188&lt;='112'!$O$8,OR($L188='112'!$I$6,$M188='112'!$I$6))),"x",""))</f>
        <v/>
      </c>
      <c r="S188" s="51" t="str">
        <f>IF(ISERROR(FIND('112'!$M$9,G188,1)),"",IF((AND(LEFT(G188,2)=LEFT('112'!$M$9,2),B188&lt;'112'!$N$8,$L188='112'!$I$6)),"x",""))</f>
        <v/>
      </c>
      <c r="T188" s="51" t="str">
        <f>IF(ISERROR(FIND('112'!$M$9,G188,1)),"",IF((AND(RIGHT(G188,2)=RIGHT('112'!$M$9,2),B188&lt;'112'!$N$8,$M188='112'!$I$6)),"x",""))</f>
        <v/>
      </c>
      <c r="U188" s="51" t="str">
        <f>IF(AND(L188="154",'154'!$O$5&lt;=B188,'154'!$P$5&gt;=B188),"154",IF(AND(L188="632",'632'!$L$5&lt;=B188,'632'!$M$5&gt;=B188),"632",IF(AND(L188="642",'642'!$N$5&lt;=B188,'642'!$O$5&gt;=B188),"642",IF(AND(L188="641",'641'!$N$5&lt;=B188,'641'!$O$5&gt;=B188),"641",""))))</f>
        <v/>
      </c>
      <c r="V188" s="51" t="str">
        <f>IF(OR(TH!L188=TH!$V$7,M188=TH!$V$7),"x","")</f>
        <v/>
      </c>
      <c r="W188" s="51" t="str">
        <f>IF(AND(B188&gt;='IN-NX'!$P$3,B188&lt;='IN-NX'!$Q$3,'IN-NX'!$D$7=D188,OR(LEFT(L188,2)="15",AND(LEFT(M188,2)&lt;&gt;"15",LEFT(M188,2)&lt;&gt;"33"))),"x","")</f>
        <v/>
      </c>
      <c r="X188" s="51" t="str">
        <f>IF(AND(OR(LEFT(TH!L188,2)="15",LEFT(TH!M188,2)="15"),'152-CT'!$J$8=TH!F188),"x","")</f>
        <v/>
      </c>
      <c r="Y188" s="51" t="str">
        <f>IF(AND(OR(LEFT(TH!L188,2)="15",LEFT(TH!M188,2)="15"),TK!$E$7=TH!F188),"x","")</f>
        <v/>
      </c>
      <c r="Z188" s="51" t="str">
        <f>IF(AND(B188&lt;=NKC!$N$8,B188&gt;=NKC!$M$8),"x","")</f>
        <v/>
      </c>
      <c r="AA188" s="803"/>
      <c r="AB188" s="565"/>
    </row>
    <row r="189" spans="1:31" ht="15.75" customHeight="1">
      <c r="A189" s="804" t="str">
        <f>IF(B189&lt;&gt;"",IF(AND(B189&gt;=_TM1,B189&lt;=_TM2,OR(TH!L189="1111",TH!M189="1111")),TH!D189,""),"")</f>
        <v/>
      </c>
      <c r="B189" s="36">
        <f t="shared" si="10"/>
        <v>4</v>
      </c>
      <c r="C189" s="189">
        <f t="shared" si="11"/>
        <v>42108</v>
      </c>
      <c r="D189" s="189" t="s">
        <v>1335</v>
      </c>
      <c r="E189" s="189">
        <v>42108</v>
      </c>
      <c r="F189" s="922" t="s">
        <v>490</v>
      </c>
      <c r="G189" s="813" t="s">
        <v>518</v>
      </c>
      <c r="H189" s="7" t="s">
        <v>517</v>
      </c>
      <c r="I189" s="243"/>
      <c r="J189" s="243"/>
      <c r="K189" s="573">
        <v>632727</v>
      </c>
      <c r="L189" s="574" t="s">
        <v>251</v>
      </c>
      <c r="M189" s="574" t="s">
        <v>47</v>
      </c>
      <c r="N189" s="51" t="str">
        <f>IF(AND('331-CT'!$E$7=TH!H189,OR(L189="331",M189="331")),"331",IF(AND(OR(L189="131",M189="131"),H189='131-CT'!$E$7),"131",""))</f>
        <v/>
      </c>
      <c r="O189" s="51" t="str">
        <f>IF(AND($B189&gt;='111'!$N$11,$B189&lt;='111'!$O$11,OR($L189=$O$7,$M189=$O$7)),"x","")</f>
        <v/>
      </c>
      <c r="P189" s="51" t="str">
        <f>IF(AND($L189=$O$7,$B189&lt;'111'!$N$11),"x","")</f>
        <v/>
      </c>
      <c r="Q189" s="51" t="str">
        <f>IF(AND($M189=$O$7,$B189&lt;'111'!$N$11),"x","")</f>
        <v>x</v>
      </c>
      <c r="R189" s="51" t="str">
        <f>IF(ISERROR(FIND('112'!$M$9,G189,1)),"",IF((AND(FIND('112'!$M$9,G189,1)&gt;=1,$B189&gt;='112'!$N$8,$B189&lt;='112'!$O$8,OR($L189='112'!$I$6,$M189='112'!$I$6))),"x",""))</f>
        <v/>
      </c>
      <c r="S189" s="51" t="str">
        <f>IF(ISERROR(FIND('112'!$M$9,G189,1)),"",IF((AND(LEFT(G189,2)=LEFT('112'!$M$9,2),B189&lt;'112'!$N$8,$L189='112'!$I$6)),"x",""))</f>
        <v/>
      </c>
      <c r="T189" s="51" t="str">
        <f>IF(ISERROR(FIND('112'!$M$9,G189,1)),"",IF((AND(RIGHT(G189,2)=RIGHT('112'!$M$9,2),B189&lt;'112'!$N$8,$M189='112'!$I$6)),"x",""))</f>
        <v/>
      </c>
      <c r="U189" s="51" t="str">
        <f>IF(AND(L189="154",'154'!$O$5&lt;=B189,'154'!$P$5&gt;=B189),"154",IF(AND(L189="632",'632'!$L$5&lt;=B189,'632'!$M$5&gt;=B189),"632",IF(AND(L189="642",'642'!$N$5&lt;=B189,'642'!$O$5&gt;=B189),"642",IF(AND(L189="641",'641'!$N$5&lt;=B189,'641'!$O$5&gt;=B189),"641",""))))</f>
        <v/>
      </c>
      <c r="V189" s="51" t="str">
        <f>IF(OR(TH!L189=TH!$V$7,M189=TH!$V$7),"x","")</f>
        <v/>
      </c>
      <c r="W189" s="51" t="str">
        <f>IF(AND(B189&gt;='IN-NX'!$P$3,B189&lt;='IN-NX'!$Q$3,'IN-NX'!$D$7=D189,OR(LEFT(L189,2)="15",AND(LEFT(M189,2)&lt;&gt;"15",LEFT(M189,2)&lt;&gt;"33"))),"x","")</f>
        <v/>
      </c>
      <c r="X189" s="51" t="str">
        <f>IF(AND(OR(LEFT(TH!L189,2)="15",LEFT(TH!M189,2)="15"),'152-CT'!$J$8=TH!F189),"x","")</f>
        <v/>
      </c>
      <c r="Y189" s="51" t="str">
        <f>IF(AND(OR(LEFT(TH!L189,2)="15",LEFT(TH!M189,2)="15"),TK!$E$7=TH!F189),"x","")</f>
        <v/>
      </c>
      <c r="Z189" s="51" t="str">
        <f>IF(AND(B189&lt;=NKC!$N$8,B189&gt;=NKC!$M$8),"x","")</f>
        <v/>
      </c>
      <c r="AA189" s="803"/>
      <c r="AB189" s="565"/>
    </row>
    <row r="190" spans="1:31" ht="15.75" customHeight="1">
      <c r="A190" s="804" t="str">
        <f>IF(B190&lt;&gt;"",IF(AND(B190&gt;=_TM1,B190&lt;=_TM2,OR(TH!L190="1111",TH!M190="1111")),TH!D190,""),"")</f>
        <v/>
      </c>
      <c r="B190" s="36">
        <f t="shared" si="10"/>
        <v>4</v>
      </c>
      <c r="C190" s="189">
        <f t="shared" si="11"/>
        <v>42108</v>
      </c>
      <c r="D190" s="189" t="s">
        <v>1335</v>
      </c>
      <c r="E190" s="189">
        <v>42108</v>
      </c>
      <c r="F190" s="922" t="s">
        <v>491</v>
      </c>
      <c r="G190" s="813" t="s">
        <v>518</v>
      </c>
      <c r="H190" s="7" t="s">
        <v>517</v>
      </c>
      <c r="I190" s="243"/>
      <c r="J190" s="243"/>
      <c r="K190" s="573">
        <v>63273</v>
      </c>
      <c r="L190" s="574" t="s">
        <v>9</v>
      </c>
      <c r="M190" s="574" t="s">
        <v>47</v>
      </c>
      <c r="N190" s="51" t="str">
        <f>IF(AND('331-CT'!$E$7=TH!H190,OR(L190="331",M190="331")),"331",IF(AND(OR(L190="131",M190="131"),H190='131-CT'!$E$7),"131",""))</f>
        <v/>
      </c>
      <c r="O190" s="51" t="str">
        <f>IF(AND($B190&gt;='111'!$N$11,$B190&lt;='111'!$O$11,OR($L190=$O$7,$M190=$O$7)),"x","")</f>
        <v/>
      </c>
      <c r="P190" s="51" t="str">
        <f>IF(AND($L190=$O$7,$B190&lt;'111'!$N$11),"x","")</f>
        <v/>
      </c>
      <c r="Q190" s="51" t="str">
        <f>IF(AND($M190=$O$7,$B190&lt;'111'!$N$11),"x","")</f>
        <v>x</v>
      </c>
      <c r="R190" s="51" t="str">
        <f>IF(ISERROR(FIND('112'!$M$9,G190,1)),"",IF((AND(FIND('112'!$M$9,G190,1)&gt;=1,$B190&gt;='112'!$N$8,$B190&lt;='112'!$O$8,OR($L190='112'!$I$6,$M190='112'!$I$6))),"x",""))</f>
        <v/>
      </c>
      <c r="S190" s="51" t="str">
        <f>IF(ISERROR(FIND('112'!$M$9,G190,1)),"",IF((AND(LEFT(G190,2)=LEFT('112'!$M$9,2),B190&lt;'112'!$N$8,$L190='112'!$I$6)),"x",""))</f>
        <v/>
      </c>
      <c r="T190" s="51" t="str">
        <f>IF(ISERROR(FIND('112'!$M$9,G190,1)),"",IF((AND(RIGHT(G190,2)=RIGHT('112'!$M$9,2),B190&lt;'112'!$N$8,$M190='112'!$I$6)),"x",""))</f>
        <v/>
      </c>
      <c r="U190" s="51" t="str">
        <f>IF(AND(L190="154",'154'!$O$5&lt;=B190,'154'!$P$5&gt;=B190),"154",IF(AND(L190="632",'632'!$L$5&lt;=B190,'632'!$M$5&gt;=B190),"632",IF(AND(L190="642",'642'!$N$5&lt;=B190,'642'!$O$5&gt;=B190),"642",IF(AND(L190="641",'641'!$N$5&lt;=B190,'641'!$O$5&gt;=B190),"641",""))))</f>
        <v/>
      </c>
      <c r="V190" s="51" t="str">
        <f>IF(OR(TH!L190=TH!$V$7,M190=TH!$V$7),"x","")</f>
        <v/>
      </c>
      <c r="W190" s="51" t="str">
        <f>IF(AND(B190&gt;='IN-NX'!$P$3,B190&lt;='IN-NX'!$Q$3,'IN-NX'!$D$7=D190,OR(LEFT(L190,2)="15",AND(LEFT(M190,2)&lt;&gt;"15",LEFT(M190,2)&lt;&gt;"33"))),"x","")</f>
        <v/>
      </c>
      <c r="X190" s="51" t="str">
        <f>IF(AND(OR(LEFT(TH!L190,2)="15",LEFT(TH!M190,2)="15"),'152-CT'!$J$8=TH!F190),"x","")</f>
        <v/>
      </c>
      <c r="Y190" s="51" t="str">
        <f>IF(AND(OR(LEFT(TH!L190,2)="15",LEFT(TH!M190,2)="15"),TK!$E$7=TH!F190),"x","")</f>
        <v/>
      </c>
      <c r="Z190" s="51" t="str">
        <f>IF(AND(B190&lt;=NKC!$N$8,B190&gt;=NKC!$M$8),"x","")</f>
        <v/>
      </c>
      <c r="AA190" s="803">
        <v>2</v>
      </c>
      <c r="AB190" s="565"/>
    </row>
    <row r="191" spans="1:31" ht="15.75" customHeight="1">
      <c r="A191" s="804" t="str">
        <f>IF(B191&lt;&gt;"",IF(AND(B191&gt;=_TM1,B191&lt;=_TM2,OR(TH!L191="1111",TH!M191="1111")),TH!D191,""),"")</f>
        <v/>
      </c>
      <c r="B191" s="36">
        <f t="shared" si="10"/>
        <v>4</v>
      </c>
      <c r="C191" s="189">
        <f t="shared" si="11"/>
        <v>42108</v>
      </c>
      <c r="D191" s="189" t="s">
        <v>1291</v>
      </c>
      <c r="E191" s="189">
        <v>42108</v>
      </c>
      <c r="F191" s="922" t="s">
        <v>1189</v>
      </c>
      <c r="G191" s="813" t="s">
        <v>569</v>
      </c>
      <c r="H191" s="202" t="s">
        <v>424</v>
      </c>
      <c r="I191" s="243">
        <v>285</v>
      </c>
      <c r="J191" s="243">
        <v>32000</v>
      </c>
      <c r="K191" s="573">
        <f>ROUND(I191*J191,0)</f>
        <v>9120000</v>
      </c>
      <c r="L191" s="574" t="s">
        <v>250</v>
      </c>
      <c r="M191" s="574" t="s">
        <v>164</v>
      </c>
      <c r="N191" s="51" t="str">
        <f>IF(AND('331-CT'!$E$7=TH!H191,OR(L191="331",M191="331")),"331",IF(AND(OR(L191="131",M191="131"),H191='131-CT'!$E$7),"131",""))</f>
        <v/>
      </c>
      <c r="O191" s="51" t="str">
        <f>IF(AND($B191&gt;='111'!$N$11,$B191&lt;='111'!$O$11,OR($L191=$O$7,$M191=$O$7)),"x","")</f>
        <v/>
      </c>
      <c r="P191" s="51" t="str">
        <f>IF(AND($L191=$O$7,$B191&lt;'111'!$N$11),"x","")</f>
        <v/>
      </c>
      <c r="Q191" s="51" t="str">
        <f>IF(AND($M191=$O$7,$B191&lt;'111'!$N$11),"x","")</f>
        <v/>
      </c>
      <c r="R191" s="51" t="str">
        <f>IF(ISERROR(FIND('112'!$M$9,G191,1)),"",IF((AND(FIND('112'!$M$9,G191,1)&gt;=1,$B191&gt;='112'!$N$8,$B191&lt;='112'!$O$8,OR($L191='112'!$I$6,$M191='112'!$I$6))),"x",""))</f>
        <v/>
      </c>
      <c r="S191" s="51" t="str">
        <f>IF(ISERROR(FIND('112'!$M$9,G191,1)),"",IF((AND(LEFT(G191,2)=LEFT('112'!$M$9,2),B191&lt;'112'!$N$8,$L191='112'!$I$6)),"x",""))</f>
        <v/>
      </c>
      <c r="T191" s="51" t="str">
        <f>IF(ISERROR(FIND('112'!$M$9,G191,1)),"",IF((AND(RIGHT(G191,2)=RIGHT('112'!$M$9,2),B191&lt;'112'!$N$8,$M191='112'!$I$6)),"x",""))</f>
        <v/>
      </c>
      <c r="U191" s="51" t="str">
        <f>IF(AND(L191="154",'154'!$O$5&lt;=B191,'154'!$P$5&gt;=B191),"154",IF(AND(L191="632",'632'!$L$5&lt;=B191,'632'!$M$5&gt;=B191),"632",IF(AND(L191="642",'642'!$N$5&lt;=B191,'642'!$O$5&gt;=B191),"642",IF(AND(L191="641",'641'!$N$5&lt;=B191,'641'!$O$5&gt;=B191),"641",""))))</f>
        <v/>
      </c>
      <c r="V191" s="51" t="str">
        <f>IF(OR(TH!L191=TH!$V$7,M191=TH!$V$7),"x","")</f>
        <v/>
      </c>
      <c r="W191" s="51" t="str">
        <f>IF(AND(B191&gt;='IN-NX'!$P$3,B191&lt;='IN-NX'!$Q$3,'IN-NX'!$D$7=D191,OR(LEFT(L191,2)="15",AND(LEFT(M191,2)&lt;&gt;"15",LEFT(M191,2)&lt;&gt;"33"))),"x","")</f>
        <v/>
      </c>
      <c r="X191" s="51" t="str">
        <f>IF(AND(OR(LEFT(TH!L191,2)="15",LEFT(TH!M191,2)="15"),'152-CT'!$J$8=TH!F191),"x","")</f>
        <v/>
      </c>
      <c r="Y191" s="51" t="str">
        <f>IF(AND(OR(LEFT(TH!L191,2)="15",LEFT(TH!M191,2)="15"),TK!$E$7=TH!F191),"x","")</f>
        <v/>
      </c>
      <c r="Z191" s="51" t="str">
        <f>IF(AND(B191&lt;=NKC!$N$8,B191&gt;=NKC!$M$8),"x","")</f>
        <v/>
      </c>
      <c r="AA191" s="803"/>
      <c r="AB191" s="565"/>
    </row>
    <row r="192" spans="1:31" ht="15.75" customHeight="1">
      <c r="A192" s="804" t="str">
        <f>IF(B192&lt;&gt;"",IF(AND(B192&gt;=_TM1,B192&lt;=_TM2,OR(TH!L192="1111",TH!M192="1111")),TH!D192,""),"")</f>
        <v/>
      </c>
      <c r="B192" s="36">
        <f t="shared" si="10"/>
        <v>4</v>
      </c>
      <c r="C192" s="189">
        <f t="shared" si="11"/>
        <v>42108</v>
      </c>
      <c r="D192" s="189" t="s">
        <v>1291</v>
      </c>
      <c r="E192" s="189">
        <v>42108</v>
      </c>
      <c r="F192" s="922" t="s">
        <v>1190</v>
      </c>
      <c r="G192" s="813" t="s">
        <v>569</v>
      </c>
      <c r="H192" s="202" t="s">
        <v>424</v>
      </c>
      <c r="I192" s="243">
        <v>133</v>
      </c>
      <c r="J192" s="243">
        <v>22600</v>
      </c>
      <c r="K192" s="573">
        <f>ROUND(I192*J192,0)</f>
        <v>3005800</v>
      </c>
      <c r="L192" s="574" t="s">
        <v>250</v>
      </c>
      <c r="M192" s="574" t="s">
        <v>164</v>
      </c>
      <c r="N192" s="51" t="str">
        <f>IF(AND('331-CT'!$E$7=TH!H192,OR(L192="331",M192="331")),"331",IF(AND(OR(L192="131",M192="131"),H192='131-CT'!$E$7),"131",""))</f>
        <v/>
      </c>
      <c r="O192" s="51" t="str">
        <f>IF(AND($B192&gt;='111'!$N$11,$B192&lt;='111'!$O$11,OR($L192=$O$7,$M192=$O$7)),"x","")</f>
        <v/>
      </c>
      <c r="P192" s="51" t="str">
        <f>IF(AND($L192=$O$7,$B192&lt;'111'!$N$11),"x","")</f>
        <v/>
      </c>
      <c r="Q192" s="51" t="str">
        <f>IF(AND($M192=$O$7,$B192&lt;'111'!$N$11),"x","")</f>
        <v/>
      </c>
      <c r="R192" s="51" t="str">
        <f>IF(ISERROR(FIND('112'!$M$9,G192,1)),"",IF((AND(FIND('112'!$M$9,G192,1)&gt;=1,$B192&gt;='112'!$N$8,$B192&lt;='112'!$O$8,OR($L192='112'!$I$6,$M192='112'!$I$6))),"x",""))</f>
        <v/>
      </c>
      <c r="S192" s="51" t="str">
        <f>IF(ISERROR(FIND('112'!$M$9,G192,1)),"",IF((AND(LEFT(G192,2)=LEFT('112'!$M$9,2),B192&lt;'112'!$N$8,$L192='112'!$I$6)),"x",""))</f>
        <v/>
      </c>
      <c r="T192" s="51" t="str">
        <f>IF(ISERROR(FIND('112'!$M$9,G192,1)),"",IF((AND(RIGHT(G192,2)=RIGHT('112'!$M$9,2),B192&lt;'112'!$N$8,$M192='112'!$I$6)),"x",""))</f>
        <v/>
      </c>
      <c r="U192" s="51" t="str">
        <f>IF(AND(L192="154",'154'!$O$5&lt;=B192,'154'!$P$5&gt;=B192),"154",IF(AND(L192="632",'632'!$L$5&lt;=B192,'632'!$M$5&gt;=B192),"632",IF(AND(L192="642",'642'!$N$5&lt;=B192,'642'!$O$5&gt;=B192),"642",IF(AND(L192="641",'641'!$N$5&lt;=B192,'641'!$O$5&gt;=B192),"641",""))))</f>
        <v/>
      </c>
      <c r="V192" s="51" t="str">
        <f>IF(OR(TH!L192=TH!$V$7,M192=TH!$V$7),"x","")</f>
        <v/>
      </c>
      <c r="W192" s="51" t="str">
        <f>IF(AND(B192&gt;='IN-NX'!$P$3,B192&lt;='IN-NX'!$Q$3,'IN-NX'!$D$7=D192,OR(LEFT(L192,2)="15",AND(LEFT(M192,2)&lt;&gt;"15",LEFT(M192,2)&lt;&gt;"33"))),"x","")</f>
        <v/>
      </c>
      <c r="X192" s="51" t="str">
        <f>IF(AND(OR(LEFT(TH!L192,2)="15",LEFT(TH!M192,2)="15"),'152-CT'!$J$8=TH!F192),"x","")</f>
        <v/>
      </c>
      <c r="Y192" s="51" t="str">
        <f>IF(AND(OR(LEFT(TH!L192,2)="15",LEFT(TH!M192,2)="15"),TK!$E$7=TH!F192),"x","")</f>
        <v/>
      </c>
      <c r="Z192" s="51" t="str">
        <f>IF(AND(B192&lt;=NKC!$N$8,B192&gt;=NKC!$M$8),"x","")</f>
        <v/>
      </c>
      <c r="AA192" s="803"/>
      <c r="AB192" s="565"/>
    </row>
    <row r="193" spans="1:28" ht="15.75" customHeight="1">
      <c r="A193" s="804" t="str">
        <f>IF(B193&lt;&gt;"",IF(AND(B193&gt;=_TM1,B193&lt;=_TM2,OR(TH!L193="1111",TH!M193="1111")),TH!D193,""),"")</f>
        <v/>
      </c>
      <c r="B193" s="36">
        <f t="shared" si="10"/>
        <v>4</v>
      </c>
      <c r="C193" s="189">
        <f t="shared" si="11"/>
        <v>42108</v>
      </c>
      <c r="D193" s="189" t="s">
        <v>1291</v>
      </c>
      <c r="E193" s="189">
        <v>42108</v>
      </c>
      <c r="F193" s="922" t="s">
        <v>962</v>
      </c>
      <c r="G193" s="813" t="s">
        <v>569</v>
      </c>
      <c r="H193" s="202" t="s">
        <v>424</v>
      </c>
      <c r="I193" s="243"/>
      <c r="J193" s="243"/>
      <c r="K193" s="573">
        <v>1212580</v>
      </c>
      <c r="L193" s="574" t="s">
        <v>250</v>
      </c>
      <c r="M193" s="574" t="s">
        <v>352</v>
      </c>
      <c r="N193" s="51" t="str">
        <f>IF(AND('331-CT'!$E$7=TH!H193,OR(L193="331",M193="331")),"331",IF(AND(OR(L193="131",M193="131"),H193='131-CT'!$E$7),"131",""))</f>
        <v/>
      </c>
      <c r="O193" s="51" t="str">
        <f>IF(AND($B193&gt;='111'!$N$11,$B193&lt;='111'!$O$11,OR($L193=$O$7,$M193=$O$7)),"x","")</f>
        <v/>
      </c>
      <c r="P193" s="51" t="str">
        <f>IF(AND($L193=$O$7,$B193&lt;'111'!$N$11),"x","")</f>
        <v/>
      </c>
      <c r="Q193" s="51" t="str">
        <f>IF(AND($M193=$O$7,$B193&lt;'111'!$N$11),"x","")</f>
        <v/>
      </c>
      <c r="R193" s="51" t="str">
        <f>IF(ISERROR(FIND('112'!$M$9,G193,1)),"",IF((AND(FIND('112'!$M$9,G193,1)&gt;=1,$B193&gt;='112'!$N$8,$B193&lt;='112'!$O$8,OR($L193='112'!$I$6,$M193='112'!$I$6))),"x",""))</f>
        <v/>
      </c>
      <c r="S193" s="51" t="str">
        <f>IF(ISERROR(FIND('112'!$M$9,G193,1)),"",IF((AND(LEFT(G193,2)=LEFT('112'!$M$9,2),B193&lt;'112'!$N$8,$L193='112'!$I$6)),"x",""))</f>
        <v/>
      </c>
      <c r="T193" s="51" t="str">
        <f>IF(ISERROR(FIND('112'!$M$9,G193,1)),"",IF((AND(RIGHT(G193,2)=RIGHT('112'!$M$9,2),B193&lt;'112'!$N$8,$M193='112'!$I$6)),"x",""))</f>
        <v/>
      </c>
      <c r="U193" s="51" t="str">
        <f>IF(AND(L193="154",'154'!$O$5&lt;=B193,'154'!$P$5&gt;=B193),"154",IF(AND(L193="632",'632'!$L$5&lt;=B193,'632'!$M$5&gt;=B193),"632",IF(AND(L193="642",'642'!$N$5&lt;=B193,'642'!$O$5&gt;=B193),"642",IF(AND(L193="641",'641'!$N$5&lt;=B193,'641'!$O$5&gt;=B193),"641",""))))</f>
        <v/>
      </c>
      <c r="V193" s="51" t="str">
        <f>IF(OR(TH!L193=TH!$V$7,M193=TH!$V$7),"x","")</f>
        <v/>
      </c>
      <c r="W193" s="51" t="str">
        <f>IF(AND(B193&gt;='IN-NX'!$P$3,B193&lt;='IN-NX'!$Q$3,'IN-NX'!$D$7=D193,OR(LEFT(L193,2)="15",AND(LEFT(M193,2)&lt;&gt;"15",LEFT(M193,2)&lt;&gt;"33"))),"x","")</f>
        <v/>
      </c>
      <c r="X193" s="51" t="str">
        <f>IF(AND(OR(LEFT(TH!L193,2)="15",LEFT(TH!M193,2)="15"),'152-CT'!$J$8=TH!F193),"x","")</f>
        <v/>
      </c>
      <c r="Y193" s="51" t="str">
        <f>IF(AND(OR(LEFT(TH!L193,2)="15",LEFT(TH!M193,2)="15"),TK!$E$7=TH!F193),"x","")</f>
        <v/>
      </c>
      <c r="Z193" s="51" t="str">
        <f>IF(AND(B193&lt;=NKC!$N$8,B193&gt;=NKC!$M$8),"x","")</f>
        <v/>
      </c>
      <c r="AA193" s="803"/>
      <c r="AB193" s="565"/>
    </row>
    <row r="194" spans="1:28" ht="15.75" customHeight="1">
      <c r="A194" s="804" t="str">
        <f>IF(B194&lt;&gt;"",IF(AND(B194&gt;=_TM1,B194&lt;=_TM2,OR(TH!L194="1111",TH!M194="1111")),TH!D194,""),"")</f>
        <v/>
      </c>
      <c r="B194" s="36">
        <f t="shared" si="10"/>
        <v>4</v>
      </c>
      <c r="C194" s="189">
        <f t="shared" si="11"/>
        <v>42108</v>
      </c>
      <c r="D194" s="189" t="s">
        <v>344</v>
      </c>
      <c r="E194" s="189">
        <v>42108</v>
      </c>
      <c r="F194" s="923" t="s">
        <v>423</v>
      </c>
      <c r="G194" s="813" t="s">
        <v>569</v>
      </c>
      <c r="H194" s="202" t="s">
        <v>424</v>
      </c>
      <c r="I194" s="243"/>
      <c r="J194" s="243"/>
      <c r="K194" s="573">
        <f>SUM(K191:K193)</f>
        <v>13338380</v>
      </c>
      <c r="L194" s="574" t="s">
        <v>47</v>
      </c>
      <c r="M194" s="574" t="s">
        <v>250</v>
      </c>
      <c r="N194" s="51" t="str">
        <f>IF(AND('331-CT'!$E$7=TH!H194,OR(L194="331",M194="331")),"331",IF(AND(OR(L194="131",M194="131"),H194='131-CT'!$E$7),"131",""))</f>
        <v/>
      </c>
      <c r="O194" s="51" t="str">
        <f>IF(AND($B194&gt;='111'!$N$11,$B194&lt;='111'!$O$11,OR($L194=$O$7,$M194=$O$7)),"x","")</f>
        <v/>
      </c>
      <c r="P194" s="51" t="str">
        <f>IF(AND($L194=$O$7,$B194&lt;'111'!$N$11),"x","")</f>
        <v>x</v>
      </c>
      <c r="Q194" s="51" t="str">
        <f>IF(AND($M194=$O$7,$B194&lt;'111'!$N$11),"x","")</f>
        <v/>
      </c>
      <c r="R194" s="51" t="str">
        <f>IF(ISERROR(FIND('112'!$M$9,G194,1)),"",IF((AND(FIND('112'!$M$9,G194,1)&gt;=1,$B194&gt;='112'!$N$8,$B194&lt;='112'!$O$8,OR($L194='112'!$I$6,$M194='112'!$I$6))),"x",""))</f>
        <v/>
      </c>
      <c r="S194" s="51" t="str">
        <f>IF(ISERROR(FIND('112'!$M$9,G194,1)),"",IF((AND(LEFT(G194,2)=LEFT('112'!$M$9,2),B194&lt;'112'!$N$8,$L194='112'!$I$6)),"x",""))</f>
        <v/>
      </c>
      <c r="T194" s="51" t="str">
        <f>IF(ISERROR(FIND('112'!$M$9,G194,1)),"",IF((AND(RIGHT(G194,2)=RIGHT('112'!$M$9,2),B194&lt;'112'!$N$8,$M194='112'!$I$6)),"x",""))</f>
        <v/>
      </c>
      <c r="U194" s="51" t="str">
        <f>IF(AND(L194="154",'154'!$O$5&lt;=B194,'154'!$P$5&gt;=B194),"154",IF(AND(L194="632",'632'!$L$5&lt;=B194,'632'!$M$5&gt;=B194),"632",IF(AND(L194="642",'642'!$N$5&lt;=B194,'642'!$O$5&gt;=B194),"642",IF(AND(L194="641",'641'!$N$5&lt;=B194,'641'!$O$5&gt;=B194),"641",""))))</f>
        <v/>
      </c>
      <c r="V194" s="51" t="str">
        <f>IF(OR(TH!L194=TH!$V$7,M194=TH!$V$7),"x","")</f>
        <v/>
      </c>
      <c r="W194" s="51" t="str">
        <f>IF(AND(B194&gt;='IN-NX'!$P$3,B194&lt;='IN-NX'!$Q$3,'IN-NX'!$D$7=D194,OR(LEFT(L194,2)="15",AND(LEFT(M194,2)&lt;&gt;"15",LEFT(M194,2)&lt;&gt;"33"))),"x","")</f>
        <v/>
      </c>
      <c r="X194" s="51" t="str">
        <f>IF(AND(OR(LEFT(TH!L194,2)="15",LEFT(TH!M194,2)="15"),'152-CT'!$J$8=TH!F194),"x","")</f>
        <v/>
      </c>
      <c r="Y194" s="51" t="str">
        <f>IF(AND(OR(LEFT(TH!L194,2)="15",LEFT(TH!M194,2)="15"),TK!$E$7=TH!F194),"x","")</f>
        <v/>
      </c>
      <c r="Z194" s="51" t="str">
        <f>IF(AND(B194&lt;=NKC!$N$8,B194&gt;=NKC!$M$8),"x","")</f>
        <v/>
      </c>
      <c r="AA194" s="803"/>
      <c r="AB194" s="565"/>
    </row>
    <row r="195" spans="1:28" ht="15.75" customHeight="1">
      <c r="A195" s="804" t="str">
        <f>IF(B195&lt;&gt;"",IF(AND(B195&gt;=_TM1,B195&lt;=_TM2,OR(TH!L195="1111",TH!M195="1111")),TH!D195,""),"")</f>
        <v/>
      </c>
      <c r="B195" s="36">
        <f t="shared" si="10"/>
        <v>4</v>
      </c>
      <c r="C195" s="189">
        <f t="shared" si="11"/>
        <v>42111</v>
      </c>
      <c r="D195" s="189" t="s">
        <v>1337</v>
      </c>
      <c r="E195" s="182">
        <v>42111</v>
      </c>
      <c r="F195" s="922" t="s">
        <v>433</v>
      </c>
      <c r="G195" s="811" t="s">
        <v>415</v>
      </c>
      <c r="H195" s="7" t="s">
        <v>428</v>
      </c>
      <c r="I195" s="243"/>
      <c r="J195" s="243"/>
      <c r="K195" s="38">
        <v>2450000</v>
      </c>
      <c r="L195" s="192" t="s">
        <v>24</v>
      </c>
      <c r="M195" s="192" t="s">
        <v>47</v>
      </c>
      <c r="N195" s="51" t="str">
        <f>IF(AND('331-CT'!$E$7=TH!H195,OR(L195="331",M195="331")),"331",IF(AND(OR(L195="131",M195="131"),H195='131-CT'!$E$7),"131",""))</f>
        <v/>
      </c>
      <c r="O195" s="51" t="str">
        <f>IF(AND($B195&gt;='111'!$N$11,$B195&lt;='111'!$O$11,OR($L195=$O$7,$M195=$O$7)),"x","")</f>
        <v/>
      </c>
      <c r="P195" s="51" t="str">
        <f>IF(AND($L195=$O$7,$B195&lt;'111'!$N$11),"x","")</f>
        <v/>
      </c>
      <c r="Q195" s="51" t="str">
        <f>IF(AND($M195=$O$7,$B195&lt;'111'!$N$11),"x","")</f>
        <v>x</v>
      </c>
      <c r="R195" s="51" t="str">
        <f>IF(ISERROR(FIND('112'!$M$9,G195,1)),"",IF((AND(FIND('112'!$M$9,G195,1)&gt;=1,$B195&gt;='112'!$N$8,$B195&lt;='112'!$O$8,OR($L195='112'!$I$6,$M195='112'!$I$6))),"x",""))</f>
        <v/>
      </c>
      <c r="S195" s="51" t="str">
        <f>IF(ISERROR(FIND('112'!$M$9,G195,1)),"",IF((AND(LEFT(G195,2)=LEFT('112'!$M$9,2),B195&lt;'112'!$N$8,$L195='112'!$I$6)),"x",""))</f>
        <v/>
      </c>
      <c r="T195" s="51" t="str">
        <f>IF(ISERROR(FIND('112'!$M$9,G195,1)),"",IF((AND(RIGHT(G195,2)=RIGHT('112'!$M$9,2),B195&lt;'112'!$N$8,$M195='112'!$I$6)),"x",""))</f>
        <v/>
      </c>
      <c r="U195" s="51" t="str">
        <f>IF(AND(L195="154",'154'!$O$5&lt;=B195,'154'!$P$5&gt;=B195),"154",IF(AND(L195="632",'632'!$L$5&lt;=B195,'632'!$M$5&gt;=B195),"632",IF(AND(L195="642",'642'!$N$5&lt;=B195,'642'!$O$5&gt;=B195),"642",IF(AND(L195="641",'641'!$N$5&lt;=B195,'641'!$O$5&gt;=B195),"641",""))))</f>
        <v/>
      </c>
      <c r="V195" s="51" t="str">
        <f>IF(OR(TH!L195=TH!$V$7,M195=TH!$V$7),"x","")</f>
        <v/>
      </c>
      <c r="W195" s="51" t="str">
        <f>IF(AND(B195&gt;='IN-NX'!$P$3,B195&lt;='IN-NX'!$Q$3,'IN-NX'!$D$7=D195,OR(LEFT(L195,2)="15",AND(LEFT(M195,2)&lt;&gt;"15",LEFT(M195,2)&lt;&gt;"33"))),"x","")</f>
        <v/>
      </c>
      <c r="X195" s="51" t="str">
        <f>IF(AND(OR(LEFT(TH!L195,2)="15",LEFT(TH!M195,2)="15"),'152-CT'!$J$8=TH!F195),"x","")</f>
        <v/>
      </c>
      <c r="Y195" s="51" t="str">
        <f>IF(AND(OR(LEFT(TH!L195,2)="15",LEFT(TH!M195,2)="15"),TK!$E$7=TH!F195),"x","")</f>
        <v/>
      </c>
      <c r="Z195" s="51" t="str">
        <f>IF(AND(B195&lt;=NKC!$N$8,B195&gt;=NKC!$M$8),"x","")</f>
        <v/>
      </c>
      <c r="AA195" s="803"/>
      <c r="AB195" s="565"/>
    </row>
    <row r="196" spans="1:28" ht="15.75" customHeight="1">
      <c r="A196" s="804" t="str">
        <f>IF(B196&lt;&gt;"",IF(AND(B196&gt;=_TM1,B196&lt;=_TM2,OR(TH!L196="1111",TH!M196="1111")),TH!D196,""),"")</f>
        <v/>
      </c>
      <c r="B196" s="36">
        <f t="shared" si="10"/>
        <v>4</v>
      </c>
      <c r="C196" s="189">
        <f t="shared" si="11"/>
        <v>42111</v>
      </c>
      <c r="D196" s="189" t="s">
        <v>422</v>
      </c>
      <c r="E196" s="182">
        <v>42111</v>
      </c>
      <c r="F196" s="922" t="s">
        <v>431</v>
      </c>
      <c r="G196" s="811" t="s">
        <v>415</v>
      </c>
      <c r="H196" s="202"/>
      <c r="I196" s="243"/>
      <c r="J196" s="243"/>
      <c r="K196" s="38">
        <v>1500000</v>
      </c>
      <c r="L196" s="192" t="s">
        <v>63</v>
      </c>
      <c r="M196" s="192" t="s">
        <v>24</v>
      </c>
      <c r="N196" s="51" t="str">
        <f>IF(AND('331-CT'!$E$7=TH!H196,OR(L196="331",M196="331")),"331",IF(AND(OR(L196="131",M196="131"),H196='131-CT'!$E$7),"131",""))</f>
        <v/>
      </c>
      <c r="O196" s="51" t="str">
        <f>IF(AND($B196&gt;='111'!$N$11,$B196&lt;='111'!$O$11,OR($L196=$O$7,$M196=$O$7)),"x","")</f>
        <v/>
      </c>
      <c r="P196" s="51" t="str">
        <f>IF(AND($L196=$O$7,$B196&lt;'111'!$N$11),"x","")</f>
        <v/>
      </c>
      <c r="Q196" s="51" t="str">
        <f>IF(AND($M196=$O$7,$B196&lt;'111'!$N$11),"x","")</f>
        <v/>
      </c>
      <c r="R196" s="51" t="str">
        <f>IF(ISERROR(FIND('112'!$M$9,G196,1)),"",IF((AND(FIND('112'!$M$9,G196,1)&gt;=1,$B196&gt;='112'!$N$8,$B196&lt;='112'!$O$8,OR($L196='112'!$I$6,$M196='112'!$I$6))),"x",""))</f>
        <v/>
      </c>
      <c r="S196" s="51" t="str">
        <f>IF(ISERROR(FIND('112'!$M$9,G196,1)),"",IF((AND(LEFT(G196,2)=LEFT('112'!$M$9,2),B196&lt;'112'!$N$8,$L196='112'!$I$6)),"x",""))</f>
        <v/>
      </c>
      <c r="T196" s="51" t="str">
        <f>IF(ISERROR(FIND('112'!$M$9,G196,1)),"",IF((AND(RIGHT(G196,2)=RIGHT('112'!$M$9,2),B196&lt;'112'!$N$8,$M196='112'!$I$6)),"x",""))</f>
        <v/>
      </c>
      <c r="U196" s="51" t="str">
        <f>IF(AND(L196="154",'154'!$O$5&lt;=B196,'154'!$P$5&gt;=B196),"154",IF(AND(L196="632",'632'!$L$5&lt;=B196,'632'!$M$5&gt;=B196),"632",IF(AND(L196="642",'642'!$N$5&lt;=B196,'642'!$O$5&gt;=B196),"642",IF(AND(L196="641",'641'!$N$5&lt;=B196,'641'!$O$5&gt;=B196),"641",""))))</f>
        <v/>
      </c>
      <c r="V196" s="51" t="str">
        <f>IF(OR(TH!L196=TH!$V$7,M196=TH!$V$7),"x","")</f>
        <v/>
      </c>
      <c r="W196" s="51" t="str">
        <f>IF(AND(B196&gt;='IN-NX'!$P$3,B196&lt;='IN-NX'!$Q$3,'IN-NX'!$D$7=D196,OR(LEFT(L196,2)="15",AND(LEFT(M196,2)&lt;&gt;"15",LEFT(M196,2)&lt;&gt;"33"))),"x","")</f>
        <v/>
      </c>
      <c r="X196" s="51" t="str">
        <f>IF(AND(OR(LEFT(TH!L196,2)="15",LEFT(TH!M196,2)="15"),'152-CT'!$J$8=TH!F196),"x","")</f>
        <v/>
      </c>
      <c r="Y196" s="51" t="str">
        <f>IF(AND(OR(LEFT(TH!L196,2)="15",LEFT(TH!M196,2)="15"),TK!$E$7=TH!F196),"x","")</f>
        <v/>
      </c>
      <c r="Z196" s="51" t="str">
        <f>IF(AND(B196&lt;=NKC!$N$8,B196&gt;=NKC!$M$8),"x","")</f>
        <v/>
      </c>
      <c r="AA196" s="803"/>
      <c r="AB196" s="565"/>
    </row>
    <row r="197" spans="1:28" ht="15.75" customHeight="1">
      <c r="A197" s="804" t="str">
        <f>IF(B197&lt;&gt;"",IF(AND(B197&gt;=_TM1,B197&lt;=_TM2,OR(TH!L197="1111",TH!M197="1111")),TH!D197,""),"")</f>
        <v/>
      </c>
      <c r="B197" s="36">
        <f t="shared" si="10"/>
        <v>4</v>
      </c>
      <c r="C197" s="189">
        <f t="shared" si="11"/>
        <v>42111</v>
      </c>
      <c r="D197" s="189" t="s">
        <v>319</v>
      </c>
      <c r="E197" s="182">
        <v>42111</v>
      </c>
      <c r="F197" s="922" t="s">
        <v>1457</v>
      </c>
      <c r="G197" s="811" t="s">
        <v>415</v>
      </c>
      <c r="H197" s="202"/>
      <c r="I197" s="243"/>
      <c r="J197" s="243"/>
      <c r="K197" s="38">
        <v>1500000</v>
      </c>
      <c r="L197" s="192" t="s">
        <v>83</v>
      </c>
      <c r="M197" s="192" t="s">
        <v>63</v>
      </c>
      <c r="N197" s="51" t="str">
        <f>IF(AND('331-CT'!$E$7=TH!H197,OR(L197="331",M197="331")),"331",IF(AND(OR(L197="131",M197="131"),H197='131-CT'!$E$7),"131",""))</f>
        <v/>
      </c>
      <c r="O197" s="51" t="str">
        <f>IF(AND($B197&gt;='111'!$N$11,$B197&lt;='111'!$O$11,OR($L197=$O$7,$M197=$O$7)),"x","")</f>
        <v/>
      </c>
      <c r="P197" s="51" t="str">
        <f>IF(AND($L197=$O$7,$B197&lt;'111'!$N$11),"x","")</f>
        <v/>
      </c>
      <c r="Q197" s="51" t="str">
        <f>IF(AND($M197=$O$7,$B197&lt;'111'!$N$11),"x","")</f>
        <v/>
      </c>
      <c r="R197" s="51" t="str">
        <f>IF(ISERROR(FIND('112'!$M$9,G197,1)),"",IF((AND(FIND('112'!$M$9,G197,1)&gt;=1,$B197&gt;='112'!$N$8,$B197&lt;='112'!$O$8,OR($L197='112'!$I$6,$M197='112'!$I$6))),"x",""))</f>
        <v/>
      </c>
      <c r="S197" s="51" t="str">
        <f>IF(ISERROR(FIND('112'!$M$9,G197,1)),"",IF((AND(LEFT(G197,2)=LEFT('112'!$M$9,2),B197&lt;'112'!$N$8,$L197='112'!$I$6)),"x",""))</f>
        <v/>
      </c>
      <c r="T197" s="51" t="str">
        <f>IF(ISERROR(FIND('112'!$M$9,G197,1)),"",IF((AND(RIGHT(G197,2)=RIGHT('112'!$M$9,2),B197&lt;'112'!$N$8,$M197='112'!$I$6)),"x",""))</f>
        <v/>
      </c>
      <c r="U197" s="51" t="str">
        <f>IF(AND(L197="154",'154'!$O$5&lt;=B197,'154'!$P$5&gt;=B197),"154",IF(AND(L197="632",'632'!$L$5&lt;=B197,'632'!$M$5&gt;=B197),"632",IF(AND(L197="642",'642'!$N$5&lt;=B197,'642'!$O$5&gt;=B197),"642",IF(AND(L197="641",'641'!$N$5&lt;=B197,'641'!$O$5&gt;=B197),"641",""))))</f>
        <v>642</v>
      </c>
      <c r="V197" s="51" t="str">
        <f>IF(OR(TH!L197=TH!$V$7,M197=TH!$V$7),"x","")</f>
        <v>x</v>
      </c>
      <c r="W197" s="51" t="str">
        <f>IF(AND(B197&gt;='IN-NX'!$P$3,B197&lt;='IN-NX'!$Q$3,'IN-NX'!$D$7=D197,OR(LEFT(L197,2)="15",AND(LEFT(M197,2)&lt;&gt;"15",LEFT(M197,2)&lt;&gt;"33"))),"x","")</f>
        <v/>
      </c>
      <c r="X197" s="51" t="str">
        <f>IF(AND(OR(LEFT(TH!L197,2)="15",LEFT(TH!M197,2)="15"),'152-CT'!$J$8=TH!F197),"x","")</f>
        <v/>
      </c>
      <c r="Y197" s="51" t="str">
        <f>IF(AND(OR(LEFT(TH!L197,2)="15",LEFT(TH!M197,2)="15"),TK!$E$7=TH!F197),"x","")</f>
        <v/>
      </c>
      <c r="Z197" s="51" t="str">
        <f>IF(AND(B197&lt;=NKC!$N$8,B197&gt;=NKC!$M$8),"x","")</f>
        <v/>
      </c>
      <c r="AA197" s="803"/>
      <c r="AB197" s="565"/>
    </row>
    <row r="198" spans="1:28" ht="15.75" customHeight="1">
      <c r="A198" s="804" t="str">
        <f>IF(B198&lt;&gt;"",IF(AND(B198&gt;=_TM1,B198&lt;=_TM2,OR(TH!L198="1111",TH!M198="1111")),TH!D198,""),"")</f>
        <v/>
      </c>
      <c r="B198" s="36">
        <f t="shared" si="10"/>
        <v>4</v>
      </c>
      <c r="C198" s="189">
        <f t="shared" si="11"/>
        <v>42111</v>
      </c>
      <c r="D198" s="189" t="s">
        <v>422</v>
      </c>
      <c r="E198" s="182">
        <v>42111</v>
      </c>
      <c r="F198" s="922" t="s">
        <v>432</v>
      </c>
      <c r="G198" s="811" t="s">
        <v>415</v>
      </c>
      <c r="H198" s="202"/>
      <c r="I198" s="243"/>
      <c r="J198" s="243"/>
      <c r="K198" s="38">
        <v>945596</v>
      </c>
      <c r="L198" s="192" t="s">
        <v>61</v>
      </c>
      <c r="M198" s="192" t="s">
        <v>24</v>
      </c>
      <c r="N198" s="51" t="str">
        <f>IF(AND('331-CT'!$E$7=TH!H198,OR(L198="331",M198="331")),"331",IF(AND(OR(L198="131",M198="131"),H198='131-CT'!$E$7),"131",""))</f>
        <v/>
      </c>
      <c r="O198" s="51" t="str">
        <f>IF(AND($B198&gt;='111'!$N$11,$B198&lt;='111'!$O$11,OR($L198=$O$7,$M198=$O$7)),"x","")</f>
        <v/>
      </c>
      <c r="P198" s="51" t="str">
        <f>IF(AND($L198=$O$7,$B198&lt;'111'!$N$11),"x","")</f>
        <v/>
      </c>
      <c r="Q198" s="51" t="str">
        <f>IF(AND($M198=$O$7,$B198&lt;'111'!$N$11),"x","")</f>
        <v/>
      </c>
      <c r="R198" s="51" t="str">
        <f>IF(ISERROR(FIND('112'!$M$9,G198,1)),"",IF((AND(FIND('112'!$M$9,G198,1)&gt;=1,$B198&gt;='112'!$N$8,$B198&lt;='112'!$O$8,OR($L198='112'!$I$6,$M198='112'!$I$6))),"x",""))</f>
        <v/>
      </c>
      <c r="S198" s="51" t="str">
        <f>IF(ISERROR(FIND('112'!$M$9,G198,1)),"",IF((AND(LEFT(G198,2)=LEFT('112'!$M$9,2),B198&lt;'112'!$N$8,$L198='112'!$I$6)),"x",""))</f>
        <v/>
      </c>
      <c r="T198" s="51" t="str">
        <f>IF(ISERROR(FIND('112'!$M$9,G198,1)),"",IF((AND(RIGHT(G198,2)=RIGHT('112'!$M$9,2),B198&lt;'112'!$N$8,$M198='112'!$I$6)),"x",""))</f>
        <v/>
      </c>
      <c r="U198" s="51" t="str">
        <f>IF(AND(L198="154",'154'!$O$5&lt;=B198,'154'!$P$5&gt;=B198),"154",IF(AND(L198="632",'632'!$L$5&lt;=B198,'632'!$M$5&gt;=B198),"632",IF(AND(L198="642",'642'!$N$5&lt;=B198,'642'!$O$5&gt;=B198),"642",IF(AND(L198="641",'641'!$N$5&lt;=B198,'641'!$O$5&gt;=B198),"641",""))))</f>
        <v/>
      </c>
      <c r="V198" s="51" t="str">
        <f>IF(OR(TH!L198=TH!$V$7,M198=TH!$V$7),"x","")</f>
        <v/>
      </c>
      <c r="W198" s="51" t="str">
        <f>IF(AND(B198&gt;='IN-NX'!$P$3,B198&lt;='IN-NX'!$Q$3,'IN-NX'!$D$7=D198,OR(LEFT(L198,2)="15",AND(LEFT(M198,2)&lt;&gt;"15",LEFT(M198,2)&lt;&gt;"33"))),"x","")</f>
        <v/>
      </c>
      <c r="X198" s="51" t="str">
        <f>IF(AND(OR(LEFT(TH!L198,2)="15",LEFT(TH!M198,2)="15"),'152-CT'!$J$8=TH!F198),"x","")</f>
        <v/>
      </c>
      <c r="Y198" s="51" t="str">
        <f>IF(AND(OR(LEFT(TH!L198,2)="15",LEFT(TH!M198,2)="15"),TK!$E$7=TH!F198),"x","")</f>
        <v/>
      </c>
      <c r="Z198" s="51" t="str">
        <f>IF(AND(B198&lt;=NKC!$N$8,B198&gt;=NKC!$M$8),"x","")</f>
        <v/>
      </c>
      <c r="AA198" s="803"/>
      <c r="AB198" s="565"/>
    </row>
    <row r="199" spans="1:28" ht="15.75" customHeight="1">
      <c r="A199" s="804" t="str">
        <f>IF(B199&lt;&gt;"",IF(AND(B199&gt;=_TM1,B199&lt;=_TM2,OR(TH!L199="1111",TH!M199="1111")),TH!D199,""),"")</f>
        <v/>
      </c>
      <c r="B199" s="36">
        <f t="shared" si="10"/>
        <v>4</v>
      </c>
      <c r="C199" s="189">
        <f t="shared" si="11"/>
        <v>42111</v>
      </c>
      <c r="D199" s="189" t="s">
        <v>422</v>
      </c>
      <c r="E199" s="182">
        <v>42111</v>
      </c>
      <c r="F199" s="922" t="s">
        <v>443</v>
      </c>
      <c r="G199" s="811" t="s">
        <v>415</v>
      </c>
      <c r="H199" s="202"/>
      <c r="I199" s="243"/>
      <c r="J199" s="243"/>
      <c r="K199" s="38">
        <v>11000</v>
      </c>
      <c r="L199" s="192" t="s">
        <v>83</v>
      </c>
      <c r="M199" s="192" t="s">
        <v>24</v>
      </c>
      <c r="N199" s="51" t="str">
        <f>IF(AND('331-CT'!$E$7=TH!H199,OR(L199="331",M199="331")),"331",IF(AND(OR(L199="131",M199="131"),H199='131-CT'!$E$7),"131",""))</f>
        <v/>
      </c>
      <c r="O199" s="51" t="str">
        <f>IF(AND($B199&gt;='111'!$N$11,$B199&lt;='111'!$O$11,OR($L199=$O$7,$M199=$O$7)),"x","")</f>
        <v/>
      </c>
      <c r="P199" s="51" t="str">
        <f>IF(AND($L199=$O$7,$B199&lt;'111'!$N$11),"x","")</f>
        <v/>
      </c>
      <c r="Q199" s="51" t="str">
        <f>IF(AND($M199=$O$7,$B199&lt;'111'!$N$11),"x","")</f>
        <v/>
      </c>
      <c r="R199" s="51" t="str">
        <f>IF(ISERROR(FIND('112'!$M$9,G199,1)),"",IF((AND(FIND('112'!$M$9,G199,1)&gt;=1,$B199&gt;='112'!$N$8,$B199&lt;='112'!$O$8,OR($L199='112'!$I$6,$M199='112'!$I$6))),"x",""))</f>
        <v/>
      </c>
      <c r="S199" s="51" t="str">
        <f>IF(ISERROR(FIND('112'!$M$9,G199,1)),"",IF((AND(LEFT(G199,2)=LEFT('112'!$M$9,2),B199&lt;'112'!$N$8,$L199='112'!$I$6)),"x",""))</f>
        <v/>
      </c>
      <c r="T199" s="51" t="str">
        <f>IF(ISERROR(FIND('112'!$M$9,G199,1)),"",IF((AND(RIGHT(G199,2)=RIGHT('112'!$M$9,2),B199&lt;'112'!$N$8,$M199='112'!$I$6)),"x",""))</f>
        <v/>
      </c>
      <c r="U199" s="51" t="str">
        <f>IF(AND(L199="154",'154'!$O$5&lt;=B199,'154'!$P$5&gt;=B199),"154",IF(AND(L199="632",'632'!$L$5&lt;=B199,'632'!$M$5&gt;=B199),"632",IF(AND(L199="642",'642'!$N$5&lt;=B199,'642'!$O$5&gt;=B199),"642",IF(AND(L199="641",'641'!$N$5&lt;=B199,'641'!$O$5&gt;=B199),"641",""))))</f>
        <v>642</v>
      </c>
      <c r="V199" s="51" t="str">
        <f>IF(OR(TH!L199=TH!$V$7,M199=TH!$V$7),"x","")</f>
        <v>x</v>
      </c>
      <c r="W199" s="51" t="str">
        <f>IF(AND(B199&gt;='IN-NX'!$P$3,B199&lt;='IN-NX'!$Q$3,'IN-NX'!$D$7=D199,OR(LEFT(L199,2)="15",AND(LEFT(M199,2)&lt;&gt;"15",LEFT(M199,2)&lt;&gt;"33"))),"x","")</f>
        <v/>
      </c>
      <c r="X199" s="51" t="str">
        <f>IF(AND(OR(LEFT(TH!L199,2)="15",LEFT(TH!M199,2)="15"),'152-CT'!$J$8=TH!F199),"x","")</f>
        <v/>
      </c>
      <c r="Y199" s="51" t="str">
        <f>IF(AND(OR(LEFT(TH!L199,2)="15",LEFT(TH!M199,2)="15"),TK!$E$7=TH!F199),"x","")</f>
        <v/>
      </c>
      <c r="Z199" s="51" t="str">
        <f>IF(AND(B199&lt;=NKC!$N$8,B199&gt;=NKC!$M$8),"x","")</f>
        <v/>
      </c>
      <c r="AA199" s="803"/>
      <c r="AB199" s="565"/>
    </row>
    <row r="200" spans="1:28" ht="15.75" customHeight="1">
      <c r="A200" s="804" t="str">
        <f>IF(B200&lt;&gt;"",IF(AND(B200&gt;=_TM1,B200&lt;=_TM2,OR(TH!L200="1111",TH!M200="1111")),TH!D200,""),"")</f>
        <v/>
      </c>
      <c r="B200" s="36">
        <f t="shared" si="10"/>
        <v>4</v>
      </c>
      <c r="C200" s="189">
        <f t="shared" si="11"/>
        <v>42111</v>
      </c>
      <c r="D200" s="189" t="s">
        <v>1341</v>
      </c>
      <c r="E200" s="189">
        <v>42111</v>
      </c>
      <c r="F200" s="922" t="s">
        <v>515</v>
      </c>
      <c r="G200" s="813" t="s">
        <v>514</v>
      </c>
      <c r="H200" s="191" t="s">
        <v>513</v>
      </c>
      <c r="I200" s="243"/>
      <c r="J200" s="243"/>
      <c r="K200" s="573">
        <v>2309769</v>
      </c>
      <c r="L200" s="574" t="s">
        <v>83</v>
      </c>
      <c r="M200" s="574" t="s">
        <v>47</v>
      </c>
      <c r="N200" s="51" t="str">
        <f>IF(AND('331-CT'!$E$7=TH!H200,OR(L200="331",M200="331")),"331",IF(AND(OR(L200="131",M200="131"),H200='131-CT'!$E$7),"131",""))</f>
        <v/>
      </c>
      <c r="O200" s="51" t="str">
        <f>IF(AND($B200&gt;='111'!$N$11,$B200&lt;='111'!$O$11,OR($L200=$O$7,$M200=$O$7)),"x","")</f>
        <v/>
      </c>
      <c r="P200" s="51" t="str">
        <f>IF(AND($L200=$O$7,$B200&lt;'111'!$N$11),"x","")</f>
        <v/>
      </c>
      <c r="Q200" s="51" t="str">
        <f>IF(AND($M200=$O$7,$B200&lt;'111'!$N$11),"x","")</f>
        <v>x</v>
      </c>
      <c r="R200" s="51" t="str">
        <f>IF(ISERROR(FIND('112'!$M$9,G200,1)),"",IF((AND(FIND('112'!$M$9,G200,1)&gt;=1,$B200&gt;='112'!$N$8,$B200&lt;='112'!$O$8,OR($L200='112'!$I$6,$M200='112'!$I$6))),"x",""))</f>
        <v/>
      </c>
      <c r="S200" s="51" t="str">
        <f>IF(ISERROR(FIND('112'!$M$9,G200,1)),"",IF((AND(LEFT(G200,2)=LEFT('112'!$M$9,2),B200&lt;'112'!$N$8,$L200='112'!$I$6)),"x",""))</f>
        <v/>
      </c>
      <c r="T200" s="51" t="str">
        <f>IF(ISERROR(FIND('112'!$M$9,G200,1)),"",IF((AND(RIGHT(G200,2)=RIGHT('112'!$M$9,2),B200&lt;'112'!$N$8,$M200='112'!$I$6)),"x",""))</f>
        <v/>
      </c>
      <c r="U200" s="51" t="str">
        <f>IF(AND(L200="154",'154'!$O$5&lt;=B200,'154'!$P$5&gt;=B200),"154",IF(AND(L200="632",'632'!$L$5&lt;=B200,'632'!$M$5&gt;=B200),"632",IF(AND(L200="642",'642'!$N$5&lt;=B200,'642'!$O$5&gt;=B200),"642",IF(AND(L200="641",'641'!$N$5&lt;=B200,'641'!$O$5&gt;=B200),"641",""))))</f>
        <v>642</v>
      </c>
      <c r="V200" s="51" t="str">
        <f>IF(OR(TH!L200=TH!$V$7,M200=TH!$V$7),"x","")</f>
        <v>x</v>
      </c>
      <c r="W200" s="51" t="str">
        <f>IF(AND(B200&gt;='IN-NX'!$P$3,B200&lt;='IN-NX'!$Q$3,'IN-NX'!$D$7=D200,OR(LEFT(L200,2)="15",AND(LEFT(M200,2)&lt;&gt;"15",LEFT(M200,2)&lt;&gt;"33"))),"x","")</f>
        <v/>
      </c>
      <c r="X200" s="51" t="str">
        <f>IF(AND(OR(LEFT(TH!L200,2)="15",LEFT(TH!M200,2)="15"),'152-CT'!$J$8=TH!F200),"x","")</f>
        <v/>
      </c>
      <c r="Y200" s="51" t="str">
        <f>IF(AND(OR(LEFT(TH!L200,2)="15",LEFT(TH!M200,2)="15"),TK!$E$7=TH!F200),"x","")</f>
        <v/>
      </c>
      <c r="Z200" s="51" t="str">
        <f>IF(AND(B200&lt;=NKC!$N$8,B200&gt;=NKC!$M$8),"x","")</f>
        <v/>
      </c>
      <c r="AA200" s="803"/>
      <c r="AB200" s="565"/>
    </row>
    <row r="201" spans="1:28" ht="15.75" customHeight="1">
      <c r="A201" s="804" t="str">
        <f>IF(B201&lt;&gt;"",IF(AND(B201&gt;=_TM1,B201&lt;=_TM2,OR(TH!L201="1111",TH!M201="1111")),TH!D201,""),"")</f>
        <v/>
      </c>
      <c r="B201" s="36">
        <f t="shared" si="10"/>
        <v>4</v>
      </c>
      <c r="C201" s="189">
        <f t="shared" si="11"/>
        <v>42111</v>
      </c>
      <c r="D201" s="189" t="s">
        <v>1341</v>
      </c>
      <c r="E201" s="189">
        <v>42111</v>
      </c>
      <c r="F201" s="922" t="s">
        <v>516</v>
      </c>
      <c r="G201" s="813" t="s">
        <v>514</v>
      </c>
      <c r="H201" s="191" t="s">
        <v>513</v>
      </c>
      <c r="I201" s="756"/>
      <c r="J201" s="243"/>
      <c r="K201" s="573">
        <v>230977</v>
      </c>
      <c r="L201" s="574" t="s">
        <v>9</v>
      </c>
      <c r="M201" s="574" t="s">
        <v>47</v>
      </c>
      <c r="N201" s="51" t="str">
        <f>IF(AND('331-CT'!$E$7=TH!H201,OR(L201="331",M201="331")),"331",IF(AND(OR(L201="131",M201="131"),H201='131-CT'!$E$7),"131",""))</f>
        <v/>
      </c>
      <c r="O201" s="51" t="str">
        <f>IF(AND($B201&gt;='111'!$N$11,$B201&lt;='111'!$O$11,OR($L201=$O$7,$M201=$O$7)),"x","")</f>
        <v/>
      </c>
      <c r="P201" s="51" t="str">
        <f>IF(AND($L201=$O$7,$B201&lt;'111'!$N$11),"x","")</f>
        <v/>
      </c>
      <c r="Q201" s="51" t="str">
        <f>IF(AND($M201=$O$7,$B201&lt;'111'!$N$11),"x","")</f>
        <v>x</v>
      </c>
      <c r="R201" s="51" t="str">
        <f>IF(ISERROR(FIND('112'!$M$9,G201,1)),"",IF((AND(FIND('112'!$M$9,G201,1)&gt;=1,$B201&gt;='112'!$N$8,$B201&lt;='112'!$O$8,OR($L201='112'!$I$6,$M201='112'!$I$6))),"x",""))</f>
        <v/>
      </c>
      <c r="S201" s="51" t="str">
        <f>IF(ISERROR(FIND('112'!$M$9,G201,1)),"",IF((AND(LEFT(G201,2)=LEFT('112'!$M$9,2),B201&lt;'112'!$N$8,$L201='112'!$I$6)),"x",""))</f>
        <v/>
      </c>
      <c r="T201" s="51" t="str">
        <f>IF(ISERROR(FIND('112'!$M$9,G201,1)),"",IF((AND(RIGHT(G201,2)=RIGHT('112'!$M$9,2),B201&lt;'112'!$N$8,$M201='112'!$I$6)),"x",""))</f>
        <v/>
      </c>
      <c r="U201" s="51" t="str">
        <f>IF(AND(L201="154",'154'!$O$5&lt;=B201,'154'!$P$5&gt;=B201),"154",IF(AND(L201="632",'632'!$L$5&lt;=B201,'632'!$M$5&gt;=B201),"632",IF(AND(L201="642",'642'!$N$5&lt;=B201,'642'!$O$5&gt;=B201),"642",IF(AND(L201="641",'641'!$N$5&lt;=B201,'641'!$O$5&gt;=B201),"641",""))))</f>
        <v/>
      </c>
      <c r="V201" s="51" t="str">
        <f>IF(OR(TH!L201=TH!$V$7,M201=TH!$V$7),"x","")</f>
        <v/>
      </c>
      <c r="W201" s="51" t="str">
        <f>IF(AND(B201&gt;='IN-NX'!$P$3,B201&lt;='IN-NX'!$Q$3,'IN-NX'!$D$7=D201,OR(LEFT(L201,2)="15",AND(LEFT(M201,2)&lt;&gt;"15",LEFT(M201,2)&lt;&gt;"33"))),"x","")</f>
        <v/>
      </c>
      <c r="X201" s="51" t="str">
        <f>IF(AND(OR(LEFT(TH!L201,2)="15",LEFT(TH!M201,2)="15"),'152-CT'!$J$8=TH!F201),"x","")</f>
        <v/>
      </c>
      <c r="Y201" s="51" t="str">
        <f>IF(AND(OR(LEFT(TH!L201,2)="15",LEFT(TH!M201,2)="15"),TK!$E$7=TH!F201),"x","")</f>
        <v/>
      </c>
      <c r="Z201" s="51" t="str">
        <f>IF(AND(B201&lt;=NKC!$N$8,B201&gt;=NKC!$M$8),"x","")</f>
        <v/>
      </c>
      <c r="AA201" s="803">
        <v>2</v>
      </c>
      <c r="AB201" s="565"/>
    </row>
    <row r="202" spans="1:28" ht="15.75" customHeight="1">
      <c r="A202" s="804" t="str">
        <f>IF(B202&lt;&gt;"",IF(AND(B202&gt;=_TM1,B202&lt;=_TM2,OR(TH!L202="1111",TH!M202="1111")),TH!D202,""),"")</f>
        <v/>
      </c>
      <c r="B202" s="36">
        <f t="shared" si="10"/>
        <v>4</v>
      </c>
      <c r="C202" s="189">
        <f t="shared" si="11"/>
        <v>42114</v>
      </c>
      <c r="D202" s="189" t="s">
        <v>1338</v>
      </c>
      <c r="E202" s="189">
        <v>42114</v>
      </c>
      <c r="F202" s="926" t="s">
        <v>964</v>
      </c>
      <c r="G202" s="813" t="s">
        <v>986</v>
      </c>
      <c r="H202" s="191" t="s">
        <v>975</v>
      </c>
      <c r="I202" s="243"/>
      <c r="J202" s="243"/>
      <c r="K202" s="573">
        <v>4600000</v>
      </c>
      <c r="L202" s="574" t="s">
        <v>47</v>
      </c>
      <c r="M202" s="574" t="s">
        <v>408</v>
      </c>
      <c r="N202" s="51" t="str">
        <f>IF(AND('331-CT'!$E$7=TH!H202,OR(L202="331",M202="331")),"331",IF(AND(OR(L202="131",M202="131"),H202='131-CT'!$E$7),"131",""))</f>
        <v/>
      </c>
      <c r="O202" s="51" t="str">
        <f>IF(AND($B202&gt;='111'!$N$11,$B202&lt;='111'!$O$11,OR($L202=$O$7,$M202=$O$7)),"x","")</f>
        <v/>
      </c>
      <c r="P202" s="51" t="str">
        <f>IF(AND($L202=$O$7,$B202&lt;'111'!$N$11),"x","")</f>
        <v>x</v>
      </c>
      <c r="Q202" s="51" t="str">
        <f>IF(AND($M202=$O$7,$B202&lt;'111'!$N$11),"x","")</f>
        <v/>
      </c>
      <c r="R202" s="51" t="str">
        <f>IF(ISERROR(FIND('112'!$M$9,G202,1)),"",IF((AND(FIND('112'!$M$9,G202,1)&gt;=1,$B202&gt;='112'!$N$8,$B202&lt;='112'!$O$8,OR($L202='112'!$I$6,$M202='112'!$I$6))),"x",""))</f>
        <v/>
      </c>
      <c r="S202" s="51" t="str">
        <f>IF(ISERROR(FIND('112'!$M$9,G202,1)),"",IF((AND(LEFT(G202,2)=LEFT('112'!$M$9,2),B202&lt;'112'!$N$8,$L202='112'!$I$6)),"x",""))</f>
        <v/>
      </c>
      <c r="T202" s="51" t="str">
        <f>IF(ISERROR(FIND('112'!$M$9,G202,1)),"",IF((AND(RIGHT(G202,2)=RIGHT('112'!$M$9,2),B202&lt;'112'!$N$8,$M202='112'!$I$6)),"x",""))</f>
        <v/>
      </c>
      <c r="U202" s="51" t="str">
        <f>IF(AND(L202="154",'154'!$O$5&lt;=B202,'154'!$P$5&gt;=B202),"154",IF(AND(L202="632",'632'!$L$5&lt;=B202,'632'!$M$5&gt;=B202),"632",IF(AND(L202="642",'642'!$N$5&lt;=B202,'642'!$O$5&gt;=B202),"642",IF(AND(L202="641",'641'!$N$5&lt;=B202,'641'!$O$5&gt;=B202),"641",""))))</f>
        <v/>
      </c>
      <c r="V202" s="51" t="str">
        <f>IF(OR(TH!L202=TH!$V$7,M202=TH!$V$7),"x","")</f>
        <v/>
      </c>
      <c r="W202" s="51" t="str">
        <f>IF(AND(B202&gt;='IN-NX'!$P$3,B202&lt;='IN-NX'!$Q$3,'IN-NX'!$D$7=D202,OR(LEFT(L202,2)="15",AND(LEFT(M202,2)&lt;&gt;"15",LEFT(M202,2)&lt;&gt;"33"))),"x","")</f>
        <v/>
      </c>
      <c r="X202" s="51" t="str">
        <f>IF(AND(OR(LEFT(TH!L202,2)="15",LEFT(TH!M202,2)="15"),'152-CT'!$J$8=TH!F202),"x","")</f>
        <v/>
      </c>
      <c r="Y202" s="51" t="str">
        <f>IF(AND(OR(LEFT(TH!L202,2)="15",LEFT(TH!M202,2)="15"),TK!$E$7=TH!F202),"x","")</f>
        <v/>
      </c>
      <c r="Z202" s="51" t="str">
        <f>IF(AND(B202&lt;=NKC!$N$8,B202&gt;=NKC!$M$8),"x","")</f>
        <v/>
      </c>
      <c r="AA202" s="803"/>
      <c r="AB202" s="565"/>
    </row>
    <row r="203" spans="1:28" ht="15.75" customHeight="1">
      <c r="A203" s="804" t="str">
        <f>IF(B203&lt;&gt;"",IF(AND(B203&gt;=_TM1,B203&lt;=_TM2,OR(TH!L203="1111",TH!M203="1111")),TH!D203,""),"")</f>
        <v/>
      </c>
      <c r="B203" s="36">
        <f t="shared" si="10"/>
        <v>4</v>
      </c>
      <c r="C203" s="189">
        <f t="shared" si="11"/>
        <v>42114</v>
      </c>
      <c r="D203" s="189" t="s">
        <v>1338</v>
      </c>
      <c r="E203" s="189">
        <v>42114</v>
      </c>
      <c r="F203" s="926" t="s">
        <v>1110</v>
      </c>
      <c r="G203" s="813" t="s">
        <v>986</v>
      </c>
      <c r="H203" s="191" t="s">
        <v>975</v>
      </c>
      <c r="I203" s="243"/>
      <c r="J203" s="243"/>
      <c r="K203" s="573">
        <v>460000</v>
      </c>
      <c r="L203" s="574" t="s">
        <v>47</v>
      </c>
      <c r="M203" s="574" t="s">
        <v>352</v>
      </c>
      <c r="N203" s="51" t="str">
        <f>IF(AND('331-CT'!$E$7=TH!H203,OR(L203="331",M203="331")),"331",IF(AND(OR(L203="131",M203="131"),H203='131-CT'!$E$7),"131",""))</f>
        <v/>
      </c>
      <c r="O203" s="51" t="str">
        <f>IF(AND($B203&gt;='111'!$N$11,$B203&lt;='111'!$O$11,OR($L203=$O$7,$M203=$O$7)),"x","")</f>
        <v/>
      </c>
      <c r="P203" s="51" t="str">
        <f>IF(AND($L203=$O$7,$B203&lt;'111'!$N$11),"x","")</f>
        <v>x</v>
      </c>
      <c r="Q203" s="51" t="str">
        <f>IF(AND($M203=$O$7,$B203&lt;'111'!$N$11),"x","")</f>
        <v/>
      </c>
      <c r="R203" s="51" t="str">
        <f>IF(ISERROR(FIND('112'!$M$9,G203,1)),"",IF((AND(FIND('112'!$M$9,G203,1)&gt;=1,$B203&gt;='112'!$N$8,$B203&lt;='112'!$O$8,OR($L203='112'!$I$6,$M203='112'!$I$6))),"x",""))</f>
        <v/>
      </c>
      <c r="S203" s="51" t="str">
        <f>IF(ISERROR(FIND('112'!$M$9,G203,1)),"",IF((AND(LEFT(G203,2)=LEFT('112'!$M$9,2),B203&lt;'112'!$N$8,$L203='112'!$I$6)),"x",""))</f>
        <v/>
      </c>
      <c r="T203" s="51" t="str">
        <f>IF(ISERROR(FIND('112'!$M$9,G203,1)),"",IF((AND(RIGHT(G203,2)=RIGHT('112'!$M$9,2),B203&lt;'112'!$N$8,$M203='112'!$I$6)),"x",""))</f>
        <v/>
      </c>
      <c r="U203" s="51" t="str">
        <f>IF(AND(L203="154",'154'!$O$5&lt;=B203,'154'!$P$5&gt;=B203),"154",IF(AND(L203="632",'632'!$L$5&lt;=B203,'632'!$M$5&gt;=B203),"632",IF(AND(L203="642",'642'!$N$5&lt;=B203,'642'!$O$5&gt;=B203),"642",IF(AND(L203="641",'641'!$N$5&lt;=B203,'641'!$O$5&gt;=B203),"641",""))))</f>
        <v/>
      </c>
      <c r="V203" s="51" t="str">
        <f>IF(OR(TH!L203=TH!$V$7,M203=TH!$V$7),"x","")</f>
        <v/>
      </c>
      <c r="W203" s="51" t="str">
        <f>IF(AND(B203&gt;='IN-NX'!$P$3,B203&lt;='IN-NX'!$Q$3,'IN-NX'!$D$7=D203,OR(LEFT(L203,2)="15",AND(LEFT(M203,2)&lt;&gt;"15",LEFT(M203,2)&lt;&gt;"33"))),"x","")</f>
        <v/>
      </c>
      <c r="X203" s="51" t="str">
        <f>IF(AND(OR(LEFT(TH!L203,2)="15",LEFT(TH!M203,2)="15"),'152-CT'!$J$8=TH!F203),"x","")</f>
        <v/>
      </c>
      <c r="Y203" s="51" t="str">
        <f>IF(AND(OR(LEFT(TH!L203,2)="15",LEFT(TH!M203,2)="15"),TK!$E$7=TH!F203),"x","")</f>
        <v/>
      </c>
      <c r="Z203" s="51" t="str">
        <f>IF(AND(B203&lt;=NKC!$N$8,B203&gt;=NKC!$M$8),"x","")</f>
        <v/>
      </c>
      <c r="AA203" s="803"/>
      <c r="AB203" s="565"/>
    </row>
    <row r="204" spans="1:28" ht="15.75" customHeight="1">
      <c r="A204" s="804" t="str">
        <f>IF(B204&lt;&gt;"",IF(AND(B204&gt;=_TM1,B204&lt;=_TM2,OR(TH!L204="1111",TH!M204="1111")),TH!D204,""),"")</f>
        <v/>
      </c>
      <c r="B204" s="36">
        <f t="shared" si="10"/>
        <v>4</v>
      </c>
      <c r="C204" s="189">
        <f t="shared" si="11"/>
        <v>42117</v>
      </c>
      <c r="D204" s="189" t="s">
        <v>421</v>
      </c>
      <c r="E204" s="182">
        <v>42117</v>
      </c>
      <c r="F204" s="922" t="s">
        <v>423</v>
      </c>
      <c r="G204" s="811" t="s">
        <v>415</v>
      </c>
      <c r="H204" s="202" t="s">
        <v>424</v>
      </c>
      <c r="I204" s="243"/>
      <c r="J204" s="243"/>
      <c r="K204" s="38">
        <v>7990400</v>
      </c>
      <c r="L204" s="192" t="s">
        <v>24</v>
      </c>
      <c r="M204" s="192" t="s">
        <v>250</v>
      </c>
      <c r="N204" s="51" t="str">
        <f>IF(AND('331-CT'!$E$7=TH!H204,OR(L204="331",M204="331")),"331",IF(AND(OR(L204="131",M204="131"),H204='131-CT'!$E$7),"131",""))</f>
        <v/>
      </c>
      <c r="O204" s="51" t="str">
        <f>IF(AND($B204&gt;='111'!$N$11,$B204&lt;='111'!$O$11,OR($L204=$O$7,$M204=$O$7)),"x","")</f>
        <v/>
      </c>
      <c r="P204" s="51" t="str">
        <f>IF(AND($L204=$O$7,$B204&lt;'111'!$N$11),"x","")</f>
        <v/>
      </c>
      <c r="Q204" s="51" t="str">
        <f>IF(AND($M204=$O$7,$B204&lt;'111'!$N$11),"x","")</f>
        <v/>
      </c>
      <c r="R204" s="51" t="str">
        <f>IF(ISERROR(FIND('112'!$M$9,G204,1)),"",IF((AND(FIND('112'!$M$9,G204,1)&gt;=1,$B204&gt;='112'!$N$8,$B204&lt;='112'!$O$8,OR($L204='112'!$I$6,$M204='112'!$I$6))),"x",""))</f>
        <v/>
      </c>
      <c r="S204" s="51" t="str">
        <f>IF(ISERROR(FIND('112'!$M$9,G204,1)),"",IF((AND(LEFT(G204,2)=LEFT('112'!$M$9,2),B204&lt;'112'!$N$8,$L204='112'!$I$6)),"x",""))</f>
        <v/>
      </c>
      <c r="T204" s="51" t="str">
        <f>IF(ISERROR(FIND('112'!$M$9,G204,1)),"",IF((AND(RIGHT(G204,2)=RIGHT('112'!$M$9,2),B204&lt;'112'!$N$8,$M204='112'!$I$6)),"x",""))</f>
        <v/>
      </c>
      <c r="U204" s="51" t="str">
        <f>IF(AND(L204="154",'154'!$O$5&lt;=B204,'154'!$P$5&gt;=B204),"154",IF(AND(L204="632",'632'!$L$5&lt;=B204,'632'!$M$5&gt;=B204),"632",IF(AND(L204="642",'642'!$N$5&lt;=B204,'642'!$O$5&gt;=B204),"642",IF(AND(L204="641",'641'!$N$5&lt;=B204,'641'!$O$5&gt;=B204),"641",""))))</f>
        <v/>
      </c>
      <c r="V204" s="51" t="str">
        <f>IF(OR(TH!L204=TH!$V$7,M204=TH!$V$7),"x","")</f>
        <v/>
      </c>
      <c r="W204" s="51" t="str">
        <f>IF(AND(B204&gt;='IN-NX'!$P$3,B204&lt;='IN-NX'!$Q$3,'IN-NX'!$D$7=D204,OR(LEFT(L204,2)="15",AND(LEFT(M204,2)&lt;&gt;"15",LEFT(M204,2)&lt;&gt;"33"))),"x","")</f>
        <v/>
      </c>
      <c r="X204" s="51" t="str">
        <f>IF(AND(OR(LEFT(TH!L204,2)="15",LEFT(TH!M204,2)="15"),'152-CT'!$J$8=TH!F204),"x","")</f>
        <v/>
      </c>
      <c r="Y204" s="51" t="str">
        <f>IF(AND(OR(LEFT(TH!L204,2)="15",LEFT(TH!M204,2)="15"),TK!$E$7=TH!F204),"x","")</f>
        <v/>
      </c>
      <c r="Z204" s="51" t="str">
        <f>IF(AND(B204&lt;=NKC!$N$8,B204&gt;=NKC!$M$8),"x","")</f>
        <v/>
      </c>
      <c r="AA204" s="803"/>
      <c r="AB204" s="565"/>
    </row>
    <row r="205" spans="1:28" ht="15.75" customHeight="1">
      <c r="A205" s="804" t="str">
        <f>IF(B205&lt;&gt;"",IF(AND(B205&gt;=_TM1,B205&lt;=_TM2,OR(TH!L205="1111",TH!M205="1111")),TH!D205,""),"")</f>
        <v/>
      </c>
      <c r="B205" s="36">
        <f t="shared" si="10"/>
        <v>4</v>
      </c>
      <c r="C205" s="189">
        <f t="shared" si="11"/>
        <v>42118</v>
      </c>
      <c r="D205" s="189" t="s">
        <v>1339</v>
      </c>
      <c r="E205" s="182">
        <v>42118</v>
      </c>
      <c r="F205" s="187" t="s">
        <v>427</v>
      </c>
      <c r="G205" s="811" t="s">
        <v>415</v>
      </c>
      <c r="H205" s="7" t="s">
        <v>428</v>
      </c>
      <c r="I205" s="243"/>
      <c r="J205" s="243"/>
      <c r="K205" s="38">
        <v>8000000</v>
      </c>
      <c r="L205" s="192" t="s">
        <v>47</v>
      </c>
      <c r="M205" s="192" t="s">
        <v>24</v>
      </c>
      <c r="N205" s="51" t="str">
        <f>IF(AND('331-CT'!$E$7=TH!H205,OR(L205="331",M205="331")),"331",IF(AND(OR(L205="131",M205="131"),H205='131-CT'!$E$7),"131",""))</f>
        <v/>
      </c>
      <c r="O205" s="51" t="str">
        <f>IF(AND($B205&gt;='111'!$N$11,$B205&lt;='111'!$O$11,OR($L205=$O$7,$M205=$O$7)),"x","")</f>
        <v/>
      </c>
      <c r="P205" s="51" t="str">
        <f>IF(AND($L205=$O$7,$B205&lt;'111'!$N$11),"x","")</f>
        <v>x</v>
      </c>
      <c r="Q205" s="51" t="str">
        <f>IF(AND($M205=$O$7,$B205&lt;'111'!$N$11),"x","")</f>
        <v/>
      </c>
      <c r="R205" s="51" t="str">
        <f>IF(ISERROR(FIND('112'!$M$9,G205,1)),"",IF((AND(FIND('112'!$M$9,G205,1)&gt;=1,$B205&gt;='112'!$N$8,$B205&lt;='112'!$O$8,OR($L205='112'!$I$6,$M205='112'!$I$6))),"x",""))</f>
        <v/>
      </c>
      <c r="S205" s="51" t="str">
        <f>IF(ISERROR(FIND('112'!$M$9,G205,1)),"",IF((AND(LEFT(G205,2)=LEFT('112'!$M$9,2),B205&lt;'112'!$N$8,$L205='112'!$I$6)),"x",""))</f>
        <v/>
      </c>
      <c r="T205" s="51" t="str">
        <f>IF(ISERROR(FIND('112'!$M$9,G205,1)),"",IF((AND(RIGHT(G205,2)=RIGHT('112'!$M$9,2),B205&lt;'112'!$N$8,$M205='112'!$I$6)),"x",""))</f>
        <v/>
      </c>
      <c r="U205" s="51" t="str">
        <f>IF(AND(L205="154",'154'!$O$5&lt;=B205,'154'!$P$5&gt;=B205),"154",IF(AND(L205="632",'632'!$L$5&lt;=B205,'632'!$M$5&gt;=B205),"632",IF(AND(L205="642",'642'!$N$5&lt;=B205,'642'!$O$5&gt;=B205),"642",IF(AND(L205="641",'641'!$N$5&lt;=B205,'641'!$O$5&gt;=B205),"641",""))))</f>
        <v/>
      </c>
      <c r="V205" s="51" t="str">
        <f>IF(OR(TH!L205=TH!$V$7,M205=TH!$V$7),"x","")</f>
        <v/>
      </c>
      <c r="W205" s="51" t="str">
        <f>IF(AND(B205&gt;='IN-NX'!$P$3,B205&lt;='IN-NX'!$Q$3,'IN-NX'!$D$7=D205,OR(LEFT(L205,2)="15",AND(LEFT(M205,2)&lt;&gt;"15",LEFT(M205,2)&lt;&gt;"33"))),"x","")</f>
        <v/>
      </c>
      <c r="X205" s="51" t="str">
        <f>IF(AND(OR(LEFT(TH!L205,2)="15",LEFT(TH!M205,2)="15"),'152-CT'!$J$8=TH!F205),"x","")</f>
        <v/>
      </c>
      <c r="Y205" s="51" t="str">
        <f>IF(AND(OR(LEFT(TH!L205,2)="15",LEFT(TH!M205,2)="15"),TK!$E$7=TH!F205),"x","")</f>
        <v/>
      </c>
      <c r="Z205" s="51" t="str">
        <f>IF(AND(B205&lt;=NKC!$N$8,B205&gt;=NKC!$M$8),"x","")</f>
        <v/>
      </c>
      <c r="AA205" s="803"/>
      <c r="AB205" s="565"/>
    </row>
    <row r="206" spans="1:28" ht="15.75" customHeight="1">
      <c r="A206" s="804" t="str">
        <f>IF(B206&lt;&gt;"",IF(AND(B206&gt;=_TM1,B206&lt;=_TM2,OR(TH!L206="1111",TH!M206="1111")),TH!D206,""),"")</f>
        <v/>
      </c>
      <c r="B206" s="36">
        <f t="shared" si="10"/>
        <v>4</v>
      </c>
      <c r="C206" s="189">
        <f t="shared" si="11"/>
        <v>42119</v>
      </c>
      <c r="D206" s="189" t="s">
        <v>422</v>
      </c>
      <c r="E206" s="182">
        <v>42119</v>
      </c>
      <c r="F206" s="187" t="s">
        <v>426</v>
      </c>
      <c r="G206" s="811" t="s">
        <v>415</v>
      </c>
      <c r="H206" s="202"/>
      <c r="I206" s="243"/>
      <c r="J206" s="243"/>
      <c r="K206" s="38">
        <v>11000</v>
      </c>
      <c r="L206" s="192" t="s">
        <v>83</v>
      </c>
      <c r="M206" s="192" t="s">
        <v>24</v>
      </c>
      <c r="N206" s="51" t="str">
        <f>IF(AND('331-CT'!$E$7=TH!H206,OR(L206="331",M206="331")),"331",IF(AND(OR(L206="131",M206="131"),H206='131-CT'!$E$7),"131",""))</f>
        <v/>
      </c>
      <c r="O206" s="51" t="str">
        <f>IF(AND($B206&gt;='111'!$N$11,$B206&lt;='111'!$O$11,OR($L206=$O$7,$M206=$O$7)),"x","")</f>
        <v/>
      </c>
      <c r="P206" s="51" t="str">
        <f>IF(AND($L206=$O$7,$B206&lt;'111'!$N$11),"x","")</f>
        <v/>
      </c>
      <c r="Q206" s="51" t="str">
        <f>IF(AND($M206=$O$7,$B206&lt;'111'!$N$11),"x","")</f>
        <v/>
      </c>
      <c r="R206" s="51" t="str">
        <f>IF(ISERROR(FIND('112'!$M$9,G206,1)),"",IF((AND(FIND('112'!$M$9,G206,1)&gt;=1,$B206&gt;='112'!$N$8,$B206&lt;='112'!$O$8,OR($L206='112'!$I$6,$M206='112'!$I$6))),"x",""))</f>
        <v/>
      </c>
      <c r="S206" s="51" t="str">
        <f>IF(ISERROR(FIND('112'!$M$9,G206,1)),"",IF((AND(LEFT(G206,2)=LEFT('112'!$M$9,2),B206&lt;'112'!$N$8,$L206='112'!$I$6)),"x",""))</f>
        <v/>
      </c>
      <c r="T206" s="51" t="str">
        <f>IF(ISERROR(FIND('112'!$M$9,G206,1)),"",IF((AND(RIGHT(G206,2)=RIGHT('112'!$M$9,2),B206&lt;'112'!$N$8,$M206='112'!$I$6)),"x",""))</f>
        <v/>
      </c>
      <c r="U206" s="51" t="str">
        <f>IF(AND(L206="154",'154'!$O$5&lt;=B206,'154'!$P$5&gt;=B206),"154",IF(AND(L206="632",'632'!$L$5&lt;=B206,'632'!$M$5&gt;=B206),"632",IF(AND(L206="642",'642'!$N$5&lt;=B206,'642'!$O$5&gt;=B206),"642",IF(AND(L206="641",'641'!$N$5&lt;=B206,'641'!$O$5&gt;=B206),"641",""))))</f>
        <v>642</v>
      </c>
      <c r="V206" s="51" t="str">
        <f>IF(OR(TH!L206=TH!$V$7,M206=TH!$V$7),"x","")</f>
        <v>x</v>
      </c>
      <c r="W206" s="51" t="str">
        <f>IF(AND(B206&gt;='IN-NX'!$P$3,B206&lt;='IN-NX'!$Q$3,'IN-NX'!$D$7=D206,OR(LEFT(L206,2)="15",AND(LEFT(M206,2)&lt;&gt;"15",LEFT(M206,2)&lt;&gt;"33"))),"x","")</f>
        <v/>
      </c>
      <c r="X206" s="51" t="str">
        <f>IF(AND(OR(LEFT(TH!L206,2)="15",LEFT(TH!M206,2)="15"),'152-CT'!$J$8=TH!F206),"x","")</f>
        <v/>
      </c>
      <c r="Y206" s="51" t="str">
        <f>IF(AND(OR(LEFT(TH!L206,2)="15",LEFT(TH!M206,2)="15"),TK!$E$7=TH!F206),"x","")</f>
        <v/>
      </c>
      <c r="Z206" s="51" t="str">
        <f>IF(AND(B206&lt;=NKC!$N$8,B206&gt;=NKC!$M$8),"x","")</f>
        <v/>
      </c>
      <c r="AA206" s="803"/>
      <c r="AB206" s="565"/>
    </row>
    <row r="207" spans="1:28" ht="15.75" customHeight="1">
      <c r="A207" s="804" t="str">
        <f>IF(B207&lt;&gt;"",IF(AND(B207&gt;=_TM1,B207&lt;=_TM2,OR(TH!L207="1111",TH!M207="1111")),TH!D207,""),"")</f>
        <v/>
      </c>
      <c r="B207" s="36">
        <f t="shared" si="10"/>
        <v>4</v>
      </c>
      <c r="C207" s="189">
        <f t="shared" si="11"/>
        <v>42123</v>
      </c>
      <c r="D207" s="189" t="s">
        <v>1334</v>
      </c>
      <c r="E207" s="189">
        <v>42123</v>
      </c>
      <c r="F207" s="922" t="s">
        <v>520</v>
      </c>
      <c r="G207" s="813" t="s">
        <v>519</v>
      </c>
      <c r="H207" s="191" t="s">
        <v>509</v>
      </c>
      <c r="I207" s="243">
        <v>750</v>
      </c>
      <c r="J207" s="243">
        <v>12138</v>
      </c>
      <c r="K207" s="573">
        <f>ROUND(I207*J207,0)</f>
        <v>9103500</v>
      </c>
      <c r="L207" s="574" t="s">
        <v>417</v>
      </c>
      <c r="M207" s="574" t="s">
        <v>8</v>
      </c>
      <c r="N207" s="51" t="str">
        <f>IF(AND('331-CT'!$E$7=TH!H207,OR(L207="331",M207="331")),"331",IF(AND(OR(L207="131",M207="131"),H207='131-CT'!$E$7),"131",""))</f>
        <v/>
      </c>
      <c r="O207" s="51" t="str">
        <f>IF(AND($B207&gt;='111'!$N$11,$B207&lt;='111'!$O$11,OR($L207=$O$7,$M207=$O$7)),"x","")</f>
        <v/>
      </c>
      <c r="P207" s="51" t="str">
        <f>IF(AND($L207=$O$7,$B207&lt;'111'!$N$11),"x","")</f>
        <v/>
      </c>
      <c r="Q207" s="51" t="str">
        <f>IF(AND($M207=$O$7,$B207&lt;'111'!$N$11),"x","")</f>
        <v/>
      </c>
      <c r="R207" s="51" t="str">
        <f>IF(ISERROR(FIND('112'!$M$9,G207,1)),"",IF((AND(FIND('112'!$M$9,G207,1)&gt;=1,$B207&gt;='112'!$N$8,$B207&lt;='112'!$O$8,OR($L207='112'!$I$6,$M207='112'!$I$6))),"x",""))</f>
        <v/>
      </c>
      <c r="S207" s="51" t="str">
        <f>IF(ISERROR(FIND('112'!$M$9,G207,1)),"",IF((AND(LEFT(G207,2)=LEFT('112'!$M$9,2),B207&lt;'112'!$N$8,$L207='112'!$I$6)),"x",""))</f>
        <v/>
      </c>
      <c r="T207" s="51" t="str">
        <f>IF(ISERROR(FIND('112'!$M$9,G207,1)),"",IF((AND(RIGHT(G207,2)=RIGHT('112'!$M$9,2),B207&lt;'112'!$N$8,$M207='112'!$I$6)),"x",""))</f>
        <v/>
      </c>
      <c r="U207" s="51" t="str">
        <f>IF(AND(L207="154",'154'!$O$5&lt;=B207,'154'!$P$5&gt;=B207),"154",IF(AND(L207="632",'632'!$L$5&lt;=B207,'632'!$M$5&gt;=B207),"632",IF(AND(L207="642",'642'!$N$5&lt;=B207,'642'!$O$5&gt;=B207),"642",IF(AND(L207="641",'641'!$N$5&lt;=B207,'641'!$O$5&gt;=B207),"641",""))))</f>
        <v/>
      </c>
      <c r="V207" s="51" t="str">
        <f>IF(OR(TH!L207=TH!$V$7,M207=TH!$V$7),"x","")</f>
        <v/>
      </c>
      <c r="W207" s="51" t="str">
        <f>IF(AND(B207&gt;='IN-NX'!$P$3,B207&lt;='IN-NX'!$Q$3,'IN-NX'!$D$7=D207,OR(LEFT(L207,2)="15",AND(LEFT(M207,2)&lt;&gt;"15",LEFT(M207,2)&lt;&gt;"33"))),"x","")</f>
        <v/>
      </c>
      <c r="X207" s="51" t="str">
        <f>IF(AND(OR(LEFT(TH!L207,2)="15",LEFT(TH!M207,2)="15"),'152-CT'!$J$8=TH!F207),"x","")</f>
        <v/>
      </c>
      <c r="Y207" s="51" t="str">
        <f>IF(AND(OR(LEFT(TH!L207,2)="15",LEFT(TH!M207,2)="15"),TK!$E$7=TH!F207),"x","")</f>
        <v/>
      </c>
      <c r="Z207" s="51" t="str">
        <f>IF(AND(B207&lt;=NKC!$N$8,B207&gt;=NKC!$M$8),"x","")</f>
        <v/>
      </c>
      <c r="AA207" s="803"/>
      <c r="AB207" s="565"/>
    </row>
    <row r="208" spans="1:28" ht="15.75" customHeight="1">
      <c r="A208" s="804" t="str">
        <f>IF(B208&lt;&gt;"",IF(AND(B208&gt;=_TM1,B208&lt;=_TM2,OR(TH!L208="1111",TH!M208="1111")),TH!D208,""),"")</f>
        <v/>
      </c>
      <c r="B208" s="36">
        <f t="shared" si="10"/>
        <v>4</v>
      </c>
      <c r="C208" s="189">
        <f t="shared" si="11"/>
        <v>42123</v>
      </c>
      <c r="D208" s="189" t="s">
        <v>1334</v>
      </c>
      <c r="E208" s="189">
        <v>42123</v>
      </c>
      <c r="F208" s="922" t="s">
        <v>521</v>
      </c>
      <c r="G208" s="813" t="s">
        <v>519</v>
      </c>
      <c r="H208" s="191" t="s">
        <v>509</v>
      </c>
      <c r="I208" s="243">
        <v>570</v>
      </c>
      <c r="J208" s="243">
        <v>11781</v>
      </c>
      <c r="K208" s="573">
        <f>ROUND(I208*J208,0)</f>
        <v>6715170</v>
      </c>
      <c r="L208" s="574" t="s">
        <v>417</v>
      </c>
      <c r="M208" s="574" t="s">
        <v>8</v>
      </c>
      <c r="N208" s="51" t="str">
        <f>IF(AND('331-CT'!$E$7=TH!H208,OR(L208="331",M208="331")),"331",IF(AND(OR(L208="131",M208="131"),H208='131-CT'!$E$7),"131",""))</f>
        <v/>
      </c>
      <c r="O208" s="51" t="str">
        <f>IF(AND($B208&gt;='111'!$N$11,$B208&lt;='111'!$O$11,OR($L208=$O$7,$M208=$O$7)),"x","")</f>
        <v/>
      </c>
      <c r="P208" s="51" t="str">
        <f>IF(AND($L208=$O$7,$B208&lt;'111'!$N$11),"x","")</f>
        <v/>
      </c>
      <c r="Q208" s="51" t="str">
        <f>IF(AND($M208=$O$7,$B208&lt;'111'!$N$11),"x","")</f>
        <v/>
      </c>
      <c r="R208" s="51" t="str">
        <f>IF(ISERROR(FIND('112'!$M$9,G208,1)),"",IF((AND(FIND('112'!$M$9,G208,1)&gt;=1,$B208&gt;='112'!$N$8,$B208&lt;='112'!$O$8,OR($L208='112'!$I$6,$M208='112'!$I$6))),"x",""))</f>
        <v/>
      </c>
      <c r="S208" s="51" t="str">
        <f>IF(ISERROR(FIND('112'!$M$9,G208,1)),"",IF((AND(LEFT(G208,2)=LEFT('112'!$M$9,2),B208&lt;'112'!$N$8,$L208='112'!$I$6)),"x",""))</f>
        <v/>
      </c>
      <c r="T208" s="51" t="str">
        <f>IF(ISERROR(FIND('112'!$M$9,G208,1)),"",IF((AND(RIGHT(G208,2)=RIGHT('112'!$M$9,2),B208&lt;'112'!$N$8,$M208='112'!$I$6)),"x",""))</f>
        <v/>
      </c>
      <c r="U208" s="51" t="str">
        <f>IF(AND(L208="154",'154'!$O$5&lt;=B208,'154'!$P$5&gt;=B208),"154",IF(AND(L208="632",'632'!$L$5&lt;=B208,'632'!$M$5&gt;=B208),"632",IF(AND(L208="642",'642'!$N$5&lt;=B208,'642'!$O$5&gt;=B208),"642",IF(AND(L208="641",'641'!$N$5&lt;=B208,'641'!$O$5&gt;=B208),"641",""))))</f>
        <v/>
      </c>
      <c r="V208" s="51" t="str">
        <f>IF(OR(TH!L208=TH!$V$7,M208=TH!$V$7),"x","")</f>
        <v/>
      </c>
      <c r="W208" s="51" t="str">
        <f>IF(AND(B208&gt;='IN-NX'!$P$3,B208&lt;='IN-NX'!$Q$3,'IN-NX'!$D$7=D208,OR(LEFT(L208,2)="15",AND(LEFT(M208,2)&lt;&gt;"15",LEFT(M208,2)&lt;&gt;"33"))),"x","")</f>
        <v/>
      </c>
      <c r="X208" s="51" t="str">
        <f>IF(AND(OR(LEFT(TH!L208,2)="15",LEFT(TH!M208,2)="15"),'152-CT'!$J$8=TH!F208),"x","")</f>
        <v/>
      </c>
      <c r="Y208" s="51" t="str">
        <f>IF(AND(OR(LEFT(TH!L208,2)="15",LEFT(TH!M208,2)="15"),TK!$E$7=TH!F208),"x","")</f>
        <v/>
      </c>
      <c r="Z208" s="51" t="str">
        <f>IF(AND(B208&lt;=NKC!$N$8,B208&gt;=NKC!$M$8),"x","")</f>
        <v/>
      </c>
      <c r="AA208" s="803"/>
      <c r="AB208" s="565"/>
    </row>
    <row r="209" spans="1:31" ht="15.75" customHeight="1">
      <c r="A209" s="804" t="str">
        <f>IF(B209&lt;&gt;"",IF(AND(B209&gt;=_TM1,B209&lt;=_TM2,OR(TH!L209="1111",TH!M209="1111")),TH!D209,""),"")</f>
        <v/>
      </c>
      <c r="B209" s="36">
        <f t="shared" si="10"/>
        <v>4</v>
      </c>
      <c r="C209" s="189">
        <f t="shared" si="11"/>
        <v>42123</v>
      </c>
      <c r="D209" s="189" t="s">
        <v>1334</v>
      </c>
      <c r="E209" s="189">
        <v>42123</v>
      </c>
      <c r="F209" s="926" t="s">
        <v>522</v>
      </c>
      <c r="G209" s="813" t="s">
        <v>519</v>
      </c>
      <c r="H209" s="191" t="s">
        <v>509</v>
      </c>
      <c r="I209" s="243">
        <v>133</v>
      </c>
      <c r="J209" s="243">
        <v>17748</v>
      </c>
      <c r="K209" s="573">
        <f>ROUND(I209*J209,0)</f>
        <v>2360484</v>
      </c>
      <c r="L209" s="574" t="s">
        <v>417</v>
      </c>
      <c r="M209" s="574" t="s">
        <v>8</v>
      </c>
      <c r="N209" s="51" t="str">
        <f>IF(AND('331-CT'!$E$7=TH!H209,OR(L209="331",M209="331")),"331",IF(AND(OR(L209="131",M209="131"),H209='131-CT'!$E$7),"131",""))</f>
        <v/>
      </c>
      <c r="O209" s="51" t="str">
        <f>IF(AND($B209&gt;='111'!$N$11,$B209&lt;='111'!$O$11,OR($L209=$O$7,$M209=$O$7)),"x","")</f>
        <v/>
      </c>
      <c r="P209" s="51" t="str">
        <f>IF(AND($L209=$O$7,$B209&lt;'111'!$N$11),"x","")</f>
        <v/>
      </c>
      <c r="Q209" s="51" t="str">
        <f>IF(AND($M209=$O$7,$B209&lt;'111'!$N$11),"x","")</f>
        <v/>
      </c>
      <c r="R209" s="51" t="str">
        <f>IF(ISERROR(FIND('112'!$M$9,G209,1)),"",IF((AND(FIND('112'!$M$9,G209,1)&gt;=1,$B209&gt;='112'!$N$8,$B209&lt;='112'!$O$8,OR($L209='112'!$I$6,$M209='112'!$I$6))),"x",""))</f>
        <v/>
      </c>
      <c r="S209" s="51" t="str">
        <f>IF(ISERROR(FIND('112'!$M$9,G209,1)),"",IF((AND(LEFT(G209,2)=LEFT('112'!$M$9,2),B209&lt;'112'!$N$8,$L209='112'!$I$6)),"x",""))</f>
        <v/>
      </c>
      <c r="T209" s="51" t="str">
        <f>IF(ISERROR(FIND('112'!$M$9,G209,1)),"",IF((AND(RIGHT(G209,2)=RIGHT('112'!$M$9,2),B209&lt;'112'!$N$8,$M209='112'!$I$6)),"x",""))</f>
        <v/>
      </c>
      <c r="U209" s="51" t="str">
        <f>IF(AND(L209="154",'154'!$O$5&lt;=B209,'154'!$P$5&gt;=B209),"154",IF(AND(L209="632",'632'!$L$5&lt;=B209,'632'!$M$5&gt;=B209),"632",IF(AND(L209="642",'642'!$N$5&lt;=B209,'642'!$O$5&gt;=B209),"642",IF(AND(L209="641",'641'!$N$5&lt;=B209,'641'!$O$5&gt;=B209),"641",""))))</f>
        <v/>
      </c>
      <c r="V209" s="51" t="str">
        <f>IF(OR(TH!L209=TH!$V$7,M209=TH!$V$7),"x","")</f>
        <v/>
      </c>
      <c r="W209" s="51" t="str">
        <f>IF(AND(B209&gt;='IN-NX'!$P$3,B209&lt;='IN-NX'!$Q$3,'IN-NX'!$D$7=D209,OR(LEFT(L209,2)="15",AND(LEFT(M209,2)&lt;&gt;"15",LEFT(M209,2)&lt;&gt;"33"))),"x","")</f>
        <v/>
      </c>
      <c r="X209" s="51" t="str">
        <f>IF(AND(OR(LEFT(TH!L209,2)="15",LEFT(TH!M209,2)="15"),'152-CT'!$J$8=TH!F209),"x","")</f>
        <v/>
      </c>
      <c r="Y209" s="51" t="str">
        <f>IF(AND(OR(LEFT(TH!L209,2)="15",LEFT(TH!M209,2)="15"),TK!$E$7=TH!F209),"x","")</f>
        <v/>
      </c>
      <c r="Z209" s="51" t="str">
        <f>IF(AND(B209&lt;=NKC!$N$8,B209&gt;=NKC!$M$8),"x","")</f>
        <v/>
      </c>
      <c r="AA209" s="803"/>
      <c r="AB209" s="565"/>
    </row>
    <row r="210" spans="1:31" ht="15.75" customHeight="1">
      <c r="A210" s="804" t="str">
        <f>IF(B210&lt;&gt;"",IF(AND(B210&gt;=_TM1,B210&lt;=_TM2,OR(TH!L210="1111",TH!M210="1111")),TH!D210,""),"")</f>
        <v/>
      </c>
      <c r="B210" s="36">
        <f t="shared" si="10"/>
        <v>4</v>
      </c>
      <c r="C210" s="189">
        <f t="shared" si="11"/>
        <v>42123</v>
      </c>
      <c r="D210" s="189" t="s">
        <v>1334</v>
      </c>
      <c r="E210" s="189">
        <v>42123</v>
      </c>
      <c r="F210" s="926" t="s">
        <v>511</v>
      </c>
      <c r="G210" s="813" t="s">
        <v>519</v>
      </c>
      <c r="H210" s="191" t="s">
        <v>509</v>
      </c>
      <c r="I210" s="243">
        <v>500</v>
      </c>
      <c r="J210" s="243">
        <v>12032</v>
      </c>
      <c r="K210" s="573">
        <f>ROUND(I210*J210,0)</f>
        <v>6016000</v>
      </c>
      <c r="L210" s="574" t="s">
        <v>417</v>
      </c>
      <c r="M210" s="574" t="s">
        <v>8</v>
      </c>
      <c r="N210" s="51" t="str">
        <f>IF(AND('331-CT'!$E$7=TH!H210,OR(L210="331",M210="331")),"331",IF(AND(OR(L210="131",M210="131"),H210='131-CT'!$E$7),"131",""))</f>
        <v/>
      </c>
      <c r="O210" s="51" t="str">
        <f>IF(AND($B210&gt;='111'!$N$11,$B210&lt;='111'!$O$11,OR($L210=$O$7,$M210=$O$7)),"x","")</f>
        <v/>
      </c>
      <c r="P210" s="51" t="str">
        <f>IF(AND($L210=$O$7,$B210&lt;'111'!$N$11),"x","")</f>
        <v/>
      </c>
      <c r="Q210" s="51" t="str">
        <f>IF(AND($M210=$O$7,$B210&lt;'111'!$N$11),"x","")</f>
        <v/>
      </c>
      <c r="R210" s="51" t="str">
        <f>IF(ISERROR(FIND('112'!$M$9,G210,1)),"",IF((AND(FIND('112'!$M$9,G210,1)&gt;=1,$B210&gt;='112'!$N$8,$B210&lt;='112'!$O$8,OR($L210='112'!$I$6,$M210='112'!$I$6))),"x",""))</f>
        <v/>
      </c>
      <c r="S210" s="51" t="str">
        <f>IF(ISERROR(FIND('112'!$M$9,G210,1)),"",IF((AND(LEFT(G210,2)=LEFT('112'!$M$9,2),B210&lt;'112'!$N$8,$L210='112'!$I$6)),"x",""))</f>
        <v/>
      </c>
      <c r="T210" s="51" t="str">
        <f>IF(ISERROR(FIND('112'!$M$9,G210,1)),"",IF((AND(RIGHT(G210,2)=RIGHT('112'!$M$9,2),B210&lt;'112'!$N$8,$M210='112'!$I$6)),"x",""))</f>
        <v/>
      </c>
      <c r="U210" s="51" t="str">
        <f>IF(AND(L210="154",'154'!$O$5&lt;=B210,'154'!$P$5&gt;=B210),"154",IF(AND(L210="632",'632'!$L$5&lt;=B210,'632'!$M$5&gt;=B210),"632",IF(AND(L210="642",'642'!$N$5&lt;=B210,'642'!$O$5&gt;=B210),"642",IF(AND(L210="641",'641'!$N$5&lt;=B210,'641'!$O$5&gt;=B210),"641",""))))</f>
        <v/>
      </c>
      <c r="V210" s="51" t="str">
        <f>IF(OR(TH!L210=TH!$V$7,M210=TH!$V$7),"x","")</f>
        <v/>
      </c>
      <c r="W210" s="51" t="str">
        <f>IF(AND(B210&gt;='IN-NX'!$P$3,B210&lt;='IN-NX'!$Q$3,'IN-NX'!$D$7=D210,OR(LEFT(L210,2)="15",AND(LEFT(M210,2)&lt;&gt;"15",LEFT(M210,2)&lt;&gt;"33"))),"x","")</f>
        <v/>
      </c>
      <c r="X210" s="51" t="str">
        <f>IF(AND(OR(LEFT(TH!L210,2)="15",LEFT(TH!M210,2)="15"),'152-CT'!$J$8=TH!F210),"x","")</f>
        <v/>
      </c>
      <c r="Y210" s="51" t="str">
        <f>IF(AND(OR(LEFT(TH!L210,2)="15",LEFT(TH!M210,2)="15"),TK!$E$7=TH!F210),"x","")</f>
        <v/>
      </c>
      <c r="Z210" s="51" t="str">
        <f>IF(AND(B210&lt;=NKC!$N$8,B210&gt;=NKC!$M$8),"x","")</f>
        <v/>
      </c>
      <c r="AA210" s="803"/>
      <c r="AB210" s="565"/>
    </row>
    <row r="211" spans="1:31" ht="15.75" customHeight="1">
      <c r="A211" s="804" t="str">
        <f>IF(B211&lt;&gt;"",IF(AND(B211&gt;=_TM1,B211&lt;=_TM2,OR(TH!L211="1111",TH!M211="1111")),TH!D211,""),"")</f>
        <v/>
      </c>
      <c r="B211" s="36">
        <f t="shared" si="10"/>
        <v>4</v>
      </c>
      <c r="C211" s="189">
        <f t="shared" si="11"/>
        <v>42123</v>
      </c>
      <c r="D211" s="189" t="s">
        <v>1334</v>
      </c>
      <c r="E211" s="189">
        <v>42123</v>
      </c>
      <c r="F211" s="926" t="s">
        <v>468</v>
      </c>
      <c r="G211" s="813" t="s">
        <v>519</v>
      </c>
      <c r="H211" s="191" t="s">
        <v>509</v>
      </c>
      <c r="I211" s="243"/>
      <c r="J211" s="243"/>
      <c r="K211" s="573">
        <v>2419515</v>
      </c>
      <c r="L211" s="574" t="s">
        <v>9</v>
      </c>
      <c r="M211" s="574" t="s">
        <v>8</v>
      </c>
      <c r="N211" s="51" t="str">
        <f>IF(AND('331-CT'!$E$7=TH!H211,OR(L211="331",M211="331")),"331",IF(AND(OR(L211="131",M211="131"),H211='131-CT'!$E$7),"131",""))</f>
        <v/>
      </c>
      <c r="O211" s="51" t="str">
        <f>IF(AND($B211&gt;='111'!$N$11,$B211&lt;='111'!$O$11,OR($L211=$O$7,$M211=$O$7)),"x","")</f>
        <v/>
      </c>
      <c r="P211" s="51" t="str">
        <f>IF(AND($L211=$O$7,$B211&lt;'111'!$N$11),"x","")</f>
        <v/>
      </c>
      <c r="Q211" s="51" t="str">
        <f>IF(AND($M211=$O$7,$B211&lt;'111'!$N$11),"x","")</f>
        <v/>
      </c>
      <c r="R211" s="51" t="str">
        <f>IF(ISERROR(FIND('112'!$M$9,G211,1)),"",IF((AND(FIND('112'!$M$9,G211,1)&gt;=1,$B211&gt;='112'!$N$8,$B211&lt;='112'!$O$8,OR($L211='112'!$I$6,$M211='112'!$I$6))),"x",""))</f>
        <v/>
      </c>
      <c r="S211" s="51" t="str">
        <f>IF(ISERROR(FIND('112'!$M$9,G211,1)),"",IF((AND(LEFT(G211,2)=LEFT('112'!$M$9,2),B211&lt;'112'!$N$8,$L211='112'!$I$6)),"x",""))</f>
        <v/>
      </c>
      <c r="T211" s="51" t="str">
        <f>IF(ISERROR(FIND('112'!$M$9,G211,1)),"",IF((AND(RIGHT(G211,2)=RIGHT('112'!$M$9,2),B211&lt;'112'!$N$8,$M211='112'!$I$6)),"x",""))</f>
        <v/>
      </c>
      <c r="U211" s="51" t="str">
        <f>IF(AND(L211="154",'154'!$O$5&lt;=B211,'154'!$P$5&gt;=B211),"154",IF(AND(L211="632",'632'!$L$5&lt;=B211,'632'!$M$5&gt;=B211),"632",IF(AND(L211="642",'642'!$N$5&lt;=B211,'642'!$O$5&gt;=B211),"642",IF(AND(L211="641",'641'!$N$5&lt;=B211,'641'!$O$5&gt;=B211),"641",""))))</f>
        <v/>
      </c>
      <c r="V211" s="51" t="str">
        <f>IF(OR(TH!L211=TH!$V$7,M211=TH!$V$7),"x","")</f>
        <v/>
      </c>
      <c r="W211" s="51" t="str">
        <f>IF(AND(B211&gt;='IN-NX'!$P$3,B211&lt;='IN-NX'!$Q$3,'IN-NX'!$D$7=D211,OR(LEFT(L211,2)="15",AND(LEFT(M211,2)&lt;&gt;"15",LEFT(M211,2)&lt;&gt;"33"))),"x","")</f>
        <v/>
      </c>
      <c r="X211" s="51" t="str">
        <f>IF(AND(OR(LEFT(TH!L211,2)="15",LEFT(TH!M211,2)="15"),'152-CT'!$J$8=TH!F211),"x","")</f>
        <v/>
      </c>
      <c r="Y211" s="51" t="str">
        <f>IF(AND(OR(LEFT(TH!L211,2)="15",LEFT(TH!M211,2)="15"),TK!$E$7=TH!F211),"x","")</f>
        <v/>
      </c>
      <c r="Z211" s="51" t="str">
        <f>IF(AND(B211&lt;=NKC!$N$8,B211&gt;=NKC!$M$8),"x","")</f>
        <v/>
      </c>
      <c r="AA211" s="803">
        <v>2</v>
      </c>
      <c r="AB211" s="565"/>
    </row>
    <row r="212" spans="1:31" ht="15.75" customHeight="1">
      <c r="A212" s="804" t="str">
        <f>IF(B212&lt;&gt;"",IF(AND(B212&gt;=_TM1,B212&lt;=_TM2,OR(TH!L212="1111",TH!M212="1111")),TH!D212,""),"")</f>
        <v/>
      </c>
      <c r="B212" s="36">
        <f t="shared" si="10"/>
        <v>4</v>
      </c>
      <c r="C212" s="853">
        <f t="shared" si="11"/>
        <v>42124</v>
      </c>
      <c r="D212" s="853" t="s">
        <v>319</v>
      </c>
      <c r="E212" s="853">
        <v>42124</v>
      </c>
      <c r="F212" s="854" t="s">
        <v>1262</v>
      </c>
      <c r="G212" s="855"/>
      <c r="H212" s="856"/>
      <c r="I212" s="857"/>
      <c r="J212" s="857"/>
      <c r="K212" s="858">
        <v>11600000</v>
      </c>
      <c r="L212" s="859" t="s">
        <v>83</v>
      </c>
      <c r="M212" s="859" t="s">
        <v>252</v>
      </c>
      <c r="N212" s="51" t="str">
        <f>IF(AND('331-CT'!$E$7=TH!H212,OR(L212="331",M212="331")),"331",IF(AND(OR(L212="131",M212="131"),H212='131-CT'!$E$7),"131",""))</f>
        <v/>
      </c>
      <c r="O212" s="51" t="str">
        <f>IF(AND($B212&gt;='111'!$N$11,$B212&lt;='111'!$O$11,OR($L212=$O$7,$M212=$O$7)),"x","")</f>
        <v/>
      </c>
      <c r="P212" s="51" t="str">
        <f>IF(AND($L212=$O$7,$B212&lt;'111'!$N$11),"x","")</f>
        <v/>
      </c>
      <c r="Q212" s="51" t="str">
        <f>IF(AND($M212=$O$7,$B212&lt;'111'!$N$11),"x","")</f>
        <v/>
      </c>
      <c r="R212" s="51" t="str">
        <f>IF(ISERROR(FIND('112'!$M$9,G212,1)),"",IF((AND(FIND('112'!$M$9,G212,1)&gt;=1,$B212&gt;='112'!$N$8,$B212&lt;='112'!$O$8,OR($L212='112'!$I$6,$M212='112'!$I$6))),"x",""))</f>
        <v/>
      </c>
      <c r="S212" s="51" t="str">
        <f>IF(ISERROR(FIND('112'!$M$9,G212,1)),"",IF((AND(LEFT(G212,2)=LEFT('112'!$M$9,2),B212&lt;'112'!$N$8,$L212='112'!$I$6)),"x",""))</f>
        <v/>
      </c>
      <c r="T212" s="51" t="str">
        <f>IF(ISERROR(FIND('112'!$M$9,G212,1)),"",IF((AND(RIGHT(G212,2)=RIGHT('112'!$M$9,2),B212&lt;'112'!$N$8,$M212='112'!$I$6)),"x",""))</f>
        <v/>
      </c>
      <c r="U212" s="51" t="str">
        <f>IF(AND(L212="154",'154'!$O$5&lt;=B212,'154'!$P$5&gt;=B212),"154",IF(AND(L212="632",'632'!$L$5&lt;=B212,'632'!$M$5&gt;=B212),"632",IF(AND(L212="642",'642'!$N$5&lt;=B212,'642'!$O$5&gt;=B212),"642",IF(AND(L212="641",'641'!$N$5&lt;=B212,'641'!$O$5&gt;=B212),"641",""))))</f>
        <v>642</v>
      </c>
      <c r="V212" s="51" t="str">
        <f>IF(OR(TH!L212=TH!$V$7,M212=TH!$V$7),"x","")</f>
        <v>x</v>
      </c>
      <c r="W212" s="51" t="str">
        <f>IF(AND(B212&gt;='IN-NX'!$P$3,B212&lt;='IN-NX'!$Q$3,'IN-NX'!$D$7=D212,OR(LEFT(L212,2)="15",AND(LEFT(M212,2)&lt;&gt;"15",LEFT(M212,2)&lt;&gt;"33"))),"x","")</f>
        <v/>
      </c>
      <c r="X212" s="51" t="str">
        <f>IF(AND(OR(LEFT(TH!L212,2)="15",LEFT(TH!M212,2)="15"),'152-CT'!$J$8=TH!F212),"x","")</f>
        <v/>
      </c>
      <c r="Y212" s="51" t="str">
        <f>IF(AND(OR(LEFT(TH!L212,2)="15",LEFT(TH!M212,2)="15"),TK!$E$7=TH!F212),"x","")</f>
        <v/>
      </c>
      <c r="Z212" s="51" t="str">
        <f>IF(AND(B212&lt;=NKC!$N$8,B212&gt;=NKC!$M$8),"x","")</f>
        <v/>
      </c>
      <c r="AA212" s="860"/>
      <c r="AB212" s="565"/>
      <c r="AE212" s="565"/>
    </row>
    <row r="213" spans="1:31" ht="15.75" customHeight="1">
      <c r="A213" s="804" t="str">
        <f>IF(B213&lt;&gt;"",IF(AND(B213&gt;=_TM1,B213&lt;=_TM2,OR(TH!L213="1111",TH!M213="1111")),TH!D213,""),"")</f>
        <v/>
      </c>
      <c r="B213" s="36">
        <f t="shared" si="10"/>
        <v>4</v>
      </c>
      <c r="C213" s="853">
        <f t="shared" si="11"/>
        <v>42124</v>
      </c>
      <c r="D213" s="853" t="s">
        <v>319</v>
      </c>
      <c r="E213" s="853">
        <v>42124</v>
      </c>
      <c r="F213" s="854" t="s">
        <v>1263</v>
      </c>
      <c r="G213" s="855"/>
      <c r="H213" s="856"/>
      <c r="I213" s="857"/>
      <c r="J213" s="857"/>
      <c r="K213" s="858">
        <v>3000000</v>
      </c>
      <c r="L213" s="859" t="s">
        <v>160</v>
      </c>
      <c r="M213" s="859" t="s">
        <v>252</v>
      </c>
      <c r="N213" s="51" t="str">
        <f>IF(AND('331-CT'!$E$7=TH!H213,OR(L213="331",M213="331")),"331",IF(AND(OR(L213="131",M213="131"),H213='131-CT'!$E$7),"131",""))</f>
        <v/>
      </c>
      <c r="O213" s="51" t="str">
        <f>IF(AND($B213&gt;='111'!$N$11,$B213&lt;='111'!$O$11,OR($L213=$O$7,$M213=$O$7)),"x","")</f>
        <v/>
      </c>
      <c r="P213" s="51" t="str">
        <f>IF(AND($L213=$O$7,$B213&lt;'111'!$N$11),"x","")</f>
        <v/>
      </c>
      <c r="Q213" s="51" t="str">
        <f>IF(AND($M213=$O$7,$B213&lt;'111'!$N$11),"x","")</f>
        <v/>
      </c>
      <c r="R213" s="51" t="str">
        <f>IF(ISERROR(FIND('112'!$M$9,G213,1)),"",IF((AND(FIND('112'!$M$9,G213,1)&gt;=1,$B213&gt;='112'!$N$8,$B213&lt;='112'!$O$8,OR($L213='112'!$I$6,$M213='112'!$I$6))),"x",""))</f>
        <v/>
      </c>
      <c r="S213" s="51" t="str">
        <f>IF(ISERROR(FIND('112'!$M$9,G213,1)),"",IF((AND(LEFT(G213,2)=LEFT('112'!$M$9,2),B213&lt;'112'!$N$8,$L213='112'!$I$6)),"x",""))</f>
        <v/>
      </c>
      <c r="T213" s="51" t="str">
        <f>IF(ISERROR(FIND('112'!$M$9,G213,1)),"",IF((AND(RIGHT(G213,2)=RIGHT('112'!$M$9,2),B213&lt;'112'!$N$8,$M213='112'!$I$6)),"x",""))</f>
        <v/>
      </c>
      <c r="U213" s="51" t="str">
        <f>IF(AND(L213="154",'154'!$O$5&lt;=B213,'154'!$P$5&gt;=B213),"154",IF(AND(L213="632",'632'!$L$5&lt;=B213,'632'!$M$5&gt;=B213),"632",IF(AND(L213="642",'642'!$N$5&lt;=B213,'642'!$O$5&gt;=B213),"642",IF(AND(L213="641",'641'!$N$5&lt;=B213,'641'!$O$5&gt;=B213),"641",""))))</f>
        <v>154</v>
      </c>
      <c r="V213" s="51" t="str">
        <f>IF(OR(TH!L213=TH!$V$7,M213=TH!$V$7),"x","")</f>
        <v/>
      </c>
      <c r="W213" s="51" t="str">
        <f>IF(AND(B213&gt;='IN-NX'!$P$3,B213&lt;='IN-NX'!$Q$3,'IN-NX'!$D$7=D213,OR(LEFT(L213,2)="15",AND(LEFT(M213,2)&lt;&gt;"15",LEFT(M213,2)&lt;&gt;"33"))),"x","")</f>
        <v/>
      </c>
      <c r="X213" s="51" t="str">
        <f>IF(AND(OR(LEFT(TH!L213,2)="15",LEFT(TH!M213,2)="15"),'152-CT'!$J$8=TH!F213),"x","")</f>
        <v/>
      </c>
      <c r="Y213" s="51" t="str">
        <f>IF(AND(OR(LEFT(TH!L213,2)="15",LEFT(TH!M213,2)="15"),TK!$E$7=TH!F213),"x","")</f>
        <v/>
      </c>
      <c r="Z213" s="51" t="str">
        <f>IF(AND(B213&lt;=NKC!$N$8,B213&gt;=NKC!$M$8),"x","")</f>
        <v/>
      </c>
      <c r="AA213" s="860"/>
      <c r="AB213" s="565"/>
      <c r="AE213" s="565"/>
    </row>
    <row r="214" spans="1:31" ht="15.75" customHeight="1">
      <c r="A214" s="804" t="str">
        <f>IF(B214&lt;&gt;"",IF(AND(B214&gt;=_TM1,B214&lt;=_TM2,OR(TH!L214="1111",TH!M214="1111")),TH!D214,""),"")</f>
        <v/>
      </c>
      <c r="B214" s="36">
        <f t="shared" si="10"/>
        <v>4</v>
      </c>
      <c r="C214" s="853">
        <f t="shared" si="11"/>
        <v>42124</v>
      </c>
      <c r="D214" s="861" t="s">
        <v>1344</v>
      </c>
      <c r="E214" s="853">
        <v>42124</v>
      </c>
      <c r="F214" s="854" t="s">
        <v>1274</v>
      </c>
      <c r="G214" s="855"/>
      <c r="H214" s="7" t="s">
        <v>437</v>
      </c>
      <c r="I214" s="857"/>
      <c r="J214" s="857"/>
      <c r="K214" s="858">
        <f>K212+K213</f>
        <v>14600000</v>
      </c>
      <c r="L214" s="859" t="s">
        <v>252</v>
      </c>
      <c r="M214" s="859" t="s">
        <v>47</v>
      </c>
      <c r="N214" s="51" t="str">
        <f>IF(AND('331-CT'!$E$7=TH!H214,OR(L214="331",M214="331")),"331",IF(AND(OR(L214="131",M214="131"),H214='131-CT'!$E$7),"131",""))</f>
        <v/>
      </c>
      <c r="O214" s="51" t="str">
        <f>IF(AND($B214&gt;='111'!$N$11,$B214&lt;='111'!$O$11,OR($L214=$O$7,$M214=$O$7)),"x","")</f>
        <v/>
      </c>
      <c r="P214" s="51" t="str">
        <f>IF(AND($L214=$O$7,$B214&lt;'111'!$N$11),"x","")</f>
        <v/>
      </c>
      <c r="Q214" s="51" t="str">
        <f>IF(AND($M214=$O$7,$B214&lt;'111'!$N$11),"x","")</f>
        <v>x</v>
      </c>
      <c r="R214" s="51" t="str">
        <f>IF(ISERROR(FIND('112'!$M$9,G214,1)),"",IF((AND(FIND('112'!$M$9,G214,1)&gt;=1,$B214&gt;='112'!$N$8,$B214&lt;='112'!$O$8,OR($L214='112'!$I$6,$M214='112'!$I$6))),"x",""))</f>
        <v/>
      </c>
      <c r="S214" s="51" t="str">
        <f>IF(ISERROR(FIND('112'!$M$9,G214,1)),"",IF((AND(LEFT(G214,2)=LEFT('112'!$M$9,2),B214&lt;'112'!$N$8,$L214='112'!$I$6)),"x",""))</f>
        <v/>
      </c>
      <c r="T214" s="51" t="str">
        <f>IF(ISERROR(FIND('112'!$M$9,G214,1)),"",IF((AND(RIGHT(G214,2)=RIGHT('112'!$M$9,2),B214&lt;'112'!$N$8,$M214='112'!$I$6)),"x",""))</f>
        <v/>
      </c>
      <c r="U214" s="51" t="str">
        <f>IF(AND(L214="154",'154'!$O$5&lt;=B214,'154'!$P$5&gt;=B214),"154",IF(AND(L214="632",'632'!$L$5&lt;=B214,'632'!$M$5&gt;=B214),"632",IF(AND(L214="642",'642'!$N$5&lt;=B214,'642'!$O$5&gt;=B214),"642",IF(AND(L214="641",'641'!$N$5&lt;=B214,'641'!$O$5&gt;=B214),"641",""))))</f>
        <v/>
      </c>
      <c r="V214" s="51" t="str">
        <f>IF(OR(TH!L214=TH!$V$7,M214=TH!$V$7),"x","")</f>
        <v/>
      </c>
      <c r="W214" s="51" t="str">
        <f>IF(AND(B214&gt;='IN-NX'!$P$3,B214&lt;='IN-NX'!$Q$3,'IN-NX'!$D$7=D214,OR(LEFT(L214,2)="15",AND(LEFT(M214,2)&lt;&gt;"15",LEFT(M214,2)&lt;&gt;"33"))),"x","")</f>
        <v/>
      </c>
      <c r="X214" s="51" t="str">
        <f>IF(AND(OR(LEFT(TH!L214,2)="15",LEFT(TH!M214,2)="15"),'152-CT'!$J$8=TH!F214),"x","")</f>
        <v/>
      </c>
      <c r="Y214" s="51" t="str">
        <f>IF(AND(OR(LEFT(TH!L214,2)="15",LEFT(TH!M214,2)="15"),TK!$E$7=TH!F214),"x","")</f>
        <v/>
      </c>
      <c r="Z214" s="51" t="str">
        <f>IF(AND(B214&lt;=NKC!$N$8,B214&gt;=NKC!$M$8),"x","")</f>
        <v/>
      </c>
      <c r="AA214" s="860"/>
      <c r="AB214" s="565"/>
      <c r="AE214" s="565"/>
    </row>
    <row r="215" spans="1:31" ht="15.75" customHeight="1">
      <c r="A215" s="804" t="str">
        <f>IF(B215&lt;&gt;"",IF(AND(B215&gt;=_TM1,B215&lt;=_TM2,OR(TH!L215="1111",TH!M215="1111")),TH!D215,""),"")</f>
        <v/>
      </c>
      <c r="B215" s="661">
        <f t="shared" ref="B215:B278" si="13">IF(C215&lt;&gt;"",MONTH(C215),"")</f>
        <v>4</v>
      </c>
      <c r="C215" s="830">
        <f t="shared" ref="C215:C278" si="14">E215</f>
        <v>42124</v>
      </c>
      <c r="D215" s="830" t="s">
        <v>1264</v>
      </c>
      <c r="E215" s="830">
        <v>42124</v>
      </c>
      <c r="F215" s="836" t="s">
        <v>1462</v>
      </c>
      <c r="G215" s="849"/>
      <c r="H215" s="914" t="s">
        <v>428</v>
      </c>
      <c r="I215" s="241"/>
      <c r="J215" s="241"/>
      <c r="K215" s="834">
        <v>5000000</v>
      </c>
      <c r="L215" s="851" t="s">
        <v>83</v>
      </c>
      <c r="M215" s="851" t="s">
        <v>47</v>
      </c>
      <c r="N215" s="51" t="str">
        <f>IF(AND('331-CT'!$E$7=TH!H215,OR(L215="331",M215="331")),"331",IF(AND(OR(L215="131",M215="131"),H215='131-CT'!$E$7),"131",""))</f>
        <v/>
      </c>
      <c r="O215" s="51" t="str">
        <f>IF(AND($B215&gt;='111'!$N$11,$B215&lt;='111'!$O$11,OR($L215=$O$7,$M215=$O$7)),"x","")</f>
        <v/>
      </c>
      <c r="P215" s="51" t="str">
        <f>IF(AND($L215=$O$7,$B215&lt;'111'!$N$11),"x","")</f>
        <v/>
      </c>
      <c r="Q215" s="51" t="str">
        <f>IF(AND($M215=$O$7,$B215&lt;'111'!$N$11),"x","")</f>
        <v>x</v>
      </c>
      <c r="R215" s="51" t="str">
        <f>IF(ISERROR(FIND('112'!$M$9,G215,1)),"",IF((AND(FIND('112'!$M$9,G215,1)&gt;=1,$B215&gt;='112'!$N$8,$B215&lt;='112'!$O$8,OR($L215='112'!$I$6,$M215='112'!$I$6))),"x",""))</f>
        <v/>
      </c>
      <c r="S215" s="51" t="str">
        <f>IF(ISERROR(FIND('112'!$M$9,G215,1)),"",IF((AND(LEFT(G215,2)=LEFT('112'!$M$9,2),B215&lt;'112'!$N$8,$L215='112'!$I$6)),"x",""))</f>
        <v/>
      </c>
      <c r="T215" s="51" t="str">
        <f>IF(ISERROR(FIND('112'!$M$9,G215,1)),"",IF((AND(RIGHT(G215,2)=RIGHT('112'!$M$9,2),B215&lt;'112'!$N$8,$M215='112'!$I$6)),"x",""))</f>
        <v/>
      </c>
      <c r="U215" s="51" t="str">
        <f>IF(AND(L215="154",'154'!$O$5&lt;=B215,'154'!$P$5&gt;=B215),"154",IF(AND(L215="632",'632'!$L$5&lt;=B215,'632'!$M$5&gt;=B215),"632",IF(AND(L215="642",'642'!$N$5&lt;=B215,'642'!$O$5&gt;=B215),"642",IF(AND(L215="641",'641'!$N$5&lt;=B215,'641'!$O$5&gt;=B215),"641",""))))</f>
        <v>642</v>
      </c>
      <c r="V215" s="51" t="str">
        <f>IF(OR(TH!L215=TH!$V$7,M215=TH!$V$7),"x","")</f>
        <v>x</v>
      </c>
      <c r="W215" s="51" t="str">
        <f>IF(AND(B215&gt;='IN-NX'!$P$3,B215&lt;='IN-NX'!$Q$3,'IN-NX'!$D$7=D215,OR(LEFT(L215,2)="15",AND(LEFT(M215,2)&lt;&gt;"15",LEFT(M215,2)&lt;&gt;"33"))),"x","")</f>
        <v/>
      </c>
      <c r="X215" s="51" t="str">
        <f>IF(AND(OR(LEFT(TH!L215,2)="15",LEFT(TH!M215,2)="15"),'152-CT'!$J$8=TH!F215),"x","")</f>
        <v/>
      </c>
      <c r="Y215" s="51" t="str">
        <f>IF(AND(OR(LEFT(TH!L215,2)="15",LEFT(TH!M215,2)="15"),TK!$E$7=TH!F215),"x","")</f>
        <v/>
      </c>
      <c r="Z215" s="51" t="str">
        <f>IF(AND(B215&lt;=NKC!$N$8,B215&gt;=NKC!$M$8),"x","")</f>
        <v/>
      </c>
      <c r="AA215" s="915"/>
      <c r="AB215" s="662"/>
      <c r="AC215" s="916"/>
      <c r="AD215" s="916"/>
      <c r="AE215" s="565"/>
    </row>
    <row r="216" spans="1:31" ht="15.75" customHeight="1">
      <c r="A216" s="804" t="str">
        <f>IF(B216&lt;&gt;"",IF(AND(B216&gt;=_TM1,B216&lt;=_TM2,OR(TH!L216="1111",TH!M216="1111")),TH!D216,""),"")</f>
        <v/>
      </c>
      <c r="B216" s="36">
        <f t="shared" si="13"/>
        <v>5</v>
      </c>
      <c r="C216" s="189">
        <f t="shared" si="14"/>
        <v>42131</v>
      </c>
      <c r="D216" s="189" t="s">
        <v>1292</v>
      </c>
      <c r="E216" s="189">
        <v>42131</v>
      </c>
      <c r="F216" s="922" t="s">
        <v>1191</v>
      </c>
      <c r="G216" s="813" t="s">
        <v>987</v>
      </c>
      <c r="H216" s="202" t="s">
        <v>435</v>
      </c>
      <c r="I216" s="243">
        <v>200</v>
      </c>
      <c r="J216" s="243">
        <v>4200</v>
      </c>
      <c r="K216" s="573">
        <f>ROUND(I216*J216,0)</f>
        <v>840000</v>
      </c>
      <c r="L216" s="574" t="s">
        <v>250</v>
      </c>
      <c r="M216" s="574" t="s">
        <v>164</v>
      </c>
      <c r="N216" s="51" t="str">
        <f>IF(AND('331-CT'!$E$7=TH!H216,OR(L216="331",M216="331")),"331",IF(AND(OR(L216="131",M216="131"),H216='131-CT'!$E$7),"131",""))</f>
        <v/>
      </c>
      <c r="O216" s="51" t="str">
        <f>IF(AND($B216&gt;='111'!$N$11,$B216&lt;='111'!$O$11,OR($L216=$O$7,$M216=$O$7)),"x","")</f>
        <v/>
      </c>
      <c r="P216" s="51" t="str">
        <f>IF(AND($L216=$O$7,$B216&lt;'111'!$N$11),"x","")</f>
        <v/>
      </c>
      <c r="Q216" s="51" t="str">
        <f>IF(AND($M216=$O$7,$B216&lt;'111'!$N$11),"x","")</f>
        <v/>
      </c>
      <c r="R216" s="51" t="str">
        <f>IF(ISERROR(FIND('112'!$M$9,G216,1)),"",IF((AND(FIND('112'!$M$9,G216,1)&gt;=1,$B216&gt;='112'!$N$8,$B216&lt;='112'!$O$8,OR($L216='112'!$I$6,$M216='112'!$I$6))),"x",""))</f>
        <v/>
      </c>
      <c r="S216" s="51" t="str">
        <f>IF(ISERROR(FIND('112'!$M$9,G216,1)),"",IF((AND(LEFT(G216,2)=LEFT('112'!$M$9,2),B216&lt;'112'!$N$8,$L216='112'!$I$6)),"x",""))</f>
        <v/>
      </c>
      <c r="T216" s="51" t="str">
        <f>IF(ISERROR(FIND('112'!$M$9,G216,1)),"",IF((AND(RIGHT(G216,2)=RIGHT('112'!$M$9,2),B216&lt;'112'!$N$8,$M216='112'!$I$6)),"x",""))</f>
        <v/>
      </c>
      <c r="U216" s="51" t="str">
        <f>IF(AND(L216="154",'154'!$O$5&lt;=B216,'154'!$P$5&gt;=B216),"154",IF(AND(L216="632",'632'!$L$5&lt;=B216,'632'!$M$5&gt;=B216),"632",IF(AND(L216="642",'642'!$N$5&lt;=B216,'642'!$O$5&gt;=B216),"642",IF(AND(L216="641",'641'!$N$5&lt;=B216,'641'!$O$5&gt;=B216),"641",""))))</f>
        <v/>
      </c>
      <c r="V216" s="51" t="str">
        <f>IF(OR(TH!L216=TH!$V$7,M216=TH!$V$7),"x","")</f>
        <v/>
      </c>
      <c r="W216" s="51" t="str">
        <f>IF(AND(B216&gt;='IN-NX'!$P$3,B216&lt;='IN-NX'!$Q$3,'IN-NX'!$D$7=D216,OR(LEFT(L216,2)="15",AND(LEFT(M216,2)&lt;&gt;"15",LEFT(M216,2)&lt;&gt;"33"))),"x","")</f>
        <v/>
      </c>
      <c r="X216" s="51" t="str">
        <f>IF(AND(OR(LEFT(TH!L216,2)="15",LEFT(TH!M216,2)="15"),'152-CT'!$J$8=TH!F216),"x","")</f>
        <v/>
      </c>
      <c r="Y216" s="51" t="str">
        <f>IF(AND(OR(LEFT(TH!L216,2)="15",LEFT(TH!M216,2)="15"),TK!$E$7=TH!F216),"x","")</f>
        <v/>
      </c>
      <c r="Z216" s="51" t="str">
        <f>IF(AND(B216&lt;=NKC!$N$8,B216&gt;=NKC!$M$8),"x","")</f>
        <v/>
      </c>
      <c r="AA216" s="803"/>
      <c r="AB216" s="565"/>
    </row>
    <row r="217" spans="1:31" ht="15.75" customHeight="1">
      <c r="A217" s="804" t="str">
        <f>IF(B217&lt;&gt;"",IF(AND(B217&gt;=_TM1,B217&lt;=_TM2,OR(TH!L217="1111",TH!M217="1111")),TH!D217,""),"")</f>
        <v/>
      </c>
      <c r="B217" s="36">
        <f t="shared" si="13"/>
        <v>5</v>
      </c>
      <c r="C217" s="189">
        <f t="shared" si="14"/>
        <v>42131</v>
      </c>
      <c r="D217" s="189" t="s">
        <v>1292</v>
      </c>
      <c r="E217" s="189">
        <v>42131</v>
      </c>
      <c r="F217" s="922" t="s">
        <v>1192</v>
      </c>
      <c r="G217" s="813" t="s">
        <v>987</v>
      </c>
      <c r="H217" s="202" t="s">
        <v>435</v>
      </c>
      <c r="I217" s="243">
        <v>300</v>
      </c>
      <c r="J217" s="243">
        <v>5200</v>
      </c>
      <c r="K217" s="573">
        <f>ROUND(I217*J217,0)</f>
        <v>1560000</v>
      </c>
      <c r="L217" s="574" t="s">
        <v>250</v>
      </c>
      <c r="M217" s="574" t="s">
        <v>164</v>
      </c>
      <c r="N217" s="51" t="str">
        <f>IF(AND('331-CT'!$E$7=TH!H217,OR(L217="331",M217="331")),"331",IF(AND(OR(L217="131",M217="131"),H217='131-CT'!$E$7),"131",""))</f>
        <v/>
      </c>
      <c r="O217" s="51" t="str">
        <f>IF(AND($B217&gt;='111'!$N$11,$B217&lt;='111'!$O$11,OR($L217=$O$7,$M217=$O$7)),"x","")</f>
        <v/>
      </c>
      <c r="P217" s="51" t="str">
        <f>IF(AND($L217=$O$7,$B217&lt;'111'!$N$11),"x","")</f>
        <v/>
      </c>
      <c r="Q217" s="51" t="str">
        <f>IF(AND($M217=$O$7,$B217&lt;'111'!$N$11),"x","")</f>
        <v/>
      </c>
      <c r="R217" s="51" t="str">
        <f>IF(ISERROR(FIND('112'!$M$9,G217,1)),"",IF((AND(FIND('112'!$M$9,G217,1)&gt;=1,$B217&gt;='112'!$N$8,$B217&lt;='112'!$O$8,OR($L217='112'!$I$6,$M217='112'!$I$6))),"x",""))</f>
        <v/>
      </c>
      <c r="S217" s="51" t="str">
        <f>IF(ISERROR(FIND('112'!$M$9,G217,1)),"",IF((AND(LEFT(G217,2)=LEFT('112'!$M$9,2),B217&lt;'112'!$N$8,$L217='112'!$I$6)),"x",""))</f>
        <v/>
      </c>
      <c r="T217" s="51" t="str">
        <f>IF(ISERROR(FIND('112'!$M$9,G217,1)),"",IF((AND(RIGHT(G217,2)=RIGHT('112'!$M$9,2),B217&lt;'112'!$N$8,$M217='112'!$I$6)),"x",""))</f>
        <v/>
      </c>
      <c r="U217" s="51" t="str">
        <f>IF(AND(L217="154",'154'!$O$5&lt;=B217,'154'!$P$5&gt;=B217),"154",IF(AND(L217="632",'632'!$L$5&lt;=B217,'632'!$M$5&gt;=B217),"632",IF(AND(L217="642",'642'!$N$5&lt;=B217,'642'!$O$5&gt;=B217),"642",IF(AND(L217="641",'641'!$N$5&lt;=B217,'641'!$O$5&gt;=B217),"641",""))))</f>
        <v/>
      </c>
      <c r="V217" s="51" t="str">
        <f>IF(OR(TH!L217=TH!$V$7,M217=TH!$V$7),"x","")</f>
        <v/>
      </c>
      <c r="W217" s="51" t="str">
        <f>IF(AND(B217&gt;='IN-NX'!$P$3,B217&lt;='IN-NX'!$Q$3,'IN-NX'!$D$7=D217,OR(LEFT(L217,2)="15",AND(LEFT(M217,2)&lt;&gt;"15",LEFT(M217,2)&lt;&gt;"33"))),"x","")</f>
        <v/>
      </c>
      <c r="X217" s="51" t="str">
        <f>IF(AND(OR(LEFT(TH!L217,2)="15",LEFT(TH!M217,2)="15"),'152-CT'!$J$8=TH!F217),"x","")</f>
        <v/>
      </c>
      <c r="Y217" s="51" t="str">
        <f>IF(AND(OR(LEFT(TH!L217,2)="15",LEFT(TH!M217,2)="15"),TK!$E$7=TH!F217),"x","")</f>
        <v/>
      </c>
      <c r="Z217" s="51" t="str">
        <f>IF(AND(B217&lt;=NKC!$N$8,B217&gt;=NKC!$M$8),"x","")</f>
        <v/>
      </c>
      <c r="AA217" s="803"/>
      <c r="AB217" s="565"/>
    </row>
    <row r="218" spans="1:31" ht="15.75" customHeight="1">
      <c r="A218" s="804" t="str">
        <f>IF(B218&lt;&gt;"",IF(AND(B218&gt;=_TM1,B218&lt;=_TM2,OR(TH!L218="1111",TH!M218="1111")),TH!D218,""),"")</f>
        <v/>
      </c>
      <c r="B218" s="36">
        <f t="shared" si="13"/>
        <v>5</v>
      </c>
      <c r="C218" s="189">
        <f t="shared" si="14"/>
        <v>42131</v>
      </c>
      <c r="D218" s="189" t="s">
        <v>1292</v>
      </c>
      <c r="E218" s="189">
        <v>42131</v>
      </c>
      <c r="F218" s="922" t="s">
        <v>1193</v>
      </c>
      <c r="G218" s="813" t="s">
        <v>987</v>
      </c>
      <c r="H218" s="202" t="s">
        <v>435</v>
      </c>
      <c r="I218" s="243">
        <v>200</v>
      </c>
      <c r="J218" s="243">
        <v>8400</v>
      </c>
      <c r="K218" s="573">
        <f>ROUND(I218*J218,0)</f>
        <v>1680000</v>
      </c>
      <c r="L218" s="574" t="s">
        <v>250</v>
      </c>
      <c r="M218" s="574" t="s">
        <v>164</v>
      </c>
      <c r="N218" s="51" t="str">
        <f>IF(AND('331-CT'!$E$7=TH!H218,OR(L218="331",M218="331")),"331",IF(AND(OR(L218="131",M218="131"),H218='131-CT'!$E$7),"131",""))</f>
        <v/>
      </c>
      <c r="O218" s="51" t="str">
        <f>IF(AND($B218&gt;='111'!$N$11,$B218&lt;='111'!$O$11,OR($L218=$O$7,$M218=$O$7)),"x","")</f>
        <v/>
      </c>
      <c r="P218" s="51" t="str">
        <f>IF(AND($L218=$O$7,$B218&lt;'111'!$N$11),"x","")</f>
        <v/>
      </c>
      <c r="Q218" s="51" t="str">
        <f>IF(AND($M218=$O$7,$B218&lt;'111'!$N$11),"x","")</f>
        <v/>
      </c>
      <c r="R218" s="51" t="str">
        <f>IF(ISERROR(FIND('112'!$M$9,G218,1)),"",IF((AND(FIND('112'!$M$9,G218,1)&gt;=1,$B218&gt;='112'!$N$8,$B218&lt;='112'!$O$8,OR($L218='112'!$I$6,$M218='112'!$I$6))),"x",""))</f>
        <v/>
      </c>
      <c r="S218" s="51" t="str">
        <f>IF(ISERROR(FIND('112'!$M$9,G218,1)),"",IF((AND(LEFT(G218,2)=LEFT('112'!$M$9,2),B218&lt;'112'!$N$8,$L218='112'!$I$6)),"x",""))</f>
        <v/>
      </c>
      <c r="T218" s="51" t="str">
        <f>IF(ISERROR(FIND('112'!$M$9,G218,1)),"",IF((AND(RIGHT(G218,2)=RIGHT('112'!$M$9,2),B218&lt;'112'!$N$8,$M218='112'!$I$6)),"x",""))</f>
        <v/>
      </c>
      <c r="U218" s="51" t="str">
        <f>IF(AND(L218="154",'154'!$O$5&lt;=B218,'154'!$P$5&gt;=B218),"154",IF(AND(L218="632",'632'!$L$5&lt;=B218,'632'!$M$5&gt;=B218),"632",IF(AND(L218="642",'642'!$N$5&lt;=B218,'642'!$O$5&gt;=B218),"642",IF(AND(L218="641",'641'!$N$5&lt;=B218,'641'!$O$5&gt;=B218),"641",""))))</f>
        <v/>
      </c>
      <c r="V218" s="51" t="str">
        <f>IF(OR(TH!L218=TH!$V$7,M218=TH!$V$7),"x","")</f>
        <v/>
      </c>
      <c r="W218" s="51" t="str">
        <f>IF(AND(B218&gt;='IN-NX'!$P$3,B218&lt;='IN-NX'!$Q$3,'IN-NX'!$D$7=D218,OR(LEFT(L218,2)="15",AND(LEFT(M218,2)&lt;&gt;"15",LEFT(M218,2)&lt;&gt;"33"))),"x","")</f>
        <v/>
      </c>
      <c r="X218" s="51" t="str">
        <f>IF(AND(OR(LEFT(TH!L218,2)="15",LEFT(TH!M218,2)="15"),'152-CT'!$J$8=TH!F218),"x","")</f>
        <v/>
      </c>
      <c r="Y218" s="51" t="str">
        <f>IF(AND(OR(LEFT(TH!L218,2)="15",LEFT(TH!M218,2)="15"),TK!$E$7=TH!F218),"x","")</f>
        <v/>
      </c>
      <c r="Z218" s="51" t="str">
        <f>IF(AND(B218&lt;=NKC!$N$8,B218&gt;=NKC!$M$8),"x","")</f>
        <v/>
      </c>
      <c r="AA218" s="803"/>
      <c r="AB218" s="565"/>
    </row>
    <row r="219" spans="1:31" ht="15.75" customHeight="1">
      <c r="A219" s="804" t="str">
        <f>IF(B219&lt;&gt;"",IF(AND(B219&gt;=_TM1,B219&lt;=_TM2,OR(TH!L219="1111",TH!M219="1111")),TH!D219,""),"")</f>
        <v/>
      </c>
      <c r="B219" s="36">
        <f t="shared" si="13"/>
        <v>5</v>
      </c>
      <c r="C219" s="189">
        <f t="shared" si="14"/>
        <v>42131</v>
      </c>
      <c r="D219" s="189" t="s">
        <v>1292</v>
      </c>
      <c r="E219" s="189">
        <v>42131</v>
      </c>
      <c r="F219" s="926" t="s">
        <v>1194</v>
      </c>
      <c r="G219" s="813" t="s">
        <v>987</v>
      </c>
      <c r="H219" s="202" t="s">
        <v>435</v>
      </c>
      <c r="I219" s="243">
        <v>200</v>
      </c>
      <c r="J219" s="243">
        <v>7800</v>
      </c>
      <c r="K219" s="573">
        <f>ROUND(I219*J219,0)</f>
        <v>1560000</v>
      </c>
      <c r="L219" s="574" t="s">
        <v>250</v>
      </c>
      <c r="M219" s="574" t="s">
        <v>164</v>
      </c>
      <c r="N219" s="51" t="str">
        <f>IF(AND('331-CT'!$E$7=TH!H219,OR(L219="331",M219="331")),"331",IF(AND(OR(L219="131",M219="131"),H219='131-CT'!$E$7),"131",""))</f>
        <v/>
      </c>
      <c r="O219" s="51" t="str">
        <f>IF(AND($B219&gt;='111'!$N$11,$B219&lt;='111'!$O$11,OR($L219=$O$7,$M219=$O$7)),"x","")</f>
        <v/>
      </c>
      <c r="P219" s="51" t="str">
        <f>IF(AND($L219=$O$7,$B219&lt;'111'!$N$11),"x","")</f>
        <v/>
      </c>
      <c r="Q219" s="51" t="str">
        <f>IF(AND($M219=$O$7,$B219&lt;'111'!$N$11),"x","")</f>
        <v/>
      </c>
      <c r="R219" s="51" t="str">
        <f>IF(ISERROR(FIND('112'!$M$9,G219,1)),"",IF((AND(FIND('112'!$M$9,G219,1)&gt;=1,$B219&gt;='112'!$N$8,$B219&lt;='112'!$O$8,OR($L219='112'!$I$6,$M219='112'!$I$6))),"x",""))</f>
        <v/>
      </c>
      <c r="S219" s="51" t="str">
        <f>IF(ISERROR(FIND('112'!$M$9,G219,1)),"",IF((AND(LEFT(G219,2)=LEFT('112'!$M$9,2),B219&lt;'112'!$N$8,$L219='112'!$I$6)),"x",""))</f>
        <v/>
      </c>
      <c r="T219" s="51" t="str">
        <f>IF(ISERROR(FIND('112'!$M$9,G219,1)),"",IF((AND(RIGHT(G219,2)=RIGHT('112'!$M$9,2),B219&lt;'112'!$N$8,$M219='112'!$I$6)),"x",""))</f>
        <v/>
      </c>
      <c r="U219" s="51" t="str">
        <f>IF(AND(L219="154",'154'!$O$5&lt;=B219,'154'!$P$5&gt;=B219),"154",IF(AND(L219="632",'632'!$L$5&lt;=B219,'632'!$M$5&gt;=B219),"632",IF(AND(L219="642",'642'!$N$5&lt;=B219,'642'!$O$5&gt;=B219),"642",IF(AND(L219="641",'641'!$N$5&lt;=B219,'641'!$O$5&gt;=B219),"641",""))))</f>
        <v/>
      </c>
      <c r="V219" s="51" t="str">
        <f>IF(OR(TH!L219=TH!$V$7,M219=TH!$V$7),"x","")</f>
        <v/>
      </c>
      <c r="W219" s="51" t="str">
        <f>IF(AND(B219&gt;='IN-NX'!$P$3,B219&lt;='IN-NX'!$Q$3,'IN-NX'!$D$7=D219,OR(LEFT(L219,2)="15",AND(LEFT(M219,2)&lt;&gt;"15",LEFT(M219,2)&lt;&gt;"33"))),"x","")</f>
        <v/>
      </c>
      <c r="X219" s="51" t="str">
        <f>IF(AND(OR(LEFT(TH!L219,2)="15",LEFT(TH!M219,2)="15"),'152-CT'!$J$8=TH!F219),"x","")</f>
        <v/>
      </c>
      <c r="Y219" s="51" t="str">
        <f>IF(AND(OR(LEFT(TH!L219,2)="15",LEFT(TH!M219,2)="15"),TK!$E$7=TH!F219),"x","")</f>
        <v/>
      </c>
      <c r="Z219" s="51" t="str">
        <f>IF(AND(B219&lt;=NKC!$N$8,B219&gt;=NKC!$M$8),"x","")</f>
        <v/>
      </c>
      <c r="AA219" s="803"/>
      <c r="AB219" s="565"/>
    </row>
    <row r="220" spans="1:31" ht="15.75" customHeight="1">
      <c r="A220" s="804" t="str">
        <f>IF(B220&lt;&gt;"",IF(AND(B220&gt;=_TM1,B220&lt;=_TM2,OR(TH!L220="1111",TH!M220="1111")),TH!D220,""),"")</f>
        <v/>
      </c>
      <c r="B220" s="36">
        <f t="shared" si="13"/>
        <v>5</v>
      </c>
      <c r="C220" s="189">
        <f t="shared" si="14"/>
        <v>42131</v>
      </c>
      <c r="D220" s="189" t="s">
        <v>1292</v>
      </c>
      <c r="E220" s="189">
        <v>42131</v>
      </c>
      <c r="F220" s="926" t="s">
        <v>1195</v>
      </c>
      <c r="G220" s="813" t="s">
        <v>987</v>
      </c>
      <c r="H220" s="202" t="s">
        <v>435</v>
      </c>
      <c r="I220" s="243">
        <v>200</v>
      </c>
      <c r="J220" s="243">
        <v>8800</v>
      </c>
      <c r="K220" s="573">
        <f>ROUND(I220*J220,0)</f>
        <v>1760000</v>
      </c>
      <c r="L220" s="574" t="s">
        <v>250</v>
      </c>
      <c r="M220" s="574" t="s">
        <v>164</v>
      </c>
      <c r="N220" s="51" t="str">
        <f>IF(AND('331-CT'!$E$7=TH!H220,OR(L220="331",M220="331")),"331",IF(AND(OR(L220="131",M220="131"),H220='131-CT'!$E$7),"131",""))</f>
        <v/>
      </c>
      <c r="O220" s="51" t="str">
        <f>IF(AND($B220&gt;='111'!$N$11,$B220&lt;='111'!$O$11,OR($L220=$O$7,$M220=$O$7)),"x","")</f>
        <v/>
      </c>
      <c r="P220" s="51" t="str">
        <f>IF(AND($L220=$O$7,$B220&lt;'111'!$N$11),"x","")</f>
        <v/>
      </c>
      <c r="Q220" s="51" t="str">
        <f>IF(AND($M220=$O$7,$B220&lt;'111'!$N$11),"x","")</f>
        <v/>
      </c>
      <c r="R220" s="51" t="str">
        <f>IF(ISERROR(FIND('112'!$M$9,G220,1)),"",IF((AND(FIND('112'!$M$9,G220,1)&gt;=1,$B220&gt;='112'!$N$8,$B220&lt;='112'!$O$8,OR($L220='112'!$I$6,$M220='112'!$I$6))),"x",""))</f>
        <v/>
      </c>
      <c r="S220" s="51" t="str">
        <f>IF(ISERROR(FIND('112'!$M$9,G220,1)),"",IF((AND(LEFT(G220,2)=LEFT('112'!$M$9,2),B220&lt;'112'!$N$8,$L220='112'!$I$6)),"x",""))</f>
        <v/>
      </c>
      <c r="T220" s="51" t="str">
        <f>IF(ISERROR(FIND('112'!$M$9,G220,1)),"",IF((AND(RIGHT(G220,2)=RIGHT('112'!$M$9,2),B220&lt;'112'!$N$8,$M220='112'!$I$6)),"x",""))</f>
        <v/>
      </c>
      <c r="U220" s="51" t="str">
        <f>IF(AND(L220="154",'154'!$O$5&lt;=B220,'154'!$P$5&gt;=B220),"154",IF(AND(L220="632",'632'!$L$5&lt;=B220,'632'!$M$5&gt;=B220),"632",IF(AND(L220="642",'642'!$N$5&lt;=B220,'642'!$O$5&gt;=B220),"642",IF(AND(L220="641",'641'!$N$5&lt;=B220,'641'!$O$5&gt;=B220),"641",""))))</f>
        <v/>
      </c>
      <c r="V220" s="51" t="str">
        <f>IF(OR(TH!L220=TH!$V$7,M220=TH!$V$7),"x","")</f>
        <v/>
      </c>
      <c r="W220" s="51" t="str">
        <f>IF(AND(B220&gt;='IN-NX'!$P$3,B220&lt;='IN-NX'!$Q$3,'IN-NX'!$D$7=D220,OR(LEFT(L220,2)="15",AND(LEFT(M220,2)&lt;&gt;"15",LEFT(M220,2)&lt;&gt;"33"))),"x","")</f>
        <v/>
      </c>
      <c r="X220" s="51" t="str">
        <f>IF(AND(OR(LEFT(TH!L220,2)="15",LEFT(TH!M220,2)="15"),'152-CT'!$J$8=TH!F220),"x","")</f>
        <v/>
      </c>
      <c r="Y220" s="51" t="str">
        <f>IF(AND(OR(LEFT(TH!L220,2)="15",LEFT(TH!M220,2)="15"),TK!$E$7=TH!F220),"x","")</f>
        <v/>
      </c>
      <c r="Z220" s="51" t="str">
        <f>IF(AND(B220&lt;=NKC!$N$8,B220&gt;=NKC!$M$8),"x","")</f>
        <v/>
      </c>
      <c r="AA220" s="803"/>
      <c r="AB220" s="565"/>
    </row>
    <row r="221" spans="1:31" ht="15.75" customHeight="1">
      <c r="A221" s="804" t="str">
        <f>IF(B221&lt;&gt;"",IF(AND(B221&gt;=_TM1,B221&lt;=_TM2,OR(TH!L221="1111",TH!M221="1111")),TH!D221,""),"")</f>
        <v/>
      </c>
      <c r="B221" s="36">
        <f t="shared" si="13"/>
        <v>5</v>
      </c>
      <c r="C221" s="189">
        <f t="shared" si="14"/>
        <v>42131</v>
      </c>
      <c r="D221" s="189" t="s">
        <v>1292</v>
      </c>
      <c r="E221" s="189">
        <v>42131</v>
      </c>
      <c r="F221" s="922" t="s">
        <v>962</v>
      </c>
      <c r="G221" s="813" t="s">
        <v>987</v>
      </c>
      <c r="H221" s="202" t="s">
        <v>435</v>
      </c>
      <c r="I221" s="243"/>
      <c r="J221" s="243"/>
      <c r="K221" s="573">
        <v>740000</v>
      </c>
      <c r="L221" s="574" t="s">
        <v>250</v>
      </c>
      <c r="M221" s="574" t="s">
        <v>352</v>
      </c>
      <c r="N221" s="51" t="str">
        <f>IF(AND('331-CT'!$E$7=TH!H221,OR(L221="331",M221="331")),"331",IF(AND(OR(L221="131",M221="131"),H221='131-CT'!$E$7),"131",""))</f>
        <v/>
      </c>
      <c r="O221" s="51" t="str">
        <f>IF(AND($B221&gt;='111'!$N$11,$B221&lt;='111'!$O$11,OR($L221=$O$7,$M221=$O$7)),"x","")</f>
        <v/>
      </c>
      <c r="P221" s="51" t="str">
        <f>IF(AND($L221=$O$7,$B221&lt;'111'!$N$11),"x","")</f>
        <v/>
      </c>
      <c r="Q221" s="51" t="str">
        <f>IF(AND($M221=$O$7,$B221&lt;'111'!$N$11),"x","")</f>
        <v/>
      </c>
      <c r="R221" s="51" t="str">
        <f>IF(ISERROR(FIND('112'!$M$9,G221,1)),"",IF((AND(FIND('112'!$M$9,G221,1)&gt;=1,$B221&gt;='112'!$N$8,$B221&lt;='112'!$O$8,OR($L221='112'!$I$6,$M221='112'!$I$6))),"x",""))</f>
        <v/>
      </c>
      <c r="S221" s="51" t="str">
        <f>IF(ISERROR(FIND('112'!$M$9,G221,1)),"",IF((AND(LEFT(G221,2)=LEFT('112'!$M$9,2),B221&lt;'112'!$N$8,$L221='112'!$I$6)),"x",""))</f>
        <v/>
      </c>
      <c r="T221" s="51" t="str">
        <f>IF(ISERROR(FIND('112'!$M$9,G221,1)),"",IF((AND(RIGHT(G221,2)=RIGHT('112'!$M$9,2),B221&lt;'112'!$N$8,$M221='112'!$I$6)),"x",""))</f>
        <v/>
      </c>
      <c r="U221" s="51" t="str">
        <f>IF(AND(L221="154",'154'!$O$5&lt;=B221,'154'!$P$5&gt;=B221),"154",IF(AND(L221="632",'632'!$L$5&lt;=B221,'632'!$M$5&gt;=B221),"632",IF(AND(L221="642",'642'!$N$5&lt;=B221,'642'!$O$5&gt;=B221),"642",IF(AND(L221="641",'641'!$N$5&lt;=B221,'641'!$O$5&gt;=B221),"641",""))))</f>
        <v/>
      </c>
      <c r="V221" s="51" t="str">
        <f>IF(OR(TH!L221=TH!$V$7,M221=TH!$V$7),"x","")</f>
        <v/>
      </c>
      <c r="W221" s="51" t="str">
        <f>IF(AND(B221&gt;='IN-NX'!$P$3,B221&lt;='IN-NX'!$Q$3,'IN-NX'!$D$7=D221,OR(LEFT(L221,2)="15",AND(LEFT(M221,2)&lt;&gt;"15",LEFT(M221,2)&lt;&gt;"33"))),"x","")</f>
        <v/>
      </c>
      <c r="X221" s="51" t="str">
        <f>IF(AND(OR(LEFT(TH!L221,2)="15",LEFT(TH!M221,2)="15"),'152-CT'!$J$8=TH!F221),"x","")</f>
        <v/>
      </c>
      <c r="Y221" s="51" t="str">
        <f>IF(AND(OR(LEFT(TH!L221,2)="15",LEFT(TH!M221,2)="15"),TK!$E$7=TH!F221),"x","")</f>
        <v/>
      </c>
      <c r="Z221" s="51" t="str">
        <f>IF(AND(B221&lt;=NKC!$N$8,B221&gt;=NKC!$M$8),"x","")</f>
        <v/>
      </c>
      <c r="AA221" s="803"/>
      <c r="AB221" s="565"/>
      <c r="AD221" s="565"/>
    </row>
    <row r="222" spans="1:31" ht="15.75" customHeight="1">
      <c r="A222" s="804" t="str">
        <f>IF(B222&lt;&gt;"",IF(AND(B222&gt;=_TM1,B222&lt;=_TM2,OR(TH!L222="1111",TH!M222="1111")),TH!D222,""),"")</f>
        <v/>
      </c>
      <c r="B222" s="36">
        <f t="shared" si="13"/>
        <v>5</v>
      </c>
      <c r="C222" s="189">
        <f t="shared" si="14"/>
        <v>42132</v>
      </c>
      <c r="D222" s="189" t="s">
        <v>421</v>
      </c>
      <c r="E222" s="182">
        <v>42132</v>
      </c>
      <c r="F222" s="922" t="s">
        <v>423</v>
      </c>
      <c r="G222" s="811" t="s">
        <v>415</v>
      </c>
      <c r="H222" s="202" t="s">
        <v>435</v>
      </c>
      <c r="I222" s="243"/>
      <c r="J222" s="243"/>
      <c r="K222" s="38">
        <v>8140000</v>
      </c>
      <c r="L222" s="192" t="s">
        <v>24</v>
      </c>
      <c r="M222" s="192" t="s">
        <v>250</v>
      </c>
      <c r="N222" s="51" t="str">
        <f>IF(AND('331-CT'!$E$7=TH!H222,OR(L222="331",M222="331")),"331",IF(AND(OR(L222="131",M222="131"),H222='131-CT'!$E$7),"131",""))</f>
        <v/>
      </c>
      <c r="O222" s="51" t="str">
        <f>IF(AND($B222&gt;='111'!$N$11,$B222&lt;='111'!$O$11,OR($L222=$O$7,$M222=$O$7)),"x","")</f>
        <v/>
      </c>
      <c r="P222" s="51" t="str">
        <f>IF(AND($L222=$O$7,$B222&lt;'111'!$N$11),"x","")</f>
        <v/>
      </c>
      <c r="Q222" s="51" t="str">
        <f>IF(AND($M222=$O$7,$B222&lt;'111'!$N$11),"x","")</f>
        <v/>
      </c>
      <c r="R222" s="51" t="str">
        <f>IF(ISERROR(FIND('112'!$M$9,G222,1)),"",IF((AND(FIND('112'!$M$9,G222,1)&gt;=1,$B222&gt;='112'!$N$8,$B222&lt;='112'!$O$8,OR($L222='112'!$I$6,$M222='112'!$I$6))),"x",""))</f>
        <v/>
      </c>
      <c r="S222" s="51" t="str">
        <f>IF(ISERROR(FIND('112'!$M$9,G222,1)),"",IF((AND(LEFT(G222,2)=LEFT('112'!$M$9,2),B222&lt;'112'!$N$8,$L222='112'!$I$6)),"x",""))</f>
        <v/>
      </c>
      <c r="T222" s="51" t="str">
        <f>IF(ISERROR(FIND('112'!$M$9,G222,1)),"",IF((AND(RIGHT(G222,2)=RIGHT('112'!$M$9,2),B222&lt;'112'!$N$8,$M222='112'!$I$6)),"x",""))</f>
        <v/>
      </c>
      <c r="U222" s="51" t="str">
        <f>IF(AND(L222="154",'154'!$O$5&lt;=B222,'154'!$P$5&gt;=B222),"154",IF(AND(L222="632",'632'!$L$5&lt;=B222,'632'!$M$5&gt;=B222),"632",IF(AND(L222="642",'642'!$N$5&lt;=B222,'642'!$O$5&gt;=B222),"642",IF(AND(L222="641",'641'!$N$5&lt;=B222,'641'!$O$5&gt;=B222),"641",""))))</f>
        <v/>
      </c>
      <c r="V222" s="51" t="str">
        <f>IF(OR(TH!L222=TH!$V$7,M222=TH!$V$7),"x","")</f>
        <v/>
      </c>
      <c r="W222" s="51" t="str">
        <f>IF(AND(B222&gt;='IN-NX'!$P$3,B222&lt;='IN-NX'!$Q$3,'IN-NX'!$D$7=D222,OR(LEFT(L222,2)="15",AND(LEFT(M222,2)&lt;&gt;"15",LEFT(M222,2)&lt;&gt;"33"))),"x","")</f>
        <v/>
      </c>
      <c r="X222" s="51" t="str">
        <f>IF(AND(OR(LEFT(TH!L222,2)="15",LEFT(TH!M222,2)="15"),'152-CT'!$J$8=TH!F222),"x","")</f>
        <v/>
      </c>
      <c r="Y222" s="51" t="str">
        <f>IF(AND(OR(LEFT(TH!L222,2)="15",LEFT(TH!M222,2)="15"),TK!$E$7=TH!F222),"x","")</f>
        <v/>
      </c>
      <c r="Z222" s="51" t="str">
        <f>IF(AND(B222&lt;=NKC!$N$8,B222&gt;=NKC!$M$8),"x","")</f>
        <v/>
      </c>
      <c r="AA222" s="803"/>
      <c r="AB222" s="565"/>
    </row>
    <row r="223" spans="1:31" ht="15.75" customHeight="1">
      <c r="A223" s="804" t="str">
        <f>IF(B223&lt;&gt;"",IF(AND(B223&gt;=_TM1,B223&lt;=_TM2,OR(TH!L223="1111",TH!M223="1111")),TH!D223,""),"")</f>
        <v/>
      </c>
      <c r="B223" s="36">
        <f t="shared" si="13"/>
        <v>5</v>
      </c>
      <c r="C223" s="189">
        <f t="shared" si="14"/>
        <v>42134</v>
      </c>
      <c r="D223" s="189" t="s">
        <v>422</v>
      </c>
      <c r="E223" s="182">
        <v>42134</v>
      </c>
      <c r="F223" s="187" t="s">
        <v>425</v>
      </c>
      <c r="G223" s="811" t="s">
        <v>415</v>
      </c>
      <c r="H223" s="7"/>
      <c r="I223" s="243"/>
      <c r="J223" s="243"/>
      <c r="K223" s="38">
        <v>55000</v>
      </c>
      <c r="L223" s="192" t="s">
        <v>83</v>
      </c>
      <c r="M223" s="192" t="s">
        <v>24</v>
      </c>
      <c r="N223" s="51" t="str">
        <f>IF(AND('331-CT'!$E$7=TH!H223,OR(L223="331",M223="331")),"331",IF(AND(OR(L223="131",M223="131"),H223='131-CT'!$E$7),"131",""))</f>
        <v/>
      </c>
      <c r="O223" s="51" t="str">
        <f>IF(AND($B223&gt;='111'!$N$11,$B223&lt;='111'!$O$11,OR($L223=$O$7,$M223=$O$7)),"x","")</f>
        <v/>
      </c>
      <c r="P223" s="51" t="str">
        <f>IF(AND($L223=$O$7,$B223&lt;'111'!$N$11),"x","")</f>
        <v/>
      </c>
      <c r="Q223" s="51" t="str">
        <f>IF(AND($M223=$O$7,$B223&lt;'111'!$N$11),"x","")</f>
        <v/>
      </c>
      <c r="R223" s="51" t="str">
        <f>IF(ISERROR(FIND('112'!$M$9,G223,1)),"",IF((AND(FIND('112'!$M$9,G223,1)&gt;=1,$B223&gt;='112'!$N$8,$B223&lt;='112'!$O$8,OR($L223='112'!$I$6,$M223='112'!$I$6))),"x",""))</f>
        <v/>
      </c>
      <c r="S223" s="51" t="str">
        <f>IF(ISERROR(FIND('112'!$M$9,G223,1)),"",IF((AND(LEFT(G223,2)=LEFT('112'!$M$9,2),B223&lt;'112'!$N$8,$L223='112'!$I$6)),"x",""))</f>
        <v/>
      </c>
      <c r="T223" s="51" t="str">
        <f>IF(ISERROR(FIND('112'!$M$9,G223,1)),"",IF((AND(RIGHT(G223,2)=RIGHT('112'!$M$9,2),B223&lt;'112'!$N$8,$M223='112'!$I$6)),"x",""))</f>
        <v/>
      </c>
      <c r="U223" s="51" t="str">
        <f>IF(AND(L223="154",'154'!$O$5&lt;=B223,'154'!$P$5&gt;=B223),"154",IF(AND(L223="632",'632'!$L$5&lt;=B223,'632'!$M$5&gt;=B223),"632",IF(AND(L223="642",'642'!$N$5&lt;=B223,'642'!$O$5&gt;=B223),"642",IF(AND(L223="641",'641'!$N$5&lt;=B223,'641'!$O$5&gt;=B223),"641",""))))</f>
        <v>642</v>
      </c>
      <c r="V223" s="51" t="str">
        <f>IF(OR(TH!L223=TH!$V$7,M223=TH!$V$7),"x","")</f>
        <v>x</v>
      </c>
      <c r="W223" s="51" t="str">
        <f>IF(AND(B223&gt;='IN-NX'!$P$3,B223&lt;='IN-NX'!$Q$3,'IN-NX'!$D$7=D223,OR(LEFT(L223,2)="15",AND(LEFT(M223,2)&lt;&gt;"15",LEFT(M223,2)&lt;&gt;"33"))),"x","")</f>
        <v/>
      </c>
      <c r="X223" s="51" t="str">
        <f>IF(AND(OR(LEFT(TH!L223,2)="15",LEFT(TH!M223,2)="15"),'152-CT'!$J$8=TH!F223),"x","")</f>
        <v/>
      </c>
      <c r="Y223" s="51" t="str">
        <f>IF(AND(OR(LEFT(TH!L223,2)="15",LEFT(TH!M223,2)="15"),TK!$E$7=TH!F223),"x","")</f>
        <v/>
      </c>
      <c r="Z223" s="51" t="str">
        <f>IF(AND(B223&lt;=NKC!$N$8,B223&gt;=NKC!$M$8),"x","")</f>
        <v/>
      </c>
      <c r="AA223" s="803"/>
      <c r="AB223" s="565"/>
    </row>
    <row r="224" spans="1:31" ht="15.75" customHeight="1">
      <c r="A224" s="804" t="str">
        <f>IF(B224&lt;&gt;"",IF(AND(B224&gt;=_TM1,B224&lt;=_TM2,OR(TH!L224="1111",TH!M224="1111")),TH!D224,""),"")</f>
        <v/>
      </c>
      <c r="B224" s="36">
        <f t="shared" si="13"/>
        <v>5</v>
      </c>
      <c r="C224" s="189">
        <f t="shared" si="14"/>
        <v>42135</v>
      </c>
      <c r="D224" s="189" t="s">
        <v>1342</v>
      </c>
      <c r="E224" s="182">
        <v>42135</v>
      </c>
      <c r="F224" s="187" t="s">
        <v>427</v>
      </c>
      <c r="G224" s="811" t="s">
        <v>415</v>
      </c>
      <c r="H224" s="7" t="s">
        <v>428</v>
      </c>
      <c r="I224" s="243"/>
      <c r="J224" s="243"/>
      <c r="K224" s="38">
        <v>8050000</v>
      </c>
      <c r="L224" s="192" t="s">
        <v>47</v>
      </c>
      <c r="M224" s="192" t="s">
        <v>24</v>
      </c>
      <c r="N224" s="51" t="str">
        <f>IF(AND('331-CT'!$E$7=TH!H224,OR(L224="331",M224="331")),"331",IF(AND(OR(L224="131",M224="131"),H224='131-CT'!$E$7),"131",""))</f>
        <v/>
      </c>
      <c r="O224" s="51" t="str">
        <f>IF(AND($B224&gt;='111'!$N$11,$B224&lt;='111'!$O$11,OR($L224=$O$7,$M224=$O$7)),"x","")</f>
        <v/>
      </c>
      <c r="P224" s="51" t="str">
        <f>IF(AND($L224=$O$7,$B224&lt;'111'!$N$11),"x","")</f>
        <v>x</v>
      </c>
      <c r="Q224" s="51" t="str">
        <f>IF(AND($M224=$O$7,$B224&lt;'111'!$N$11),"x","")</f>
        <v/>
      </c>
      <c r="R224" s="51" t="str">
        <f>IF(ISERROR(FIND('112'!$M$9,G224,1)),"",IF((AND(FIND('112'!$M$9,G224,1)&gt;=1,$B224&gt;='112'!$N$8,$B224&lt;='112'!$O$8,OR($L224='112'!$I$6,$M224='112'!$I$6))),"x",""))</f>
        <v/>
      </c>
      <c r="S224" s="51" t="str">
        <f>IF(ISERROR(FIND('112'!$M$9,G224,1)),"",IF((AND(LEFT(G224,2)=LEFT('112'!$M$9,2),B224&lt;'112'!$N$8,$L224='112'!$I$6)),"x",""))</f>
        <v/>
      </c>
      <c r="T224" s="51" t="str">
        <f>IF(ISERROR(FIND('112'!$M$9,G224,1)),"",IF((AND(RIGHT(G224,2)=RIGHT('112'!$M$9,2),B224&lt;'112'!$N$8,$M224='112'!$I$6)),"x",""))</f>
        <v/>
      </c>
      <c r="U224" s="51" t="str">
        <f>IF(AND(L224="154",'154'!$O$5&lt;=B224,'154'!$P$5&gt;=B224),"154",IF(AND(L224="632",'632'!$L$5&lt;=B224,'632'!$M$5&gt;=B224),"632",IF(AND(L224="642",'642'!$N$5&lt;=B224,'642'!$O$5&gt;=B224),"642",IF(AND(L224="641",'641'!$N$5&lt;=B224,'641'!$O$5&gt;=B224),"641",""))))</f>
        <v/>
      </c>
      <c r="V224" s="51" t="str">
        <f>IF(OR(TH!L224=TH!$V$7,M224=TH!$V$7),"x","")</f>
        <v/>
      </c>
      <c r="W224" s="51" t="str">
        <f>IF(AND(B224&gt;='IN-NX'!$P$3,B224&lt;='IN-NX'!$Q$3,'IN-NX'!$D$7=D224,OR(LEFT(L224,2)="15",AND(LEFT(M224,2)&lt;&gt;"15",LEFT(M224,2)&lt;&gt;"33"))),"x","")</f>
        <v/>
      </c>
      <c r="X224" s="51" t="str">
        <f>IF(AND(OR(LEFT(TH!L224,2)="15",LEFT(TH!M224,2)="15"),'152-CT'!$J$8=TH!F224),"x","")</f>
        <v/>
      </c>
      <c r="Y224" s="51" t="str">
        <f>IF(AND(OR(LEFT(TH!L224,2)="15",LEFT(TH!M224,2)="15"),TK!$E$7=TH!F224),"x","")</f>
        <v/>
      </c>
      <c r="Z224" s="51" t="str">
        <f>IF(AND(B224&lt;=NKC!$N$8,B224&gt;=NKC!$M$8),"x","")</f>
        <v/>
      </c>
      <c r="AA224" s="803"/>
      <c r="AB224" s="565"/>
    </row>
    <row r="225" spans="1:31" ht="15.75" customHeight="1">
      <c r="A225" s="804" t="str">
        <f>IF(B225&lt;&gt;"",IF(AND(B225&gt;=_TM1,B225&lt;=_TM2,OR(TH!L225="1111",TH!M225="1111")),TH!D225,""),"")</f>
        <v/>
      </c>
      <c r="B225" s="36">
        <f t="shared" si="13"/>
        <v>5</v>
      </c>
      <c r="C225" s="189">
        <f t="shared" si="14"/>
        <v>42135</v>
      </c>
      <c r="D225" s="189" t="s">
        <v>1348</v>
      </c>
      <c r="E225" s="189">
        <v>42135</v>
      </c>
      <c r="F225" s="922" t="s">
        <v>451</v>
      </c>
      <c r="G225" s="813" t="s">
        <v>532</v>
      </c>
      <c r="H225" s="191" t="s">
        <v>531</v>
      </c>
      <c r="I225" s="243"/>
      <c r="J225" s="243"/>
      <c r="K225" s="573">
        <v>2181818</v>
      </c>
      <c r="L225" s="574" t="s">
        <v>83</v>
      </c>
      <c r="M225" s="574" t="s">
        <v>47</v>
      </c>
      <c r="N225" s="51" t="str">
        <f>IF(AND('331-CT'!$E$7=TH!H225,OR(L225="331",M225="331")),"331",IF(AND(OR(L225="131",M225="131"),H225='131-CT'!$E$7),"131",""))</f>
        <v/>
      </c>
      <c r="O225" s="51" t="str">
        <f>IF(AND($B225&gt;='111'!$N$11,$B225&lt;='111'!$O$11,OR($L225=$O$7,$M225=$O$7)),"x","")</f>
        <v/>
      </c>
      <c r="P225" s="51" t="str">
        <f>IF(AND($L225=$O$7,$B225&lt;'111'!$N$11),"x","")</f>
        <v/>
      </c>
      <c r="Q225" s="51" t="str">
        <f>IF(AND($M225=$O$7,$B225&lt;'111'!$N$11),"x","")</f>
        <v>x</v>
      </c>
      <c r="R225" s="51" t="str">
        <f>IF(ISERROR(FIND('112'!$M$9,G225,1)),"",IF((AND(FIND('112'!$M$9,G225,1)&gt;=1,$B225&gt;='112'!$N$8,$B225&lt;='112'!$O$8,OR($L225='112'!$I$6,$M225='112'!$I$6))),"x",""))</f>
        <v/>
      </c>
      <c r="S225" s="51" t="str">
        <f>IF(ISERROR(FIND('112'!$M$9,G225,1)),"",IF((AND(LEFT(G225,2)=LEFT('112'!$M$9,2),B225&lt;'112'!$N$8,$L225='112'!$I$6)),"x",""))</f>
        <v/>
      </c>
      <c r="T225" s="51" t="str">
        <f>IF(ISERROR(FIND('112'!$M$9,G225,1)),"",IF((AND(RIGHT(G225,2)=RIGHT('112'!$M$9,2),B225&lt;'112'!$N$8,$M225='112'!$I$6)),"x",""))</f>
        <v/>
      </c>
      <c r="U225" s="51" t="str">
        <f>IF(AND(L225="154",'154'!$O$5&lt;=B225,'154'!$P$5&gt;=B225),"154",IF(AND(L225="632",'632'!$L$5&lt;=B225,'632'!$M$5&gt;=B225),"632",IF(AND(L225="642",'642'!$N$5&lt;=B225,'642'!$O$5&gt;=B225),"642",IF(AND(L225="641",'641'!$N$5&lt;=B225,'641'!$O$5&gt;=B225),"641",""))))</f>
        <v>642</v>
      </c>
      <c r="V225" s="51" t="str">
        <f>IF(OR(TH!L225=TH!$V$7,M225=TH!$V$7),"x","")</f>
        <v>x</v>
      </c>
      <c r="W225" s="51" t="str">
        <f>IF(AND(B225&gt;='IN-NX'!$P$3,B225&lt;='IN-NX'!$Q$3,'IN-NX'!$D$7=D225,OR(LEFT(L225,2)="15",AND(LEFT(M225,2)&lt;&gt;"15",LEFT(M225,2)&lt;&gt;"33"))),"x","")</f>
        <v/>
      </c>
      <c r="X225" s="51" t="str">
        <f>IF(AND(OR(LEFT(TH!L225,2)="15",LEFT(TH!M225,2)="15"),'152-CT'!$J$8=TH!F225),"x","")</f>
        <v/>
      </c>
      <c r="Y225" s="51" t="str">
        <f>IF(AND(OR(LEFT(TH!L225,2)="15",LEFT(TH!M225,2)="15"),TK!$E$7=TH!F225),"x","")</f>
        <v/>
      </c>
      <c r="Z225" s="51" t="str">
        <f>IF(AND(B225&lt;=NKC!$N$8,B225&gt;=NKC!$M$8),"x","")</f>
        <v/>
      </c>
      <c r="AA225" s="803"/>
      <c r="AB225" s="565"/>
    </row>
    <row r="226" spans="1:31" ht="15.75" customHeight="1">
      <c r="A226" s="804" t="str">
        <f>IF(B226&lt;&gt;"",IF(AND(B226&gt;=_TM1,B226&lt;=_TM2,OR(TH!L226="1111",TH!M226="1111")),TH!D226,""),"")</f>
        <v/>
      </c>
      <c r="B226" s="36">
        <f t="shared" si="13"/>
        <v>5</v>
      </c>
      <c r="C226" s="189">
        <f t="shared" si="14"/>
        <v>42135</v>
      </c>
      <c r="D226" s="189" t="s">
        <v>1348</v>
      </c>
      <c r="E226" s="189">
        <v>42135</v>
      </c>
      <c r="F226" s="922" t="s">
        <v>453</v>
      </c>
      <c r="G226" s="813" t="s">
        <v>532</v>
      </c>
      <c r="H226" s="191" t="s">
        <v>531</v>
      </c>
      <c r="I226" s="243"/>
      <c r="J226" s="243"/>
      <c r="K226" s="573">
        <v>218182</v>
      </c>
      <c r="L226" s="574" t="s">
        <v>9</v>
      </c>
      <c r="M226" s="574" t="s">
        <v>47</v>
      </c>
      <c r="N226" s="51" t="str">
        <f>IF(AND('331-CT'!$E$7=TH!H226,OR(L226="331",M226="331")),"331",IF(AND(OR(L226="131",M226="131"),H226='131-CT'!$E$7),"131",""))</f>
        <v/>
      </c>
      <c r="O226" s="51" t="str">
        <f>IF(AND($B226&gt;='111'!$N$11,$B226&lt;='111'!$O$11,OR($L226=$O$7,$M226=$O$7)),"x","")</f>
        <v/>
      </c>
      <c r="P226" s="51" t="str">
        <f>IF(AND($L226=$O$7,$B226&lt;'111'!$N$11),"x","")</f>
        <v/>
      </c>
      <c r="Q226" s="51" t="str">
        <f>IF(AND($M226=$O$7,$B226&lt;'111'!$N$11),"x","")</f>
        <v>x</v>
      </c>
      <c r="R226" s="51" t="str">
        <f>IF(ISERROR(FIND('112'!$M$9,G226,1)),"",IF((AND(FIND('112'!$M$9,G226,1)&gt;=1,$B226&gt;='112'!$N$8,$B226&lt;='112'!$O$8,OR($L226='112'!$I$6,$M226='112'!$I$6))),"x",""))</f>
        <v/>
      </c>
      <c r="S226" s="51" t="str">
        <f>IF(ISERROR(FIND('112'!$M$9,G226,1)),"",IF((AND(LEFT(G226,2)=LEFT('112'!$M$9,2),B226&lt;'112'!$N$8,$L226='112'!$I$6)),"x",""))</f>
        <v/>
      </c>
      <c r="T226" s="51" t="str">
        <f>IF(ISERROR(FIND('112'!$M$9,G226,1)),"",IF((AND(RIGHT(G226,2)=RIGHT('112'!$M$9,2),B226&lt;'112'!$N$8,$M226='112'!$I$6)),"x",""))</f>
        <v/>
      </c>
      <c r="U226" s="51" t="str">
        <f>IF(AND(L226="154",'154'!$O$5&lt;=B226,'154'!$P$5&gt;=B226),"154",IF(AND(L226="632",'632'!$L$5&lt;=B226,'632'!$M$5&gt;=B226),"632",IF(AND(L226="642",'642'!$N$5&lt;=B226,'642'!$O$5&gt;=B226),"642",IF(AND(L226="641",'641'!$N$5&lt;=B226,'641'!$O$5&gt;=B226),"641",""))))</f>
        <v/>
      </c>
      <c r="V226" s="51" t="str">
        <f>IF(OR(TH!L226=TH!$V$7,M226=TH!$V$7),"x","")</f>
        <v/>
      </c>
      <c r="W226" s="51" t="str">
        <f>IF(AND(B226&gt;='IN-NX'!$P$3,B226&lt;='IN-NX'!$Q$3,'IN-NX'!$D$7=D226,OR(LEFT(L226,2)="15",AND(LEFT(M226,2)&lt;&gt;"15",LEFT(M226,2)&lt;&gt;"33"))),"x","")</f>
        <v/>
      </c>
      <c r="X226" s="51" t="str">
        <f>IF(AND(OR(LEFT(TH!L226,2)="15",LEFT(TH!M226,2)="15"),'152-CT'!$J$8=TH!F226),"x","")</f>
        <v/>
      </c>
      <c r="Y226" s="51" t="str">
        <f>IF(AND(OR(LEFT(TH!L226,2)="15",LEFT(TH!M226,2)="15"),TK!$E$7=TH!F226),"x","")</f>
        <v/>
      </c>
      <c r="Z226" s="51" t="str">
        <f>IF(AND(B226&lt;=NKC!$N$8,B226&gt;=NKC!$M$8),"x","")</f>
        <v/>
      </c>
      <c r="AA226" s="803">
        <v>2</v>
      </c>
      <c r="AB226" s="565"/>
    </row>
    <row r="227" spans="1:31" ht="15.75" customHeight="1">
      <c r="A227" s="804" t="str">
        <f>IF(B227&lt;&gt;"",IF(AND(B227&gt;=_TM1,B227&lt;=_TM2,OR(TH!L227="1111",TH!M227="1111")),TH!D227,""),"")</f>
        <v/>
      </c>
      <c r="B227" s="36">
        <f t="shared" si="13"/>
        <v>5</v>
      </c>
      <c r="C227" s="189">
        <f t="shared" si="14"/>
        <v>42137</v>
      </c>
      <c r="D227" s="189" t="s">
        <v>1345</v>
      </c>
      <c r="E227" s="189">
        <v>42137</v>
      </c>
      <c r="F227" s="922" t="s">
        <v>964</v>
      </c>
      <c r="G227" s="813" t="s">
        <v>988</v>
      </c>
      <c r="H227" s="191" t="s">
        <v>989</v>
      </c>
      <c r="I227" s="243"/>
      <c r="J227" s="243"/>
      <c r="K227" s="573">
        <v>15000000</v>
      </c>
      <c r="L227" s="574" t="s">
        <v>47</v>
      </c>
      <c r="M227" s="574" t="s">
        <v>408</v>
      </c>
      <c r="N227" s="51" t="str">
        <f>IF(AND('331-CT'!$E$7=TH!H227,OR(L227="331",M227="331")),"331",IF(AND(OR(L227="131",M227="131"),H227='131-CT'!$E$7),"131",""))</f>
        <v/>
      </c>
      <c r="O227" s="51" t="str">
        <f>IF(AND($B227&gt;='111'!$N$11,$B227&lt;='111'!$O$11,OR($L227=$O$7,$M227=$O$7)),"x","")</f>
        <v/>
      </c>
      <c r="P227" s="51" t="str">
        <f>IF(AND($L227=$O$7,$B227&lt;'111'!$N$11),"x","")</f>
        <v>x</v>
      </c>
      <c r="Q227" s="51" t="str">
        <f>IF(AND($M227=$O$7,$B227&lt;'111'!$N$11),"x","")</f>
        <v/>
      </c>
      <c r="R227" s="51" t="str">
        <f>IF(ISERROR(FIND('112'!$M$9,G227,1)),"",IF((AND(FIND('112'!$M$9,G227,1)&gt;=1,$B227&gt;='112'!$N$8,$B227&lt;='112'!$O$8,OR($L227='112'!$I$6,$M227='112'!$I$6))),"x",""))</f>
        <v/>
      </c>
      <c r="S227" s="51" t="str">
        <f>IF(ISERROR(FIND('112'!$M$9,G227,1)),"",IF((AND(LEFT(G227,2)=LEFT('112'!$M$9,2),B227&lt;'112'!$N$8,$L227='112'!$I$6)),"x",""))</f>
        <v/>
      </c>
      <c r="T227" s="51" t="str">
        <f>IF(ISERROR(FIND('112'!$M$9,G227,1)),"",IF((AND(RIGHT(G227,2)=RIGHT('112'!$M$9,2),B227&lt;'112'!$N$8,$M227='112'!$I$6)),"x",""))</f>
        <v/>
      </c>
      <c r="U227" s="51" t="str">
        <f>IF(AND(L227="154",'154'!$O$5&lt;=B227,'154'!$P$5&gt;=B227),"154",IF(AND(L227="632",'632'!$L$5&lt;=B227,'632'!$M$5&gt;=B227),"632",IF(AND(L227="642",'642'!$N$5&lt;=B227,'642'!$O$5&gt;=B227),"642",IF(AND(L227="641",'641'!$N$5&lt;=B227,'641'!$O$5&gt;=B227),"641",""))))</f>
        <v/>
      </c>
      <c r="V227" s="51" t="str">
        <f>IF(OR(TH!L227=TH!$V$7,M227=TH!$V$7),"x","")</f>
        <v/>
      </c>
      <c r="W227" s="51" t="str">
        <f>IF(AND(B227&gt;='IN-NX'!$P$3,B227&lt;='IN-NX'!$Q$3,'IN-NX'!$D$7=D227,OR(LEFT(L227,2)="15",AND(LEFT(M227,2)&lt;&gt;"15",LEFT(M227,2)&lt;&gt;"33"))),"x","")</f>
        <v/>
      </c>
      <c r="X227" s="51" t="str">
        <f>IF(AND(OR(LEFT(TH!L227,2)="15",LEFT(TH!M227,2)="15"),'152-CT'!$J$8=TH!F227),"x","")</f>
        <v/>
      </c>
      <c r="Y227" s="51" t="str">
        <f>IF(AND(OR(LEFT(TH!L227,2)="15",LEFT(TH!M227,2)="15"),TK!$E$7=TH!F227),"x","")</f>
        <v/>
      </c>
      <c r="Z227" s="51" t="str">
        <f>IF(AND(B227&lt;=NKC!$N$8,B227&gt;=NKC!$M$8),"x","")</f>
        <v/>
      </c>
      <c r="AA227" s="803"/>
      <c r="AB227" s="565"/>
      <c r="AC227" s="565"/>
      <c r="AD227" s="565"/>
    </row>
    <row r="228" spans="1:31" ht="15.75" customHeight="1">
      <c r="A228" s="804" t="str">
        <f>IF(B228&lt;&gt;"",IF(AND(B228&gt;=_TM1,B228&lt;=_TM2,OR(TH!L228="1111",TH!M228="1111")),TH!D228,""),"")</f>
        <v/>
      </c>
      <c r="B228" s="36">
        <f t="shared" si="13"/>
        <v>5</v>
      </c>
      <c r="C228" s="189">
        <f t="shared" si="14"/>
        <v>42137</v>
      </c>
      <c r="D228" s="189" t="s">
        <v>1345</v>
      </c>
      <c r="E228" s="189">
        <v>42137</v>
      </c>
      <c r="F228" s="922" t="s">
        <v>1110</v>
      </c>
      <c r="G228" s="813" t="s">
        <v>988</v>
      </c>
      <c r="H228" s="191" t="s">
        <v>989</v>
      </c>
      <c r="I228" s="243"/>
      <c r="J228" s="243"/>
      <c r="K228" s="573">
        <v>1500000</v>
      </c>
      <c r="L228" s="574" t="s">
        <v>47</v>
      </c>
      <c r="M228" s="574" t="s">
        <v>352</v>
      </c>
      <c r="N228" s="51" t="str">
        <f>IF(AND('331-CT'!$E$7=TH!H228,OR(L228="331",M228="331")),"331",IF(AND(OR(L228="131",M228="131"),H228='131-CT'!$E$7),"131",""))</f>
        <v/>
      </c>
      <c r="O228" s="51" t="str">
        <f>IF(AND($B228&gt;='111'!$N$11,$B228&lt;='111'!$O$11,OR($L228=$O$7,$M228=$O$7)),"x","")</f>
        <v/>
      </c>
      <c r="P228" s="51" t="str">
        <f>IF(AND($L228=$O$7,$B228&lt;'111'!$N$11),"x","")</f>
        <v>x</v>
      </c>
      <c r="Q228" s="51" t="str">
        <f>IF(AND($M228=$O$7,$B228&lt;'111'!$N$11),"x","")</f>
        <v/>
      </c>
      <c r="R228" s="51" t="str">
        <f>IF(ISERROR(FIND('112'!$M$9,G228,1)),"",IF((AND(FIND('112'!$M$9,G228,1)&gt;=1,$B228&gt;='112'!$N$8,$B228&lt;='112'!$O$8,OR($L228='112'!$I$6,$M228='112'!$I$6))),"x",""))</f>
        <v/>
      </c>
      <c r="S228" s="51" t="str">
        <f>IF(ISERROR(FIND('112'!$M$9,G228,1)),"",IF((AND(LEFT(G228,2)=LEFT('112'!$M$9,2),B228&lt;'112'!$N$8,$L228='112'!$I$6)),"x",""))</f>
        <v/>
      </c>
      <c r="T228" s="51" t="str">
        <f>IF(ISERROR(FIND('112'!$M$9,G228,1)),"",IF((AND(RIGHT(G228,2)=RIGHT('112'!$M$9,2),B228&lt;'112'!$N$8,$M228='112'!$I$6)),"x",""))</f>
        <v/>
      </c>
      <c r="U228" s="51" t="str">
        <f>IF(AND(L228="154",'154'!$O$5&lt;=B228,'154'!$P$5&gt;=B228),"154",IF(AND(L228="632",'632'!$L$5&lt;=B228,'632'!$M$5&gt;=B228),"632",IF(AND(L228="642",'642'!$N$5&lt;=B228,'642'!$O$5&gt;=B228),"642",IF(AND(L228="641",'641'!$N$5&lt;=B228,'641'!$O$5&gt;=B228),"641",""))))</f>
        <v/>
      </c>
      <c r="V228" s="51" t="str">
        <f>IF(OR(TH!L228=TH!$V$7,M228=TH!$V$7),"x","")</f>
        <v/>
      </c>
      <c r="W228" s="51" t="str">
        <f>IF(AND(B228&gt;='IN-NX'!$P$3,B228&lt;='IN-NX'!$Q$3,'IN-NX'!$D$7=D228,OR(LEFT(L228,2)="15",AND(LEFT(M228,2)&lt;&gt;"15",LEFT(M228,2)&lt;&gt;"33"))),"x","")</f>
        <v/>
      </c>
      <c r="X228" s="51" t="str">
        <f>IF(AND(OR(LEFT(TH!L228,2)="15",LEFT(TH!M228,2)="15"),'152-CT'!$J$8=TH!F228),"x","")</f>
        <v/>
      </c>
      <c r="Y228" s="51" t="str">
        <f>IF(AND(OR(LEFT(TH!L228,2)="15",LEFT(TH!M228,2)="15"),TK!$E$7=TH!F228),"x","")</f>
        <v/>
      </c>
      <c r="Z228" s="51" t="str">
        <f>IF(AND(B228&lt;=NKC!$N$8,B228&gt;=NKC!$M$8),"x","")</f>
        <v/>
      </c>
      <c r="AA228" s="803"/>
      <c r="AB228" s="565"/>
      <c r="AD228" s="565"/>
    </row>
    <row r="229" spans="1:31" ht="15.75" customHeight="1">
      <c r="A229" s="804" t="str">
        <f>IF(B229&lt;&gt;"",IF(AND(B229&gt;=_TM1,B229&lt;=_TM2,OR(TH!L229="1111",TH!M229="1111")),TH!D229,""),"")</f>
        <v/>
      </c>
      <c r="B229" s="36">
        <f t="shared" si="13"/>
        <v>5</v>
      </c>
      <c r="C229" s="189">
        <f t="shared" si="14"/>
        <v>42138</v>
      </c>
      <c r="D229" s="189" t="s">
        <v>1349</v>
      </c>
      <c r="E229" s="189">
        <v>42138</v>
      </c>
      <c r="F229" s="922" t="s">
        <v>361</v>
      </c>
      <c r="G229" s="813" t="s">
        <v>535</v>
      </c>
      <c r="H229" s="191" t="s">
        <v>533</v>
      </c>
      <c r="I229" s="243"/>
      <c r="J229" s="243"/>
      <c r="K229" s="573">
        <v>2430000</v>
      </c>
      <c r="L229" s="574" t="s">
        <v>160</v>
      </c>
      <c r="M229" s="574" t="s">
        <v>47</v>
      </c>
      <c r="N229" s="51" t="str">
        <f>IF(AND('331-CT'!$E$7=TH!H229,OR(L229="331",M229="331")),"331",IF(AND(OR(L229="131",M229="131"),H229='131-CT'!$E$7),"131",""))</f>
        <v/>
      </c>
      <c r="O229" s="51" t="str">
        <f>IF(AND($B229&gt;='111'!$N$11,$B229&lt;='111'!$O$11,OR($L229=$O$7,$M229=$O$7)),"x","")</f>
        <v/>
      </c>
      <c r="P229" s="51" t="str">
        <f>IF(AND($L229=$O$7,$B229&lt;'111'!$N$11),"x","")</f>
        <v/>
      </c>
      <c r="Q229" s="51" t="str">
        <f>IF(AND($M229=$O$7,$B229&lt;'111'!$N$11),"x","")</f>
        <v>x</v>
      </c>
      <c r="R229" s="51" t="str">
        <f>IF(ISERROR(FIND('112'!$M$9,G229,1)),"",IF((AND(FIND('112'!$M$9,G229,1)&gt;=1,$B229&gt;='112'!$N$8,$B229&lt;='112'!$O$8,OR($L229='112'!$I$6,$M229='112'!$I$6))),"x",""))</f>
        <v/>
      </c>
      <c r="S229" s="51" t="str">
        <f>IF(ISERROR(FIND('112'!$M$9,G229,1)),"",IF((AND(LEFT(G229,2)=LEFT('112'!$M$9,2),B229&lt;'112'!$N$8,$L229='112'!$I$6)),"x",""))</f>
        <v/>
      </c>
      <c r="T229" s="51" t="str">
        <f>IF(ISERROR(FIND('112'!$M$9,G229,1)),"",IF((AND(RIGHT(G229,2)=RIGHT('112'!$M$9,2),B229&lt;'112'!$N$8,$M229='112'!$I$6)),"x",""))</f>
        <v/>
      </c>
      <c r="U229" s="51" t="str">
        <f>IF(AND(L229="154",'154'!$O$5&lt;=B229,'154'!$P$5&gt;=B229),"154",IF(AND(L229="632",'632'!$L$5&lt;=B229,'632'!$M$5&gt;=B229),"632",IF(AND(L229="642",'642'!$N$5&lt;=B229,'642'!$O$5&gt;=B229),"642",IF(AND(L229="641",'641'!$N$5&lt;=B229,'641'!$O$5&gt;=B229),"641",""))))</f>
        <v>154</v>
      </c>
      <c r="V229" s="51" t="str">
        <f>IF(OR(TH!L229=TH!$V$7,M229=TH!$V$7),"x","")</f>
        <v/>
      </c>
      <c r="W229" s="51" t="str">
        <f>IF(AND(B229&gt;='IN-NX'!$P$3,B229&lt;='IN-NX'!$Q$3,'IN-NX'!$D$7=D229,OR(LEFT(L229,2)="15",AND(LEFT(M229,2)&lt;&gt;"15",LEFT(M229,2)&lt;&gt;"33"))),"x","")</f>
        <v/>
      </c>
      <c r="X229" s="51" t="str">
        <f>IF(AND(OR(LEFT(TH!L229,2)="15",LEFT(TH!M229,2)="15"),'152-CT'!$J$8=TH!F229),"x","")</f>
        <v/>
      </c>
      <c r="Y229" s="51" t="str">
        <f>IF(AND(OR(LEFT(TH!L229,2)="15",LEFT(TH!M229,2)="15"),TK!$E$7=TH!F229),"x","")</f>
        <v/>
      </c>
      <c r="Z229" s="51" t="str">
        <f>IF(AND(B229&lt;=NKC!$N$8,B229&gt;=NKC!$M$8),"x","")</f>
        <v/>
      </c>
      <c r="AA229" s="803"/>
      <c r="AB229" s="565"/>
    </row>
    <row r="230" spans="1:31" ht="15.75" customHeight="1">
      <c r="A230" s="804" t="str">
        <f>IF(B230&lt;&gt;"",IF(AND(B230&gt;=_TM1,B230&lt;=_TM2,OR(TH!L230="1111",TH!M230="1111")),TH!D230,""),"")</f>
        <v/>
      </c>
      <c r="B230" s="36">
        <f t="shared" si="13"/>
        <v>5</v>
      </c>
      <c r="C230" s="189">
        <f t="shared" si="14"/>
        <v>42138</v>
      </c>
      <c r="D230" s="189" t="s">
        <v>1349</v>
      </c>
      <c r="E230" s="189">
        <v>42138</v>
      </c>
      <c r="F230" s="922" t="s">
        <v>534</v>
      </c>
      <c r="G230" s="813" t="s">
        <v>535</v>
      </c>
      <c r="H230" s="191" t="s">
        <v>533</v>
      </c>
      <c r="I230" s="243"/>
      <c r="J230" s="243"/>
      <c r="K230" s="573">
        <v>243000</v>
      </c>
      <c r="L230" s="574" t="s">
        <v>9</v>
      </c>
      <c r="M230" s="574" t="s">
        <v>47</v>
      </c>
      <c r="N230" s="51" t="str">
        <f>IF(AND('331-CT'!$E$7=TH!H230,OR(L230="331",M230="331")),"331",IF(AND(OR(L230="131",M230="131"),H230='131-CT'!$E$7),"131",""))</f>
        <v/>
      </c>
      <c r="O230" s="51" t="str">
        <f>IF(AND($B230&gt;='111'!$N$11,$B230&lt;='111'!$O$11,OR($L230=$O$7,$M230=$O$7)),"x","")</f>
        <v/>
      </c>
      <c r="P230" s="51" t="str">
        <f>IF(AND($L230=$O$7,$B230&lt;'111'!$N$11),"x","")</f>
        <v/>
      </c>
      <c r="Q230" s="51" t="str">
        <f>IF(AND($M230=$O$7,$B230&lt;'111'!$N$11),"x","")</f>
        <v>x</v>
      </c>
      <c r="R230" s="51" t="str">
        <f>IF(ISERROR(FIND('112'!$M$9,G230,1)),"",IF((AND(FIND('112'!$M$9,G230,1)&gt;=1,$B230&gt;='112'!$N$8,$B230&lt;='112'!$O$8,OR($L230='112'!$I$6,$M230='112'!$I$6))),"x",""))</f>
        <v/>
      </c>
      <c r="S230" s="51" t="str">
        <f>IF(ISERROR(FIND('112'!$M$9,G230,1)),"",IF((AND(LEFT(G230,2)=LEFT('112'!$M$9,2),B230&lt;'112'!$N$8,$L230='112'!$I$6)),"x",""))</f>
        <v/>
      </c>
      <c r="T230" s="51" t="str">
        <f>IF(ISERROR(FIND('112'!$M$9,G230,1)),"",IF((AND(RIGHT(G230,2)=RIGHT('112'!$M$9,2),B230&lt;'112'!$N$8,$M230='112'!$I$6)),"x",""))</f>
        <v/>
      </c>
      <c r="U230" s="51" t="str">
        <f>IF(AND(L230="154",'154'!$O$5&lt;=B230,'154'!$P$5&gt;=B230),"154",IF(AND(L230="632",'632'!$L$5&lt;=B230,'632'!$M$5&gt;=B230),"632",IF(AND(L230="642",'642'!$N$5&lt;=B230,'642'!$O$5&gt;=B230),"642",IF(AND(L230="641",'641'!$N$5&lt;=B230,'641'!$O$5&gt;=B230),"641",""))))</f>
        <v/>
      </c>
      <c r="V230" s="51" t="str">
        <f>IF(OR(TH!L230=TH!$V$7,M230=TH!$V$7),"x","")</f>
        <v/>
      </c>
      <c r="W230" s="51" t="str">
        <f>IF(AND(B230&gt;='IN-NX'!$P$3,B230&lt;='IN-NX'!$Q$3,'IN-NX'!$D$7=D230,OR(LEFT(L230,2)="15",AND(LEFT(M230,2)&lt;&gt;"15",LEFT(M230,2)&lt;&gt;"33"))),"x","")</f>
        <v/>
      </c>
      <c r="X230" s="51" t="str">
        <f>IF(AND(OR(LEFT(TH!L230,2)="15",LEFT(TH!M230,2)="15"),'152-CT'!$J$8=TH!F230),"x","")</f>
        <v/>
      </c>
      <c r="Y230" s="51" t="str">
        <f>IF(AND(OR(LEFT(TH!L230,2)="15",LEFT(TH!M230,2)="15"),TK!$E$7=TH!F230),"x","")</f>
        <v/>
      </c>
      <c r="Z230" s="51" t="str">
        <f>IF(AND(B230&lt;=NKC!$N$8,B230&gt;=NKC!$M$8),"x","")</f>
        <v/>
      </c>
      <c r="AA230" s="803">
        <v>2</v>
      </c>
      <c r="AB230" s="565"/>
    </row>
    <row r="231" spans="1:31" ht="15.75" customHeight="1">
      <c r="A231" s="804" t="str">
        <f>IF(B231&lt;&gt;"",IF(AND(B231&gt;=_TM1,B231&lt;=_TM2,OR(TH!L231="1111",TH!M231="1111")),TH!D231,""),"")</f>
        <v/>
      </c>
      <c r="B231" s="36">
        <f t="shared" si="13"/>
        <v>5</v>
      </c>
      <c r="C231" s="189">
        <f t="shared" si="14"/>
        <v>42138</v>
      </c>
      <c r="D231" s="189" t="s">
        <v>1351</v>
      </c>
      <c r="E231" s="189">
        <v>42138</v>
      </c>
      <c r="F231" s="922" t="s">
        <v>537</v>
      </c>
      <c r="G231" s="813" t="s">
        <v>539</v>
      </c>
      <c r="H231" s="191" t="s">
        <v>536</v>
      </c>
      <c r="I231" s="243"/>
      <c r="J231" s="243"/>
      <c r="K231" s="573">
        <v>2000000</v>
      </c>
      <c r="L231" s="574" t="s">
        <v>83</v>
      </c>
      <c r="M231" s="574" t="s">
        <v>47</v>
      </c>
      <c r="N231" s="51" t="str">
        <f>IF(AND('331-CT'!$E$7=TH!H231,OR(L231="331",M231="331")),"331",IF(AND(OR(L231="131",M231="131"),H231='131-CT'!$E$7),"131",""))</f>
        <v/>
      </c>
      <c r="O231" s="51" t="str">
        <f>IF(AND($B231&gt;='111'!$N$11,$B231&lt;='111'!$O$11,OR($L231=$O$7,$M231=$O$7)),"x","")</f>
        <v/>
      </c>
      <c r="P231" s="51" t="str">
        <f>IF(AND($L231=$O$7,$B231&lt;'111'!$N$11),"x","")</f>
        <v/>
      </c>
      <c r="Q231" s="51" t="str">
        <f>IF(AND($M231=$O$7,$B231&lt;'111'!$N$11),"x","")</f>
        <v>x</v>
      </c>
      <c r="R231" s="51" t="str">
        <f>IF(ISERROR(FIND('112'!$M$9,G231,1)),"",IF((AND(FIND('112'!$M$9,G231,1)&gt;=1,$B231&gt;='112'!$N$8,$B231&lt;='112'!$O$8,OR($L231='112'!$I$6,$M231='112'!$I$6))),"x",""))</f>
        <v/>
      </c>
      <c r="S231" s="51" t="str">
        <f>IF(ISERROR(FIND('112'!$M$9,G231,1)),"",IF((AND(LEFT(G231,2)=LEFT('112'!$M$9,2),B231&lt;'112'!$N$8,$L231='112'!$I$6)),"x",""))</f>
        <v/>
      </c>
      <c r="T231" s="51" t="str">
        <f>IF(ISERROR(FIND('112'!$M$9,G231,1)),"",IF((AND(RIGHT(G231,2)=RIGHT('112'!$M$9,2),B231&lt;'112'!$N$8,$M231='112'!$I$6)),"x",""))</f>
        <v/>
      </c>
      <c r="U231" s="51" t="str">
        <f>IF(AND(L231="154",'154'!$O$5&lt;=B231,'154'!$P$5&gt;=B231),"154",IF(AND(L231="632",'632'!$L$5&lt;=B231,'632'!$M$5&gt;=B231),"632",IF(AND(L231="642",'642'!$N$5&lt;=B231,'642'!$O$5&gt;=B231),"642",IF(AND(L231="641",'641'!$N$5&lt;=B231,'641'!$O$5&gt;=B231),"641",""))))</f>
        <v>642</v>
      </c>
      <c r="V231" s="51" t="str">
        <f>IF(OR(TH!L231=TH!$V$7,M231=TH!$V$7),"x","")</f>
        <v>x</v>
      </c>
      <c r="W231" s="51" t="str">
        <f>IF(AND(B231&gt;='IN-NX'!$P$3,B231&lt;='IN-NX'!$Q$3,'IN-NX'!$D$7=D231,OR(LEFT(L231,2)="15",AND(LEFT(M231,2)&lt;&gt;"15",LEFT(M231,2)&lt;&gt;"33"))),"x","")</f>
        <v/>
      </c>
      <c r="X231" s="51" t="str">
        <f>IF(AND(OR(LEFT(TH!L231,2)="15",LEFT(TH!M231,2)="15"),'152-CT'!$J$8=TH!F231),"x","")</f>
        <v/>
      </c>
      <c r="Y231" s="51" t="str">
        <f>IF(AND(OR(LEFT(TH!L231,2)="15",LEFT(TH!M231,2)="15"),TK!$E$7=TH!F231),"x","")</f>
        <v/>
      </c>
      <c r="Z231" s="51" t="str">
        <f>IF(AND(B231&lt;=NKC!$N$8,B231&gt;=NKC!$M$8),"x","")</f>
        <v/>
      </c>
      <c r="AA231" s="803"/>
      <c r="AB231" s="565"/>
    </row>
    <row r="232" spans="1:31" ht="15.75" customHeight="1">
      <c r="A232" s="804" t="str">
        <f>IF(B232&lt;&gt;"",IF(AND(B232&gt;=_TM1,B232&lt;=_TM2,OR(TH!L232="1111",TH!M232="1111")),TH!D232,""),"")</f>
        <v/>
      </c>
      <c r="B232" s="36">
        <f t="shared" si="13"/>
        <v>5</v>
      </c>
      <c r="C232" s="189">
        <f t="shared" si="14"/>
        <v>42138</v>
      </c>
      <c r="D232" s="189" t="s">
        <v>1351</v>
      </c>
      <c r="E232" s="189">
        <v>42138</v>
      </c>
      <c r="F232" s="926" t="s">
        <v>538</v>
      </c>
      <c r="G232" s="813" t="s">
        <v>539</v>
      </c>
      <c r="H232" s="191" t="s">
        <v>536</v>
      </c>
      <c r="I232" s="243"/>
      <c r="J232" s="243"/>
      <c r="K232" s="573">
        <v>200000</v>
      </c>
      <c r="L232" s="574" t="s">
        <v>9</v>
      </c>
      <c r="M232" s="574" t="s">
        <v>47</v>
      </c>
      <c r="N232" s="51" t="str">
        <f>IF(AND('331-CT'!$E$7=TH!H232,OR(L232="331",M232="331")),"331",IF(AND(OR(L232="131",M232="131"),H232='131-CT'!$E$7),"131",""))</f>
        <v/>
      </c>
      <c r="O232" s="51" t="str">
        <f>IF(AND($B232&gt;='111'!$N$11,$B232&lt;='111'!$O$11,OR($L232=$O$7,$M232=$O$7)),"x","")</f>
        <v/>
      </c>
      <c r="P232" s="51" t="str">
        <f>IF(AND($L232=$O$7,$B232&lt;'111'!$N$11),"x","")</f>
        <v/>
      </c>
      <c r="Q232" s="51" t="str">
        <f>IF(AND($M232=$O$7,$B232&lt;'111'!$N$11),"x","")</f>
        <v>x</v>
      </c>
      <c r="R232" s="51" t="str">
        <f>IF(ISERROR(FIND('112'!$M$9,G232,1)),"",IF((AND(FIND('112'!$M$9,G232,1)&gt;=1,$B232&gt;='112'!$N$8,$B232&lt;='112'!$O$8,OR($L232='112'!$I$6,$M232='112'!$I$6))),"x",""))</f>
        <v/>
      </c>
      <c r="S232" s="51" t="str">
        <f>IF(ISERROR(FIND('112'!$M$9,G232,1)),"",IF((AND(LEFT(G232,2)=LEFT('112'!$M$9,2),B232&lt;'112'!$N$8,$L232='112'!$I$6)),"x",""))</f>
        <v/>
      </c>
      <c r="T232" s="51" t="str">
        <f>IF(ISERROR(FIND('112'!$M$9,G232,1)),"",IF((AND(RIGHT(G232,2)=RIGHT('112'!$M$9,2),B232&lt;'112'!$N$8,$M232='112'!$I$6)),"x",""))</f>
        <v/>
      </c>
      <c r="U232" s="51" t="str">
        <f>IF(AND(L232="154",'154'!$O$5&lt;=B232,'154'!$P$5&gt;=B232),"154",IF(AND(L232="632",'632'!$L$5&lt;=B232,'632'!$M$5&gt;=B232),"632",IF(AND(L232="642",'642'!$N$5&lt;=B232,'642'!$O$5&gt;=B232),"642",IF(AND(L232="641",'641'!$N$5&lt;=B232,'641'!$O$5&gt;=B232),"641",""))))</f>
        <v/>
      </c>
      <c r="V232" s="51" t="str">
        <f>IF(OR(TH!L232=TH!$V$7,M232=TH!$V$7),"x","")</f>
        <v/>
      </c>
      <c r="W232" s="51" t="str">
        <f>IF(AND(B232&gt;='IN-NX'!$P$3,B232&lt;='IN-NX'!$Q$3,'IN-NX'!$D$7=D232,OR(LEFT(L232,2)="15",AND(LEFT(M232,2)&lt;&gt;"15",LEFT(M232,2)&lt;&gt;"33"))),"x","")</f>
        <v/>
      </c>
      <c r="X232" s="51" t="str">
        <f>IF(AND(OR(LEFT(TH!L232,2)="15",LEFT(TH!M232,2)="15"),'152-CT'!$J$8=TH!F232),"x","")</f>
        <v/>
      </c>
      <c r="Y232" s="51" t="str">
        <f>IF(AND(OR(LEFT(TH!L232,2)="15",LEFT(TH!M232,2)="15"),TK!$E$7=TH!F232),"x","")</f>
        <v/>
      </c>
      <c r="Z232" s="51" t="str">
        <f>IF(AND(B232&lt;=NKC!$N$8,B232&gt;=NKC!$M$8),"x","")</f>
        <v/>
      </c>
      <c r="AA232" s="803">
        <v>2</v>
      </c>
      <c r="AB232" s="565"/>
    </row>
    <row r="233" spans="1:31" ht="15.75" customHeight="1">
      <c r="A233" s="804" t="str">
        <f>IF(B233&lt;&gt;"",IF(AND(B233&gt;=_TM1,B233&lt;=_TM2,OR(TH!L233="1111",TH!M233="1111")),TH!D233,""),"")</f>
        <v/>
      </c>
      <c r="B233" s="36">
        <f t="shared" si="13"/>
        <v>5</v>
      </c>
      <c r="C233" s="189">
        <f t="shared" si="14"/>
        <v>42138</v>
      </c>
      <c r="D233" s="189" t="s">
        <v>1354</v>
      </c>
      <c r="E233" s="189">
        <v>42138</v>
      </c>
      <c r="F233" s="926" t="s">
        <v>490</v>
      </c>
      <c r="G233" s="813" t="s">
        <v>541</v>
      </c>
      <c r="H233" s="191" t="s">
        <v>540</v>
      </c>
      <c r="I233" s="243"/>
      <c r="J233" s="243"/>
      <c r="K233" s="573">
        <v>1309000</v>
      </c>
      <c r="L233" s="574" t="s">
        <v>251</v>
      </c>
      <c r="M233" s="574" t="s">
        <v>47</v>
      </c>
      <c r="N233" s="51" t="str">
        <f>IF(AND('331-CT'!$E$7=TH!H233,OR(L233="331",M233="331")),"331",IF(AND(OR(L233="131",M233="131"),H233='131-CT'!$E$7),"131",""))</f>
        <v/>
      </c>
      <c r="O233" s="51" t="str">
        <f>IF(AND($B233&gt;='111'!$N$11,$B233&lt;='111'!$O$11,OR($L233=$O$7,$M233=$O$7)),"x","")</f>
        <v/>
      </c>
      <c r="P233" s="51" t="str">
        <f>IF(AND($L233=$O$7,$B233&lt;'111'!$N$11),"x","")</f>
        <v/>
      </c>
      <c r="Q233" s="51" t="str">
        <f>IF(AND($M233=$O$7,$B233&lt;'111'!$N$11),"x","")</f>
        <v>x</v>
      </c>
      <c r="R233" s="51" t="str">
        <f>IF(ISERROR(FIND('112'!$M$9,G233,1)),"",IF((AND(FIND('112'!$M$9,G233,1)&gt;=1,$B233&gt;='112'!$N$8,$B233&lt;='112'!$O$8,OR($L233='112'!$I$6,$M233='112'!$I$6))),"x",""))</f>
        <v/>
      </c>
      <c r="S233" s="51" t="str">
        <f>IF(ISERROR(FIND('112'!$M$9,G233,1)),"",IF((AND(LEFT(G233,2)=LEFT('112'!$M$9,2),B233&lt;'112'!$N$8,$L233='112'!$I$6)),"x",""))</f>
        <v/>
      </c>
      <c r="T233" s="51" t="str">
        <f>IF(ISERROR(FIND('112'!$M$9,G233,1)),"",IF((AND(RIGHT(G233,2)=RIGHT('112'!$M$9,2),B233&lt;'112'!$N$8,$M233='112'!$I$6)),"x",""))</f>
        <v/>
      </c>
      <c r="U233" s="51" t="str">
        <f>IF(AND(L233="154",'154'!$O$5&lt;=B233,'154'!$P$5&gt;=B233),"154",IF(AND(L233="632",'632'!$L$5&lt;=B233,'632'!$M$5&gt;=B233),"632",IF(AND(L233="642",'642'!$N$5&lt;=B233,'642'!$O$5&gt;=B233),"642",IF(AND(L233="641",'641'!$N$5&lt;=B233,'641'!$O$5&gt;=B233),"641",""))))</f>
        <v/>
      </c>
      <c r="V233" s="51" t="str">
        <f>IF(OR(TH!L233=TH!$V$7,M233=TH!$V$7),"x","")</f>
        <v/>
      </c>
      <c r="W233" s="51" t="str">
        <f>IF(AND(B233&gt;='IN-NX'!$P$3,B233&lt;='IN-NX'!$Q$3,'IN-NX'!$D$7=D233,OR(LEFT(L233,2)="15",AND(LEFT(M233,2)&lt;&gt;"15",LEFT(M233,2)&lt;&gt;"33"))),"x","")</f>
        <v/>
      </c>
      <c r="X233" s="51" t="str">
        <f>IF(AND(OR(LEFT(TH!L233,2)="15",LEFT(TH!M233,2)="15"),'152-CT'!$J$8=TH!F233),"x","")</f>
        <v/>
      </c>
      <c r="Y233" s="51" t="str">
        <f>IF(AND(OR(LEFT(TH!L233,2)="15",LEFT(TH!M233,2)="15"),TK!$E$7=TH!F233),"x","")</f>
        <v/>
      </c>
      <c r="Z233" s="51" t="str">
        <f>IF(AND(B233&lt;=NKC!$N$8,B233&gt;=NKC!$M$8),"x","")</f>
        <v/>
      </c>
      <c r="AA233" s="803"/>
      <c r="AB233" s="565"/>
    </row>
    <row r="234" spans="1:31" s="565" customFormat="1" ht="15.75" customHeight="1">
      <c r="A234" s="804" t="str">
        <f>IF(B234&lt;&gt;"",IF(AND(B234&gt;=_TM1,B234&lt;=_TM2,OR(TH!L234="1111",TH!M234="1111")),TH!D234,""),"")</f>
        <v/>
      </c>
      <c r="B234" s="36">
        <f t="shared" si="13"/>
        <v>5</v>
      </c>
      <c r="C234" s="189">
        <f t="shared" si="14"/>
        <v>42138</v>
      </c>
      <c r="D234" s="189" t="s">
        <v>1354</v>
      </c>
      <c r="E234" s="189">
        <v>42138</v>
      </c>
      <c r="F234" s="922" t="s">
        <v>491</v>
      </c>
      <c r="G234" s="813" t="s">
        <v>541</v>
      </c>
      <c r="H234" s="191" t="s">
        <v>540</v>
      </c>
      <c r="I234" s="243"/>
      <c r="J234" s="243"/>
      <c r="K234" s="573">
        <v>130900</v>
      </c>
      <c r="L234" s="574" t="s">
        <v>9</v>
      </c>
      <c r="M234" s="574" t="s">
        <v>47</v>
      </c>
      <c r="N234" s="51" t="str">
        <f>IF(AND('331-CT'!$E$7=TH!H234,OR(L234="331",M234="331")),"331",IF(AND(OR(L234="131",M234="131"),H234='131-CT'!$E$7),"131",""))</f>
        <v/>
      </c>
      <c r="O234" s="51" t="str">
        <f>IF(AND($B234&gt;='111'!$N$11,$B234&lt;='111'!$O$11,OR($L234=$O$7,$M234=$O$7)),"x","")</f>
        <v/>
      </c>
      <c r="P234" s="51" t="str">
        <f>IF(AND($L234=$O$7,$B234&lt;'111'!$N$11),"x","")</f>
        <v/>
      </c>
      <c r="Q234" s="51" t="str">
        <f>IF(AND($M234=$O$7,$B234&lt;'111'!$N$11),"x","")</f>
        <v>x</v>
      </c>
      <c r="R234" s="51" t="str">
        <f>IF(ISERROR(FIND('112'!$M$9,G234,1)),"",IF((AND(FIND('112'!$M$9,G234,1)&gt;=1,$B234&gt;='112'!$N$8,$B234&lt;='112'!$O$8,OR($L234='112'!$I$6,$M234='112'!$I$6))),"x",""))</f>
        <v/>
      </c>
      <c r="S234" s="51" t="str">
        <f>IF(ISERROR(FIND('112'!$M$9,G234,1)),"",IF((AND(LEFT(G234,2)=LEFT('112'!$M$9,2),B234&lt;'112'!$N$8,$L234='112'!$I$6)),"x",""))</f>
        <v/>
      </c>
      <c r="T234" s="51" t="str">
        <f>IF(ISERROR(FIND('112'!$M$9,G234,1)),"",IF((AND(RIGHT(G234,2)=RIGHT('112'!$M$9,2),B234&lt;'112'!$N$8,$M234='112'!$I$6)),"x",""))</f>
        <v/>
      </c>
      <c r="U234" s="51" t="str">
        <f>IF(AND(L234="154",'154'!$O$5&lt;=B234,'154'!$P$5&gt;=B234),"154",IF(AND(L234="632",'632'!$L$5&lt;=B234,'632'!$M$5&gt;=B234),"632",IF(AND(L234="642",'642'!$N$5&lt;=B234,'642'!$O$5&gt;=B234),"642",IF(AND(L234="641",'641'!$N$5&lt;=B234,'641'!$O$5&gt;=B234),"641",""))))</f>
        <v/>
      </c>
      <c r="V234" s="51" t="str">
        <f>IF(OR(TH!L234=TH!$V$7,M234=TH!$V$7),"x","")</f>
        <v/>
      </c>
      <c r="W234" s="51" t="str">
        <f>IF(AND(B234&gt;='IN-NX'!$P$3,B234&lt;='IN-NX'!$Q$3,'IN-NX'!$D$7=D234,OR(LEFT(L234,2)="15",AND(LEFT(M234,2)&lt;&gt;"15",LEFT(M234,2)&lt;&gt;"33"))),"x","")</f>
        <v/>
      </c>
      <c r="X234" s="51" t="str">
        <f>IF(AND(OR(LEFT(TH!L234,2)="15",LEFT(TH!M234,2)="15"),'152-CT'!$J$8=TH!F234),"x","")</f>
        <v/>
      </c>
      <c r="Y234" s="51" t="str">
        <f>IF(AND(OR(LEFT(TH!L234,2)="15",LEFT(TH!M234,2)="15"),TK!$E$7=TH!F234),"x","")</f>
        <v/>
      </c>
      <c r="Z234" s="51" t="str">
        <f>IF(AND(B234&lt;=NKC!$N$8,B234&gt;=NKC!$M$8),"x","")</f>
        <v/>
      </c>
      <c r="AA234" s="803">
        <v>2</v>
      </c>
      <c r="AC234" s="203"/>
      <c r="AD234" s="203"/>
      <c r="AE234" s="203"/>
    </row>
    <row r="235" spans="1:31" s="565" customFormat="1" ht="15.75" customHeight="1">
      <c r="A235" s="804" t="str">
        <f>IF(B235&lt;&gt;"",IF(AND(B235&gt;=_TM1,B235&lt;=_TM2,OR(TH!L235="1111",TH!M235="1111")),TH!D235,""),"")</f>
        <v/>
      </c>
      <c r="B235" s="36">
        <f t="shared" si="13"/>
        <v>5</v>
      </c>
      <c r="C235" s="189">
        <f t="shared" si="14"/>
        <v>42142</v>
      </c>
      <c r="D235" s="189" t="s">
        <v>1355</v>
      </c>
      <c r="E235" s="182">
        <v>42142</v>
      </c>
      <c r="F235" s="926" t="s">
        <v>433</v>
      </c>
      <c r="G235" s="811" t="s">
        <v>415</v>
      </c>
      <c r="H235" s="7" t="s">
        <v>428</v>
      </c>
      <c r="I235" s="243"/>
      <c r="J235" s="243"/>
      <c r="K235" s="38">
        <v>3000000</v>
      </c>
      <c r="L235" s="192" t="s">
        <v>24</v>
      </c>
      <c r="M235" s="192" t="s">
        <v>47</v>
      </c>
      <c r="N235" s="51" t="str">
        <f>IF(AND('331-CT'!$E$7=TH!H235,OR(L235="331",M235="331")),"331",IF(AND(OR(L235="131",M235="131"),H235='131-CT'!$E$7),"131",""))</f>
        <v/>
      </c>
      <c r="O235" s="51" t="str">
        <f>IF(AND($B235&gt;='111'!$N$11,$B235&lt;='111'!$O$11,OR($L235=$O$7,$M235=$O$7)),"x","")</f>
        <v/>
      </c>
      <c r="P235" s="51" t="str">
        <f>IF(AND($L235=$O$7,$B235&lt;'111'!$N$11),"x","")</f>
        <v/>
      </c>
      <c r="Q235" s="51" t="str">
        <f>IF(AND($M235=$O$7,$B235&lt;'111'!$N$11),"x","")</f>
        <v>x</v>
      </c>
      <c r="R235" s="51" t="str">
        <f>IF(ISERROR(FIND('112'!$M$9,G235,1)),"",IF((AND(FIND('112'!$M$9,G235,1)&gt;=1,$B235&gt;='112'!$N$8,$B235&lt;='112'!$O$8,OR($L235='112'!$I$6,$M235='112'!$I$6))),"x",""))</f>
        <v/>
      </c>
      <c r="S235" s="51" t="str">
        <f>IF(ISERROR(FIND('112'!$M$9,G235,1)),"",IF((AND(LEFT(G235,2)=LEFT('112'!$M$9,2),B235&lt;'112'!$N$8,$L235='112'!$I$6)),"x",""))</f>
        <v/>
      </c>
      <c r="T235" s="51" t="str">
        <f>IF(ISERROR(FIND('112'!$M$9,G235,1)),"",IF((AND(RIGHT(G235,2)=RIGHT('112'!$M$9,2),B235&lt;'112'!$N$8,$M235='112'!$I$6)),"x",""))</f>
        <v/>
      </c>
      <c r="U235" s="51" t="str">
        <f>IF(AND(L235="154",'154'!$O$5&lt;=B235,'154'!$P$5&gt;=B235),"154",IF(AND(L235="632",'632'!$L$5&lt;=B235,'632'!$M$5&gt;=B235),"632",IF(AND(L235="642",'642'!$N$5&lt;=B235,'642'!$O$5&gt;=B235),"642",IF(AND(L235="641",'641'!$N$5&lt;=B235,'641'!$O$5&gt;=B235),"641",""))))</f>
        <v/>
      </c>
      <c r="V235" s="51" t="str">
        <f>IF(OR(TH!L235=TH!$V$7,M235=TH!$V$7),"x","")</f>
        <v/>
      </c>
      <c r="W235" s="51" t="str">
        <f>IF(AND(B235&gt;='IN-NX'!$P$3,B235&lt;='IN-NX'!$Q$3,'IN-NX'!$D$7=D235,OR(LEFT(L235,2)="15",AND(LEFT(M235,2)&lt;&gt;"15",LEFT(M235,2)&lt;&gt;"33"))),"x","")</f>
        <v/>
      </c>
      <c r="X235" s="51" t="str">
        <f>IF(AND(OR(LEFT(TH!L235,2)="15",LEFT(TH!M235,2)="15"),'152-CT'!$J$8=TH!F235),"x","")</f>
        <v/>
      </c>
      <c r="Y235" s="51" t="str">
        <f>IF(AND(OR(LEFT(TH!L235,2)="15",LEFT(TH!M235,2)="15"),TK!$E$7=TH!F235),"x","")</f>
        <v/>
      </c>
      <c r="Z235" s="51" t="str">
        <f>IF(AND(B235&lt;=NKC!$N$8,B235&gt;=NKC!$M$8),"x","")</f>
        <v/>
      </c>
      <c r="AA235" s="803"/>
      <c r="AC235" s="203"/>
      <c r="AD235" s="203"/>
      <c r="AE235" s="203"/>
    </row>
    <row r="236" spans="1:31" s="565" customFormat="1" ht="15.75" customHeight="1">
      <c r="A236" s="804" t="str">
        <f>IF(B236&lt;&gt;"",IF(AND(B236&gt;=_TM1,B236&lt;=_TM2,OR(TH!L236="1111",TH!M236="1111")),TH!D236,""),"")</f>
        <v/>
      </c>
      <c r="B236" s="36">
        <f t="shared" si="13"/>
        <v>5</v>
      </c>
      <c r="C236" s="189">
        <f t="shared" si="14"/>
        <v>42142</v>
      </c>
      <c r="D236" s="189" t="s">
        <v>422</v>
      </c>
      <c r="E236" s="182">
        <v>42142</v>
      </c>
      <c r="F236" s="187" t="s">
        <v>960</v>
      </c>
      <c r="G236" s="811" t="s">
        <v>415</v>
      </c>
      <c r="H236" s="7"/>
      <c r="I236" s="243"/>
      <c r="J236" s="243"/>
      <c r="K236" s="38">
        <v>2982297</v>
      </c>
      <c r="L236" s="192" t="s">
        <v>17</v>
      </c>
      <c r="M236" s="192" t="s">
        <v>24</v>
      </c>
      <c r="N236" s="51" t="str">
        <f>IF(AND('331-CT'!$E$7=TH!H236,OR(L236="331",M236="331")),"331",IF(AND(OR(L236="131",M236="131"),H236='131-CT'!$E$7),"131",""))</f>
        <v/>
      </c>
      <c r="O236" s="51" t="str">
        <f>IF(AND($B236&gt;='111'!$N$11,$B236&lt;='111'!$O$11,OR($L236=$O$7,$M236=$O$7)),"x","")</f>
        <v/>
      </c>
      <c r="P236" s="51" t="str">
        <f>IF(AND($L236=$O$7,$B236&lt;'111'!$N$11),"x","")</f>
        <v/>
      </c>
      <c r="Q236" s="51" t="str">
        <f>IF(AND($M236=$O$7,$B236&lt;'111'!$N$11),"x","")</f>
        <v/>
      </c>
      <c r="R236" s="51" t="str">
        <f>IF(ISERROR(FIND('112'!$M$9,G236,1)),"",IF((AND(FIND('112'!$M$9,G236,1)&gt;=1,$B236&gt;='112'!$N$8,$B236&lt;='112'!$O$8,OR($L236='112'!$I$6,$M236='112'!$I$6))),"x",""))</f>
        <v/>
      </c>
      <c r="S236" s="51" t="str">
        <f>IF(ISERROR(FIND('112'!$M$9,G236,1)),"",IF((AND(LEFT(G236,2)=LEFT('112'!$M$9,2),B236&lt;'112'!$N$8,$L236='112'!$I$6)),"x",""))</f>
        <v/>
      </c>
      <c r="T236" s="51" t="str">
        <f>IF(ISERROR(FIND('112'!$M$9,G236,1)),"",IF((AND(RIGHT(G236,2)=RIGHT('112'!$M$9,2),B236&lt;'112'!$N$8,$M236='112'!$I$6)),"x",""))</f>
        <v/>
      </c>
      <c r="U236" s="51" t="str">
        <f>IF(AND(L236="154",'154'!$O$5&lt;=B236,'154'!$P$5&gt;=B236),"154",IF(AND(L236="632",'632'!$L$5&lt;=B236,'632'!$M$5&gt;=B236),"632",IF(AND(L236="642",'642'!$N$5&lt;=B236,'642'!$O$5&gt;=B236),"642",IF(AND(L236="641",'641'!$N$5&lt;=B236,'641'!$O$5&gt;=B236),"641",""))))</f>
        <v/>
      </c>
      <c r="V236" s="51" t="str">
        <f>IF(OR(TH!L236=TH!$V$7,M236=TH!$V$7),"x","")</f>
        <v/>
      </c>
      <c r="W236" s="51" t="str">
        <f>IF(AND(B236&gt;='IN-NX'!$P$3,B236&lt;='IN-NX'!$Q$3,'IN-NX'!$D$7=D236,OR(LEFT(L236,2)="15",AND(LEFT(M236,2)&lt;&gt;"15",LEFT(M236,2)&lt;&gt;"33"))),"x","")</f>
        <v/>
      </c>
      <c r="X236" s="51" t="str">
        <f>IF(AND(OR(LEFT(TH!L236,2)="15",LEFT(TH!M236,2)="15"),'152-CT'!$J$8=TH!F236),"x","")</f>
        <v/>
      </c>
      <c r="Y236" s="51" t="str">
        <f>IF(AND(OR(LEFT(TH!L236,2)="15",LEFT(TH!M236,2)="15"),TK!$E$7=TH!F236),"x","")</f>
        <v/>
      </c>
      <c r="Z236" s="51" t="str">
        <f>IF(AND(B236&lt;=NKC!$N$8,B236&gt;=NKC!$M$8),"x","")</f>
        <v/>
      </c>
      <c r="AA236" s="803"/>
      <c r="AC236" s="203"/>
      <c r="AD236" s="203"/>
      <c r="AE236" s="203"/>
    </row>
    <row r="237" spans="1:31" s="565" customFormat="1" ht="15.75" customHeight="1">
      <c r="A237" s="804" t="str">
        <f>IF(B237&lt;&gt;"",IF(AND(B237&gt;=_TM1,B237&lt;=_TM2,OR(TH!L237="1111",TH!M237="1111")),TH!D237,""),"")</f>
        <v/>
      </c>
      <c r="B237" s="36">
        <f t="shared" si="13"/>
        <v>5</v>
      </c>
      <c r="C237" s="189">
        <f t="shared" si="14"/>
        <v>42142</v>
      </c>
      <c r="D237" s="189" t="s">
        <v>422</v>
      </c>
      <c r="E237" s="182">
        <v>42142</v>
      </c>
      <c r="F237" s="187" t="s">
        <v>443</v>
      </c>
      <c r="G237" s="811" t="s">
        <v>415</v>
      </c>
      <c r="H237" s="7"/>
      <c r="I237" s="243"/>
      <c r="J237" s="243"/>
      <c r="K237" s="38">
        <v>11000</v>
      </c>
      <c r="L237" s="192" t="s">
        <v>83</v>
      </c>
      <c r="M237" s="192" t="s">
        <v>24</v>
      </c>
      <c r="N237" s="51" t="str">
        <f>IF(AND('331-CT'!$E$7=TH!H237,OR(L237="331",M237="331")),"331",IF(AND(OR(L237="131",M237="131"),H237='131-CT'!$E$7),"131",""))</f>
        <v/>
      </c>
      <c r="O237" s="51" t="str">
        <f>IF(AND($B237&gt;='111'!$N$11,$B237&lt;='111'!$O$11,OR($L237=$O$7,$M237=$O$7)),"x","")</f>
        <v/>
      </c>
      <c r="P237" s="51" t="str">
        <f>IF(AND($L237=$O$7,$B237&lt;'111'!$N$11),"x","")</f>
        <v/>
      </c>
      <c r="Q237" s="51" t="str">
        <f>IF(AND($M237=$O$7,$B237&lt;'111'!$N$11),"x","")</f>
        <v/>
      </c>
      <c r="R237" s="51" t="str">
        <f>IF(ISERROR(FIND('112'!$M$9,G237,1)),"",IF((AND(FIND('112'!$M$9,G237,1)&gt;=1,$B237&gt;='112'!$N$8,$B237&lt;='112'!$O$8,OR($L237='112'!$I$6,$M237='112'!$I$6))),"x",""))</f>
        <v/>
      </c>
      <c r="S237" s="51" t="str">
        <f>IF(ISERROR(FIND('112'!$M$9,G237,1)),"",IF((AND(LEFT(G237,2)=LEFT('112'!$M$9,2),B237&lt;'112'!$N$8,$L237='112'!$I$6)),"x",""))</f>
        <v/>
      </c>
      <c r="T237" s="51" t="str">
        <f>IF(ISERROR(FIND('112'!$M$9,G237,1)),"",IF((AND(RIGHT(G237,2)=RIGHT('112'!$M$9,2),B237&lt;'112'!$N$8,$M237='112'!$I$6)),"x",""))</f>
        <v/>
      </c>
      <c r="U237" s="51" t="str">
        <f>IF(AND(L237="154",'154'!$O$5&lt;=B237,'154'!$P$5&gt;=B237),"154",IF(AND(L237="632",'632'!$L$5&lt;=B237,'632'!$M$5&gt;=B237),"632",IF(AND(L237="642",'642'!$N$5&lt;=B237,'642'!$O$5&gt;=B237),"642",IF(AND(L237="641",'641'!$N$5&lt;=B237,'641'!$O$5&gt;=B237),"641",""))))</f>
        <v>642</v>
      </c>
      <c r="V237" s="51" t="str">
        <f>IF(OR(TH!L237=TH!$V$7,M237=TH!$V$7),"x","")</f>
        <v>x</v>
      </c>
      <c r="W237" s="51" t="str">
        <f>IF(AND(B237&gt;='IN-NX'!$P$3,B237&lt;='IN-NX'!$Q$3,'IN-NX'!$D$7=D237,OR(LEFT(L237,2)="15",AND(LEFT(M237,2)&lt;&gt;"15",LEFT(M237,2)&lt;&gt;"33"))),"x","")</f>
        <v/>
      </c>
      <c r="X237" s="51" t="str">
        <f>IF(AND(OR(LEFT(TH!L237,2)="15",LEFT(TH!M237,2)="15"),'152-CT'!$J$8=TH!F237),"x","")</f>
        <v/>
      </c>
      <c r="Y237" s="51" t="str">
        <f>IF(AND(OR(LEFT(TH!L237,2)="15",LEFT(TH!M237,2)="15"),TK!$E$7=TH!F237),"x","")</f>
        <v/>
      </c>
      <c r="Z237" s="51" t="str">
        <f>IF(AND(B237&lt;=NKC!$N$8,B237&gt;=NKC!$M$8),"x","")</f>
        <v/>
      </c>
      <c r="AA237" s="803"/>
      <c r="AC237" s="203"/>
      <c r="AD237" s="203"/>
      <c r="AE237" s="203"/>
    </row>
    <row r="238" spans="1:31" s="565" customFormat="1" ht="15.75" customHeight="1">
      <c r="A238" s="804" t="str">
        <f>IF(B238&lt;&gt;"",IF(AND(B238&gt;=_TM1,B238&lt;=_TM2,OR(TH!L238="1111",TH!M238="1111")),TH!D238,""),"")</f>
        <v/>
      </c>
      <c r="B238" s="36">
        <f t="shared" si="13"/>
        <v>5</v>
      </c>
      <c r="C238" s="189">
        <f t="shared" si="14"/>
        <v>42143</v>
      </c>
      <c r="D238" s="189" t="s">
        <v>1357</v>
      </c>
      <c r="E238" s="182">
        <v>42143</v>
      </c>
      <c r="F238" s="922" t="s">
        <v>433</v>
      </c>
      <c r="G238" s="811" t="s">
        <v>415</v>
      </c>
      <c r="H238" s="7" t="s">
        <v>428</v>
      </c>
      <c r="I238" s="243"/>
      <c r="J238" s="243"/>
      <c r="K238" s="38">
        <v>2200000</v>
      </c>
      <c r="L238" s="192" t="s">
        <v>24</v>
      </c>
      <c r="M238" s="192" t="s">
        <v>47</v>
      </c>
      <c r="N238" s="51" t="str">
        <f>IF(AND('331-CT'!$E$7=TH!H238,OR(L238="331",M238="331")),"331",IF(AND(OR(L238="131",M238="131"),H238='131-CT'!$E$7),"131",""))</f>
        <v/>
      </c>
      <c r="O238" s="51" t="str">
        <f>IF(AND($B238&gt;='111'!$N$11,$B238&lt;='111'!$O$11,OR($L238=$O$7,$M238=$O$7)),"x","")</f>
        <v/>
      </c>
      <c r="P238" s="51" t="str">
        <f>IF(AND($L238=$O$7,$B238&lt;'111'!$N$11),"x","")</f>
        <v/>
      </c>
      <c r="Q238" s="51" t="str">
        <f>IF(AND($M238=$O$7,$B238&lt;'111'!$N$11),"x","")</f>
        <v>x</v>
      </c>
      <c r="R238" s="51" t="str">
        <f>IF(ISERROR(FIND('112'!$M$9,G238,1)),"",IF((AND(FIND('112'!$M$9,G238,1)&gt;=1,$B238&gt;='112'!$N$8,$B238&lt;='112'!$O$8,OR($L238='112'!$I$6,$M238='112'!$I$6))),"x",""))</f>
        <v/>
      </c>
      <c r="S238" s="51" t="str">
        <f>IF(ISERROR(FIND('112'!$M$9,G238,1)),"",IF((AND(LEFT(G238,2)=LEFT('112'!$M$9,2),B238&lt;'112'!$N$8,$L238='112'!$I$6)),"x",""))</f>
        <v/>
      </c>
      <c r="T238" s="51" t="str">
        <f>IF(ISERROR(FIND('112'!$M$9,G238,1)),"",IF((AND(RIGHT(G238,2)=RIGHT('112'!$M$9,2),B238&lt;'112'!$N$8,$M238='112'!$I$6)),"x",""))</f>
        <v/>
      </c>
      <c r="U238" s="51" t="str">
        <f>IF(AND(L238="154",'154'!$O$5&lt;=B238,'154'!$P$5&gt;=B238),"154",IF(AND(L238="632",'632'!$L$5&lt;=B238,'632'!$M$5&gt;=B238),"632",IF(AND(L238="642",'642'!$N$5&lt;=B238,'642'!$O$5&gt;=B238),"642",IF(AND(L238="641",'641'!$N$5&lt;=B238,'641'!$O$5&gt;=B238),"641",""))))</f>
        <v/>
      </c>
      <c r="V238" s="51" t="str">
        <f>IF(OR(TH!L238=TH!$V$7,M238=TH!$V$7),"x","")</f>
        <v/>
      </c>
      <c r="W238" s="51" t="str">
        <f>IF(AND(B238&gt;='IN-NX'!$P$3,B238&lt;='IN-NX'!$Q$3,'IN-NX'!$D$7=D238,OR(LEFT(L238,2)="15",AND(LEFT(M238,2)&lt;&gt;"15",LEFT(M238,2)&lt;&gt;"33"))),"x","")</f>
        <v/>
      </c>
      <c r="X238" s="51" t="str">
        <f>IF(AND(OR(LEFT(TH!L238,2)="15",LEFT(TH!M238,2)="15"),'152-CT'!$J$8=TH!F238),"x","")</f>
        <v/>
      </c>
      <c r="Y238" s="51" t="str">
        <f>IF(AND(OR(LEFT(TH!L238,2)="15",LEFT(TH!M238,2)="15"),TK!$E$7=TH!F238),"x","")</f>
        <v/>
      </c>
      <c r="Z238" s="51" t="str">
        <f>IF(AND(B238&lt;=NKC!$N$8,B238&gt;=NKC!$M$8),"x","")</f>
        <v/>
      </c>
      <c r="AA238" s="803"/>
      <c r="AC238" s="203"/>
      <c r="AD238" s="203"/>
      <c r="AE238" s="203"/>
    </row>
    <row r="239" spans="1:31" s="565" customFormat="1" ht="15.75" customHeight="1">
      <c r="A239" s="804" t="str">
        <f>IF(B239&lt;&gt;"",IF(AND(B239&gt;=_TM1,B239&lt;=_TM2,OR(TH!L239="1111",TH!M239="1111")),TH!D239,""),"")</f>
        <v/>
      </c>
      <c r="B239" s="36">
        <f t="shared" si="13"/>
        <v>5</v>
      </c>
      <c r="C239" s="189">
        <f t="shared" si="14"/>
        <v>42143</v>
      </c>
      <c r="D239" s="189" t="s">
        <v>422</v>
      </c>
      <c r="E239" s="182">
        <v>42143</v>
      </c>
      <c r="F239" s="187" t="s">
        <v>434</v>
      </c>
      <c r="G239" s="811" t="s">
        <v>415</v>
      </c>
      <c r="H239" s="7"/>
      <c r="I239" s="243"/>
      <c r="J239" s="243"/>
      <c r="K239" s="38">
        <v>2233000</v>
      </c>
      <c r="L239" s="192" t="s">
        <v>83</v>
      </c>
      <c r="M239" s="192" t="s">
        <v>24</v>
      </c>
      <c r="N239" s="51" t="str">
        <f>IF(AND('331-CT'!$E$7=TH!H239,OR(L239="331",M239="331")),"331",IF(AND(OR(L239="131",M239="131"),H239='131-CT'!$E$7),"131",""))</f>
        <v/>
      </c>
      <c r="O239" s="51" t="str">
        <f>IF(AND($B239&gt;='111'!$N$11,$B239&lt;='111'!$O$11,OR($L239=$O$7,$M239=$O$7)),"x","")</f>
        <v/>
      </c>
      <c r="P239" s="51" t="str">
        <f>IF(AND($L239=$O$7,$B239&lt;'111'!$N$11),"x","")</f>
        <v/>
      </c>
      <c r="Q239" s="51" t="str">
        <f>IF(AND($M239=$O$7,$B239&lt;'111'!$N$11),"x","")</f>
        <v/>
      </c>
      <c r="R239" s="51" t="str">
        <f>IF(ISERROR(FIND('112'!$M$9,G239,1)),"",IF((AND(FIND('112'!$M$9,G239,1)&gt;=1,$B239&gt;='112'!$N$8,$B239&lt;='112'!$O$8,OR($L239='112'!$I$6,$M239='112'!$I$6))),"x",""))</f>
        <v/>
      </c>
      <c r="S239" s="51" t="str">
        <f>IF(ISERROR(FIND('112'!$M$9,G239,1)),"",IF((AND(LEFT(G239,2)=LEFT('112'!$M$9,2),B239&lt;'112'!$N$8,$L239='112'!$I$6)),"x",""))</f>
        <v/>
      </c>
      <c r="T239" s="51" t="str">
        <f>IF(ISERROR(FIND('112'!$M$9,G239,1)),"",IF((AND(RIGHT(G239,2)=RIGHT('112'!$M$9,2),B239&lt;'112'!$N$8,$M239='112'!$I$6)),"x",""))</f>
        <v/>
      </c>
      <c r="U239" s="51" t="str">
        <f>IF(AND(L239="154",'154'!$O$5&lt;=B239,'154'!$P$5&gt;=B239),"154",IF(AND(L239="632",'632'!$L$5&lt;=B239,'632'!$M$5&gt;=B239),"632",IF(AND(L239="642",'642'!$N$5&lt;=B239,'642'!$O$5&gt;=B239),"642",IF(AND(L239="641",'641'!$N$5&lt;=B239,'641'!$O$5&gt;=B239),"641",""))))</f>
        <v>642</v>
      </c>
      <c r="V239" s="51" t="str">
        <f>IF(OR(TH!L239=TH!$V$7,M239=TH!$V$7),"x","")</f>
        <v>x</v>
      </c>
      <c r="W239" s="51" t="str">
        <f>IF(AND(B239&gt;='IN-NX'!$P$3,B239&lt;='IN-NX'!$Q$3,'IN-NX'!$D$7=D239,OR(LEFT(L239,2)="15",AND(LEFT(M239,2)&lt;&gt;"15",LEFT(M239,2)&lt;&gt;"33"))),"x","")</f>
        <v/>
      </c>
      <c r="X239" s="51" t="str">
        <f>IF(AND(OR(LEFT(TH!L239,2)="15",LEFT(TH!M239,2)="15"),'152-CT'!$J$8=TH!F239),"x","")</f>
        <v/>
      </c>
      <c r="Y239" s="51" t="str">
        <f>IF(AND(OR(LEFT(TH!L239,2)="15",LEFT(TH!M239,2)="15"),TK!$E$7=TH!F239),"x","")</f>
        <v/>
      </c>
      <c r="Z239" s="51" t="str">
        <f>IF(AND(B239&lt;=NKC!$N$8,B239&gt;=NKC!$M$8),"x","")</f>
        <v/>
      </c>
      <c r="AA239" s="803"/>
      <c r="AC239" s="203"/>
      <c r="AD239" s="203"/>
      <c r="AE239" s="203"/>
    </row>
    <row r="240" spans="1:31" s="565" customFormat="1" ht="15.75" customHeight="1">
      <c r="A240" s="804" t="str">
        <f>IF(B240&lt;&gt;"",IF(AND(B240&gt;=_TM1,B240&lt;=_TM2,OR(TH!L240="1111",TH!M240="1111")),TH!D240,""),"")</f>
        <v/>
      </c>
      <c r="B240" s="36">
        <f t="shared" si="13"/>
        <v>5</v>
      </c>
      <c r="C240" s="189">
        <f t="shared" si="14"/>
        <v>42147</v>
      </c>
      <c r="D240" s="189" t="s">
        <v>1360</v>
      </c>
      <c r="E240" s="189">
        <v>42147</v>
      </c>
      <c r="F240" s="922" t="s">
        <v>451</v>
      </c>
      <c r="G240" s="813" t="s">
        <v>524</v>
      </c>
      <c r="H240" s="191" t="s">
        <v>523</v>
      </c>
      <c r="I240" s="243"/>
      <c r="J240" s="243"/>
      <c r="K240" s="573">
        <v>206996</v>
      </c>
      <c r="L240" s="574" t="s">
        <v>83</v>
      </c>
      <c r="M240" s="574" t="s">
        <v>47</v>
      </c>
      <c r="N240" s="51" t="str">
        <f>IF(AND('331-CT'!$E$7=TH!H240,OR(L240="331",M240="331")),"331",IF(AND(OR(L240="131",M240="131"),H240='131-CT'!$E$7),"131",""))</f>
        <v/>
      </c>
      <c r="O240" s="51" t="str">
        <f>IF(AND($B240&gt;='111'!$N$11,$B240&lt;='111'!$O$11,OR($L240=$O$7,$M240=$O$7)),"x","")</f>
        <v/>
      </c>
      <c r="P240" s="51" t="str">
        <f>IF(AND($L240=$O$7,$B240&lt;'111'!$N$11),"x","")</f>
        <v/>
      </c>
      <c r="Q240" s="51" t="str">
        <f>IF(AND($M240=$O$7,$B240&lt;'111'!$N$11),"x","")</f>
        <v>x</v>
      </c>
      <c r="R240" s="51" t="str">
        <f>IF(ISERROR(FIND('112'!$M$9,G240,1)),"",IF((AND(FIND('112'!$M$9,G240,1)&gt;=1,$B240&gt;='112'!$N$8,$B240&lt;='112'!$O$8,OR($L240='112'!$I$6,$M240='112'!$I$6))),"x",""))</f>
        <v/>
      </c>
      <c r="S240" s="51" t="str">
        <f>IF(ISERROR(FIND('112'!$M$9,G240,1)),"",IF((AND(LEFT(G240,2)=LEFT('112'!$M$9,2),B240&lt;'112'!$N$8,$L240='112'!$I$6)),"x",""))</f>
        <v/>
      </c>
      <c r="T240" s="51" t="str">
        <f>IF(ISERROR(FIND('112'!$M$9,G240,1)),"",IF((AND(RIGHT(G240,2)=RIGHT('112'!$M$9,2),B240&lt;'112'!$N$8,$M240='112'!$I$6)),"x",""))</f>
        <v/>
      </c>
      <c r="U240" s="51" t="str">
        <f>IF(AND(L240="154",'154'!$O$5&lt;=B240,'154'!$P$5&gt;=B240),"154",IF(AND(L240="632",'632'!$L$5&lt;=B240,'632'!$M$5&gt;=B240),"632",IF(AND(L240="642",'642'!$N$5&lt;=B240,'642'!$O$5&gt;=B240),"642",IF(AND(L240="641",'641'!$N$5&lt;=B240,'641'!$O$5&gt;=B240),"641",""))))</f>
        <v>642</v>
      </c>
      <c r="V240" s="51" t="str">
        <f>IF(OR(TH!L240=TH!$V$7,M240=TH!$V$7),"x","")</f>
        <v>x</v>
      </c>
      <c r="W240" s="51" t="str">
        <f>IF(AND(B240&gt;='IN-NX'!$P$3,B240&lt;='IN-NX'!$Q$3,'IN-NX'!$D$7=D240,OR(LEFT(L240,2)="15",AND(LEFT(M240,2)&lt;&gt;"15",LEFT(M240,2)&lt;&gt;"33"))),"x","")</f>
        <v/>
      </c>
      <c r="X240" s="51" t="str">
        <f>IF(AND(OR(LEFT(TH!L240,2)="15",LEFT(TH!M240,2)="15"),'152-CT'!$J$8=TH!F240),"x","")</f>
        <v/>
      </c>
      <c r="Y240" s="51" t="str">
        <f>IF(AND(OR(LEFT(TH!L240,2)="15",LEFT(TH!M240,2)="15"),TK!$E$7=TH!F240),"x","")</f>
        <v/>
      </c>
      <c r="Z240" s="51" t="str">
        <f>IF(AND(B240&lt;=NKC!$N$8,B240&gt;=NKC!$M$8),"x","")</f>
        <v/>
      </c>
      <c r="AA240" s="803"/>
      <c r="AC240" s="203"/>
      <c r="AD240" s="203"/>
      <c r="AE240" s="203"/>
    </row>
    <row r="241" spans="1:31" s="565" customFormat="1" ht="15.75" customHeight="1">
      <c r="A241" s="804" t="str">
        <f>IF(B241&lt;&gt;"",IF(AND(B241&gt;=_TM1,B241&lt;=_TM2,OR(TH!L241="1111",TH!M241="1111")),TH!D241,""),"")</f>
        <v/>
      </c>
      <c r="B241" s="36">
        <f t="shared" si="13"/>
        <v>5</v>
      </c>
      <c r="C241" s="189">
        <f t="shared" si="14"/>
        <v>42147</v>
      </c>
      <c r="D241" s="189" t="s">
        <v>1360</v>
      </c>
      <c r="E241" s="189">
        <v>42147</v>
      </c>
      <c r="F241" s="922" t="s">
        <v>453</v>
      </c>
      <c r="G241" s="813" t="s">
        <v>524</v>
      </c>
      <c r="H241" s="191" t="s">
        <v>523</v>
      </c>
      <c r="I241" s="243"/>
      <c r="J241" s="243"/>
      <c r="K241" s="573">
        <v>20700</v>
      </c>
      <c r="L241" s="574" t="s">
        <v>9</v>
      </c>
      <c r="M241" s="574" t="s">
        <v>47</v>
      </c>
      <c r="N241" s="51" t="str">
        <f>IF(AND('331-CT'!$E$7=TH!H241,OR(L241="331",M241="331")),"331",IF(AND(OR(L241="131",M241="131"),H241='131-CT'!$E$7),"131",""))</f>
        <v/>
      </c>
      <c r="O241" s="51" t="str">
        <f>IF(AND($B241&gt;='111'!$N$11,$B241&lt;='111'!$O$11,OR($L241=$O$7,$M241=$O$7)),"x","")</f>
        <v/>
      </c>
      <c r="P241" s="51" t="str">
        <f>IF(AND($L241=$O$7,$B241&lt;'111'!$N$11),"x","")</f>
        <v/>
      </c>
      <c r="Q241" s="51" t="str">
        <f>IF(AND($M241=$O$7,$B241&lt;'111'!$N$11),"x","")</f>
        <v>x</v>
      </c>
      <c r="R241" s="51" t="str">
        <f>IF(ISERROR(FIND('112'!$M$9,G241,1)),"",IF((AND(FIND('112'!$M$9,G241,1)&gt;=1,$B241&gt;='112'!$N$8,$B241&lt;='112'!$O$8,OR($L241='112'!$I$6,$M241='112'!$I$6))),"x",""))</f>
        <v/>
      </c>
      <c r="S241" s="51" t="str">
        <f>IF(ISERROR(FIND('112'!$M$9,G241,1)),"",IF((AND(LEFT(G241,2)=LEFT('112'!$M$9,2),B241&lt;'112'!$N$8,$L241='112'!$I$6)),"x",""))</f>
        <v/>
      </c>
      <c r="T241" s="51" t="str">
        <f>IF(ISERROR(FIND('112'!$M$9,G241,1)),"",IF((AND(RIGHT(G241,2)=RIGHT('112'!$M$9,2),B241&lt;'112'!$N$8,$M241='112'!$I$6)),"x",""))</f>
        <v/>
      </c>
      <c r="U241" s="51" t="str">
        <f>IF(AND(L241="154",'154'!$O$5&lt;=B241,'154'!$P$5&gt;=B241),"154",IF(AND(L241="632",'632'!$L$5&lt;=B241,'632'!$M$5&gt;=B241),"632",IF(AND(L241="642",'642'!$N$5&lt;=B241,'642'!$O$5&gt;=B241),"642",IF(AND(L241="641",'641'!$N$5&lt;=B241,'641'!$O$5&gt;=B241),"641",""))))</f>
        <v/>
      </c>
      <c r="V241" s="51" t="str">
        <f>IF(OR(TH!L241=TH!$V$7,M241=TH!$V$7),"x","")</f>
        <v/>
      </c>
      <c r="W241" s="51" t="str">
        <f>IF(AND(B241&gt;='IN-NX'!$P$3,B241&lt;='IN-NX'!$Q$3,'IN-NX'!$D$7=D241,OR(LEFT(L241,2)="15",AND(LEFT(M241,2)&lt;&gt;"15",LEFT(M241,2)&lt;&gt;"33"))),"x","")</f>
        <v/>
      </c>
      <c r="X241" s="51" t="str">
        <f>IF(AND(OR(LEFT(TH!L241,2)="15",LEFT(TH!M241,2)="15"),'152-CT'!$J$8=TH!F241),"x","")</f>
        <v/>
      </c>
      <c r="Y241" s="51" t="str">
        <f>IF(AND(OR(LEFT(TH!L241,2)="15",LEFT(TH!M241,2)="15"),TK!$E$7=TH!F241),"x","")</f>
        <v/>
      </c>
      <c r="Z241" s="51" t="str">
        <f>IF(AND(B241&lt;=NKC!$N$8,B241&gt;=NKC!$M$8),"x","")</f>
        <v/>
      </c>
      <c r="AA241" s="803">
        <v>2</v>
      </c>
      <c r="AC241" s="203"/>
      <c r="AD241" s="203"/>
      <c r="AE241" s="203"/>
    </row>
    <row r="242" spans="1:31" s="565" customFormat="1" ht="15.75" customHeight="1">
      <c r="A242" s="804" t="str">
        <f>IF(B242&lt;&gt;"",IF(AND(B242&gt;=_TM1,B242&lt;=_TM2,OR(TH!L242="1111",TH!M242="1111")),TH!D242,""),"")</f>
        <v/>
      </c>
      <c r="B242" s="36">
        <f t="shared" si="13"/>
        <v>5</v>
      </c>
      <c r="C242" s="189">
        <f t="shared" si="14"/>
        <v>42149</v>
      </c>
      <c r="D242" s="189" t="s">
        <v>421</v>
      </c>
      <c r="E242" s="182">
        <v>42149</v>
      </c>
      <c r="F242" s="922" t="s">
        <v>429</v>
      </c>
      <c r="G242" s="811" t="s">
        <v>415</v>
      </c>
      <c r="H242" s="202"/>
      <c r="I242" s="243"/>
      <c r="J242" s="243"/>
      <c r="K242" s="38">
        <v>1213</v>
      </c>
      <c r="L242" s="192" t="s">
        <v>24</v>
      </c>
      <c r="M242" s="192" t="s">
        <v>40</v>
      </c>
      <c r="N242" s="51" t="str">
        <f>IF(AND('331-CT'!$E$7=TH!H242,OR(L242="331",M242="331")),"331",IF(AND(OR(L242="131",M242="131"),H242='131-CT'!$E$7),"131",""))</f>
        <v/>
      </c>
      <c r="O242" s="51" t="str">
        <f>IF(AND($B242&gt;='111'!$N$11,$B242&lt;='111'!$O$11,OR($L242=$O$7,$M242=$O$7)),"x","")</f>
        <v/>
      </c>
      <c r="P242" s="51" t="str">
        <f>IF(AND($L242=$O$7,$B242&lt;'111'!$N$11),"x","")</f>
        <v/>
      </c>
      <c r="Q242" s="51" t="str">
        <f>IF(AND($M242=$O$7,$B242&lt;'111'!$N$11),"x","")</f>
        <v/>
      </c>
      <c r="R242" s="51" t="str">
        <f>IF(ISERROR(FIND('112'!$M$9,G242,1)),"",IF((AND(FIND('112'!$M$9,G242,1)&gt;=1,$B242&gt;='112'!$N$8,$B242&lt;='112'!$O$8,OR($L242='112'!$I$6,$M242='112'!$I$6))),"x",""))</f>
        <v/>
      </c>
      <c r="S242" s="51" t="str">
        <f>IF(ISERROR(FIND('112'!$M$9,G242,1)),"",IF((AND(LEFT(G242,2)=LEFT('112'!$M$9,2),B242&lt;'112'!$N$8,$L242='112'!$I$6)),"x",""))</f>
        <v/>
      </c>
      <c r="T242" s="51" t="str">
        <f>IF(ISERROR(FIND('112'!$M$9,G242,1)),"",IF((AND(RIGHT(G242,2)=RIGHT('112'!$M$9,2),B242&lt;'112'!$N$8,$M242='112'!$I$6)),"x",""))</f>
        <v/>
      </c>
      <c r="U242" s="51" t="str">
        <f>IF(AND(L242="154",'154'!$O$5&lt;=B242,'154'!$P$5&gt;=B242),"154",IF(AND(L242="632",'632'!$L$5&lt;=B242,'632'!$M$5&gt;=B242),"632",IF(AND(L242="642",'642'!$N$5&lt;=B242,'642'!$O$5&gt;=B242),"642",IF(AND(L242="641",'641'!$N$5&lt;=B242,'641'!$O$5&gt;=B242),"641",""))))</f>
        <v/>
      </c>
      <c r="V242" s="51" t="str">
        <f>IF(OR(TH!L242=TH!$V$7,M242=TH!$V$7),"x","")</f>
        <v/>
      </c>
      <c r="W242" s="51" t="str">
        <f>IF(AND(B242&gt;='IN-NX'!$P$3,B242&lt;='IN-NX'!$Q$3,'IN-NX'!$D$7=D242,OR(LEFT(L242,2)="15",AND(LEFT(M242,2)&lt;&gt;"15",LEFT(M242,2)&lt;&gt;"33"))),"x","")</f>
        <v/>
      </c>
      <c r="X242" s="51" t="str">
        <f>IF(AND(OR(LEFT(TH!L242,2)="15",LEFT(TH!M242,2)="15"),'152-CT'!$J$8=TH!F242),"x","")</f>
        <v/>
      </c>
      <c r="Y242" s="51" t="str">
        <f>IF(AND(OR(LEFT(TH!L242,2)="15",LEFT(TH!M242,2)="15"),TK!$E$7=TH!F242),"x","")</f>
        <v/>
      </c>
      <c r="Z242" s="51" t="str">
        <f>IF(AND(B242&lt;=NKC!$N$8,B242&gt;=NKC!$M$8),"x","")</f>
        <v/>
      </c>
      <c r="AA242" s="803"/>
      <c r="AC242" s="203"/>
      <c r="AD242" s="203"/>
      <c r="AE242" s="203"/>
    </row>
    <row r="243" spans="1:31" s="565" customFormat="1" ht="15.75" customHeight="1">
      <c r="A243" s="804" t="str">
        <f>IF(B243&lt;&gt;"",IF(AND(B243&gt;=_TM1,B243&lt;=_TM2,OR(TH!L243="1111",TH!M243="1111")),TH!D243,""),"")</f>
        <v/>
      </c>
      <c r="B243" s="36">
        <f t="shared" si="13"/>
        <v>5</v>
      </c>
      <c r="C243" s="189">
        <f t="shared" si="14"/>
        <v>42149</v>
      </c>
      <c r="D243" s="189" t="s">
        <v>422</v>
      </c>
      <c r="E243" s="182">
        <v>42149</v>
      </c>
      <c r="F243" s="187" t="s">
        <v>426</v>
      </c>
      <c r="G243" s="811" t="s">
        <v>415</v>
      </c>
      <c r="H243" s="7"/>
      <c r="I243" s="243"/>
      <c r="J243" s="243"/>
      <c r="K243" s="38">
        <v>11000</v>
      </c>
      <c r="L243" s="192" t="s">
        <v>83</v>
      </c>
      <c r="M243" s="192" t="s">
        <v>24</v>
      </c>
      <c r="N243" s="51" t="str">
        <f>IF(AND('331-CT'!$E$7=TH!H243,OR(L243="331",M243="331")),"331",IF(AND(OR(L243="131",M243="131"),H243='131-CT'!$E$7),"131",""))</f>
        <v/>
      </c>
      <c r="O243" s="51" t="str">
        <f>IF(AND($B243&gt;='111'!$N$11,$B243&lt;='111'!$O$11,OR($L243=$O$7,$M243=$O$7)),"x","")</f>
        <v/>
      </c>
      <c r="P243" s="51" t="str">
        <f>IF(AND($L243=$O$7,$B243&lt;'111'!$N$11),"x","")</f>
        <v/>
      </c>
      <c r="Q243" s="51" t="str">
        <f>IF(AND($M243=$O$7,$B243&lt;'111'!$N$11),"x","")</f>
        <v/>
      </c>
      <c r="R243" s="51" t="str">
        <f>IF(ISERROR(FIND('112'!$M$9,G243,1)),"",IF((AND(FIND('112'!$M$9,G243,1)&gt;=1,$B243&gt;='112'!$N$8,$B243&lt;='112'!$O$8,OR($L243='112'!$I$6,$M243='112'!$I$6))),"x",""))</f>
        <v/>
      </c>
      <c r="S243" s="51" t="str">
        <f>IF(ISERROR(FIND('112'!$M$9,G243,1)),"",IF((AND(LEFT(G243,2)=LEFT('112'!$M$9,2),B243&lt;'112'!$N$8,$L243='112'!$I$6)),"x",""))</f>
        <v/>
      </c>
      <c r="T243" s="51" t="str">
        <f>IF(ISERROR(FIND('112'!$M$9,G243,1)),"",IF((AND(RIGHT(G243,2)=RIGHT('112'!$M$9,2),B243&lt;'112'!$N$8,$M243='112'!$I$6)),"x",""))</f>
        <v/>
      </c>
      <c r="U243" s="51" t="str">
        <f>IF(AND(L243="154",'154'!$O$5&lt;=B243,'154'!$P$5&gt;=B243),"154",IF(AND(L243="632",'632'!$L$5&lt;=B243,'632'!$M$5&gt;=B243),"632",IF(AND(L243="642",'642'!$N$5&lt;=B243,'642'!$O$5&gt;=B243),"642",IF(AND(L243="641",'641'!$N$5&lt;=B243,'641'!$O$5&gt;=B243),"641",""))))</f>
        <v>642</v>
      </c>
      <c r="V243" s="51" t="str">
        <f>IF(OR(TH!L243=TH!$V$7,M243=TH!$V$7),"x","")</f>
        <v>x</v>
      </c>
      <c r="W243" s="51" t="str">
        <f>IF(AND(B243&gt;='IN-NX'!$P$3,B243&lt;='IN-NX'!$Q$3,'IN-NX'!$D$7=D243,OR(LEFT(L243,2)="15",AND(LEFT(M243,2)&lt;&gt;"15",LEFT(M243,2)&lt;&gt;"33"))),"x","")</f>
        <v/>
      </c>
      <c r="X243" s="51" t="str">
        <f>IF(AND(OR(LEFT(TH!L243,2)="15",LEFT(TH!M243,2)="15"),'152-CT'!$J$8=TH!F243),"x","")</f>
        <v/>
      </c>
      <c r="Y243" s="51" t="str">
        <f>IF(AND(OR(LEFT(TH!L243,2)="15",LEFT(TH!M243,2)="15"),TK!$E$7=TH!F243),"x","")</f>
        <v/>
      </c>
      <c r="Z243" s="51" t="str">
        <f>IF(AND(B243&lt;=NKC!$N$8,B243&gt;=NKC!$M$8),"x","")</f>
        <v/>
      </c>
      <c r="AA243" s="803"/>
      <c r="AC243" s="203"/>
      <c r="AD243" s="203"/>
      <c r="AE243" s="203"/>
    </row>
    <row r="244" spans="1:31" s="565" customFormat="1" ht="15.75" customHeight="1">
      <c r="A244" s="804" t="str">
        <f>IF(B244&lt;&gt;"",IF(AND(B244&gt;=_TM1,B244&lt;=_TM2,OR(TH!L244="1111",TH!M244="1111")),TH!D244,""),"")</f>
        <v/>
      </c>
      <c r="B244" s="36">
        <f t="shared" si="13"/>
        <v>5</v>
      </c>
      <c r="C244" s="189">
        <f t="shared" si="14"/>
        <v>42149</v>
      </c>
      <c r="D244" s="189" t="s">
        <v>1346</v>
      </c>
      <c r="E244" s="189">
        <v>42149</v>
      </c>
      <c r="F244" s="922" t="s">
        <v>964</v>
      </c>
      <c r="G244" s="813" t="s">
        <v>990</v>
      </c>
      <c r="H244" s="191" t="s">
        <v>975</v>
      </c>
      <c r="I244" s="243"/>
      <c r="J244" s="243"/>
      <c r="K244" s="573">
        <v>15000000</v>
      </c>
      <c r="L244" s="574" t="s">
        <v>47</v>
      </c>
      <c r="M244" s="574" t="s">
        <v>408</v>
      </c>
      <c r="N244" s="51" t="str">
        <f>IF(AND('331-CT'!$E$7=TH!H244,OR(L244="331",M244="331")),"331",IF(AND(OR(L244="131",M244="131"),H244='131-CT'!$E$7),"131",""))</f>
        <v/>
      </c>
      <c r="O244" s="51" t="str">
        <f>IF(AND($B244&gt;='111'!$N$11,$B244&lt;='111'!$O$11,OR($L244=$O$7,$M244=$O$7)),"x","")</f>
        <v/>
      </c>
      <c r="P244" s="51" t="str">
        <f>IF(AND($L244=$O$7,$B244&lt;'111'!$N$11),"x","")</f>
        <v>x</v>
      </c>
      <c r="Q244" s="51" t="str">
        <f>IF(AND($M244=$O$7,$B244&lt;'111'!$N$11),"x","")</f>
        <v/>
      </c>
      <c r="R244" s="51" t="str">
        <f>IF(ISERROR(FIND('112'!$M$9,G244,1)),"",IF((AND(FIND('112'!$M$9,G244,1)&gt;=1,$B244&gt;='112'!$N$8,$B244&lt;='112'!$O$8,OR($L244='112'!$I$6,$M244='112'!$I$6))),"x",""))</f>
        <v/>
      </c>
      <c r="S244" s="51" t="str">
        <f>IF(ISERROR(FIND('112'!$M$9,G244,1)),"",IF((AND(LEFT(G244,2)=LEFT('112'!$M$9,2),B244&lt;'112'!$N$8,$L244='112'!$I$6)),"x",""))</f>
        <v/>
      </c>
      <c r="T244" s="51" t="str">
        <f>IF(ISERROR(FIND('112'!$M$9,G244,1)),"",IF((AND(RIGHT(G244,2)=RIGHT('112'!$M$9,2),B244&lt;'112'!$N$8,$M244='112'!$I$6)),"x",""))</f>
        <v/>
      </c>
      <c r="U244" s="51" t="str">
        <f>IF(AND(L244="154",'154'!$O$5&lt;=B244,'154'!$P$5&gt;=B244),"154",IF(AND(L244="632",'632'!$L$5&lt;=B244,'632'!$M$5&gt;=B244),"632",IF(AND(L244="642",'642'!$N$5&lt;=B244,'642'!$O$5&gt;=B244),"642",IF(AND(L244="641",'641'!$N$5&lt;=B244,'641'!$O$5&gt;=B244),"641",""))))</f>
        <v/>
      </c>
      <c r="V244" s="51" t="str">
        <f>IF(OR(TH!L244=TH!$V$7,M244=TH!$V$7),"x","")</f>
        <v/>
      </c>
      <c r="W244" s="51" t="str">
        <f>IF(AND(B244&gt;='IN-NX'!$P$3,B244&lt;='IN-NX'!$Q$3,'IN-NX'!$D$7=D244,OR(LEFT(L244,2)="15",AND(LEFT(M244,2)&lt;&gt;"15",LEFT(M244,2)&lt;&gt;"33"))),"x","")</f>
        <v/>
      </c>
      <c r="X244" s="51" t="str">
        <f>IF(AND(OR(LEFT(TH!L244,2)="15",LEFT(TH!M244,2)="15"),'152-CT'!$J$8=TH!F244),"x","")</f>
        <v/>
      </c>
      <c r="Y244" s="51" t="str">
        <f>IF(AND(OR(LEFT(TH!L244,2)="15",LEFT(TH!M244,2)="15"),TK!$E$7=TH!F244),"x","")</f>
        <v/>
      </c>
      <c r="Z244" s="51" t="str">
        <f>IF(AND(B244&lt;=NKC!$N$8,B244&gt;=NKC!$M$8),"x","")</f>
        <v/>
      </c>
      <c r="AA244" s="803"/>
      <c r="AC244" s="203"/>
      <c r="AE244" s="203"/>
    </row>
    <row r="245" spans="1:31" s="565" customFormat="1" ht="15.75" customHeight="1">
      <c r="A245" s="804" t="str">
        <f>IF(B245&lt;&gt;"",IF(AND(B245&gt;=_TM1,B245&lt;=_TM2,OR(TH!L245="1111",TH!M245="1111")),TH!D245,""),"")</f>
        <v/>
      </c>
      <c r="B245" s="36">
        <f t="shared" si="13"/>
        <v>5</v>
      </c>
      <c r="C245" s="189">
        <f t="shared" si="14"/>
        <v>42149</v>
      </c>
      <c r="D245" s="189" t="s">
        <v>1346</v>
      </c>
      <c r="E245" s="189">
        <v>42149</v>
      </c>
      <c r="F245" s="922" t="s">
        <v>1110</v>
      </c>
      <c r="G245" s="813" t="s">
        <v>990</v>
      </c>
      <c r="H245" s="191" t="s">
        <v>975</v>
      </c>
      <c r="I245" s="243"/>
      <c r="J245" s="243"/>
      <c r="K245" s="573">
        <v>1500000</v>
      </c>
      <c r="L245" s="574" t="s">
        <v>47</v>
      </c>
      <c r="M245" s="574" t="s">
        <v>352</v>
      </c>
      <c r="N245" s="51" t="str">
        <f>IF(AND('331-CT'!$E$7=TH!H245,OR(L245="331",M245="331")),"331",IF(AND(OR(L245="131",M245="131"),H245='131-CT'!$E$7),"131",""))</f>
        <v/>
      </c>
      <c r="O245" s="51" t="str">
        <f>IF(AND($B245&gt;='111'!$N$11,$B245&lt;='111'!$O$11,OR($L245=$O$7,$M245=$O$7)),"x","")</f>
        <v/>
      </c>
      <c r="P245" s="51" t="str">
        <f>IF(AND($L245=$O$7,$B245&lt;'111'!$N$11),"x","")</f>
        <v>x</v>
      </c>
      <c r="Q245" s="51" t="str">
        <f>IF(AND($M245=$O$7,$B245&lt;'111'!$N$11),"x","")</f>
        <v/>
      </c>
      <c r="R245" s="51" t="str">
        <f>IF(ISERROR(FIND('112'!$M$9,G245,1)),"",IF((AND(FIND('112'!$M$9,G245,1)&gt;=1,$B245&gt;='112'!$N$8,$B245&lt;='112'!$O$8,OR($L245='112'!$I$6,$M245='112'!$I$6))),"x",""))</f>
        <v/>
      </c>
      <c r="S245" s="51" t="str">
        <f>IF(ISERROR(FIND('112'!$M$9,G245,1)),"",IF((AND(LEFT(G245,2)=LEFT('112'!$M$9,2),B245&lt;'112'!$N$8,$L245='112'!$I$6)),"x",""))</f>
        <v/>
      </c>
      <c r="T245" s="51" t="str">
        <f>IF(ISERROR(FIND('112'!$M$9,G245,1)),"",IF((AND(RIGHT(G245,2)=RIGHT('112'!$M$9,2),B245&lt;'112'!$N$8,$M245='112'!$I$6)),"x",""))</f>
        <v/>
      </c>
      <c r="U245" s="51" t="str">
        <f>IF(AND(L245="154",'154'!$O$5&lt;=B245,'154'!$P$5&gt;=B245),"154",IF(AND(L245="632",'632'!$L$5&lt;=B245,'632'!$M$5&gt;=B245),"632",IF(AND(L245="642",'642'!$N$5&lt;=B245,'642'!$O$5&gt;=B245),"642",IF(AND(L245="641",'641'!$N$5&lt;=B245,'641'!$O$5&gt;=B245),"641",""))))</f>
        <v/>
      </c>
      <c r="V245" s="51" t="str">
        <f>IF(OR(TH!L245=TH!$V$7,M245=TH!$V$7),"x","")</f>
        <v/>
      </c>
      <c r="W245" s="51" t="str">
        <f>IF(AND(B245&gt;='IN-NX'!$P$3,B245&lt;='IN-NX'!$Q$3,'IN-NX'!$D$7=D245,OR(LEFT(L245,2)="15",AND(LEFT(M245,2)&lt;&gt;"15",LEFT(M245,2)&lt;&gt;"33"))),"x","")</f>
        <v/>
      </c>
      <c r="X245" s="51" t="str">
        <f>IF(AND(OR(LEFT(TH!L245,2)="15",LEFT(TH!M245,2)="15"),'152-CT'!$J$8=TH!F245),"x","")</f>
        <v/>
      </c>
      <c r="Y245" s="51" t="str">
        <f>IF(AND(OR(LEFT(TH!L245,2)="15",LEFT(TH!M245,2)="15"),TK!$E$7=TH!F245),"x","")</f>
        <v/>
      </c>
      <c r="Z245" s="51" t="str">
        <f>IF(AND(B245&lt;=NKC!$N$8,B245&gt;=NKC!$M$8),"x","")</f>
        <v/>
      </c>
      <c r="AA245" s="803"/>
      <c r="AD245" s="203"/>
      <c r="AE245" s="203"/>
    </row>
    <row r="246" spans="1:31" s="565" customFormat="1" ht="15.75" customHeight="1">
      <c r="A246" s="804" t="str">
        <f>IF(B246&lt;&gt;"",IF(AND(B246&gt;=_TM1,B246&lt;=_TM2,OR(TH!L246="1111",TH!M246="1111")),TH!D246,""),"")</f>
        <v/>
      </c>
      <c r="B246" s="36">
        <f t="shared" si="13"/>
        <v>5</v>
      </c>
      <c r="C246" s="189">
        <f t="shared" si="14"/>
        <v>42150</v>
      </c>
      <c r="D246" s="189" t="s">
        <v>421</v>
      </c>
      <c r="E246" s="182">
        <v>42150</v>
      </c>
      <c r="F246" s="922" t="s">
        <v>423</v>
      </c>
      <c r="G246" s="811" t="s">
        <v>415</v>
      </c>
      <c r="H246" s="824" t="s">
        <v>413</v>
      </c>
      <c r="I246" s="243"/>
      <c r="J246" s="243"/>
      <c r="K246" s="38">
        <v>13338380</v>
      </c>
      <c r="L246" s="192" t="s">
        <v>24</v>
      </c>
      <c r="M246" s="192" t="s">
        <v>250</v>
      </c>
      <c r="N246" s="51" t="str">
        <f>IF(AND('331-CT'!$E$7=TH!H246,OR(L246="331",M246="331")),"331",IF(AND(OR(L246="131",M246="131"),H246='131-CT'!$E$7),"131",""))</f>
        <v/>
      </c>
      <c r="O246" s="51" t="str">
        <f>IF(AND($B246&gt;='111'!$N$11,$B246&lt;='111'!$O$11,OR($L246=$O$7,$M246=$O$7)),"x","")</f>
        <v/>
      </c>
      <c r="P246" s="51" t="str">
        <f>IF(AND($L246=$O$7,$B246&lt;'111'!$N$11),"x","")</f>
        <v/>
      </c>
      <c r="Q246" s="51" t="str">
        <f>IF(AND($M246=$O$7,$B246&lt;'111'!$N$11),"x","")</f>
        <v/>
      </c>
      <c r="R246" s="51" t="str">
        <f>IF(ISERROR(FIND('112'!$M$9,G246,1)),"",IF((AND(FIND('112'!$M$9,G246,1)&gt;=1,$B246&gt;='112'!$N$8,$B246&lt;='112'!$O$8,OR($L246='112'!$I$6,$M246='112'!$I$6))),"x",""))</f>
        <v/>
      </c>
      <c r="S246" s="51" t="str">
        <f>IF(ISERROR(FIND('112'!$M$9,G246,1)),"",IF((AND(LEFT(G246,2)=LEFT('112'!$M$9,2),B246&lt;'112'!$N$8,$L246='112'!$I$6)),"x",""))</f>
        <v/>
      </c>
      <c r="T246" s="51" t="str">
        <f>IF(ISERROR(FIND('112'!$M$9,G246,1)),"",IF((AND(RIGHT(G246,2)=RIGHT('112'!$M$9,2),B246&lt;'112'!$N$8,$M246='112'!$I$6)),"x",""))</f>
        <v/>
      </c>
      <c r="U246" s="51" t="str">
        <f>IF(AND(L246="154",'154'!$O$5&lt;=B246,'154'!$P$5&gt;=B246),"154",IF(AND(L246="632",'632'!$L$5&lt;=B246,'632'!$M$5&gt;=B246),"632",IF(AND(L246="642",'642'!$N$5&lt;=B246,'642'!$O$5&gt;=B246),"642",IF(AND(L246="641",'641'!$N$5&lt;=B246,'641'!$O$5&gt;=B246),"641",""))))</f>
        <v/>
      </c>
      <c r="V246" s="51" t="str">
        <f>IF(OR(TH!L246=TH!$V$7,M246=TH!$V$7),"x","")</f>
        <v/>
      </c>
      <c r="W246" s="51" t="str">
        <f>IF(AND(B246&gt;='IN-NX'!$P$3,B246&lt;='IN-NX'!$Q$3,'IN-NX'!$D$7=D246,OR(LEFT(L246,2)="15",AND(LEFT(M246,2)&lt;&gt;"15",LEFT(M246,2)&lt;&gt;"33"))),"x","")</f>
        <v/>
      </c>
      <c r="X246" s="51" t="str">
        <f>IF(AND(OR(LEFT(TH!L246,2)="15",LEFT(TH!M246,2)="15"),'152-CT'!$J$8=TH!F246),"x","")</f>
        <v/>
      </c>
      <c r="Y246" s="51" t="str">
        <f>IF(AND(OR(LEFT(TH!L246,2)="15",LEFT(TH!M246,2)="15"),TK!$E$7=TH!F246),"x","")</f>
        <v/>
      </c>
      <c r="Z246" s="51" t="str">
        <f>IF(AND(B246&lt;=NKC!$N$8,B246&gt;=NKC!$M$8),"x","")</f>
        <v/>
      </c>
      <c r="AA246" s="803"/>
      <c r="AC246" s="203"/>
      <c r="AD246" s="203"/>
      <c r="AE246" s="203"/>
    </row>
    <row r="247" spans="1:31" s="565" customFormat="1" ht="15.75" customHeight="1">
      <c r="A247" s="804" t="str">
        <f>IF(B247&lt;&gt;"",IF(AND(B247&gt;=_TM1,B247&lt;=_TM2,OR(TH!L247="1111",TH!M247="1111")),TH!D247,""),"")</f>
        <v/>
      </c>
      <c r="B247" s="36">
        <f t="shared" si="13"/>
        <v>5</v>
      </c>
      <c r="C247" s="189">
        <f t="shared" si="14"/>
        <v>42150</v>
      </c>
      <c r="D247" s="189" t="s">
        <v>1347</v>
      </c>
      <c r="E247" s="182">
        <v>42150</v>
      </c>
      <c r="F247" s="187" t="s">
        <v>427</v>
      </c>
      <c r="G247" s="811" t="s">
        <v>415</v>
      </c>
      <c r="H247" s="7" t="s">
        <v>428</v>
      </c>
      <c r="I247" s="243"/>
      <c r="J247" s="243"/>
      <c r="K247" s="38">
        <v>13300000</v>
      </c>
      <c r="L247" s="192" t="s">
        <v>47</v>
      </c>
      <c r="M247" s="192" t="s">
        <v>24</v>
      </c>
      <c r="N247" s="51" t="str">
        <f>IF(AND('331-CT'!$E$7=TH!H247,OR(L247="331",M247="331")),"331",IF(AND(OR(L247="131",M247="131"),H247='131-CT'!$E$7),"131",""))</f>
        <v/>
      </c>
      <c r="O247" s="51" t="str">
        <f>IF(AND($B247&gt;='111'!$N$11,$B247&lt;='111'!$O$11,OR($L247=$O$7,$M247=$O$7)),"x","")</f>
        <v/>
      </c>
      <c r="P247" s="51" t="str">
        <f>IF(AND($L247=$O$7,$B247&lt;'111'!$N$11),"x","")</f>
        <v>x</v>
      </c>
      <c r="Q247" s="51" t="str">
        <f>IF(AND($M247=$O$7,$B247&lt;'111'!$N$11),"x","")</f>
        <v/>
      </c>
      <c r="R247" s="51" t="str">
        <f>IF(ISERROR(FIND('112'!$M$9,G247,1)),"",IF((AND(FIND('112'!$M$9,G247,1)&gt;=1,$B247&gt;='112'!$N$8,$B247&lt;='112'!$O$8,OR($L247='112'!$I$6,$M247='112'!$I$6))),"x",""))</f>
        <v/>
      </c>
      <c r="S247" s="51" t="str">
        <f>IF(ISERROR(FIND('112'!$M$9,G247,1)),"",IF((AND(LEFT(G247,2)=LEFT('112'!$M$9,2),B247&lt;'112'!$N$8,$L247='112'!$I$6)),"x",""))</f>
        <v/>
      </c>
      <c r="T247" s="51" t="str">
        <f>IF(ISERROR(FIND('112'!$M$9,G247,1)),"",IF((AND(RIGHT(G247,2)=RIGHT('112'!$M$9,2),B247&lt;'112'!$N$8,$M247='112'!$I$6)),"x",""))</f>
        <v/>
      </c>
      <c r="U247" s="51" t="str">
        <f>IF(AND(L247="154",'154'!$O$5&lt;=B247,'154'!$P$5&gt;=B247),"154",IF(AND(L247="632",'632'!$L$5&lt;=B247,'632'!$M$5&gt;=B247),"632",IF(AND(L247="642",'642'!$N$5&lt;=B247,'642'!$O$5&gt;=B247),"642",IF(AND(L247="641",'641'!$N$5&lt;=B247,'641'!$O$5&gt;=B247),"641",""))))</f>
        <v/>
      </c>
      <c r="V247" s="51" t="str">
        <f>IF(OR(TH!L247=TH!$V$7,M247=TH!$V$7),"x","")</f>
        <v/>
      </c>
      <c r="W247" s="51" t="str">
        <f>IF(AND(B247&gt;='IN-NX'!$P$3,B247&lt;='IN-NX'!$Q$3,'IN-NX'!$D$7=D247,OR(LEFT(L247,2)="15",AND(LEFT(M247,2)&lt;&gt;"15",LEFT(M247,2)&lt;&gt;"33"))),"x","")</f>
        <v/>
      </c>
      <c r="X247" s="51" t="str">
        <f>IF(AND(OR(LEFT(TH!L247,2)="15",LEFT(TH!M247,2)="15"),'152-CT'!$J$8=TH!F247),"x","")</f>
        <v/>
      </c>
      <c r="Y247" s="51" t="str">
        <f>IF(AND(OR(LEFT(TH!L247,2)="15",LEFT(TH!M247,2)="15"),TK!$E$7=TH!F247),"x","")</f>
        <v/>
      </c>
      <c r="Z247" s="51" t="str">
        <f>IF(AND(B247&lt;=NKC!$N$8,B247&gt;=NKC!$M$8),"x","")</f>
        <v/>
      </c>
      <c r="AA247" s="803"/>
      <c r="AC247" s="203"/>
      <c r="AD247" s="203"/>
      <c r="AE247" s="203"/>
    </row>
    <row r="248" spans="1:31" s="565" customFormat="1" ht="15.75" customHeight="1">
      <c r="A248" s="804" t="str">
        <f>IF(B248&lt;&gt;"",IF(AND(B248&gt;=_TM1,B248&lt;=_TM2,OR(TH!L248="1111",TH!M248="1111")),TH!D248,""),"")</f>
        <v/>
      </c>
      <c r="B248" s="36">
        <f t="shared" si="13"/>
        <v>5</v>
      </c>
      <c r="C248" s="189">
        <f t="shared" si="14"/>
        <v>42153</v>
      </c>
      <c r="D248" s="189" t="s">
        <v>1336</v>
      </c>
      <c r="E248" s="189">
        <v>42153</v>
      </c>
      <c r="F248" s="922" t="s">
        <v>544</v>
      </c>
      <c r="G248" s="813" t="s">
        <v>439</v>
      </c>
      <c r="H248" s="191" t="s">
        <v>543</v>
      </c>
      <c r="I248" s="243">
        <v>500</v>
      </c>
      <c r="J248" s="243">
        <v>8201</v>
      </c>
      <c r="K248" s="573">
        <f>ROUND(I248*J248,0)</f>
        <v>4100500</v>
      </c>
      <c r="L248" s="574" t="s">
        <v>417</v>
      </c>
      <c r="M248" s="574" t="s">
        <v>8</v>
      </c>
      <c r="N248" s="51" t="str">
        <f>IF(AND('331-CT'!$E$7=TH!H248,OR(L248="331",M248="331")),"331",IF(AND(OR(L248="131",M248="131"),H248='131-CT'!$E$7),"131",""))</f>
        <v/>
      </c>
      <c r="O248" s="51" t="str">
        <f>IF(AND($B248&gt;='111'!$N$11,$B248&lt;='111'!$O$11,OR($L248=$O$7,$M248=$O$7)),"x","")</f>
        <v/>
      </c>
      <c r="P248" s="51" t="str">
        <f>IF(AND($L248=$O$7,$B248&lt;'111'!$N$11),"x","")</f>
        <v/>
      </c>
      <c r="Q248" s="51" t="str">
        <f>IF(AND($M248=$O$7,$B248&lt;'111'!$N$11),"x","")</f>
        <v/>
      </c>
      <c r="R248" s="51" t="str">
        <f>IF(ISERROR(FIND('112'!$M$9,G248,1)),"",IF((AND(FIND('112'!$M$9,G248,1)&gt;=1,$B248&gt;='112'!$N$8,$B248&lt;='112'!$O$8,OR($L248='112'!$I$6,$M248='112'!$I$6))),"x",""))</f>
        <v/>
      </c>
      <c r="S248" s="51" t="str">
        <f>IF(ISERROR(FIND('112'!$M$9,G248,1)),"",IF((AND(LEFT(G248,2)=LEFT('112'!$M$9,2),B248&lt;'112'!$N$8,$L248='112'!$I$6)),"x",""))</f>
        <v/>
      </c>
      <c r="T248" s="51" t="str">
        <f>IF(ISERROR(FIND('112'!$M$9,G248,1)),"",IF((AND(RIGHT(G248,2)=RIGHT('112'!$M$9,2),B248&lt;'112'!$N$8,$M248='112'!$I$6)),"x",""))</f>
        <v/>
      </c>
      <c r="U248" s="51" t="str">
        <f>IF(AND(L248="154",'154'!$O$5&lt;=B248,'154'!$P$5&gt;=B248),"154",IF(AND(L248="632",'632'!$L$5&lt;=B248,'632'!$M$5&gt;=B248),"632",IF(AND(L248="642",'642'!$N$5&lt;=B248,'642'!$O$5&gt;=B248),"642",IF(AND(L248="641",'641'!$N$5&lt;=B248,'641'!$O$5&gt;=B248),"641",""))))</f>
        <v/>
      </c>
      <c r="V248" s="51" t="str">
        <f>IF(OR(TH!L248=TH!$V$7,M248=TH!$V$7),"x","")</f>
        <v/>
      </c>
      <c r="W248" s="51" t="str">
        <f>IF(AND(B248&gt;='IN-NX'!$P$3,B248&lt;='IN-NX'!$Q$3,'IN-NX'!$D$7=D248,OR(LEFT(L248,2)="15",AND(LEFT(M248,2)&lt;&gt;"15",LEFT(M248,2)&lt;&gt;"33"))),"x","")</f>
        <v/>
      </c>
      <c r="X248" s="51" t="str">
        <f>IF(AND(OR(LEFT(TH!L248,2)="15",LEFT(TH!M248,2)="15"),'152-CT'!$J$8=TH!F248),"x","")</f>
        <v/>
      </c>
      <c r="Y248" s="51" t="str">
        <f>IF(AND(OR(LEFT(TH!L248,2)="15",LEFT(TH!M248,2)="15"),TK!$E$7=TH!F248),"x","")</f>
        <v/>
      </c>
      <c r="Z248" s="51" t="str">
        <f>IF(AND(B248&lt;=NKC!$N$8,B248&gt;=NKC!$M$8),"x","")</f>
        <v/>
      </c>
      <c r="AA248" s="803"/>
      <c r="AC248" s="203"/>
      <c r="AD248" s="203"/>
      <c r="AE248" s="203"/>
    </row>
    <row r="249" spans="1:31" s="565" customFormat="1" ht="15.75" customHeight="1">
      <c r="A249" s="804" t="str">
        <f>IF(B249&lt;&gt;"",IF(AND(B249&gt;=_TM1,B249&lt;=_TM2,OR(TH!L249="1111",TH!M249="1111")),TH!D249,""),"")</f>
        <v/>
      </c>
      <c r="B249" s="36">
        <f t="shared" si="13"/>
        <v>5</v>
      </c>
      <c r="C249" s="189">
        <f t="shared" si="14"/>
        <v>42153</v>
      </c>
      <c r="D249" s="189" t="s">
        <v>1336</v>
      </c>
      <c r="E249" s="189">
        <v>42153</v>
      </c>
      <c r="F249" s="922" t="s">
        <v>468</v>
      </c>
      <c r="G249" s="813" t="s">
        <v>439</v>
      </c>
      <c r="H249" s="191" t="s">
        <v>543</v>
      </c>
      <c r="I249" s="243"/>
      <c r="J249" s="243"/>
      <c r="K249" s="573">
        <v>410050</v>
      </c>
      <c r="L249" s="574" t="s">
        <v>9</v>
      </c>
      <c r="M249" s="574" t="s">
        <v>8</v>
      </c>
      <c r="N249" s="51" t="str">
        <f>IF(AND('331-CT'!$E$7=TH!H249,OR(L249="331",M249="331")),"331",IF(AND(OR(L249="131",M249="131"),H249='131-CT'!$E$7),"131",""))</f>
        <v/>
      </c>
      <c r="O249" s="51" t="str">
        <f>IF(AND($B249&gt;='111'!$N$11,$B249&lt;='111'!$O$11,OR($L249=$O$7,$M249=$O$7)),"x","")</f>
        <v/>
      </c>
      <c r="P249" s="51" t="str">
        <f>IF(AND($L249=$O$7,$B249&lt;'111'!$N$11),"x","")</f>
        <v/>
      </c>
      <c r="Q249" s="51" t="str">
        <f>IF(AND($M249=$O$7,$B249&lt;'111'!$N$11),"x","")</f>
        <v/>
      </c>
      <c r="R249" s="51" t="str">
        <f>IF(ISERROR(FIND('112'!$M$9,G249,1)),"",IF((AND(FIND('112'!$M$9,G249,1)&gt;=1,$B249&gt;='112'!$N$8,$B249&lt;='112'!$O$8,OR($L249='112'!$I$6,$M249='112'!$I$6))),"x",""))</f>
        <v/>
      </c>
      <c r="S249" s="51" t="str">
        <f>IF(ISERROR(FIND('112'!$M$9,G249,1)),"",IF((AND(LEFT(G249,2)=LEFT('112'!$M$9,2),B249&lt;'112'!$N$8,$L249='112'!$I$6)),"x",""))</f>
        <v/>
      </c>
      <c r="T249" s="51" t="str">
        <f>IF(ISERROR(FIND('112'!$M$9,G249,1)),"",IF((AND(RIGHT(G249,2)=RIGHT('112'!$M$9,2),B249&lt;'112'!$N$8,$M249='112'!$I$6)),"x",""))</f>
        <v/>
      </c>
      <c r="U249" s="51" t="str">
        <f>IF(AND(L249="154",'154'!$O$5&lt;=B249,'154'!$P$5&gt;=B249),"154",IF(AND(L249="632",'632'!$L$5&lt;=B249,'632'!$M$5&gt;=B249),"632",IF(AND(L249="642",'642'!$N$5&lt;=B249,'642'!$O$5&gt;=B249),"642",IF(AND(L249="641",'641'!$N$5&lt;=B249,'641'!$O$5&gt;=B249),"641",""))))</f>
        <v/>
      </c>
      <c r="V249" s="51" t="str">
        <f>IF(OR(TH!L249=TH!$V$7,M249=TH!$V$7),"x","")</f>
        <v/>
      </c>
      <c r="W249" s="51" t="str">
        <f>IF(AND(B249&gt;='IN-NX'!$P$3,B249&lt;='IN-NX'!$Q$3,'IN-NX'!$D$7=D249,OR(LEFT(L249,2)="15",AND(LEFT(M249,2)&lt;&gt;"15",LEFT(M249,2)&lt;&gt;"33"))),"x","")</f>
        <v/>
      </c>
      <c r="X249" s="51" t="str">
        <f>IF(AND(OR(LEFT(TH!L249,2)="15",LEFT(TH!M249,2)="15"),'152-CT'!$J$8=TH!F249),"x","")</f>
        <v/>
      </c>
      <c r="Y249" s="51" t="str">
        <f>IF(AND(OR(LEFT(TH!L249,2)="15",LEFT(TH!M249,2)="15"),TK!$E$7=TH!F249),"x","")</f>
        <v/>
      </c>
      <c r="Z249" s="51" t="str">
        <f>IF(AND(B249&lt;=NKC!$N$8,B249&gt;=NKC!$M$8),"x","")</f>
        <v/>
      </c>
      <c r="AA249" s="803">
        <v>2</v>
      </c>
      <c r="AC249" s="203"/>
      <c r="AD249" s="203"/>
      <c r="AE249" s="203"/>
    </row>
    <row r="250" spans="1:31" s="565" customFormat="1" ht="15.75" customHeight="1">
      <c r="A250" s="804" t="str">
        <f>IF(B250&lt;&gt;"",IF(AND(B250&gt;=_TM1,B250&lt;=_TM2,OR(TH!L250="1111",TH!M250="1111")),TH!D250,""),"")</f>
        <v/>
      </c>
      <c r="B250" s="36">
        <f t="shared" si="13"/>
        <v>5</v>
      </c>
      <c r="C250" s="189">
        <f t="shared" si="14"/>
        <v>42154</v>
      </c>
      <c r="D250" s="189" t="s">
        <v>1340</v>
      </c>
      <c r="E250" s="189">
        <v>42154</v>
      </c>
      <c r="F250" s="922" t="s">
        <v>546</v>
      </c>
      <c r="G250" s="813" t="s">
        <v>545</v>
      </c>
      <c r="H250" s="191" t="s">
        <v>509</v>
      </c>
      <c r="I250" s="243">
        <v>68</v>
      </c>
      <c r="J250" s="243">
        <v>9206</v>
      </c>
      <c r="K250" s="573">
        <f t="shared" ref="K250:K257" si="15">ROUND(I250*J250,0)</f>
        <v>626008</v>
      </c>
      <c r="L250" s="574" t="s">
        <v>417</v>
      </c>
      <c r="M250" s="574" t="s">
        <v>8</v>
      </c>
      <c r="N250" s="51" t="str">
        <f>IF(AND('331-CT'!$E$7=TH!H250,OR(L250="331",M250="331")),"331",IF(AND(OR(L250="131",M250="131"),H250='131-CT'!$E$7),"131",""))</f>
        <v/>
      </c>
      <c r="O250" s="51" t="str">
        <f>IF(AND($B250&gt;='111'!$N$11,$B250&lt;='111'!$O$11,OR($L250=$O$7,$M250=$O$7)),"x","")</f>
        <v/>
      </c>
      <c r="P250" s="51" t="str">
        <f>IF(AND($L250=$O$7,$B250&lt;'111'!$N$11),"x","")</f>
        <v/>
      </c>
      <c r="Q250" s="51" t="str">
        <f>IF(AND($M250=$O$7,$B250&lt;'111'!$N$11),"x","")</f>
        <v/>
      </c>
      <c r="R250" s="51" t="str">
        <f>IF(ISERROR(FIND('112'!$M$9,G250,1)),"",IF((AND(FIND('112'!$M$9,G250,1)&gt;=1,$B250&gt;='112'!$N$8,$B250&lt;='112'!$O$8,OR($L250='112'!$I$6,$M250='112'!$I$6))),"x",""))</f>
        <v/>
      </c>
      <c r="S250" s="51" t="str">
        <f>IF(ISERROR(FIND('112'!$M$9,G250,1)),"",IF((AND(LEFT(G250,2)=LEFT('112'!$M$9,2),B250&lt;'112'!$N$8,$L250='112'!$I$6)),"x",""))</f>
        <v/>
      </c>
      <c r="T250" s="51" t="str">
        <f>IF(ISERROR(FIND('112'!$M$9,G250,1)),"",IF((AND(RIGHT(G250,2)=RIGHT('112'!$M$9,2),B250&lt;'112'!$N$8,$M250='112'!$I$6)),"x",""))</f>
        <v/>
      </c>
      <c r="U250" s="51" t="str">
        <f>IF(AND(L250="154",'154'!$O$5&lt;=B250,'154'!$P$5&gt;=B250),"154",IF(AND(L250="632",'632'!$L$5&lt;=B250,'632'!$M$5&gt;=B250),"632",IF(AND(L250="642",'642'!$N$5&lt;=B250,'642'!$O$5&gt;=B250),"642",IF(AND(L250="641",'641'!$N$5&lt;=B250,'641'!$O$5&gt;=B250),"641",""))))</f>
        <v/>
      </c>
      <c r="V250" s="51" t="str">
        <f>IF(OR(TH!L250=TH!$V$7,M250=TH!$V$7),"x","")</f>
        <v/>
      </c>
      <c r="W250" s="51" t="str">
        <f>IF(AND(B250&gt;='IN-NX'!$P$3,B250&lt;='IN-NX'!$Q$3,'IN-NX'!$D$7=D250,OR(LEFT(L250,2)="15",AND(LEFT(M250,2)&lt;&gt;"15",LEFT(M250,2)&lt;&gt;"33"))),"x","")</f>
        <v/>
      </c>
      <c r="X250" s="51" t="str">
        <f>IF(AND(OR(LEFT(TH!L250,2)="15",LEFT(TH!M250,2)="15"),'152-CT'!$J$8=TH!F250),"x","")</f>
        <v/>
      </c>
      <c r="Y250" s="51" t="str">
        <f>IF(AND(OR(LEFT(TH!L250,2)="15",LEFT(TH!M250,2)="15"),TK!$E$7=TH!F250),"x","")</f>
        <v/>
      </c>
      <c r="Z250" s="51" t="str">
        <f>IF(AND(B250&lt;=NKC!$N$8,B250&gt;=NKC!$M$8),"x","")</f>
        <v/>
      </c>
      <c r="AA250" s="803"/>
      <c r="AC250" s="203"/>
      <c r="AD250" s="203"/>
      <c r="AE250" s="203"/>
    </row>
    <row r="251" spans="1:31" s="565" customFormat="1" ht="15.75" customHeight="1">
      <c r="A251" s="804" t="str">
        <f>IF(B251&lt;&gt;"",IF(AND(B251&gt;=_TM1,B251&lt;=_TM2,OR(TH!L251="1111",TH!M251="1111")),TH!D251,""),"")</f>
        <v/>
      </c>
      <c r="B251" s="36">
        <f t="shared" si="13"/>
        <v>5</v>
      </c>
      <c r="C251" s="189">
        <f t="shared" si="14"/>
        <v>42154</v>
      </c>
      <c r="D251" s="189" t="s">
        <v>1340</v>
      </c>
      <c r="E251" s="189">
        <v>42154</v>
      </c>
      <c r="F251" s="922" t="s">
        <v>547</v>
      </c>
      <c r="G251" s="813" t="s">
        <v>545</v>
      </c>
      <c r="H251" s="191" t="s">
        <v>509</v>
      </c>
      <c r="I251" s="243">
        <v>75</v>
      </c>
      <c r="J251" s="243">
        <v>15300</v>
      </c>
      <c r="K251" s="573">
        <f t="shared" si="15"/>
        <v>1147500</v>
      </c>
      <c r="L251" s="574" t="s">
        <v>417</v>
      </c>
      <c r="M251" s="574" t="s">
        <v>8</v>
      </c>
      <c r="N251" s="51" t="str">
        <f>IF(AND('331-CT'!$E$7=TH!H251,OR(L251="331",M251="331")),"331",IF(AND(OR(L251="131",M251="131"),H251='131-CT'!$E$7),"131",""))</f>
        <v/>
      </c>
      <c r="O251" s="51" t="str">
        <f>IF(AND($B251&gt;='111'!$N$11,$B251&lt;='111'!$O$11,OR($L251=$O$7,$M251=$O$7)),"x","")</f>
        <v/>
      </c>
      <c r="P251" s="51" t="str">
        <f>IF(AND($L251=$O$7,$B251&lt;'111'!$N$11),"x","")</f>
        <v/>
      </c>
      <c r="Q251" s="51" t="str">
        <f>IF(AND($M251=$O$7,$B251&lt;'111'!$N$11),"x","")</f>
        <v/>
      </c>
      <c r="R251" s="51" t="str">
        <f>IF(ISERROR(FIND('112'!$M$9,G251,1)),"",IF((AND(FIND('112'!$M$9,G251,1)&gt;=1,$B251&gt;='112'!$N$8,$B251&lt;='112'!$O$8,OR($L251='112'!$I$6,$M251='112'!$I$6))),"x",""))</f>
        <v/>
      </c>
      <c r="S251" s="51" t="str">
        <f>IF(ISERROR(FIND('112'!$M$9,G251,1)),"",IF((AND(LEFT(G251,2)=LEFT('112'!$M$9,2),B251&lt;'112'!$N$8,$L251='112'!$I$6)),"x",""))</f>
        <v/>
      </c>
      <c r="T251" s="51" t="str">
        <f>IF(ISERROR(FIND('112'!$M$9,G251,1)),"",IF((AND(RIGHT(G251,2)=RIGHT('112'!$M$9,2),B251&lt;'112'!$N$8,$M251='112'!$I$6)),"x",""))</f>
        <v/>
      </c>
      <c r="U251" s="51" t="str">
        <f>IF(AND(L251="154",'154'!$O$5&lt;=B251,'154'!$P$5&gt;=B251),"154",IF(AND(L251="632",'632'!$L$5&lt;=B251,'632'!$M$5&gt;=B251),"632",IF(AND(L251="642",'642'!$N$5&lt;=B251,'642'!$O$5&gt;=B251),"642",IF(AND(L251="641",'641'!$N$5&lt;=B251,'641'!$O$5&gt;=B251),"641",""))))</f>
        <v/>
      </c>
      <c r="V251" s="51" t="str">
        <f>IF(OR(TH!L251=TH!$V$7,M251=TH!$V$7),"x","")</f>
        <v/>
      </c>
      <c r="W251" s="51" t="str">
        <f>IF(AND(B251&gt;='IN-NX'!$P$3,B251&lt;='IN-NX'!$Q$3,'IN-NX'!$D$7=D251,OR(LEFT(L251,2)="15",AND(LEFT(M251,2)&lt;&gt;"15",LEFT(M251,2)&lt;&gt;"33"))),"x","")</f>
        <v/>
      </c>
      <c r="X251" s="51" t="str">
        <f>IF(AND(OR(LEFT(TH!L251,2)="15",LEFT(TH!M251,2)="15"),'152-CT'!$J$8=TH!F251),"x","")</f>
        <v/>
      </c>
      <c r="Y251" s="51" t="str">
        <f>IF(AND(OR(LEFT(TH!L251,2)="15",LEFT(TH!M251,2)="15"),TK!$E$7=TH!F251),"x","")</f>
        <v/>
      </c>
      <c r="Z251" s="51" t="str">
        <f>IF(AND(B251&lt;=NKC!$N$8,B251&gt;=NKC!$M$8),"x","")</f>
        <v/>
      </c>
      <c r="AA251" s="803"/>
      <c r="AC251" s="203"/>
      <c r="AD251" s="203"/>
      <c r="AE251" s="203"/>
    </row>
    <row r="252" spans="1:31" s="565" customFormat="1" ht="15.75" customHeight="1">
      <c r="A252" s="804" t="str">
        <f>IF(B252&lt;&gt;"",IF(AND(B252&gt;=_TM1,B252&lt;=_TM2,OR(TH!L252="1111",TH!M252="1111")),TH!D252,""),"")</f>
        <v/>
      </c>
      <c r="B252" s="36">
        <f t="shared" si="13"/>
        <v>5</v>
      </c>
      <c r="C252" s="189">
        <f t="shared" si="14"/>
        <v>42154</v>
      </c>
      <c r="D252" s="189" t="s">
        <v>1340</v>
      </c>
      <c r="E252" s="189">
        <v>42154</v>
      </c>
      <c r="F252" s="922" t="s">
        <v>548</v>
      </c>
      <c r="G252" s="813" t="s">
        <v>545</v>
      </c>
      <c r="H252" s="191" t="s">
        <v>509</v>
      </c>
      <c r="I252" s="243">
        <v>68</v>
      </c>
      <c r="J252" s="243">
        <v>18870</v>
      </c>
      <c r="K252" s="573">
        <f t="shared" si="15"/>
        <v>1283160</v>
      </c>
      <c r="L252" s="574" t="s">
        <v>417</v>
      </c>
      <c r="M252" s="574" t="s">
        <v>8</v>
      </c>
      <c r="N252" s="51" t="str">
        <f>IF(AND('331-CT'!$E$7=TH!H252,OR(L252="331",M252="331")),"331",IF(AND(OR(L252="131",M252="131"),H252='131-CT'!$E$7),"131",""))</f>
        <v/>
      </c>
      <c r="O252" s="51" t="str">
        <f>IF(AND($B252&gt;='111'!$N$11,$B252&lt;='111'!$O$11,OR($L252=$O$7,$M252=$O$7)),"x","")</f>
        <v/>
      </c>
      <c r="P252" s="51" t="str">
        <f>IF(AND($L252=$O$7,$B252&lt;'111'!$N$11),"x","")</f>
        <v/>
      </c>
      <c r="Q252" s="51" t="str">
        <f>IF(AND($M252=$O$7,$B252&lt;'111'!$N$11),"x","")</f>
        <v/>
      </c>
      <c r="R252" s="51" t="str">
        <f>IF(ISERROR(FIND('112'!$M$9,G252,1)),"",IF((AND(FIND('112'!$M$9,G252,1)&gt;=1,$B252&gt;='112'!$N$8,$B252&lt;='112'!$O$8,OR($L252='112'!$I$6,$M252='112'!$I$6))),"x",""))</f>
        <v/>
      </c>
      <c r="S252" s="51" t="str">
        <f>IF(ISERROR(FIND('112'!$M$9,G252,1)),"",IF((AND(LEFT(G252,2)=LEFT('112'!$M$9,2),B252&lt;'112'!$N$8,$L252='112'!$I$6)),"x",""))</f>
        <v/>
      </c>
      <c r="T252" s="51" t="str">
        <f>IF(ISERROR(FIND('112'!$M$9,G252,1)),"",IF((AND(RIGHT(G252,2)=RIGHT('112'!$M$9,2),B252&lt;'112'!$N$8,$M252='112'!$I$6)),"x",""))</f>
        <v/>
      </c>
      <c r="U252" s="51" t="str">
        <f>IF(AND(L252="154",'154'!$O$5&lt;=B252,'154'!$P$5&gt;=B252),"154",IF(AND(L252="632",'632'!$L$5&lt;=B252,'632'!$M$5&gt;=B252),"632",IF(AND(L252="642",'642'!$N$5&lt;=B252,'642'!$O$5&gt;=B252),"642",IF(AND(L252="641",'641'!$N$5&lt;=B252,'641'!$O$5&gt;=B252),"641",""))))</f>
        <v/>
      </c>
      <c r="V252" s="51" t="str">
        <f>IF(OR(TH!L252=TH!$V$7,M252=TH!$V$7),"x","")</f>
        <v/>
      </c>
      <c r="W252" s="51" t="str">
        <f>IF(AND(B252&gt;='IN-NX'!$P$3,B252&lt;='IN-NX'!$Q$3,'IN-NX'!$D$7=D252,OR(LEFT(L252,2)="15",AND(LEFT(M252,2)&lt;&gt;"15",LEFT(M252,2)&lt;&gt;"33"))),"x","")</f>
        <v/>
      </c>
      <c r="X252" s="51" t="str">
        <f>IF(AND(OR(LEFT(TH!L252,2)="15",LEFT(TH!M252,2)="15"),'152-CT'!$J$8=TH!F252),"x","")</f>
        <v/>
      </c>
      <c r="Y252" s="51" t="str">
        <f>IF(AND(OR(LEFT(TH!L252,2)="15",LEFT(TH!M252,2)="15"),TK!$E$7=TH!F252),"x","")</f>
        <v/>
      </c>
      <c r="Z252" s="51" t="str">
        <f>IF(AND(B252&lt;=NKC!$N$8,B252&gt;=NKC!$M$8),"x","")</f>
        <v/>
      </c>
      <c r="AA252" s="803"/>
      <c r="AC252" s="203"/>
      <c r="AD252" s="203"/>
      <c r="AE252" s="203"/>
    </row>
    <row r="253" spans="1:31" s="565" customFormat="1" ht="15.75" customHeight="1">
      <c r="A253" s="804" t="str">
        <f>IF(B253&lt;&gt;"",IF(AND(B253&gt;=_TM1,B253&lt;=_TM2,OR(TH!L253="1111",TH!M253="1111")),TH!D253,""),"")</f>
        <v/>
      </c>
      <c r="B253" s="36">
        <f t="shared" si="13"/>
        <v>5</v>
      </c>
      <c r="C253" s="189">
        <f t="shared" si="14"/>
        <v>42154</v>
      </c>
      <c r="D253" s="189" t="s">
        <v>1340</v>
      </c>
      <c r="E253" s="189">
        <v>42154</v>
      </c>
      <c r="F253" s="922" t="s">
        <v>549</v>
      </c>
      <c r="G253" s="813" t="s">
        <v>545</v>
      </c>
      <c r="H253" s="191" t="s">
        <v>509</v>
      </c>
      <c r="I253" s="243">
        <v>100</v>
      </c>
      <c r="J253" s="243">
        <v>11951</v>
      </c>
      <c r="K253" s="573">
        <f t="shared" si="15"/>
        <v>1195100</v>
      </c>
      <c r="L253" s="574" t="s">
        <v>417</v>
      </c>
      <c r="M253" s="574" t="s">
        <v>8</v>
      </c>
      <c r="N253" s="51" t="str">
        <f>IF(AND('331-CT'!$E$7=TH!H253,OR(L253="331",M253="331")),"331",IF(AND(OR(L253="131",M253="131"),H253='131-CT'!$E$7),"131",""))</f>
        <v/>
      </c>
      <c r="O253" s="51" t="str">
        <f>IF(AND($B253&gt;='111'!$N$11,$B253&lt;='111'!$O$11,OR($L253=$O$7,$M253=$O$7)),"x","")</f>
        <v/>
      </c>
      <c r="P253" s="51" t="str">
        <f>IF(AND($L253=$O$7,$B253&lt;'111'!$N$11),"x","")</f>
        <v/>
      </c>
      <c r="Q253" s="51" t="str">
        <f>IF(AND($M253=$O$7,$B253&lt;'111'!$N$11),"x","")</f>
        <v/>
      </c>
      <c r="R253" s="51" t="str">
        <f>IF(ISERROR(FIND('112'!$M$9,G253,1)),"",IF((AND(FIND('112'!$M$9,G253,1)&gt;=1,$B253&gt;='112'!$N$8,$B253&lt;='112'!$O$8,OR($L253='112'!$I$6,$M253='112'!$I$6))),"x",""))</f>
        <v/>
      </c>
      <c r="S253" s="51" t="str">
        <f>IF(ISERROR(FIND('112'!$M$9,G253,1)),"",IF((AND(LEFT(G253,2)=LEFT('112'!$M$9,2),B253&lt;'112'!$N$8,$L253='112'!$I$6)),"x",""))</f>
        <v/>
      </c>
      <c r="T253" s="51" t="str">
        <f>IF(ISERROR(FIND('112'!$M$9,G253,1)),"",IF((AND(RIGHT(G253,2)=RIGHT('112'!$M$9,2),B253&lt;'112'!$N$8,$M253='112'!$I$6)),"x",""))</f>
        <v/>
      </c>
      <c r="U253" s="51" t="str">
        <f>IF(AND(L253="154",'154'!$O$5&lt;=B253,'154'!$P$5&gt;=B253),"154",IF(AND(L253="632",'632'!$L$5&lt;=B253,'632'!$M$5&gt;=B253),"632",IF(AND(L253="642",'642'!$N$5&lt;=B253,'642'!$O$5&gt;=B253),"642",IF(AND(L253="641",'641'!$N$5&lt;=B253,'641'!$O$5&gt;=B253),"641",""))))</f>
        <v/>
      </c>
      <c r="V253" s="51" t="str">
        <f>IF(OR(TH!L253=TH!$V$7,M253=TH!$V$7),"x","")</f>
        <v/>
      </c>
      <c r="W253" s="51" t="str">
        <f>IF(AND(B253&gt;='IN-NX'!$P$3,B253&lt;='IN-NX'!$Q$3,'IN-NX'!$D$7=D253,OR(LEFT(L253,2)="15",AND(LEFT(M253,2)&lt;&gt;"15",LEFT(M253,2)&lt;&gt;"33"))),"x","")</f>
        <v/>
      </c>
      <c r="X253" s="51" t="str">
        <f>IF(AND(OR(LEFT(TH!L253,2)="15",LEFT(TH!M253,2)="15"),'152-CT'!$J$8=TH!F253),"x","")</f>
        <v/>
      </c>
      <c r="Y253" s="51" t="str">
        <f>IF(AND(OR(LEFT(TH!L253,2)="15",LEFT(TH!M253,2)="15"),TK!$E$7=TH!F253),"x","")</f>
        <v/>
      </c>
      <c r="Z253" s="51" t="str">
        <f>IF(AND(B253&lt;=NKC!$N$8,B253&gt;=NKC!$M$8),"x","")</f>
        <v/>
      </c>
      <c r="AA253" s="803"/>
      <c r="AC253" s="203"/>
      <c r="AD253" s="203"/>
      <c r="AE253" s="203"/>
    </row>
    <row r="254" spans="1:31" s="565" customFormat="1" ht="15.75" customHeight="1">
      <c r="A254" s="804" t="str">
        <f>IF(B254&lt;&gt;"",IF(AND(B254&gt;=_TM1,B254&lt;=_TM2,OR(TH!L254="1111",TH!M254="1111")),TH!D254,""),"")</f>
        <v/>
      </c>
      <c r="B254" s="36">
        <f t="shared" si="13"/>
        <v>5</v>
      </c>
      <c r="C254" s="189">
        <f t="shared" si="14"/>
        <v>42154</v>
      </c>
      <c r="D254" s="189" t="s">
        <v>1340</v>
      </c>
      <c r="E254" s="189">
        <v>42154</v>
      </c>
      <c r="F254" s="922" t="s">
        <v>550</v>
      </c>
      <c r="G254" s="813" t="s">
        <v>545</v>
      </c>
      <c r="H254" s="191" t="s">
        <v>509</v>
      </c>
      <c r="I254" s="243">
        <v>68</v>
      </c>
      <c r="J254" s="243">
        <v>19380</v>
      </c>
      <c r="K254" s="573">
        <f t="shared" si="15"/>
        <v>1317840</v>
      </c>
      <c r="L254" s="574" t="s">
        <v>417</v>
      </c>
      <c r="M254" s="574" t="s">
        <v>8</v>
      </c>
      <c r="N254" s="51" t="str">
        <f>IF(AND('331-CT'!$E$7=TH!H254,OR(L254="331",M254="331")),"331",IF(AND(OR(L254="131",M254="131"),H254='131-CT'!$E$7),"131",""))</f>
        <v/>
      </c>
      <c r="O254" s="51" t="str">
        <f>IF(AND($B254&gt;='111'!$N$11,$B254&lt;='111'!$O$11,OR($L254=$O$7,$M254=$O$7)),"x","")</f>
        <v/>
      </c>
      <c r="P254" s="51" t="str">
        <f>IF(AND($L254=$O$7,$B254&lt;'111'!$N$11),"x","")</f>
        <v/>
      </c>
      <c r="Q254" s="51" t="str">
        <f>IF(AND($M254=$O$7,$B254&lt;'111'!$N$11),"x","")</f>
        <v/>
      </c>
      <c r="R254" s="51" t="str">
        <f>IF(ISERROR(FIND('112'!$M$9,G254,1)),"",IF((AND(FIND('112'!$M$9,G254,1)&gt;=1,$B254&gt;='112'!$N$8,$B254&lt;='112'!$O$8,OR($L254='112'!$I$6,$M254='112'!$I$6))),"x",""))</f>
        <v/>
      </c>
      <c r="S254" s="51" t="str">
        <f>IF(ISERROR(FIND('112'!$M$9,G254,1)),"",IF((AND(LEFT(G254,2)=LEFT('112'!$M$9,2),B254&lt;'112'!$N$8,$L254='112'!$I$6)),"x",""))</f>
        <v/>
      </c>
      <c r="T254" s="51" t="str">
        <f>IF(ISERROR(FIND('112'!$M$9,G254,1)),"",IF((AND(RIGHT(G254,2)=RIGHT('112'!$M$9,2),B254&lt;'112'!$N$8,$M254='112'!$I$6)),"x",""))</f>
        <v/>
      </c>
      <c r="U254" s="51" t="str">
        <f>IF(AND(L254="154",'154'!$O$5&lt;=B254,'154'!$P$5&gt;=B254),"154",IF(AND(L254="632",'632'!$L$5&lt;=B254,'632'!$M$5&gt;=B254),"632",IF(AND(L254="642",'642'!$N$5&lt;=B254,'642'!$O$5&gt;=B254),"642",IF(AND(L254="641",'641'!$N$5&lt;=B254,'641'!$O$5&gt;=B254),"641",""))))</f>
        <v/>
      </c>
      <c r="V254" s="51" t="str">
        <f>IF(OR(TH!L254=TH!$V$7,M254=TH!$V$7),"x","")</f>
        <v/>
      </c>
      <c r="W254" s="51" t="str">
        <f>IF(AND(B254&gt;='IN-NX'!$P$3,B254&lt;='IN-NX'!$Q$3,'IN-NX'!$D$7=D254,OR(LEFT(L254,2)="15",AND(LEFT(M254,2)&lt;&gt;"15",LEFT(M254,2)&lt;&gt;"33"))),"x","")</f>
        <v/>
      </c>
      <c r="X254" s="51" t="str">
        <f>IF(AND(OR(LEFT(TH!L254,2)="15",LEFT(TH!M254,2)="15"),'152-CT'!$J$8=TH!F254),"x","")</f>
        <v/>
      </c>
      <c r="Y254" s="51" t="str">
        <f>IF(AND(OR(LEFT(TH!L254,2)="15",LEFT(TH!M254,2)="15"),TK!$E$7=TH!F254),"x","")</f>
        <v/>
      </c>
      <c r="Z254" s="51" t="str">
        <f>IF(AND(B254&lt;=NKC!$N$8,B254&gt;=NKC!$M$8),"x","")</f>
        <v/>
      </c>
      <c r="AA254" s="803"/>
      <c r="AC254" s="203"/>
      <c r="AD254" s="203"/>
      <c r="AE254" s="203"/>
    </row>
    <row r="255" spans="1:31" s="565" customFormat="1" ht="15.75" customHeight="1">
      <c r="A255" s="804" t="str">
        <f>IF(B255&lt;&gt;"",IF(AND(B255&gt;=_TM1,B255&lt;=_TM2,OR(TH!L255="1111",TH!M255="1111")),TH!D255,""),"")</f>
        <v/>
      </c>
      <c r="B255" s="36">
        <f t="shared" si="13"/>
        <v>5</v>
      </c>
      <c r="C255" s="189">
        <f t="shared" si="14"/>
        <v>42154</v>
      </c>
      <c r="D255" s="189" t="s">
        <v>1340</v>
      </c>
      <c r="E255" s="189">
        <v>42154</v>
      </c>
      <c r="F255" s="926" t="s">
        <v>551</v>
      </c>
      <c r="G255" s="813" t="s">
        <v>545</v>
      </c>
      <c r="H255" s="191" t="s">
        <v>509</v>
      </c>
      <c r="I255" s="243">
        <v>250</v>
      </c>
      <c r="J255" s="243">
        <v>31360</v>
      </c>
      <c r="K255" s="573">
        <f t="shared" si="15"/>
        <v>7840000</v>
      </c>
      <c r="L255" s="574" t="s">
        <v>417</v>
      </c>
      <c r="M255" s="574" t="s">
        <v>8</v>
      </c>
      <c r="N255" s="51" t="str">
        <f>IF(AND('331-CT'!$E$7=TH!H255,OR(L255="331",M255="331")),"331",IF(AND(OR(L255="131",M255="131"),H255='131-CT'!$E$7),"131",""))</f>
        <v/>
      </c>
      <c r="O255" s="51" t="str">
        <f>IF(AND($B255&gt;='111'!$N$11,$B255&lt;='111'!$O$11,OR($L255=$O$7,$M255=$O$7)),"x","")</f>
        <v/>
      </c>
      <c r="P255" s="51" t="str">
        <f>IF(AND($L255=$O$7,$B255&lt;'111'!$N$11),"x","")</f>
        <v/>
      </c>
      <c r="Q255" s="51" t="str">
        <f>IF(AND($M255=$O$7,$B255&lt;'111'!$N$11),"x","")</f>
        <v/>
      </c>
      <c r="R255" s="51" t="str">
        <f>IF(ISERROR(FIND('112'!$M$9,G255,1)),"",IF((AND(FIND('112'!$M$9,G255,1)&gt;=1,$B255&gt;='112'!$N$8,$B255&lt;='112'!$O$8,OR($L255='112'!$I$6,$M255='112'!$I$6))),"x",""))</f>
        <v/>
      </c>
      <c r="S255" s="51" t="str">
        <f>IF(ISERROR(FIND('112'!$M$9,G255,1)),"",IF((AND(LEFT(G255,2)=LEFT('112'!$M$9,2),B255&lt;'112'!$N$8,$L255='112'!$I$6)),"x",""))</f>
        <v/>
      </c>
      <c r="T255" s="51" t="str">
        <f>IF(ISERROR(FIND('112'!$M$9,G255,1)),"",IF((AND(RIGHT(G255,2)=RIGHT('112'!$M$9,2),B255&lt;'112'!$N$8,$M255='112'!$I$6)),"x",""))</f>
        <v/>
      </c>
      <c r="U255" s="51" t="str">
        <f>IF(AND(L255="154",'154'!$O$5&lt;=B255,'154'!$P$5&gt;=B255),"154",IF(AND(L255="632",'632'!$L$5&lt;=B255,'632'!$M$5&gt;=B255),"632",IF(AND(L255="642",'642'!$N$5&lt;=B255,'642'!$O$5&gt;=B255),"642",IF(AND(L255="641",'641'!$N$5&lt;=B255,'641'!$O$5&gt;=B255),"641",""))))</f>
        <v/>
      </c>
      <c r="V255" s="51" t="str">
        <f>IF(OR(TH!L255=TH!$V$7,M255=TH!$V$7),"x","")</f>
        <v/>
      </c>
      <c r="W255" s="51" t="str">
        <f>IF(AND(B255&gt;='IN-NX'!$P$3,B255&lt;='IN-NX'!$Q$3,'IN-NX'!$D$7=D255,OR(LEFT(L255,2)="15",AND(LEFT(M255,2)&lt;&gt;"15",LEFT(M255,2)&lt;&gt;"33"))),"x","")</f>
        <v/>
      </c>
      <c r="X255" s="51" t="str">
        <f>IF(AND(OR(LEFT(TH!L255,2)="15",LEFT(TH!M255,2)="15"),'152-CT'!$J$8=TH!F255),"x","")</f>
        <v/>
      </c>
      <c r="Y255" s="51" t="str">
        <f>IF(AND(OR(LEFT(TH!L255,2)="15",LEFT(TH!M255,2)="15"),TK!$E$7=TH!F255),"x","")</f>
        <v/>
      </c>
      <c r="Z255" s="51" t="str">
        <f>IF(AND(B255&lt;=NKC!$N$8,B255&gt;=NKC!$M$8),"x","")</f>
        <v/>
      </c>
      <c r="AA255" s="803"/>
      <c r="AC255" s="203"/>
      <c r="AD255" s="203"/>
      <c r="AE255" s="203"/>
    </row>
    <row r="256" spans="1:31" s="565" customFormat="1" ht="15.75" customHeight="1">
      <c r="A256" s="804" t="str">
        <f>IF(B256&lt;&gt;"",IF(AND(B256&gt;=_TM1,B256&lt;=_TM2,OR(TH!L256="1111",TH!M256="1111")),TH!D256,""),"")</f>
        <v/>
      </c>
      <c r="B256" s="36">
        <f t="shared" si="13"/>
        <v>5</v>
      </c>
      <c r="C256" s="189">
        <f t="shared" si="14"/>
        <v>42154</v>
      </c>
      <c r="D256" s="189" t="s">
        <v>1340</v>
      </c>
      <c r="E256" s="189">
        <v>42154</v>
      </c>
      <c r="F256" s="926" t="s">
        <v>552</v>
      </c>
      <c r="G256" s="813" t="s">
        <v>545</v>
      </c>
      <c r="H256" s="191" t="s">
        <v>509</v>
      </c>
      <c r="I256" s="243">
        <v>250</v>
      </c>
      <c r="J256" s="243">
        <v>20355</v>
      </c>
      <c r="K256" s="573">
        <f t="shared" si="15"/>
        <v>5088750</v>
      </c>
      <c r="L256" s="574" t="s">
        <v>417</v>
      </c>
      <c r="M256" s="574" t="s">
        <v>8</v>
      </c>
      <c r="N256" s="51" t="str">
        <f>IF(AND('331-CT'!$E$7=TH!H256,OR(L256="331",M256="331")),"331",IF(AND(OR(L256="131",M256="131"),H256='131-CT'!$E$7),"131",""))</f>
        <v/>
      </c>
      <c r="O256" s="51" t="str">
        <f>IF(AND($B256&gt;='111'!$N$11,$B256&lt;='111'!$O$11,OR($L256=$O$7,$M256=$O$7)),"x","")</f>
        <v/>
      </c>
      <c r="P256" s="51" t="str">
        <f>IF(AND($L256=$O$7,$B256&lt;'111'!$N$11),"x","")</f>
        <v/>
      </c>
      <c r="Q256" s="51" t="str">
        <f>IF(AND($M256=$O$7,$B256&lt;'111'!$N$11),"x","")</f>
        <v/>
      </c>
      <c r="R256" s="51" t="str">
        <f>IF(ISERROR(FIND('112'!$M$9,G256,1)),"",IF((AND(FIND('112'!$M$9,G256,1)&gt;=1,$B256&gt;='112'!$N$8,$B256&lt;='112'!$O$8,OR($L256='112'!$I$6,$M256='112'!$I$6))),"x",""))</f>
        <v/>
      </c>
      <c r="S256" s="51" t="str">
        <f>IF(ISERROR(FIND('112'!$M$9,G256,1)),"",IF((AND(LEFT(G256,2)=LEFT('112'!$M$9,2),B256&lt;'112'!$N$8,$L256='112'!$I$6)),"x",""))</f>
        <v/>
      </c>
      <c r="T256" s="51" t="str">
        <f>IF(ISERROR(FIND('112'!$M$9,G256,1)),"",IF((AND(RIGHT(G256,2)=RIGHT('112'!$M$9,2),B256&lt;'112'!$N$8,$M256='112'!$I$6)),"x",""))</f>
        <v/>
      </c>
      <c r="U256" s="51" t="str">
        <f>IF(AND(L256="154",'154'!$O$5&lt;=B256,'154'!$P$5&gt;=B256),"154",IF(AND(L256="632",'632'!$L$5&lt;=B256,'632'!$M$5&gt;=B256),"632",IF(AND(L256="642",'642'!$N$5&lt;=B256,'642'!$O$5&gt;=B256),"642",IF(AND(L256="641",'641'!$N$5&lt;=B256,'641'!$O$5&gt;=B256),"641",""))))</f>
        <v/>
      </c>
      <c r="V256" s="51" t="str">
        <f>IF(OR(TH!L256=TH!$V$7,M256=TH!$V$7),"x","")</f>
        <v/>
      </c>
      <c r="W256" s="51" t="str">
        <f>IF(AND(B256&gt;='IN-NX'!$P$3,B256&lt;='IN-NX'!$Q$3,'IN-NX'!$D$7=D256,OR(LEFT(L256,2)="15",AND(LEFT(M256,2)&lt;&gt;"15",LEFT(M256,2)&lt;&gt;"33"))),"x","")</f>
        <v/>
      </c>
      <c r="X256" s="51" t="str">
        <f>IF(AND(OR(LEFT(TH!L256,2)="15",LEFT(TH!M256,2)="15"),'152-CT'!$J$8=TH!F256),"x","")</f>
        <v/>
      </c>
      <c r="Y256" s="51" t="str">
        <f>IF(AND(OR(LEFT(TH!L256,2)="15",LEFT(TH!M256,2)="15"),TK!$E$7=TH!F256),"x","")</f>
        <v/>
      </c>
      <c r="Z256" s="51" t="str">
        <f>IF(AND(B256&lt;=NKC!$N$8,B256&gt;=NKC!$M$8),"x","")</f>
        <v/>
      </c>
      <c r="AA256" s="803"/>
      <c r="AC256" s="203"/>
      <c r="AD256" s="203"/>
      <c r="AE256" s="203"/>
    </row>
    <row r="257" spans="1:31" s="565" customFormat="1" ht="15.75" customHeight="1">
      <c r="A257" s="804" t="str">
        <f>IF(B257&lt;&gt;"",IF(AND(B257&gt;=_TM1,B257&lt;=_TM2,OR(TH!L257="1111",TH!M257="1111")),TH!D257,""),"")</f>
        <v/>
      </c>
      <c r="B257" s="36">
        <f t="shared" si="13"/>
        <v>5</v>
      </c>
      <c r="C257" s="189">
        <f t="shared" si="14"/>
        <v>42154</v>
      </c>
      <c r="D257" s="189" t="s">
        <v>1340</v>
      </c>
      <c r="E257" s="189">
        <v>42154</v>
      </c>
      <c r="F257" s="926" t="s">
        <v>553</v>
      </c>
      <c r="G257" s="813" t="s">
        <v>545</v>
      </c>
      <c r="H257" s="191" t="s">
        <v>509</v>
      </c>
      <c r="I257" s="243">
        <v>250</v>
      </c>
      <c r="J257" s="243">
        <v>12369</v>
      </c>
      <c r="K257" s="573">
        <f t="shared" si="15"/>
        <v>3092250</v>
      </c>
      <c r="L257" s="574" t="s">
        <v>417</v>
      </c>
      <c r="M257" s="574" t="s">
        <v>8</v>
      </c>
      <c r="N257" s="51" t="str">
        <f>IF(AND('331-CT'!$E$7=TH!H257,OR(L257="331",M257="331")),"331",IF(AND(OR(L257="131",M257="131"),H257='131-CT'!$E$7),"131",""))</f>
        <v/>
      </c>
      <c r="O257" s="51" t="str">
        <f>IF(AND($B257&gt;='111'!$N$11,$B257&lt;='111'!$O$11,OR($L257=$O$7,$M257=$O$7)),"x","")</f>
        <v/>
      </c>
      <c r="P257" s="51" t="str">
        <f>IF(AND($L257=$O$7,$B257&lt;'111'!$N$11),"x","")</f>
        <v/>
      </c>
      <c r="Q257" s="51" t="str">
        <f>IF(AND($M257=$O$7,$B257&lt;'111'!$N$11),"x","")</f>
        <v/>
      </c>
      <c r="R257" s="51" t="str">
        <f>IF(ISERROR(FIND('112'!$M$9,G257,1)),"",IF((AND(FIND('112'!$M$9,G257,1)&gt;=1,$B257&gt;='112'!$N$8,$B257&lt;='112'!$O$8,OR($L257='112'!$I$6,$M257='112'!$I$6))),"x",""))</f>
        <v/>
      </c>
      <c r="S257" s="51" t="str">
        <f>IF(ISERROR(FIND('112'!$M$9,G257,1)),"",IF((AND(LEFT(G257,2)=LEFT('112'!$M$9,2),B257&lt;'112'!$N$8,$L257='112'!$I$6)),"x",""))</f>
        <v/>
      </c>
      <c r="T257" s="51" t="str">
        <f>IF(ISERROR(FIND('112'!$M$9,G257,1)),"",IF((AND(RIGHT(G257,2)=RIGHT('112'!$M$9,2),B257&lt;'112'!$N$8,$M257='112'!$I$6)),"x",""))</f>
        <v/>
      </c>
      <c r="U257" s="51" t="str">
        <f>IF(AND(L257="154",'154'!$O$5&lt;=B257,'154'!$P$5&gt;=B257),"154",IF(AND(L257="632",'632'!$L$5&lt;=B257,'632'!$M$5&gt;=B257),"632",IF(AND(L257="642",'642'!$N$5&lt;=B257,'642'!$O$5&gt;=B257),"642",IF(AND(L257="641",'641'!$N$5&lt;=B257,'641'!$O$5&gt;=B257),"641",""))))</f>
        <v/>
      </c>
      <c r="V257" s="51" t="str">
        <f>IF(OR(TH!L257=TH!$V$7,M257=TH!$V$7),"x","")</f>
        <v/>
      </c>
      <c r="W257" s="51" t="str">
        <f>IF(AND(B257&gt;='IN-NX'!$P$3,B257&lt;='IN-NX'!$Q$3,'IN-NX'!$D$7=D257,OR(LEFT(L257,2)="15",AND(LEFT(M257,2)&lt;&gt;"15",LEFT(M257,2)&lt;&gt;"33"))),"x","")</f>
        <v/>
      </c>
      <c r="X257" s="51" t="str">
        <f>IF(AND(OR(LEFT(TH!L257,2)="15",LEFT(TH!M257,2)="15"),'152-CT'!$J$8=TH!F257),"x","")</f>
        <v/>
      </c>
      <c r="Y257" s="51" t="str">
        <f>IF(AND(OR(LEFT(TH!L257,2)="15",LEFT(TH!M257,2)="15"),TK!$E$7=TH!F257),"x","")</f>
        <v/>
      </c>
      <c r="Z257" s="51" t="str">
        <f>IF(AND(B257&lt;=NKC!$N$8,B257&gt;=NKC!$M$8),"x","")</f>
        <v/>
      </c>
      <c r="AA257" s="803"/>
      <c r="AC257" s="203"/>
      <c r="AD257" s="203"/>
      <c r="AE257" s="203"/>
    </row>
    <row r="258" spans="1:31" s="565" customFormat="1" ht="15.75" customHeight="1">
      <c r="A258" s="804" t="str">
        <f>IF(B258&lt;&gt;"",IF(AND(B258&gt;=_TM1,B258&lt;=_TM2,OR(TH!L258="1111",TH!M258="1111")),TH!D258,""),"")</f>
        <v/>
      </c>
      <c r="B258" s="36">
        <f t="shared" si="13"/>
        <v>5</v>
      </c>
      <c r="C258" s="189">
        <f t="shared" si="14"/>
        <v>42154</v>
      </c>
      <c r="D258" s="189" t="s">
        <v>1340</v>
      </c>
      <c r="E258" s="189">
        <v>42154</v>
      </c>
      <c r="F258" s="922" t="s">
        <v>468</v>
      </c>
      <c r="G258" s="813" t="s">
        <v>545</v>
      </c>
      <c r="H258" s="191" t="s">
        <v>509</v>
      </c>
      <c r="I258" s="243"/>
      <c r="J258" s="243"/>
      <c r="K258" s="573">
        <v>2159061</v>
      </c>
      <c r="L258" s="574" t="s">
        <v>9</v>
      </c>
      <c r="M258" s="574" t="s">
        <v>8</v>
      </c>
      <c r="N258" s="51" t="str">
        <f>IF(AND('331-CT'!$E$7=TH!H258,OR(L258="331",M258="331")),"331",IF(AND(OR(L258="131",M258="131"),H258='131-CT'!$E$7),"131",""))</f>
        <v/>
      </c>
      <c r="O258" s="51" t="str">
        <f>IF(AND($B258&gt;='111'!$N$11,$B258&lt;='111'!$O$11,OR($L258=$O$7,$M258=$O$7)),"x","")</f>
        <v/>
      </c>
      <c r="P258" s="51" t="str">
        <f>IF(AND($L258=$O$7,$B258&lt;'111'!$N$11),"x","")</f>
        <v/>
      </c>
      <c r="Q258" s="51" t="str">
        <f>IF(AND($M258=$O$7,$B258&lt;'111'!$N$11),"x","")</f>
        <v/>
      </c>
      <c r="R258" s="51" t="str">
        <f>IF(ISERROR(FIND('112'!$M$9,G258,1)),"",IF((AND(FIND('112'!$M$9,G258,1)&gt;=1,$B258&gt;='112'!$N$8,$B258&lt;='112'!$O$8,OR($L258='112'!$I$6,$M258='112'!$I$6))),"x",""))</f>
        <v/>
      </c>
      <c r="S258" s="51" t="str">
        <f>IF(ISERROR(FIND('112'!$M$9,G258,1)),"",IF((AND(LEFT(G258,2)=LEFT('112'!$M$9,2),B258&lt;'112'!$N$8,$L258='112'!$I$6)),"x",""))</f>
        <v/>
      </c>
      <c r="T258" s="51" t="str">
        <f>IF(ISERROR(FIND('112'!$M$9,G258,1)),"",IF((AND(RIGHT(G258,2)=RIGHT('112'!$M$9,2),B258&lt;'112'!$N$8,$M258='112'!$I$6)),"x",""))</f>
        <v/>
      </c>
      <c r="U258" s="51" t="str">
        <f>IF(AND(L258="154",'154'!$O$5&lt;=B258,'154'!$P$5&gt;=B258),"154",IF(AND(L258="632",'632'!$L$5&lt;=B258,'632'!$M$5&gt;=B258),"632",IF(AND(L258="642",'642'!$N$5&lt;=B258,'642'!$O$5&gt;=B258),"642",IF(AND(L258="641",'641'!$N$5&lt;=B258,'641'!$O$5&gt;=B258),"641",""))))</f>
        <v/>
      </c>
      <c r="V258" s="51" t="str">
        <f>IF(OR(TH!L258=TH!$V$7,M258=TH!$V$7),"x","")</f>
        <v/>
      </c>
      <c r="W258" s="51" t="str">
        <f>IF(AND(B258&gt;='IN-NX'!$P$3,B258&lt;='IN-NX'!$Q$3,'IN-NX'!$D$7=D258,OR(LEFT(L258,2)="15",AND(LEFT(M258,2)&lt;&gt;"15",LEFT(M258,2)&lt;&gt;"33"))),"x","")</f>
        <v/>
      </c>
      <c r="X258" s="51" t="str">
        <f>IF(AND(OR(LEFT(TH!L258,2)="15",LEFT(TH!M258,2)="15"),'152-CT'!$J$8=TH!F258),"x","")</f>
        <v/>
      </c>
      <c r="Y258" s="51" t="str">
        <f>IF(AND(OR(LEFT(TH!L258,2)="15",LEFT(TH!M258,2)="15"),TK!$E$7=TH!F258),"x","")</f>
        <v/>
      </c>
      <c r="Z258" s="51" t="str">
        <f>IF(AND(B258&lt;=NKC!$N$8,B258&gt;=NKC!$M$8),"x","")</f>
        <v/>
      </c>
      <c r="AA258" s="803">
        <v>2</v>
      </c>
      <c r="AC258" s="203"/>
      <c r="AD258" s="203"/>
      <c r="AE258" s="203"/>
    </row>
    <row r="259" spans="1:31" s="565" customFormat="1" ht="15.75" customHeight="1">
      <c r="A259" s="804" t="str">
        <f>IF(B259&lt;&gt;"",IF(AND(B259&gt;=_TM1,B259&lt;=_TM2,OR(TH!L259="1111",TH!M259="1111")),TH!D259,""),"")</f>
        <v/>
      </c>
      <c r="B259" s="36">
        <f t="shared" si="13"/>
        <v>5</v>
      </c>
      <c r="C259" s="853">
        <f t="shared" si="14"/>
        <v>42155</v>
      </c>
      <c r="D259" s="853" t="s">
        <v>319</v>
      </c>
      <c r="E259" s="853">
        <v>42155</v>
      </c>
      <c r="F259" s="854" t="s">
        <v>1262</v>
      </c>
      <c r="G259" s="855"/>
      <c r="H259" s="856"/>
      <c r="I259" s="857"/>
      <c r="J259" s="857"/>
      <c r="K259" s="858">
        <v>11600000</v>
      </c>
      <c r="L259" s="859" t="s">
        <v>83</v>
      </c>
      <c r="M259" s="859" t="s">
        <v>252</v>
      </c>
      <c r="N259" s="51" t="str">
        <f>IF(AND('331-CT'!$E$7=TH!H259,OR(L259="331",M259="331")),"331",IF(AND(OR(L259="131",M259="131"),H259='131-CT'!$E$7),"131",""))</f>
        <v/>
      </c>
      <c r="O259" s="51" t="str">
        <f>IF(AND($B259&gt;='111'!$N$11,$B259&lt;='111'!$O$11,OR($L259=$O$7,$M259=$O$7)),"x","")</f>
        <v/>
      </c>
      <c r="P259" s="51" t="str">
        <f>IF(AND($L259=$O$7,$B259&lt;'111'!$N$11),"x","")</f>
        <v/>
      </c>
      <c r="Q259" s="51" t="str">
        <f>IF(AND($M259=$O$7,$B259&lt;'111'!$N$11),"x","")</f>
        <v/>
      </c>
      <c r="R259" s="51" t="str">
        <f>IF(ISERROR(FIND('112'!$M$9,G259,1)),"",IF((AND(FIND('112'!$M$9,G259,1)&gt;=1,$B259&gt;='112'!$N$8,$B259&lt;='112'!$O$8,OR($L259='112'!$I$6,$M259='112'!$I$6))),"x",""))</f>
        <v/>
      </c>
      <c r="S259" s="51" t="str">
        <f>IF(ISERROR(FIND('112'!$M$9,G259,1)),"",IF((AND(LEFT(G259,2)=LEFT('112'!$M$9,2),B259&lt;'112'!$N$8,$L259='112'!$I$6)),"x",""))</f>
        <v/>
      </c>
      <c r="T259" s="51" t="str">
        <f>IF(ISERROR(FIND('112'!$M$9,G259,1)),"",IF((AND(RIGHT(G259,2)=RIGHT('112'!$M$9,2),B259&lt;'112'!$N$8,$M259='112'!$I$6)),"x",""))</f>
        <v/>
      </c>
      <c r="U259" s="51" t="str">
        <f>IF(AND(L259="154",'154'!$O$5&lt;=B259,'154'!$P$5&gt;=B259),"154",IF(AND(L259="632",'632'!$L$5&lt;=B259,'632'!$M$5&gt;=B259),"632",IF(AND(L259="642",'642'!$N$5&lt;=B259,'642'!$O$5&gt;=B259),"642",IF(AND(L259="641",'641'!$N$5&lt;=B259,'641'!$O$5&gt;=B259),"641",""))))</f>
        <v>642</v>
      </c>
      <c r="V259" s="51" t="str">
        <f>IF(OR(TH!L259=TH!$V$7,M259=TH!$V$7),"x","")</f>
        <v>x</v>
      </c>
      <c r="W259" s="51" t="str">
        <f>IF(AND(B259&gt;='IN-NX'!$P$3,B259&lt;='IN-NX'!$Q$3,'IN-NX'!$D$7=D259,OR(LEFT(L259,2)="15",AND(LEFT(M259,2)&lt;&gt;"15",LEFT(M259,2)&lt;&gt;"33"))),"x","")</f>
        <v/>
      </c>
      <c r="X259" s="51" t="str">
        <f>IF(AND(OR(LEFT(TH!L259,2)="15",LEFT(TH!M259,2)="15"),'152-CT'!$J$8=TH!F259),"x","")</f>
        <v/>
      </c>
      <c r="Y259" s="51" t="str">
        <f>IF(AND(OR(LEFT(TH!L259,2)="15",LEFT(TH!M259,2)="15"),TK!$E$7=TH!F259),"x","")</f>
        <v/>
      </c>
      <c r="Z259" s="51" t="str">
        <f>IF(AND(B259&lt;=NKC!$N$8,B259&gt;=NKC!$M$8),"x","")</f>
        <v/>
      </c>
      <c r="AA259" s="860"/>
      <c r="AC259" s="203"/>
      <c r="AD259" s="203"/>
    </row>
    <row r="260" spans="1:31" s="565" customFormat="1" ht="15.75" customHeight="1">
      <c r="A260" s="804" t="str">
        <f>IF(B260&lt;&gt;"",IF(AND(B260&gt;=_TM1,B260&lt;=_TM2,OR(TH!L260="1111",TH!M260="1111")),TH!D260,""),"")</f>
        <v/>
      </c>
      <c r="B260" s="36">
        <f t="shared" si="13"/>
        <v>5</v>
      </c>
      <c r="C260" s="853">
        <f t="shared" si="14"/>
        <v>42155</v>
      </c>
      <c r="D260" s="853" t="s">
        <v>319</v>
      </c>
      <c r="E260" s="853">
        <v>42155</v>
      </c>
      <c r="F260" s="854" t="s">
        <v>1263</v>
      </c>
      <c r="G260" s="855"/>
      <c r="H260" s="856"/>
      <c r="I260" s="857"/>
      <c r="J260" s="857"/>
      <c r="K260" s="858">
        <v>3000000</v>
      </c>
      <c r="L260" s="859" t="s">
        <v>160</v>
      </c>
      <c r="M260" s="859" t="s">
        <v>252</v>
      </c>
      <c r="N260" s="51" t="str">
        <f>IF(AND('331-CT'!$E$7=TH!H260,OR(L260="331",M260="331")),"331",IF(AND(OR(L260="131",M260="131"),H260='131-CT'!$E$7),"131",""))</f>
        <v/>
      </c>
      <c r="O260" s="51" t="str">
        <f>IF(AND($B260&gt;='111'!$N$11,$B260&lt;='111'!$O$11,OR($L260=$O$7,$M260=$O$7)),"x","")</f>
        <v/>
      </c>
      <c r="P260" s="51" t="str">
        <f>IF(AND($L260=$O$7,$B260&lt;'111'!$N$11),"x","")</f>
        <v/>
      </c>
      <c r="Q260" s="51" t="str">
        <f>IF(AND($M260=$O$7,$B260&lt;'111'!$N$11),"x","")</f>
        <v/>
      </c>
      <c r="R260" s="51" t="str">
        <f>IF(ISERROR(FIND('112'!$M$9,G260,1)),"",IF((AND(FIND('112'!$M$9,G260,1)&gt;=1,$B260&gt;='112'!$N$8,$B260&lt;='112'!$O$8,OR($L260='112'!$I$6,$M260='112'!$I$6))),"x",""))</f>
        <v/>
      </c>
      <c r="S260" s="51" t="str">
        <f>IF(ISERROR(FIND('112'!$M$9,G260,1)),"",IF((AND(LEFT(G260,2)=LEFT('112'!$M$9,2),B260&lt;'112'!$N$8,$L260='112'!$I$6)),"x",""))</f>
        <v/>
      </c>
      <c r="T260" s="51" t="str">
        <f>IF(ISERROR(FIND('112'!$M$9,G260,1)),"",IF((AND(RIGHT(G260,2)=RIGHT('112'!$M$9,2),B260&lt;'112'!$N$8,$M260='112'!$I$6)),"x",""))</f>
        <v/>
      </c>
      <c r="U260" s="51" t="str">
        <f>IF(AND(L260="154",'154'!$O$5&lt;=B260,'154'!$P$5&gt;=B260),"154",IF(AND(L260="632",'632'!$L$5&lt;=B260,'632'!$M$5&gt;=B260),"632",IF(AND(L260="642",'642'!$N$5&lt;=B260,'642'!$O$5&gt;=B260),"642",IF(AND(L260="641",'641'!$N$5&lt;=B260,'641'!$O$5&gt;=B260),"641",""))))</f>
        <v>154</v>
      </c>
      <c r="V260" s="51" t="str">
        <f>IF(OR(TH!L260=TH!$V$7,M260=TH!$V$7),"x","")</f>
        <v/>
      </c>
      <c r="W260" s="51" t="str">
        <f>IF(AND(B260&gt;='IN-NX'!$P$3,B260&lt;='IN-NX'!$Q$3,'IN-NX'!$D$7=D260,OR(LEFT(L260,2)="15",AND(LEFT(M260,2)&lt;&gt;"15",LEFT(M260,2)&lt;&gt;"33"))),"x","")</f>
        <v/>
      </c>
      <c r="X260" s="51" t="str">
        <f>IF(AND(OR(LEFT(TH!L260,2)="15",LEFT(TH!M260,2)="15"),'152-CT'!$J$8=TH!F260),"x","")</f>
        <v/>
      </c>
      <c r="Y260" s="51" t="str">
        <f>IF(AND(OR(LEFT(TH!L260,2)="15",LEFT(TH!M260,2)="15"),TK!$E$7=TH!F260),"x","")</f>
        <v/>
      </c>
      <c r="Z260" s="51" t="str">
        <f>IF(AND(B260&lt;=NKC!$N$8,B260&gt;=NKC!$M$8),"x","")</f>
        <v/>
      </c>
      <c r="AA260" s="860"/>
      <c r="AC260" s="203"/>
      <c r="AD260" s="203"/>
    </row>
    <row r="261" spans="1:31" s="565" customFormat="1" ht="15.75" customHeight="1">
      <c r="A261" s="804" t="str">
        <f>IF(B261&lt;&gt;"",IF(AND(B261&gt;=_TM1,B261&lt;=_TM2,OR(TH!L261="1111",TH!M261="1111")),TH!D261,""),"")</f>
        <v/>
      </c>
      <c r="B261" s="36">
        <f t="shared" si="13"/>
        <v>5</v>
      </c>
      <c r="C261" s="853">
        <f t="shared" si="14"/>
        <v>42155</v>
      </c>
      <c r="D261" s="861" t="s">
        <v>1362</v>
      </c>
      <c r="E261" s="853">
        <v>42155</v>
      </c>
      <c r="F261" s="854" t="s">
        <v>1273</v>
      </c>
      <c r="G261" s="855"/>
      <c r="H261" s="7" t="s">
        <v>437</v>
      </c>
      <c r="I261" s="857"/>
      <c r="J261" s="857"/>
      <c r="K261" s="858">
        <f>K259+K260</f>
        <v>14600000</v>
      </c>
      <c r="L261" s="859" t="s">
        <v>252</v>
      </c>
      <c r="M261" s="859" t="s">
        <v>47</v>
      </c>
      <c r="N261" s="51" t="str">
        <f>IF(AND('331-CT'!$E$7=TH!H261,OR(L261="331",M261="331")),"331",IF(AND(OR(L261="131",M261="131"),H261='131-CT'!$E$7),"131",""))</f>
        <v/>
      </c>
      <c r="O261" s="51" t="str">
        <f>IF(AND($B261&gt;='111'!$N$11,$B261&lt;='111'!$O$11,OR($L261=$O$7,$M261=$O$7)),"x","")</f>
        <v/>
      </c>
      <c r="P261" s="51" t="str">
        <f>IF(AND($L261=$O$7,$B261&lt;'111'!$N$11),"x","")</f>
        <v/>
      </c>
      <c r="Q261" s="51" t="str">
        <f>IF(AND($M261=$O$7,$B261&lt;'111'!$N$11),"x","")</f>
        <v>x</v>
      </c>
      <c r="R261" s="51" t="str">
        <f>IF(ISERROR(FIND('112'!$M$9,G261,1)),"",IF((AND(FIND('112'!$M$9,G261,1)&gt;=1,$B261&gt;='112'!$N$8,$B261&lt;='112'!$O$8,OR($L261='112'!$I$6,$M261='112'!$I$6))),"x",""))</f>
        <v/>
      </c>
      <c r="S261" s="51" t="str">
        <f>IF(ISERROR(FIND('112'!$M$9,G261,1)),"",IF((AND(LEFT(G261,2)=LEFT('112'!$M$9,2),B261&lt;'112'!$N$8,$L261='112'!$I$6)),"x",""))</f>
        <v/>
      </c>
      <c r="T261" s="51" t="str">
        <f>IF(ISERROR(FIND('112'!$M$9,G261,1)),"",IF((AND(RIGHT(G261,2)=RIGHT('112'!$M$9,2),B261&lt;'112'!$N$8,$M261='112'!$I$6)),"x",""))</f>
        <v/>
      </c>
      <c r="U261" s="51" t="str">
        <f>IF(AND(L261="154",'154'!$O$5&lt;=B261,'154'!$P$5&gt;=B261),"154",IF(AND(L261="632",'632'!$L$5&lt;=B261,'632'!$M$5&gt;=B261),"632",IF(AND(L261="642",'642'!$N$5&lt;=B261,'642'!$O$5&gt;=B261),"642",IF(AND(L261="641",'641'!$N$5&lt;=B261,'641'!$O$5&gt;=B261),"641",""))))</f>
        <v/>
      </c>
      <c r="V261" s="51" t="str">
        <f>IF(OR(TH!L261=TH!$V$7,M261=TH!$V$7),"x","")</f>
        <v/>
      </c>
      <c r="W261" s="51" t="str">
        <f>IF(AND(B261&gt;='IN-NX'!$P$3,B261&lt;='IN-NX'!$Q$3,'IN-NX'!$D$7=D261,OR(LEFT(L261,2)="15",AND(LEFT(M261,2)&lt;&gt;"15",LEFT(M261,2)&lt;&gt;"33"))),"x","")</f>
        <v/>
      </c>
      <c r="X261" s="51" t="str">
        <f>IF(AND(OR(LEFT(TH!L261,2)="15",LEFT(TH!M261,2)="15"),'152-CT'!$J$8=TH!F261),"x","")</f>
        <v/>
      </c>
      <c r="Y261" s="51" t="str">
        <f>IF(AND(OR(LEFT(TH!L261,2)="15",LEFT(TH!M261,2)="15"),TK!$E$7=TH!F261),"x","")</f>
        <v/>
      </c>
      <c r="Z261" s="51" t="str">
        <f>IF(AND(B261&lt;=NKC!$N$8,B261&gt;=NKC!$M$8),"x","")</f>
        <v/>
      </c>
      <c r="AA261" s="860"/>
      <c r="AC261" s="203"/>
      <c r="AD261" s="203"/>
    </row>
    <row r="262" spans="1:31" s="565" customFormat="1" ht="15.75" customHeight="1">
      <c r="A262" s="804" t="str">
        <f>IF(B262&lt;&gt;"",IF(AND(B262&gt;=_TM1,B262&lt;=_TM2,OR(TH!L262="1111",TH!M262="1111")),TH!D262,""),"")</f>
        <v/>
      </c>
      <c r="B262" s="36">
        <f t="shared" si="13"/>
        <v>5</v>
      </c>
      <c r="C262" s="189">
        <f t="shared" si="14"/>
        <v>42155</v>
      </c>
      <c r="D262" s="189" t="s">
        <v>1363</v>
      </c>
      <c r="E262" s="189">
        <v>42155</v>
      </c>
      <c r="F262" s="922" t="s">
        <v>526</v>
      </c>
      <c r="G262" s="813" t="s">
        <v>528</v>
      </c>
      <c r="H262" s="191" t="s">
        <v>525</v>
      </c>
      <c r="I262" s="243"/>
      <c r="J262" s="243"/>
      <c r="K262" s="573">
        <f>2109090+54545</f>
        <v>2163635</v>
      </c>
      <c r="L262" s="574" t="s">
        <v>83</v>
      </c>
      <c r="M262" s="574" t="s">
        <v>47</v>
      </c>
      <c r="N262" s="51" t="str">
        <f>IF(AND('331-CT'!$E$7=TH!H262,OR(L262="331",M262="331")),"331",IF(AND(OR(L262="131",M262="131"),H262='131-CT'!$E$7),"131",""))</f>
        <v/>
      </c>
      <c r="O262" s="51" t="str">
        <f>IF(AND($B262&gt;='111'!$N$11,$B262&lt;='111'!$O$11,OR($L262=$O$7,$M262=$O$7)),"x","")</f>
        <v/>
      </c>
      <c r="P262" s="51" t="str">
        <f>IF(AND($L262=$O$7,$B262&lt;'111'!$N$11),"x","")</f>
        <v/>
      </c>
      <c r="Q262" s="51" t="str">
        <f>IF(AND($M262=$O$7,$B262&lt;'111'!$N$11),"x","")</f>
        <v>x</v>
      </c>
      <c r="R262" s="51" t="str">
        <f>IF(ISERROR(FIND('112'!$M$9,G262,1)),"",IF((AND(FIND('112'!$M$9,G262,1)&gt;=1,$B262&gt;='112'!$N$8,$B262&lt;='112'!$O$8,OR($L262='112'!$I$6,$M262='112'!$I$6))),"x",""))</f>
        <v/>
      </c>
      <c r="S262" s="51" t="str">
        <f>IF(ISERROR(FIND('112'!$M$9,G262,1)),"",IF((AND(LEFT(G262,2)=LEFT('112'!$M$9,2),B262&lt;'112'!$N$8,$L262='112'!$I$6)),"x",""))</f>
        <v/>
      </c>
      <c r="T262" s="51" t="str">
        <f>IF(ISERROR(FIND('112'!$M$9,G262,1)),"",IF((AND(RIGHT(G262,2)=RIGHT('112'!$M$9,2),B262&lt;'112'!$N$8,$M262='112'!$I$6)),"x",""))</f>
        <v/>
      </c>
      <c r="U262" s="51" t="str">
        <f>IF(AND(L262="154",'154'!$O$5&lt;=B262,'154'!$P$5&gt;=B262),"154",IF(AND(L262="632",'632'!$L$5&lt;=B262,'632'!$M$5&gt;=B262),"632",IF(AND(L262="642",'642'!$N$5&lt;=B262,'642'!$O$5&gt;=B262),"642",IF(AND(L262="641",'641'!$N$5&lt;=B262,'641'!$O$5&gt;=B262),"641",""))))</f>
        <v>642</v>
      </c>
      <c r="V262" s="51" t="str">
        <f>IF(OR(TH!L262=TH!$V$7,M262=TH!$V$7),"x","")</f>
        <v>x</v>
      </c>
      <c r="W262" s="51" t="str">
        <f>IF(AND(B262&gt;='IN-NX'!$P$3,B262&lt;='IN-NX'!$Q$3,'IN-NX'!$D$7=D262,OR(LEFT(L262,2)="15",AND(LEFT(M262,2)&lt;&gt;"15",LEFT(M262,2)&lt;&gt;"33"))),"x","")</f>
        <v/>
      </c>
      <c r="X262" s="51" t="str">
        <f>IF(AND(OR(LEFT(TH!L262,2)="15",LEFT(TH!M262,2)="15"),'152-CT'!$J$8=TH!F262),"x","")</f>
        <v/>
      </c>
      <c r="Y262" s="51" t="str">
        <f>IF(AND(OR(LEFT(TH!L262,2)="15",LEFT(TH!M262,2)="15"),TK!$E$7=TH!F262),"x","")</f>
        <v/>
      </c>
      <c r="Z262" s="51" t="str">
        <f>IF(AND(B262&lt;=NKC!$N$8,B262&gt;=NKC!$M$8),"x","")</f>
        <v/>
      </c>
      <c r="AA262" s="803"/>
      <c r="AC262" s="203"/>
      <c r="AD262" s="203"/>
      <c r="AE262" s="203"/>
    </row>
    <row r="263" spans="1:31" s="565" customFormat="1" ht="15.75" customHeight="1">
      <c r="A263" s="804" t="str">
        <f>IF(B263&lt;&gt;"",IF(AND(B263&gt;=_TM1,B263&lt;=_TM2,OR(TH!L263="1111",TH!M263="1111")),TH!D263,""),"")</f>
        <v/>
      </c>
      <c r="B263" s="36">
        <f t="shared" si="13"/>
        <v>5</v>
      </c>
      <c r="C263" s="189">
        <f t="shared" si="14"/>
        <v>42155</v>
      </c>
      <c r="D263" s="189" t="s">
        <v>1363</v>
      </c>
      <c r="E263" s="189">
        <v>42155</v>
      </c>
      <c r="F263" s="922" t="s">
        <v>527</v>
      </c>
      <c r="G263" s="813" t="s">
        <v>528</v>
      </c>
      <c r="H263" s="191" t="s">
        <v>525</v>
      </c>
      <c r="I263" s="243"/>
      <c r="J263" s="243"/>
      <c r="K263" s="573">
        <f>210910+5455</f>
        <v>216365</v>
      </c>
      <c r="L263" s="574" t="s">
        <v>9</v>
      </c>
      <c r="M263" s="574" t="s">
        <v>47</v>
      </c>
      <c r="N263" s="51" t="str">
        <f>IF(AND('331-CT'!$E$7=TH!H263,OR(L263="331",M263="331")),"331",IF(AND(OR(L263="131",M263="131"),H263='131-CT'!$E$7),"131",""))</f>
        <v/>
      </c>
      <c r="O263" s="51" t="str">
        <f>IF(AND($B263&gt;='111'!$N$11,$B263&lt;='111'!$O$11,OR($L263=$O$7,$M263=$O$7)),"x","")</f>
        <v/>
      </c>
      <c r="P263" s="51" t="str">
        <f>IF(AND($L263=$O$7,$B263&lt;'111'!$N$11),"x","")</f>
        <v/>
      </c>
      <c r="Q263" s="51" t="str">
        <f>IF(AND($M263=$O$7,$B263&lt;'111'!$N$11),"x","")</f>
        <v>x</v>
      </c>
      <c r="R263" s="51" t="str">
        <f>IF(ISERROR(FIND('112'!$M$9,G263,1)),"",IF((AND(FIND('112'!$M$9,G263,1)&gt;=1,$B263&gt;='112'!$N$8,$B263&lt;='112'!$O$8,OR($L263='112'!$I$6,$M263='112'!$I$6))),"x",""))</f>
        <v/>
      </c>
      <c r="S263" s="51" t="str">
        <f>IF(ISERROR(FIND('112'!$M$9,G263,1)),"",IF((AND(LEFT(G263,2)=LEFT('112'!$M$9,2),B263&lt;'112'!$N$8,$L263='112'!$I$6)),"x",""))</f>
        <v/>
      </c>
      <c r="T263" s="51" t="str">
        <f>IF(ISERROR(FIND('112'!$M$9,G263,1)),"",IF((AND(RIGHT(G263,2)=RIGHT('112'!$M$9,2),B263&lt;'112'!$N$8,$M263='112'!$I$6)),"x",""))</f>
        <v/>
      </c>
      <c r="U263" s="51" t="str">
        <f>IF(AND(L263="154",'154'!$O$5&lt;=B263,'154'!$P$5&gt;=B263),"154",IF(AND(L263="632",'632'!$L$5&lt;=B263,'632'!$M$5&gt;=B263),"632",IF(AND(L263="642",'642'!$N$5&lt;=B263,'642'!$O$5&gt;=B263),"642",IF(AND(L263="641",'641'!$N$5&lt;=B263,'641'!$O$5&gt;=B263),"641",""))))</f>
        <v/>
      </c>
      <c r="V263" s="51" t="str">
        <f>IF(OR(TH!L263=TH!$V$7,M263=TH!$V$7),"x","")</f>
        <v/>
      </c>
      <c r="W263" s="51" t="str">
        <f>IF(AND(B263&gt;='IN-NX'!$P$3,B263&lt;='IN-NX'!$Q$3,'IN-NX'!$D$7=D263,OR(LEFT(L263,2)="15",AND(LEFT(M263,2)&lt;&gt;"15",LEFT(M263,2)&lt;&gt;"33"))),"x","")</f>
        <v/>
      </c>
      <c r="X263" s="51" t="str">
        <f>IF(AND(OR(LEFT(TH!L263,2)="15",LEFT(TH!M263,2)="15"),'152-CT'!$J$8=TH!F263),"x","")</f>
        <v/>
      </c>
      <c r="Y263" s="51" t="str">
        <f>IF(AND(OR(LEFT(TH!L263,2)="15",LEFT(TH!M263,2)="15"),TK!$E$7=TH!F263),"x","")</f>
        <v/>
      </c>
      <c r="Z263" s="51" t="str">
        <f>IF(AND(B263&lt;=NKC!$N$8,B263&gt;=NKC!$M$8),"x","")</f>
        <v/>
      </c>
      <c r="AA263" s="803">
        <v>2</v>
      </c>
      <c r="AC263" s="203"/>
      <c r="AD263" s="203"/>
      <c r="AE263" s="203"/>
    </row>
    <row r="264" spans="1:31" s="565" customFormat="1" ht="15.75" customHeight="1">
      <c r="A264" s="804" t="str">
        <f>IF(B264&lt;&gt;"",IF(AND(B264&gt;=_TM1,B264&lt;=_TM2,OR(TH!L264="1111",TH!M264="1111")),TH!D264,""),"")</f>
        <v/>
      </c>
      <c r="B264" s="36">
        <f t="shared" si="13"/>
        <v>5</v>
      </c>
      <c r="C264" s="189">
        <f t="shared" si="14"/>
        <v>42155</v>
      </c>
      <c r="D264" s="189" t="s">
        <v>1366</v>
      </c>
      <c r="E264" s="189">
        <v>42155</v>
      </c>
      <c r="F264" s="922" t="s">
        <v>490</v>
      </c>
      <c r="G264" s="813" t="s">
        <v>529</v>
      </c>
      <c r="H264" s="191" t="s">
        <v>530</v>
      </c>
      <c r="I264" s="243"/>
      <c r="J264" s="243"/>
      <c r="K264" s="573">
        <v>450000</v>
      </c>
      <c r="L264" s="574" t="s">
        <v>251</v>
      </c>
      <c r="M264" s="574" t="s">
        <v>47</v>
      </c>
      <c r="N264" s="51" t="str">
        <f>IF(AND('331-CT'!$E$7=TH!H264,OR(L264="331",M264="331")),"331",IF(AND(OR(L264="131",M264="131"),H264='131-CT'!$E$7),"131",""))</f>
        <v/>
      </c>
      <c r="O264" s="51" t="str">
        <f>IF(AND($B264&gt;='111'!$N$11,$B264&lt;='111'!$O$11,OR($L264=$O$7,$M264=$O$7)),"x","")</f>
        <v/>
      </c>
      <c r="P264" s="51" t="str">
        <f>IF(AND($L264=$O$7,$B264&lt;'111'!$N$11),"x","")</f>
        <v/>
      </c>
      <c r="Q264" s="51" t="str">
        <f>IF(AND($M264=$O$7,$B264&lt;'111'!$N$11),"x","")</f>
        <v>x</v>
      </c>
      <c r="R264" s="51" t="str">
        <f>IF(ISERROR(FIND('112'!$M$9,G264,1)),"",IF((AND(FIND('112'!$M$9,G264,1)&gt;=1,$B264&gt;='112'!$N$8,$B264&lt;='112'!$O$8,OR($L264='112'!$I$6,$M264='112'!$I$6))),"x",""))</f>
        <v/>
      </c>
      <c r="S264" s="51" t="str">
        <f>IF(ISERROR(FIND('112'!$M$9,G264,1)),"",IF((AND(LEFT(G264,2)=LEFT('112'!$M$9,2),B264&lt;'112'!$N$8,$L264='112'!$I$6)),"x",""))</f>
        <v/>
      </c>
      <c r="T264" s="51" t="str">
        <f>IF(ISERROR(FIND('112'!$M$9,G264,1)),"",IF((AND(RIGHT(G264,2)=RIGHT('112'!$M$9,2),B264&lt;'112'!$N$8,$M264='112'!$I$6)),"x",""))</f>
        <v/>
      </c>
      <c r="U264" s="51" t="str">
        <f>IF(AND(L264="154",'154'!$O$5&lt;=B264,'154'!$P$5&gt;=B264),"154",IF(AND(L264="632",'632'!$L$5&lt;=B264,'632'!$M$5&gt;=B264),"632",IF(AND(L264="642",'642'!$N$5&lt;=B264,'642'!$O$5&gt;=B264),"642",IF(AND(L264="641",'641'!$N$5&lt;=B264,'641'!$O$5&gt;=B264),"641",""))))</f>
        <v/>
      </c>
      <c r="V264" s="51" t="str">
        <f>IF(OR(TH!L264=TH!$V$7,M264=TH!$V$7),"x","")</f>
        <v/>
      </c>
      <c r="W264" s="51" t="str">
        <f>IF(AND(B264&gt;='IN-NX'!$P$3,B264&lt;='IN-NX'!$Q$3,'IN-NX'!$D$7=D264,OR(LEFT(L264,2)="15",AND(LEFT(M264,2)&lt;&gt;"15",LEFT(M264,2)&lt;&gt;"33"))),"x","")</f>
        <v/>
      </c>
      <c r="X264" s="51" t="str">
        <f>IF(AND(OR(LEFT(TH!L264,2)="15",LEFT(TH!M264,2)="15"),'152-CT'!$J$8=TH!F264),"x","")</f>
        <v/>
      </c>
      <c r="Y264" s="51" t="str">
        <f>IF(AND(OR(LEFT(TH!L264,2)="15",LEFT(TH!M264,2)="15"),TK!$E$7=TH!F264),"x","")</f>
        <v/>
      </c>
      <c r="Z264" s="51" t="str">
        <f>IF(AND(B264&lt;=NKC!$N$8,B264&gt;=NKC!$M$8),"x","")</f>
        <v/>
      </c>
      <c r="AA264" s="803"/>
      <c r="AC264" s="203"/>
      <c r="AD264" s="203"/>
      <c r="AE264" s="203"/>
    </row>
    <row r="265" spans="1:31" s="565" customFormat="1" ht="15.75" customHeight="1">
      <c r="A265" s="804" t="str">
        <f>IF(B265&lt;&gt;"",IF(AND(B265&gt;=_TM1,B265&lt;=_TM2,OR(TH!L265="1111",TH!M265="1111")),TH!D265,""),"")</f>
        <v/>
      </c>
      <c r="B265" s="36">
        <f t="shared" si="13"/>
        <v>5</v>
      </c>
      <c r="C265" s="189">
        <f t="shared" si="14"/>
        <v>42155</v>
      </c>
      <c r="D265" s="189" t="s">
        <v>1367</v>
      </c>
      <c r="E265" s="189">
        <v>42155</v>
      </c>
      <c r="F265" s="926" t="s">
        <v>460</v>
      </c>
      <c r="G265" s="813" t="s">
        <v>542</v>
      </c>
      <c r="H265" s="191" t="s">
        <v>492</v>
      </c>
      <c r="I265" s="243"/>
      <c r="J265" s="243"/>
      <c r="K265" s="573">
        <v>909239</v>
      </c>
      <c r="L265" s="574" t="s">
        <v>83</v>
      </c>
      <c r="M265" s="574" t="s">
        <v>47</v>
      </c>
      <c r="N265" s="51" t="str">
        <f>IF(AND('331-CT'!$E$7=TH!H265,OR(L265="331",M265="331")),"331",IF(AND(OR(L265="131",M265="131"),H265='131-CT'!$E$7),"131",""))</f>
        <v/>
      </c>
      <c r="O265" s="51" t="str">
        <f>IF(AND($B265&gt;='111'!$N$11,$B265&lt;='111'!$O$11,OR($L265=$O$7,$M265=$O$7)),"x","")</f>
        <v/>
      </c>
      <c r="P265" s="51" t="str">
        <f>IF(AND($L265=$O$7,$B265&lt;'111'!$N$11),"x","")</f>
        <v/>
      </c>
      <c r="Q265" s="51" t="str">
        <f>IF(AND($M265=$O$7,$B265&lt;'111'!$N$11),"x","")</f>
        <v>x</v>
      </c>
      <c r="R265" s="51" t="str">
        <f>IF(ISERROR(FIND('112'!$M$9,G265,1)),"",IF((AND(FIND('112'!$M$9,G265,1)&gt;=1,$B265&gt;='112'!$N$8,$B265&lt;='112'!$O$8,OR($L265='112'!$I$6,$M265='112'!$I$6))),"x",""))</f>
        <v/>
      </c>
      <c r="S265" s="51" t="str">
        <f>IF(ISERROR(FIND('112'!$M$9,G265,1)),"",IF((AND(LEFT(G265,2)=LEFT('112'!$M$9,2),B265&lt;'112'!$N$8,$L265='112'!$I$6)),"x",""))</f>
        <v/>
      </c>
      <c r="T265" s="51" t="str">
        <f>IF(ISERROR(FIND('112'!$M$9,G265,1)),"",IF((AND(RIGHT(G265,2)=RIGHT('112'!$M$9,2),B265&lt;'112'!$N$8,$M265='112'!$I$6)),"x",""))</f>
        <v/>
      </c>
      <c r="U265" s="51" t="str">
        <f>IF(AND(L265="154",'154'!$O$5&lt;=B265,'154'!$P$5&gt;=B265),"154",IF(AND(L265="632",'632'!$L$5&lt;=B265,'632'!$M$5&gt;=B265),"632",IF(AND(L265="642",'642'!$N$5&lt;=B265,'642'!$O$5&gt;=B265),"642",IF(AND(L265="641",'641'!$N$5&lt;=B265,'641'!$O$5&gt;=B265),"641",""))))</f>
        <v>642</v>
      </c>
      <c r="V265" s="51" t="str">
        <f>IF(OR(TH!L265=TH!$V$7,M265=TH!$V$7),"x","")</f>
        <v>x</v>
      </c>
      <c r="W265" s="51" t="str">
        <f>IF(AND(B265&gt;='IN-NX'!$P$3,B265&lt;='IN-NX'!$Q$3,'IN-NX'!$D$7=D265,OR(LEFT(L265,2)="15",AND(LEFT(M265,2)&lt;&gt;"15",LEFT(M265,2)&lt;&gt;"33"))),"x","")</f>
        <v/>
      </c>
      <c r="X265" s="51" t="str">
        <f>IF(AND(OR(LEFT(TH!L265,2)="15",LEFT(TH!M265,2)="15"),'152-CT'!$J$8=TH!F265),"x","")</f>
        <v/>
      </c>
      <c r="Y265" s="51" t="str">
        <f>IF(AND(OR(LEFT(TH!L265,2)="15",LEFT(TH!M265,2)="15"),TK!$E$7=TH!F265),"x","")</f>
        <v/>
      </c>
      <c r="Z265" s="51" t="str">
        <f>IF(AND(B265&lt;=NKC!$N$8,B265&gt;=NKC!$M$8),"x","")</f>
        <v/>
      </c>
      <c r="AA265" s="803"/>
      <c r="AC265" s="203"/>
      <c r="AD265" s="203"/>
      <c r="AE265" s="203"/>
    </row>
    <row r="266" spans="1:31" s="565" customFormat="1" ht="15.75" customHeight="1">
      <c r="A266" s="804" t="str">
        <f>IF(B266&lt;&gt;"",IF(AND(B266&gt;=_TM1,B266&lt;=_TM2,OR(TH!L266="1111",TH!M266="1111")),TH!D266,""),"")</f>
        <v/>
      </c>
      <c r="B266" s="36">
        <f t="shared" si="13"/>
        <v>5</v>
      </c>
      <c r="C266" s="189">
        <f t="shared" si="14"/>
        <v>42155</v>
      </c>
      <c r="D266" s="189" t="s">
        <v>1367</v>
      </c>
      <c r="E266" s="189">
        <v>42155</v>
      </c>
      <c r="F266" s="922" t="s">
        <v>461</v>
      </c>
      <c r="G266" s="813" t="s">
        <v>542</v>
      </c>
      <c r="H266" s="191" t="s">
        <v>492</v>
      </c>
      <c r="I266" s="243"/>
      <c r="J266" s="243"/>
      <c r="K266" s="573">
        <v>90924</v>
      </c>
      <c r="L266" s="574" t="s">
        <v>9</v>
      </c>
      <c r="M266" s="574" t="s">
        <v>47</v>
      </c>
      <c r="N266" s="51" t="str">
        <f>IF(AND('331-CT'!$E$7=TH!H266,OR(L266="331",M266="331")),"331",IF(AND(OR(L266="131",M266="131"),H266='131-CT'!$E$7),"131",""))</f>
        <v/>
      </c>
      <c r="O266" s="51" t="str">
        <f>IF(AND($B266&gt;='111'!$N$11,$B266&lt;='111'!$O$11,OR($L266=$O$7,$M266=$O$7)),"x","")</f>
        <v/>
      </c>
      <c r="P266" s="51" t="str">
        <f>IF(AND($L266=$O$7,$B266&lt;'111'!$N$11),"x","")</f>
        <v/>
      </c>
      <c r="Q266" s="51" t="str">
        <f>IF(AND($M266=$O$7,$B266&lt;'111'!$N$11),"x","")</f>
        <v>x</v>
      </c>
      <c r="R266" s="51" t="str">
        <f>IF(ISERROR(FIND('112'!$M$9,G266,1)),"",IF((AND(FIND('112'!$M$9,G266,1)&gt;=1,$B266&gt;='112'!$N$8,$B266&lt;='112'!$O$8,OR($L266='112'!$I$6,$M266='112'!$I$6))),"x",""))</f>
        <v/>
      </c>
      <c r="S266" s="51" t="str">
        <f>IF(ISERROR(FIND('112'!$M$9,G266,1)),"",IF((AND(LEFT(G266,2)=LEFT('112'!$M$9,2),B266&lt;'112'!$N$8,$L266='112'!$I$6)),"x",""))</f>
        <v/>
      </c>
      <c r="T266" s="51" t="str">
        <f>IF(ISERROR(FIND('112'!$M$9,G266,1)),"",IF((AND(RIGHT(G266,2)=RIGHT('112'!$M$9,2),B266&lt;'112'!$N$8,$M266='112'!$I$6)),"x",""))</f>
        <v/>
      </c>
      <c r="U266" s="51" t="str">
        <f>IF(AND(L266="154",'154'!$O$5&lt;=B266,'154'!$P$5&gt;=B266),"154",IF(AND(L266="632",'632'!$L$5&lt;=B266,'632'!$M$5&gt;=B266),"632",IF(AND(L266="642",'642'!$N$5&lt;=B266,'642'!$O$5&gt;=B266),"642",IF(AND(L266="641",'641'!$N$5&lt;=B266,'641'!$O$5&gt;=B266),"641",""))))</f>
        <v/>
      </c>
      <c r="V266" s="51" t="str">
        <f>IF(OR(TH!L266=TH!$V$7,M266=TH!$V$7),"x","")</f>
        <v/>
      </c>
      <c r="W266" s="51" t="str">
        <f>IF(AND(B266&gt;='IN-NX'!$P$3,B266&lt;='IN-NX'!$Q$3,'IN-NX'!$D$7=D266,OR(LEFT(L266,2)="15",AND(LEFT(M266,2)&lt;&gt;"15",LEFT(M266,2)&lt;&gt;"33"))),"x","")</f>
        <v/>
      </c>
      <c r="X266" s="51" t="str">
        <f>IF(AND(OR(LEFT(TH!L266,2)="15",LEFT(TH!M266,2)="15"),'152-CT'!$J$8=TH!F266),"x","")</f>
        <v/>
      </c>
      <c r="Y266" s="51" t="str">
        <f>IF(AND(OR(LEFT(TH!L266,2)="15",LEFT(TH!M266,2)="15"),TK!$E$7=TH!F266),"x","")</f>
        <v/>
      </c>
      <c r="Z266" s="51" t="str">
        <f>IF(AND(B266&lt;=NKC!$N$8,B266&gt;=NKC!$M$8),"x","")</f>
        <v/>
      </c>
      <c r="AA266" s="803">
        <v>2</v>
      </c>
      <c r="AC266" s="203"/>
      <c r="AD266" s="203"/>
      <c r="AE266" s="203"/>
    </row>
    <row r="267" spans="1:31" s="565" customFormat="1" ht="15.75" customHeight="1">
      <c r="A267" s="804" t="str">
        <f>IF(B267&lt;&gt;"",IF(AND(B267&gt;=_TM1,B267&lt;=_TM2,OR(TH!L267="1111",TH!M267="1111")),TH!D267,""),"")</f>
        <v/>
      </c>
      <c r="B267" s="661">
        <f t="shared" si="13"/>
        <v>5</v>
      </c>
      <c r="C267" s="830">
        <f t="shared" si="14"/>
        <v>42155</v>
      </c>
      <c r="D267" s="189" t="s">
        <v>1373</v>
      </c>
      <c r="E267" s="830">
        <v>42155</v>
      </c>
      <c r="F267" s="836" t="s">
        <v>1463</v>
      </c>
      <c r="G267" s="849"/>
      <c r="H267" s="914" t="s">
        <v>428</v>
      </c>
      <c r="I267" s="241"/>
      <c r="J267" s="241"/>
      <c r="K267" s="834">
        <v>5000000</v>
      </c>
      <c r="L267" s="851" t="s">
        <v>83</v>
      </c>
      <c r="M267" s="851" t="s">
        <v>47</v>
      </c>
      <c r="N267" s="51" t="str">
        <f>IF(AND('331-CT'!$E$7=TH!H267,OR(L267="331",M267="331")),"331",IF(AND(OR(L267="131",M267="131"),H267='131-CT'!$E$7),"131",""))</f>
        <v/>
      </c>
      <c r="O267" s="51" t="str">
        <f>IF(AND($B267&gt;='111'!$N$11,$B267&lt;='111'!$O$11,OR($L267=$O$7,$M267=$O$7)),"x","")</f>
        <v/>
      </c>
      <c r="P267" s="51" t="str">
        <f>IF(AND($L267=$O$7,$B267&lt;'111'!$N$11),"x","")</f>
        <v/>
      </c>
      <c r="Q267" s="51" t="str">
        <f>IF(AND($M267=$O$7,$B267&lt;'111'!$N$11),"x","")</f>
        <v>x</v>
      </c>
      <c r="R267" s="51" t="str">
        <f>IF(ISERROR(FIND('112'!$M$9,G267,1)),"",IF((AND(FIND('112'!$M$9,G267,1)&gt;=1,$B267&gt;='112'!$N$8,$B267&lt;='112'!$O$8,OR($L267='112'!$I$6,$M267='112'!$I$6))),"x",""))</f>
        <v/>
      </c>
      <c r="S267" s="51" t="str">
        <f>IF(ISERROR(FIND('112'!$M$9,G267,1)),"",IF((AND(LEFT(G267,2)=LEFT('112'!$M$9,2),B267&lt;'112'!$N$8,$L267='112'!$I$6)),"x",""))</f>
        <v/>
      </c>
      <c r="T267" s="51" t="str">
        <f>IF(ISERROR(FIND('112'!$M$9,G267,1)),"",IF((AND(RIGHT(G267,2)=RIGHT('112'!$M$9,2),B267&lt;'112'!$N$8,$M267='112'!$I$6)),"x",""))</f>
        <v/>
      </c>
      <c r="U267" s="51" t="str">
        <f>IF(AND(L267="154",'154'!$O$5&lt;=B267,'154'!$P$5&gt;=B267),"154",IF(AND(L267="632",'632'!$L$5&lt;=B267,'632'!$M$5&gt;=B267),"632",IF(AND(L267="642",'642'!$N$5&lt;=B267,'642'!$O$5&gt;=B267),"642",IF(AND(L267="641",'641'!$N$5&lt;=B267,'641'!$O$5&gt;=B267),"641",""))))</f>
        <v>642</v>
      </c>
      <c r="V267" s="51" t="str">
        <f>IF(OR(TH!L267=TH!$V$7,M267=TH!$V$7),"x","")</f>
        <v>x</v>
      </c>
      <c r="W267" s="51" t="str">
        <f>IF(AND(B267&gt;='IN-NX'!$P$3,B267&lt;='IN-NX'!$Q$3,'IN-NX'!$D$7=D267,OR(LEFT(L267,2)="15",AND(LEFT(M267,2)&lt;&gt;"15",LEFT(M267,2)&lt;&gt;"33"))),"x","")</f>
        <v/>
      </c>
      <c r="X267" s="51" t="str">
        <f>IF(AND(OR(LEFT(TH!L267,2)="15",LEFT(TH!M267,2)="15"),'152-CT'!$J$8=TH!F267),"x","")</f>
        <v/>
      </c>
      <c r="Y267" s="51" t="str">
        <f>IF(AND(OR(LEFT(TH!L267,2)="15",LEFT(TH!M267,2)="15"),TK!$E$7=TH!F267),"x","")</f>
        <v/>
      </c>
      <c r="Z267" s="51" t="str">
        <f>IF(AND(B267&lt;=NKC!$N$8,B267&gt;=NKC!$M$8),"x","")</f>
        <v/>
      </c>
      <c r="AA267" s="915"/>
      <c r="AB267" s="662"/>
      <c r="AC267" s="916"/>
      <c r="AD267" s="916"/>
    </row>
    <row r="268" spans="1:31" s="565" customFormat="1" ht="15.75" customHeight="1">
      <c r="A268" s="804" t="str">
        <f>IF(B268&lt;&gt;"",IF(AND(B268&gt;=_TM1,B268&lt;=_TM2,OR(TH!L268="1111",TH!M268="1111")),TH!D268,""),"")</f>
        <v/>
      </c>
      <c r="B268" s="36">
        <f t="shared" si="13"/>
        <v>6</v>
      </c>
      <c r="C268" s="189">
        <f t="shared" si="14"/>
        <v>42156</v>
      </c>
      <c r="D268" s="189" t="s">
        <v>1374</v>
      </c>
      <c r="E268" s="189">
        <v>42156</v>
      </c>
      <c r="F268" s="922" t="s">
        <v>526</v>
      </c>
      <c r="G268" s="813" t="s">
        <v>554</v>
      </c>
      <c r="H268" s="191" t="s">
        <v>525</v>
      </c>
      <c r="I268" s="243"/>
      <c r="J268" s="243"/>
      <c r="K268" s="573">
        <f>163636+2718182</f>
        <v>2881818</v>
      </c>
      <c r="L268" s="574" t="s">
        <v>83</v>
      </c>
      <c r="M268" s="574" t="s">
        <v>47</v>
      </c>
      <c r="N268" s="51" t="str">
        <f>IF(AND('331-CT'!$E$7=TH!H268,OR(L268="331",M268="331")),"331",IF(AND(OR(L268="131",M268="131"),H268='131-CT'!$E$7),"131",""))</f>
        <v/>
      </c>
      <c r="O268" s="51" t="str">
        <f>IF(AND($B268&gt;='111'!$N$11,$B268&lt;='111'!$O$11,OR($L268=$O$7,$M268=$O$7)),"x","")</f>
        <v/>
      </c>
      <c r="P268" s="51" t="str">
        <f>IF(AND($L268=$O$7,$B268&lt;'111'!$N$11),"x","")</f>
        <v/>
      </c>
      <c r="Q268" s="51" t="str">
        <f>IF(AND($M268=$O$7,$B268&lt;'111'!$N$11),"x","")</f>
        <v>x</v>
      </c>
      <c r="R268" s="51" t="str">
        <f>IF(ISERROR(FIND('112'!$M$9,G268,1)),"",IF((AND(FIND('112'!$M$9,G268,1)&gt;=1,$B268&gt;='112'!$N$8,$B268&lt;='112'!$O$8,OR($L268='112'!$I$6,$M268='112'!$I$6))),"x",""))</f>
        <v/>
      </c>
      <c r="S268" s="51" t="str">
        <f>IF(ISERROR(FIND('112'!$M$9,G268,1)),"",IF((AND(LEFT(G268,2)=LEFT('112'!$M$9,2),B268&lt;'112'!$N$8,$L268='112'!$I$6)),"x",""))</f>
        <v/>
      </c>
      <c r="T268" s="51" t="str">
        <f>IF(ISERROR(FIND('112'!$M$9,G268,1)),"",IF((AND(RIGHT(G268,2)=RIGHT('112'!$M$9,2),B268&lt;'112'!$N$8,$M268='112'!$I$6)),"x",""))</f>
        <v/>
      </c>
      <c r="U268" s="51" t="str">
        <f>IF(AND(L268="154",'154'!$O$5&lt;=B268,'154'!$P$5&gt;=B268),"154",IF(AND(L268="632",'632'!$L$5&lt;=B268,'632'!$M$5&gt;=B268),"632",IF(AND(L268="642",'642'!$N$5&lt;=B268,'642'!$O$5&gt;=B268),"642",IF(AND(L268="641",'641'!$N$5&lt;=B268,'641'!$O$5&gt;=B268),"641",""))))</f>
        <v>642</v>
      </c>
      <c r="V268" s="51" t="str">
        <f>IF(OR(TH!L268=TH!$V$7,M268=TH!$V$7),"x","")</f>
        <v>x</v>
      </c>
      <c r="W268" s="51" t="str">
        <f>IF(AND(B268&gt;='IN-NX'!$P$3,B268&lt;='IN-NX'!$Q$3,'IN-NX'!$D$7=D268,OR(LEFT(L268,2)="15",AND(LEFT(M268,2)&lt;&gt;"15",LEFT(M268,2)&lt;&gt;"33"))),"x","")</f>
        <v/>
      </c>
      <c r="X268" s="51" t="str">
        <f>IF(AND(OR(LEFT(TH!L268,2)="15",LEFT(TH!M268,2)="15"),'152-CT'!$J$8=TH!F268),"x","")</f>
        <v/>
      </c>
      <c r="Y268" s="51" t="str">
        <f>IF(AND(OR(LEFT(TH!L268,2)="15",LEFT(TH!M268,2)="15"),TK!$E$7=TH!F268),"x","")</f>
        <v/>
      </c>
      <c r="Z268" s="51" t="str">
        <f>IF(AND(B268&lt;=NKC!$N$8,B268&gt;=NKC!$M$8),"x","")</f>
        <v/>
      </c>
      <c r="AA268" s="803"/>
      <c r="AC268" s="203"/>
      <c r="AD268" s="203"/>
      <c r="AE268" s="203"/>
    </row>
    <row r="269" spans="1:31" s="565" customFormat="1" ht="15.75" customHeight="1">
      <c r="A269" s="804" t="str">
        <f>IF(B269&lt;&gt;"",IF(AND(B269&gt;=_TM1,B269&lt;=_TM2,OR(TH!L269="1111",TH!M269="1111")),TH!D269,""),"")</f>
        <v/>
      </c>
      <c r="B269" s="36">
        <f t="shared" si="13"/>
        <v>6</v>
      </c>
      <c r="C269" s="189">
        <f t="shared" si="14"/>
        <v>42156</v>
      </c>
      <c r="D269" s="189" t="s">
        <v>1374</v>
      </c>
      <c r="E269" s="189">
        <v>42156</v>
      </c>
      <c r="F269" s="922" t="s">
        <v>527</v>
      </c>
      <c r="G269" s="813" t="s">
        <v>554</v>
      </c>
      <c r="H269" s="191" t="s">
        <v>525</v>
      </c>
      <c r="I269" s="243"/>
      <c r="J269" s="243"/>
      <c r="K269" s="573">
        <f>16364+271818</f>
        <v>288182</v>
      </c>
      <c r="L269" s="574" t="s">
        <v>9</v>
      </c>
      <c r="M269" s="574" t="s">
        <v>47</v>
      </c>
      <c r="N269" s="51" t="str">
        <f>IF(AND('331-CT'!$E$7=TH!H269,OR(L269="331",M269="331")),"331",IF(AND(OR(L269="131",M269="131"),H269='131-CT'!$E$7),"131",""))</f>
        <v/>
      </c>
      <c r="O269" s="51" t="str">
        <f>IF(AND($B269&gt;='111'!$N$11,$B269&lt;='111'!$O$11,OR($L269=$O$7,$M269=$O$7)),"x","")</f>
        <v/>
      </c>
      <c r="P269" s="51" t="str">
        <f>IF(AND($L269=$O$7,$B269&lt;'111'!$N$11),"x","")</f>
        <v/>
      </c>
      <c r="Q269" s="51" t="str">
        <f>IF(AND($M269=$O$7,$B269&lt;'111'!$N$11),"x","")</f>
        <v>x</v>
      </c>
      <c r="R269" s="51" t="str">
        <f>IF(ISERROR(FIND('112'!$M$9,G269,1)),"",IF((AND(FIND('112'!$M$9,G269,1)&gt;=1,$B269&gt;='112'!$N$8,$B269&lt;='112'!$O$8,OR($L269='112'!$I$6,$M269='112'!$I$6))),"x",""))</f>
        <v/>
      </c>
      <c r="S269" s="51" t="str">
        <f>IF(ISERROR(FIND('112'!$M$9,G269,1)),"",IF((AND(LEFT(G269,2)=LEFT('112'!$M$9,2),B269&lt;'112'!$N$8,$L269='112'!$I$6)),"x",""))</f>
        <v/>
      </c>
      <c r="T269" s="51" t="str">
        <f>IF(ISERROR(FIND('112'!$M$9,G269,1)),"",IF((AND(RIGHT(G269,2)=RIGHT('112'!$M$9,2),B269&lt;'112'!$N$8,$M269='112'!$I$6)),"x",""))</f>
        <v/>
      </c>
      <c r="U269" s="51" t="str">
        <f>IF(AND(L269="154",'154'!$O$5&lt;=B269,'154'!$P$5&gt;=B269),"154",IF(AND(L269="632",'632'!$L$5&lt;=B269,'632'!$M$5&gt;=B269),"632",IF(AND(L269="642",'642'!$N$5&lt;=B269,'642'!$O$5&gt;=B269),"642",IF(AND(L269="641",'641'!$N$5&lt;=B269,'641'!$O$5&gt;=B269),"641",""))))</f>
        <v/>
      </c>
      <c r="V269" s="51" t="str">
        <f>IF(OR(TH!L269=TH!$V$7,M269=TH!$V$7),"x","")</f>
        <v/>
      </c>
      <c r="W269" s="51" t="str">
        <f>IF(AND(B269&gt;='IN-NX'!$P$3,B269&lt;='IN-NX'!$Q$3,'IN-NX'!$D$7=D269,OR(LEFT(L269,2)="15",AND(LEFT(M269,2)&lt;&gt;"15",LEFT(M269,2)&lt;&gt;"33"))),"x","")</f>
        <v/>
      </c>
      <c r="X269" s="51" t="str">
        <f>IF(AND(OR(LEFT(TH!L269,2)="15",LEFT(TH!M269,2)="15"),'152-CT'!$J$8=TH!F269),"x","")</f>
        <v/>
      </c>
      <c r="Y269" s="51" t="str">
        <f>IF(AND(OR(LEFT(TH!L269,2)="15",LEFT(TH!M269,2)="15"),TK!$E$7=TH!F269),"x","")</f>
        <v/>
      </c>
      <c r="Z269" s="51" t="str">
        <f>IF(AND(B269&lt;=NKC!$N$8,B269&gt;=NKC!$M$8),"x","")</f>
        <v/>
      </c>
      <c r="AA269" s="803">
        <v>2</v>
      </c>
      <c r="AC269" s="203"/>
      <c r="AD269" s="203"/>
      <c r="AE269" s="203"/>
    </row>
    <row r="270" spans="1:31" s="565" customFormat="1" ht="15.75" customHeight="1">
      <c r="A270" s="804" t="str">
        <f>IF(B270&lt;&gt;"",IF(AND(B270&gt;=_TM1,B270&lt;=_TM2,OR(TH!L270="1111",TH!M270="1111")),TH!D270,""),"")</f>
        <v/>
      </c>
      <c r="B270" s="36">
        <f t="shared" si="13"/>
        <v>6</v>
      </c>
      <c r="C270" s="189">
        <f t="shared" si="14"/>
        <v>42158</v>
      </c>
      <c r="D270" s="189" t="s">
        <v>1379</v>
      </c>
      <c r="E270" s="182">
        <v>42158</v>
      </c>
      <c r="F270" s="187" t="s">
        <v>433</v>
      </c>
      <c r="G270" s="811" t="s">
        <v>415</v>
      </c>
      <c r="H270" s="7" t="s">
        <v>436</v>
      </c>
      <c r="I270" s="243"/>
      <c r="J270" s="243"/>
      <c r="K270" s="38">
        <v>200000000</v>
      </c>
      <c r="L270" s="192" t="s">
        <v>24</v>
      </c>
      <c r="M270" s="192" t="s">
        <v>47</v>
      </c>
      <c r="N270" s="51" t="str">
        <f>IF(AND('331-CT'!$E$7=TH!H270,OR(L270="331",M270="331")),"331",IF(AND(OR(L270="131",M270="131"),H270='131-CT'!$E$7),"131",""))</f>
        <v/>
      </c>
      <c r="O270" s="51" t="str">
        <f>IF(AND($B270&gt;='111'!$N$11,$B270&lt;='111'!$O$11,OR($L270=$O$7,$M270=$O$7)),"x","")</f>
        <v/>
      </c>
      <c r="P270" s="51" t="str">
        <f>IF(AND($L270=$O$7,$B270&lt;'111'!$N$11),"x","")</f>
        <v/>
      </c>
      <c r="Q270" s="51" t="str">
        <f>IF(AND($M270=$O$7,$B270&lt;'111'!$N$11),"x","")</f>
        <v>x</v>
      </c>
      <c r="R270" s="51" t="str">
        <f>IF(ISERROR(FIND('112'!$M$9,G270,1)),"",IF((AND(FIND('112'!$M$9,G270,1)&gt;=1,$B270&gt;='112'!$N$8,$B270&lt;='112'!$O$8,OR($L270='112'!$I$6,$M270='112'!$I$6))),"x",""))</f>
        <v/>
      </c>
      <c r="S270" s="51" t="str">
        <f>IF(ISERROR(FIND('112'!$M$9,G270,1)),"",IF((AND(LEFT(G270,2)=LEFT('112'!$M$9,2),B270&lt;'112'!$N$8,$L270='112'!$I$6)),"x",""))</f>
        <v/>
      </c>
      <c r="T270" s="51" t="str">
        <f>IF(ISERROR(FIND('112'!$M$9,G270,1)),"",IF((AND(RIGHT(G270,2)=RIGHT('112'!$M$9,2),B270&lt;'112'!$N$8,$M270='112'!$I$6)),"x",""))</f>
        <v/>
      </c>
      <c r="U270" s="51" t="str">
        <f>IF(AND(L270="154",'154'!$O$5&lt;=B270,'154'!$P$5&gt;=B270),"154",IF(AND(L270="632",'632'!$L$5&lt;=B270,'632'!$M$5&gt;=B270),"632",IF(AND(L270="642",'642'!$N$5&lt;=B270,'642'!$O$5&gt;=B270),"642",IF(AND(L270="641",'641'!$N$5&lt;=B270,'641'!$O$5&gt;=B270),"641",""))))</f>
        <v/>
      </c>
      <c r="V270" s="51" t="str">
        <f>IF(OR(TH!L270=TH!$V$7,M270=TH!$V$7),"x","")</f>
        <v/>
      </c>
      <c r="W270" s="51" t="str">
        <f>IF(AND(B270&gt;='IN-NX'!$P$3,B270&lt;='IN-NX'!$Q$3,'IN-NX'!$D$7=D270,OR(LEFT(L270,2)="15",AND(LEFT(M270,2)&lt;&gt;"15",LEFT(M270,2)&lt;&gt;"33"))),"x","")</f>
        <v/>
      </c>
      <c r="X270" s="51" t="str">
        <f>IF(AND(OR(LEFT(TH!L270,2)="15",LEFT(TH!M270,2)="15"),'152-CT'!$J$8=TH!F270),"x","")</f>
        <v/>
      </c>
      <c r="Y270" s="51" t="str">
        <f>IF(AND(OR(LEFT(TH!L270,2)="15",LEFT(TH!M270,2)="15"),TK!$E$7=TH!F270),"x","")</f>
        <v/>
      </c>
      <c r="Z270" s="51" t="str">
        <f>IF(AND(B270&lt;=NKC!$N$8,B270&gt;=NKC!$M$8),"x","")</f>
        <v/>
      </c>
      <c r="AA270" s="803"/>
      <c r="AC270" s="203"/>
      <c r="AD270" s="203"/>
      <c r="AE270" s="203"/>
    </row>
    <row r="271" spans="1:31" ht="15.75" customHeight="1">
      <c r="A271" s="804" t="str">
        <f>IF(B271&lt;&gt;"",IF(AND(B271&gt;=_TM1,B271&lt;=_TM2,OR(TH!L271="1111",TH!M271="1111")),TH!D271,""),"")</f>
        <v/>
      </c>
      <c r="B271" s="36">
        <f t="shared" si="13"/>
        <v>6</v>
      </c>
      <c r="C271" s="189">
        <f t="shared" si="14"/>
        <v>42158</v>
      </c>
      <c r="D271" s="189" t="s">
        <v>1380</v>
      </c>
      <c r="E271" s="189">
        <v>42158</v>
      </c>
      <c r="F271" s="926" t="s">
        <v>490</v>
      </c>
      <c r="G271" s="813" t="s">
        <v>557</v>
      </c>
      <c r="H271" s="191" t="s">
        <v>540</v>
      </c>
      <c r="I271" s="243"/>
      <c r="J271" s="243"/>
      <c r="K271" s="573">
        <v>2027000</v>
      </c>
      <c r="L271" s="574" t="s">
        <v>251</v>
      </c>
      <c r="M271" s="574" t="s">
        <v>47</v>
      </c>
      <c r="N271" s="51" t="str">
        <f>IF(AND('331-CT'!$E$7=TH!H271,OR(L271="331",M271="331")),"331",IF(AND(OR(L271="131",M271="131"),H271='131-CT'!$E$7),"131",""))</f>
        <v/>
      </c>
      <c r="O271" s="51" t="str">
        <f>IF(AND($B271&gt;='111'!$N$11,$B271&lt;='111'!$O$11,OR($L271=$O$7,$M271=$O$7)),"x","")</f>
        <v/>
      </c>
      <c r="P271" s="51" t="str">
        <f>IF(AND($L271=$O$7,$B271&lt;'111'!$N$11),"x","")</f>
        <v/>
      </c>
      <c r="Q271" s="51" t="str">
        <f>IF(AND($M271=$O$7,$B271&lt;'111'!$N$11),"x","")</f>
        <v>x</v>
      </c>
      <c r="R271" s="51" t="str">
        <f>IF(ISERROR(FIND('112'!$M$9,G271,1)),"",IF((AND(FIND('112'!$M$9,G271,1)&gt;=1,$B271&gt;='112'!$N$8,$B271&lt;='112'!$O$8,OR($L271='112'!$I$6,$M271='112'!$I$6))),"x",""))</f>
        <v/>
      </c>
      <c r="S271" s="51" t="str">
        <f>IF(ISERROR(FIND('112'!$M$9,G271,1)),"",IF((AND(LEFT(G271,2)=LEFT('112'!$M$9,2),B271&lt;'112'!$N$8,$L271='112'!$I$6)),"x",""))</f>
        <v/>
      </c>
      <c r="T271" s="51" t="str">
        <f>IF(ISERROR(FIND('112'!$M$9,G271,1)),"",IF((AND(RIGHT(G271,2)=RIGHT('112'!$M$9,2),B271&lt;'112'!$N$8,$M271='112'!$I$6)),"x",""))</f>
        <v/>
      </c>
      <c r="U271" s="51" t="str">
        <f>IF(AND(L271="154",'154'!$O$5&lt;=B271,'154'!$P$5&gt;=B271),"154",IF(AND(L271="632",'632'!$L$5&lt;=B271,'632'!$M$5&gt;=B271),"632",IF(AND(L271="642",'642'!$N$5&lt;=B271,'642'!$O$5&gt;=B271),"642",IF(AND(L271="641",'641'!$N$5&lt;=B271,'641'!$O$5&gt;=B271),"641",""))))</f>
        <v/>
      </c>
      <c r="V271" s="51" t="str">
        <f>IF(OR(TH!L271=TH!$V$7,M271=TH!$V$7),"x","")</f>
        <v/>
      </c>
      <c r="W271" s="51" t="str">
        <f>IF(AND(B271&gt;='IN-NX'!$P$3,B271&lt;='IN-NX'!$Q$3,'IN-NX'!$D$7=D271,OR(LEFT(L271,2)="15",AND(LEFT(M271,2)&lt;&gt;"15",LEFT(M271,2)&lt;&gt;"33"))),"x","")</f>
        <v/>
      </c>
      <c r="X271" s="51" t="str">
        <f>IF(AND(OR(LEFT(TH!L271,2)="15",LEFT(TH!M271,2)="15"),'152-CT'!$J$8=TH!F271),"x","")</f>
        <v/>
      </c>
      <c r="Y271" s="51" t="str">
        <f>IF(AND(OR(LEFT(TH!L271,2)="15",LEFT(TH!M271,2)="15"),TK!$E$7=TH!F271),"x","")</f>
        <v/>
      </c>
      <c r="Z271" s="51" t="str">
        <f>IF(AND(B271&lt;=NKC!$N$8,B271&gt;=NKC!$M$8),"x","")</f>
        <v/>
      </c>
      <c r="AA271" s="803"/>
      <c r="AB271" s="565"/>
    </row>
    <row r="272" spans="1:31" ht="15.75" customHeight="1">
      <c r="A272" s="804" t="str">
        <f>IF(B272&lt;&gt;"",IF(AND(B272&gt;=_TM1,B272&lt;=_TM2,OR(TH!L272="1111",TH!M272="1111")),TH!D272,""),"")</f>
        <v/>
      </c>
      <c r="B272" s="36">
        <f t="shared" si="13"/>
        <v>6</v>
      </c>
      <c r="C272" s="189">
        <f t="shared" si="14"/>
        <v>42158</v>
      </c>
      <c r="D272" s="189" t="s">
        <v>1380</v>
      </c>
      <c r="E272" s="189">
        <v>42158</v>
      </c>
      <c r="F272" s="926" t="s">
        <v>491</v>
      </c>
      <c r="G272" s="813" t="s">
        <v>557</v>
      </c>
      <c r="H272" s="191" t="s">
        <v>540</v>
      </c>
      <c r="I272" s="243"/>
      <c r="J272" s="243"/>
      <c r="K272" s="573">
        <v>202700</v>
      </c>
      <c r="L272" s="574" t="s">
        <v>9</v>
      </c>
      <c r="M272" s="574" t="s">
        <v>47</v>
      </c>
      <c r="N272" s="51" t="str">
        <f>IF(AND('331-CT'!$E$7=TH!H272,OR(L272="331",M272="331")),"331",IF(AND(OR(L272="131",M272="131"),H272='131-CT'!$E$7),"131",""))</f>
        <v/>
      </c>
      <c r="O272" s="51" t="str">
        <f>IF(AND($B272&gt;='111'!$N$11,$B272&lt;='111'!$O$11,OR($L272=$O$7,$M272=$O$7)),"x","")</f>
        <v/>
      </c>
      <c r="P272" s="51" t="str">
        <f>IF(AND($L272=$O$7,$B272&lt;'111'!$N$11),"x","")</f>
        <v/>
      </c>
      <c r="Q272" s="51" t="str">
        <f>IF(AND($M272=$O$7,$B272&lt;'111'!$N$11),"x","")</f>
        <v>x</v>
      </c>
      <c r="R272" s="51" t="str">
        <f>IF(ISERROR(FIND('112'!$M$9,G272,1)),"",IF((AND(FIND('112'!$M$9,G272,1)&gt;=1,$B272&gt;='112'!$N$8,$B272&lt;='112'!$O$8,OR($L272='112'!$I$6,$M272='112'!$I$6))),"x",""))</f>
        <v/>
      </c>
      <c r="S272" s="51" t="str">
        <f>IF(ISERROR(FIND('112'!$M$9,G272,1)),"",IF((AND(LEFT(G272,2)=LEFT('112'!$M$9,2),B272&lt;'112'!$N$8,$L272='112'!$I$6)),"x",""))</f>
        <v/>
      </c>
      <c r="T272" s="51" t="str">
        <f>IF(ISERROR(FIND('112'!$M$9,G272,1)),"",IF((AND(RIGHT(G272,2)=RIGHT('112'!$M$9,2),B272&lt;'112'!$N$8,$M272='112'!$I$6)),"x",""))</f>
        <v/>
      </c>
      <c r="U272" s="51" t="str">
        <f>IF(AND(L272="154",'154'!$O$5&lt;=B272,'154'!$P$5&gt;=B272),"154",IF(AND(L272="632",'632'!$L$5&lt;=B272,'632'!$M$5&gt;=B272),"632",IF(AND(L272="642",'642'!$N$5&lt;=B272,'642'!$O$5&gt;=B272),"642",IF(AND(L272="641",'641'!$N$5&lt;=B272,'641'!$O$5&gt;=B272),"641",""))))</f>
        <v/>
      </c>
      <c r="V272" s="51" t="str">
        <f>IF(OR(TH!L272=TH!$V$7,M272=TH!$V$7),"x","")</f>
        <v/>
      </c>
      <c r="W272" s="51" t="str">
        <f>IF(AND(B272&gt;='IN-NX'!$P$3,B272&lt;='IN-NX'!$Q$3,'IN-NX'!$D$7=D272,OR(LEFT(L272,2)="15",AND(LEFT(M272,2)&lt;&gt;"15",LEFT(M272,2)&lt;&gt;"33"))),"x","")</f>
        <v/>
      </c>
      <c r="X272" s="51" t="str">
        <f>IF(AND(OR(LEFT(TH!L272,2)="15",LEFT(TH!M272,2)="15"),'152-CT'!$J$8=TH!F272),"x","")</f>
        <v/>
      </c>
      <c r="Y272" s="51" t="str">
        <f>IF(AND(OR(LEFT(TH!L272,2)="15",LEFT(TH!M272,2)="15"),TK!$E$7=TH!F272),"x","")</f>
        <v/>
      </c>
      <c r="Z272" s="51" t="str">
        <f>IF(AND(B272&lt;=NKC!$N$8,B272&gt;=NKC!$M$8),"x","")</f>
        <v/>
      </c>
      <c r="AA272" s="803">
        <v>2</v>
      </c>
      <c r="AB272" s="565"/>
    </row>
    <row r="273" spans="1:29" ht="15.75" customHeight="1">
      <c r="A273" s="804" t="str">
        <f>IF(B273&lt;&gt;"",IF(AND(B273&gt;=_TM1,B273&lt;=_TM2,OR(TH!L273="1111",TH!M273="1111")),TH!D273,""),"")</f>
        <v/>
      </c>
      <c r="B273" s="36">
        <f t="shared" si="13"/>
        <v>6</v>
      </c>
      <c r="C273" s="189">
        <f t="shared" si="14"/>
        <v>42158</v>
      </c>
      <c r="D273" s="189" t="s">
        <v>1293</v>
      </c>
      <c r="E273" s="189">
        <v>42158</v>
      </c>
      <c r="F273" s="926" t="s">
        <v>1196</v>
      </c>
      <c r="G273" s="813" t="s">
        <v>991</v>
      </c>
      <c r="H273" s="191" t="s">
        <v>992</v>
      </c>
      <c r="I273" s="243">
        <v>500</v>
      </c>
      <c r="J273" s="243">
        <v>11300</v>
      </c>
      <c r="K273" s="573">
        <f>ROUND(I273*J273,0)</f>
        <v>5650000</v>
      </c>
      <c r="L273" s="574" t="s">
        <v>250</v>
      </c>
      <c r="M273" s="574" t="s">
        <v>164</v>
      </c>
      <c r="N273" s="51" t="str">
        <f>IF(AND('331-CT'!$E$7=TH!H273,OR(L273="331",M273="331")),"331",IF(AND(OR(L273="131",M273="131"),H273='131-CT'!$E$7),"131",""))</f>
        <v/>
      </c>
      <c r="O273" s="51" t="str">
        <f>IF(AND($B273&gt;='111'!$N$11,$B273&lt;='111'!$O$11,OR($L273=$O$7,$M273=$O$7)),"x","")</f>
        <v/>
      </c>
      <c r="P273" s="51" t="str">
        <f>IF(AND($L273=$O$7,$B273&lt;'111'!$N$11),"x","")</f>
        <v/>
      </c>
      <c r="Q273" s="51" t="str">
        <f>IF(AND($M273=$O$7,$B273&lt;'111'!$N$11),"x","")</f>
        <v/>
      </c>
      <c r="R273" s="51" t="str">
        <f>IF(ISERROR(FIND('112'!$M$9,G273,1)),"",IF((AND(FIND('112'!$M$9,G273,1)&gt;=1,$B273&gt;='112'!$N$8,$B273&lt;='112'!$O$8,OR($L273='112'!$I$6,$M273='112'!$I$6))),"x",""))</f>
        <v/>
      </c>
      <c r="S273" s="51" t="str">
        <f>IF(ISERROR(FIND('112'!$M$9,G273,1)),"",IF((AND(LEFT(G273,2)=LEFT('112'!$M$9,2),B273&lt;'112'!$N$8,$L273='112'!$I$6)),"x",""))</f>
        <v/>
      </c>
      <c r="T273" s="51" t="str">
        <f>IF(ISERROR(FIND('112'!$M$9,G273,1)),"",IF((AND(RIGHT(G273,2)=RIGHT('112'!$M$9,2),B273&lt;'112'!$N$8,$M273='112'!$I$6)),"x",""))</f>
        <v/>
      </c>
      <c r="U273" s="51" t="str">
        <f>IF(AND(L273="154",'154'!$O$5&lt;=B273,'154'!$P$5&gt;=B273),"154",IF(AND(L273="632",'632'!$L$5&lt;=B273,'632'!$M$5&gt;=B273),"632",IF(AND(L273="642",'642'!$N$5&lt;=B273,'642'!$O$5&gt;=B273),"642",IF(AND(L273="641",'641'!$N$5&lt;=B273,'641'!$O$5&gt;=B273),"641",""))))</f>
        <v/>
      </c>
      <c r="V273" s="51" t="str">
        <f>IF(OR(TH!L273=TH!$V$7,M273=TH!$V$7),"x","")</f>
        <v/>
      </c>
      <c r="W273" s="51" t="str">
        <f>IF(AND(B273&gt;='IN-NX'!$P$3,B273&lt;='IN-NX'!$Q$3,'IN-NX'!$D$7=D273,OR(LEFT(L273,2)="15",AND(LEFT(M273,2)&lt;&gt;"15",LEFT(M273,2)&lt;&gt;"33"))),"x","")</f>
        <v/>
      </c>
      <c r="X273" s="51" t="str">
        <f>IF(AND(OR(LEFT(TH!L273,2)="15",LEFT(TH!M273,2)="15"),'152-CT'!$J$8=TH!F273),"x","")</f>
        <v/>
      </c>
      <c r="Y273" s="51" t="str">
        <f>IF(AND(OR(LEFT(TH!L273,2)="15",LEFT(TH!M273,2)="15"),TK!$E$7=TH!F273),"x","")</f>
        <v/>
      </c>
      <c r="Z273" s="51" t="str">
        <f>IF(AND(B273&lt;=NKC!$N$8,B273&gt;=NKC!$M$8),"x","")</f>
        <v/>
      </c>
      <c r="AA273" s="803"/>
      <c r="AB273" s="565"/>
    </row>
    <row r="274" spans="1:29" ht="15.75" customHeight="1">
      <c r="A274" s="804" t="str">
        <f>IF(B274&lt;&gt;"",IF(AND(B274&gt;=_TM1,B274&lt;=_TM2,OR(TH!L274="1111",TH!M274="1111")),TH!D274,""),"")</f>
        <v/>
      </c>
      <c r="B274" s="36">
        <f t="shared" si="13"/>
        <v>6</v>
      </c>
      <c r="C274" s="189">
        <f t="shared" si="14"/>
        <v>42158</v>
      </c>
      <c r="D274" s="189" t="s">
        <v>1293</v>
      </c>
      <c r="E274" s="189">
        <v>42158</v>
      </c>
      <c r="F274" s="926" t="s">
        <v>962</v>
      </c>
      <c r="G274" s="813" t="s">
        <v>991</v>
      </c>
      <c r="H274" s="191" t="s">
        <v>992</v>
      </c>
      <c r="I274" s="243"/>
      <c r="J274" s="243"/>
      <c r="K274" s="573">
        <v>565000</v>
      </c>
      <c r="L274" s="574" t="s">
        <v>250</v>
      </c>
      <c r="M274" s="574" t="s">
        <v>352</v>
      </c>
      <c r="N274" s="51" t="str">
        <f>IF(AND('331-CT'!$E$7=TH!H274,OR(L274="331",M274="331")),"331",IF(AND(OR(L274="131",M274="131"),H274='131-CT'!$E$7),"131",""))</f>
        <v/>
      </c>
      <c r="O274" s="51" t="str">
        <f>IF(AND($B274&gt;='111'!$N$11,$B274&lt;='111'!$O$11,OR($L274=$O$7,$M274=$O$7)),"x","")</f>
        <v/>
      </c>
      <c r="P274" s="51" t="str">
        <f>IF(AND($L274=$O$7,$B274&lt;'111'!$N$11),"x","")</f>
        <v/>
      </c>
      <c r="Q274" s="51" t="str">
        <f>IF(AND($M274=$O$7,$B274&lt;'111'!$N$11),"x","")</f>
        <v/>
      </c>
      <c r="R274" s="51" t="str">
        <f>IF(ISERROR(FIND('112'!$M$9,G274,1)),"",IF((AND(FIND('112'!$M$9,G274,1)&gt;=1,$B274&gt;='112'!$N$8,$B274&lt;='112'!$O$8,OR($L274='112'!$I$6,$M274='112'!$I$6))),"x",""))</f>
        <v/>
      </c>
      <c r="S274" s="51" t="str">
        <f>IF(ISERROR(FIND('112'!$M$9,G274,1)),"",IF((AND(LEFT(G274,2)=LEFT('112'!$M$9,2),B274&lt;'112'!$N$8,$L274='112'!$I$6)),"x",""))</f>
        <v/>
      </c>
      <c r="T274" s="51" t="str">
        <f>IF(ISERROR(FIND('112'!$M$9,G274,1)),"",IF((AND(RIGHT(G274,2)=RIGHT('112'!$M$9,2),B274&lt;'112'!$N$8,$M274='112'!$I$6)),"x",""))</f>
        <v/>
      </c>
      <c r="U274" s="51" t="str">
        <f>IF(AND(L274="154",'154'!$O$5&lt;=B274,'154'!$P$5&gt;=B274),"154",IF(AND(L274="632",'632'!$L$5&lt;=B274,'632'!$M$5&gt;=B274),"632",IF(AND(L274="642",'642'!$N$5&lt;=B274,'642'!$O$5&gt;=B274),"642",IF(AND(L274="641",'641'!$N$5&lt;=B274,'641'!$O$5&gt;=B274),"641",""))))</f>
        <v/>
      </c>
      <c r="V274" s="51" t="str">
        <f>IF(OR(TH!L274=TH!$V$7,M274=TH!$V$7),"x","")</f>
        <v/>
      </c>
      <c r="W274" s="51" t="str">
        <f>IF(AND(B274&gt;='IN-NX'!$P$3,B274&lt;='IN-NX'!$Q$3,'IN-NX'!$D$7=D274,OR(LEFT(L274,2)="15",AND(LEFT(M274,2)&lt;&gt;"15",LEFT(M274,2)&lt;&gt;"33"))),"x","")</f>
        <v/>
      </c>
      <c r="X274" s="51" t="str">
        <f>IF(AND(OR(LEFT(TH!L274,2)="15",LEFT(TH!M274,2)="15"),'152-CT'!$J$8=TH!F274),"x","")</f>
        <v/>
      </c>
      <c r="Y274" s="51" t="str">
        <f>IF(AND(OR(LEFT(TH!L274,2)="15",LEFT(TH!M274,2)="15"),TK!$E$7=TH!F274),"x","")</f>
        <v/>
      </c>
      <c r="Z274" s="51" t="str">
        <f>IF(AND(B274&lt;=NKC!$N$8,B274&gt;=NKC!$M$8),"x","")</f>
        <v/>
      </c>
      <c r="AA274" s="803"/>
      <c r="AB274" s="565"/>
      <c r="AC274" s="565"/>
    </row>
    <row r="275" spans="1:29" ht="15.75" customHeight="1">
      <c r="A275" s="804" t="str">
        <f>IF(B275&lt;&gt;"",IF(AND(B275&gt;=_TM1,B275&lt;=_TM2,OR(TH!L275="1111",TH!M275="1111")),TH!D275,""),"")</f>
        <v/>
      </c>
      <c r="B275" s="36">
        <f t="shared" si="13"/>
        <v>6</v>
      </c>
      <c r="C275" s="189">
        <f t="shared" si="14"/>
        <v>42158</v>
      </c>
      <c r="D275" s="189" t="s">
        <v>1350</v>
      </c>
      <c r="E275" s="189">
        <v>42158</v>
      </c>
      <c r="F275" s="926" t="s">
        <v>423</v>
      </c>
      <c r="G275" s="813" t="s">
        <v>991</v>
      </c>
      <c r="H275" s="191" t="s">
        <v>992</v>
      </c>
      <c r="I275" s="243"/>
      <c r="J275" s="243"/>
      <c r="K275" s="573">
        <f>K273+K274</f>
        <v>6215000</v>
      </c>
      <c r="L275" s="574" t="s">
        <v>47</v>
      </c>
      <c r="M275" s="574" t="s">
        <v>250</v>
      </c>
      <c r="N275" s="51" t="str">
        <f>IF(AND('331-CT'!$E$7=TH!H275,OR(L275="331",M275="331")),"331",IF(AND(OR(L275="131",M275="131"),H275='131-CT'!$E$7),"131",""))</f>
        <v/>
      </c>
      <c r="O275" s="51" t="str">
        <f>IF(AND($B275&gt;='111'!$N$11,$B275&lt;='111'!$O$11,OR($L275=$O$7,$M275=$O$7)),"x","")</f>
        <v/>
      </c>
      <c r="P275" s="51" t="str">
        <f>IF(AND($L275=$O$7,$B275&lt;'111'!$N$11),"x","")</f>
        <v>x</v>
      </c>
      <c r="Q275" s="51" t="str">
        <f>IF(AND($M275=$O$7,$B275&lt;'111'!$N$11),"x","")</f>
        <v/>
      </c>
      <c r="R275" s="51" t="str">
        <f>IF(ISERROR(FIND('112'!$M$9,G275,1)),"",IF((AND(FIND('112'!$M$9,G275,1)&gt;=1,$B275&gt;='112'!$N$8,$B275&lt;='112'!$O$8,OR($L275='112'!$I$6,$M275='112'!$I$6))),"x",""))</f>
        <v/>
      </c>
      <c r="S275" s="51" t="str">
        <f>IF(ISERROR(FIND('112'!$M$9,G275,1)),"",IF((AND(LEFT(G275,2)=LEFT('112'!$M$9,2),B275&lt;'112'!$N$8,$L275='112'!$I$6)),"x",""))</f>
        <v/>
      </c>
      <c r="T275" s="51" t="str">
        <f>IF(ISERROR(FIND('112'!$M$9,G275,1)),"",IF((AND(RIGHT(G275,2)=RIGHT('112'!$M$9,2),B275&lt;'112'!$N$8,$M275='112'!$I$6)),"x",""))</f>
        <v/>
      </c>
      <c r="U275" s="51" t="str">
        <f>IF(AND(L275="154",'154'!$O$5&lt;=B275,'154'!$P$5&gt;=B275),"154",IF(AND(L275="632",'632'!$L$5&lt;=B275,'632'!$M$5&gt;=B275),"632",IF(AND(L275="642",'642'!$N$5&lt;=B275,'642'!$O$5&gt;=B275),"642",IF(AND(L275="641",'641'!$N$5&lt;=B275,'641'!$O$5&gt;=B275),"641",""))))</f>
        <v/>
      </c>
      <c r="V275" s="51" t="str">
        <f>IF(OR(TH!L275=TH!$V$7,M275=TH!$V$7),"x","")</f>
        <v/>
      </c>
      <c r="W275" s="51" t="str">
        <f>IF(AND(B275&gt;='IN-NX'!$P$3,B275&lt;='IN-NX'!$Q$3,'IN-NX'!$D$7=D275,OR(LEFT(L275,2)="15",AND(LEFT(M275,2)&lt;&gt;"15",LEFT(M275,2)&lt;&gt;"33"))),"x","")</f>
        <v/>
      </c>
      <c r="X275" s="51" t="str">
        <f>IF(AND(OR(LEFT(TH!L275,2)="15",LEFT(TH!M275,2)="15"),'152-CT'!$J$8=TH!F275),"x","")</f>
        <v/>
      </c>
      <c r="Y275" s="51" t="str">
        <f>IF(AND(OR(LEFT(TH!L275,2)="15",LEFT(TH!M275,2)="15"),TK!$E$7=TH!F275),"x","")</f>
        <v/>
      </c>
      <c r="Z275" s="51" t="str">
        <f>IF(AND(B275&lt;=NKC!$N$8,B275&gt;=NKC!$M$8),"x","")</f>
        <v/>
      </c>
      <c r="AA275" s="803"/>
      <c r="AB275" s="565"/>
      <c r="AC275" s="565"/>
    </row>
    <row r="276" spans="1:29" ht="15.75" customHeight="1">
      <c r="A276" s="804" t="str">
        <f>IF(B276&lt;&gt;"",IF(AND(B276&gt;=_TM1,B276&lt;=_TM2,OR(TH!L276="1111",TH!M276="1111")),TH!D276,""),"")</f>
        <v/>
      </c>
      <c r="B276" s="36">
        <f t="shared" si="13"/>
        <v>6</v>
      </c>
      <c r="C276" s="189">
        <f t="shared" si="14"/>
        <v>42159</v>
      </c>
      <c r="D276" s="189" t="s">
        <v>1352</v>
      </c>
      <c r="E276" s="182">
        <v>42159</v>
      </c>
      <c r="F276" s="187" t="s">
        <v>427</v>
      </c>
      <c r="G276" s="811" t="s">
        <v>415</v>
      </c>
      <c r="H276" s="7" t="s">
        <v>428</v>
      </c>
      <c r="I276" s="243"/>
      <c r="J276" s="243"/>
      <c r="K276" s="38">
        <v>5000000</v>
      </c>
      <c r="L276" s="192" t="s">
        <v>47</v>
      </c>
      <c r="M276" s="192" t="s">
        <v>24</v>
      </c>
      <c r="N276" s="51" t="str">
        <f>IF(AND('331-CT'!$E$7=TH!H276,OR(L276="331",M276="331")),"331",IF(AND(OR(L276="131",M276="131"),H276='131-CT'!$E$7),"131",""))</f>
        <v/>
      </c>
      <c r="O276" s="51" t="str">
        <f>IF(AND($B276&gt;='111'!$N$11,$B276&lt;='111'!$O$11,OR($L276=$O$7,$M276=$O$7)),"x","")</f>
        <v/>
      </c>
      <c r="P276" s="51" t="str">
        <f>IF(AND($L276=$O$7,$B276&lt;'111'!$N$11),"x","")</f>
        <v>x</v>
      </c>
      <c r="Q276" s="51" t="str">
        <f>IF(AND($M276=$O$7,$B276&lt;'111'!$N$11),"x","")</f>
        <v/>
      </c>
      <c r="R276" s="51" t="str">
        <f>IF(ISERROR(FIND('112'!$M$9,G276,1)),"",IF((AND(FIND('112'!$M$9,G276,1)&gt;=1,$B276&gt;='112'!$N$8,$B276&lt;='112'!$O$8,OR($L276='112'!$I$6,$M276='112'!$I$6))),"x",""))</f>
        <v/>
      </c>
      <c r="S276" s="51" t="str">
        <f>IF(ISERROR(FIND('112'!$M$9,G276,1)),"",IF((AND(LEFT(G276,2)=LEFT('112'!$M$9,2),B276&lt;'112'!$N$8,$L276='112'!$I$6)),"x",""))</f>
        <v/>
      </c>
      <c r="T276" s="51" t="str">
        <f>IF(ISERROR(FIND('112'!$M$9,G276,1)),"",IF((AND(RIGHT(G276,2)=RIGHT('112'!$M$9,2),B276&lt;'112'!$N$8,$M276='112'!$I$6)),"x",""))</f>
        <v/>
      </c>
      <c r="U276" s="51" t="str">
        <f>IF(AND(L276="154",'154'!$O$5&lt;=B276,'154'!$P$5&gt;=B276),"154",IF(AND(L276="632",'632'!$L$5&lt;=B276,'632'!$M$5&gt;=B276),"632",IF(AND(L276="642",'642'!$N$5&lt;=B276,'642'!$O$5&gt;=B276),"642",IF(AND(L276="641",'641'!$N$5&lt;=B276,'641'!$O$5&gt;=B276),"641",""))))</f>
        <v/>
      </c>
      <c r="V276" s="51" t="str">
        <f>IF(OR(TH!L276=TH!$V$7,M276=TH!$V$7),"x","")</f>
        <v/>
      </c>
      <c r="W276" s="51" t="str">
        <f>IF(AND(B276&gt;='IN-NX'!$P$3,B276&lt;='IN-NX'!$Q$3,'IN-NX'!$D$7=D276,OR(LEFT(L276,2)="15",AND(LEFT(M276,2)&lt;&gt;"15",LEFT(M276,2)&lt;&gt;"33"))),"x","")</f>
        <v/>
      </c>
      <c r="X276" s="51" t="str">
        <f>IF(AND(OR(LEFT(TH!L276,2)="15",LEFT(TH!M276,2)="15"),'152-CT'!$J$8=TH!F276),"x","")</f>
        <v/>
      </c>
      <c r="Y276" s="51" t="str">
        <f>IF(AND(OR(LEFT(TH!L276,2)="15",LEFT(TH!M276,2)="15"),TK!$E$7=TH!F276),"x","")</f>
        <v/>
      </c>
      <c r="Z276" s="51" t="str">
        <f>IF(AND(B276&lt;=NKC!$N$8,B276&gt;=NKC!$M$8),"x","")</f>
        <v/>
      </c>
      <c r="AA276" s="803"/>
      <c r="AB276" s="565"/>
    </row>
    <row r="277" spans="1:29" ht="15.75" customHeight="1">
      <c r="A277" s="804" t="str">
        <f>IF(B277&lt;&gt;"",IF(AND(B277&gt;=_TM1,B277&lt;=_TM2,OR(TH!L277="1111",TH!M277="1111")),TH!D277,""),"")</f>
        <v/>
      </c>
      <c r="B277" s="36">
        <f t="shared" si="13"/>
        <v>6</v>
      </c>
      <c r="C277" s="189">
        <f t="shared" si="14"/>
        <v>42159</v>
      </c>
      <c r="D277" s="189" t="s">
        <v>422</v>
      </c>
      <c r="E277" s="182">
        <v>42159</v>
      </c>
      <c r="F277" s="187" t="s">
        <v>438</v>
      </c>
      <c r="G277" s="811" t="s">
        <v>415</v>
      </c>
      <c r="H277" s="921" t="s">
        <v>448</v>
      </c>
      <c r="I277" s="243"/>
      <c r="J277" s="243"/>
      <c r="K277" s="38">
        <v>32307244</v>
      </c>
      <c r="L277" s="192" t="s">
        <v>8</v>
      </c>
      <c r="M277" s="192" t="s">
        <v>24</v>
      </c>
      <c r="N277" s="51" t="str">
        <f>IF(AND('331-CT'!$E$7=TH!H277,OR(L277="331",M277="331")),"331",IF(AND(OR(L277="131",M277="131"),H277='131-CT'!$E$7),"131",""))</f>
        <v/>
      </c>
      <c r="O277" s="51" t="str">
        <f>IF(AND($B277&gt;='111'!$N$11,$B277&lt;='111'!$O$11,OR($L277=$O$7,$M277=$O$7)),"x","")</f>
        <v/>
      </c>
      <c r="P277" s="51" t="str">
        <f>IF(AND($L277=$O$7,$B277&lt;'111'!$N$11),"x","")</f>
        <v/>
      </c>
      <c r="Q277" s="51" t="str">
        <f>IF(AND($M277=$O$7,$B277&lt;'111'!$N$11),"x","")</f>
        <v/>
      </c>
      <c r="R277" s="51" t="str">
        <f>IF(ISERROR(FIND('112'!$M$9,G277,1)),"",IF((AND(FIND('112'!$M$9,G277,1)&gt;=1,$B277&gt;='112'!$N$8,$B277&lt;='112'!$O$8,OR($L277='112'!$I$6,$M277='112'!$I$6))),"x",""))</f>
        <v/>
      </c>
      <c r="S277" s="51" t="str">
        <f>IF(ISERROR(FIND('112'!$M$9,G277,1)),"",IF((AND(LEFT(G277,2)=LEFT('112'!$M$9,2),B277&lt;'112'!$N$8,$L277='112'!$I$6)),"x",""))</f>
        <v/>
      </c>
      <c r="T277" s="51" t="str">
        <f>IF(ISERROR(FIND('112'!$M$9,G277,1)),"",IF((AND(RIGHT(G277,2)=RIGHT('112'!$M$9,2),B277&lt;'112'!$N$8,$M277='112'!$I$6)),"x",""))</f>
        <v/>
      </c>
      <c r="U277" s="51" t="str">
        <f>IF(AND(L277="154",'154'!$O$5&lt;=B277,'154'!$P$5&gt;=B277),"154",IF(AND(L277="632",'632'!$L$5&lt;=B277,'632'!$M$5&gt;=B277),"632",IF(AND(L277="642",'642'!$N$5&lt;=B277,'642'!$O$5&gt;=B277),"642",IF(AND(L277="641",'641'!$N$5&lt;=B277,'641'!$O$5&gt;=B277),"641",""))))</f>
        <v/>
      </c>
      <c r="V277" s="51" t="str">
        <f>IF(OR(TH!L277=TH!$V$7,M277=TH!$V$7),"x","")</f>
        <v/>
      </c>
      <c r="W277" s="51" t="str">
        <f>IF(AND(B277&gt;='IN-NX'!$P$3,B277&lt;='IN-NX'!$Q$3,'IN-NX'!$D$7=D277,OR(LEFT(L277,2)="15",AND(LEFT(M277,2)&lt;&gt;"15",LEFT(M277,2)&lt;&gt;"33"))),"x","")</f>
        <v/>
      </c>
      <c r="X277" s="51" t="str">
        <f>IF(AND(OR(LEFT(TH!L277,2)="15",LEFT(TH!M277,2)="15"),'152-CT'!$J$8=TH!F277),"x","")</f>
        <v/>
      </c>
      <c r="Y277" s="51" t="str">
        <f>IF(AND(OR(LEFT(TH!L277,2)="15",LEFT(TH!M277,2)="15"),TK!$E$7=TH!F277),"x","")</f>
        <v/>
      </c>
      <c r="Z277" s="51" t="str">
        <f>IF(AND(B277&lt;=NKC!$N$8,B277&gt;=NKC!$M$8),"x","")</f>
        <v/>
      </c>
      <c r="AA277" s="803"/>
      <c r="AB277" s="565"/>
    </row>
    <row r="278" spans="1:29" ht="15.75" customHeight="1">
      <c r="A278" s="804" t="str">
        <f>IF(B278&lt;&gt;"",IF(AND(B278&gt;=_TM1,B278&lt;=_TM2,OR(TH!L278="1111",TH!M278="1111")),TH!D278,""),"")</f>
        <v/>
      </c>
      <c r="B278" s="36">
        <f t="shared" si="13"/>
        <v>6</v>
      </c>
      <c r="C278" s="189">
        <f t="shared" si="14"/>
        <v>42159</v>
      </c>
      <c r="D278" s="189" t="s">
        <v>1358</v>
      </c>
      <c r="E278" s="182">
        <v>42159</v>
      </c>
      <c r="F278" s="187" t="s">
        <v>427</v>
      </c>
      <c r="G278" s="811" t="s">
        <v>415</v>
      </c>
      <c r="H278" s="7" t="s">
        <v>428</v>
      </c>
      <c r="I278" s="243"/>
      <c r="J278" s="243"/>
      <c r="K278" s="38">
        <v>15000000</v>
      </c>
      <c r="L278" s="192" t="s">
        <v>47</v>
      </c>
      <c r="M278" s="192" t="s">
        <v>24</v>
      </c>
      <c r="N278" s="51" t="str">
        <f>IF(AND('331-CT'!$E$7=TH!H278,OR(L278="331",M278="331")),"331",IF(AND(OR(L278="131",M278="131"),H278='131-CT'!$E$7),"131",""))</f>
        <v/>
      </c>
      <c r="O278" s="51" t="str">
        <f>IF(AND($B278&gt;='111'!$N$11,$B278&lt;='111'!$O$11,OR($L278=$O$7,$M278=$O$7)),"x","")</f>
        <v/>
      </c>
      <c r="P278" s="51" t="str">
        <f>IF(AND($L278=$O$7,$B278&lt;'111'!$N$11),"x","")</f>
        <v>x</v>
      </c>
      <c r="Q278" s="51" t="str">
        <f>IF(AND($M278=$O$7,$B278&lt;'111'!$N$11),"x","")</f>
        <v/>
      </c>
      <c r="R278" s="51" t="str">
        <f>IF(ISERROR(FIND('112'!$M$9,G278,1)),"",IF((AND(FIND('112'!$M$9,G278,1)&gt;=1,$B278&gt;='112'!$N$8,$B278&lt;='112'!$O$8,OR($L278='112'!$I$6,$M278='112'!$I$6))),"x",""))</f>
        <v/>
      </c>
      <c r="S278" s="51" t="str">
        <f>IF(ISERROR(FIND('112'!$M$9,G278,1)),"",IF((AND(LEFT(G278,2)=LEFT('112'!$M$9,2),B278&lt;'112'!$N$8,$L278='112'!$I$6)),"x",""))</f>
        <v/>
      </c>
      <c r="T278" s="51" t="str">
        <f>IF(ISERROR(FIND('112'!$M$9,G278,1)),"",IF((AND(RIGHT(G278,2)=RIGHT('112'!$M$9,2),B278&lt;'112'!$N$8,$M278='112'!$I$6)),"x",""))</f>
        <v/>
      </c>
      <c r="U278" s="51" t="str">
        <f>IF(AND(L278="154",'154'!$O$5&lt;=B278,'154'!$P$5&gt;=B278),"154",IF(AND(L278="632",'632'!$L$5&lt;=B278,'632'!$M$5&gt;=B278),"632",IF(AND(L278="642",'642'!$N$5&lt;=B278,'642'!$O$5&gt;=B278),"642",IF(AND(L278="641",'641'!$N$5&lt;=B278,'641'!$O$5&gt;=B278),"641",""))))</f>
        <v/>
      </c>
      <c r="V278" s="51" t="str">
        <f>IF(OR(TH!L278=TH!$V$7,M278=TH!$V$7),"x","")</f>
        <v/>
      </c>
      <c r="W278" s="51" t="str">
        <f>IF(AND(B278&gt;='IN-NX'!$P$3,B278&lt;='IN-NX'!$Q$3,'IN-NX'!$D$7=D278,OR(LEFT(L278,2)="15",AND(LEFT(M278,2)&lt;&gt;"15",LEFT(M278,2)&lt;&gt;"33"))),"x","")</f>
        <v/>
      </c>
      <c r="X278" s="51" t="str">
        <f>IF(AND(OR(LEFT(TH!L278,2)="15",LEFT(TH!M278,2)="15"),'152-CT'!$J$8=TH!F278),"x","")</f>
        <v/>
      </c>
      <c r="Y278" s="51" t="str">
        <f>IF(AND(OR(LEFT(TH!L278,2)="15",LEFT(TH!M278,2)="15"),TK!$E$7=TH!F278),"x","")</f>
        <v/>
      </c>
      <c r="Z278" s="51" t="str">
        <f>IF(AND(B278&lt;=NKC!$N$8,B278&gt;=NKC!$M$8),"x","")</f>
        <v/>
      </c>
      <c r="AA278" s="803"/>
      <c r="AB278" s="565"/>
    </row>
    <row r="279" spans="1:29" ht="15.75" customHeight="1">
      <c r="A279" s="804" t="str">
        <f>IF(B279&lt;&gt;"",IF(AND(B279&gt;=_TM1,B279&lt;=_TM2,OR(TH!L279="1111",TH!M279="1111")),TH!D279,""),"")</f>
        <v/>
      </c>
      <c r="B279" s="36">
        <f t="shared" ref="B279:B344" si="16">IF(C279&lt;&gt;"",MONTH(C279),"")</f>
        <v>6</v>
      </c>
      <c r="C279" s="189">
        <f t="shared" ref="C279:C344" si="17">E279</f>
        <v>42160</v>
      </c>
      <c r="D279" s="189" t="s">
        <v>1359</v>
      </c>
      <c r="E279" s="182">
        <v>42160</v>
      </c>
      <c r="F279" s="187" t="s">
        <v>427</v>
      </c>
      <c r="G279" s="811" t="s">
        <v>415</v>
      </c>
      <c r="H279" s="7" t="s">
        <v>428</v>
      </c>
      <c r="I279" s="243"/>
      <c r="J279" s="243"/>
      <c r="K279" s="38">
        <v>7500000</v>
      </c>
      <c r="L279" s="192" t="s">
        <v>47</v>
      </c>
      <c r="M279" s="192" t="s">
        <v>24</v>
      </c>
      <c r="N279" s="51" t="str">
        <f>IF(AND('331-CT'!$E$7=TH!H279,OR(L279="331",M279="331")),"331",IF(AND(OR(L279="131",M279="131"),H279='131-CT'!$E$7),"131",""))</f>
        <v/>
      </c>
      <c r="O279" s="51" t="str">
        <f>IF(AND($B279&gt;='111'!$N$11,$B279&lt;='111'!$O$11,OR($L279=$O$7,$M279=$O$7)),"x","")</f>
        <v/>
      </c>
      <c r="P279" s="51" t="str">
        <f>IF(AND($L279=$O$7,$B279&lt;'111'!$N$11),"x","")</f>
        <v>x</v>
      </c>
      <c r="Q279" s="51" t="str">
        <f>IF(AND($M279=$O$7,$B279&lt;'111'!$N$11),"x","")</f>
        <v/>
      </c>
      <c r="R279" s="51" t="str">
        <f>IF(ISERROR(FIND('112'!$M$9,G279,1)),"",IF((AND(FIND('112'!$M$9,G279,1)&gt;=1,$B279&gt;='112'!$N$8,$B279&lt;='112'!$O$8,OR($L279='112'!$I$6,$M279='112'!$I$6))),"x",""))</f>
        <v/>
      </c>
      <c r="S279" s="51" t="str">
        <f>IF(ISERROR(FIND('112'!$M$9,G279,1)),"",IF((AND(LEFT(G279,2)=LEFT('112'!$M$9,2),B279&lt;'112'!$N$8,$L279='112'!$I$6)),"x",""))</f>
        <v/>
      </c>
      <c r="T279" s="51" t="str">
        <f>IF(ISERROR(FIND('112'!$M$9,G279,1)),"",IF((AND(RIGHT(G279,2)=RIGHT('112'!$M$9,2),B279&lt;'112'!$N$8,$M279='112'!$I$6)),"x",""))</f>
        <v/>
      </c>
      <c r="U279" s="51" t="str">
        <f>IF(AND(L279="154",'154'!$O$5&lt;=B279,'154'!$P$5&gt;=B279),"154",IF(AND(L279="632",'632'!$L$5&lt;=B279,'632'!$M$5&gt;=B279),"632",IF(AND(L279="642",'642'!$N$5&lt;=B279,'642'!$O$5&gt;=B279),"642",IF(AND(L279="641",'641'!$N$5&lt;=B279,'641'!$O$5&gt;=B279),"641",""))))</f>
        <v/>
      </c>
      <c r="V279" s="51" t="str">
        <f>IF(OR(TH!L279=TH!$V$7,M279=TH!$V$7),"x","")</f>
        <v/>
      </c>
      <c r="W279" s="51" t="str">
        <f>IF(AND(B279&gt;='IN-NX'!$P$3,B279&lt;='IN-NX'!$Q$3,'IN-NX'!$D$7=D279,OR(LEFT(L279,2)="15",AND(LEFT(M279,2)&lt;&gt;"15",LEFT(M279,2)&lt;&gt;"33"))),"x","")</f>
        <v/>
      </c>
      <c r="X279" s="51" t="str">
        <f>IF(AND(OR(LEFT(TH!L279,2)="15",LEFT(TH!M279,2)="15"),'152-CT'!$J$8=TH!F279),"x","")</f>
        <v/>
      </c>
      <c r="Y279" s="51" t="str">
        <f>IF(AND(OR(LEFT(TH!L279,2)="15",LEFT(TH!M279,2)="15"),TK!$E$7=TH!F279),"x","")</f>
        <v/>
      </c>
      <c r="Z279" s="51" t="str">
        <f>IF(AND(B279&lt;=NKC!$N$8,B279&gt;=NKC!$M$8),"x","")</f>
        <v/>
      </c>
      <c r="AA279" s="803"/>
      <c r="AB279" s="565"/>
    </row>
    <row r="280" spans="1:29" ht="15.75" customHeight="1">
      <c r="A280" s="804" t="str">
        <f>IF(B280&lt;&gt;"",IF(AND(B280&gt;=_TM1,B280&lt;=_TM2,OR(TH!L280="1111",TH!M280="1111")),TH!D280,""),"")</f>
        <v/>
      </c>
      <c r="B280" s="36">
        <f t="shared" si="16"/>
        <v>6</v>
      </c>
      <c r="C280" s="189">
        <f t="shared" si="17"/>
        <v>42161</v>
      </c>
      <c r="D280" s="189" t="s">
        <v>422</v>
      </c>
      <c r="E280" s="182">
        <v>42161</v>
      </c>
      <c r="F280" s="187" t="s">
        <v>425</v>
      </c>
      <c r="G280" s="811" t="s">
        <v>415</v>
      </c>
      <c r="H280" s="7"/>
      <c r="I280" s="243"/>
      <c r="J280" s="243"/>
      <c r="K280" s="38">
        <v>55000</v>
      </c>
      <c r="L280" s="192" t="s">
        <v>83</v>
      </c>
      <c r="M280" s="192" t="s">
        <v>24</v>
      </c>
      <c r="N280" s="51" t="str">
        <f>IF(AND('331-CT'!$E$7=TH!H280,OR(L280="331",M280="331")),"331",IF(AND(OR(L280="131",M280="131"),H280='131-CT'!$E$7),"131",""))</f>
        <v/>
      </c>
      <c r="O280" s="51" t="str">
        <f>IF(AND($B280&gt;='111'!$N$11,$B280&lt;='111'!$O$11,OR($L280=$O$7,$M280=$O$7)),"x","")</f>
        <v/>
      </c>
      <c r="P280" s="51" t="str">
        <f>IF(AND($L280=$O$7,$B280&lt;'111'!$N$11),"x","")</f>
        <v/>
      </c>
      <c r="Q280" s="51" t="str">
        <f>IF(AND($M280=$O$7,$B280&lt;'111'!$N$11),"x","")</f>
        <v/>
      </c>
      <c r="R280" s="51" t="str">
        <f>IF(ISERROR(FIND('112'!$M$9,G280,1)),"",IF((AND(FIND('112'!$M$9,G280,1)&gt;=1,$B280&gt;='112'!$N$8,$B280&lt;='112'!$O$8,OR($L280='112'!$I$6,$M280='112'!$I$6))),"x",""))</f>
        <v/>
      </c>
      <c r="S280" s="51" t="str">
        <f>IF(ISERROR(FIND('112'!$M$9,G280,1)),"",IF((AND(LEFT(G280,2)=LEFT('112'!$M$9,2),B280&lt;'112'!$N$8,$L280='112'!$I$6)),"x",""))</f>
        <v/>
      </c>
      <c r="T280" s="51" t="str">
        <f>IF(ISERROR(FIND('112'!$M$9,G280,1)),"",IF((AND(RIGHT(G280,2)=RIGHT('112'!$M$9,2),B280&lt;'112'!$N$8,$M280='112'!$I$6)),"x",""))</f>
        <v/>
      </c>
      <c r="U280" s="51" t="str">
        <f>IF(AND(L280="154",'154'!$O$5&lt;=B280,'154'!$P$5&gt;=B280),"154",IF(AND(L280="632",'632'!$L$5&lt;=B280,'632'!$M$5&gt;=B280),"632",IF(AND(L280="642",'642'!$N$5&lt;=B280,'642'!$O$5&gt;=B280),"642",IF(AND(L280="641",'641'!$N$5&lt;=B280,'641'!$O$5&gt;=B280),"641",""))))</f>
        <v>642</v>
      </c>
      <c r="V280" s="51" t="str">
        <f>IF(OR(TH!L280=TH!$V$7,M280=TH!$V$7),"x","")</f>
        <v>x</v>
      </c>
      <c r="W280" s="51" t="str">
        <f>IF(AND(B280&gt;='IN-NX'!$P$3,B280&lt;='IN-NX'!$Q$3,'IN-NX'!$D$7=D280,OR(LEFT(L280,2)="15",AND(LEFT(M280,2)&lt;&gt;"15",LEFT(M280,2)&lt;&gt;"33"))),"x","")</f>
        <v/>
      </c>
      <c r="X280" s="51" t="str">
        <f>IF(AND(OR(LEFT(TH!L280,2)="15",LEFT(TH!M280,2)="15"),'152-CT'!$J$8=TH!F280),"x","")</f>
        <v/>
      </c>
      <c r="Y280" s="51" t="str">
        <f>IF(AND(OR(LEFT(TH!L280,2)="15",LEFT(TH!M280,2)="15"),TK!$E$7=TH!F280),"x","")</f>
        <v/>
      </c>
      <c r="Z280" s="51" t="str">
        <f>IF(AND(B280&lt;=NKC!$N$8,B280&gt;=NKC!$M$8),"x","")</f>
        <v/>
      </c>
      <c r="AA280" s="803"/>
      <c r="AB280" s="565"/>
    </row>
    <row r="281" spans="1:29" ht="15.75" customHeight="1">
      <c r="A281" s="804" t="str">
        <f>IF(B281&lt;&gt;"",IF(AND(B281&gt;=_TM1,B281&lt;=_TM2,OR(TH!L281="1111",TH!M281="1111")),TH!D281,""),"")</f>
        <v/>
      </c>
      <c r="B281" s="36">
        <f t="shared" si="16"/>
        <v>6</v>
      </c>
      <c r="C281" s="189">
        <f t="shared" si="17"/>
        <v>42163</v>
      </c>
      <c r="D281" s="189" t="s">
        <v>1368</v>
      </c>
      <c r="E281" s="182">
        <v>42163</v>
      </c>
      <c r="F281" s="187" t="s">
        <v>427</v>
      </c>
      <c r="G281" s="811" t="s">
        <v>415</v>
      </c>
      <c r="H281" s="7" t="s">
        <v>428</v>
      </c>
      <c r="I281" s="243"/>
      <c r="J281" s="243"/>
      <c r="K281" s="38">
        <v>13000000</v>
      </c>
      <c r="L281" s="192" t="s">
        <v>47</v>
      </c>
      <c r="M281" s="192" t="s">
        <v>24</v>
      </c>
      <c r="N281" s="51" t="str">
        <f>IF(AND('331-CT'!$E$7=TH!H281,OR(L281="331",M281="331")),"331",IF(AND(OR(L281="131",M281="131"),H281='131-CT'!$E$7),"131",""))</f>
        <v/>
      </c>
      <c r="O281" s="51" t="str">
        <f>IF(AND($B281&gt;='111'!$N$11,$B281&lt;='111'!$O$11,OR($L281=$O$7,$M281=$O$7)),"x","")</f>
        <v/>
      </c>
      <c r="P281" s="51" t="str">
        <f>IF(AND($L281=$O$7,$B281&lt;'111'!$N$11),"x","")</f>
        <v>x</v>
      </c>
      <c r="Q281" s="51" t="str">
        <f>IF(AND($M281=$O$7,$B281&lt;'111'!$N$11),"x","")</f>
        <v/>
      </c>
      <c r="R281" s="51" t="str">
        <f>IF(ISERROR(FIND('112'!$M$9,G281,1)),"",IF((AND(FIND('112'!$M$9,G281,1)&gt;=1,$B281&gt;='112'!$N$8,$B281&lt;='112'!$O$8,OR($L281='112'!$I$6,$M281='112'!$I$6))),"x",""))</f>
        <v/>
      </c>
      <c r="S281" s="51" t="str">
        <f>IF(ISERROR(FIND('112'!$M$9,G281,1)),"",IF((AND(LEFT(G281,2)=LEFT('112'!$M$9,2),B281&lt;'112'!$N$8,$L281='112'!$I$6)),"x",""))</f>
        <v/>
      </c>
      <c r="T281" s="51" t="str">
        <f>IF(ISERROR(FIND('112'!$M$9,G281,1)),"",IF((AND(RIGHT(G281,2)=RIGHT('112'!$M$9,2),B281&lt;'112'!$N$8,$M281='112'!$I$6)),"x",""))</f>
        <v/>
      </c>
      <c r="U281" s="51" t="str">
        <f>IF(AND(L281="154",'154'!$O$5&lt;=B281,'154'!$P$5&gt;=B281),"154",IF(AND(L281="632",'632'!$L$5&lt;=B281,'632'!$M$5&gt;=B281),"632",IF(AND(L281="642",'642'!$N$5&lt;=B281,'642'!$O$5&gt;=B281),"642",IF(AND(L281="641",'641'!$N$5&lt;=B281,'641'!$O$5&gt;=B281),"641",""))))</f>
        <v/>
      </c>
      <c r="V281" s="51" t="str">
        <f>IF(OR(TH!L281=TH!$V$7,M281=TH!$V$7),"x","")</f>
        <v/>
      </c>
      <c r="W281" s="51" t="str">
        <f>IF(AND(B281&gt;='IN-NX'!$P$3,B281&lt;='IN-NX'!$Q$3,'IN-NX'!$D$7=D281,OR(LEFT(L281,2)="15",AND(LEFT(M281,2)&lt;&gt;"15",LEFT(M281,2)&lt;&gt;"33"))),"x","")</f>
        <v/>
      </c>
      <c r="X281" s="51" t="str">
        <f>IF(AND(OR(LEFT(TH!L281,2)="15",LEFT(TH!M281,2)="15"),'152-CT'!$J$8=TH!F281),"x","")</f>
        <v/>
      </c>
      <c r="Y281" s="51" t="str">
        <f>IF(AND(OR(LEFT(TH!L281,2)="15",LEFT(TH!M281,2)="15"),TK!$E$7=TH!F281),"x","")</f>
        <v/>
      </c>
      <c r="Z281" s="51" t="str">
        <f>IF(AND(B281&lt;=NKC!$N$8,B281&gt;=NKC!$M$8),"x","")</f>
        <v/>
      </c>
      <c r="AA281" s="803"/>
      <c r="AB281" s="565"/>
    </row>
    <row r="282" spans="1:29" ht="15.75" customHeight="1">
      <c r="A282" s="804" t="str">
        <f>IF(B282&lt;&gt;"",IF(AND(B282&gt;=_TM1,B282&lt;=_TM2,OR(TH!L282="1111",TH!M282="1111")),TH!D282,""),"")</f>
        <v/>
      </c>
      <c r="B282" s="36">
        <f t="shared" si="16"/>
        <v>6</v>
      </c>
      <c r="C282" s="189">
        <f t="shared" si="17"/>
        <v>42165</v>
      </c>
      <c r="D282" s="189" t="s">
        <v>1369</v>
      </c>
      <c r="E282" s="182">
        <v>42165</v>
      </c>
      <c r="F282" s="187" t="s">
        <v>427</v>
      </c>
      <c r="G282" s="811" t="s">
        <v>415</v>
      </c>
      <c r="H282" s="7" t="s">
        <v>437</v>
      </c>
      <c r="I282" s="243"/>
      <c r="J282" s="243"/>
      <c r="K282" s="38">
        <v>18000000</v>
      </c>
      <c r="L282" s="192" t="s">
        <v>47</v>
      </c>
      <c r="M282" s="192" t="s">
        <v>24</v>
      </c>
      <c r="N282" s="51" t="str">
        <f>IF(AND('331-CT'!$E$7=TH!H282,OR(L282="331",M282="331")),"331",IF(AND(OR(L282="131",M282="131"),H282='131-CT'!$E$7),"131",""))</f>
        <v/>
      </c>
      <c r="O282" s="51" t="str">
        <f>IF(AND($B282&gt;='111'!$N$11,$B282&lt;='111'!$O$11,OR($L282=$O$7,$M282=$O$7)),"x","")</f>
        <v/>
      </c>
      <c r="P282" s="51" t="str">
        <f>IF(AND($L282=$O$7,$B282&lt;'111'!$N$11),"x","")</f>
        <v>x</v>
      </c>
      <c r="Q282" s="51" t="str">
        <f>IF(AND($M282=$O$7,$B282&lt;'111'!$N$11),"x","")</f>
        <v/>
      </c>
      <c r="R282" s="51" t="str">
        <f>IF(ISERROR(FIND('112'!$M$9,G282,1)),"",IF((AND(FIND('112'!$M$9,G282,1)&gt;=1,$B282&gt;='112'!$N$8,$B282&lt;='112'!$O$8,OR($L282='112'!$I$6,$M282='112'!$I$6))),"x",""))</f>
        <v/>
      </c>
      <c r="S282" s="51" t="str">
        <f>IF(ISERROR(FIND('112'!$M$9,G282,1)),"",IF((AND(LEFT(G282,2)=LEFT('112'!$M$9,2),B282&lt;'112'!$N$8,$L282='112'!$I$6)),"x",""))</f>
        <v/>
      </c>
      <c r="T282" s="51" t="str">
        <f>IF(ISERROR(FIND('112'!$M$9,G282,1)),"",IF((AND(RIGHT(G282,2)=RIGHT('112'!$M$9,2),B282&lt;'112'!$N$8,$M282='112'!$I$6)),"x",""))</f>
        <v/>
      </c>
      <c r="U282" s="51" t="str">
        <f>IF(AND(L282="154",'154'!$O$5&lt;=B282,'154'!$P$5&gt;=B282),"154",IF(AND(L282="632",'632'!$L$5&lt;=B282,'632'!$M$5&gt;=B282),"632",IF(AND(L282="642",'642'!$N$5&lt;=B282,'642'!$O$5&gt;=B282),"642",IF(AND(L282="641",'641'!$N$5&lt;=B282,'641'!$O$5&gt;=B282),"641",""))))</f>
        <v/>
      </c>
      <c r="V282" s="51" t="str">
        <f>IF(OR(TH!L282=TH!$V$7,M282=TH!$V$7),"x","")</f>
        <v/>
      </c>
      <c r="W282" s="51" t="str">
        <f>IF(AND(B282&gt;='IN-NX'!$P$3,B282&lt;='IN-NX'!$Q$3,'IN-NX'!$D$7=D282,OR(LEFT(L282,2)="15",AND(LEFT(M282,2)&lt;&gt;"15",LEFT(M282,2)&lt;&gt;"33"))),"x","")</f>
        <v/>
      </c>
      <c r="X282" s="51" t="str">
        <f>IF(AND(OR(LEFT(TH!L282,2)="15",LEFT(TH!M282,2)="15"),'152-CT'!$J$8=TH!F282),"x","")</f>
        <v/>
      </c>
      <c r="Y282" s="51" t="str">
        <f>IF(AND(OR(LEFT(TH!L282,2)="15",LEFT(TH!M282,2)="15"),TK!$E$7=TH!F282),"x","")</f>
        <v/>
      </c>
      <c r="Z282" s="51" t="str">
        <f>IF(AND(B282&lt;=NKC!$N$8,B282&gt;=NKC!$M$8),"x","")</f>
        <v/>
      </c>
      <c r="AA282" s="803"/>
      <c r="AB282" s="565"/>
    </row>
    <row r="283" spans="1:29" ht="15.75" customHeight="1">
      <c r="A283" s="804" t="str">
        <f>IF(B283&lt;&gt;"",IF(AND(B283&gt;=_TM1,B283&lt;=_TM2,OR(TH!L283="1111",TH!M283="1111")),TH!D283,""),"")</f>
        <v/>
      </c>
      <c r="B283" s="36">
        <f t="shared" si="16"/>
        <v>6</v>
      </c>
      <c r="C283" s="189">
        <f t="shared" si="17"/>
        <v>42166</v>
      </c>
      <c r="D283" s="189" t="s">
        <v>1370</v>
      </c>
      <c r="E283" s="182">
        <v>42166</v>
      </c>
      <c r="F283" s="187" t="s">
        <v>427</v>
      </c>
      <c r="G283" s="811" t="s">
        <v>415</v>
      </c>
      <c r="H283" s="7" t="s">
        <v>437</v>
      </c>
      <c r="I283" s="243"/>
      <c r="J283" s="243"/>
      <c r="K283" s="38">
        <v>5000000</v>
      </c>
      <c r="L283" s="192" t="s">
        <v>47</v>
      </c>
      <c r="M283" s="192" t="s">
        <v>24</v>
      </c>
      <c r="N283" s="51" t="str">
        <f>IF(AND('331-CT'!$E$7=TH!H283,OR(L283="331",M283="331")),"331",IF(AND(OR(L283="131",M283="131"),H283='131-CT'!$E$7),"131",""))</f>
        <v/>
      </c>
      <c r="O283" s="51" t="str">
        <f>IF(AND($B283&gt;='111'!$N$11,$B283&lt;='111'!$O$11,OR($L283=$O$7,$M283=$O$7)),"x","")</f>
        <v/>
      </c>
      <c r="P283" s="51" t="str">
        <f>IF(AND($L283=$O$7,$B283&lt;'111'!$N$11),"x","")</f>
        <v>x</v>
      </c>
      <c r="Q283" s="51" t="str">
        <f>IF(AND($M283=$O$7,$B283&lt;'111'!$N$11),"x","")</f>
        <v/>
      </c>
      <c r="R283" s="51" t="str">
        <f>IF(ISERROR(FIND('112'!$M$9,G283,1)),"",IF((AND(FIND('112'!$M$9,G283,1)&gt;=1,$B283&gt;='112'!$N$8,$B283&lt;='112'!$O$8,OR($L283='112'!$I$6,$M283='112'!$I$6))),"x",""))</f>
        <v/>
      </c>
      <c r="S283" s="51" t="str">
        <f>IF(ISERROR(FIND('112'!$M$9,G283,1)),"",IF((AND(LEFT(G283,2)=LEFT('112'!$M$9,2),B283&lt;'112'!$N$8,$L283='112'!$I$6)),"x",""))</f>
        <v/>
      </c>
      <c r="T283" s="51" t="str">
        <f>IF(ISERROR(FIND('112'!$M$9,G283,1)),"",IF((AND(RIGHT(G283,2)=RIGHT('112'!$M$9,2),B283&lt;'112'!$N$8,$M283='112'!$I$6)),"x",""))</f>
        <v/>
      </c>
      <c r="U283" s="51" t="str">
        <f>IF(AND(L283="154",'154'!$O$5&lt;=B283,'154'!$P$5&gt;=B283),"154",IF(AND(L283="632",'632'!$L$5&lt;=B283,'632'!$M$5&gt;=B283),"632",IF(AND(L283="642",'642'!$N$5&lt;=B283,'642'!$O$5&gt;=B283),"642",IF(AND(L283="641",'641'!$N$5&lt;=B283,'641'!$O$5&gt;=B283),"641",""))))</f>
        <v/>
      </c>
      <c r="V283" s="51" t="str">
        <f>IF(OR(TH!L283=TH!$V$7,M283=TH!$V$7),"x","")</f>
        <v/>
      </c>
      <c r="W283" s="51" t="str">
        <f>IF(AND(B283&gt;='IN-NX'!$P$3,B283&lt;='IN-NX'!$Q$3,'IN-NX'!$D$7=D283,OR(LEFT(L283,2)="15",AND(LEFT(M283,2)&lt;&gt;"15",LEFT(M283,2)&lt;&gt;"33"))),"x","")</f>
        <v/>
      </c>
      <c r="X283" s="51" t="str">
        <f>IF(AND(OR(LEFT(TH!L283,2)="15",LEFT(TH!M283,2)="15"),'152-CT'!$J$8=TH!F283),"x","")</f>
        <v/>
      </c>
      <c r="Y283" s="51" t="str">
        <f>IF(AND(OR(LEFT(TH!L283,2)="15",LEFT(TH!M283,2)="15"),TK!$E$7=TH!F283),"x","")</f>
        <v/>
      </c>
      <c r="Z283" s="51" t="str">
        <f>IF(AND(B283&lt;=NKC!$N$8,B283&gt;=NKC!$M$8),"x","")</f>
        <v/>
      </c>
      <c r="AA283" s="803"/>
      <c r="AB283" s="565"/>
    </row>
    <row r="284" spans="1:29" ht="15.75" customHeight="1">
      <c r="A284" s="804" t="str">
        <f>IF(B284&lt;&gt;"",IF(AND(B284&gt;=_TM1,B284&lt;=_TM2,OR(TH!L284="1111",TH!M284="1111")),TH!D284,""),"")</f>
        <v/>
      </c>
      <c r="B284" s="36">
        <f t="shared" si="16"/>
        <v>6</v>
      </c>
      <c r="C284" s="189">
        <f t="shared" si="17"/>
        <v>42166</v>
      </c>
      <c r="D284" s="189" t="s">
        <v>422</v>
      </c>
      <c r="E284" s="182">
        <v>42166</v>
      </c>
      <c r="F284" s="187" t="s">
        <v>438</v>
      </c>
      <c r="G284" s="811" t="s">
        <v>415</v>
      </c>
      <c r="H284" s="7" t="s">
        <v>543</v>
      </c>
      <c r="I284" s="243"/>
      <c r="J284" s="243"/>
      <c r="K284" s="38">
        <f>4538050-27500</f>
        <v>4510550</v>
      </c>
      <c r="L284" s="192" t="s">
        <v>8</v>
      </c>
      <c r="M284" s="192" t="s">
        <v>24</v>
      </c>
      <c r="N284" s="51" t="str">
        <f>IF(AND('331-CT'!$E$7=TH!H284,OR(L284="331",M284="331")),"331",IF(AND(OR(L284="131",M284="131"),H284='131-CT'!$E$7),"131",""))</f>
        <v/>
      </c>
      <c r="O284" s="51" t="str">
        <f>IF(AND($B284&gt;='111'!$N$11,$B284&lt;='111'!$O$11,OR($L284=$O$7,$M284=$O$7)),"x","")</f>
        <v/>
      </c>
      <c r="P284" s="51" t="str">
        <f>IF(AND($L284=$O$7,$B284&lt;'111'!$N$11),"x","")</f>
        <v/>
      </c>
      <c r="Q284" s="51" t="str">
        <f>IF(AND($M284=$O$7,$B284&lt;'111'!$N$11),"x","")</f>
        <v/>
      </c>
      <c r="R284" s="51" t="str">
        <f>IF(ISERROR(FIND('112'!$M$9,G284,1)),"",IF((AND(FIND('112'!$M$9,G284,1)&gt;=1,$B284&gt;='112'!$N$8,$B284&lt;='112'!$O$8,OR($L284='112'!$I$6,$M284='112'!$I$6))),"x",""))</f>
        <v/>
      </c>
      <c r="S284" s="51" t="str">
        <f>IF(ISERROR(FIND('112'!$M$9,G284,1)),"",IF((AND(LEFT(G284,2)=LEFT('112'!$M$9,2),B284&lt;'112'!$N$8,$L284='112'!$I$6)),"x",""))</f>
        <v/>
      </c>
      <c r="T284" s="51" t="str">
        <f>IF(ISERROR(FIND('112'!$M$9,G284,1)),"",IF((AND(RIGHT(G284,2)=RIGHT('112'!$M$9,2),B284&lt;'112'!$N$8,$M284='112'!$I$6)),"x",""))</f>
        <v/>
      </c>
      <c r="U284" s="51" t="str">
        <f>IF(AND(L284="154",'154'!$O$5&lt;=B284,'154'!$P$5&gt;=B284),"154",IF(AND(L284="632",'632'!$L$5&lt;=B284,'632'!$M$5&gt;=B284),"632",IF(AND(L284="642",'642'!$N$5&lt;=B284,'642'!$O$5&gt;=B284),"642",IF(AND(L284="641",'641'!$N$5&lt;=B284,'641'!$O$5&gt;=B284),"641",""))))</f>
        <v/>
      </c>
      <c r="V284" s="51" t="str">
        <f>IF(OR(TH!L284=TH!$V$7,M284=TH!$V$7),"x","")</f>
        <v/>
      </c>
      <c r="W284" s="51" t="str">
        <f>IF(AND(B284&gt;='IN-NX'!$P$3,B284&lt;='IN-NX'!$Q$3,'IN-NX'!$D$7=D284,OR(LEFT(L284,2)="15",AND(LEFT(M284,2)&lt;&gt;"15",LEFT(M284,2)&lt;&gt;"33"))),"x","")</f>
        <v/>
      </c>
      <c r="X284" s="51" t="str">
        <f>IF(AND(OR(LEFT(TH!L284,2)="15",LEFT(TH!M284,2)="15"),'152-CT'!$J$8=TH!F284),"x","")</f>
        <v/>
      </c>
      <c r="Y284" s="51" t="str">
        <f>IF(AND(OR(LEFT(TH!L284,2)="15",LEFT(TH!M284,2)="15"),TK!$E$7=TH!F284),"x","")</f>
        <v/>
      </c>
      <c r="Z284" s="51" t="str">
        <f>IF(AND(B284&lt;=NKC!$N$8,B284&gt;=NKC!$M$8),"x","")</f>
        <v/>
      </c>
      <c r="AA284" s="803"/>
      <c r="AB284" s="565"/>
    </row>
    <row r="285" spans="1:29" ht="15.75" customHeight="1">
      <c r="A285" s="804" t="str">
        <f>IF(B285&lt;&gt;"",IF(AND(B285&gt;=_TM1,B285&lt;=_TM2,OR(TH!L285="1111",TH!M285="1111")),TH!D285,""),"")</f>
        <v/>
      </c>
      <c r="B285" s="36">
        <f t="shared" si="16"/>
        <v>6</v>
      </c>
      <c r="C285" s="189">
        <f t="shared" si="17"/>
        <v>42166</v>
      </c>
      <c r="D285" s="189" t="s">
        <v>422</v>
      </c>
      <c r="E285" s="182">
        <v>42166</v>
      </c>
      <c r="F285" s="187" t="s">
        <v>443</v>
      </c>
      <c r="G285" s="811" t="s">
        <v>415</v>
      </c>
      <c r="H285" s="7" t="s">
        <v>543</v>
      </c>
      <c r="I285" s="243"/>
      <c r="J285" s="243"/>
      <c r="K285" s="38">
        <v>27500</v>
      </c>
      <c r="L285" s="192" t="s">
        <v>83</v>
      </c>
      <c r="M285" s="192" t="s">
        <v>24</v>
      </c>
      <c r="N285" s="51" t="str">
        <f>IF(AND('331-CT'!$E$7=TH!H285,OR(L285="331",M285="331")),"331",IF(AND(OR(L285="131",M285="131"),H285='131-CT'!$E$7),"131",""))</f>
        <v/>
      </c>
      <c r="O285" s="51" t="str">
        <f>IF(AND($B285&gt;='111'!$N$11,$B285&lt;='111'!$O$11,OR($L285=$O$7,$M285=$O$7)),"x","")</f>
        <v/>
      </c>
      <c r="P285" s="51" t="str">
        <f>IF(AND($L285=$O$7,$B285&lt;'111'!$N$11),"x","")</f>
        <v/>
      </c>
      <c r="Q285" s="51" t="str">
        <f>IF(AND($M285=$O$7,$B285&lt;'111'!$N$11),"x","")</f>
        <v/>
      </c>
      <c r="R285" s="51" t="str">
        <f>IF(ISERROR(FIND('112'!$M$9,G285,1)),"",IF((AND(FIND('112'!$M$9,G285,1)&gt;=1,$B285&gt;='112'!$N$8,$B285&lt;='112'!$O$8,OR($L285='112'!$I$6,$M285='112'!$I$6))),"x",""))</f>
        <v/>
      </c>
      <c r="S285" s="51" t="str">
        <f>IF(ISERROR(FIND('112'!$M$9,G285,1)),"",IF((AND(LEFT(G285,2)=LEFT('112'!$M$9,2),B285&lt;'112'!$N$8,$L285='112'!$I$6)),"x",""))</f>
        <v/>
      </c>
      <c r="T285" s="51" t="str">
        <f>IF(ISERROR(FIND('112'!$M$9,G285,1)),"",IF((AND(RIGHT(G285,2)=RIGHT('112'!$M$9,2),B285&lt;'112'!$N$8,$M285='112'!$I$6)),"x",""))</f>
        <v/>
      </c>
      <c r="U285" s="51" t="str">
        <f>IF(AND(L285="154",'154'!$O$5&lt;=B285,'154'!$P$5&gt;=B285),"154",IF(AND(L285="632",'632'!$L$5&lt;=B285,'632'!$M$5&gt;=B285),"632",IF(AND(L285="642",'642'!$N$5&lt;=B285,'642'!$O$5&gt;=B285),"642",IF(AND(L285="641",'641'!$N$5&lt;=B285,'641'!$O$5&gt;=B285),"641",""))))</f>
        <v>642</v>
      </c>
      <c r="V285" s="51" t="str">
        <f>IF(OR(TH!L285=TH!$V$7,M285=TH!$V$7),"x","")</f>
        <v>x</v>
      </c>
      <c r="W285" s="51" t="str">
        <f>IF(AND(B285&gt;='IN-NX'!$P$3,B285&lt;='IN-NX'!$Q$3,'IN-NX'!$D$7=D285,OR(LEFT(L285,2)="15",AND(LEFT(M285,2)&lt;&gt;"15",LEFT(M285,2)&lt;&gt;"33"))),"x","")</f>
        <v/>
      </c>
      <c r="X285" s="51" t="str">
        <f>IF(AND(OR(LEFT(TH!L285,2)="15",LEFT(TH!M285,2)="15"),'152-CT'!$J$8=TH!F285),"x","")</f>
        <v/>
      </c>
      <c r="Y285" s="51" t="str">
        <f>IF(AND(OR(LEFT(TH!L285,2)="15",LEFT(TH!M285,2)="15"),TK!$E$7=TH!F285),"x","")</f>
        <v/>
      </c>
      <c r="Z285" s="51" t="str">
        <f>IF(AND(B285&lt;=NKC!$N$8,B285&gt;=NKC!$M$8),"x","")</f>
        <v/>
      </c>
      <c r="AA285" s="803"/>
      <c r="AB285" s="565"/>
    </row>
    <row r="286" spans="1:29" ht="15.75" customHeight="1">
      <c r="A286" s="804" t="str">
        <f>IF(B286&lt;&gt;"",IF(AND(B286&gt;=_TM1,B286&lt;=_TM2,OR(TH!L286="1111",TH!M286="1111")),TH!D286,""),"")</f>
        <v/>
      </c>
      <c r="B286" s="36">
        <f t="shared" si="16"/>
        <v>6</v>
      </c>
      <c r="C286" s="189">
        <f t="shared" si="17"/>
        <v>42166</v>
      </c>
      <c r="D286" s="189" t="s">
        <v>345</v>
      </c>
      <c r="E286" s="189">
        <v>42166</v>
      </c>
      <c r="F286" s="926" t="s">
        <v>526</v>
      </c>
      <c r="G286" s="813" t="s">
        <v>555</v>
      </c>
      <c r="H286" s="191" t="s">
        <v>525</v>
      </c>
      <c r="I286" s="243"/>
      <c r="J286" s="243"/>
      <c r="K286" s="573">
        <f>90909+263636+10309091</f>
        <v>10663636</v>
      </c>
      <c r="L286" s="574" t="s">
        <v>83</v>
      </c>
      <c r="M286" s="574" t="s">
        <v>47</v>
      </c>
      <c r="N286" s="51" t="str">
        <f>IF(AND('331-CT'!$E$7=TH!H286,OR(L286="331",M286="331")),"331",IF(AND(OR(L286="131",M286="131"),H286='131-CT'!$E$7),"131",""))</f>
        <v/>
      </c>
      <c r="O286" s="51" t="str">
        <f>IF(AND($B286&gt;='111'!$N$11,$B286&lt;='111'!$O$11,OR($L286=$O$7,$M286=$O$7)),"x","")</f>
        <v/>
      </c>
      <c r="P286" s="51" t="str">
        <f>IF(AND($L286=$O$7,$B286&lt;'111'!$N$11),"x","")</f>
        <v/>
      </c>
      <c r="Q286" s="51" t="str">
        <f>IF(AND($M286=$O$7,$B286&lt;'111'!$N$11),"x","")</f>
        <v>x</v>
      </c>
      <c r="R286" s="51" t="str">
        <f>IF(ISERROR(FIND('112'!$M$9,G286,1)),"",IF((AND(FIND('112'!$M$9,G286,1)&gt;=1,$B286&gt;='112'!$N$8,$B286&lt;='112'!$O$8,OR($L286='112'!$I$6,$M286='112'!$I$6))),"x",""))</f>
        <v/>
      </c>
      <c r="S286" s="51" t="str">
        <f>IF(ISERROR(FIND('112'!$M$9,G286,1)),"",IF((AND(LEFT(G286,2)=LEFT('112'!$M$9,2),B286&lt;'112'!$N$8,$L286='112'!$I$6)),"x",""))</f>
        <v/>
      </c>
      <c r="T286" s="51" t="str">
        <f>IF(ISERROR(FIND('112'!$M$9,G286,1)),"",IF((AND(RIGHT(G286,2)=RIGHT('112'!$M$9,2),B286&lt;'112'!$N$8,$M286='112'!$I$6)),"x",""))</f>
        <v/>
      </c>
      <c r="U286" s="51" t="str">
        <f>IF(AND(L286="154",'154'!$O$5&lt;=B286,'154'!$P$5&gt;=B286),"154",IF(AND(L286="632",'632'!$L$5&lt;=B286,'632'!$M$5&gt;=B286),"632",IF(AND(L286="642",'642'!$N$5&lt;=B286,'642'!$O$5&gt;=B286),"642",IF(AND(L286="641",'641'!$N$5&lt;=B286,'641'!$O$5&gt;=B286),"641",""))))</f>
        <v>642</v>
      </c>
      <c r="V286" s="51" t="str">
        <f>IF(OR(TH!L286=TH!$V$7,M286=TH!$V$7),"x","")</f>
        <v>x</v>
      </c>
      <c r="W286" s="51" t="str">
        <f>IF(AND(B286&gt;='IN-NX'!$P$3,B286&lt;='IN-NX'!$Q$3,'IN-NX'!$D$7=D286,OR(LEFT(L286,2)="15",AND(LEFT(M286,2)&lt;&gt;"15",LEFT(M286,2)&lt;&gt;"33"))),"x","")</f>
        <v/>
      </c>
      <c r="X286" s="51" t="str">
        <f>IF(AND(OR(LEFT(TH!L286,2)="15",LEFT(TH!M286,2)="15"),'152-CT'!$J$8=TH!F286),"x","")</f>
        <v/>
      </c>
      <c r="Y286" s="51" t="str">
        <f>IF(AND(OR(LEFT(TH!L286,2)="15",LEFT(TH!M286,2)="15"),TK!$E$7=TH!F286),"x","")</f>
        <v/>
      </c>
      <c r="Z286" s="51" t="str">
        <f>IF(AND(B286&lt;=NKC!$N$8,B286&gt;=NKC!$M$8),"x","")</f>
        <v/>
      </c>
      <c r="AA286" s="803"/>
      <c r="AB286" s="565"/>
    </row>
    <row r="287" spans="1:29" ht="15.75" customHeight="1">
      <c r="A287" s="804" t="str">
        <f>IF(B287&lt;&gt;"",IF(AND(B287&gt;=_TM1,B287&lt;=_TM2,OR(TH!L287="1111",TH!M287="1111")),TH!D287,""),"")</f>
        <v/>
      </c>
      <c r="B287" s="36">
        <f t="shared" si="16"/>
        <v>6</v>
      </c>
      <c r="C287" s="189">
        <f t="shared" si="17"/>
        <v>42166</v>
      </c>
      <c r="D287" s="189" t="s">
        <v>345</v>
      </c>
      <c r="E287" s="189">
        <v>42166</v>
      </c>
      <c r="F287" s="922" t="s">
        <v>527</v>
      </c>
      <c r="G287" s="813" t="s">
        <v>555</v>
      </c>
      <c r="H287" s="191" t="s">
        <v>525</v>
      </c>
      <c r="I287" s="243"/>
      <c r="J287" s="243"/>
      <c r="K287" s="818">
        <f>9091+26364+1030909</f>
        <v>1066364</v>
      </c>
      <c r="L287" s="574" t="s">
        <v>9</v>
      </c>
      <c r="M287" s="574" t="s">
        <v>47</v>
      </c>
      <c r="N287" s="51" t="str">
        <f>IF(AND('331-CT'!$E$7=TH!H287,OR(L287="331",M287="331")),"331",IF(AND(OR(L287="131",M287="131"),H287='131-CT'!$E$7),"131",""))</f>
        <v/>
      </c>
      <c r="O287" s="51" t="str">
        <f>IF(AND($B287&gt;='111'!$N$11,$B287&lt;='111'!$O$11,OR($L287=$O$7,$M287=$O$7)),"x","")</f>
        <v/>
      </c>
      <c r="P287" s="51" t="str">
        <f>IF(AND($L287=$O$7,$B287&lt;'111'!$N$11),"x","")</f>
        <v/>
      </c>
      <c r="Q287" s="51" t="str">
        <f>IF(AND($M287=$O$7,$B287&lt;'111'!$N$11),"x","")</f>
        <v>x</v>
      </c>
      <c r="R287" s="51" t="str">
        <f>IF(ISERROR(FIND('112'!$M$9,G287,1)),"",IF((AND(FIND('112'!$M$9,G287,1)&gt;=1,$B287&gt;='112'!$N$8,$B287&lt;='112'!$O$8,OR($L287='112'!$I$6,$M287='112'!$I$6))),"x",""))</f>
        <v/>
      </c>
      <c r="S287" s="51" t="str">
        <f>IF(ISERROR(FIND('112'!$M$9,G287,1)),"",IF((AND(LEFT(G287,2)=LEFT('112'!$M$9,2),B287&lt;'112'!$N$8,$L287='112'!$I$6)),"x",""))</f>
        <v/>
      </c>
      <c r="T287" s="51" t="str">
        <f>IF(ISERROR(FIND('112'!$M$9,G287,1)),"",IF((AND(RIGHT(G287,2)=RIGHT('112'!$M$9,2),B287&lt;'112'!$N$8,$M287='112'!$I$6)),"x",""))</f>
        <v/>
      </c>
      <c r="U287" s="51" t="str">
        <f>IF(AND(L287="154",'154'!$O$5&lt;=B287,'154'!$P$5&gt;=B287),"154",IF(AND(L287="632",'632'!$L$5&lt;=B287,'632'!$M$5&gt;=B287),"632",IF(AND(L287="642",'642'!$N$5&lt;=B287,'642'!$O$5&gt;=B287),"642",IF(AND(L287="641",'641'!$N$5&lt;=B287,'641'!$O$5&gt;=B287),"641",""))))</f>
        <v/>
      </c>
      <c r="V287" s="51" t="str">
        <f>IF(OR(TH!L287=TH!$V$7,M287=TH!$V$7),"x","")</f>
        <v/>
      </c>
      <c r="W287" s="51" t="str">
        <f>IF(AND(B287&gt;='IN-NX'!$P$3,B287&lt;='IN-NX'!$Q$3,'IN-NX'!$D$7=D287,OR(LEFT(L287,2)="15",AND(LEFT(M287,2)&lt;&gt;"15",LEFT(M287,2)&lt;&gt;"33"))),"x","")</f>
        <v/>
      </c>
      <c r="X287" s="51" t="str">
        <f>IF(AND(OR(LEFT(TH!L287,2)="15",LEFT(TH!M287,2)="15"),'152-CT'!$J$8=TH!F287),"x","")</f>
        <v/>
      </c>
      <c r="Y287" s="51" t="str">
        <f>IF(AND(OR(LEFT(TH!L287,2)="15",LEFT(TH!M287,2)="15"),TK!$E$7=TH!F287),"x","")</f>
        <v/>
      </c>
      <c r="Z287" s="51" t="str">
        <f>IF(AND(B287&lt;=NKC!$N$8,B287&gt;=NKC!$M$8),"x","")</f>
        <v/>
      </c>
      <c r="AA287" s="803">
        <v>2</v>
      </c>
      <c r="AB287" s="565"/>
    </row>
    <row r="288" spans="1:29" ht="15.75" customHeight="1">
      <c r="A288" s="804" t="str">
        <f>IF(B288&lt;&gt;"",IF(AND(B288&gt;=_TM1,B288&lt;=_TM2,OR(TH!L288="1111",TH!M288="1111")),TH!D288,""),"")</f>
        <v/>
      </c>
      <c r="B288" s="36">
        <f t="shared" si="16"/>
        <v>6</v>
      </c>
      <c r="C288" s="189">
        <f t="shared" si="17"/>
        <v>42166</v>
      </c>
      <c r="D288" s="189" t="s">
        <v>1381</v>
      </c>
      <c r="E288" s="189">
        <v>42166</v>
      </c>
      <c r="F288" s="190" t="s">
        <v>537</v>
      </c>
      <c r="G288" s="813" t="s">
        <v>561</v>
      </c>
      <c r="H288" s="191" t="s">
        <v>536</v>
      </c>
      <c r="I288" s="243"/>
      <c r="J288" s="243"/>
      <c r="K288" s="573">
        <v>250000</v>
      </c>
      <c r="L288" s="574" t="s">
        <v>83</v>
      </c>
      <c r="M288" s="574" t="s">
        <v>47</v>
      </c>
      <c r="N288" s="51" t="str">
        <f>IF(AND('331-CT'!$E$7=TH!H288,OR(L288="331",M288="331")),"331",IF(AND(OR(L288="131",M288="131"),H288='131-CT'!$E$7),"131",""))</f>
        <v/>
      </c>
      <c r="O288" s="51" t="str">
        <f>IF(AND($B288&gt;='111'!$N$11,$B288&lt;='111'!$O$11,OR($L288=$O$7,$M288=$O$7)),"x","")</f>
        <v/>
      </c>
      <c r="P288" s="51" t="str">
        <f>IF(AND($L288=$O$7,$B288&lt;'111'!$N$11),"x","")</f>
        <v/>
      </c>
      <c r="Q288" s="51" t="str">
        <f>IF(AND($M288=$O$7,$B288&lt;'111'!$N$11),"x","")</f>
        <v>x</v>
      </c>
      <c r="R288" s="51" t="str">
        <f>IF(ISERROR(FIND('112'!$M$9,G288,1)),"",IF((AND(FIND('112'!$M$9,G288,1)&gt;=1,$B288&gt;='112'!$N$8,$B288&lt;='112'!$O$8,OR($L288='112'!$I$6,$M288='112'!$I$6))),"x",""))</f>
        <v/>
      </c>
      <c r="S288" s="51" t="str">
        <f>IF(ISERROR(FIND('112'!$M$9,G288,1)),"",IF((AND(LEFT(G288,2)=LEFT('112'!$M$9,2),B288&lt;'112'!$N$8,$L288='112'!$I$6)),"x",""))</f>
        <v/>
      </c>
      <c r="T288" s="51" t="str">
        <f>IF(ISERROR(FIND('112'!$M$9,G288,1)),"",IF((AND(RIGHT(G288,2)=RIGHT('112'!$M$9,2),B288&lt;'112'!$N$8,$M288='112'!$I$6)),"x",""))</f>
        <v/>
      </c>
      <c r="U288" s="51" t="str">
        <f>IF(AND(L288="154",'154'!$O$5&lt;=B288,'154'!$P$5&gt;=B288),"154",IF(AND(L288="632",'632'!$L$5&lt;=B288,'632'!$M$5&gt;=B288),"632",IF(AND(L288="642",'642'!$N$5&lt;=B288,'642'!$O$5&gt;=B288),"642",IF(AND(L288="641",'641'!$N$5&lt;=B288,'641'!$O$5&gt;=B288),"641",""))))</f>
        <v>642</v>
      </c>
      <c r="V288" s="51" t="str">
        <f>IF(OR(TH!L288=TH!$V$7,M288=TH!$V$7),"x","")</f>
        <v>x</v>
      </c>
      <c r="W288" s="51" t="str">
        <f>IF(AND(B288&gt;='IN-NX'!$P$3,B288&lt;='IN-NX'!$Q$3,'IN-NX'!$D$7=D288,OR(LEFT(L288,2)="15",AND(LEFT(M288,2)&lt;&gt;"15",LEFT(M288,2)&lt;&gt;"33"))),"x","")</f>
        <v/>
      </c>
      <c r="X288" s="51" t="str">
        <f>IF(AND(OR(LEFT(TH!L288,2)="15",LEFT(TH!M288,2)="15"),'152-CT'!$J$8=TH!F288),"x","")</f>
        <v/>
      </c>
      <c r="Y288" s="51" t="str">
        <f>IF(AND(OR(LEFT(TH!L288,2)="15",LEFT(TH!M288,2)="15"),TK!$E$7=TH!F288),"x","")</f>
        <v/>
      </c>
      <c r="Z288" s="51" t="str">
        <f>IF(AND(B288&lt;=NKC!$N$8,B288&gt;=NKC!$M$8),"x","")</f>
        <v/>
      </c>
      <c r="AA288" s="803"/>
      <c r="AB288" s="565"/>
    </row>
    <row r="289" spans="1:29" ht="15.75" customHeight="1">
      <c r="A289" s="804" t="str">
        <f>IF(B289&lt;&gt;"",IF(AND(B289&gt;=_TM1,B289&lt;=_TM2,OR(TH!L289="1111",TH!M289="1111")),TH!D289,""),"")</f>
        <v/>
      </c>
      <c r="B289" s="36">
        <f t="shared" si="16"/>
        <v>6</v>
      </c>
      <c r="C289" s="189">
        <f t="shared" si="17"/>
        <v>42166</v>
      </c>
      <c r="D289" s="189" t="s">
        <v>1381</v>
      </c>
      <c r="E289" s="189">
        <v>42166</v>
      </c>
      <c r="F289" s="926" t="s">
        <v>538</v>
      </c>
      <c r="G289" s="813" t="s">
        <v>561</v>
      </c>
      <c r="H289" s="191" t="s">
        <v>536</v>
      </c>
      <c r="I289" s="243"/>
      <c r="J289" s="243"/>
      <c r="K289" s="573">
        <v>25000</v>
      </c>
      <c r="L289" s="574" t="s">
        <v>9</v>
      </c>
      <c r="M289" s="574" t="s">
        <v>47</v>
      </c>
      <c r="N289" s="51" t="str">
        <f>IF(AND('331-CT'!$E$7=TH!H289,OR(L289="331",M289="331")),"331",IF(AND(OR(L289="131",M289="131"),H289='131-CT'!$E$7),"131",""))</f>
        <v/>
      </c>
      <c r="O289" s="51" t="str">
        <f>IF(AND($B289&gt;='111'!$N$11,$B289&lt;='111'!$O$11,OR($L289=$O$7,$M289=$O$7)),"x","")</f>
        <v/>
      </c>
      <c r="P289" s="51" t="str">
        <f>IF(AND($L289=$O$7,$B289&lt;'111'!$N$11),"x","")</f>
        <v/>
      </c>
      <c r="Q289" s="51" t="str">
        <f>IF(AND($M289=$O$7,$B289&lt;'111'!$N$11),"x","")</f>
        <v>x</v>
      </c>
      <c r="R289" s="51" t="str">
        <f>IF(ISERROR(FIND('112'!$M$9,G289,1)),"",IF((AND(FIND('112'!$M$9,G289,1)&gt;=1,$B289&gt;='112'!$N$8,$B289&lt;='112'!$O$8,OR($L289='112'!$I$6,$M289='112'!$I$6))),"x",""))</f>
        <v/>
      </c>
      <c r="S289" s="51" t="str">
        <f>IF(ISERROR(FIND('112'!$M$9,G289,1)),"",IF((AND(LEFT(G289,2)=LEFT('112'!$M$9,2),B289&lt;'112'!$N$8,$L289='112'!$I$6)),"x",""))</f>
        <v/>
      </c>
      <c r="T289" s="51" t="str">
        <f>IF(ISERROR(FIND('112'!$M$9,G289,1)),"",IF((AND(RIGHT(G289,2)=RIGHT('112'!$M$9,2),B289&lt;'112'!$N$8,$M289='112'!$I$6)),"x",""))</f>
        <v/>
      </c>
      <c r="U289" s="51" t="str">
        <f>IF(AND(L289="154",'154'!$O$5&lt;=B289,'154'!$P$5&gt;=B289),"154",IF(AND(L289="632",'632'!$L$5&lt;=B289,'632'!$M$5&gt;=B289),"632",IF(AND(L289="642",'642'!$N$5&lt;=B289,'642'!$O$5&gt;=B289),"642",IF(AND(L289="641",'641'!$N$5&lt;=B289,'641'!$O$5&gt;=B289),"641",""))))</f>
        <v/>
      </c>
      <c r="V289" s="51" t="str">
        <f>IF(OR(TH!L289=TH!$V$7,M289=TH!$V$7),"x","")</f>
        <v/>
      </c>
      <c r="W289" s="51" t="str">
        <f>IF(AND(B289&gt;='IN-NX'!$P$3,B289&lt;='IN-NX'!$Q$3,'IN-NX'!$D$7=D289,OR(LEFT(L289,2)="15",AND(LEFT(M289,2)&lt;&gt;"15",LEFT(M289,2)&lt;&gt;"33"))),"x","")</f>
        <v/>
      </c>
      <c r="X289" s="51" t="str">
        <f>IF(AND(OR(LEFT(TH!L289,2)="15",LEFT(TH!M289,2)="15"),'152-CT'!$J$8=TH!F289),"x","")</f>
        <v/>
      </c>
      <c r="Y289" s="51" t="str">
        <f>IF(AND(OR(LEFT(TH!L289,2)="15",LEFT(TH!M289,2)="15"),TK!$E$7=TH!F289),"x","")</f>
        <v/>
      </c>
      <c r="Z289" s="51" t="str">
        <f>IF(AND(B289&lt;=NKC!$N$8,B289&gt;=NKC!$M$8),"x","")</f>
        <v/>
      </c>
      <c r="AA289" s="803">
        <v>2</v>
      </c>
      <c r="AB289" s="565"/>
    </row>
    <row r="290" spans="1:29" ht="15.75" customHeight="1">
      <c r="A290" s="804" t="str">
        <f>IF(B290&lt;&gt;"",IF(AND(B290&gt;=_TM1,B290&lt;=_TM2,OR(TH!L290="1111",TH!M290="1111")),TH!D290,""),"")</f>
        <v/>
      </c>
      <c r="B290" s="36">
        <f t="shared" si="16"/>
        <v>6</v>
      </c>
      <c r="C290" s="189">
        <f t="shared" si="17"/>
        <v>42167</v>
      </c>
      <c r="D290" s="189" t="s">
        <v>1371</v>
      </c>
      <c r="E290" s="182">
        <v>42167</v>
      </c>
      <c r="F290" s="187" t="s">
        <v>427</v>
      </c>
      <c r="G290" s="811" t="s">
        <v>415</v>
      </c>
      <c r="H290" s="7" t="s">
        <v>437</v>
      </c>
      <c r="I290" s="243"/>
      <c r="J290" s="243"/>
      <c r="K290" s="38">
        <v>7000000</v>
      </c>
      <c r="L290" s="192" t="s">
        <v>47</v>
      </c>
      <c r="M290" s="192" t="s">
        <v>24</v>
      </c>
      <c r="N290" s="51" t="str">
        <f>IF(AND('331-CT'!$E$7=TH!H290,OR(L290="331",M290="331")),"331",IF(AND(OR(L290="131",M290="131"),H290='131-CT'!$E$7),"131",""))</f>
        <v/>
      </c>
      <c r="O290" s="51" t="str">
        <f>IF(AND($B290&gt;='111'!$N$11,$B290&lt;='111'!$O$11,OR($L290=$O$7,$M290=$O$7)),"x","")</f>
        <v/>
      </c>
      <c r="P290" s="51" t="str">
        <f>IF(AND($L290=$O$7,$B290&lt;'111'!$N$11),"x","")</f>
        <v>x</v>
      </c>
      <c r="Q290" s="51" t="str">
        <f>IF(AND($M290=$O$7,$B290&lt;'111'!$N$11),"x","")</f>
        <v/>
      </c>
      <c r="R290" s="51" t="str">
        <f>IF(ISERROR(FIND('112'!$M$9,G290,1)),"",IF((AND(FIND('112'!$M$9,G290,1)&gt;=1,$B290&gt;='112'!$N$8,$B290&lt;='112'!$O$8,OR($L290='112'!$I$6,$M290='112'!$I$6))),"x",""))</f>
        <v/>
      </c>
      <c r="S290" s="51" t="str">
        <f>IF(ISERROR(FIND('112'!$M$9,G290,1)),"",IF((AND(LEFT(G290,2)=LEFT('112'!$M$9,2),B290&lt;'112'!$N$8,$L290='112'!$I$6)),"x",""))</f>
        <v/>
      </c>
      <c r="T290" s="51" t="str">
        <f>IF(ISERROR(FIND('112'!$M$9,G290,1)),"",IF((AND(RIGHT(G290,2)=RIGHT('112'!$M$9,2),B290&lt;'112'!$N$8,$M290='112'!$I$6)),"x",""))</f>
        <v/>
      </c>
      <c r="U290" s="51" t="str">
        <f>IF(AND(L290="154",'154'!$O$5&lt;=B290,'154'!$P$5&gt;=B290),"154",IF(AND(L290="632",'632'!$L$5&lt;=B290,'632'!$M$5&gt;=B290),"632",IF(AND(L290="642",'642'!$N$5&lt;=B290,'642'!$O$5&gt;=B290),"642",IF(AND(L290="641",'641'!$N$5&lt;=B290,'641'!$O$5&gt;=B290),"641",""))))</f>
        <v/>
      </c>
      <c r="V290" s="51" t="str">
        <f>IF(OR(TH!L290=TH!$V$7,M290=TH!$V$7),"x","")</f>
        <v/>
      </c>
      <c r="W290" s="51" t="str">
        <f>IF(AND(B290&gt;='IN-NX'!$P$3,B290&lt;='IN-NX'!$Q$3,'IN-NX'!$D$7=D290,OR(LEFT(L290,2)="15",AND(LEFT(M290,2)&lt;&gt;"15",LEFT(M290,2)&lt;&gt;"33"))),"x","")</f>
        <v/>
      </c>
      <c r="X290" s="51" t="str">
        <f>IF(AND(OR(LEFT(TH!L290,2)="15",LEFT(TH!M290,2)="15"),'152-CT'!$J$8=TH!F290),"x","")</f>
        <v/>
      </c>
      <c r="Y290" s="51" t="str">
        <f>IF(AND(OR(LEFT(TH!L290,2)="15",LEFT(TH!M290,2)="15"),TK!$E$7=TH!F290),"x","")</f>
        <v/>
      </c>
      <c r="Z290" s="51" t="str">
        <f>IF(AND(B290&lt;=NKC!$N$8,B290&gt;=NKC!$M$8),"x","")</f>
        <v/>
      </c>
      <c r="AA290" s="803"/>
      <c r="AB290" s="565"/>
    </row>
    <row r="291" spans="1:29" ht="15.75" customHeight="1">
      <c r="A291" s="804" t="str">
        <f>IF(B291&lt;&gt;"",IF(AND(B291&gt;=_TM1,B291&lt;=_TM2,OR(TH!L291="1111",TH!M291="1111")),TH!D291,""),"")</f>
        <v/>
      </c>
      <c r="B291" s="36">
        <f t="shared" si="16"/>
        <v>6</v>
      </c>
      <c r="C291" s="189">
        <f t="shared" si="17"/>
        <v>42170</v>
      </c>
      <c r="D291" s="189" t="s">
        <v>1372</v>
      </c>
      <c r="E291" s="182">
        <v>42170</v>
      </c>
      <c r="F291" s="187" t="s">
        <v>427</v>
      </c>
      <c r="G291" s="811" t="s">
        <v>415</v>
      </c>
      <c r="H291" s="7" t="s">
        <v>437</v>
      </c>
      <c r="I291" s="243"/>
      <c r="J291" s="243"/>
      <c r="K291" s="38">
        <v>10000000</v>
      </c>
      <c r="L291" s="192" t="s">
        <v>47</v>
      </c>
      <c r="M291" s="192" t="s">
        <v>24</v>
      </c>
      <c r="N291" s="51" t="str">
        <f>IF(AND('331-CT'!$E$7=TH!H291,OR(L291="331",M291="331")),"331",IF(AND(OR(L291="131",M291="131"),H291='131-CT'!$E$7),"131",""))</f>
        <v/>
      </c>
      <c r="O291" s="51" t="str">
        <f>IF(AND($B291&gt;='111'!$N$11,$B291&lt;='111'!$O$11,OR($L291=$O$7,$M291=$O$7)),"x","")</f>
        <v/>
      </c>
      <c r="P291" s="51" t="str">
        <f>IF(AND($L291=$O$7,$B291&lt;'111'!$N$11),"x","")</f>
        <v>x</v>
      </c>
      <c r="Q291" s="51" t="str">
        <f>IF(AND($M291=$O$7,$B291&lt;'111'!$N$11),"x","")</f>
        <v/>
      </c>
      <c r="R291" s="51" t="str">
        <f>IF(ISERROR(FIND('112'!$M$9,G291,1)),"",IF((AND(FIND('112'!$M$9,G291,1)&gt;=1,$B291&gt;='112'!$N$8,$B291&lt;='112'!$O$8,OR($L291='112'!$I$6,$M291='112'!$I$6))),"x",""))</f>
        <v/>
      </c>
      <c r="S291" s="51" t="str">
        <f>IF(ISERROR(FIND('112'!$M$9,G291,1)),"",IF((AND(LEFT(G291,2)=LEFT('112'!$M$9,2),B291&lt;'112'!$N$8,$L291='112'!$I$6)),"x",""))</f>
        <v/>
      </c>
      <c r="T291" s="51" t="str">
        <f>IF(ISERROR(FIND('112'!$M$9,G291,1)),"",IF((AND(RIGHT(G291,2)=RIGHT('112'!$M$9,2),B291&lt;'112'!$N$8,$M291='112'!$I$6)),"x",""))</f>
        <v/>
      </c>
      <c r="U291" s="51" t="str">
        <f>IF(AND(L291="154",'154'!$O$5&lt;=B291,'154'!$P$5&gt;=B291),"154",IF(AND(L291="632",'632'!$L$5&lt;=B291,'632'!$M$5&gt;=B291),"632",IF(AND(L291="642",'642'!$N$5&lt;=B291,'642'!$O$5&gt;=B291),"642",IF(AND(L291="641",'641'!$N$5&lt;=B291,'641'!$O$5&gt;=B291),"641",""))))</f>
        <v/>
      </c>
      <c r="V291" s="51" t="str">
        <f>IF(OR(TH!L291=TH!$V$7,M291=TH!$V$7),"x","")</f>
        <v/>
      </c>
      <c r="W291" s="51" t="str">
        <f>IF(AND(B291&gt;='IN-NX'!$P$3,B291&lt;='IN-NX'!$Q$3,'IN-NX'!$D$7=D291,OR(LEFT(L291,2)="15",AND(LEFT(M291,2)&lt;&gt;"15",LEFT(M291,2)&lt;&gt;"33"))),"x","")</f>
        <v/>
      </c>
      <c r="X291" s="51" t="str">
        <f>IF(AND(OR(LEFT(TH!L291,2)="15",LEFT(TH!M291,2)="15"),'152-CT'!$J$8=TH!F291),"x","")</f>
        <v/>
      </c>
      <c r="Y291" s="51" t="str">
        <f>IF(AND(OR(LEFT(TH!L291,2)="15",LEFT(TH!M291,2)="15"),TK!$E$7=TH!F291),"x","")</f>
        <v/>
      </c>
      <c r="Z291" s="51" t="str">
        <f>IF(AND(B291&lt;=NKC!$N$8,B291&gt;=NKC!$M$8),"x","")</f>
        <v/>
      </c>
      <c r="AA291" s="803"/>
      <c r="AB291" s="565"/>
    </row>
    <row r="292" spans="1:29" ht="15.75" customHeight="1">
      <c r="A292" s="804" t="str">
        <f>IF(B292&lt;&gt;"",IF(AND(B292&gt;=_TM1,B292&lt;=_TM2,OR(TH!L292="1111",TH!M292="1111")),TH!D292,""),"")</f>
        <v/>
      </c>
      <c r="B292" s="36">
        <f t="shared" si="16"/>
        <v>6</v>
      </c>
      <c r="C292" s="189">
        <f t="shared" si="17"/>
        <v>42170</v>
      </c>
      <c r="D292" s="189" t="s">
        <v>1294</v>
      </c>
      <c r="E292" s="189">
        <v>42170</v>
      </c>
      <c r="F292" s="926" t="s">
        <v>1197</v>
      </c>
      <c r="G292" s="813" t="s">
        <v>993</v>
      </c>
      <c r="H292" s="7" t="s">
        <v>416</v>
      </c>
      <c r="I292" s="243">
        <v>900</v>
      </c>
      <c r="J292" s="243">
        <v>2400</v>
      </c>
      <c r="K292" s="573">
        <f>ROUND(I292*J292,0)</f>
        <v>2160000</v>
      </c>
      <c r="L292" s="574" t="s">
        <v>250</v>
      </c>
      <c r="M292" s="574" t="s">
        <v>164</v>
      </c>
      <c r="N292" s="51" t="str">
        <f>IF(AND('331-CT'!$E$7=TH!H292,OR(L292="331",M292="331")),"331",IF(AND(OR(L292="131",M292="131"),H292='131-CT'!$E$7),"131",""))</f>
        <v/>
      </c>
      <c r="O292" s="51" t="str">
        <f>IF(AND($B292&gt;='111'!$N$11,$B292&lt;='111'!$O$11,OR($L292=$O$7,$M292=$O$7)),"x","")</f>
        <v/>
      </c>
      <c r="P292" s="51" t="str">
        <f>IF(AND($L292=$O$7,$B292&lt;'111'!$N$11),"x","")</f>
        <v/>
      </c>
      <c r="Q292" s="51" t="str">
        <f>IF(AND($M292=$O$7,$B292&lt;'111'!$N$11),"x","")</f>
        <v/>
      </c>
      <c r="R292" s="51" t="str">
        <f>IF(ISERROR(FIND('112'!$M$9,G292,1)),"",IF((AND(FIND('112'!$M$9,G292,1)&gt;=1,$B292&gt;='112'!$N$8,$B292&lt;='112'!$O$8,OR($L292='112'!$I$6,$M292='112'!$I$6))),"x",""))</f>
        <v/>
      </c>
      <c r="S292" s="51" t="str">
        <f>IF(ISERROR(FIND('112'!$M$9,G292,1)),"",IF((AND(LEFT(G292,2)=LEFT('112'!$M$9,2),B292&lt;'112'!$N$8,$L292='112'!$I$6)),"x",""))</f>
        <v/>
      </c>
      <c r="T292" s="51" t="str">
        <f>IF(ISERROR(FIND('112'!$M$9,G292,1)),"",IF((AND(RIGHT(G292,2)=RIGHT('112'!$M$9,2),B292&lt;'112'!$N$8,$M292='112'!$I$6)),"x",""))</f>
        <v/>
      </c>
      <c r="U292" s="51" t="str">
        <f>IF(AND(L292="154",'154'!$O$5&lt;=B292,'154'!$P$5&gt;=B292),"154",IF(AND(L292="632",'632'!$L$5&lt;=B292,'632'!$M$5&gt;=B292),"632",IF(AND(L292="642",'642'!$N$5&lt;=B292,'642'!$O$5&gt;=B292),"642",IF(AND(L292="641",'641'!$N$5&lt;=B292,'641'!$O$5&gt;=B292),"641",""))))</f>
        <v/>
      </c>
      <c r="V292" s="51" t="str">
        <f>IF(OR(TH!L292=TH!$V$7,M292=TH!$V$7),"x","")</f>
        <v/>
      </c>
      <c r="W292" s="51" t="str">
        <f>IF(AND(B292&gt;='IN-NX'!$P$3,B292&lt;='IN-NX'!$Q$3,'IN-NX'!$D$7=D292,OR(LEFT(L292,2)="15",AND(LEFT(M292,2)&lt;&gt;"15",LEFT(M292,2)&lt;&gt;"33"))),"x","")</f>
        <v/>
      </c>
      <c r="X292" s="51" t="str">
        <f>IF(AND(OR(LEFT(TH!L292,2)="15",LEFT(TH!M292,2)="15"),'152-CT'!$J$8=TH!F292),"x","")</f>
        <v/>
      </c>
      <c r="Y292" s="51" t="str">
        <f>IF(AND(OR(LEFT(TH!L292,2)="15",LEFT(TH!M292,2)="15"),TK!$E$7=TH!F292),"x","")</f>
        <v/>
      </c>
      <c r="Z292" s="51" t="str">
        <f>IF(AND(B292&lt;=NKC!$N$8,B292&gt;=NKC!$M$8),"x","")</f>
        <v/>
      </c>
      <c r="AA292" s="803"/>
      <c r="AB292" s="565"/>
    </row>
    <row r="293" spans="1:29" ht="15.75" customHeight="1">
      <c r="A293" s="804" t="str">
        <f>IF(B293&lt;&gt;"",IF(AND(B293&gt;=_TM1,B293&lt;=_TM2,OR(TH!L293="1111",TH!M293="1111")),TH!D293,""),"")</f>
        <v/>
      </c>
      <c r="B293" s="36">
        <f t="shared" si="16"/>
        <v>6</v>
      </c>
      <c r="C293" s="189">
        <f t="shared" si="17"/>
        <v>42170</v>
      </c>
      <c r="D293" s="189" t="s">
        <v>1294</v>
      </c>
      <c r="E293" s="189">
        <v>42170</v>
      </c>
      <c r="F293" s="926" t="s">
        <v>994</v>
      </c>
      <c r="G293" s="813" t="s">
        <v>993</v>
      </c>
      <c r="H293" s="7" t="s">
        <v>416</v>
      </c>
      <c r="I293" s="243"/>
      <c r="J293" s="243"/>
      <c r="K293" s="573">
        <v>216000</v>
      </c>
      <c r="L293" s="574" t="s">
        <v>250</v>
      </c>
      <c r="M293" s="574" t="s">
        <v>352</v>
      </c>
      <c r="N293" s="51" t="str">
        <f>IF(AND('331-CT'!$E$7=TH!H293,OR(L293="331",M293="331")),"331",IF(AND(OR(L293="131",M293="131"),H293='131-CT'!$E$7),"131",""))</f>
        <v/>
      </c>
      <c r="O293" s="51" t="str">
        <f>IF(AND($B293&gt;='111'!$N$11,$B293&lt;='111'!$O$11,OR($L293=$O$7,$M293=$O$7)),"x","")</f>
        <v/>
      </c>
      <c r="P293" s="51" t="str">
        <f>IF(AND($L293=$O$7,$B293&lt;'111'!$N$11),"x","")</f>
        <v/>
      </c>
      <c r="Q293" s="51" t="str">
        <f>IF(AND($M293=$O$7,$B293&lt;'111'!$N$11),"x","")</f>
        <v/>
      </c>
      <c r="R293" s="51" t="str">
        <f>IF(ISERROR(FIND('112'!$M$9,G293,1)),"",IF((AND(FIND('112'!$M$9,G293,1)&gt;=1,$B293&gt;='112'!$N$8,$B293&lt;='112'!$O$8,OR($L293='112'!$I$6,$M293='112'!$I$6))),"x",""))</f>
        <v/>
      </c>
      <c r="S293" s="51" t="str">
        <f>IF(ISERROR(FIND('112'!$M$9,G293,1)),"",IF((AND(LEFT(G293,2)=LEFT('112'!$M$9,2),B293&lt;'112'!$N$8,$L293='112'!$I$6)),"x",""))</f>
        <v/>
      </c>
      <c r="T293" s="51" t="str">
        <f>IF(ISERROR(FIND('112'!$M$9,G293,1)),"",IF((AND(RIGHT(G293,2)=RIGHT('112'!$M$9,2),B293&lt;'112'!$N$8,$M293='112'!$I$6)),"x",""))</f>
        <v/>
      </c>
      <c r="U293" s="51" t="str">
        <f>IF(AND(L293="154",'154'!$O$5&lt;=B293,'154'!$P$5&gt;=B293),"154",IF(AND(L293="632",'632'!$L$5&lt;=B293,'632'!$M$5&gt;=B293),"632",IF(AND(L293="642",'642'!$N$5&lt;=B293,'642'!$O$5&gt;=B293),"642",IF(AND(L293="641",'641'!$N$5&lt;=B293,'641'!$O$5&gt;=B293),"641",""))))</f>
        <v/>
      </c>
      <c r="V293" s="51" t="str">
        <f>IF(OR(TH!L293=TH!$V$7,M293=TH!$V$7),"x","")</f>
        <v/>
      </c>
      <c r="W293" s="51" t="str">
        <f>IF(AND(B293&gt;='IN-NX'!$P$3,B293&lt;='IN-NX'!$Q$3,'IN-NX'!$D$7=D293,OR(LEFT(L293,2)="15",AND(LEFT(M293,2)&lt;&gt;"15",LEFT(M293,2)&lt;&gt;"33"))),"x","")</f>
        <v/>
      </c>
      <c r="X293" s="51" t="str">
        <f>IF(AND(OR(LEFT(TH!L293,2)="15",LEFT(TH!M293,2)="15"),'152-CT'!$J$8=TH!F293),"x","")</f>
        <v/>
      </c>
      <c r="Y293" s="51" t="str">
        <f>IF(AND(OR(LEFT(TH!L293,2)="15",LEFT(TH!M293,2)="15"),TK!$E$7=TH!F293),"x","")</f>
        <v/>
      </c>
      <c r="Z293" s="51" t="str">
        <f>IF(AND(B293&lt;=NKC!$N$8,B293&gt;=NKC!$M$8),"x","")</f>
        <v/>
      </c>
      <c r="AA293" s="803"/>
      <c r="AB293" s="565"/>
      <c r="AC293" s="565"/>
    </row>
    <row r="294" spans="1:29" ht="15.75" customHeight="1">
      <c r="A294" s="804" t="str">
        <f>IF(B294&lt;&gt;"",IF(AND(B294&gt;=_TM1,B294&lt;=_TM2,OR(TH!L294="1111",TH!M294="1111")),TH!D294,""),"")</f>
        <v/>
      </c>
      <c r="B294" s="36">
        <f t="shared" si="16"/>
        <v>6</v>
      </c>
      <c r="C294" s="189">
        <f t="shared" si="17"/>
        <v>42171</v>
      </c>
      <c r="D294" s="189" t="s">
        <v>1375</v>
      </c>
      <c r="E294" s="182">
        <v>42171</v>
      </c>
      <c r="F294" s="187" t="s">
        <v>427</v>
      </c>
      <c r="G294" s="811" t="s">
        <v>415</v>
      </c>
      <c r="H294" s="7" t="s">
        <v>437</v>
      </c>
      <c r="I294" s="243"/>
      <c r="J294" s="243"/>
      <c r="K294" s="38">
        <v>5000000</v>
      </c>
      <c r="L294" s="192" t="s">
        <v>47</v>
      </c>
      <c r="M294" s="192" t="s">
        <v>24</v>
      </c>
      <c r="N294" s="51" t="str">
        <f>IF(AND('331-CT'!$E$7=TH!H294,OR(L294="331",M294="331")),"331",IF(AND(OR(L294="131",M294="131"),H294='131-CT'!$E$7),"131",""))</f>
        <v/>
      </c>
      <c r="O294" s="51" t="str">
        <f>IF(AND($B294&gt;='111'!$N$11,$B294&lt;='111'!$O$11,OR($L294=$O$7,$M294=$O$7)),"x","")</f>
        <v/>
      </c>
      <c r="P294" s="51" t="str">
        <f>IF(AND($L294=$O$7,$B294&lt;'111'!$N$11),"x","")</f>
        <v>x</v>
      </c>
      <c r="Q294" s="51" t="str">
        <f>IF(AND($M294=$O$7,$B294&lt;'111'!$N$11),"x","")</f>
        <v/>
      </c>
      <c r="R294" s="51" t="str">
        <f>IF(ISERROR(FIND('112'!$M$9,G294,1)),"",IF((AND(FIND('112'!$M$9,G294,1)&gt;=1,$B294&gt;='112'!$N$8,$B294&lt;='112'!$O$8,OR($L294='112'!$I$6,$M294='112'!$I$6))),"x",""))</f>
        <v/>
      </c>
      <c r="S294" s="51" t="str">
        <f>IF(ISERROR(FIND('112'!$M$9,G294,1)),"",IF((AND(LEFT(G294,2)=LEFT('112'!$M$9,2),B294&lt;'112'!$N$8,$L294='112'!$I$6)),"x",""))</f>
        <v/>
      </c>
      <c r="T294" s="51" t="str">
        <f>IF(ISERROR(FIND('112'!$M$9,G294,1)),"",IF((AND(RIGHT(G294,2)=RIGHT('112'!$M$9,2),B294&lt;'112'!$N$8,$M294='112'!$I$6)),"x",""))</f>
        <v/>
      </c>
      <c r="U294" s="51" t="str">
        <f>IF(AND(L294="154",'154'!$O$5&lt;=B294,'154'!$P$5&gt;=B294),"154",IF(AND(L294="632",'632'!$L$5&lt;=B294,'632'!$M$5&gt;=B294),"632",IF(AND(L294="642",'642'!$N$5&lt;=B294,'642'!$O$5&gt;=B294),"642",IF(AND(L294="641",'641'!$N$5&lt;=B294,'641'!$O$5&gt;=B294),"641",""))))</f>
        <v/>
      </c>
      <c r="V294" s="51" t="str">
        <f>IF(OR(TH!L294=TH!$V$7,M294=TH!$V$7),"x","")</f>
        <v/>
      </c>
      <c r="W294" s="51" t="str">
        <f>IF(AND(B294&gt;='IN-NX'!$P$3,B294&lt;='IN-NX'!$Q$3,'IN-NX'!$D$7=D294,OR(LEFT(L294,2)="15",AND(LEFT(M294,2)&lt;&gt;"15",LEFT(M294,2)&lt;&gt;"33"))),"x","")</f>
        <v/>
      </c>
      <c r="X294" s="51" t="str">
        <f>IF(AND(OR(LEFT(TH!L294,2)="15",LEFT(TH!M294,2)="15"),'152-CT'!$J$8=TH!F294),"x","")</f>
        <v/>
      </c>
      <c r="Y294" s="51" t="str">
        <f>IF(AND(OR(LEFT(TH!L294,2)="15",LEFT(TH!M294,2)="15"),TK!$E$7=TH!F294),"x","")</f>
        <v/>
      </c>
      <c r="Z294" s="51" t="str">
        <f>IF(AND(B294&lt;=NKC!$N$8,B294&gt;=NKC!$M$8),"x","")</f>
        <v/>
      </c>
      <c r="AA294" s="803"/>
      <c r="AB294" s="565"/>
    </row>
    <row r="295" spans="1:29" ht="15.75" customHeight="1">
      <c r="A295" s="804" t="str">
        <f>IF(B295&lt;&gt;"",IF(AND(B295&gt;=_TM1,B295&lt;=_TM2,OR(TH!L295="1111",TH!M295="1111")),TH!D295,""),"")</f>
        <v/>
      </c>
      <c r="B295" s="36">
        <f t="shared" si="16"/>
        <v>6</v>
      </c>
      <c r="C295" s="189">
        <f t="shared" si="17"/>
        <v>42172</v>
      </c>
      <c r="D295" s="189" t="s">
        <v>1376</v>
      </c>
      <c r="E295" s="182">
        <v>42172</v>
      </c>
      <c r="F295" s="187" t="s">
        <v>427</v>
      </c>
      <c r="G295" s="811" t="s">
        <v>415</v>
      </c>
      <c r="H295" s="7" t="s">
        <v>437</v>
      </c>
      <c r="I295" s="243"/>
      <c r="J295" s="243"/>
      <c r="K295" s="38">
        <v>16000000</v>
      </c>
      <c r="L295" s="192" t="s">
        <v>47</v>
      </c>
      <c r="M295" s="192" t="s">
        <v>24</v>
      </c>
      <c r="N295" s="51" t="str">
        <f>IF(AND('331-CT'!$E$7=TH!H295,OR(L295="331",M295="331")),"331",IF(AND(OR(L295="131",M295="131"),H295='131-CT'!$E$7),"131",""))</f>
        <v/>
      </c>
      <c r="O295" s="51" t="str">
        <f>IF(AND($B295&gt;='111'!$N$11,$B295&lt;='111'!$O$11,OR($L295=$O$7,$M295=$O$7)),"x","")</f>
        <v/>
      </c>
      <c r="P295" s="51" t="str">
        <f>IF(AND($L295=$O$7,$B295&lt;'111'!$N$11),"x","")</f>
        <v>x</v>
      </c>
      <c r="Q295" s="51" t="str">
        <f>IF(AND($M295=$O$7,$B295&lt;'111'!$N$11),"x","")</f>
        <v/>
      </c>
      <c r="R295" s="51" t="str">
        <f>IF(ISERROR(FIND('112'!$M$9,G295,1)),"",IF((AND(FIND('112'!$M$9,G295,1)&gt;=1,$B295&gt;='112'!$N$8,$B295&lt;='112'!$O$8,OR($L295='112'!$I$6,$M295='112'!$I$6))),"x",""))</f>
        <v/>
      </c>
      <c r="S295" s="51" t="str">
        <f>IF(ISERROR(FIND('112'!$M$9,G295,1)),"",IF((AND(LEFT(G295,2)=LEFT('112'!$M$9,2),B295&lt;'112'!$N$8,$L295='112'!$I$6)),"x",""))</f>
        <v/>
      </c>
      <c r="T295" s="51" t="str">
        <f>IF(ISERROR(FIND('112'!$M$9,G295,1)),"",IF((AND(RIGHT(G295,2)=RIGHT('112'!$M$9,2),B295&lt;'112'!$N$8,$M295='112'!$I$6)),"x",""))</f>
        <v/>
      </c>
      <c r="U295" s="51" t="str">
        <f>IF(AND(L295="154",'154'!$O$5&lt;=B295,'154'!$P$5&gt;=B295),"154",IF(AND(L295="632",'632'!$L$5&lt;=B295,'632'!$M$5&gt;=B295),"632",IF(AND(L295="642",'642'!$N$5&lt;=B295,'642'!$O$5&gt;=B295),"642",IF(AND(L295="641",'641'!$N$5&lt;=B295,'641'!$O$5&gt;=B295),"641",""))))</f>
        <v/>
      </c>
      <c r="V295" s="51" t="str">
        <f>IF(OR(TH!L295=TH!$V$7,M295=TH!$V$7),"x","")</f>
        <v/>
      </c>
      <c r="W295" s="51" t="str">
        <f>IF(AND(B295&gt;='IN-NX'!$P$3,B295&lt;='IN-NX'!$Q$3,'IN-NX'!$D$7=D295,OR(LEFT(L295,2)="15",AND(LEFT(M295,2)&lt;&gt;"15",LEFT(M295,2)&lt;&gt;"33"))),"x","")</f>
        <v/>
      </c>
      <c r="X295" s="51" t="str">
        <f>IF(AND(OR(LEFT(TH!L295,2)="15",LEFT(TH!M295,2)="15"),'152-CT'!$J$8=TH!F295),"x","")</f>
        <v/>
      </c>
      <c r="Y295" s="51" t="str">
        <f>IF(AND(OR(LEFT(TH!L295,2)="15",LEFT(TH!M295,2)="15"),TK!$E$7=TH!F295),"x","")</f>
        <v/>
      </c>
      <c r="Z295" s="51" t="str">
        <f>IF(AND(B295&lt;=NKC!$N$8,B295&gt;=NKC!$M$8),"x","")</f>
        <v/>
      </c>
      <c r="AA295" s="803"/>
      <c r="AB295" s="565"/>
    </row>
    <row r="296" spans="1:29" ht="15.75" customHeight="1">
      <c r="A296" s="804" t="str">
        <f>IF(B296&lt;&gt;"",IF(AND(B296&gt;=_TM1,B296&lt;=_TM2,OR(TH!L296="1111",TH!M296="1111")),TH!D296,""),"")</f>
        <v/>
      </c>
      <c r="B296" s="36">
        <f t="shared" si="16"/>
        <v>6</v>
      </c>
      <c r="C296" s="189">
        <f t="shared" si="17"/>
        <v>42172</v>
      </c>
      <c r="D296" s="189" t="s">
        <v>422</v>
      </c>
      <c r="E296" s="182">
        <v>42172</v>
      </c>
      <c r="F296" s="187" t="s">
        <v>438</v>
      </c>
      <c r="G296" s="811" t="s">
        <v>415</v>
      </c>
      <c r="H296" s="7" t="s">
        <v>509</v>
      </c>
      <c r="I296" s="243"/>
      <c r="J296" s="243"/>
      <c r="K296" s="38">
        <v>23749669</v>
      </c>
      <c r="L296" s="192" t="s">
        <v>8</v>
      </c>
      <c r="M296" s="192" t="s">
        <v>24</v>
      </c>
      <c r="N296" s="51" t="str">
        <f>IF(AND('331-CT'!$E$7=TH!H296,OR(L296="331",M296="331")),"331",IF(AND(OR(L296="131",M296="131"),H296='131-CT'!$E$7),"131",""))</f>
        <v/>
      </c>
      <c r="O296" s="51" t="str">
        <f>IF(AND($B296&gt;='111'!$N$11,$B296&lt;='111'!$O$11,OR($L296=$O$7,$M296=$O$7)),"x","")</f>
        <v/>
      </c>
      <c r="P296" s="51" t="str">
        <f>IF(AND($L296=$O$7,$B296&lt;'111'!$N$11),"x","")</f>
        <v/>
      </c>
      <c r="Q296" s="51" t="str">
        <f>IF(AND($M296=$O$7,$B296&lt;'111'!$N$11),"x","")</f>
        <v/>
      </c>
      <c r="R296" s="51" t="str">
        <f>IF(ISERROR(FIND('112'!$M$9,G296,1)),"",IF((AND(FIND('112'!$M$9,G296,1)&gt;=1,$B296&gt;='112'!$N$8,$B296&lt;='112'!$O$8,OR($L296='112'!$I$6,$M296='112'!$I$6))),"x",""))</f>
        <v/>
      </c>
      <c r="S296" s="51" t="str">
        <f>IF(ISERROR(FIND('112'!$M$9,G296,1)),"",IF((AND(LEFT(G296,2)=LEFT('112'!$M$9,2),B296&lt;'112'!$N$8,$L296='112'!$I$6)),"x",""))</f>
        <v/>
      </c>
      <c r="T296" s="51" t="str">
        <f>IF(ISERROR(FIND('112'!$M$9,G296,1)),"",IF((AND(RIGHT(G296,2)=RIGHT('112'!$M$9,2),B296&lt;'112'!$N$8,$M296='112'!$I$6)),"x",""))</f>
        <v/>
      </c>
      <c r="U296" s="51" t="str">
        <f>IF(AND(L296="154",'154'!$O$5&lt;=B296,'154'!$P$5&gt;=B296),"154",IF(AND(L296="632",'632'!$L$5&lt;=B296,'632'!$M$5&gt;=B296),"632",IF(AND(L296="642",'642'!$N$5&lt;=B296,'642'!$O$5&gt;=B296),"642",IF(AND(L296="641",'641'!$N$5&lt;=B296,'641'!$O$5&gt;=B296),"641",""))))</f>
        <v/>
      </c>
      <c r="V296" s="51" t="str">
        <f>IF(OR(TH!L296=TH!$V$7,M296=TH!$V$7),"x","")</f>
        <v/>
      </c>
      <c r="W296" s="51" t="str">
        <f>IF(AND(B296&gt;='IN-NX'!$P$3,B296&lt;='IN-NX'!$Q$3,'IN-NX'!$D$7=D296,OR(LEFT(L296,2)="15",AND(LEFT(M296,2)&lt;&gt;"15",LEFT(M296,2)&lt;&gt;"33"))),"x","")</f>
        <v/>
      </c>
      <c r="X296" s="51" t="str">
        <f>IF(AND(OR(LEFT(TH!L296,2)="15",LEFT(TH!M296,2)="15"),'152-CT'!$J$8=TH!F296),"x","")</f>
        <v/>
      </c>
      <c r="Y296" s="51" t="str">
        <f>IF(AND(OR(LEFT(TH!L296,2)="15",LEFT(TH!M296,2)="15"),TK!$E$7=TH!F296),"x","")</f>
        <v/>
      </c>
      <c r="Z296" s="51" t="str">
        <f>IF(AND(B296&lt;=NKC!$N$8,B296&gt;=NKC!$M$8),"x","")</f>
        <v/>
      </c>
      <c r="AA296" s="803"/>
    </row>
    <row r="297" spans="1:29" ht="15.75" customHeight="1">
      <c r="A297" s="804" t="str">
        <f>IF(B297&lt;&gt;"",IF(AND(B297&gt;=_TM1,B297&lt;=_TM2,OR(TH!L297="1111",TH!M297="1111")),TH!D297,""),"")</f>
        <v/>
      </c>
      <c r="B297" s="36">
        <f t="shared" ref="B297" si="18">IF(C297&lt;&gt;"",MONTH(C297),"")</f>
        <v>6</v>
      </c>
      <c r="C297" s="189">
        <f t="shared" ref="C297" si="19">E297</f>
        <v>42172</v>
      </c>
      <c r="D297" s="189" t="s">
        <v>422</v>
      </c>
      <c r="E297" s="182">
        <v>42172</v>
      </c>
      <c r="F297" s="187" t="s">
        <v>443</v>
      </c>
      <c r="G297" s="811" t="s">
        <v>415</v>
      </c>
      <c r="H297" s="7"/>
      <c r="I297" s="243"/>
      <c r="J297" s="243"/>
      <c r="K297" s="38">
        <v>11000</v>
      </c>
      <c r="L297" s="192" t="s">
        <v>83</v>
      </c>
      <c r="M297" s="192" t="s">
        <v>24</v>
      </c>
      <c r="N297" s="51" t="str">
        <f>IF(AND('331-CT'!$E$7=TH!H297,OR(L297="331",M297="331")),"331",IF(AND(OR(L297="131",M297="131"),H297='131-CT'!$E$7),"131",""))</f>
        <v/>
      </c>
      <c r="O297" s="51" t="str">
        <f>IF(AND($B297&gt;='111'!$N$11,$B297&lt;='111'!$O$11,OR($L297=$O$7,$M297=$O$7)),"x","")</f>
        <v/>
      </c>
      <c r="P297" s="51" t="str">
        <f>IF(AND($L297=$O$7,$B297&lt;'111'!$N$11),"x","")</f>
        <v/>
      </c>
      <c r="Q297" s="51" t="str">
        <f>IF(AND($M297=$O$7,$B297&lt;'111'!$N$11),"x","")</f>
        <v/>
      </c>
      <c r="R297" s="51" t="str">
        <f>IF(ISERROR(FIND('112'!$M$9,G297,1)),"",IF((AND(FIND('112'!$M$9,G297,1)&gt;=1,$B297&gt;='112'!$N$8,$B297&lt;='112'!$O$8,OR($L297='112'!$I$6,$M297='112'!$I$6))),"x",""))</f>
        <v/>
      </c>
      <c r="S297" s="51" t="str">
        <f>IF(ISERROR(FIND('112'!$M$9,G297,1)),"",IF((AND(LEFT(G297,2)=LEFT('112'!$M$9,2),B297&lt;'112'!$N$8,$L297='112'!$I$6)),"x",""))</f>
        <v/>
      </c>
      <c r="T297" s="51" t="str">
        <f>IF(ISERROR(FIND('112'!$M$9,G297,1)),"",IF((AND(RIGHT(G297,2)=RIGHT('112'!$M$9,2),B297&lt;'112'!$N$8,$M297='112'!$I$6)),"x",""))</f>
        <v/>
      </c>
      <c r="U297" s="51" t="str">
        <f>IF(AND(L297="154",'154'!$O$5&lt;=B297,'154'!$P$5&gt;=B297),"154",IF(AND(L297="632",'632'!$L$5&lt;=B297,'632'!$M$5&gt;=B297),"632",IF(AND(L297="642",'642'!$N$5&lt;=B297,'642'!$O$5&gt;=B297),"642",IF(AND(L297="641",'641'!$N$5&lt;=B297,'641'!$O$5&gt;=B297),"641",""))))</f>
        <v>642</v>
      </c>
      <c r="V297" s="51" t="str">
        <f>IF(OR(TH!L297=TH!$V$7,M297=TH!$V$7),"x","")</f>
        <v>x</v>
      </c>
      <c r="W297" s="51" t="str">
        <f>IF(AND(B297&gt;='IN-NX'!$P$3,B297&lt;='IN-NX'!$Q$3,'IN-NX'!$D$7=D297,OR(LEFT(L297,2)="15",AND(LEFT(M297,2)&lt;&gt;"15",LEFT(M297,2)&lt;&gt;"33"))),"x","")</f>
        <v/>
      </c>
      <c r="X297" s="51" t="str">
        <f>IF(AND(OR(LEFT(TH!L297,2)="15",LEFT(TH!M297,2)="15"),'152-CT'!$J$8=TH!F297),"x","")</f>
        <v/>
      </c>
      <c r="Y297" s="51" t="str">
        <f>IF(AND(OR(LEFT(TH!L297,2)="15",LEFT(TH!M297,2)="15"),TK!$E$7=TH!F297),"x","")</f>
        <v/>
      </c>
      <c r="Z297" s="51" t="str">
        <f>IF(AND(B297&lt;=NKC!$N$8,B297&gt;=NKC!$M$8),"x","")</f>
        <v/>
      </c>
      <c r="AA297" s="803"/>
    </row>
    <row r="298" spans="1:29" ht="15.75" customHeight="1">
      <c r="A298" s="804" t="str">
        <f>IF(B298&lt;&gt;"",IF(AND(B298&gt;=_TM1,B298&lt;=_TM2,OR(TH!L298="1111",TH!M298="1111")),TH!D298,""),"")</f>
        <v/>
      </c>
      <c r="B298" s="36">
        <f t="shared" si="16"/>
        <v>6</v>
      </c>
      <c r="C298" s="189">
        <f t="shared" si="17"/>
        <v>42173</v>
      </c>
      <c r="D298" s="189" t="s">
        <v>1377</v>
      </c>
      <c r="E298" s="182">
        <v>42173</v>
      </c>
      <c r="F298" s="187" t="s">
        <v>427</v>
      </c>
      <c r="G298" s="811" t="s">
        <v>415</v>
      </c>
      <c r="H298" s="7" t="s">
        <v>437</v>
      </c>
      <c r="I298" s="243"/>
      <c r="J298" s="243"/>
      <c r="K298" s="38">
        <v>1500000</v>
      </c>
      <c r="L298" s="192" t="s">
        <v>47</v>
      </c>
      <c r="M298" s="192" t="s">
        <v>24</v>
      </c>
      <c r="N298" s="51" t="str">
        <f>IF(AND('331-CT'!$E$7=TH!H298,OR(L298="331",M298="331")),"331",IF(AND(OR(L298="131",M298="131"),H298='131-CT'!$E$7),"131",""))</f>
        <v/>
      </c>
      <c r="O298" s="51" t="str">
        <f>IF(AND($B298&gt;='111'!$N$11,$B298&lt;='111'!$O$11,OR($L298=$O$7,$M298=$O$7)),"x","")</f>
        <v/>
      </c>
      <c r="P298" s="51" t="str">
        <f>IF(AND($L298=$O$7,$B298&lt;'111'!$N$11),"x","")</f>
        <v>x</v>
      </c>
      <c r="Q298" s="51" t="str">
        <f>IF(AND($M298=$O$7,$B298&lt;'111'!$N$11),"x","")</f>
        <v/>
      </c>
      <c r="R298" s="51" t="str">
        <f>IF(ISERROR(FIND('112'!$M$9,G298,1)),"",IF((AND(FIND('112'!$M$9,G298,1)&gt;=1,$B298&gt;='112'!$N$8,$B298&lt;='112'!$O$8,OR($L298='112'!$I$6,$M298='112'!$I$6))),"x",""))</f>
        <v/>
      </c>
      <c r="S298" s="51" t="str">
        <f>IF(ISERROR(FIND('112'!$M$9,G298,1)),"",IF((AND(LEFT(G298,2)=LEFT('112'!$M$9,2),B298&lt;'112'!$N$8,$L298='112'!$I$6)),"x",""))</f>
        <v/>
      </c>
      <c r="T298" s="51" t="str">
        <f>IF(ISERROR(FIND('112'!$M$9,G298,1)),"",IF((AND(RIGHT(G298,2)=RIGHT('112'!$M$9,2),B298&lt;'112'!$N$8,$M298='112'!$I$6)),"x",""))</f>
        <v/>
      </c>
      <c r="U298" s="51" t="str">
        <f>IF(AND(L298="154",'154'!$O$5&lt;=B298,'154'!$P$5&gt;=B298),"154",IF(AND(L298="632",'632'!$L$5&lt;=B298,'632'!$M$5&gt;=B298),"632",IF(AND(L298="642",'642'!$N$5&lt;=B298,'642'!$O$5&gt;=B298),"642",IF(AND(L298="641",'641'!$N$5&lt;=B298,'641'!$O$5&gt;=B298),"641",""))))</f>
        <v/>
      </c>
      <c r="V298" s="51" t="str">
        <f>IF(OR(TH!L298=TH!$V$7,M298=TH!$V$7),"x","")</f>
        <v/>
      </c>
      <c r="W298" s="51" t="str">
        <f>IF(AND(B298&gt;='IN-NX'!$P$3,B298&lt;='IN-NX'!$Q$3,'IN-NX'!$D$7=D298,OR(LEFT(L298,2)="15",AND(LEFT(M298,2)&lt;&gt;"15",LEFT(M298,2)&lt;&gt;"33"))),"x","")</f>
        <v/>
      </c>
      <c r="X298" s="51" t="str">
        <f>IF(AND(OR(LEFT(TH!L298,2)="15",LEFT(TH!M298,2)="15"),'152-CT'!$J$8=TH!F298),"x","")</f>
        <v/>
      </c>
      <c r="Y298" s="51" t="str">
        <f>IF(AND(OR(LEFT(TH!L298,2)="15",LEFT(TH!M298,2)="15"),TK!$E$7=TH!F298),"x","")</f>
        <v/>
      </c>
      <c r="Z298" s="51" t="str">
        <f>IF(AND(B298&lt;=NKC!$N$8,B298&gt;=NKC!$M$8),"x","")</f>
        <v/>
      </c>
      <c r="AA298" s="803"/>
    </row>
    <row r="299" spans="1:29" ht="15.75" customHeight="1">
      <c r="A299" s="804" t="str">
        <f>IF(B299&lt;&gt;"",IF(AND(B299&gt;=_TM1,B299&lt;=_TM2,OR(TH!L299="1111",TH!M299="1111")),TH!D299,""),"")</f>
        <v/>
      </c>
      <c r="B299" s="36">
        <f t="shared" si="16"/>
        <v>6</v>
      </c>
      <c r="C299" s="189">
        <f t="shared" si="17"/>
        <v>42174</v>
      </c>
      <c r="D299" s="189" t="s">
        <v>1378</v>
      </c>
      <c r="E299" s="182">
        <v>42174</v>
      </c>
      <c r="F299" s="187" t="s">
        <v>427</v>
      </c>
      <c r="G299" s="811" t="s">
        <v>415</v>
      </c>
      <c r="H299" s="7" t="s">
        <v>437</v>
      </c>
      <c r="I299" s="243"/>
      <c r="J299" s="243"/>
      <c r="K299" s="38">
        <v>6300000</v>
      </c>
      <c r="L299" s="192" t="s">
        <v>47</v>
      </c>
      <c r="M299" s="192" t="s">
        <v>24</v>
      </c>
      <c r="N299" s="51" t="str">
        <f>IF(AND('331-CT'!$E$7=TH!H299,OR(L299="331",M299="331")),"331",IF(AND(OR(L299="131",M299="131"),H299='131-CT'!$E$7),"131",""))</f>
        <v/>
      </c>
      <c r="O299" s="51" t="str">
        <f>IF(AND($B299&gt;='111'!$N$11,$B299&lt;='111'!$O$11,OR($L299=$O$7,$M299=$O$7)),"x","")</f>
        <v/>
      </c>
      <c r="P299" s="51" t="str">
        <f>IF(AND($L299=$O$7,$B299&lt;'111'!$N$11),"x","")</f>
        <v>x</v>
      </c>
      <c r="Q299" s="51" t="str">
        <f>IF(AND($M299=$O$7,$B299&lt;'111'!$N$11),"x","")</f>
        <v/>
      </c>
      <c r="R299" s="51" t="str">
        <f>IF(ISERROR(FIND('112'!$M$9,G299,1)),"",IF((AND(FIND('112'!$M$9,G299,1)&gt;=1,$B299&gt;='112'!$N$8,$B299&lt;='112'!$O$8,OR($L299='112'!$I$6,$M299='112'!$I$6))),"x",""))</f>
        <v/>
      </c>
      <c r="S299" s="51" t="str">
        <f>IF(ISERROR(FIND('112'!$M$9,G299,1)),"",IF((AND(LEFT(G299,2)=LEFT('112'!$M$9,2),B299&lt;'112'!$N$8,$L299='112'!$I$6)),"x",""))</f>
        <v/>
      </c>
      <c r="T299" s="51" t="str">
        <f>IF(ISERROR(FIND('112'!$M$9,G299,1)),"",IF((AND(RIGHT(G299,2)=RIGHT('112'!$M$9,2),B299&lt;'112'!$N$8,$M299='112'!$I$6)),"x",""))</f>
        <v/>
      </c>
      <c r="U299" s="51" t="str">
        <f>IF(AND(L299="154",'154'!$O$5&lt;=B299,'154'!$P$5&gt;=B299),"154",IF(AND(L299="632",'632'!$L$5&lt;=B299,'632'!$M$5&gt;=B299),"632",IF(AND(L299="642",'642'!$N$5&lt;=B299,'642'!$O$5&gt;=B299),"642",IF(AND(L299="641",'641'!$N$5&lt;=B299,'641'!$O$5&gt;=B299),"641",""))))</f>
        <v/>
      </c>
      <c r="V299" s="51" t="str">
        <f>IF(OR(TH!L299=TH!$V$7,M299=TH!$V$7),"x","")</f>
        <v/>
      </c>
      <c r="W299" s="51" t="str">
        <f>IF(AND(B299&gt;='IN-NX'!$P$3,B299&lt;='IN-NX'!$Q$3,'IN-NX'!$D$7=D299,OR(LEFT(L299,2)="15",AND(LEFT(M299,2)&lt;&gt;"15",LEFT(M299,2)&lt;&gt;"33"))),"x","")</f>
        <v/>
      </c>
      <c r="X299" s="51" t="str">
        <f>IF(AND(OR(LEFT(TH!L299,2)="15",LEFT(TH!M299,2)="15"),'152-CT'!$J$8=TH!F299),"x","")</f>
        <v/>
      </c>
      <c r="Y299" s="51" t="str">
        <f>IF(AND(OR(LEFT(TH!L299,2)="15",LEFT(TH!M299,2)="15"),TK!$E$7=TH!F299),"x","")</f>
        <v/>
      </c>
      <c r="Z299" s="51" t="str">
        <f>IF(AND(B299&lt;=NKC!$N$8,B299&gt;=NKC!$M$8),"x","")</f>
        <v/>
      </c>
      <c r="AA299" s="803"/>
    </row>
    <row r="300" spans="1:29" ht="15.75" customHeight="1">
      <c r="A300" s="804" t="str">
        <f>IF(B300&lt;&gt;"",IF(AND(B300&gt;=_TM1,B300&lt;=_TM2,OR(TH!L300="1111",TH!M300="1111")),TH!D300,""),"")</f>
        <v/>
      </c>
      <c r="B300" s="36">
        <f t="shared" si="16"/>
        <v>6</v>
      </c>
      <c r="C300" s="189">
        <f t="shared" si="17"/>
        <v>42174</v>
      </c>
      <c r="D300" s="189" t="s">
        <v>1343</v>
      </c>
      <c r="E300" s="189">
        <v>42174</v>
      </c>
      <c r="F300" s="922" t="s">
        <v>580</v>
      </c>
      <c r="G300" s="813" t="s">
        <v>602</v>
      </c>
      <c r="H300" s="191" t="s">
        <v>509</v>
      </c>
      <c r="I300" s="244">
        <v>16</v>
      </c>
      <c r="J300" s="243">
        <v>22953</v>
      </c>
      <c r="K300" s="573">
        <f>ROUND(I300*J300,0)</f>
        <v>367248</v>
      </c>
      <c r="L300" s="574" t="s">
        <v>417</v>
      </c>
      <c r="M300" s="574" t="s">
        <v>8</v>
      </c>
      <c r="N300" s="51" t="str">
        <f>IF(AND('331-CT'!$E$7=TH!H300,OR(L300="331",M300="331")),"331",IF(AND(OR(L300="131",M300="131"),H300='131-CT'!$E$7),"131",""))</f>
        <v/>
      </c>
      <c r="O300" s="51" t="str">
        <f>IF(AND($B300&gt;='111'!$N$11,$B300&lt;='111'!$O$11,OR($L300=$O$7,$M300=$O$7)),"x","")</f>
        <v/>
      </c>
      <c r="P300" s="51" t="str">
        <f>IF(AND($L300=$O$7,$B300&lt;'111'!$N$11),"x","")</f>
        <v/>
      </c>
      <c r="Q300" s="51" t="str">
        <f>IF(AND($M300=$O$7,$B300&lt;'111'!$N$11),"x","")</f>
        <v/>
      </c>
      <c r="R300" s="51" t="str">
        <f>IF(ISERROR(FIND('112'!$M$9,G300,1)),"",IF((AND(FIND('112'!$M$9,G300,1)&gt;=1,$B300&gt;='112'!$N$8,$B300&lt;='112'!$O$8,OR($L300='112'!$I$6,$M300='112'!$I$6))),"x",""))</f>
        <v/>
      </c>
      <c r="S300" s="51" t="str">
        <f>IF(ISERROR(FIND('112'!$M$9,G300,1)),"",IF((AND(LEFT(G300,2)=LEFT('112'!$M$9,2),B300&lt;'112'!$N$8,$L300='112'!$I$6)),"x",""))</f>
        <v/>
      </c>
      <c r="T300" s="51" t="str">
        <f>IF(ISERROR(FIND('112'!$M$9,G300,1)),"",IF((AND(RIGHT(G300,2)=RIGHT('112'!$M$9,2),B300&lt;'112'!$N$8,$M300='112'!$I$6)),"x",""))</f>
        <v/>
      </c>
      <c r="U300" s="51" t="str">
        <f>IF(AND(L300="154",'154'!$O$5&lt;=B300,'154'!$P$5&gt;=B300),"154",IF(AND(L300="632",'632'!$L$5&lt;=B300,'632'!$M$5&gt;=B300),"632",IF(AND(L300="642",'642'!$N$5&lt;=B300,'642'!$O$5&gt;=B300),"642",IF(AND(L300="641",'641'!$N$5&lt;=B300,'641'!$O$5&gt;=B300),"641",""))))</f>
        <v/>
      </c>
      <c r="V300" s="51" t="str">
        <f>IF(OR(TH!L300=TH!$V$7,M300=TH!$V$7),"x","")</f>
        <v/>
      </c>
      <c r="W300" s="51" t="str">
        <f>IF(AND(B300&gt;='IN-NX'!$P$3,B300&lt;='IN-NX'!$Q$3,'IN-NX'!$D$7=D300,OR(LEFT(L300,2)="15",AND(LEFT(M300,2)&lt;&gt;"15",LEFT(M300,2)&lt;&gt;"33"))),"x","")</f>
        <v/>
      </c>
      <c r="X300" s="51" t="str">
        <f>IF(AND(OR(LEFT(TH!L300,2)="15",LEFT(TH!M300,2)="15"),'152-CT'!$J$8=TH!F300),"x","")</f>
        <v/>
      </c>
      <c r="Y300" s="51" t="str">
        <f>IF(AND(OR(LEFT(TH!L300,2)="15",LEFT(TH!M300,2)="15"),TK!$E$7=TH!F300),"x","")</f>
        <v/>
      </c>
      <c r="Z300" s="51" t="str">
        <f>IF(AND(B300&lt;=NKC!$N$8,B300&gt;=NKC!$M$8),"x","")</f>
        <v/>
      </c>
      <c r="AA300" s="803"/>
      <c r="AB300" s="565"/>
    </row>
    <row r="301" spans="1:29" ht="15.75" customHeight="1">
      <c r="A301" s="804" t="str">
        <f>IF(B301&lt;&gt;"",IF(AND(B301&gt;=_TM1,B301&lt;=_TM2,OR(TH!L301="1111",TH!M301="1111")),TH!D301,""),"")</f>
        <v/>
      </c>
      <c r="B301" s="36">
        <f t="shared" si="16"/>
        <v>6</v>
      </c>
      <c r="C301" s="189">
        <f t="shared" si="17"/>
        <v>42174</v>
      </c>
      <c r="D301" s="189" t="s">
        <v>1343</v>
      </c>
      <c r="E301" s="189">
        <v>42174</v>
      </c>
      <c r="F301" s="190" t="s">
        <v>581</v>
      </c>
      <c r="G301" s="813" t="s">
        <v>602</v>
      </c>
      <c r="H301" s="191" t="s">
        <v>509</v>
      </c>
      <c r="I301" s="244">
        <v>16</v>
      </c>
      <c r="J301" s="243">
        <v>19992</v>
      </c>
      <c r="K301" s="573">
        <f>ROUND(I301*J301,0)</f>
        <v>319872</v>
      </c>
      <c r="L301" s="574" t="s">
        <v>417</v>
      </c>
      <c r="M301" s="574" t="s">
        <v>8</v>
      </c>
      <c r="N301" s="51" t="str">
        <f>IF(AND('331-CT'!$E$7=TH!H301,OR(L301="331",M301="331")),"331",IF(AND(OR(L301="131",M301="131"),H301='131-CT'!$E$7),"131",""))</f>
        <v/>
      </c>
      <c r="O301" s="51" t="str">
        <f>IF(AND($B301&gt;='111'!$N$11,$B301&lt;='111'!$O$11,OR($L301=$O$7,$M301=$O$7)),"x","")</f>
        <v/>
      </c>
      <c r="P301" s="51" t="str">
        <f>IF(AND($L301=$O$7,$B301&lt;'111'!$N$11),"x","")</f>
        <v/>
      </c>
      <c r="Q301" s="51" t="str">
        <f>IF(AND($M301=$O$7,$B301&lt;'111'!$N$11),"x","")</f>
        <v/>
      </c>
      <c r="R301" s="51" t="str">
        <f>IF(ISERROR(FIND('112'!$M$9,G301,1)),"",IF((AND(FIND('112'!$M$9,G301,1)&gt;=1,$B301&gt;='112'!$N$8,$B301&lt;='112'!$O$8,OR($L301='112'!$I$6,$M301='112'!$I$6))),"x",""))</f>
        <v/>
      </c>
      <c r="S301" s="51" t="str">
        <f>IF(ISERROR(FIND('112'!$M$9,G301,1)),"",IF((AND(LEFT(G301,2)=LEFT('112'!$M$9,2),B301&lt;'112'!$N$8,$L301='112'!$I$6)),"x",""))</f>
        <v/>
      </c>
      <c r="T301" s="51" t="str">
        <f>IF(ISERROR(FIND('112'!$M$9,G301,1)),"",IF((AND(RIGHT(G301,2)=RIGHT('112'!$M$9,2),B301&lt;'112'!$N$8,$M301='112'!$I$6)),"x",""))</f>
        <v/>
      </c>
      <c r="U301" s="51" t="str">
        <f>IF(AND(L301="154",'154'!$O$5&lt;=B301,'154'!$P$5&gt;=B301),"154",IF(AND(L301="632",'632'!$L$5&lt;=B301,'632'!$M$5&gt;=B301),"632",IF(AND(L301="642",'642'!$N$5&lt;=B301,'642'!$O$5&gt;=B301),"642",IF(AND(L301="641",'641'!$N$5&lt;=B301,'641'!$O$5&gt;=B301),"641",""))))</f>
        <v/>
      </c>
      <c r="V301" s="51" t="str">
        <f>IF(OR(TH!L301=TH!$V$7,M301=TH!$V$7),"x","")</f>
        <v/>
      </c>
      <c r="W301" s="51" t="str">
        <f>IF(AND(B301&gt;='IN-NX'!$P$3,B301&lt;='IN-NX'!$Q$3,'IN-NX'!$D$7=D301,OR(LEFT(L301,2)="15",AND(LEFT(M301,2)&lt;&gt;"15",LEFT(M301,2)&lt;&gt;"33"))),"x","")</f>
        <v/>
      </c>
      <c r="X301" s="51" t="str">
        <f>IF(AND(OR(LEFT(TH!L301,2)="15",LEFT(TH!M301,2)="15"),'152-CT'!$J$8=TH!F301),"x","")</f>
        <v/>
      </c>
      <c r="Y301" s="51" t="str">
        <f>IF(AND(OR(LEFT(TH!L301,2)="15",LEFT(TH!M301,2)="15"),TK!$E$7=TH!F301),"x","")</f>
        <v/>
      </c>
      <c r="Z301" s="51" t="str">
        <f>IF(AND(B301&lt;=NKC!$N$8,B301&gt;=NKC!$M$8),"x","")</f>
        <v/>
      </c>
      <c r="AA301" s="803"/>
      <c r="AB301" s="565"/>
    </row>
    <row r="302" spans="1:29" ht="15.75" customHeight="1">
      <c r="A302" s="804" t="str">
        <f>IF(B302&lt;&gt;"",IF(AND(B302&gt;=_TM1,B302&lt;=_TM2,OR(TH!L302="1111",TH!M302="1111")),TH!D302,""),"")</f>
        <v/>
      </c>
      <c r="B302" s="36">
        <f t="shared" si="16"/>
        <v>6</v>
      </c>
      <c r="C302" s="189">
        <f t="shared" si="17"/>
        <v>42174</v>
      </c>
      <c r="D302" s="189" t="s">
        <v>1343</v>
      </c>
      <c r="E302" s="189">
        <v>42174</v>
      </c>
      <c r="F302" s="190" t="s">
        <v>582</v>
      </c>
      <c r="G302" s="813" t="s">
        <v>602</v>
      </c>
      <c r="H302" s="191" t="s">
        <v>509</v>
      </c>
      <c r="I302" s="243">
        <v>20</v>
      </c>
      <c r="J302" s="243">
        <v>14918</v>
      </c>
      <c r="K302" s="573">
        <f>ROUND(I302*J302,0)</f>
        <v>298360</v>
      </c>
      <c r="L302" s="574" t="s">
        <v>417</v>
      </c>
      <c r="M302" s="574" t="s">
        <v>8</v>
      </c>
      <c r="N302" s="51" t="str">
        <f>IF(AND('331-CT'!$E$7=TH!H302,OR(L302="331",M302="331")),"331",IF(AND(OR(L302="131",M302="131"),H302='131-CT'!$E$7),"131",""))</f>
        <v/>
      </c>
      <c r="O302" s="51" t="str">
        <f>IF(AND($B302&gt;='111'!$N$11,$B302&lt;='111'!$O$11,OR($L302=$O$7,$M302=$O$7)),"x","")</f>
        <v/>
      </c>
      <c r="P302" s="51" t="str">
        <f>IF(AND($L302=$O$7,$B302&lt;'111'!$N$11),"x","")</f>
        <v/>
      </c>
      <c r="Q302" s="51" t="str">
        <f>IF(AND($M302=$O$7,$B302&lt;'111'!$N$11),"x","")</f>
        <v/>
      </c>
      <c r="R302" s="51" t="str">
        <f>IF(ISERROR(FIND('112'!$M$9,G302,1)),"",IF((AND(FIND('112'!$M$9,G302,1)&gt;=1,$B302&gt;='112'!$N$8,$B302&lt;='112'!$O$8,OR($L302='112'!$I$6,$M302='112'!$I$6))),"x",""))</f>
        <v/>
      </c>
      <c r="S302" s="51" t="str">
        <f>IF(ISERROR(FIND('112'!$M$9,G302,1)),"",IF((AND(LEFT(G302,2)=LEFT('112'!$M$9,2),B302&lt;'112'!$N$8,$L302='112'!$I$6)),"x",""))</f>
        <v/>
      </c>
      <c r="T302" s="51" t="str">
        <f>IF(ISERROR(FIND('112'!$M$9,G302,1)),"",IF((AND(RIGHT(G302,2)=RIGHT('112'!$M$9,2),B302&lt;'112'!$N$8,$M302='112'!$I$6)),"x",""))</f>
        <v/>
      </c>
      <c r="U302" s="51" t="str">
        <f>IF(AND(L302="154",'154'!$O$5&lt;=B302,'154'!$P$5&gt;=B302),"154",IF(AND(L302="632",'632'!$L$5&lt;=B302,'632'!$M$5&gt;=B302),"632",IF(AND(L302="642",'642'!$N$5&lt;=B302,'642'!$O$5&gt;=B302),"642",IF(AND(L302="641",'641'!$N$5&lt;=B302,'641'!$O$5&gt;=B302),"641",""))))</f>
        <v/>
      </c>
      <c r="V302" s="51" t="str">
        <f>IF(OR(TH!L302=TH!$V$7,M302=TH!$V$7),"x","")</f>
        <v/>
      </c>
      <c r="W302" s="51" t="str">
        <f>IF(AND(B302&gt;='IN-NX'!$P$3,B302&lt;='IN-NX'!$Q$3,'IN-NX'!$D$7=D302,OR(LEFT(L302,2)="15",AND(LEFT(M302,2)&lt;&gt;"15",LEFT(M302,2)&lt;&gt;"33"))),"x","")</f>
        <v/>
      </c>
      <c r="X302" s="51" t="str">
        <f>IF(AND(OR(LEFT(TH!L302,2)="15",LEFT(TH!M302,2)="15"),'152-CT'!$J$8=TH!F302),"x","")</f>
        <v/>
      </c>
      <c r="Y302" s="51" t="str">
        <f>IF(AND(OR(LEFT(TH!L302,2)="15",LEFT(TH!M302,2)="15"),TK!$E$7=TH!F302),"x","")</f>
        <v/>
      </c>
      <c r="Z302" s="51" t="str">
        <f>IF(AND(B302&lt;=NKC!$N$8,B302&gt;=NKC!$M$8),"x","")</f>
        <v/>
      </c>
      <c r="AA302" s="803"/>
      <c r="AB302" s="565"/>
    </row>
    <row r="303" spans="1:29" ht="15.75" customHeight="1">
      <c r="A303" s="804" t="str">
        <f>IF(B303&lt;&gt;"",IF(AND(B303&gt;=_TM1,B303&lt;=_TM2,OR(TH!L303="1111",TH!M303="1111")),TH!D303,""),"")</f>
        <v/>
      </c>
      <c r="B303" s="36">
        <f t="shared" si="16"/>
        <v>6</v>
      </c>
      <c r="C303" s="189">
        <f t="shared" si="17"/>
        <v>42174</v>
      </c>
      <c r="D303" s="189" t="s">
        <v>1343</v>
      </c>
      <c r="E303" s="189">
        <v>42174</v>
      </c>
      <c r="F303" s="926" t="s">
        <v>583</v>
      </c>
      <c r="G303" s="813" t="s">
        <v>602</v>
      </c>
      <c r="H303" s="191" t="s">
        <v>509</v>
      </c>
      <c r="I303" s="243">
        <v>10</v>
      </c>
      <c r="J303" s="243">
        <v>10557</v>
      </c>
      <c r="K303" s="573">
        <f>ROUND(I303*J303,0)</f>
        <v>105570</v>
      </c>
      <c r="L303" s="574" t="s">
        <v>417</v>
      </c>
      <c r="M303" s="574" t="s">
        <v>8</v>
      </c>
      <c r="N303" s="51" t="str">
        <f>IF(AND('331-CT'!$E$7=TH!H303,OR(L303="331",M303="331")),"331",IF(AND(OR(L303="131",M303="131"),H303='131-CT'!$E$7),"131",""))</f>
        <v/>
      </c>
      <c r="O303" s="51" t="str">
        <f>IF(AND($B303&gt;='111'!$N$11,$B303&lt;='111'!$O$11,OR($L303=$O$7,$M303=$O$7)),"x","")</f>
        <v/>
      </c>
      <c r="P303" s="51" t="str">
        <f>IF(AND($L303=$O$7,$B303&lt;'111'!$N$11),"x","")</f>
        <v/>
      </c>
      <c r="Q303" s="51" t="str">
        <f>IF(AND($M303=$O$7,$B303&lt;'111'!$N$11),"x","")</f>
        <v/>
      </c>
      <c r="R303" s="51" t="str">
        <f>IF(ISERROR(FIND('112'!$M$9,G303,1)),"",IF((AND(FIND('112'!$M$9,G303,1)&gt;=1,$B303&gt;='112'!$N$8,$B303&lt;='112'!$O$8,OR($L303='112'!$I$6,$M303='112'!$I$6))),"x",""))</f>
        <v/>
      </c>
      <c r="S303" s="51" t="str">
        <f>IF(ISERROR(FIND('112'!$M$9,G303,1)),"",IF((AND(LEFT(G303,2)=LEFT('112'!$M$9,2),B303&lt;'112'!$N$8,$L303='112'!$I$6)),"x",""))</f>
        <v/>
      </c>
      <c r="T303" s="51" t="str">
        <f>IF(ISERROR(FIND('112'!$M$9,G303,1)),"",IF((AND(RIGHT(G303,2)=RIGHT('112'!$M$9,2),B303&lt;'112'!$N$8,$M303='112'!$I$6)),"x",""))</f>
        <v/>
      </c>
      <c r="U303" s="51" t="str">
        <f>IF(AND(L303="154",'154'!$O$5&lt;=B303,'154'!$P$5&gt;=B303),"154",IF(AND(L303="632",'632'!$L$5&lt;=B303,'632'!$M$5&gt;=B303),"632",IF(AND(L303="642",'642'!$N$5&lt;=B303,'642'!$O$5&gt;=B303),"642",IF(AND(L303="641",'641'!$N$5&lt;=B303,'641'!$O$5&gt;=B303),"641",""))))</f>
        <v/>
      </c>
      <c r="V303" s="51" t="str">
        <f>IF(OR(TH!L303=TH!$V$7,M303=TH!$V$7),"x","")</f>
        <v/>
      </c>
      <c r="W303" s="51" t="str">
        <f>IF(AND(B303&gt;='IN-NX'!$P$3,B303&lt;='IN-NX'!$Q$3,'IN-NX'!$D$7=D303,OR(LEFT(L303,2)="15",AND(LEFT(M303,2)&lt;&gt;"15",LEFT(M303,2)&lt;&gt;"33"))),"x","")</f>
        <v/>
      </c>
      <c r="X303" s="51" t="str">
        <f>IF(AND(OR(LEFT(TH!L303,2)="15",LEFT(TH!M303,2)="15"),'152-CT'!$J$8=TH!F303),"x","")</f>
        <v/>
      </c>
      <c r="Y303" s="51" t="str">
        <f>IF(AND(OR(LEFT(TH!L303,2)="15",LEFT(TH!M303,2)="15"),TK!$E$7=TH!F303),"x","")</f>
        <v/>
      </c>
      <c r="Z303" s="51" t="str">
        <f>IF(AND(B303&lt;=NKC!$N$8,B303&gt;=NKC!$M$8),"x","")</f>
        <v/>
      </c>
      <c r="AA303" s="803"/>
      <c r="AB303" s="565"/>
    </row>
    <row r="304" spans="1:29" ht="15.75" customHeight="1">
      <c r="A304" s="804" t="str">
        <f>IF(B304&lt;&gt;"",IF(AND(B304&gt;=_TM1,B304&lt;=_TM2,OR(TH!L304="1111",TH!M304="1111")),TH!D304,""),"")</f>
        <v/>
      </c>
      <c r="B304" s="36">
        <f t="shared" si="16"/>
        <v>6</v>
      </c>
      <c r="C304" s="189">
        <f t="shared" si="17"/>
        <v>42174</v>
      </c>
      <c r="D304" s="189" t="s">
        <v>1343</v>
      </c>
      <c r="E304" s="189">
        <v>42174</v>
      </c>
      <c r="F304" s="922" t="s">
        <v>578</v>
      </c>
      <c r="G304" s="813" t="s">
        <v>602</v>
      </c>
      <c r="H304" s="191" t="s">
        <v>509</v>
      </c>
      <c r="I304" s="243">
        <v>100</v>
      </c>
      <c r="J304" s="243">
        <v>21871</v>
      </c>
      <c r="K304" s="573">
        <f>ROUND(I304*J304,0)</f>
        <v>2187100</v>
      </c>
      <c r="L304" s="574" t="s">
        <v>417</v>
      </c>
      <c r="M304" s="574" t="s">
        <v>8</v>
      </c>
      <c r="N304" s="51" t="str">
        <f>IF(AND('331-CT'!$E$7=TH!H304,OR(L304="331",M304="331")),"331",IF(AND(OR(L304="131",M304="131"),H304='131-CT'!$E$7),"131",""))</f>
        <v/>
      </c>
      <c r="O304" s="51" t="str">
        <f>IF(AND($B304&gt;='111'!$N$11,$B304&lt;='111'!$O$11,OR($L304=$O$7,$M304=$O$7)),"x","")</f>
        <v/>
      </c>
      <c r="P304" s="51" t="str">
        <f>IF(AND($L304=$O$7,$B304&lt;'111'!$N$11),"x","")</f>
        <v/>
      </c>
      <c r="Q304" s="51" t="str">
        <f>IF(AND($M304=$O$7,$B304&lt;'111'!$N$11),"x","")</f>
        <v/>
      </c>
      <c r="R304" s="51" t="str">
        <f>IF(ISERROR(FIND('112'!$M$9,G304,1)),"",IF((AND(FIND('112'!$M$9,G304,1)&gt;=1,$B304&gt;='112'!$N$8,$B304&lt;='112'!$O$8,OR($L304='112'!$I$6,$M304='112'!$I$6))),"x",""))</f>
        <v/>
      </c>
      <c r="S304" s="51" t="str">
        <f>IF(ISERROR(FIND('112'!$M$9,G304,1)),"",IF((AND(LEFT(G304,2)=LEFT('112'!$M$9,2),B304&lt;'112'!$N$8,$L304='112'!$I$6)),"x",""))</f>
        <v/>
      </c>
      <c r="T304" s="51" t="str">
        <f>IF(ISERROR(FIND('112'!$M$9,G304,1)),"",IF((AND(RIGHT(G304,2)=RIGHT('112'!$M$9,2),B304&lt;'112'!$N$8,$M304='112'!$I$6)),"x",""))</f>
        <v/>
      </c>
      <c r="U304" s="51" t="str">
        <f>IF(AND(L304="154",'154'!$O$5&lt;=B304,'154'!$P$5&gt;=B304),"154",IF(AND(L304="632",'632'!$L$5&lt;=B304,'632'!$M$5&gt;=B304),"632",IF(AND(L304="642",'642'!$N$5&lt;=B304,'642'!$O$5&gt;=B304),"642",IF(AND(L304="641",'641'!$N$5&lt;=B304,'641'!$O$5&gt;=B304),"641",""))))</f>
        <v/>
      </c>
      <c r="V304" s="51" t="str">
        <f>IF(OR(TH!L304=TH!$V$7,M304=TH!$V$7),"x","")</f>
        <v/>
      </c>
      <c r="W304" s="51" t="str">
        <f>IF(AND(B304&gt;='IN-NX'!$P$3,B304&lt;='IN-NX'!$Q$3,'IN-NX'!$D$7=D304,OR(LEFT(L304,2)="15",AND(LEFT(M304,2)&lt;&gt;"15",LEFT(M304,2)&lt;&gt;"33"))),"x","")</f>
        <v/>
      </c>
      <c r="X304" s="51" t="str">
        <f>IF(AND(OR(LEFT(TH!L304,2)="15",LEFT(TH!M304,2)="15"),'152-CT'!$J$8=TH!F304),"x","")</f>
        <v/>
      </c>
      <c r="Y304" s="51" t="str">
        <f>IF(AND(OR(LEFT(TH!L304,2)="15",LEFT(TH!M304,2)="15"),TK!$E$7=TH!F304),"x","")</f>
        <v/>
      </c>
      <c r="Z304" s="51" t="str">
        <f>IF(AND(B304&lt;=NKC!$N$8,B304&gt;=NKC!$M$8),"x","")</f>
        <v/>
      </c>
      <c r="AA304" s="803"/>
      <c r="AB304" s="565"/>
    </row>
    <row r="305" spans="1:28" ht="15.75" customHeight="1">
      <c r="A305" s="804" t="str">
        <f>IF(B305&lt;&gt;"",IF(AND(B305&gt;=_TM1,B305&lt;=_TM2,OR(TH!L305="1111",TH!M305="1111")),TH!D305,""),"")</f>
        <v/>
      </c>
      <c r="B305" s="36">
        <f t="shared" si="16"/>
        <v>6</v>
      </c>
      <c r="C305" s="189">
        <f t="shared" si="17"/>
        <v>42174</v>
      </c>
      <c r="D305" s="189" t="s">
        <v>1343</v>
      </c>
      <c r="E305" s="189">
        <v>42174</v>
      </c>
      <c r="F305" s="190" t="s">
        <v>468</v>
      </c>
      <c r="G305" s="813" t="s">
        <v>602</v>
      </c>
      <c r="H305" s="191" t="s">
        <v>509</v>
      </c>
      <c r="I305" s="243"/>
      <c r="J305" s="243"/>
      <c r="K305" s="573">
        <v>327815</v>
      </c>
      <c r="L305" s="574" t="s">
        <v>9</v>
      </c>
      <c r="M305" s="574" t="s">
        <v>8</v>
      </c>
      <c r="N305" s="51" t="str">
        <f>IF(AND('331-CT'!$E$7=TH!H305,OR(L305="331",M305="331")),"331",IF(AND(OR(L305="131",M305="131"),H305='131-CT'!$E$7),"131",""))</f>
        <v/>
      </c>
      <c r="O305" s="51" t="str">
        <f>IF(AND($B305&gt;='111'!$N$11,$B305&lt;='111'!$O$11,OR($L305=$O$7,$M305=$O$7)),"x","")</f>
        <v/>
      </c>
      <c r="P305" s="51" t="str">
        <f>IF(AND($L305=$O$7,$B305&lt;'111'!$N$11),"x","")</f>
        <v/>
      </c>
      <c r="Q305" s="51" t="str">
        <f>IF(AND($M305=$O$7,$B305&lt;'111'!$N$11),"x","")</f>
        <v/>
      </c>
      <c r="R305" s="51" t="str">
        <f>IF(ISERROR(FIND('112'!$M$9,G305,1)),"",IF((AND(FIND('112'!$M$9,G305,1)&gt;=1,$B305&gt;='112'!$N$8,$B305&lt;='112'!$O$8,OR($L305='112'!$I$6,$M305='112'!$I$6))),"x",""))</f>
        <v/>
      </c>
      <c r="S305" s="51" t="str">
        <f>IF(ISERROR(FIND('112'!$M$9,G305,1)),"",IF((AND(LEFT(G305,2)=LEFT('112'!$M$9,2),B305&lt;'112'!$N$8,$L305='112'!$I$6)),"x",""))</f>
        <v/>
      </c>
      <c r="T305" s="51" t="str">
        <f>IF(ISERROR(FIND('112'!$M$9,G305,1)),"",IF((AND(RIGHT(G305,2)=RIGHT('112'!$M$9,2),B305&lt;'112'!$N$8,$M305='112'!$I$6)),"x",""))</f>
        <v/>
      </c>
      <c r="U305" s="51" t="str">
        <f>IF(AND(L305="154",'154'!$O$5&lt;=B305,'154'!$P$5&gt;=B305),"154",IF(AND(L305="632",'632'!$L$5&lt;=B305,'632'!$M$5&gt;=B305),"632",IF(AND(L305="642",'642'!$N$5&lt;=B305,'642'!$O$5&gt;=B305),"642",IF(AND(L305="641",'641'!$N$5&lt;=B305,'641'!$O$5&gt;=B305),"641",""))))</f>
        <v/>
      </c>
      <c r="V305" s="51" t="str">
        <f>IF(OR(TH!L305=TH!$V$7,M305=TH!$V$7),"x","")</f>
        <v/>
      </c>
      <c r="W305" s="51" t="str">
        <f>IF(AND(B305&gt;='IN-NX'!$P$3,B305&lt;='IN-NX'!$Q$3,'IN-NX'!$D$7=D305,OR(LEFT(L305,2)="15",AND(LEFT(M305,2)&lt;&gt;"15",LEFT(M305,2)&lt;&gt;"33"))),"x","")</f>
        <v/>
      </c>
      <c r="X305" s="51" t="str">
        <f>IF(AND(OR(LEFT(TH!L305,2)="15",LEFT(TH!M305,2)="15"),'152-CT'!$J$8=TH!F305),"x","")</f>
        <v/>
      </c>
      <c r="Y305" s="51" t="str">
        <f>IF(AND(OR(LEFT(TH!L305,2)="15",LEFT(TH!M305,2)="15"),TK!$E$7=TH!F305),"x","")</f>
        <v/>
      </c>
      <c r="Z305" s="51" t="str">
        <f>IF(AND(B305&lt;=NKC!$N$8,B305&gt;=NKC!$M$8),"x","")</f>
        <v/>
      </c>
      <c r="AA305" s="803">
        <v>2</v>
      </c>
      <c r="AB305" s="565"/>
    </row>
    <row r="306" spans="1:28" ht="15.75" customHeight="1">
      <c r="A306" s="804" t="str">
        <f>IF(B306&lt;&gt;"",IF(AND(B306&gt;=_TM1,B306&lt;=_TM2,OR(TH!L306="1111",TH!M306="1111")),TH!D306,""),"")</f>
        <v/>
      </c>
      <c r="B306" s="36">
        <f t="shared" ref="B306" si="20">IF(C306&lt;&gt;"",MONTH(C306),"")</f>
        <v>6</v>
      </c>
      <c r="C306" s="189">
        <f t="shared" ref="C306" si="21">E306</f>
        <v>42174</v>
      </c>
      <c r="D306" s="189" t="s">
        <v>1384</v>
      </c>
      <c r="E306" s="189">
        <v>42174</v>
      </c>
      <c r="F306" s="187" t="s">
        <v>438</v>
      </c>
      <c r="G306" s="813" t="s">
        <v>602</v>
      </c>
      <c r="H306" s="191" t="s">
        <v>509</v>
      </c>
      <c r="I306" s="243"/>
      <c r="J306" s="243"/>
      <c r="K306" s="573">
        <v>3605965</v>
      </c>
      <c r="L306" s="574" t="s">
        <v>8</v>
      </c>
      <c r="M306" s="574" t="s">
        <v>47</v>
      </c>
      <c r="N306" s="51" t="str">
        <f>IF(AND('331-CT'!$E$7=TH!H306,OR(L306="331",M306="331")),"331",IF(AND(OR(L306="131",M306="131"),H306='131-CT'!$E$7),"131",""))</f>
        <v/>
      </c>
      <c r="O306" s="51" t="str">
        <f>IF(AND($B306&gt;='111'!$N$11,$B306&lt;='111'!$O$11,OR($L306=$O$7,$M306=$O$7)),"x","")</f>
        <v/>
      </c>
      <c r="P306" s="51" t="str">
        <f>IF(AND($L306=$O$7,$B306&lt;'111'!$N$11),"x","")</f>
        <v/>
      </c>
      <c r="Q306" s="51" t="str">
        <f>IF(AND($M306=$O$7,$B306&lt;'111'!$N$11),"x","")</f>
        <v>x</v>
      </c>
      <c r="R306" s="51" t="str">
        <f>IF(ISERROR(FIND('112'!$M$9,G306,1)),"",IF((AND(FIND('112'!$M$9,G306,1)&gt;=1,$B306&gt;='112'!$N$8,$B306&lt;='112'!$O$8,OR($L306='112'!$I$6,$M306='112'!$I$6))),"x",""))</f>
        <v/>
      </c>
      <c r="S306" s="51" t="str">
        <f>IF(ISERROR(FIND('112'!$M$9,G306,1)),"",IF((AND(LEFT(G306,2)=LEFT('112'!$M$9,2),B306&lt;'112'!$N$8,$L306='112'!$I$6)),"x",""))</f>
        <v/>
      </c>
      <c r="T306" s="51" t="str">
        <f>IF(ISERROR(FIND('112'!$M$9,G306,1)),"",IF((AND(RIGHT(G306,2)=RIGHT('112'!$M$9,2),B306&lt;'112'!$N$8,$M306='112'!$I$6)),"x",""))</f>
        <v/>
      </c>
      <c r="U306" s="51" t="str">
        <f>IF(AND(L306="154",'154'!$O$5&lt;=B306,'154'!$P$5&gt;=B306),"154",IF(AND(L306="632",'632'!$L$5&lt;=B306,'632'!$M$5&gt;=B306),"632",IF(AND(L306="642",'642'!$N$5&lt;=B306,'642'!$O$5&gt;=B306),"642",IF(AND(L306="641",'641'!$N$5&lt;=B306,'641'!$O$5&gt;=B306),"641",""))))</f>
        <v/>
      </c>
      <c r="V306" s="51" t="str">
        <f>IF(OR(TH!L306=TH!$V$7,M306=TH!$V$7),"x","")</f>
        <v/>
      </c>
      <c r="W306" s="51" t="str">
        <f>IF(AND(B306&gt;='IN-NX'!$P$3,B306&lt;='IN-NX'!$Q$3,'IN-NX'!$D$7=D306,OR(LEFT(L306,2)="15",AND(LEFT(M306,2)&lt;&gt;"15",LEFT(M306,2)&lt;&gt;"33"))),"x","")</f>
        <v/>
      </c>
      <c r="X306" s="51" t="str">
        <f>IF(AND(OR(LEFT(TH!L306,2)="15",LEFT(TH!M306,2)="15"),'152-CT'!$J$8=TH!F306),"x","")</f>
        <v/>
      </c>
      <c r="Y306" s="51" t="str">
        <f>IF(AND(OR(LEFT(TH!L306,2)="15",LEFT(TH!M306,2)="15"),TK!$E$7=TH!F306),"x","")</f>
        <v/>
      </c>
      <c r="Z306" s="51" t="str">
        <f>IF(AND(B306&lt;=NKC!$N$8,B306&gt;=NKC!$M$8),"x","")</f>
        <v/>
      </c>
      <c r="AA306" s="803"/>
      <c r="AB306" s="565"/>
    </row>
    <row r="307" spans="1:28" ht="15.75" customHeight="1">
      <c r="A307" s="804" t="str">
        <f>IF(B307&lt;&gt;"",IF(AND(B307&gt;=_TM1,B307&lt;=_TM2,OR(TH!L307="1111",TH!M307="1111")),TH!D307,""),"")</f>
        <v/>
      </c>
      <c r="B307" s="36">
        <f t="shared" si="16"/>
        <v>6</v>
      </c>
      <c r="C307" s="189">
        <f t="shared" si="17"/>
        <v>42175</v>
      </c>
      <c r="D307" s="189" t="s">
        <v>1353</v>
      </c>
      <c r="E307" s="189">
        <v>42175</v>
      </c>
      <c r="F307" s="190" t="s">
        <v>584</v>
      </c>
      <c r="G307" s="813" t="s">
        <v>603</v>
      </c>
      <c r="H307" s="191" t="s">
        <v>509</v>
      </c>
      <c r="I307" s="756">
        <v>770</v>
      </c>
      <c r="J307" s="243">
        <v>11220</v>
      </c>
      <c r="K307" s="573">
        <f>ROUND(I307*J307,0)</f>
        <v>8639400</v>
      </c>
      <c r="L307" s="574" t="s">
        <v>417</v>
      </c>
      <c r="M307" s="574" t="s">
        <v>8</v>
      </c>
      <c r="N307" s="51" t="str">
        <f>IF(AND('331-CT'!$E$7=TH!H307,OR(L307="331",M307="331")),"331",IF(AND(OR(L307="131",M307="131"),H307='131-CT'!$E$7),"131",""))</f>
        <v/>
      </c>
      <c r="O307" s="51" t="str">
        <f>IF(AND($B307&gt;='111'!$N$11,$B307&lt;='111'!$O$11,OR($L307=$O$7,$M307=$O$7)),"x","")</f>
        <v/>
      </c>
      <c r="P307" s="51" t="str">
        <f>IF(AND($L307=$O$7,$B307&lt;'111'!$N$11),"x","")</f>
        <v/>
      </c>
      <c r="Q307" s="51" t="str">
        <f>IF(AND($M307=$O$7,$B307&lt;'111'!$N$11),"x","")</f>
        <v/>
      </c>
      <c r="R307" s="51" t="str">
        <f>IF(ISERROR(FIND('112'!$M$9,G307,1)),"",IF((AND(FIND('112'!$M$9,G307,1)&gt;=1,$B307&gt;='112'!$N$8,$B307&lt;='112'!$O$8,OR($L307='112'!$I$6,$M307='112'!$I$6))),"x",""))</f>
        <v/>
      </c>
      <c r="S307" s="51" t="str">
        <f>IF(ISERROR(FIND('112'!$M$9,G307,1)),"",IF((AND(LEFT(G307,2)=LEFT('112'!$M$9,2),B307&lt;'112'!$N$8,$L307='112'!$I$6)),"x",""))</f>
        <v/>
      </c>
      <c r="T307" s="51" t="str">
        <f>IF(ISERROR(FIND('112'!$M$9,G307,1)),"",IF((AND(RIGHT(G307,2)=RIGHT('112'!$M$9,2),B307&lt;'112'!$N$8,$M307='112'!$I$6)),"x",""))</f>
        <v/>
      </c>
      <c r="U307" s="51" t="str">
        <f>IF(AND(L307="154",'154'!$O$5&lt;=B307,'154'!$P$5&gt;=B307),"154",IF(AND(L307="632",'632'!$L$5&lt;=B307,'632'!$M$5&gt;=B307),"632",IF(AND(L307="642",'642'!$N$5&lt;=B307,'642'!$O$5&gt;=B307),"642",IF(AND(L307="641",'641'!$N$5&lt;=B307,'641'!$O$5&gt;=B307),"641",""))))</f>
        <v/>
      </c>
      <c r="V307" s="51" t="str">
        <f>IF(OR(TH!L307=TH!$V$7,M307=TH!$V$7),"x","")</f>
        <v/>
      </c>
      <c r="W307" s="51" t="str">
        <f>IF(AND(B307&gt;='IN-NX'!$P$3,B307&lt;='IN-NX'!$Q$3,'IN-NX'!$D$7=D307,OR(LEFT(L307,2)="15",AND(LEFT(M307,2)&lt;&gt;"15",LEFT(M307,2)&lt;&gt;"33"))),"x","")</f>
        <v/>
      </c>
      <c r="X307" s="51" t="str">
        <f>IF(AND(OR(LEFT(TH!L307,2)="15",LEFT(TH!M307,2)="15"),'152-CT'!$J$8=TH!F307),"x","")</f>
        <v/>
      </c>
      <c r="Y307" s="51" t="str">
        <f>IF(AND(OR(LEFT(TH!L307,2)="15",LEFT(TH!M307,2)="15"),TK!$E$7=TH!F307),"x","")</f>
        <v/>
      </c>
      <c r="Z307" s="51" t="str">
        <f>IF(AND(B307&lt;=NKC!$N$8,B307&gt;=NKC!$M$8),"x","")</f>
        <v/>
      </c>
      <c r="AA307" s="803"/>
      <c r="AB307" s="565"/>
    </row>
    <row r="308" spans="1:28" ht="15.75" customHeight="1">
      <c r="A308" s="804" t="str">
        <f>IF(B308&lt;&gt;"",IF(AND(B308&gt;=_TM1,B308&lt;=_TM2,OR(TH!L308="1111",TH!M308="1111")),TH!D308,""),"")</f>
        <v/>
      </c>
      <c r="B308" s="36">
        <f t="shared" si="16"/>
        <v>6</v>
      </c>
      <c r="C308" s="189">
        <f t="shared" si="17"/>
        <v>42175</v>
      </c>
      <c r="D308" s="189" t="s">
        <v>1353</v>
      </c>
      <c r="E308" s="189">
        <v>42175</v>
      </c>
      <c r="F308" s="190" t="s">
        <v>468</v>
      </c>
      <c r="G308" s="813" t="s">
        <v>603</v>
      </c>
      <c r="H308" s="191" t="s">
        <v>509</v>
      </c>
      <c r="I308" s="243"/>
      <c r="J308" s="243"/>
      <c r="K308" s="573">
        <v>863940</v>
      </c>
      <c r="L308" s="574" t="s">
        <v>9</v>
      </c>
      <c r="M308" s="574" t="s">
        <v>8</v>
      </c>
      <c r="N308" s="51" t="str">
        <f>IF(AND('331-CT'!$E$7=TH!H308,OR(L308="331",M308="331")),"331",IF(AND(OR(L308="131",M308="131"),H308='131-CT'!$E$7),"131",""))</f>
        <v/>
      </c>
      <c r="O308" s="51" t="str">
        <f>IF(AND($B308&gt;='111'!$N$11,$B308&lt;='111'!$O$11,OR($L308=$O$7,$M308=$O$7)),"x","")</f>
        <v/>
      </c>
      <c r="P308" s="51" t="str">
        <f>IF(AND($L308=$O$7,$B308&lt;'111'!$N$11),"x","")</f>
        <v/>
      </c>
      <c r="Q308" s="51" t="str">
        <f>IF(AND($M308=$O$7,$B308&lt;'111'!$N$11),"x","")</f>
        <v/>
      </c>
      <c r="R308" s="51" t="str">
        <f>IF(ISERROR(FIND('112'!$M$9,G308,1)),"",IF((AND(FIND('112'!$M$9,G308,1)&gt;=1,$B308&gt;='112'!$N$8,$B308&lt;='112'!$O$8,OR($L308='112'!$I$6,$M308='112'!$I$6))),"x",""))</f>
        <v/>
      </c>
      <c r="S308" s="51" t="str">
        <f>IF(ISERROR(FIND('112'!$M$9,G308,1)),"",IF((AND(LEFT(G308,2)=LEFT('112'!$M$9,2),B308&lt;'112'!$N$8,$L308='112'!$I$6)),"x",""))</f>
        <v/>
      </c>
      <c r="T308" s="51" t="str">
        <f>IF(ISERROR(FIND('112'!$M$9,G308,1)),"",IF((AND(RIGHT(G308,2)=RIGHT('112'!$M$9,2),B308&lt;'112'!$N$8,$M308='112'!$I$6)),"x",""))</f>
        <v/>
      </c>
      <c r="U308" s="51" t="str">
        <f>IF(AND(L308="154",'154'!$O$5&lt;=B308,'154'!$P$5&gt;=B308),"154",IF(AND(L308="632",'632'!$L$5&lt;=B308,'632'!$M$5&gt;=B308),"632",IF(AND(L308="642",'642'!$N$5&lt;=B308,'642'!$O$5&gt;=B308),"642",IF(AND(L308="641",'641'!$N$5&lt;=B308,'641'!$O$5&gt;=B308),"641",""))))</f>
        <v/>
      </c>
      <c r="V308" s="51" t="str">
        <f>IF(OR(TH!L308=TH!$V$7,M308=TH!$V$7),"x","")</f>
        <v/>
      </c>
      <c r="W308" s="51" t="str">
        <f>IF(AND(B308&gt;='IN-NX'!$P$3,B308&lt;='IN-NX'!$Q$3,'IN-NX'!$D$7=D308,OR(LEFT(L308,2)="15",AND(LEFT(M308,2)&lt;&gt;"15",LEFT(M308,2)&lt;&gt;"33"))),"x","")</f>
        <v/>
      </c>
      <c r="X308" s="51" t="str">
        <f>IF(AND(OR(LEFT(TH!L308,2)="15",LEFT(TH!M308,2)="15"),'152-CT'!$J$8=TH!F308),"x","")</f>
        <v/>
      </c>
      <c r="Y308" s="51" t="str">
        <f>IF(AND(OR(LEFT(TH!L308,2)="15",LEFT(TH!M308,2)="15"),TK!$E$7=TH!F308),"x","")</f>
        <v/>
      </c>
      <c r="Z308" s="51" t="str">
        <f>IF(AND(B308&lt;=NKC!$N$8,B308&gt;=NKC!$M$8),"x","")</f>
        <v/>
      </c>
      <c r="AA308" s="803">
        <v>2</v>
      </c>
      <c r="AB308" s="565"/>
    </row>
    <row r="309" spans="1:28" ht="15.75" customHeight="1">
      <c r="A309" s="804" t="str">
        <f>IF(B309&lt;&gt;"",IF(AND(B309&gt;=_TM1,B309&lt;=_TM2,OR(TH!L309="1111",TH!M309="1111")),TH!D309,""),"")</f>
        <v/>
      </c>
      <c r="B309" s="36">
        <f t="shared" si="16"/>
        <v>6</v>
      </c>
      <c r="C309" s="189">
        <f t="shared" si="17"/>
        <v>42175</v>
      </c>
      <c r="D309" s="189" t="s">
        <v>346</v>
      </c>
      <c r="E309" s="189">
        <v>42175</v>
      </c>
      <c r="F309" s="187" t="s">
        <v>438</v>
      </c>
      <c r="G309" s="813" t="s">
        <v>603</v>
      </c>
      <c r="H309" s="191" t="s">
        <v>509</v>
      </c>
      <c r="I309" s="243"/>
      <c r="J309" s="243"/>
      <c r="K309" s="573">
        <v>9503340</v>
      </c>
      <c r="L309" s="574" t="s">
        <v>8</v>
      </c>
      <c r="M309" s="574" t="s">
        <v>47</v>
      </c>
      <c r="N309" s="51" t="str">
        <f>IF(AND('331-CT'!$E$7=TH!H309,OR(L309="331",M309="331")),"331",IF(AND(OR(L309="131",M309="131"),H309='131-CT'!$E$7),"131",""))</f>
        <v/>
      </c>
      <c r="O309" s="51" t="str">
        <f>IF(AND($B309&gt;='111'!$N$11,$B309&lt;='111'!$O$11,OR($L309=$O$7,$M309=$O$7)),"x","")</f>
        <v/>
      </c>
      <c r="P309" s="51" t="str">
        <f>IF(AND($L309=$O$7,$B309&lt;'111'!$N$11),"x","")</f>
        <v/>
      </c>
      <c r="Q309" s="51" t="str">
        <f>IF(AND($M309=$O$7,$B309&lt;'111'!$N$11),"x","")</f>
        <v>x</v>
      </c>
      <c r="R309" s="51" t="str">
        <f>IF(ISERROR(FIND('112'!$M$9,G309,1)),"",IF((AND(FIND('112'!$M$9,G309,1)&gt;=1,$B309&gt;='112'!$N$8,$B309&lt;='112'!$O$8,OR($L309='112'!$I$6,$M309='112'!$I$6))),"x",""))</f>
        <v/>
      </c>
      <c r="S309" s="51" t="str">
        <f>IF(ISERROR(FIND('112'!$M$9,G309,1)),"",IF((AND(LEFT(G309,2)=LEFT('112'!$M$9,2),B309&lt;'112'!$N$8,$L309='112'!$I$6)),"x",""))</f>
        <v/>
      </c>
      <c r="T309" s="51" t="str">
        <f>IF(ISERROR(FIND('112'!$M$9,G309,1)),"",IF((AND(RIGHT(G309,2)=RIGHT('112'!$M$9,2),B309&lt;'112'!$N$8,$M309='112'!$I$6)),"x",""))</f>
        <v/>
      </c>
      <c r="U309" s="51" t="str">
        <f>IF(AND(L309="154",'154'!$O$5&lt;=B309,'154'!$P$5&gt;=B309),"154",IF(AND(L309="632",'632'!$L$5&lt;=B309,'632'!$M$5&gt;=B309),"632",IF(AND(L309="642",'642'!$N$5&lt;=B309,'642'!$O$5&gt;=B309),"642",IF(AND(L309="641",'641'!$N$5&lt;=B309,'641'!$O$5&gt;=B309),"641",""))))</f>
        <v/>
      </c>
      <c r="V309" s="51" t="str">
        <f>IF(OR(TH!L309=TH!$V$7,M309=TH!$V$7),"x","")</f>
        <v/>
      </c>
      <c r="W309" s="51" t="str">
        <f>IF(AND(B309&gt;='IN-NX'!$P$3,B309&lt;='IN-NX'!$Q$3,'IN-NX'!$D$7=D309,OR(LEFT(L309,2)="15",AND(LEFT(M309,2)&lt;&gt;"15",LEFT(M309,2)&lt;&gt;"33"))),"x","")</f>
        <v/>
      </c>
      <c r="X309" s="51" t="str">
        <f>IF(AND(OR(LEFT(TH!L309,2)="15",LEFT(TH!M309,2)="15"),'152-CT'!$J$8=TH!F309),"x","")</f>
        <v/>
      </c>
      <c r="Y309" s="51" t="str">
        <f>IF(AND(OR(LEFT(TH!L309,2)="15",LEFT(TH!M309,2)="15"),TK!$E$7=TH!F309),"x","")</f>
        <v/>
      </c>
      <c r="Z309" s="51" t="str">
        <f>IF(AND(B309&lt;=NKC!$N$8,B309&gt;=NKC!$M$8),"x","")</f>
        <v/>
      </c>
      <c r="AA309" s="803">
        <v>2</v>
      </c>
      <c r="AB309" s="565"/>
    </row>
    <row r="310" spans="1:28" ht="15.75" customHeight="1">
      <c r="A310" s="804" t="str">
        <f>IF(B310&lt;&gt;"",IF(AND(B310&gt;=_TM1,B310&lt;=_TM2,OR(TH!L310="1111",TH!M310="1111")),TH!D310,""),"")</f>
        <v/>
      </c>
      <c r="B310" s="36">
        <f t="shared" si="16"/>
        <v>6</v>
      </c>
      <c r="C310" s="189">
        <f t="shared" si="17"/>
        <v>42175</v>
      </c>
      <c r="D310" s="189" t="s">
        <v>1295</v>
      </c>
      <c r="E310" s="189">
        <v>42175</v>
      </c>
      <c r="F310" s="190" t="s">
        <v>1183</v>
      </c>
      <c r="G310" s="813" t="s">
        <v>995</v>
      </c>
      <c r="H310" s="202" t="s">
        <v>424</v>
      </c>
      <c r="I310" s="243">
        <v>8</v>
      </c>
      <c r="J310" s="243">
        <v>70000</v>
      </c>
      <c r="K310" s="573">
        <f>ROUND(I310*J310,0)</f>
        <v>560000</v>
      </c>
      <c r="L310" s="574" t="s">
        <v>250</v>
      </c>
      <c r="M310" s="574" t="s">
        <v>164</v>
      </c>
      <c r="N310" s="51" t="str">
        <f>IF(AND('331-CT'!$E$7=TH!H310,OR(L310="331",M310="331")),"331",IF(AND(OR(L310="131",M310="131"),H310='131-CT'!$E$7),"131",""))</f>
        <v/>
      </c>
      <c r="O310" s="51" t="str">
        <f>IF(AND($B310&gt;='111'!$N$11,$B310&lt;='111'!$O$11,OR($L310=$O$7,$M310=$O$7)),"x","")</f>
        <v/>
      </c>
      <c r="P310" s="51" t="str">
        <f>IF(AND($L310=$O$7,$B310&lt;'111'!$N$11),"x","")</f>
        <v/>
      </c>
      <c r="Q310" s="51" t="str">
        <f>IF(AND($M310=$O$7,$B310&lt;'111'!$N$11),"x","")</f>
        <v/>
      </c>
      <c r="R310" s="51" t="str">
        <f>IF(ISERROR(FIND('112'!$M$9,G310,1)),"",IF((AND(FIND('112'!$M$9,G310,1)&gt;=1,$B310&gt;='112'!$N$8,$B310&lt;='112'!$O$8,OR($L310='112'!$I$6,$M310='112'!$I$6))),"x",""))</f>
        <v/>
      </c>
      <c r="S310" s="51" t="str">
        <f>IF(ISERROR(FIND('112'!$M$9,G310,1)),"",IF((AND(LEFT(G310,2)=LEFT('112'!$M$9,2),B310&lt;'112'!$N$8,$L310='112'!$I$6)),"x",""))</f>
        <v/>
      </c>
      <c r="T310" s="51" t="str">
        <f>IF(ISERROR(FIND('112'!$M$9,G310,1)),"",IF((AND(RIGHT(G310,2)=RIGHT('112'!$M$9,2),B310&lt;'112'!$N$8,$M310='112'!$I$6)),"x",""))</f>
        <v/>
      </c>
      <c r="U310" s="51" t="str">
        <f>IF(AND(L310="154",'154'!$O$5&lt;=B310,'154'!$P$5&gt;=B310),"154",IF(AND(L310="632",'632'!$L$5&lt;=B310,'632'!$M$5&gt;=B310),"632",IF(AND(L310="642",'642'!$N$5&lt;=B310,'642'!$O$5&gt;=B310),"642",IF(AND(L310="641",'641'!$N$5&lt;=B310,'641'!$O$5&gt;=B310),"641",""))))</f>
        <v/>
      </c>
      <c r="V310" s="51" t="str">
        <f>IF(OR(TH!L310=TH!$V$7,M310=TH!$V$7),"x","")</f>
        <v/>
      </c>
      <c r="W310" s="51" t="str">
        <f>IF(AND(B310&gt;='IN-NX'!$P$3,B310&lt;='IN-NX'!$Q$3,'IN-NX'!$D$7=D310,OR(LEFT(L310,2)="15",AND(LEFT(M310,2)&lt;&gt;"15",LEFT(M310,2)&lt;&gt;"33"))),"x","")</f>
        <v/>
      </c>
      <c r="X310" s="51" t="str">
        <f>IF(AND(OR(LEFT(TH!L310,2)="15",LEFT(TH!M310,2)="15"),'152-CT'!$J$8=TH!F310),"x","")</f>
        <v/>
      </c>
      <c r="Y310" s="51" t="str">
        <f>IF(AND(OR(LEFT(TH!L310,2)="15",LEFT(TH!M310,2)="15"),TK!$E$7=TH!F310),"x","")</f>
        <v/>
      </c>
      <c r="Z310" s="51" t="str">
        <f>IF(AND(B310&lt;=NKC!$N$8,B310&gt;=NKC!$M$8),"x","")</f>
        <v/>
      </c>
      <c r="AA310" s="803"/>
      <c r="AB310" s="565"/>
    </row>
    <row r="311" spans="1:28" ht="15.75" customHeight="1">
      <c r="A311" s="804" t="str">
        <f>IF(B311&lt;&gt;"",IF(AND(B311&gt;=_TM1,B311&lt;=_TM2,OR(TH!L311="1111",TH!M311="1111")),TH!D311,""),"")</f>
        <v/>
      </c>
      <c r="B311" s="36">
        <f t="shared" si="16"/>
        <v>6</v>
      </c>
      <c r="C311" s="189">
        <f t="shared" si="17"/>
        <v>42175</v>
      </c>
      <c r="D311" s="189" t="s">
        <v>1295</v>
      </c>
      <c r="E311" s="189">
        <v>42175</v>
      </c>
      <c r="F311" s="190" t="s">
        <v>1198</v>
      </c>
      <c r="G311" s="813" t="s">
        <v>995</v>
      </c>
      <c r="H311" s="202" t="s">
        <v>424</v>
      </c>
      <c r="I311" s="243">
        <v>8</v>
      </c>
      <c r="J311" s="243">
        <v>61000</v>
      </c>
      <c r="K311" s="573">
        <f>ROUND(I311*J311,0)</f>
        <v>488000</v>
      </c>
      <c r="L311" s="574" t="s">
        <v>250</v>
      </c>
      <c r="M311" s="574" t="s">
        <v>164</v>
      </c>
      <c r="N311" s="51" t="str">
        <f>IF(AND('331-CT'!$E$7=TH!H311,OR(L311="331",M311="331")),"331",IF(AND(OR(L311="131",M311="131"),H311='131-CT'!$E$7),"131",""))</f>
        <v/>
      </c>
      <c r="O311" s="51" t="str">
        <f>IF(AND($B311&gt;='111'!$N$11,$B311&lt;='111'!$O$11,OR($L311=$O$7,$M311=$O$7)),"x","")</f>
        <v/>
      </c>
      <c r="P311" s="51" t="str">
        <f>IF(AND($L311=$O$7,$B311&lt;'111'!$N$11),"x","")</f>
        <v/>
      </c>
      <c r="Q311" s="51" t="str">
        <f>IF(AND($M311=$O$7,$B311&lt;'111'!$N$11),"x","")</f>
        <v/>
      </c>
      <c r="R311" s="51" t="str">
        <f>IF(ISERROR(FIND('112'!$M$9,G311,1)),"",IF((AND(FIND('112'!$M$9,G311,1)&gt;=1,$B311&gt;='112'!$N$8,$B311&lt;='112'!$O$8,OR($L311='112'!$I$6,$M311='112'!$I$6))),"x",""))</f>
        <v/>
      </c>
      <c r="S311" s="51" t="str">
        <f>IF(ISERROR(FIND('112'!$M$9,G311,1)),"",IF((AND(LEFT(G311,2)=LEFT('112'!$M$9,2),B311&lt;'112'!$N$8,$L311='112'!$I$6)),"x",""))</f>
        <v/>
      </c>
      <c r="T311" s="51" t="str">
        <f>IF(ISERROR(FIND('112'!$M$9,G311,1)),"",IF((AND(RIGHT(G311,2)=RIGHT('112'!$M$9,2),B311&lt;'112'!$N$8,$M311='112'!$I$6)),"x",""))</f>
        <v/>
      </c>
      <c r="U311" s="51" t="str">
        <f>IF(AND(L311="154",'154'!$O$5&lt;=B311,'154'!$P$5&gt;=B311),"154",IF(AND(L311="632",'632'!$L$5&lt;=B311,'632'!$M$5&gt;=B311),"632",IF(AND(L311="642",'642'!$N$5&lt;=B311,'642'!$O$5&gt;=B311),"642",IF(AND(L311="641",'641'!$N$5&lt;=B311,'641'!$O$5&gt;=B311),"641",""))))</f>
        <v/>
      </c>
      <c r="V311" s="51" t="str">
        <f>IF(OR(TH!L311=TH!$V$7,M311=TH!$V$7),"x","")</f>
        <v/>
      </c>
      <c r="W311" s="51" t="str">
        <f>IF(AND(B311&gt;='IN-NX'!$P$3,B311&lt;='IN-NX'!$Q$3,'IN-NX'!$D$7=D311,OR(LEFT(L311,2)="15",AND(LEFT(M311,2)&lt;&gt;"15",LEFT(M311,2)&lt;&gt;"33"))),"x","")</f>
        <v/>
      </c>
      <c r="X311" s="51" t="str">
        <f>IF(AND(OR(LEFT(TH!L311,2)="15",LEFT(TH!M311,2)="15"),'152-CT'!$J$8=TH!F311),"x","")</f>
        <v/>
      </c>
      <c r="Y311" s="51" t="str">
        <f>IF(AND(OR(LEFT(TH!L311,2)="15",LEFT(TH!M311,2)="15"),TK!$E$7=TH!F311),"x","")</f>
        <v/>
      </c>
      <c r="Z311" s="51" t="str">
        <f>IF(AND(B311&lt;=NKC!$N$8,B311&gt;=NKC!$M$8),"x","")</f>
        <v/>
      </c>
      <c r="AA311" s="803"/>
      <c r="AB311" s="565"/>
    </row>
    <row r="312" spans="1:28" ht="15.75" customHeight="1">
      <c r="A312" s="804" t="str">
        <f>IF(B312&lt;&gt;"",IF(AND(B312&gt;=_TM1,B312&lt;=_TM2,OR(TH!L312="1111",TH!M312="1111")),TH!D312,""),"")</f>
        <v/>
      </c>
      <c r="B312" s="36">
        <f t="shared" si="16"/>
        <v>6</v>
      </c>
      <c r="C312" s="189">
        <f t="shared" si="17"/>
        <v>42175</v>
      </c>
      <c r="D312" s="189" t="s">
        <v>1295</v>
      </c>
      <c r="E312" s="189">
        <v>42175</v>
      </c>
      <c r="F312" s="190" t="s">
        <v>1199</v>
      </c>
      <c r="G312" s="813" t="s">
        <v>995</v>
      </c>
      <c r="H312" s="202" t="s">
        <v>424</v>
      </c>
      <c r="I312" s="243">
        <v>10</v>
      </c>
      <c r="J312" s="243">
        <v>96000</v>
      </c>
      <c r="K312" s="573">
        <f>ROUND(I312*J312,0)</f>
        <v>960000</v>
      </c>
      <c r="L312" s="574" t="s">
        <v>250</v>
      </c>
      <c r="M312" s="574" t="s">
        <v>164</v>
      </c>
      <c r="N312" s="51" t="str">
        <f>IF(AND('331-CT'!$E$7=TH!H312,OR(L312="331",M312="331")),"331",IF(AND(OR(L312="131",M312="131"),H312='131-CT'!$E$7),"131",""))</f>
        <v/>
      </c>
      <c r="O312" s="51" t="str">
        <f>IF(AND($B312&gt;='111'!$N$11,$B312&lt;='111'!$O$11,OR($L312=$O$7,$M312=$O$7)),"x","")</f>
        <v/>
      </c>
      <c r="P312" s="51" t="str">
        <f>IF(AND($L312=$O$7,$B312&lt;'111'!$N$11),"x","")</f>
        <v/>
      </c>
      <c r="Q312" s="51" t="str">
        <f>IF(AND($M312=$O$7,$B312&lt;'111'!$N$11),"x","")</f>
        <v/>
      </c>
      <c r="R312" s="51" t="str">
        <f>IF(ISERROR(FIND('112'!$M$9,G312,1)),"",IF((AND(FIND('112'!$M$9,G312,1)&gt;=1,$B312&gt;='112'!$N$8,$B312&lt;='112'!$O$8,OR($L312='112'!$I$6,$M312='112'!$I$6))),"x",""))</f>
        <v/>
      </c>
      <c r="S312" s="51" t="str">
        <f>IF(ISERROR(FIND('112'!$M$9,G312,1)),"",IF((AND(LEFT(G312,2)=LEFT('112'!$M$9,2),B312&lt;'112'!$N$8,$L312='112'!$I$6)),"x",""))</f>
        <v/>
      </c>
      <c r="T312" s="51" t="str">
        <f>IF(ISERROR(FIND('112'!$M$9,G312,1)),"",IF((AND(RIGHT(G312,2)=RIGHT('112'!$M$9,2),B312&lt;'112'!$N$8,$M312='112'!$I$6)),"x",""))</f>
        <v/>
      </c>
      <c r="U312" s="51" t="str">
        <f>IF(AND(L312="154",'154'!$O$5&lt;=B312,'154'!$P$5&gt;=B312),"154",IF(AND(L312="632",'632'!$L$5&lt;=B312,'632'!$M$5&gt;=B312),"632",IF(AND(L312="642",'642'!$N$5&lt;=B312,'642'!$O$5&gt;=B312),"642",IF(AND(L312="641",'641'!$N$5&lt;=B312,'641'!$O$5&gt;=B312),"641",""))))</f>
        <v/>
      </c>
      <c r="V312" s="51" t="str">
        <f>IF(OR(TH!L312=TH!$V$7,M312=TH!$V$7),"x","")</f>
        <v/>
      </c>
      <c r="W312" s="51" t="str">
        <f>IF(AND(B312&gt;='IN-NX'!$P$3,B312&lt;='IN-NX'!$Q$3,'IN-NX'!$D$7=D312,OR(LEFT(L312,2)="15",AND(LEFT(M312,2)&lt;&gt;"15",LEFT(M312,2)&lt;&gt;"33"))),"x","")</f>
        <v/>
      </c>
      <c r="X312" s="51" t="str">
        <f>IF(AND(OR(LEFT(TH!L312,2)="15",LEFT(TH!M312,2)="15"),'152-CT'!$J$8=TH!F312),"x","")</f>
        <v/>
      </c>
      <c r="Y312" s="51" t="str">
        <f>IF(AND(OR(LEFT(TH!L312,2)="15",LEFT(TH!M312,2)="15"),TK!$E$7=TH!F312),"x","")</f>
        <v/>
      </c>
      <c r="Z312" s="51" t="str">
        <f>IF(AND(B312&lt;=NKC!$N$8,B312&gt;=NKC!$M$8),"x","")</f>
        <v/>
      </c>
      <c r="AA312" s="803"/>
      <c r="AB312" s="565"/>
    </row>
    <row r="313" spans="1:28" ht="15.75" customHeight="1">
      <c r="A313" s="804" t="str">
        <f>IF(B313&lt;&gt;"",IF(AND(B313&gt;=_TM1,B313&lt;=_TM2,OR(TH!L313="1111",TH!M313="1111")),TH!D313,""),"")</f>
        <v/>
      </c>
      <c r="B313" s="36">
        <f t="shared" si="16"/>
        <v>6</v>
      </c>
      <c r="C313" s="189">
        <f t="shared" si="17"/>
        <v>42175</v>
      </c>
      <c r="D313" s="189" t="s">
        <v>1295</v>
      </c>
      <c r="E313" s="189">
        <v>42175</v>
      </c>
      <c r="F313" s="190" t="s">
        <v>1200</v>
      </c>
      <c r="G313" s="813" t="s">
        <v>995</v>
      </c>
      <c r="H313" s="202" t="s">
        <v>424</v>
      </c>
      <c r="I313" s="243">
        <v>50</v>
      </c>
      <c r="J313" s="243">
        <v>67000</v>
      </c>
      <c r="K313" s="573">
        <f>ROUND(I313*J313,0)</f>
        <v>3350000</v>
      </c>
      <c r="L313" s="574" t="s">
        <v>250</v>
      </c>
      <c r="M313" s="574" t="s">
        <v>164</v>
      </c>
      <c r="N313" s="51" t="str">
        <f>IF(AND('331-CT'!$E$7=TH!H313,OR(L313="331",M313="331")),"331",IF(AND(OR(L313="131",M313="131"),H313='131-CT'!$E$7),"131",""))</f>
        <v/>
      </c>
      <c r="O313" s="51" t="str">
        <f>IF(AND($B313&gt;='111'!$N$11,$B313&lt;='111'!$O$11,OR($L313=$O$7,$M313=$O$7)),"x","")</f>
        <v/>
      </c>
      <c r="P313" s="51" t="str">
        <f>IF(AND($L313=$O$7,$B313&lt;'111'!$N$11),"x","")</f>
        <v/>
      </c>
      <c r="Q313" s="51" t="str">
        <f>IF(AND($M313=$O$7,$B313&lt;'111'!$N$11),"x","")</f>
        <v/>
      </c>
      <c r="R313" s="51" t="str">
        <f>IF(ISERROR(FIND('112'!$M$9,G313,1)),"",IF((AND(FIND('112'!$M$9,G313,1)&gt;=1,$B313&gt;='112'!$N$8,$B313&lt;='112'!$O$8,OR($L313='112'!$I$6,$M313='112'!$I$6))),"x",""))</f>
        <v/>
      </c>
      <c r="S313" s="51" t="str">
        <f>IF(ISERROR(FIND('112'!$M$9,G313,1)),"",IF((AND(LEFT(G313,2)=LEFT('112'!$M$9,2),B313&lt;'112'!$N$8,$L313='112'!$I$6)),"x",""))</f>
        <v/>
      </c>
      <c r="T313" s="51" t="str">
        <f>IF(ISERROR(FIND('112'!$M$9,G313,1)),"",IF((AND(RIGHT(G313,2)=RIGHT('112'!$M$9,2),B313&lt;'112'!$N$8,$M313='112'!$I$6)),"x",""))</f>
        <v/>
      </c>
      <c r="U313" s="51" t="str">
        <f>IF(AND(L313="154",'154'!$O$5&lt;=B313,'154'!$P$5&gt;=B313),"154",IF(AND(L313="632",'632'!$L$5&lt;=B313,'632'!$M$5&gt;=B313),"632",IF(AND(L313="642",'642'!$N$5&lt;=B313,'642'!$O$5&gt;=B313),"642",IF(AND(L313="641",'641'!$N$5&lt;=B313,'641'!$O$5&gt;=B313),"641",""))))</f>
        <v/>
      </c>
      <c r="V313" s="51" t="str">
        <f>IF(OR(TH!L313=TH!$V$7,M313=TH!$V$7),"x","")</f>
        <v/>
      </c>
      <c r="W313" s="51" t="str">
        <f>IF(AND(B313&gt;='IN-NX'!$P$3,B313&lt;='IN-NX'!$Q$3,'IN-NX'!$D$7=D313,OR(LEFT(L313,2)="15",AND(LEFT(M313,2)&lt;&gt;"15",LEFT(M313,2)&lt;&gt;"33"))),"x","")</f>
        <v/>
      </c>
      <c r="X313" s="51" t="str">
        <f>IF(AND(OR(LEFT(TH!L313,2)="15",LEFT(TH!M313,2)="15"),'152-CT'!$J$8=TH!F313),"x","")</f>
        <v/>
      </c>
      <c r="Y313" s="51" t="str">
        <f>IF(AND(OR(LEFT(TH!L313,2)="15",LEFT(TH!M313,2)="15"),TK!$E$7=TH!F313),"x","")</f>
        <v/>
      </c>
      <c r="Z313" s="51" t="str">
        <f>IF(AND(B313&lt;=NKC!$N$8,B313&gt;=NKC!$M$8),"x","")</f>
        <v/>
      </c>
      <c r="AA313" s="803"/>
      <c r="AB313" s="565"/>
    </row>
    <row r="314" spans="1:28" ht="15.75" customHeight="1">
      <c r="A314" s="804" t="str">
        <f>IF(B314&lt;&gt;"",IF(AND(B314&gt;=_TM1,B314&lt;=_TM2,OR(TH!L314="1111",TH!M314="1111")),TH!D314,""),"")</f>
        <v/>
      </c>
      <c r="B314" s="36">
        <f t="shared" si="16"/>
        <v>6</v>
      </c>
      <c r="C314" s="189">
        <f t="shared" si="17"/>
        <v>42175</v>
      </c>
      <c r="D314" s="189" t="s">
        <v>1295</v>
      </c>
      <c r="E314" s="189">
        <v>42175</v>
      </c>
      <c r="F314" s="190" t="s">
        <v>962</v>
      </c>
      <c r="G314" s="813" t="s">
        <v>995</v>
      </c>
      <c r="H314" s="202" t="s">
        <v>424</v>
      </c>
      <c r="I314" s="243"/>
      <c r="J314" s="243"/>
      <c r="K314" s="573">
        <v>535800</v>
      </c>
      <c r="L314" s="574" t="s">
        <v>250</v>
      </c>
      <c r="M314" s="574" t="s">
        <v>352</v>
      </c>
      <c r="N314" s="51" t="str">
        <f>IF(AND('331-CT'!$E$7=TH!H314,OR(L314="331",M314="331")),"331",IF(AND(OR(L314="131",M314="131"),H314='131-CT'!$E$7),"131",""))</f>
        <v/>
      </c>
      <c r="O314" s="51" t="str">
        <f>IF(AND($B314&gt;='111'!$N$11,$B314&lt;='111'!$O$11,OR($L314=$O$7,$M314=$O$7)),"x","")</f>
        <v/>
      </c>
      <c r="P314" s="51" t="str">
        <f>IF(AND($L314=$O$7,$B314&lt;'111'!$N$11),"x","")</f>
        <v/>
      </c>
      <c r="Q314" s="51" t="str">
        <f>IF(AND($M314=$O$7,$B314&lt;'111'!$N$11),"x","")</f>
        <v/>
      </c>
      <c r="R314" s="51" t="str">
        <f>IF(ISERROR(FIND('112'!$M$9,G314,1)),"",IF((AND(FIND('112'!$M$9,G314,1)&gt;=1,$B314&gt;='112'!$N$8,$B314&lt;='112'!$O$8,OR($L314='112'!$I$6,$M314='112'!$I$6))),"x",""))</f>
        <v/>
      </c>
      <c r="S314" s="51" t="str">
        <f>IF(ISERROR(FIND('112'!$M$9,G314,1)),"",IF((AND(LEFT(G314,2)=LEFT('112'!$M$9,2),B314&lt;'112'!$N$8,$L314='112'!$I$6)),"x",""))</f>
        <v/>
      </c>
      <c r="T314" s="51" t="str">
        <f>IF(ISERROR(FIND('112'!$M$9,G314,1)),"",IF((AND(RIGHT(G314,2)=RIGHT('112'!$M$9,2),B314&lt;'112'!$N$8,$M314='112'!$I$6)),"x",""))</f>
        <v/>
      </c>
      <c r="U314" s="51" t="str">
        <f>IF(AND(L314="154",'154'!$O$5&lt;=B314,'154'!$P$5&gt;=B314),"154",IF(AND(L314="632",'632'!$L$5&lt;=B314,'632'!$M$5&gt;=B314),"632",IF(AND(L314="642",'642'!$N$5&lt;=B314,'642'!$O$5&gt;=B314),"642",IF(AND(L314="641",'641'!$N$5&lt;=B314,'641'!$O$5&gt;=B314),"641",""))))</f>
        <v/>
      </c>
      <c r="V314" s="51" t="str">
        <f>IF(OR(TH!L314=TH!$V$7,M314=TH!$V$7),"x","")</f>
        <v/>
      </c>
      <c r="W314" s="51" t="str">
        <f>IF(AND(B314&gt;='IN-NX'!$P$3,B314&lt;='IN-NX'!$Q$3,'IN-NX'!$D$7=D314,OR(LEFT(L314,2)="15",AND(LEFT(M314,2)&lt;&gt;"15",LEFT(M314,2)&lt;&gt;"33"))),"x","")</f>
        <v/>
      </c>
      <c r="X314" s="51" t="str">
        <f>IF(AND(OR(LEFT(TH!L314,2)="15",LEFT(TH!M314,2)="15"),'152-CT'!$J$8=TH!F314),"x","")</f>
        <v/>
      </c>
      <c r="Y314" s="51" t="str">
        <f>IF(AND(OR(LEFT(TH!L314,2)="15",LEFT(TH!M314,2)="15"),TK!$E$7=TH!F314),"x","")</f>
        <v/>
      </c>
      <c r="Z314" s="51" t="str">
        <f>IF(AND(B314&lt;=NKC!$N$8,B314&gt;=NKC!$M$8),"x","")</f>
        <v/>
      </c>
      <c r="AA314" s="803"/>
      <c r="AB314" s="565"/>
    </row>
    <row r="315" spans="1:28" ht="15.75" customHeight="1">
      <c r="A315" s="804" t="str">
        <f>IF(B315&lt;&gt;"",IF(AND(B315&gt;=_TM1,B315&lt;=_TM2,OR(TH!L315="1111",TH!M315="1111")),TH!D315,""),"")</f>
        <v/>
      </c>
      <c r="B315" s="36">
        <f t="shared" si="16"/>
        <v>6</v>
      </c>
      <c r="C315" s="189">
        <f t="shared" si="17"/>
        <v>42175</v>
      </c>
      <c r="D315" s="189" t="s">
        <v>1382</v>
      </c>
      <c r="E315" s="189">
        <v>42175</v>
      </c>
      <c r="F315" s="922" t="s">
        <v>423</v>
      </c>
      <c r="G315" s="813" t="s">
        <v>995</v>
      </c>
      <c r="H315" s="202" t="s">
        <v>424</v>
      </c>
      <c r="I315" s="243"/>
      <c r="J315" s="243"/>
      <c r="K315" s="573">
        <f>SUM(K310:K314)</f>
        <v>5893800</v>
      </c>
      <c r="L315" s="574" t="s">
        <v>47</v>
      </c>
      <c r="M315" s="574" t="s">
        <v>250</v>
      </c>
      <c r="N315" s="51" t="str">
        <f>IF(AND('331-CT'!$E$7=TH!H315,OR(L315="331",M315="331")),"331",IF(AND(OR(L315="131",M315="131"),H315='131-CT'!$E$7),"131",""))</f>
        <v/>
      </c>
      <c r="O315" s="51" t="str">
        <f>IF(AND($B315&gt;='111'!$N$11,$B315&lt;='111'!$O$11,OR($L315=$O$7,$M315=$O$7)),"x","")</f>
        <v/>
      </c>
      <c r="P315" s="51" t="str">
        <f>IF(AND($L315=$O$7,$B315&lt;'111'!$N$11),"x","")</f>
        <v>x</v>
      </c>
      <c r="Q315" s="51" t="str">
        <f>IF(AND($M315=$O$7,$B315&lt;'111'!$N$11),"x","")</f>
        <v/>
      </c>
      <c r="R315" s="51" t="str">
        <f>IF(ISERROR(FIND('112'!$M$9,G315,1)),"",IF((AND(FIND('112'!$M$9,G315,1)&gt;=1,$B315&gt;='112'!$N$8,$B315&lt;='112'!$O$8,OR($L315='112'!$I$6,$M315='112'!$I$6))),"x",""))</f>
        <v/>
      </c>
      <c r="S315" s="51" t="str">
        <f>IF(ISERROR(FIND('112'!$M$9,G315,1)),"",IF((AND(LEFT(G315,2)=LEFT('112'!$M$9,2),B315&lt;'112'!$N$8,$L315='112'!$I$6)),"x",""))</f>
        <v/>
      </c>
      <c r="T315" s="51" t="str">
        <f>IF(ISERROR(FIND('112'!$M$9,G315,1)),"",IF((AND(RIGHT(G315,2)=RIGHT('112'!$M$9,2),B315&lt;'112'!$N$8,$M315='112'!$I$6)),"x",""))</f>
        <v/>
      </c>
      <c r="U315" s="51" t="str">
        <f>IF(AND(L315="154",'154'!$O$5&lt;=B315,'154'!$P$5&gt;=B315),"154",IF(AND(L315="632",'632'!$L$5&lt;=B315,'632'!$M$5&gt;=B315),"632",IF(AND(L315="642",'642'!$N$5&lt;=B315,'642'!$O$5&gt;=B315),"642",IF(AND(L315="641",'641'!$N$5&lt;=B315,'641'!$O$5&gt;=B315),"641",""))))</f>
        <v/>
      </c>
      <c r="V315" s="51" t="str">
        <f>IF(OR(TH!L315=TH!$V$7,M315=TH!$V$7),"x","")</f>
        <v/>
      </c>
      <c r="W315" s="51" t="str">
        <f>IF(AND(B315&gt;='IN-NX'!$P$3,B315&lt;='IN-NX'!$Q$3,'IN-NX'!$D$7=D315,OR(LEFT(L315,2)="15",AND(LEFT(M315,2)&lt;&gt;"15",LEFT(M315,2)&lt;&gt;"33"))),"x","")</f>
        <v/>
      </c>
      <c r="X315" s="51" t="str">
        <f>IF(AND(OR(LEFT(TH!L315,2)="15",LEFT(TH!M315,2)="15"),'152-CT'!$J$8=TH!F315),"x","")</f>
        <v/>
      </c>
      <c r="Y315" s="51" t="str">
        <f>IF(AND(OR(LEFT(TH!L315,2)="15",LEFT(TH!M315,2)="15"),TK!$E$7=TH!F315),"x","")</f>
        <v/>
      </c>
      <c r="Z315" s="51" t="str">
        <f>IF(AND(B315&lt;=NKC!$N$8,B315&gt;=NKC!$M$8),"x","")</f>
        <v/>
      </c>
      <c r="AA315" s="803"/>
      <c r="AB315" s="565"/>
    </row>
    <row r="316" spans="1:28" ht="15.75" customHeight="1">
      <c r="A316" s="804" t="str">
        <f>IF(B316&lt;&gt;"",IF(AND(B316&gt;=_TM1,B316&lt;=_TM2,OR(TH!L316="1111",TH!M316="1111")),TH!D316,""),"")</f>
        <v/>
      </c>
      <c r="B316" s="36">
        <f t="shared" si="16"/>
        <v>6</v>
      </c>
      <c r="C316" s="189">
        <f t="shared" si="17"/>
        <v>42176</v>
      </c>
      <c r="D316" s="189" t="s">
        <v>1386</v>
      </c>
      <c r="E316" s="189">
        <v>42176</v>
      </c>
      <c r="F316" s="190" t="s">
        <v>490</v>
      </c>
      <c r="G316" s="813" t="s">
        <v>563</v>
      </c>
      <c r="H316" s="7" t="s">
        <v>562</v>
      </c>
      <c r="I316" s="243"/>
      <c r="J316" s="243"/>
      <c r="K316" s="573">
        <v>1010727</v>
      </c>
      <c r="L316" s="574" t="s">
        <v>251</v>
      </c>
      <c r="M316" s="574" t="s">
        <v>47</v>
      </c>
      <c r="N316" s="51" t="str">
        <f>IF(AND('331-CT'!$E$7=TH!H316,OR(L316="331",M316="331")),"331",IF(AND(OR(L316="131",M316="131"),H316='131-CT'!$E$7),"131",""))</f>
        <v/>
      </c>
      <c r="O316" s="51" t="str">
        <f>IF(AND($B316&gt;='111'!$N$11,$B316&lt;='111'!$O$11,OR($L316=$O$7,$M316=$O$7)),"x","")</f>
        <v/>
      </c>
      <c r="P316" s="51" t="str">
        <f>IF(AND($L316=$O$7,$B316&lt;'111'!$N$11),"x","")</f>
        <v/>
      </c>
      <c r="Q316" s="51" t="str">
        <f>IF(AND($M316=$O$7,$B316&lt;'111'!$N$11),"x","")</f>
        <v>x</v>
      </c>
      <c r="R316" s="51" t="str">
        <f>IF(ISERROR(FIND('112'!$M$9,G316,1)),"",IF((AND(FIND('112'!$M$9,G316,1)&gt;=1,$B316&gt;='112'!$N$8,$B316&lt;='112'!$O$8,OR($L316='112'!$I$6,$M316='112'!$I$6))),"x",""))</f>
        <v/>
      </c>
      <c r="S316" s="51" t="str">
        <f>IF(ISERROR(FIND('112'!$M$9,G316,1)),"",IF((AND(LEFT(G316,2)=LEFT('112'!$M$9,2),B316&lt;'112'!$N$8,$L316='112'!$I$6)),"x",""))</f>
        <v/>
      </c>
      <c r="T316" s="51" t="str">
        <f>IF(ISERROR(FIND('112'!$M$9,G316,1)),"",IF((AND(RIGHT(G316,2)=RIGHT('112'!$M$9,2),B316&lt;'112'!$N$8,$M316='112'!$I$6)),"x",""))</f>
        <v/>
      </c>
      <c r="U316" s="51" t="str">
        <f>IF(AND(L316="154",'154'!$O$5&lt;=B316,'154'!$P$5&gt;=B316),"154",IF(AND(L316="632",'632'!$L$5&lt;=B316,'632'!$M$5&gt;=B316),"632",IF(AND(L316="642",'642'!$N$5&lt;=B316,'642'!$O$5&gt;=B316),"642",IF(AND(L316="641",'641'!$N$5&lt;=B316,'641'!$O$5&gt;=B316),"641",""))))</f>
        <v/>
      </c>
      <c r="V316" s="51" t="str">
        <f>IF(OR(TH!L316=TH!$V$7,M316=TH!$V$7),"x","")</f>
        <v/>
      </c>
      <c r="W316" s="51" t="str">
        <f>IF(AND(B316&gt;='IN-NX'!$P$3,B316&lt;='IN-NX'!$Q$3,'IN-NX'!$D$7=D316,OR(LEFT(L316,2)="15",AND(LEFT(M316,2)&lt;&gt;"15",LEFT(M316,2)&lt;&gt;"33"))),"x","")</f>
        <v/>
      </c>
      <c r="X316" s="51" t="str">
        <f>IF(AND(OR(LEFT(TH!L316,2)="15",LEFT(TH!M316,2)="15"),'152-CT'!$J$8=TH!F316),"x","")</f>
        <v/>
      </c>
      <c r="Y316" s="51" t="str">
        <f>IF(AND(OR(LEFT(TH!L316,2)="15",LEFT(TH!M316,2)="15"),TK!$E$7=TH!F316),"x","")</f>
        <v/>
      </c>
      <c r="Z316" s="51" t="str">
        <f>IF(AND(B316&lt;=NKC!$N$8,B316&gt;=NKC!$M$8),"x","")</f>
        <v/>
      </c>
      <c r="AA316" s="803"/>
      <c r="AB316" s="565"/>
    </row>
    <row r="317" spans="1:28" ht="15.75" customHeight="1">
      <c r="A317" s="804" t="str">
        <f>IF(B317&lt;&gt;"",IF(AND(B317&gt;=_TM1,B317&lt;=_TM2,OR(TH!L317="1111",TH!M317="1111")),TH!D317,""),"")</f>
        <v/>
      </c>
      <c r="B317" s="36">
        <f t="shared" si="16"/>
        <v>6</v>
      </c>
      <c r="C317" s="189">
        <f t="shared" si="17"/>
        <v>42176</v>
      </c>
      <c r="D317" s="189" t="s">
        <v>1386</v>
      </c>
      <c r="E317" s="189">
        <v>42176</v>
      </c>
      <c r="F317" s="190" t="s">
        <v>491</v>
      </c>
      <c r="G317" s="813" t="s">
        <v>563</v>
      </c>
      <c r="H317" s="7" t="s">
        <v>562</v>
      </c>
      <c r="I317" s="243"/>
      <c r="J317" s="243"/>
      <c r="K317" s="573">
        <v>101073</v>
      </c>
      <c r="L317" s="574" t="s">
        <v>9</v>
      </c>
      <c r="M317" s="574" t="s">
        <v>47</v>
      </c>
      <c r="N317" s="51" t="str">
        <f>IF(AND('331-CT'!$E$7=TH!H317,OR(L317="331",M317="331")),"331",IF(AND(OR(L317="131",M317="131"),H317='131-CT'!$E$7),"131",""))</f>
        <v/>
      </c>
      <c r="O317" s="51" t="str">
        <f>IF(AND($B317&gt;='111'!$N$11,$B317&lt;='111'!$O$11,OR($L317=$O$7,$M317=$O$7)),"x","")</f>
        <v/>
      </c>
      <c r="P317" s="51" t="str">
        <f>IF(AND($L317=$O$7,$B317&lt;'111'!$N$11),"x","")</f>
        <v/>
      </c>
      <c r="Q317" s="51" t="str">
        <f>IF(AND($M317=$O$7,$B317&lt;'111'!$N$11),"x","")</f>
        <v>x</v>
      </c>
      <c r="R317" s="51" t="str">
        <f>IF(ISERROR(FIND('112'!$M$9,G317,1)),"",IF((AND(FIND('112'!$M$9,G317,1)&gt;=1,$B317&gt;='112'!$N$8,$B317&lt;='112'!$O$8,OR($L317='112'!$I$6,$M317='112'!$I$6))),"x",""))</f>
        <v/>
      </c>
      <c r="S317" s="51" t="str">
        <f>IF(ISERROR(FIND('112'!$M$9,G317,1)),"",IF((AND(LEFT(G317,2)=LEFT('112'!$M$9,2),B317&lt;'112'!$N$8,$L317='112'!$I$6)),"x",""))</f>
        <v/>
      </c>
      <c r="T317" s="51" t="str">
        <f>IF(ISERROR(FIND('112'!$M$9,G317,1)),"",IF((AND(RIGHT(G317,2)=RIGHT('112'!$M$9,2),B317&lt;'112'!$N$8,$M317='112'!$I$6)),"x",""))</f>
        <v/>
      </c>
      <c r="U317" s="51" t="str">
        <f>IF(AND(L317="154",'154'!$O$5&lt;=B317,'154'!$P$5&gt;=B317),"154",IF(AND(L317="632",'632'!$L$5&lt;=B317,'632'!$M$5&gt;=B317),"632",IF(AND(L317="642",'642'!$N$5&lt;=B317,'642'!$O$5&gt;=B317),"642",IF(AND(L317="641",'641'!$N$5&lt;=B317,'641'!$O$5&gt;=B317),"641",""))))</f>
        <v/>
      </c>
      <c r="V317" s="51" t="str">
        <f>IF(OR(TH!L317=TH!$V$7,M317=TH!$V$7),"x","")</f>
        <v/>
      </c>
      <c r="W317" s="51" t="str">
        <f>IF(AND(B317&gt;='IN-NX'!$P$3,B317&lt;='IN-NX'!$Q$3,'IN-NX'!$D$7=D317,OR(LEFT(L317,2)="15",AND(LEFT(M317,2)&lt;&gt;"15",LEFT(M317,2)&lt;&gt;"33"))),"x","")</f>
        <v/>
      </c>
      <c r="X317" s="51" t="str">
        <f>IF(AND(OR(LEFT(TH!L317,2)="15",LEFT(TH!M317,2)="15"),'152-CT'!$J$8=TH!F317),"x","")</f>
        <v/>
      </c>
      <c r="Y317" s="51" t="str">
        <f>IF(AND(OR(LEFT(TH!L317,2)="15",LEFT(TH!M317,2)="15"),TK!$E$7=TH!F317),"x","")</f>
        <v/>
      </c>
      <c r="Z317" s="51" t="str">
        <f>IF(AND(B317&lt;=NKC!$N$8,B317&gt;=NKC!$M$8),"x","")</f>
        <v/>
      </c>
      <c r="AA317" s="803">
        <v>2</v>
      </c>
      <c r="AB317" s="565"/>
    </row>
    <row r="318" spans="1:28" ht="15.75" customHeight="1">
      <c r="A318" s="804" t="str">
        <f>IF(B318&lt;&gt;"",IF(AND(B318&gt;=_TM1,B318&lt;=_TM2,OR(TH!L318="1111",TH!M318="1111")),TH!D318,""),"")</f>
        <v/>
      </c>
      <c r="B318" s="36">
        <f t="shared" si="16"/>
        <v>6</v>
      </c>
      <c r="C318" s="189">
        <f t="shared" si="17"/>
        <v>42176</v>
      </c>
      <c r="D318" s="189" t="s">
        <v>1356</v>
      </c>
      <c r="E318" s="189">
        <v>42176</v>
      </c>
      <c r="F318" s="190" t="s">
        <v>570</v>
      </c>
      <c r="G318" s="813" t="s">
        <v>569</v>
      </c>
      <c r="H318" s="191" t="s">
        <v>494</v>
      </c>
      <c r="I318" s="243">
        <v>500</v>
      </c>
      <c r="J318" s="243">
        <v>24055</v>
      </c>
      <c r="K318" s="573">
        <f t="shared" ref="K318:K328" si="22">ROUND(I318*J318,0)</f>
        <v>12027500</v>
      </c>
      <c r="L318" s="574" t="s">
        <v>417</v>
      </c>
      <c r="M318" s="574" t="s">
        <v>8</v>
      </c>
      <c r="N318" s="51" t="str">
        <f>IF(AND('331-CT'!$E$7=TH!H318,OR(L318="331",M318="331")),"331",IF(AND(OR(L318="131",M318="131"),H318='131-CT'!$E$7),"131",""))</f>
        <v/>
      </c>
      <c r="O318" s="51" t="str">
        <f>IF(AND($B318&gt;='111'!$N$11,$B318&lt;='111'!$O$11,OR($L318=$O$7,$M318=$O$7)),"x","")</f>
        <v/>
      </c>
      <c r="P318" s="51" t="str">
        <f>IF(AND($L318=$O$7,$B318&lt;'111'!$N$11),"x","")</f>
        <v/>
      </c>
      <c r="Q318" s="51" t="str">
        <f>IF(AND($M318=$O$7,$B318&lt;'111'!$N$11),"x","")</f>
        <v/>
      </c>
      <c r="R318" s="51" t="str">
        <f>IF(ISERROR(FIND('112'!$M$9,G318,1)),"",IF((AND(FIND('112'!$M$9,G318,1)&gt;=1,$B318&gt;='112'!$N$8,$B318&lt;='112'!$O$8,OR($L318='112'!$I$6,$M318='112'!$I$6))),"x",""))</f>
        <v/>
      </c>
      <c r="S318" s="51" t="str">
        <f>IF(ISERROR(FIND('112'!$M$9,G318,1)),"",IF((AND(LEFT(G318,2)=LEFT('112'!$M$9,2),B318&lt;'112'!$N$8,$L318='112'!$I$6)),"x",""))</f>
        <v/>
      </c>
      <c r="T318" s="51" t="str">
        <f>IF(ISERROR(FIND('112'!$M$9,G318,1)),"",IF((AND(RIGHT(G318,2)=RIGHT('112'!$M$9,2),B318&lt;'112'!$N$8,$M318='112'!$I$6)),"x",""))</f>
        <v/>
      </c>
      <c r="U318" s="51" t="str">
        <f>IF(AND(L318="154",'154'!$O$5&lt;=B318,'154'!$P$5&gt;=B318),"154",IF(AND(L318="632",'632'!$L$5&lt;=B318,'632'!$M$5&gt;=B318),"632",IF(AND(L318="642",'642'!$N$5&lt;=B318,'642'!$O$5&gt;=B318),"642",IF(AND(L318="641",'641'!$N$5&lt;=B318,'641'!$O$5&gt;=B318),"641",""))))</f>
        <v/>
      </c>
      <c r="V318" s="51" t="str">
        <f>IF(OR(TH!L318=TH!$V$7,M318=TH!$V$7),"x","")</f>
        <v/>
      </c>
      <c r="W318" s="51" t="str">
        <f>IF(AND(B318&gt;='IN-NX'!$P$3,B318&lt;='IN-NX'!$Q$3,'IN-NX'!$D$7=D318,OR(LEFT(L318,2)="15",AND(LEFT(M318,2)&lt;&gt;"15",LEFT(M318,2)&lt;&gt;"33"))),"x","")</f>
        <v/>
      </c>
      <c r="X318" s="51" t="str">
        <f>IF(AND(OR(LEFT(TH!L318,2)="15",LEFT(TH!M318,2)="15"),'152-CT'!$J$8=TH!F318),"x","")</f>
        <v/>
      </c>
      <c r="Y318" s="51" t="str">
        <f>IF(AND(OR(LEFT(TH!L318,2)="15",LEFT(TH!M318,2)="15"),TK!$E$7=TH!F318),"x","")</f>
        <v/>
      </c>
      <c r="Z318" s="51" t="str">
        <f>IF(AND(B318&lt;=NKC!$N$8,B318&gt;=NKC!$M$8),"x","")</f>
        <v/>
      </c>
      <c r="AA318" s="803"/>
      <c r="AB318" s="565"/>
    </row>
    <row r="319" spans="1:28" ht="15.75" customHeight="1">
      <c r="A319" s="804" t="str">
        <f>IF(B319&lt;&gt;"",IF(AND(B319&gt;=_TM1,B319&lt;=_TM2,OR(TH!L319="1111",TH!M319="1111")),TH!D319,""),"")</f>
        <v/>
      </c>
      <c r="B319" s="36">
        <f t="shared" si="16"/>
        <v>6</v>
      </c>
      <c r="C319" s="189">
        <f t="shared" si="17"/>
        <v>42176</v>
      </c>
      <c r="D319" s="189" t="s">
        <v>1356</v>
      </c>
      <c r="E319" s="189">
        <v>42176</v>
      </c>
      <c r="F319" s="190" t="s">
        <v>571</v>
      </c>
      <c r="G319" s="813" t="s">
        <v>569</v>
      </c>
      <c r="H319" s="191" t="s">
        <v>494</v>
      </c>
      <c r="I319" s="243">
        <v>1000</v>
      </c>
      <c r="J319" s="243">
        <v>11815</v>
      </c>
      <c r="K319" s="573">
        <f t="shared" si="22"/>
        <v>11815000</v>
      </c>
      <c r="L319" s="574" t="s">
        <v>417</v>
      </c>
      <c r="M319" s="574" t="s">
        <v>8</v>
      </c>
      <c r="N319" s="51" t="str">
        <f>IF(AND('331-CT'!$E$7=TH!H319,OR(L319="331",M319="331")),"331",IF(AND(OR(L319="131",M319="131"),H319='131-CT'!$E$7),"131",""))</f>
        <v/>
      </c>
      <c r="O319" s="51" t="str">
        <f>IF(AND($B319&gt;='111'!$N$11,$B319&lt;='111'!$O$11,OR($L319=$O$7,$M319=$O$7)),"x","")</f>
        <v/>
      </c>
      <c r="P319" s="51" t="str">
        <f>IF(AND($L319=$O$7,$B319&lt;'111'!$N$11),"x","")</f>
        <v/>
      </c>
      <c r="Q319" s="51" t="str">
        <f>IF(AND($M319=$O$7,$B319&lt;'111'!$N$11),"x","")</f>
        <v/>
      </c>
      <c r="R319" s="51" t="str">
        <f>IF(ISERROR(FIND('112'!$M$9,G319,1)),"",IF((AND(FIND('112'!$M$9,G319,1)&gt;=1,$B319&gt;='112'!$N$8,$B319&lt;='112'!$O$8,OR($L319='112'!$I$6,$M319='112'!$I$6))),"x",""))</f>
        <v/>
      </c>
      <c r="S319" s="51" t="str">
        <f>IF(ISERROR(FIND('112'!$M$9,G319,1)),"",IF((AND(LEFT(G319,2)=LEFT('112'!$M$9,2),B319&lt;'112'!$N$8,$L319='112'!$I$6)),"x",""))</f>
        <v/>
      </c>
      <c r="T319" s="51" t="str">
        <f>IF(ISERROR(FIND('112'!$M$9,G319,1)),"",IF((AND(RIGHT(G319,2)=RIGHT('112'!$M$9,2),B319&lt;'112'!$N$8,$M319='112'!$I$6)),"x",""))</f>
        <v/>
      </c>
      <c r="U319" s="51" t="str">
        <f>IF(AND(L319="154",'154'!$O$5&lt;=B319,'154'!$P$5&gt;=B319),"154",IF(AND(L319="632",'632'!$L$5&lt;=B319,'632'!$M$5&gt;=B319),"632",IF(AND(L319="642",'642'!$N$5&lt;=B319,'642'!$O$5&gt;=B319),"642",IF(AND(L319="641",'641'!$N$5&lt;=B319,'641'!$O$5&gt;=B319),"641",""))))</f>
        <v/>
      </c>
      <c r="V319" s="51" t="str">
        <f>IF(OR(TH!L319=TH!$V$7,M319=TH!$V$7),"x","")</f>
        <v/>
      </c>
      <c r="W319" s="51" t="str">
        <f>IF(AND(B319&gt;='IN-NX'!$P$3,B319&lt;='IN-NX'!$Q$3,'IN-NX'!$D$7=D319,OR(LEFT(L319,2)="15",AND(LEFT(M319,2)&lt;&gt;"15",LEFT(M319,2)&lt;&gt;"33"))),"x","")</f>
        <v/>
      </c>
      <c r="X319" s="51" t="str">
        <f>IF(AND(OR(LEFT(TH!L319,2)="15",LEFT(TH!M319,2)="15"),'152-CT'!$J$8=TH!F319),"x","")</f>
        <v/>
      </c>
      <c r="Y319" s="51" t="str">
        <f>IF(AND(OR(LEFT(TH!L319,2)="15",LEFT(TH!M319,2)="15"),TK!$E$7=TH!F319),"x","")</f>
        <v/>
      </c>
      <c r="Z319" s="51" t="str">
        <f>IF(AND(B319&lt;=NKC!$N$8,B319&gt;=NKC!$M$8),"x","")</f>
        <v/>
      </c>
      <c r="AA319" s="803"/>
      <c r="AB319" s="565"/>
    </row>
    <row r="320" spans="1:28" ht="15.75" customHeight="1">
      <c r="A320" s="804" t="str">
        <f>IF(B320&lt;&gt;"",IF(AND(B320&gt;=_TM1,B320&lt;=_TM2,OR(TH!L320="1111",TH!M320="1111")),TH!D320,""),"")</f>
        <v/>
      </c>
      <c r="B320" s="36">
        <f t="shared" si="16"/>
        <v>6</v>
      </c>
      <c r="C320" s="189">
        <f t="shared" si="17"/>
        <v>42176</v>
      </c>
      <c r="D320" s="189" t="s">
        <v>1356</v>
      </c>
      <c r="E320" s="189">
        <v>42176</v>
      </c>
      <c r="F320" s="190" t="s">
        <v>572</v>
      </c>
      <c r="G320" s="813" t="s">
        <v>569</v>
      </c>
      <c r="H320" s="191" t="s">
        <v>494</v>
      </c>
      <c r="I320" s="243">
        <v>700</v>
      </c>
      <c r="J320" s="243">
        <v>15666</v>
      </c>
      <c r="K320" s="573">
        <f t="shared" si="22"/>
        <v>10966200</v>
      </c>
      <c r="L320" s="574" t="s">
        <v>417</v>
      </c>
      <c r="M320" s="574" t="s">
        <v>8</v>
      </c>
      <c r="N320" s="51" t="str">
        <f>IF(AND('331-CT'!$E$7=TH!H320,OR(L320="331",M320="331")),"331",IF(AND(OR(L320="131",M320="131"),H320='131-CT'!$E$7),"131",""))</f>
        <v/>
      </c>
      <c r="O320" s="51" t="str">
        <f>IF(AND($B320&gt;='111'!$N$11,$B320&lt;='111'!$O$11,OR($L320=$O$7,$M320=$O$7)),"x","")</f>
        <v/>
      </c>
      <c r="P320" s="51" t="str">
        <f>IF(AND($L320=$O$7,$B320&lt;'111'!$N$11),"x","")</f>
        <v/>
      </c>
      <c r="Q320" s="51" t="str">
        <f>IF(AND($M320=$O$7,$B320&lt;'111'!$N$11),"x","")</f>
        <v/>
      </c>
      <c r="R320" s="51" t="str">
        <f>IF(ISERROR(FIND('112'!$M$9,G320,1)),"",IF((AND(FIND('112'!$M$9,G320,1)&gt;=1,$B320&gt;='112'!$N$8,$B320&lt;='112'!$O$8,OR($L320='112'!$I$6,$M320='112'!$I$6))),"x",""))</f>
        <v/>
      </c>
      <c r="S320" s="51" t="str">
        <f>IF(ISERROR(FIND('112'!$M$9,G320,1)),"",IF((AND(LEFT(G320,2)=LEFT('112'!$M$9,2),B320&lt;'112'!$N$8,$L320='112'!$I$6)),"x",""))</f>
        <v/>
      </c>
      <c r="T320" s="51" t="str">
        <f>IF(ISERROR(FIND('112'!$M$9,G320,1)),"",IF((AND(RIGHT(G320,2)=RIGHT('112'!$M$9,2),B320&lt;'112'!$N$8,$M320='112'!$I$6)),"x",""))</f>
        <v/>
      </c>
      <c r="U320" s="51" t="str">
        <f>IF(AND(L320="154",'154'!$O$5&lt;=B320,'154'!$P$5&gt;=B320),"154",IF(AND(L320="632",'632'!$L$5&lt;=B320,'632'!$M$5&gt;=B320),"632",IF(AND(L320="642",'642'!$N$5&lt;=B320,'642'!$O$5&gt;=B320),"642",IF(AND(L320="641",'641'!$N$5&lt;=B320,'641'!$O$5&gt;=B320),"641",""))))</f>
        <v/>
      </c>
      <c r="V320" s="51" t="str">
        <f>IF(OR(TH!L320=TH!$V$7,M320=TH!$V$7),"x","")</f>
        <v/>
      </c>
      <c r="W320" s="51" t="str">
        <f>IF(AND(B320&gt;='IN-NX'!$P$3,B320&lt;='IN-NX'!$Q$3,'IN-NX'!$D$7=D320,OR(LEFT(L320,2)="15",AND(LEFT(M320,2)&lt;&gt;"15",LEFT(M320,2)&lt;&gt;"33"))),"x","")</f>
        <v/>
      </c>
      <c r="X320" s="51" t="str">
        <f>IF(AND(OR(LEFT(TH!L320,2)="15",LEFT(TH!M320,2)="15"),'152-CT'!$J$8=TH!F320),"x","")</f>
        <v/>
      </c>
      <c r="Y320" s="51" t="str">
        <f>IF(AND(OR(LEFT(TH!L320,2)="15",LEFT(TH!M320,2)="15"),TK!$E$7=TH!F320),"x","")</f>
        <v/>
      </c>
      <c r="Z320" s="51" t="str">
        <f>IF(AND(B320&lt;=NKC!$N$8,B320&gt;=NKC!$M$8),"x","")</f>
        <v/>
      </c>
      <c r="AA320" s="803"/>
      <c r="AB320" s="565"/>
    </row>
    <row r="321" spans="1:28" ht="15.75" customHeight="1">
      <c r="A321" s="804" t="str">
        <f>IF(B321&lt;&gt;"",IF(AND(B321&gt;=_TM1,B321&lt;=_TM2,OR(TH!L321="1111",TH!M321="1111")),TH!D321,""),"")</f>
        <v/>
      </c>
      <c r="B321" s="36">
        <f t="shared" si="16"/>
        <v>6</v>
      </c>
      <c r="C321" s="189">
        <f t="shared" si="17"/>
        <v>42176</v>
      </c>
      <c r="D321" s="189" t="s">
        <v>1356</v>
      </c>
      <c r="E321" s="189">
        <v>42176</v>
      </c>
      <c r="F321" s="190" t="s">
        <v>573</v>
      </c>
      <c r="G321" s="813" t="s">
        <v>569</v>
      </c>
      <c r="H321" s="191" t="s">
        <v>494</v>
      </c>
      <c r="I321" s="243">
        <v>700</v>
      </c>
      <c r="J321" s="243">
        <v>16473</v>
      </c>
      <c r="K321" s="573">
        <f t="shared" si="22"/>
        <v>11531100</v>
      </c>
      <c r="L321" s="574" t="s">
        <v>417</v>
      </c>
      <c r="M321" s="574" t="s">
        <v>8</v>
      </c>
      <c r="N321" s="51" t="str">
        <f>IF(AND('331-CT'!$E$7=TH!H321,OR(L321="331",M321="331")),"331",IF(AND(OR(L321="131",M321="131"),H321='131-CT'!$E$7),"131",""))</f>
        <v/>
      </c>
      <c r="O321" s="51" t="str">
        <f>IF(AND($B321&gt;='111'!$N$11,$B321&lt;='111'!$O$11,OR($L321=$O$7,$M321=$O$7)),"x","")</f>
        <v/>
      </c>
      <c r="P321" s="51" t="str">
        <f>IF(AND($L321=$O$7,$B321&lt;'111'!$N$11),"x","")</f>
        <v/>
      </c>
      <c r="Q321" s="51" t="str">
        <f>IF(AND($M321=$O$7,$B321&lt;'111'!$N$11),"x","")</f>
        <v/>
      </c>
      <c r="R321" s="51" t="str">
        <f>IF(ISERROR(FIND('112'!$M$9,G321,1)),"",IF((AND(FIND('112'!$M$9,G321,1)&gt;=1,$B321&gt;='112'!$N$8,$B321&lt;='112'!$O$8,OR($L321='112'!$I$6,$M321='112'!$I$6))),"x",""))</f>
        <v/>
      </c>
      <c r="S321" s="51" t="str">
        <f>IF(ISERROR(FIND('112'!$M$9,G321,1)),"",IF((AND(LEFT(G321,2)=LEFT('112'!$M$9,2),B321&lt;'112'!$N$8,$L321='112'!$I$6)),"x",""))</f>
        <v/>
      </c>
      <c r="T321" s="51" t="str">
        <f>IF(ISERROR(FIND('112'!$M$9,G321,1)),"",IF((AND(RIGHT(G321,2)=RIGHT('112'!$M$9,2),B321&lt;'112'!$N$8,$M321='112'!$I$6)),"x",""))</f>
        <v/>
      </c>
      <c r="U321" s="51" t="str">
        <f>IF(AND(L321="154",'154'!$O$5&lt;=B321,'154'!$P$5&gt;=B321),"154",IF(AND(L321="632",'632'!$L$5&lt;=B321,'632'!$M$5&gt;=B321),"632",IF(AND(L321="642",'642'!$N$5&lt;=B321,'642'!$O$5&gt;=B321),"642",IF(AND(L321="641",'641'!$N$5&lt;=B321,'641'!$O$5&gt;=B321),"641",""))))</f>
        <v/>
      </c>
      <c r="V321" s="51" t="str">
        <f>IF(OR(TH!L321=TH!$V$7,M321=TH!$V$7),"x","")</f>
        <v/>
      </c>
      <c r="W321" s="51" t="str">
        <f>IF(AND(B321&gt;='IN-NX'!$P$3,B321&lt;='IN-NX'!$Q$3,'IN-NX'!$D$7=D321,OR(LEFT(L321,2)="15",AND(LEFT(M321,2)&lt;&gt;"15",LEFT(M321,2)&lt;&gt;"33"))),"x","")</f>
        <v/>
      </c>
      <c r="X321" s="51" t="str">
        <f>IF(AND(OR(LEFT(TH!L321,2)="15",LEFT(TH!M321,2)="15"),'152-CT'!$J$8=TH!F321),"x","")</f>
        <v/>
      </c>
      <c r="Y321" s="51" t="str">
        <f>IF(AND(OR(LEFT(TH!L321,2)="15",LEFT(TH!M321,2)="15"),TK!$E$7=TH!F321),"x","")</f>
        <v/>
      </c>
      <c r="Z321" s="51" t="str">
        <f>IF(AND(B321&lt;=NKC!$N$8,B321&gt;=NKC!$M$8),"x","")</f>
        <v/>
      </c>
      <c r="AA321" s="803"/>
      <c r="AB321" s="565"/>
    </row>
    <row r="322" spans="1:28" ht="15.75" customHeight="1">
      <c r="A322" s="804" t="str">
        <f>IF(B322&lt;&gt;"",IF(AND(B322&gt;=_TM1,B322&lt;=_TM2,OR(TH!L322="1111",TH!M322="1111")),TH!D322,""),"")</f>
        <v/>
      </c>
      <c r="B322" s="36">
        <f t="shared" si="16"/>
        <v>6</v>
      </c>
      <c r="C322" s="189">
        <f t="shared" si="17"/>
        <v>42176</v>
      </c>
      <c r="D322" s="189" t="s">
        <v>1356</v>
      </c>
      <c r="E322" s="189">
        <v>42176</v>
      </c>
      <c r="F322" s="922" t="s">
        <v>574</v>
      </c>
      <c r="G322" s="813" t="s">
        <v>569</v>
      </c>
      <c r="H322" s="191" t="s">
        <v>494</v>
      </c>
      <c r="I322" s="243">
        <v>700</v>
      </c>
      <c r="J322" s="243">
        <v>15151</v>
      </c>
      <c r="K322" s="573">
        <f t="shared" si="22"/>
        <v>10605700</v>
      </c>
      <c r="L322" s="574" t="s">
        <v>417</v>
      </c>
      <c r="M322" s="574" t="s">
        <v>8</v>
      </c>
      <c r="N322" s="51" t="str">
        <f>IF(AND('331-CT'!$E$7=TH!H322,OR(L322="331",M322="331")),"331",IF(AND(OR(L322="131",M322="131"),H322='131-CT'!$E$7),"131",""))</f>
        <v/>
      </c>
      <c r="O322" s="51" t="str">
        <f>IF(AND($B322&gt;='111'!$N$11,$B322&lt;='111'!$O$11,OR($L322=$O$7,$M322=$O$7)),"x","")</f>
        <v/>
      </c>
      <c r="P322" s="51" t="str">
        <f>IF(AND($L322=$O$7,$B322&lt;'111'!$N$11),"x","")</f>
        <v/>
      </c>
      <c r="Q322" s="51" t="str">
        <f>IF(AND($M322=$O$7,$B322&lt;'111'!$N$11),"x","")</f>
        <v/>
      </c>
      <c r="R322" s="51" t="str">
        <f>IF(ISERROR(FIND('112'!$M$9,G322,1)),"",IF((AND(FIND('112'!$M$9,G322,1)&gt;=1,$B322&gt;='112'!$N$8,$B322&lt;='112'!$O$8,OR($L322='112'!$I$6,$M322='112'!$I$6))),"x",""))</f>
        <v/>
      </c>
      <c r="S322" s="51" t="str">
        <f>IF(ISERROR(FIND('112'!$M$9,G322,1)),"",IF((AND(LEFT(G322,2)=LEFT('112'!$M$9,2),B322&lt;'112'!$N$8,$L322='112'!$I$6)),"x",""))</f>
        <v/>
      </c>
      <c r="T322" s="51" t="str">
        <f>IF(ISERROR(FIND('112'!$M$9,G322,1)),"",IF((AND(RIGHT(G322,2)=RIGHT('112'!$M$9,2),B322&lt;'112'!$N$8,$M322='112'!$I$6)),"x",""))</f>
        <v/>
      </c>
      <c r="U322" s="51" t="str">
        <f>IF(AND(L322="154",'154'!$O$5&lt;=B322,'154'!$P$5&gt;=B322),"154",IF(AND(L322="632",'632'!$L$5&lt;=B322,'632'!$M$5&gt;=B322),"632",IF(AND(L322="642",'642'!$N$5&lt;=B322,'642'!$O$5&gt;=B322),"642",IF(AND(L322="641",'641'!$N$5&lt;=B322,'641'!$O$5&gt;=B322),"641",""))))</f>
        <v/>
      </c>
      <c r="V322" s="51" t="str">
        <f>IF(OR(TH!L322=TH!$V$7,M322=TH!$V$7),"x","")</f>
        <v/>
      </c>
      <c r="W322" s="51" t="str">
        <f>IF(AND(B322&gt;='IN-NX'!$P$3,B322&lt;='IN-NX'!$Q$3,'IN-NX'!$D$7=D322,OR(LEFT(L322,2)="15",AND(LEFT(M322,2)&lt;&gt;"15",LEFT(M322,2)&lt;&gt;"33"))),"x","")</f>
        <v/>
      </c>
      <c r="X322" s="51" t="str">
        <f>IF(AND(OR(LEFT(TH!L322,2)="15",LEFT(TH!M322,2)="15"),'152-CT'!$J$8=TH!F322),"x","")</f>
        <v/>
      </c>
      <c r="Y322" s="51" t="str">
        <f>IF(AND(OR(LEFT(TH!L322,2)="15",LEFT(TH!M322,2)="15"),TK!$E$7=TH!F322),"x","")</f>
        <v/>
      </c>
      <c r="Z322" s="51" t="str">
        <f>IF(AND(B322&lt;=NKC!$N$8,B322&gt;=NKC!$M$8),"x","")</f>
        <v/>
      </c>
      <c r="AA322" s="803"/>
      <c r="AB322" s="565"/>
    </row>
    <row r="323" spans="1:28" ht="15.75" customHeight="1">
      <c r="A323" s="804" t="str">
        <f>IF(B323&lt;&gt;"",IF(AND(B323&gt;=_TM1,B323&lt;=_TM2,OR(TH!L323="1111",TH!M323="1111")),TH!D323,""),"")</f>
        <v/>
      </c>
      <c r="B323" s="36">
        <f t="shared" si="16"/>
        <v>6</v>
      </c>
      <c r="C323" s="189">
        <f t="shared" si="17"/>
        <v>42176</v>
      </c>
      <c r="D323" s="189" t="s">
        <v>1356</v>
      </c>
      <c r="E323" s="189">
        <v>42176</v>
      </c>
      <c r="F323" s="190" t="s">
        <v>575</v>
      </c>
      <c r="G323" s="813" t="s">
        <v>569</v>
      </c>
      <c r="H323" s="191" t="s">
        <v>494</v>
      </c>
      <c r="I323" s="243">
        <v>600</v>
      </c>
      <c r="J323" s="243">
        <v>15836</v>
      </c>
      <c r="K323" s="573">
        <f t="shared" si="22"/>
        <v>9501600</v>
      </c>
      <c r="L323" s="574" t="s">
        <v>417</v>
      </c>
      <c r="M323" s="574" t="s">
        <v>8</v>
      </c>
      <c r="N323" s="51" t="str">
        <f>IF(AND('331-CT'!$E$7=TH!H323,OR(L323="331",M323="331")),"331",IF(AND(OR(L323="131",M323="131"),H323='131-CT'!$E$7),"131",""))</f>
        <v/>
      </c>
      <c r="O323" s="51" t="str">
        <f>IF(AND($B323&gt;='111'!$N$11,$B323&lt;='111'!$O$11,OR($L323=$O$7,$M323=$O$7)),"x","")</f>
        <v/>
      </c>
      <c r="P323" s="51" t="str">
        <f>IF(AND($L323=$O$7,$B323&lt;'111'!$N$11),"x","")</f>
        <v/>
      </c>
      <c r="Q323" s="51" t="str">
        <f>IF(AND($M323=$O$7,$B323&lt;'111'!$N$11),"x","")</f>
        <v/>
      </c>
      <c r="R323" s="51" t="str">
        <f>IF(ISERROR(FIND('112'!$M$9,G323,1)),"",IF((AND(FIND('112'!$M$9,G323,1)&gt;=1,$B323&gt;='112'!$N$8,$B323&lt;='112'!$O$8,OR($L323='112'!$I$6,$M323='112'!$I$6))),"x",""))</f>
        <v/>
      </c>
      <c r="S323" s="51" t="str">
        <f>IF(ISERROR(FIND('112'!$M$9,G323,1)),"",IF((AND(LEFT(G323,2)=LEFT('112'!$M$9,2),B323&lt;'112'!$N$8,$L323='112'!$I$6)),"x",""))</f>
        <v/>
      </c>
      <c r="T323" s="51" t="str">
        <f>IF(ISERROR(FIND('112'!$M$9,G323,1)),"",IF((AND(RIGHT(G323,2)=RIGHT('112'!$M$9,2),B323&lt;'112'!$N$8,$M323='112'!$I$6)),"x",""))</f>
        <v/>
      </c>
      <c r="U323" s="51" t="str">
        <f>IF(AND(L323="154",'154'!$O$5&lt;=B323,'154'!$P$5&gt;=B323),"154",IF(AND(L323="632",'632'!$L$5&lt;=B323,'632'!$M$5&gt;=B323),"632",IF(AND(L323="642",'642'!$N$5&lt;=B323,'642'!$O$5&gt;=B323),"642",IF(AND(L323="641",'641'!$N$5&lt;=B323,'641'!$O$5&gt;=B323),"641",""))))</f>
        <v/>
      </c>
      <c r="V323" s="51" t="str">
        <f>IF(OR(TH!L323=TH!$V$7,M323=TH!$V$7),"x","")</f>
        <v/>
      </c>
      <c r="W323" s="51" t="str">
        <f>IF(AND(B323&gt;='IN-NX'!$P$3,B323&lt;='IN-NX'!$Q$3,'IN-NX'!$D$7=D323,OR(LEFT(L323,2)="15",AND(LEFT(M323,2)&lt;&gt;"15",LEFT(M323,2)&lt;&gt;"33"))),"x","")</f>
        <v/>
      </c>
      <c r="X323" s="51" t="str">
        <f>IF(AND(OR(LEFT(TH!L323,2)="15",LEFT(TH!M323,2)="15"),'152-CT'!$J$8=TH!F323),"x","")</f>
        <v/>
      </c>
      <c r="Y323" s="51" t="str">
        <f>IF(AND(OR(LEFT(TH!L323,2)="15",LEFT(TH!M323,2)="15"),TK!$E$7=TH!F323),"x","")</f>
        <v/>
      </c>
      <c r="Z323" s="51" t="str">
        <f>IF(AND(B323&lt;=NKC!$N$8,B323&gt;=NKC!$M$8),"x","")</f>
        <v/>
      </c>
      <c r="AA323" s="803"/>
      <c r="AB323" s="565"/>
    </row>
    <row r="324" spans="1:28" ht="15.75" customHeight="1">
      <c r="A324" s="804" t="str">
        <f>IF(B324&lt;&gt;"",IF(AND(B324&gt;=_TM1,B324&lt;=_TM2,OR(TH!L324="1111",TH!M324="1111")),TH!D324,""),"")</f>
        <v/>
      </c>
      <c r="B324" s="36">
        <f t="shared" si="16"/>
        <v>6</v>
      </c>
      <c r="C324" s="189">
        <f t="shared" si="17"/>
        <v>42176</v>
      </c>
      <c r="D324" s="189" t="s">
        <v>1356</v>
      </c>
      <c r="E324" s="189">
        <v>42176</v>
      </c>
      <c r="F324" s="190" t="s">
        <v>578</v>
      </c>
      <c r="G324" s="813" t="s">
        <v>569</v>
      </c>
      <c r="H324" s="191" t="s">
        <v>494</v>
      </c>
      <c r="I324" s="243">
        <v>800</v>
      </c>
      <c r="J324" s="243">
        <v>21871</v>
      </c>
      <c r="K324" s="573">
        <f t="shared" si="22"/>
        <v>17496800</v>
      </c>
      <c r="L324" s="574" t="s">
        <v>417</v>
      </c>
      <c r="M324" s="574" t="s">
        <v>8</v>
      </c>
      <c r="N324" s="51" t="str">
        <f>IF(AND('331-CT'!$E$7=TH!H324,OR(L324="331",M324="331")),"331",IF(AND(OR(L324="131",M324="131"),H324='131-CT'!$E$7),"131",""))</f>
        <v/>
      </c>
      <c r="O324" s="51" t="str">
        <f>IF(AND($B324&gt;='111'!$N$11,$B324&lt;='111'!$O$11,OR($L324=$O$7,$M324=$O$7)),"x","")</f>
        <v/>
      </c>
      <c r="P324" s="51" t="str">
        <f>IF(AND($L324=$O$7,$B324&lt;'111'!$N$11),"x","")</f>
        <v/>
      </c>
      <c r="Q324" s="51" t="str">
        <f>IF(AND($M324=$O$7,$B324&lt;'111'!$N$11),"x","")</f>
        <v/>
      </c>
      <c r="R324" s="51" t="str">
        <f>IF(ISERROR(FIND('112'!$M$9,G324,1)),"",IF((AND(FIND('112'!$M$9,G324,1)&gt;=1,$B324&gt;='112'!$N$8,$B324&lt;='112'!$O$8,OR($L324='112'!$I$6,$M324='112'!$I$6))),"x",""))</f>
        <v/>
      </c>
      <c r="S324" s="51" t="str">
        <f>IF(ISERROR(FIND('112'!$M$9,G324,1)),"",IF((AND(LEFT(G324,2)=LEFT('112'!$M$9,2),B324&lt;'112'!$N$8,$L324='112'!$I$6)),"x",""))</f>
        <v/>
      </c>
      <c r="T324" s="51" t="str">
        <f>IF(ISERROR(FIND('112'!$M$9,G324,1)),"",IF((AND(RIGHT(G324,2)=RIGHT('112'!$M$9,2),B324&lt;'112'!$N$8,$M324='112'!$I$6)),"x",""))</f>
        <v/>
      </c>
      <c r="U324" s="51" t="str">
        <f>IF(AND(L324="154",'154'!$O$5&lt;=B324,'154'!$P$5&gt;=B324),"154",IF(AND(L324="632",'632'!$L$5&lt;=B324,'632'!$M$5&gt;=B324),"632",IF(AND(L324="642",'642'!$N$5&lt;=B324,'642'!$O$5&gt;=B324),"642",IF(AND(L324="641",'641'!$N$5&lt;=B324,'641'!$O$5&gt;=B324),"641",""))))</f>
        <v/>
      </c>
      <c r="V324" s="51" t="str">
        <f>IF(OR(TH!L324=TH!$V$7,M324=TH!$V$7),"x","")</f>
        <v/>
      </c>
      <c r="W324" s="51" t="str">
        <f>IF(AND(B324&gt;='IN-NX'!$P$3,B324&lt;='IN-NX'!$Q$3,'IN-NX'!$D$7=D324,OR(LEFT(L324,2)="15",AND(LEFT(M324,2)&lt;&gt;"15",LEFT(M324,2)&lt;&gt;"33"))),"x","")</f>
        <v/>
      </c>
      <c r="X324" s="51" t="str">
        <f>IF(AND(OR(LEFT(TH!L324,2)="15",LEFT(TH!M324,2)="15"),'152-CT'!$J$8=TH!F324),"x","")</f>
        <v/>
      </c>
      <c r="Y324" s="51" t="str">
        <f>IF(AND(OR(LEFT(TH!L324,2)="15",LEFT(TH!M324,2)="15"),TK!$E$7=TH!F324),"x","")</f>
        <v/>
      </c>
      <c r="Z324" s="51" t="str">
        <f>IF(AND(B324&lt;=NKC!$N$8,B324&gt;=NKC!$M$8),"x","")</f>
        <v/>
      </c>
      <c r="AA324" s="803"/>
      <c r="AB324" s="565"/>
    </row>
    <row r="325" spans="1:28" ht="15.75" customHeight="1">
      <c r="A325" s="804" t="str">
        <f>IF(B325&lt;&gt;"",IF(AND(B325&gt;=_TM1,B325&lt;=_TM2,OR(TH!L325="1111",TH!M325="1111")),TH!D325,""),"")</f>
        <v/>
      </c>
      <c r="B325" s="36">
        <f t="shared" si="16"/>
        <v>6</v>
      </c>
      <c r="C325" s="189">
        <f t="shared" si="17"/>
        <v>42176</v>
      </c>
      <c r="D325" s="189" t="s">
        <v>1356</v>
      </c>
      <c r="E325" s="189">
        <v>42176</v>
      </c>
      <c r="F325" s="926" t="s">
        <v>576</v>
      </c>
      <c r="G325" s="813" t="s">
        <v>569</v>
      </c>
      <c r="H325" s="191" t="s">
        <v>494</v>
      </c>
      <c r="I325" s="243">
        <v>1200</v>
      </c>
      <c r="J325" s="243">
        <v>12444</v>
      </c>
      <c r="K325" s="573">
        <f t="shared" si="22"/>
        <v>14932800</v>
      </c>
      <c r="L325" s="574" t="s">
        <v>417</v>
      </c>
      <c r="M325" s="574" t="s">
        <v>8</v>
      </c>
      <c r="N325" s="51" t="str">
        <f>IF(AND('331-CT'!$E$7=TH!H325,OR(L325="331",M325="331")),"331",IF(AND(OR(L325="131",M325="131"),H325='131-CT'!$E$7),"131",""))</f>
        <v/>
      </c>
      <c r="O325" s="51" t="str">
        <f>IF(AND($B325&gt;='111'!$N$11,$B325&lt;='111'!$O$11,OR($L325=$O$7,$M325=$O$7)),"x","")</f>
        <v/>
      </c>
      <c r="P325" s="51" t="str">
        <f>IF(AND($L325=$O$7,$B325&lt;'111'!$N$11),"x","")</f>
        <v/>
      </c>
      <c r="Q325" s="51" t="str">
        <f>IF(AND($M325=$O$7,$B325&lt;'111'!$N$11),"x","")</f>
        <v/>
      </c>
      <c r="R325" s="51" t="str">
        <f>IF(ISERROR(FIND('112'!$M$9,G325,1)),"",IF((AND(FIND('112'!$M$9,G325,1)&gt;=1,$B325&gt;='112'!$N$8,$B325&lt;='112'!$O$8,OR($L325='112'!$I$6,$M325='112'!$I$6))),"x",""))</f>
        <v/>
      </c>
      <c r="S325" s="51" t="str">
        <f>IF(ISERROR(FIND('112'!$M$9,G325,1)),"",IF((AND(LEFT(G325,2)=LEFT('112'!$M$9,2),B325&lt;'112'!$N$8,$L325='112'!$I$6)),"x",""))</f>
        <v/>
      </c>
      <c r="T325" s="51" t="str">
        <f>IF(ISERROR(FIND('112'!$M$9,G325,1)),"",IF((AND(RIGHT(G325,2)=RIGHT('112'!$M$9,2),B325&lt;'112'!$N$8,$M325='112'!$I$6)),"x",""))</f>
        <v/>
      </c>
      <c r="U325" s="51" t="str">
        <f>IF(AND(L325="154",'154'!$O$5&lt;=B325,'154'!$P$5&gt;=B325),"154",IF(AND(L325="632",'632'!$L$5&lt;=B325,'632'!$M$5&gt;=B325),"632",IF(AND(L325="642",'642'!$N$5&lt;=B325,'642'!$O$5&gt;=B325),"642",IF(AND(L325="641",'641'!$N$5&lt;=B325,'641'!$O$5&gt;=B325),"641",""))))</f>
        <v/>
      </c>
      <c r="V325" s="51" t="str">
        <f>IF(OR(TH!L325=TH!$V$7,M325=TH!$V$7),"x","")</f>
        <v/>
      </c>
      <c r="W325" s="51" t="str">
        <f>IF(AND(B325&gt;='IN-NX'!$P$3,B325&lt;='IN-NX'!$Q$3,'IN-NX'!$D$7=D325,OR(LEFT(L325,2)="15",AND(LEFT(M325,2)&lt;&gt;"15",LEFT(M325,2)&lt;&gt;"33"))),"x","")</f>
        <v/>
      </c>
      <c r="X325" s="51" t="str">
        <f>IF(AND(OR(LEFT(TH!L325,2)="15",LEFT(TH!M325,2)="15"),'152-CT'!$J$8=TH!F325),"x","")</f>
        <v/>
      </c>
      <c r="Y325" s="51" t="str">
        <f>IF(AND(OR(LEFT(TH!L325,2)="15",LEFT(TH!M325,2)="15"),TK!$E$7=TH!F325),"x","")</f>
        <v/>
      </c>
      <c r="Z325" s="51" t="str">
        <f>IF(AND(B325&lt;=NKC!$N$8,B325&gt;=NKC!$M$8),"x","")</f>
        <v/>
      </c>
      <c r="AA325" s="803"/>
      <c r="AB325" s="565"/>
    </row>
    <row r="326" spans="1:28" ht="15.75" customHeight="1">
      <c r="A326" s="804" t="str">
        <f>IF(B326&lt;&gt;"",IF(AND(B326&gt;=_TM1,B326&lt;=_TM2,OR(TH!L326="1111",TH!M326="1111")),TH!D326,""),"")</f>
        <v/>
      </c>
      <c r="B326" s="36">
        <f t="shared" si="16"/>
        <v>6</v>
      </c>
      <c r="C326" s="189">
        <f t="shared" si="17"/>
        <v>42176</v>
      </c>
      <c r="D326" s="189" t="s">
        <v>1356</v>
      </c>
      <c r="E326" s="189">
        <v>42176</v>
      </c>
      <c r="F326" s="922" t="s">
        <v>520</v>
      </c>
      <c r="G326" s="813" t="s">
        <v>569</v>
      </c>
      <c r="H326" s="191" t="s">
        <v>494</v>
      </c>
      <c r="I326" s="243">
        <v>1500</v>
      </c>
      <c r="J326" s="243">
        <v>12138</v>
      </c>
      <c r="K326" s="573">
        <f t="shared" si="22"/>
        <v>18207000</v>
      </c>
      <c r="L326" s="574" t="s">
        <v>417</v>
      </c>
      <c r="M326" s="574" t="s">
        <v>8</v>
      </c>
      <c r="N326" s="51" t="str">
        <f>IF(AND('331-CT'!$E$7=TH!H326,OR(L326="331",M326="331")),"331",IF(AND(OR(L326="131",M326="131"),H326='131-CT'!$E$7),"131",""))</f>
        <v/>
      </c>
      <c r="O326" s="51" t="str">
        <f>IF(AND($B326&gt;='111'!$N$11,$B326&lt;='111'!$O$11,OR($L326=$O$7,$M326=$O$7)),"x","")</f>
        <v/>
      </c>
      <c r="P326" s="51" t="str">
        <f>IF(AND($L326=$O$7,$B326&lt;'111'!$N$11),"x","")</f>
        <v/>
      </c>
      <c r="Q326" s="51" t="str">
        <f>IF(AND($M326=$O$7,$B326&lt;'111'!$N$11),"x","")</f>
        <v/>
      </c>
      <c r="R326" s="51" t="str">
        <f>IF(ISERROR(FIND('112'!$M$9,G326,1)),"",IF((AND(FIND('112'!$M$9,G326,1)&gt;=1,$B326&gt;='112'!$N$8,$B326&lt;='112'!$O$8,OR($L326='112'!$I$6,$M326='112'!$I$6))),"x",""))</f>
        <v/>
      </c>
      <c r="S326" s="51" t="str">
        <f>IF(ISERROR(FIND('112'!$M$9,G326,1)),"",IF((AND(LEFT(G326,2)=LEFT('112'!$M$9,2),B326&lt;'112'!$N$8,$L326='112'!$I$6)),"x",""))</f>
        <v/>
      </c>
      <c r="T326" s="51" t="str">
        <f>IF(ISERROR(FIND('112'!$M$9,G326,1)),"",IF((AND(RIGHT(G326,2)=RIGHT('112'!$M$9,2),B326&lt;'112'!$N$8,$M326='112'!$I$6)),"x",""))</f>
        <v/>
      </c>
      <c r="U326" s="51" t="str">
        <f>IF(AND(L326="154",'154'!$O$5&lt;=B326,'154'!$P$5&gt;=B326),"154",IF(AND(L326="632",'632'!$L$5&lt;=B326,'632'!$M$5&gt;=B326),"632",IF(AND(L326="642",'642'!$N$5&lt;=B326,'642'!$O$5&gt;=B326),"642",IF(AND(L326="641",'641'!$N$5&lt;=B326,'641'!$O$5&gt;=B326),"641",""))))</f>
        <v/>
      </c>
      <c r="V326" s="51" t="str">
        <f>IF(OR(TH!L326=TH!$V$7,M326=TH!$V$7),"x","")</f>
        <v/>
      </c>
      <c r="W326" s="51" t="str">
        <f>IF(AND(B326&gt;='IN-NX'!$P$3,B326&lt;='IN-NX'!$Q$3,'IN-NX'!$D$7=D326,OR(LEFT(L326,2)="15",AND(LEFT(M326,2)&lt;&gt;"15",LEFT(M326,2)&lt;&gt;"33"))),"x","")</f>
        <v/>
      </c>
      <c r="X326" s="51" t="str">
        <f>IF(AND(OR(LEFT(TH!L326,2)="15",LEFT(TH!M326,2)="15"),'152-CT'!$J$8=TH!F326),"x","")</f>
        <v/>
      </c>
      <c r="Y326" s="51" t="str">
        <f>IF(AND(OR(LEFT(TH!L326,2)="15",LEFT(TH!M326,2)="15"),TK!$E$7=TH!F326),"x","")</f>
        <v/>
      </c>
      <c r="Z326" s="51" t="str">
        <f>IF(AND(B326&lt;=NKC!$N$8,B326&gt;=NKC!$M$8),"x","")</f>
        <v/>
      </c>
      <c r="AA326" s="803"/>
      <c r="AB326" s="565"/>
    </row>
    <row r="327" spans="1:28" ht="15.75" customHeight="1">
      <c r="A327" s="804" t="str">
        <f>IF(B327&lt;&gt;"",IF(AND(B327&gt;=_TM1,B327&lt;=_TM2,OR(TH!L327="1111",TH!M327="1111")),TH!D327,""),"")</f>
        <v/>
      </c>
      <c r="B327" s="36">
        <f t="shared" si="16"/>
        <v>6</v>
      </c>
      <c r="C327" s="189">
        <f t="shared" si="17"/>
        <v>42176</v>
      </c>
      <c r="D327" s="189" t="s">
        <v>1356</v>
      </c>
      <c r="E327" s="189">
        <v>42176</v>
      </c>
      <c r="F327" s="190" t="s">
        <v>577</v>
      </c>
      <c r="G327" s="813" t="s">
        <v>569</v>
      </c>
      <c r="H327" s="191" t="s">
        <v>494</v>
      </c>
      <c r="I327" s="243">
        <v>1500</v>
      </c>
      <c r="J327" s="243">
        <v>10710</v>
      </c>
      <c r="K327" s="573">
        <f t="shared" si="22"/>
        <v>16065000</v>
      </c>
      <c r="L327" s="574" t="s">
        <v>417</v>
      </c>
      <c r="M327" s="574" t="s">
        <v>8</v>
      </c>
      <c r="N327" s="51" t="str">
        <f>IF(AND('331-CT'!$E$7=TH!H327,OR(L327="331",M327="331")),"331",IF(AND(OR(L327="131",M327="131"),H327='131-CT'!$E$7),"131",""))</f>
        <v/>
      </c>
      <c r="O327" s="51" t="str">
        <f>IF(AND($B327&gt;='111'!$N$11,$B327&lt;='111'!$O$11,OR($L327=$O$7,$M327=$O$7)),"x","")</f>
        <v/>
      </c>
      <c r="P327" s="51" t="str">
        <f>IF(AND($L327=$O$7,$B327&lt;'111'!$N$11),"x","")</f>
        <v/>
      </c>
      <c r="Q327" s="51" t="str">
        <f>IF(AND($M327=$O$7,$B327&lt;'111'!$N$11),"x","")</f>
        <v/>
      </c>
      <c r="R327" s="51" t="str">
        <f>IF(ISERROR(FIND('112'!$M$9,G327,1)),"",IF((AND(FIND('112'!$M$9,G327,1)&gt;=1,$B327&gt;='112'!$N$8,$B327&lt;='112'!$O$8,OR($L327='112'!$I$6,$M327='112'!$I$6))),"x",""))</f>
        <v/>
      </c>
      <c r="S327" s="51" t="str">
        <f>IF(ISERROR(FIND('112'!$M$9,G327,1)),"",IF((AND(LEFT(G327,2)=LEFT('112'!$M$9,2),B327&lt;'112'!$N$8,$L327='112'!$I$6)),"x",""))</f>
        <v/>
      </c>
      <c r="T327" s="51" t="str">
        <f>IF(ISERROR(FIND('112'!$M$9,G327,1)),"",IF((AND(RIGHT(G327,2)=RIGHT('112'!$M$9,2),B327&lt;'112'!$N$8,$M327='112'!$I$6)),"x",""))</f>
        <v/>
      </c>
      <c r="U327" s="51" t="str">
        <f>IF(AND(L327="154",'154'!$O$5&lt;=B327,'154'!$P$5&gt;=B327),"154",IF(AND(L327="632",'632'!$L$5&lt;=B327,'632'!$M$5&gt;=B327),"632",IF(AND(L327="642",'642'!$N$5&lt;=B327,'642'!$O$5&gt;=B327),"642",IF(AND(L327="641",'641'!$N$5&lt;=B327,'641'!$O$5&gt;=B327),"641",""))))</f>
        <v/>
      </c>
      <c r="V327" s="51" t="str">
        <f>IF(OR(TH!L327=TH!$V$7,M327=TH!$V$7),"x","")</f>
        <v/>
      </c>
      <c r="W327" s="51" t="str">
        <f>IF(AND(B327&gt;='IN-NX'!$P$3,B327&lt;='IN-NX'!$Q$3,'IN-NX'!$D$7=D327,OR(LEFT(L327,2)="15",AND(LEFT(M327,2)&lt;&gt;"15",LEFT(M327,2)&lt;&gt;"33"))),"x","")</f>
        <v/>
      </c>
      <c r="X327" s="51" t="str">
        <f>IF(AND(OR(LEFT(TH!L327,2)="15",LEFT(TH!M327,2)="15"),'152-CT'!$J$8=TH!F327),"x","")</f>
        <v/>
      </c>
      <c r="Y327" s="51" t="str">
        <f>IF(AND(OR(LEFT(TH!L327,2)="15",LEFT(TH!M327,2)="15"),TK!$E$7=TH!F327),"x","")</f>
        <v/>
      </c>
      <c r="Z327" s="51" t="str">
        <f>IF(AND(B327&lt;=NKC!$N$8,B327&gt;=NKC!$M$8),"x","")</f>
        <v/>
      </c>
      <c r="AA327" s="803"/>
      <c r="AB327" s="565"/>
    </row>
    <row r="328" spans="1:28" ht="15.75" customHeight="1">
      <c r="A328" s="804" t="str">
        <f>IF(B328&lt;&gt;"",IF(AND(B328&gt;=_TM1,B328&lt;=_TM2,OR(TH!L328="1111",TH!M328="1111")),TH!D328,""),"")</f>
        <v/>
      </c>
      <c r="B328" s="36">
        <f t="shared" si="16"/>
        <v>6</v>
      </c>
      <c r="C328" s="189">
        <f t="shared" si="17"/>
        <v>42176</v>
      </c>
      <c r="D328" s="189" t="s">
        <v>1356</v>
      </c>
      <c r="E328" s="189">
        <v>42176</v>
      </c>
      <c r="F328" s="922" t="s">
        <v>511</v>
      </c>
      <c r="G328" s="813" t="s">
        <v>569</v>
      </c>
      <c r="H328" s="191" t="s">
        <v>494</v>
      </c>
      <c r="I328" s="243">
        <v>1500</v>
      </c>
      <c r="J328" s="243">
        <v>12032</v>
      </c>
      <c r="K328" s="573">
        <f t="shared" si="22"/>
        <v>18048000</v>
      </c>
      <c r="L328" s="574" t="s">
        <v>417</v>
      </c>
      <c r="M328" s="574" t="s">
        <v>8</v>
      </c>
      <c r="N328" s="51" t="str">
        <f>IF(AND('331-CT'!$E$7=TH!H328,OR(L328="331",M328="331")),"331",IF(AND(OR(L328="131",M328="131"),H328='131-CT'!$E$7),"131",""))</f>
        <v/>
      </c>
      <c r="O328" s="51" t="str">
        <f>IF(AND($B328&gt;='111'!$N$11,$B328&lt;='111'!$O$11,OR($L328=$O$7,$M328=$O$7)),"x","")</f>
        <v/>
      </c>
      <c r="P328" s="51" t="str">
        <f>IF(AND($L328=$O$7,$B328&lt;'111'!$N$11),"x","")</f>
        <v/>
      </c>
      <c r="Q328" s="51" t="str">
        <f>IF(AND($M328=$O$7,$B328&lt;'111'!$N$11),"x","")</f>
        <v/>
      </c>
      <c r="R328" s="51" t="str">
        <f>IF(ISERROR(FIND('112'!$M$9,G328,1)),"",IF((AND(FIND('112'!$M$9,G328,1)&gt;=1,$B328&gt;='112'!$N$8,$B328&lt;='112'!$O$8,OR($L328='112'!$I$6,$M328='112'!$I$6))),"x",""))</f>
        <v/>
      </c>
      <c r="S328" s="51" t="str">
        <f>IF(ISERROR(FIND('112'!$M$9,G328,1)),"",IF((AND(LEFT(G328,2)=LEFT('112'!$M$9,2),B328&lt;'112'!$N$8,$L328='112'!$I$6)),"x",""))</f>
        <v/>
      </c>
      <c r="T328" s="51" t="str">
        <f>IF(ISERROR(FIND('112'!$M$9,G328,1)),"",IF((AND(RIGHT(G328,2)=RIGHT('112'!$M$9,2),B328&lt;'112'!$N$8,$M328='112'!$I$6)),"x",""))</f>
        <v/>
      </c>
      <c r="U328" s="51" t="str">
        <f>IF(AND(L328="154",'154'!$O$5&lt;=B328,'154'!$P$5&gt;=B328),"154",IF(AND(L328="632",'632'!$L$5&lt;=B328,'632'!$M$5&gt;=B328),"632",IF(AND(L328="642",'642'!$N$5&lt;=B328,'642'!$O$5&gt;=B328),"642",IF(AND(L328="641",'641'!$N$5&lt;=B328,'641'!$O$5&gt;=B328),"641",""))))</f>
        <v/>
      </c>
      <c r="V328" s="51" t="str">
        <f>IF(OR(TH!L328=TH!$V$7,M328=TH!$V$7),"x","")</f>
        <v/>
      </c>
      <c r="W328" s="51" t="str">
        <f>IF(AND(B328&gt;='IN-NX'!$P$3,B328&lt;='IN-NX'!$Q$3,'IN-NX'!$D$7=D328,OR(LEFT(L328,2)="15",AND(LEFT(M328,2)&lt;&gt;"15",LEFT(M328,2)&lt;&gt;"33"))),"x","")</f>
        <v/>
      </c>
      <c r="X328" s="51" t="str">
        <f>IF(AND(OR(LEFT(TH!L328,2)="15",LEFT(TH!M328,2)="15"),'152-CT'!$J$8=TH!F328),"x","")</f>
        <v/>
      </c>
      <c r="Y328" s="51" t="str">
        <f>IF(AND(OR(LEFT(TH!L328,2)="15",LEFT(TH!M328,2)="15"),TK!$E$7=TH!F328),"x","")</f>
        <v/>
      </c>
      <c r="Z328" s="51" t="str">
        <f>IF(AND(B328&lt;=NKC!$N$8,B328&gt;=NKC!$M$8),"x","")</f>
        <v/>
      </c>
      <c r="AA328" s="803"/>
      <c r="AB328" s="565"/>
    </row>
    <row r="329" spans="1:28" ht="15.75" customHeight="1">
      <c r="A329" s="804" t="str">
        <f>IF(B329&lt;&gt;"",IF(AND(B329&gt;=_TM1,B329&lt;=_TM2,OR(TH!L329="1111",TH!M329="1111")),TH!D329,""),"")</f>
        <v/>
      </c>
      <c r="B329" s="36">
        <f t="shared" si="16"/>
        <v>6</v>
      </c>
      <c r="C329" s="189">
        <f t="shared" si="17"/>
        <v>42176</v>
      </c>
      <c r="D329" s="189" t="s">
        <v>1356</v>
      </c>
      <c r="E329" s="189">
        <v>42176</v>
      </c>
      <c r="F329" s="926" t="s">
        <v>468</v>
      </c>
      <c r="G329" s="813" t="s">
        <v>569</v>
      </c>
      <c r="H329" s="191" t="s">
        <v>494</v>
      </c>
      <c r="I329" s="243"/>
      <c r="J329" s="243"/>
      <c r="K329" s="573">
        <v>15119670</v>
      </c>
      <c r="L329" s="574" t="s">
        <v>9</v>
      </c>
      <c r="M329" s="574" t="s">
        <v>8</v>
      </c>
      <c r="N329" s="51" t="str">
        <f>IF(AND('331-CT'!$E$7=TH!H329,OR(L329="331",M329="331")),"331",IF(AND(OR(L329="131",M329="131"),H329='131-CT'!$E$7),"131",""))</f>
        <v/>
      </c>
      <c r="O329" s="51" t="str">
        <f>IF(AND($B329&gt;='111'!$N$11,$B329&lt;='111'!$O$11,OR($L329=$O$7,$M329=$O$7)),"x","")</f>
        <v/>
      </c>
      <c r="P329" s="51" t="str">
        <f>IF(AND($L329=$O$7,$B329&lt;'111'!$N$11),"x","")</f>
        <v/>
      </c>
      <c r="Q329" s="51" t="str">
        <f>IF(AND($M329=$O$7,$B329&lt;'111'!$N$11),"x","")</f>
        <v/>
      </c>
      <c r="R329" s="51" t="str">
        <f>IF(ISERROR(FIND('112'!$M$9,G329,1)),"",IF((AND(FIND('112'!$M$9,G329,1)&gt;=1,$B329&gt;='112'!$N$8,$B329&lt;='112'!$O$8,OR($L329='112'!$I$6,$M329='112'!$I$6))),"x",""))</f>
        <v/>
      </c>
      <c r="S329" s="51" t="str">
        <f>IF(ISERROR(FIND('112'!$M$9,G329,1)),"",IF((AND(LEFT(G329,2)=LEFT('112'!$M$9,2),B329&lt;'112'!$N$8,$L329='112'!$I$6)),"x",""))</f>
        <v/>
      </c>
      <c r="T329" s="51" t="str">
        <f>IF(ISERROR(FIND('112'!$M$9,G329,1)),"",IF((AND(RIGHT(G329,2)=RIGHT('112'!$M$9,2),B329&lt;'112'!$N$8,$M329='112'!$I$6)),"x",""))</f>
        <v/>
      </c>
      <c r="U329" s="51" t="str">
        <f>IF(AND(L329="154",'154'!$O$5&lt;=B329,'154'!$P$5&gt;=B329),"154",IF(AND(L329="632",'632'!$L$5&lt;=B329,'632'!$M$5&gt;=B329),"632",IF(AND(L329="642",'642'!$N$5&lt;=B329,'642'!$O$5&gt;=B329),"642",IF(AND(L329="641",'641'!$N$5&lt;=B329,'641'!$O$5&gt;=B329),"641",""))))</f>
        <v/>
      </c>
      <c r="V329" s="51" t="str">
        <f>IF(OR(TH!L329=TH!$V$7,M329=TH!$V$7),"x","")</f>
        <v/>
      </c>
      <c r="W329" s="51" t="str">
        <f>IF(AND(B329&gt;='IN-NX'!$P$3,B329&lt;='IN-NX'!$Q$3,'IN-NX'!$D$7=D329,OR(LEFT(L329,2)="15",AND(LEFT(M329,2)&lt;&gt;"15",LEFT(M329,2)&lt;&gt;"33"))),"x","")</f>
        <v/>
      </c>
      <c r="X329" s="51" t="str">
        <f>IF(AND(OR(LEFT(TH!L329,2)="15",LEFT(TH!M329,2)="15"),'152-CT'!$J$8=TH!F329),"x","")</f>
        <v/>
      </c>
      <c r="Y329" s="51" t="str">
        <f>IF(AND(OR(LEFT(TH!L329,2)="15",LEFT(TH!M329,2)="15"),TK!$E$7=TH!F329),"x","")</f>
        <v/>
      </c>
      <c r="Z329" s="51" t="str">
        <f>IF(AND(B329&lt;=NKC!$N$8,B329&gt;=NKC!$M$8),"x","")</f>
        <v/>
      </c>
      <c r="AA329" s="803">
        <v>2</v>
      </c>
      <c r="AB329" s="565"/>
    </row>
    <row r="330" spans="1:28" ht="15.75" customHeight="1">
      <c r="A330" s="804" t="str">
        <f>IF(B330&lt;&gt;"",IF(AND(B330&gt;=_TM1,B330&lt;=_TM2,OR(TH!L330="1111",TH!M330="1111")),TH!D330,""),"")</f>
        <v/>
      </c>
      <c r="B330" s="36">
        <f t="shared" si="16"/>
        <v>6</v>
      </c>
      <c r="C330" s="189">
        <f t="shared" si="17"/>
        <v>42178</v>
      </c>
      <c r="D330" s="189" t="s">
        <v>1383</v>
      </c>
      <c r="E330" s="182">
        <v>42178</v>
      </c>
      <c r="F330" s="187" t="s">
        <v>427</v>
      </c>
      <c r="G330" s="811" t="s">
        <v>415</v>
      </c>
      <c r="H330" s="7" t="s">
        <v>437</v>
      </c>
      <c r="I330" s="243"/>
      <c r="J330" s="243"/>
      <c r="K330" s="38">
        <v>30000000</v>
      </c>
      <c r="L330" s="192" t="s">
        <v>47</v>
      </c>
      <c r="M330" s="192" t="s">
        <v>24</v>
      </c>
      <c r="N330" s="51" t="str">
        <f>IF(AND('331-CT'!$E$7=TH!H330,OR(L330="331",M330="331")),"331",IF(AND(OR(L330="131",M330="131"),H330='131-CT'!$E$7),"131",""))</f>
        <v/>
      </c>
      <c r="O330" s="51" t="str">
        <f>IF(AND($B330&gt;='111'!$N$11,$B330&lt;='111'!$O$11,OR($L330=$O$7,$M330=$O$7)),"x","")</f>
        <v/>
      </c>
      <c r="P330" s="51" t="str">
        <f>IF(AND($L330=$O$7,$B330&lt;'111'!$N$11),"x","")</f>
        <v>x</v>
      </c>
      <c r="Q330" s="51" t="str">
        <f>IF(AND($M330=$O$7,$B330&lt;'111'!$N$11),"x","")</f>
        <v/>
      </c>
      <c r="R330" s="51" t="str">
        <f>IF(ISERROR(FIND('112'!$M$9,G330,1)),"",IF((AND(FIND('112'!$M$9,G330,1)&gt;=1,$B330&gt;='112'!$N$8,$B330&lt;='112'!$O$8,OR($L330='112'!$I$6,$M330='112'!$I$6))),"x",""))</f>
        <v/>
      </c>
      <c r="S330" s="51" t="str">
        <f>IF(ISERROR(FIND('112'!$M$9,G330,1)),"",IF((AND(LEFT(G330,2)=LEFT('112'!$M$9,2),B330&lt;'112'!$N$8,$L330='112'!$I$6)),"x",""))</f>
        <v/>
      </c>
      <c r="T330" s="51" t="str">
        <f>IF(ISERROR(FIND('112'!$M$9,G330,1)),"",IF((AND(RIGHT(G330,2)=RIGHT('112'!$M$9,2),B330&lt;'112'!$N$8,$M330='112'!$I$6)),"x",""))</f>
        <v/>
      </c>
      <c r="U330" s="51" t="str">
        <f>IF(AND(L330="154",'154'!$O$5&lt;=B330,'154'!$P$5&gt;=B330),"154",IF(AND(L330="632",'632'!$L$5&lt;=B330,'632'!$M$5&gt;=B330),"632",IF(AND(L330="642",'642'!$N$5&lt;=B330,'642'!$O$5&gt;=B330),"642",IF(AND(L330="641",'641'!$N$5&lt;=B330,'641'!$O$5&gt;=B330),"641",""))))</f>
        <v/>
      </c>
      <c r="V330" s="51" t="str">
        <f>IF(OR(TH!L330=TH!$V$7,M330=TH!$V$7),"x","")</f>
        <v/>
      </c>
      <c r="W330" s="51" t="str">
        <f>IF(AND(B330&gt;='IN-NX'!$P$3,B330&lt;='IN-NX'!$Q$3,'IN-NX'!$D$7=D330,OR(LEFT(L330,2)="15",AND(LEFT(M330,2)&lt;&gt;"15",LEFT(M330,2)&lt;&gt;"33"))),"x","")</f>
        <v/>
      </c>
      <c r="X330" s="51" t="str">
        <f>IF(AND(OR(LEFT(TH!L330,2)="15",LEFT(TH!M330,2)="15"),'152-CT'!$J$8=TH!F330),"x","")</f>
        <v/>
      </c>
      <c r="Y330" s="51" t="str">
        <f>IF(AND(OR(LEFT(TH!L330,2)="15",LEFT(TH!M330,2)="15"),TK!$E$7=TH!F330),"x","")</f>
        <v/>
      </c>
      <c r="Z330" s="51" t="str">
        <f>IF(AND(B330&lt;=NKC!$N$8,B330&gt;=NKC!$M$8),"x","")</f>
        <v/>
      </c>
      <c r="AA330" s="803"/>
    </row>
    <row r="331" spans="1:28" ht="15.75" customHeight="1">
      <c r="A331" s="804" t="str">
        <f>IF(B331&lt;&gt;"",IF(AND(B331&gt;=_TM1,B331&lt;=_TM2,OR(TH!L331="1111",TH!M331="1111")),TH!D331,""),"")</f>
        <v/>
      </c>
      <c r="B331" s="36">
        <f t="shared" si="16"/>
        <v>6</v>
      </c>
      <c r="C331" s="189">
        <f t="shared" si="17"/>
        <v>42178</v>
      </c>
      <c r="D331" s="189" t="s">
        <v>1361</v>
      </c>
      <c r="E331" s="189">
        <v>42178</v>
      </c>
      <c r="F331" s="926" t="s">
        <v>570</v>
      </c>
      <c r="G331" s="813" t="s">
        <v>579</v>
      </c>
      <c r="H331" s="191" t="s">
        <v>494</v>
      </c>
      <c r="I331" s="243">
        <v>700</v>
      </c>
      <c r="J331" s="243">
        <v>24055</v>
      </c>
      <c r="K331" s="573">
        <f>ROUND(I331*J331,0)</f>
        <v>16838500</v>
      </c>
      <c r="L331" s="574" t="s">
        <v>417</v>
      </c>
      <c r="M331" s="574" t="s">
        <v>8</v>
      </c>
      <c r="N331" s="51" t="str">
        <f>IF(AND('331-CT'!$E$7=TH!H331,OR(L331="331",M331="331")),"331",IF(AND(OR(L331="131",M331="131"),H331='131-CT'!$E$7),"131",""))</f>
        <v/>
      </c>
      <c r="O331" s="51" t="str">
        <f>IF(AND($B331&gt;='111'!$N$11,$B331&lt;='111'!$O$11,OR($L331=$O$7,$M331=$O$7)),"x","")</f>
        <v/>
      </c>
      <c r="P331" s="51" t="str">
        <f>IF(AND($L331=$O$7,$B331&lt;'111'!$N$11),"x","")</f>
        <v/>
      </c>
      <c r="Q331" s="51" t="str">
        <f>IF(AND($M331=$O$7,$B331&lt;'111'!$N$11),"x","")</f>
        <v/>
      </c>
      <c r="R331" s="51" t="str">
        <f>IF(ISERROR(FIND('112'!$M$9,G331,1)),"",IF((AND(FIND('112'!$M$9,G331,1)&gt;=1,$B331&gt;='112'!$N$8,$B331&lt;='112'!$O$8,OR($L331='112'!$I$6,$M331='112'!$I$6))),"x",""))</f>
        <v/>
      </c>
      <c r="S331" s="51" t="str">
        <f>IF(ISERROR(FIND('112'!$M$9,G331,1)),"",IF((AND(LEFT(G331,2)=LEFT('112'!$M$9,2),B331&lt;'112'!$N$8,$L331='112'!$I$6)),"x",""))</f>
        <v/>
      </c>
      <c r="T331" s="51" t="str">
        <f>IF(ISERROR(FIND('112'!$M$9,G331,1)),"",IF((AND(RIGHT(G331,2)=RIGHT('112'!$M$9,2),B331&lt;'112'!$N$8,$M331='112'!$I$6)),"x",""))</f>
        <v/>
      </c>
      <c r="U331" s="51" t="str">
        <f>IF(AND(L331="154",'154'!$O$5&lt;=B331,'154'!$P$5&gt;=B331),"154",IF(AND(L331="632",'632'!$L$5&lt;=B331,'632'!$M$5&gt;=B331),"632",IF(AND(L331="642",'642'!$N$5&lt;=B331,'642'!$O$5&gt;=B331),"642",IF(AND(L331="641",'641'!$N$5&lt;=B331,'641'!$O$5&gt;=B331),"641",""))))</f>
        <v/>
      </c>
      <c r="V331" s="51" t="str">
        <f>IF(OR(TH!L331=TH!$V$7,M331=TH!$V$7),"x","")</f>
        <v/>
      </c>
      <c r="W331" s="51" t="str">
        <f>IF(AND(B331&gt;='IN-NX'!$P$3,B331&lt;='IN-NX'!$Q$3,'IN-NX'!$D$7=D331,OR(LEFT(L331,2)="15",AND(LEFT(M331,2)&lt;&gt;"15",LEFT(M331,2)&lt;&gt;"33"))),"x","")</f>
        <v/>
      </c>
      <c r="X331" s="51" t="str">
        <f>IF(AND(OR(LEFT(TH!L331,2)="15",LEFT(TH!M331,2)="15"),'152-CT'!$J$8=TH!F331),"x","")</f>
        <v/>
      </c>
      <c r="Y331" s="51" t="str">
        <f>IF(AND(OR(LEFT(TH!L331,2)="15",LEFT(TH!M331,2)="15"),TK!$E$7=TH!F331),"x","")</f>
        <v/>
      </c>
      <c r="Z331" s="51" t="str">
        <f>IF(AND(B331&lt;=NKC!$N$8,B331&gt;=NKC!$M$8),"x","")</f>
        <v/>
      </c>
      <c r="AA331" s="803"/>
      <c r="AB331" s="565"/>
    </row>
    <row r="332" spans="1:28" ht="15.75" customHeight="1">
      <c r="A332" s="804" t="str">
        <f>IF(B332&lt;&gt;"",IF(AND(B332&gt;=_TM1,B332&lt;=_TM2,OR(TH!L332="1111",TH!M332="1111")),TH!D332,""),"")</f>
        <v/>
      </c>
      <c r="B332" s="36">
        <f t="shared" si="16"/>
        <v>6</v>
      </c>
      <c r="C332" s="189">
        <f t="shared" si="17"/>
        <v>42178</v>
      </c>
      <c r="D332" s="189" t="s">
        <v>1361</v>
      </c>
      <c r="E332" s="189">
        <v>42178</v>
      </c>
      <c r="F332" s="926" t="s">
        <v>571</v>
      </c>
      <c r="G332" s="813" t="s">
        <v>579</v>
      </c>
      <c r="H332" s="191" t="s">
        <v>494</v>
      </c>
      <c r="I332" s="243">
        <v>890</v>
      </c>
      <c r="J332" s="243">
        <v>11815</v>
      </c>
      <c r="K332" s="573">
        <f>ROUND(I332*J332,0)</f>
        <v>10515350</v>
      </c>
      <c r="L332" s="574" t="s">
        <v>417</v>
      </c>
      <c r="M332" s="574" t="s">
        <v>8</v>
      </c>
      <c r="N332" s="51" t="str">
        <f>IF(AND('331-CT'!$E$7=TH!H332,OR(L332="331",M332="331")),"331",IF(AND(OR(L332="131",M332="131"),H332='131-CT'!$E$7),"131",""))</f>
        <v/>
      </c>
      <c r="O332" s="51" t="str">
        <f>IF(AND($B332&gt;='111'!$N$11,$B332&lt;='111'!$O$11,OR($L332=$O$7,$M332=$O$7)),"x","")</f>
        <v/>
      </c>
      <c r="P332" s="51" t="str">
        <f>IF(AND($L332=$O$7,$B332&lt;'111'!$N$11),"x","")</f>
        <v/>
      </c>
      <c r="Q332" s="51" t="str">
        <f>IF(AND($M332=$O$7,$B332&lt;'111'!$N$11),"x","")</f>
        <v/>
      </c>
      <c r="R332" s="51" t="str">
        <f>IF(ISERROR(FIND('112'!$M$9,G332,1)),"",IF((AND(FIND('112'!$M$9,G332,1)&gt;=1,$B332&gt;='112'!$N$8,$B332&lt;='112'!$O$8,OR($L332='112'!$I$6,$M332='112'!$I$6))),"x",""))</f>
        <v/>
      </c>
      <c r="S332" s="51" t="str">
        <f>IF(ISERROR(FIND('112'!$M$9,G332,1)),"",IF((AND(LEFT(G332,2)=LEFT('112'!$M$9,2),B332&lt;'112'!$N$8,$L332='112'!$I$6)),"x",""))</f>
        <v/>
      </c>
      <c r="T332" s="51" t="str">
        <f>IF(ISERROR(FIND('112'!$M$9,G332,1)),"",IF((AND(RIGHT(G332,2)=RIGHT('112'!$M$9,2),B332&lt;'112'!$N$8,$M332='112'!$I$6)),"x",""))</f>
        <v/>
      </c>
      <c r="U332" s="51" t="str">
        <f>IF(AND(L332="154",'154'!$O$5&lt;=B332,'154'!$P$5&gt;=B332),"154",IF(AND(L332="632",'632'!$L$5&lt;=B332,'632'!$M$5&gt;=B332),"632",IF(AND(L332="642",'642'!$N$5&lt;=B332,'642'!$O$5&gt;=B332),"642",IF(AND(L332="641",'641'!$N$5&lt;=B332,'641'!$O$5&gt;=B332),"641",""))))</f>
        <v/>
      </c>
      <c r="V332" s="51" t="str">
        <f>IF(OR(TH!L332=TH!$V$7,M332=TH!$V$7),"x","")</f>
        <v/>
      </c>
      <c r="W332" s="51" t="str">
        <f>IF(AND(B332&gt;='IN-NX'!$P$3,B332&lt;='IN-NX'!$Q$3,'IN-NX'!$D$7=D332,OR(LEFT(L332,2)="15",AND(LEFT(M332,2)&lt;&gt;"15",LEFT(M332,2)&lt;&gt;"33"))),"x","")</f>
        <v/>
      </c>
      <c r="X332" s="51" t="str">
        <f>IF(AND(OR(LEFT(TH!L332,2)="15",LEFT(TH!M332,2)="15"),'152-CT'!$J$8=TH!F332),"x","")</f>
        <v/>
      </c>
      <c r="Y332" s="51" t="str">
        <f>IF(AND(OR(LEFT(TH!L332,2)="15",LEFT(TH!M332,2)="15"),TK!$E$7=TH!F332),"x","")</f>
        <v/>
      </c>
      <c r="Z332" s="51" t="str">
        <f>IF(AND(B332&lt;=NKC!$N$8,B332&gt;=NKC!$M$8),"x","")</f>
        <v/>
      </c>
      <c r="AA332" s="803"/>
      <c r="AB332" s="565"/>
    </row>
    <row r="333" spans="1:28" ht="15.75" customHeight="1">
      <c r="A333" s="804" t="str">
        <f>IF(B333&lt;&gt;"",IF(AND(B333&gt;=_TM1,B333&lt;=_TM2,OR(TH!L333="1111",TH!M333="1111")),TH!D333,""),"")</f>
        <v/>
      </c>
      <c r="B333" s="36">
        <f t="shared" si="16"/>
        <v>6</v>
      </c>
      <c r="C333" s="189">
        <f t="shared" si="17"/>
        <v>42178</v>
      </c>
      <c r="D333" s="189" t="s">
        <v>1361</v>
      </c>
      <c r="E333" s="189">
        <v>42178</v>
      </c>
      <c r="F333" s="922" t="s">
        <v>468</v>
      </c>
      <c r="G333" s="813" t="s">
        <v>579</v>
      </c>
      <c r="H333" s="191" t="s">
        <v>494</v>
      </c>
      <c r="I333" s="243"/>
      <c r="J333" s="243"/>
      <c r="K333" s="573">
        <v>2735385</v>
      </c>
      <c r="L333" s="574" t="s">
        <v>9</v>
      </c>
      <c r="M333" s="574" t="s">
        <v>8</v>
      </c>
      <c r="N333" s="51" t="str">
        <f>IF(AND('331-CT'!$E$7=TH!H333,OR(L333="331",M333="331")),"331",IF(AND(OR(L333="131",M333="131"),H333='131-CT'!$E$7),"131",""))</f>
        <v/>
      </c>
      <c r="O333" s="51" t="str">
        <f>IF(AND($B333&gt;='111'!$N$11,$B333&lt;='111'!$O$11,OR($L333=$O$7,$M333=$O$7)),"x","")</f>
        <v/>
      </c>
      <c r="P333" s="51" t="str">
        <f>IF(AND($L333=$O$7,$B333&lt;'111'!$N$11),"x","")</f>
        <v/>
      </c>
      <c r="Q333" s="51" t="str">
        <f>IF(AND($M333=$O$7,$B333&lt;'111'!$N$11),"x","")</f>
        <v/>
      </c>
      <c r="R333" s="51" t="str">
        <f>IF(ISERROR(FIND('112'!$M$9,G333,1)),"",IF((AND(FIND('112'!$M$9,G333,1)&gt;=1,$B333&gt;='112'!$N$8,$B333&lt;='112'!$O$8,OR($L333='112'!$I$6,$M333='112'!$I$6))),"x",""))</f>
        <v/>
      </c>
      <c r="S333" s="51" t="str">
        <f>IF(ISERROR(FIND('112'!$M$9,G333,1)),"",IF((AND(LEFT(G333,2)=LEFT('112'!$M$9,2),B333&lt;'112'!$N$8,$L333='112'!$I$6)),"x",""))</f>
        <v/>
      </c>
      <c r="T333" s="51" t="str">
        <f>IF(ISERROR(FIND('112'!$M$9,G333,1)),"",IF((AND(RIGHT(G333,2)=RIGHT('112'!$M$9,2),B333&lt;'112'!$N$8,$M333='112'!$I$6)),"x",""))</f>
        <v/>
      </c>
      <c r="U333" s="51" t="str">
        <f>IF(AND(L333="154",'154'!$O$5&lt;=B333,'154'!$P$5&gt;=B333),"154",IF(AND(L333="632",'632'!$L$5&lt;=B333,'632'!$M$5&gt;=B333),"632",IF(AND(L333="642",'642'!$N$5&lt;=B333,'642'!$O$5&gt;=B333),"642",IF(AND(L333="641",'641'!$N$5&lt;=B333,'641'!$O$5&gt;=B333),"641",""))))</f>
        <v/>
      </c>
      <c r="V333" s="51" t="str">
        <f>IF(OR(TH!L333=TH!$V$7,M333=TH!$V$7),"x","")</f>
        <v/>
      </c>
      <c r="W333" s="51" t="str">
        <f>IF(AND(B333&gt;='IN-NX'!$P$3,B333&lt;='IN-NX'!$Q$3,'IN-NX'!$D$7=D333,OR(LEFT(L333,2)="15",AND(LEFT(M333,2)&lt;&gt;"15",LEFT(M333,2)&lt;&gt;"33"))),"x","")</f>
        <v/>
      </c>
      <c r="X333" s="51" t="str">
        <f>IF(AND(OR(LEFT(TH!L333,2)="15",LEFT(TH!M333,2)="15"),'152-CT'!$J$8=TH!F333),"x","")</f>
        <v/>
      </c>
      <c r="Y333" s="51" t="str">
        <f>IF(AND(OR(LEFT(TH!L333,2)="15",LEFT(TH!M333,2)="15"),TK!$E$7=TH!F333),"x","")</f>
        <v/>
      </c>
      <c r="Z333" s="51" t="str">
        <f>IF(AND(B333&lt;=NKC!$N$8,B333&gt;=NKC!$M$8),"x","")</f>
        <v/>
      </c>
      <c r="AA333" s="803">
        <v>2</v>
      </c>
      <c r="AB333" s="565"/>
    </row>
    <row r="334" spans="1:28" ht="15.75" customHeight="1">
      <c r="A334" s="804" t="str">
        <f>IF(B334&lt;&gt;"",IF(AND(B334&gt;=_TM1,B334&lt;=_TM2,OR(TH!L334="1111",TH!M334="1111")),TH!D334,""),"")</f>
        <v/>
      </c>
      <c r="B334" s="36">
        <f t="shared" si="16"/>
        <v>6</v>
      </c>
      <c r="C334" s="189">
        <f t="shared" si="17"/>
        <v>42179</v>
      </c>
      <c r="D334" s="189" t="s">
        <v>1388</v>
      </c>
      <c r="E334" s="182">
        <v>42179</v>
      </c>
      <c r="F334" s="187" t="s">
        <v>433</v>
      </c>
      <c r="G334" s="811" t="s">
        <v>415</v>
      </c>
      <c r="H334" s="7" t="s">
        <v>436</v>
      </c>
      <c r="I334" s="243"/>
      <c r="J334" s="243"/>
      <c r="K334" s="38">
        <v>100000000</v>
      </c>
      <c r="L334" s="192" t="s">
        <v>24</v>
      </c>
      <c r="M334" s="192" t="s">
        <v>47</v>
      </c>
      <c r="N334" s="51" t="str">
        <f>IF(AND('331-CT'!$E$7=TH!H334,OR(L334="331",M334="331")),"331",IF(AND(OR(L334="131",M334="131"),H334='131-CT'!$E$7),"131",""))</f>
        <v/>
      </c>
      <c r="O334" s="51" t="str">
        <f>IF(AND($B334&gt;='111'!$N$11,$B334&lt;='111'!$O$11,OR($L334=$O$7,$M334=$O$7)),"x","")</f>
        <v/>
      </c>
      <c r="P334" s="51" t="str">
        <f>IF(AND($L334=$O$7,$B334&lt;'111'!$N$11),"x","")</f>
        <v/>
      </c>
      <c r="Q334" s="51" t="str">
        <f>IF(AND($M334=$O$7,$B334&lt;'111'!$N$11),"x","")</f>
        <v>x</v>
      </c>
      <c r="R334" s="51" t="str">
        <f>IF(ISERROR(FIND('112'!$M$9,G334,1)),"",IF((AND(FIND('112'!$M$9,G334,1)&gt;=1,$B334&gt;='112'!$N$8,$B334&lt;='112'!$O$8,OR($L334='112'!$I$6,$M334='112'!$I$6))),"x",""))</f>
        <v/>
      </c>
      <c r="S334" s="51" t="str">
        <f>IF(ISERROR(FIND('112'!$M$9,G334,1)),"",IF((AND(LEFT(G334,2)=LEFT('112'!$M$9,2),B334&lt;'112'!$N$8,$L334='112'!$I$6)),"x",""))</f>
        <v/>
      </c>
      <c r="T334" s="51" t="str">
        <f>IF(ISERROR(FIND('112'!$M$9,G334,1)),"",IF((AND(RIGHT(G334,2)=RIGHT('112'!$M$9,2),B334&lt;'112'!$N$8,$M334='112'!$I$6)),"x",""))</f>
        <v/>
      </c>
      <c r="U334" s="51" t="str">
        <f>IF(AND(L334="154",'154'!$O$5&lt;=B334,'154'!$P$5&gt;=B334),"154",IF(AND(L334="632",'632'!$L$5&lt;=B334,'632'!$M$5&gt;=B334),"632",IF(AND(L334="642",'642'!$N$5&lt;=B334,'642'!$O$5&gt;=B334),"642",IF(AND(L334="641",'641'!$N$5&lt;=B334,'641'!$O$5&gt;=B334),"641",""))))</f>
        <v/>
      </c>
      <c r="V334" s="51" t="str">
        <f>IF(OR(TH!L334=TH!$V$7,M334=TH!$V$7),"x","")</f>
        <v/>
      </c>
      <c r="W334" s="51" t="str">
        <f>IF(AND(B334&gt;='IN-NX'!$P$3,B334&lt;='IN-NX'!$Q$3,'IN-NX'!$D$7=D334,OR(LEFT(L334,2)="15",AND(LEFT(M334,2)&lt;&gt;"15",LEFT(M334,2)&lt;&gt;"33"))),"x","")</f>
        <v/>
      </c>
      <c r="X334" s="51" t="str">
        <f>IF(AND(OR(LEFT(TH!L334,2)="15",LEFT(TH!M334,2)="15"),'152-CT'!$J$8=TH!F334),"x","")</f>
        <v/>
      </c>
      <c r="Y334" s="51" t="str">
        <f>IF(AND(OR(LEFT(TH!L334,2)="15",LEFT(TH!M334,2)="15"),TK!$E$7=TH!F334),"x","")</f>
        <v/>
      </c>
      <c r="Z334" s="51" t="str">
        <f>IF(AND(B334&lt;=NKC!$N$8,B334&gt;=NKC!$M$8),"x","")</f>
        <v/>
      </c>
      <c r="AA334" s="803"/>
      <c r="AB334" s="565"/>
    </row>
    <row r="335" spans="1:28" ht="15.75" customHeight="1">
      <c r="A335" s="804" t="str">
        <f>IF(B335&lt;&gt;"",IF(AND(B335&gt;=_TM1,B335&lt;=_TM2,OR(TH!L335="1111",TH!M335="1111")),TH!D335,""),"")</f>
        <v/>
      </c>
      <c r="B335" s="36">
        <f t="shared" si="16"/>
        <v>6</v>
      </c>
      <c r="C335" s="189">
        <f t="shared" si="17"/>
        <v>42180</v>
      </c>
      <c r="D335" s="189" t="s">
        <v>421</v>
      </c>
      <c r="E335" s="182">
        <v>42180</v>
      </c>
      <c r="F335" s="190" t="s">
        <v>429</v>
      </c>
      <c r="G335" s="811" t="s">
        <v>415</v>
      </c>
      <c r="H335" s="7"/>
      <c r="I335" s="243"/>
      <c r="J335" s="243"/>
      <c r="K335" s="38">
        <v>46571</v>
      </c>
      <c r="L335" s="192" t="s">
        <v>24</v>
      </c>
      <c r="M335" s="192" t="s">
        <v>40</v>
      </c>
      <c r="N335" s="51" t="str">
        <f>IF(AND('331-CT'!$E$7=TH!H335,OR(L335="331",M335="331")),"331",IF(AND(OR(L335="131",M335="131"),H335='131-CT'!$E$7),"131",""))</f>
        <v/>
      </c>
      <c r="O335" s="51" t="str">
        <f>IF(AND($B335&gt;='111'!$N$11,$B335&lt;='111'!$O$11,OR($L335=$O$7,$M335=$O$7)),"x","")</f>
        <v/>
      </c>
      <c r="P335" s="51" t="str">
        <f>IF(AND($L335=$O$7,$B335&lt;'111'!$N$11),"x","")</f>
        <v/>
      </c>
      <c r="Q335" s="51" t="str">
        <f>IF(AND($M335=$O$7,$B335&lt;'111'!$N$11),"x","")</f>
        <v/>
      </c>
      <c r="R335" s="51" t="str">
        <f>IF(ISERROR(FIND('112'!$M$9,G335,1)),"",IF((AND(FIND('112'!$M$9,G335,1)&gt;=1,$B335&gt;='112'!$N$8,$B335&lt;='112'!$O$8,OR($L335='112'!$I$6,$M335='112'!$I$6))),"x",""))</f>
        <v/>
      </c>
      <c r="S335" s="51" t="str">
        <f>IF(ISERROR(FIND('112'!$M$9,G335,1)),"",IF((AND(LEFT(G335,2)=LEFT('112'!$M$9,2),B335&lt;'112'!$N$8,$L335='112'!$I$6)),"x",""))</f>
        <v/>
      </c>
      <c r="T335" s="51" t="str">
        <f>IF(ISERROR(FIND('112'!$M$9,G335,1)),"",IF((AND(RIGHT(G335,2)=RIGHT('112'!$M$9,2),B335&lt;'112'!$N$8,$M335='112'!$I$6)),"x",""))</f>
        <v/>
      </c>
      <c r="U335" s="51" t="str">
        <f>IF(AND(L335="154",'154'!$O$5&lt;=B335,'154'!$P$5&gt;=B335),"154",IF(AND(L335="632",'632'!$L$5&lt;=B335,'632'!$M$5&gt;=B335),"632",IF(AND(L335="642",'642'!$N$5&lt;=B335,'642'!$O$5&gt;=B335),"642",IF(AND(L335="641",'641'!$N$5&lt;=B335,'641'!$O$5&gt;=B335),"641",""))))</f>
        <v/>
      </c>
      <c r="V335" s="51" t="str">
        <f>IF(OR(TH!L335=TH!$V$7,M335=TH!$V$7),"x","")</f>
        <v/>
      </c>
      <c r="W335" s="51" t="str">
        <f>IF(AND(B335&gt;='IN-NX'!$P$3,B335&lt;='IN-NX'!$Q$3,'IN-NX'!$D$7=D335,OR(LEFT(L335,2)="15",AND(LEFT(M335,2)&lt;&gt;"15",LEFT(M335,2)&lt;&gt;"33"))),"x","")</f>
        <v/>
      </c>
      <c r="X335" s="51" t="str">
        <f>IF(AND(OR(LEFT(TH!L335,2)="15",LEFT(TH!M335,2)="15"),'152-CT'!$J$8=TH!F335),"x","")</f>
        <v/>
      </c>
      <c r="Y335" s="51" t="str">
        <f>IF(AND(OR(LEFT(TH!L335,2)="15",LEFT(TH!M335,2)="15"),TK!$E$7=TH!F335),"x","")</f>
        <v/>
      </c>
      <c r="Z335" s="51" t="str">
        <f>IF(AND(B335&lt;=NKC!$N$8,B335&gt;=NKC!$M$8),"x","")</f>
        <v/>
      </c>
      <c r="AA335" s="803"/>
      <c r="AB335" s="565"/>
    </row>
    <row r="336" spans="1:28" ht="15.75" customHeight="1">
      <c r="A336" s="804" t="str">
        <f>IF(B336&lt;&gt;"",IF(AND(B336&gt;=_TM1,B336&lt;=_TM2,OR(TH!L336="1111",TH!M336="1111")),TH!D336,""),"")</f>
        <v/>
      </c>
      <c r="B336" s="36">
        <f t="shared" si="16"/>
        <v>6</v>
      </c>
      <c r="C336" s="189">
        <f t="shared" si="17"/>
        <v>42180</v>
      </c>
      <c r="D336" s="189" t="s">
        <v>422</v>
      </c>
      <c r="E336" s="182">
        <v>42180</v>
      </c>
      <c r="F336" s="187" t="s">
        <v>426</v>
      </c>
      <c r="G336" s="811" t="s">
        <v>415</v>
      </c>
      <c r="H336" s="7"/>
      <c r="I336" s="243"/>
      <c r="J336" s="243"/>
      <c r="K336" s="38">
        <v>11000</v>
      </c>
      <c r="L336" s="192" t="s">
        <v>83</v>
      </c>
      <c r="M336" s="192" t="s">
        <v>24</v>
      </c>
      <c r="N336" s="51" t="str">
        <f>IF(AND('331-CT'!$E$7=TH!H336,OR(L336="331",M336="331")),"331",IF(AND(OR(L336="131",M336="131"),H336='131-CT'!$E$7),"131",""))</f>
        <v/>
      </c>
      <c r="O336" s="51" t="str">
        <f>IF(AND($B336&gt;='111'!$N$11,$B336&lt;='111'!$O$11,OR($L336=$O$7,$M336=$O$7)),"x","")</f>
        <v/>
      </c>
      <c r="P336" s="51" t="str">
        <f>IF(AND($L336=$O$7,$B336&lt;'111'!$N$11),"x","")</f>
        <v/>
      </c>
      <c r="Q336" s="51" t="str">
        <f>IF(AND($M336=$O$7,$B336&lt;'111'!$N$11),"x","")</f>
        <v/>
      </c>
      <c r="R336" s="51" t="str">
        <f>IF(ISERROR(FIND('112'!$M$9,G336,1)),"",IF((AND(FIND('112'!$M$9,G336,1)&gt;=1,$B336&gt;='112'!$N$8,$B336&lt;='112'!$O$8,OR($L336='112'!$I$6,$M336='112'!$I$6))),"x",""))</f>
        <v/>
      </c>
      <c r="S336" s="51" t="str">
        <f>IF(ISERROR(FIND('112'!$M$9,G336,1)),"",IF((AND(LEFT(G336,2)=LEFT('112'!$M$9,2),B336&lt;'112'!$N$8,$L336='112'!$I$6)),"x",""))</f>
        <v/>
      </c>
      <c r="T336" s="51" t="str">
        <f>IF(ISERROR(FIND('112'!$M$9,G336,1)),"",IF((AND(RIGHT(G336,2)=RIGHT('112'!$M$9,2),B336&lt;'112'!$N$8,$M336='112'!$I$6)),"x",""))</f>
        <v/>
      </c>
      <c r="U336" s="51" t="str">
        <f>IF(AND(L336="154",'154'!$O$5&lt;=B336,'154'!$P$5&gt;=B336),"154",IF(AND(L336="632",'632'!$L$5&lt;=B336,'632'!$M$5&gt;=B336),"632",IF(AND(L336="642",'642'!$N$5&lt;=B336,'642'!$O$5&gt;=B336),"642",IF(AND(L336="641",'641'!$N$5&lt;=B336,'641'!$O$5&gt;=B336),"641",""))))</f>
        <v>642</v>
      </c>
      <c r="V336" s="51" t="str">
        <f>IF(OR(TH!L336=TH!$V$7,M336=TH!$V$7),"x","")</f>
        <v>x</v>
      </c>
      <c r="W336" s="51" t="str">
        <f>IF(AND(B336&gt;='IN-NX'!$P$3,B336&lt;='IN-NX'!$Q$3,'IN-NX'!$D$7=D336,OR(LEFT(L336,2)="15",AND(LEFT(M336,2)&lt;&gt;"15",LEFT(M336,2)&lt;&gt;"33"))),"x","")</f>
        <v/>
      </c>
      <c r="X336" s="51" t="str">
        <f>IF(AND(OR(LEFT(TH!L336,2)="15",LEFT(TH!M336,2)="15"),'152-CT'!$J$8=TH!F336),"x","")</f>
        <v/>
      </c>
      <c r="Y336" s="51" t="str">
        <f>IF(AND(OR(LEFT(TH!L336,2)="15",LEFT(TH!M336,2)="15"),TK!$E$7=TH!F336),"x","")</f>
        <v/>
      </c>
      <c r="Z336" s="51" t="str">
        <f>IF(AND(B336&lt;=NKC!$N$8,B336&gt;=NKC!$M$8),"x","")</f>
        <v/>
      </c>
      <c r="AA336" s="803"/>
    </row>
    <row r="337" spans="1:30" ht="15.75" customHeight="1">
      <c r="A337" s="804" t="str">
        <f>IF(B337&lt;&gt;"",IF(AND(B337&gt;=_TM1,B337&lt;=_TM2,OR(TH!L337="1111",TH!M337="1111")),TH!D337,""),"")</f>
        <v/>
      </c>
      <c r="B337" s="36">
        <f t="shared" si="16"/>
        <v>6</v>
      </c>
      <c r="C337" s="189">
        <f t="shared" si="17"/>
        <v>42181</v>
      </c>
      <c r="D337" s="189" t="s">
        <v>421</v>
      </c>
      <c r="E337" s="182">
        <v>42181</v>
      </c>
      <c r="F337" s="187" t="s">
        <v>423</v>
      </c>
      <c r="G337" s="811" t="s">
        <v>415</v>
      </c>
      <c r="H337" s="7" t="s">
        <v>416</v>
      </c>
      <c r="I337" s="243"/>
      <c r="J337" s="243"/>
      <c r="K337" s="38">
        <v>2376000</v>
      </c>
      <c r="L337" s="192" t="s">
        <v>24</v>
      </c>
      <c r="M337" s="192" t="s">
        <v>250</v>
      </c>
      <c r="N337" s="51" t="str">
        <f>IF(AND('331-CT'!$E$7=TH!H337,OR(L337="331",M337="331")),"331",IF(AND(OR(L337="131",M337="131"),H337='131-CT'!$E$7),"131",""))</f>
        <v/>
      </c>
      <c r="O337" s="51" t="str">
        <f>IF(AND($B337&gt;='111'!$N$11,$B337&lt;='111'!$O$11,OR($L337=$O$7,$M337=$O$7)),"x","")</f>
        <v/>
      </c>
      <c r="P337" s="51" t="str">
        <f>IF(AND($L337=$O$7,$B337&lt;'111'!$N$11),"x","")</f>
        <v/>
      </c>
      <c r="Q337" s="51" t="str">
        <f>IF(AND($M337=$O$7,$B337&lt;'111'!$N$11),"x","")</f>
        <v/>
      </c>
      <c r="R337" s="51" t="str">
        <f>IF(ISERROR(FIND('112'!$M$9,G337,1)),"",IF((AND(FIND('112'!$M$9,G337,1)&gt;=1,$B337&gt;='112'!$N$8,$B337&lt;='112'!$O$8,OR($L337='112'!$I$6,$M337='112'!$I$6))),"x",""))</f>
        <v/>
      </c>
      <c r="S337" s="51" t="str">
        <f>IF(ISERROR(FIND('112'!$M$9,G337,1)),"",IF((AND(LEFT(G337,2)=LEFT('112'!$M$9,2),B337&lt;'112'!$N$8,$L337='112'!$I$6)),"x",""))</f>
        <v/>
      </c>
      <c r="T337" s="51" t="str">
        <f>IF(ISERROR(FIND('112'!$M$9,G337,1)),"",IF((AND(RIGHT(G337,2)=RIGHT('112'!$M$9,2),B337&lt;'112'!$N$8,$M337='112'!$I$6)),"x",""))</f>
        <v/>
      </c>
      <c r="U337" s="51" t="str">
        <f>IF(AND(L337="154",'154'!$O$5&lt;=B337,'154'!$P$5&gt;=B337),"154",IF(AND(L337="632",'632'!$L$5&lt;=B337,'632'!$M$5&gt;=B337),"632",IF(AND(L337="642",'642'!$N$5&lt;=B337,'642'!$O$5&gt;=B337),"642",IF(AND(L337="641",'641'!$N$5&lt;=B337,'641'!$O$5&gt;=B337),"641",""))))</f>
        <v/>
      </c>
      <c r="V337" s="51" t="str">
        <f>IF(OR(TH!L337=TH!$V$7,M337=TH!$V$7),"x","")</f>
        <v/>
      </c>
      <c r="W337" s="51" t="str">
        <f>IF(AND(B337&gt;='IN-NX'!$P$3,B337&lt;='IN-NX'!$Q$3,'IN-NX'!$D$7=D337,OR(LEFT(L337,2)="15",AND(LEFT(M337,2)&lt;&gt;"15",LEFT(M337,2)&lt;&gt;"33"))),"x","")</f>
        <v/>
      </c>
      <c r="X337" s="51" t="str">
        <f>IF(AND(OR(LEFT(TH!L337,2)="15",LEFT(TH!M337,2)="15"),'152-CT'!$J$8=TH!F337),"x","")</f>
        <v/>
      </c>
      <c r="Y337" s="51" t="str">
        <f>IF(AND(OR(LEFT(TH!L337,2)="15",LEFT(TH!M337,2)="15"),TK!$E$7=TH!F337),"x","")</f>
        <v/>
      </c>
      <c r="Z337" s="51" t="str">
        <f>IF(AND(B337&lt;=NKC!$N$8,B337&gt;=NKC!$M$8),"x","")</f>
        <v/>
      </c>
      <c r="AA337" s="803"/>
    </row>
    <row r="338" spans="1:30" ht="15.75" customHeight="1">
      <c r="A338" s="804" t="str">
        <f>IF(B338&lt;&gt;"",IF(AND(B338&gt;=_TM1,B338&lt;=_TM2,OR(TH!L338="1111",TH!M338="1111")),TH!D338,""),"")</f>
        <v/>
      </c>
      <c r="B338" s="36">
        <f t="shared" si="16"/>
        <v>6</v>
      </c>
      <c r="C338" s="189">
        <f t="shared" si="17"/>
        <v>42181</v>
      </c>
      <c r="D338" s="189" t="s">
        <v>1389</v>
      </c>
      <c r="E338" s="189">
        <v>42181</v>
      </c>
      <c r="F338" s="190" t="s">
        <v>460</v>
      </c>
      <c r="G338" s="813" t="s">
        <v>556</v>
      </c>
      <c r="H338" s="191" t="s">
        <v>492</v>
      </c>
      <c r="I338" s="243"/>
      <c r="J338" s="243"/>
      <c r="K338" s="573">
        <v>1818247</v>
      </c>
      <c r="L338" s="574" t="s">
        <v>83</v>
      </c>
      <c r="M338" s="574" t="s">
        <v>47</v>
      </c>
      <c r="N338" s="51" t="str">
        <f>IF(AND('331-CT'!$E$7=TH!H338,OR(L338="331",M338="331")),"331",IF(AND(OR(L338="131",M338="131"),H338='131-CT'!$E$7),"131",""))</f>
        <v/>
      </c>
      <c r="O338" s="51" t="str">
        <f>IF(AND($B338&gt;='111'!$N$11,$B338&lt;='111'!$O$11,OR($L338=$O$7,$M338=$O$7)),"x","")</f>
        <v/>
      </c>
      <c r="P338" s="51" t="str">
        <f>IF(AND($L338=$O$7,$B338&lt;'111'!$N$11),"x","")</f>
        <v/>
      </c>
      <c r="Q338" s="51" t="str">
        <f>IF(AND($M338=$O$7,$B338&lt;'111'!$N$11),"x","")</f>
        <v>x</v>
      </c>
      <c r="R338" s="51" t="str">
        <f>IF(ISERROR(FIND('112'!$M$9,G338,1)),"",IF((AND(FIND('112'!$M$9,G338,1)&gt;=1,$B338&gt;='112'!$N$8,$B338&lt;='112'!$O$8,OR($L338='112'!$I$6,$M338='112'!$I$6))),"x",""))</f>
        <v/>
      </c>
      <c r="S338" s="51" t="str">
        <f>IF(ISERROR(FIND('112'!$M$9,G338,1)),"",IF((AND(LEFT(G338,2)=LEFT('112'!$M$9,2),B338&lt;'112'!$N$8,$L338='112'!$I$6)),"x",""))</f>
        <v/>
      </c>
      <c r="T338" s="51" t="str">
        <f>IF(ISERROR(FIND('112'!$M$9,G338,1)),"",IF((AND(RIGHT(G338,2)=RIGHT('112'!$M$9,2),B338&lt;'112'!$N$8,$M338='112'!$I$6)),"x",""))</f>
        <v/>
      </c>
      <c r="U338" s="51" t="str">
        <f>IF(AND(L338="154",'154'!$O$5&lt;=B338,'154'!$P$5&gt;=B338),"154",IF(AND(L338="632",'632'!$L$5&lt;=B338,'632'!$M$5&gt;=B338),"632",IF(AND(L338="642",'642'!$N$5&lt;=B338,'642'!$O$5&gt;=B338),"642",IF(AND(L338="641",'641'!$N$5&lt;=B338,'641'!$O$5&gt;=B338),"641",""))))</f>
        <v>642</v>
      </c>
      <c r="V338" s="51" t="str">
        <f>IF(OR(TH!L338=TH!$V$7,M338=TH!$V$7),"x","")</f>
        <v>x</v>
      </c>
      <c r="W338" s="51" t="str">
        <f>IF(AND(B338&gt;='IN-NX'!$P$3,B338&lt;='IN-NX'!$Q$3,'IN-NX'!$D$7=D338,OR(LEFT(L338,2)="15",AND(LEFT(M338,2)&lt;&gt;"15",LEFT(M338,2)&lt;&gt;"33"))),"x","")</f>
        <v/>
      </c>
      <c r="X338" s="51" t="str">
        <f>IF(AND(OR(LEFT(TH!L338,2)="15",LEFT(TH!M338,2)="15"),'152-CT'!$J$8=TH!F338),"x","")</f>
        <v/>
      </c>
      <c r="Y338" s="51" t="str">
        <f>IF(AND(OR(LEFT(TH!L338,2)="15",LEFT(TH!M338,2)="15"),TK!$E$7=TH!F338),"x","")</f>
        <v/>
      </c>
      <c r="Z338" s="51" t="str">
        <f>IF(AND(B338&lt;=NKC!$N$8,B338&gt;=NKC!$M$8),"x","")</f>
        <v/>
      </c>
      <c r="AA338" s="803"/>
      <c r="AB338" s="565"/>
    </row>
    <row r="339" spans="1:30" ht="15.75" customHeight="1">
      <c r="A339" s="804" t="str">
        <f>IF(B339&lt;&gt;"",IF(AND(B339&gt;=_TM1,B339&lt;=_TM2,OR(TH!L339="1111",TH!M339="1111")),TH!D339,""),"")</f>
        <v/>
      </c>
      <c r="B339" s="36">
        <f t="shared" si="16"/>
        <v>6</v>
      </c>
      <c r="C339" s="189">
        <f t="shared" si="17"/>
        <v>42181</v>
      </c>
      <c r="D339" s="189" t="s">
        <v>1389</v>
      </c>
      <c r="E339" s="189">
        <v>42181</v>
      </c>
      <c r="F339" s="190" t="s">
        <v>461</v>
      </c>
      <c r="G339" s="813" t="s">
        <v>556</v>
      </c>
      <c r="H339" s="191" t="s">
        <v>492</v>
      </c>
      <c r="I339" s="243"/>
      <c r="J339" s="243"/>
      <c r="K339" s="573">
        <v>181825</v>
      </c>
      <c r="L339" s="574" t="s">
        <v>9</v>
      </c>
      <c r="M339" s="574" t="s">
        <v>47</v>
      </c>
      <c r="N339" s="51" t="str">
        <f>IF(AND('331-CT'!$E$7=TH!H339,OR(L339="331",M339="331")),"331",IF(AND(OR(L339="131",M339="131"),H339='131-CT'!$E$7),"131",""))</f>
        <v/>
      </c>
      <c r="O339" s="51" t="str">
        <f>IF(AND($B339&gt;='111'!$N$11,$B339&lt;='111'!$O$11,OR($L339=$O$7,$M339=$O$7)),"x","")</f>
        <v/>
      </c>
      <c r="P339" s="51" t="str">
        <f>IF(AND($L339=$O$7,$B339&lt;'111'!$N$11),"x","")</f>
        <v/>
      </c>
      <c r="Q339" s="51" t="str">
        <f>IF(AND($M339=$O$7,$B339&lt;'111'!$N$11),"x","")</f>
        <v>x</v>
      </c>
      <c r="R339" s="51" t="str">
        <f>IF(ISERROR(FIND('112'!$M$9,G339,1)),"",IF((AND(FIND('112'!$M$9,G339,1)&gt;=1,$B339&gt;='112'!$N$8,$B339&lt;='112'!$O$8,OR($L339='112'!$I$6,$M339='112'!$I$6))),"x",""))</f>
        <v/>
      </c>
      <c r="S339" s="51" t="str">
        <f>IF(ISERROR(FIND('112'!$M$9,G339,1)),"",IF((AND(LEFT(G339,2)=LEFT('112'!$M$9,2),B339&lt;'112'!$N$8,$L339='112'!$I$6)),"x",""))</f>
        <v/>
      </c>
      <c r="T339" s="51" t="str">
        <f>IF(ISERROR(FIND('112'!$M$9,G339,1)),"",IF((AND(RIGHT(G339,2)=RIGHT('112'!$M$9,2),B339&lt;'112'!$N$8,$M339='112'!$I$6)),"x",""))</f>
        <v/>
      </c>
      <c r="U339" s="51" t="str">
        <f>IF(AND(L339="154",'154'!$O$5&lt;=B339,'154'!$P$5&gt;=B339),"154",IF(AND(L339="632",'632'!$L$5&lt;=B339,'632'!$M$5&gt;=B339),"632",IF(AND(L339="642",'642'!$N$5&lt;=B339,'642'!$O$5&gt;=B339),"642",IF(AND(L339="641",'641'!$N$5&lt;=B339,'641'!$O$5&gt;=B339),"641",""))))</f>
        <v/>
      </c>
      <c r="V339" s="51" t="str">
        <f>IF(OR(TH!L339=TH!$V$7,M339=TH!$V$7),"x","")</f>
        <v/>
      </c>
      <c r="W339" s="51" t="str">
        <f>IF(AND(B339&gt;='IN-NX'!$P$3,B339&lt;='IN-NX'!$Q$3,'IN-NX'!$D$7=D339,OR(LEFT(L339,2)="15",AND(LEFT(M339,2)&lt;&gt;"15",LEFT(M339,2)&lt;&gt;"33"))),"x","")</f>
        <v/>
      </c>
      <c r="X339" s="51" t="str">
        <f>IF(AND(OR(LEFT(TH!L339,2)="15",LEFT(TH!M339,2)="15"),'152-CT'!$J$8=TH!F339),"x","")</f>
        <v/>
      </c>
      <c r="Y339" s="51" t="str">
        <f>IF(AND(OR(LEFT(TH!L339,2)="15",LEFT(TH!M339,2)="15"),TK!$E$7=TH!F339),"x","")</f>
        <v/>
      </c>
      <c r="Z339" s="51" t="str">
        <f>IF(AND(B339&lt;=NKC!$N$8,B339&gt;=NKC!$M$8),"x","")</f>
        <v/>
      </c>
      <c r="AA339" s="803">
        <v>2</v>
      </c>
      <c r="AB339" s="565"/>
    </row>
    <row r="340" spans="1:30" ht="15.75" customHeight="1">
      <c r="A340" s="804" t="str">
        <f>IF(B340&lt;&gt;"",IF(AND(B340&gt;=_TM1,B340&lt;=_TM2,OR(TH!L340="1111",TH!M340="1111")),TH!D340,""),"")</f>
        <v/>
      </c>
      <c r="B340" s="36">
        <f t="shared" si="16"/>
        <v>6</v>
      </c>
      <c r="C340" s="189">
        <f t="shared" si="17"/>
        <v>42181</v>
      </c>
      <c r="D340" s="189" t="s">
        <v>1296</v>
      </c>
      <c r="E340" s="189">
        <v>42181</v>
      </c>
      <c r="F340" s="190" t="s">
        <v>1189</v>
      </c>
      <c r="G340" s="813" t="s">
        <v>996</v>
      </c>
      <c r="H340" s="202" t="s">
        <v>424</v>
      </c>
      <c r="I340" s="243">
        <v>384</v>
      </c>
      <c r="J340" s="243">
        <v>32000</v>
      </c>
      <c r="K340" s="573">
        <f>ROUND(I340*J340,0)</f>
        <v>12288000</v>
      </c>
      <c r="L340" s="574" t="s">
        <v>250</v>
      </c>
      <c r="M340" s="574" t="s">
        <v>164</v>
      </c>
      <c r="N340" s="51" t="str">
        <f>IF(AND('331-CT'!$E$7=TH!H340,OR(L340="331",M340="331")),"331",IF(AND(OR(L340="131",M340="131"),H340='131-CT'!$E$7),"131",""))</f>
        <v/>
      </c>
      <c r="O340" s="51" t="str">
        <f>IF(AND($B340&gt;='111'!$N$11,$B340&lt;='111'!$O$11,OR($L340=$O$7,$M340=$O$7)),"x","")</f>
        <v/>
      </c>
      <c r="P340" s="51" t="str">
        <f>IF(AND($L340=$O$7,$B340&lt;'111'!$N$11),"x","")</f>
        <v/>
      </c>
      <c r="Q340" s="51" t="str">
        <f>IF(AND($M340=$O$7,$B340&lt;'111'!$N$11),"x","")</f>
        <v/>
      </c>
      <c r="R340" s="51" t="str">
        <f>IF(ISERROR(FIND('112'!$M$9,G340,1)),"",IF((AND(FIND('112'!$M$9,G340,1)&gt;=1,$B340&gt;='112'!$N$8,$B340&lt;='112'!$O$8,OR($L340='112'!$I$6,$M340='112'!$I$6))),"x",""))</f>
        <v/>
      </c>
      <c r="S340" s="51" t="str">
        <f>IF(ISERROR(FIND('112'!$M$9,G340,1)),"",IF((AND(LEFT(G340,2)=LEFT('112'!$M$9,2),B340&lt;'112'!$N$8,$L340='112'!$I$6)),"x",""))</f>
        <v/>
      </c>
      <c r="T340" s="51" t="str">
        <f>IF(ISERROR(FIND('112'!$M$9,G340,1)),"",IF((AND(RIGHT(G340,2)=RIGHT('112'!$M$9,2),B340&lt;'112'!$N$8,$M340='112'!$I$6)),"x",""))</f>
        <v/>
      </c>
      <c r="U340" s="51" t="str">
        <f>IF(AND(L340="154",'154'!$O$5&lt;=B340,'154'!$P$5&gt;=B340),"154",IF(AND(L340="632",'632'!$L$5&lt;=B340,'632'!$M$5&gt;=B340),"632",IF(AND(L340="642",'642'!$N$5&lt;=B340,'642'!$O$5&gt;=B340),"642",IF(AND(L340="641",'641'!$N$5&lt;=B340,'641'!$O$5&gt;=B340),"641",""))))</f>
        <v/>
      </c>
      <c r="V340" s="51" t="str">
        <f>IF(OR(TH!L340=TH!$V$7,M340=TH!$V$7),"x","")</f>
        <v/>
      </c>
      <c r="W340" s="51" t="str">
        <f>IF(AND(B340&gt;='IN-NX'!$P$3,B340&lt;='IN-NX'!$Q$3,'IN-NX'!$D$7=D340,OR(LEFT(L340,2)="15",AND(LEFT(M340,2)&lt;&gt;"15",LEFT(M340,2)&lt;&gt;"33"))),"x","")</f>
        <v/>
      </c>
      <c r="X340" s="51" t="str">
        <f>IF(AND(OR(LEFT(TH!L340,2)="15",LEFT(TH!M340,2)="15"),'152-CT'!$J$8=TH!F340),"x","")</f>
        <v/>
      </c>
      <c r="Y340" s="51" t="str">
        <f>IF(AND(OR(LEFT(TH!L340,2)="15",LEFT(TH!M340,2)="15"),TK!$E$7=TH!F340),"x","")</f>
        <v/>
      </c>
      <c r="Z340" s="51" t="str">
        <f>IF(AND(B340&lt;=NKC!$N$8,B340&gt;=NKC!$M$8),"x","")</f>
        <v/>
      </c>
      <c r="AA340" s="803"/>
      <c r="AB340" s="565"/>
    </row>
    <row r="341" spans="1:30" ht="15.75" customHeight="1">
      <c r="A341" s="804" t="str">
        <f>IF(B341&lt;&gt;"",IF(AND(B341&gt;=_TM1,B341&lt;=_TM2,OR(TH!L341="1111",TH!M341="1111")),TH!D341,""),"")</f>
        <v/>
      </c>
      <c r="B341" s="36">
        <f t="shared" si="16"/>
        <v>6</v>
      </c>
      <c r="C341" s="189">
        <f t="shared" si="17"/>
        <v>42181</v>
      </c>
      <c r="D341" s="189" t="s">
        <v>1296</v>
      </c>
      <c r="E341" s="189">
        <v>42181</v>
      </c>
      <c r="F341" s="190" t="s">
        <v>962</v>
      </c>
      <c r="G341" s="813" t="s">
        <v>996</v>
      </c>
      <c r="H341" s="202" t="s">
        <v>424</v>
      </c>
      <c r="I341" s="243"/>
      <c r="J341" s="243"/>
      <c r="K341" s="573">
        <v>1228800</v>
      </c>
      <c r="L341" s="574" t="s">
        <v>250</v>
      </c>
      <c r="M341" s="574" t="s">
        <v>352</v>
      </c>
      <c r="N341" s="51" t="str">
        <f>IF(AND('331-CT'!$E$7=TH!H341,OR(L341="331",M341="331")),"331",IF(AND(OR(L341="131",M341="131"),H341='131-CT'!$E$7),"131",""))</f>
        <v/>
      </c>
      <c r="O341" s="51" t="str">
        <f>IF(AND($B341&gt;='111'!$N$11,$B341&lt;='111'!$O$11,OR($L341=$O$7,$M341=$O$7)),"x","")</f>
        <v/>
      </c>
      <c r="P341" s="51" t="str">
        <f>IF(AND($L341=$O$7,$B341&lt;'111'!$N$11),"x","")</f>
        <v/>
      </c>
      <c r="Q341" s="51" t="str">
        <f>IF(AND($M341=$O$7,$B341&lt;'111'!$N$11),"x","")</f>
        <v/>
      </c>
      <c r="R341" s="51" t="str">
        <f>IF(ISERROR(FIND('112'!$M$9,G341,1)),"",IF((AND(FIND('112'!$M$9,G341,1)&gt;=1,$B341&gt;='112'!$N$8,$B341&lt;='112'!$O$8,OR($L341='112'!$I$6,$M341='112'!$I$6))),"x",""))</f>
        <v/>
      </c>
      <c r="S341" s="51" t="str">
        <f>IF(ISERROR(FIND('112'!$M$9,G341,1)),"",IF((AND(LEFT(G341,2)=LEFT('112'!$M$9,2),B341&lt;'112'!$N$8,$L341='112'!$I$6)),"x",""))</f>
        <v/>
      </c>
      <c r="T341" s="51" t="str">
        <f>IF(ISERROR(FIND('112'!$M$9,G341,1)),"",IF((AND(RIGHT(G341,2)=RIGHT('112'!$M$9,2),B341&lt;'112'!$N$8,$M341='112'!$I$6)),"x",""))</f>
        <v/>
      </c>
      <c r="U341" s="51" t="str">
        <f>IF(AND(L341="154",'154'!$O$5&lt;=B341,'154'!$P$5&gt;=B341),"154",IF(AND(L341="632",'632'!$L$5&lt;=B341,'632'!$M$5&gt;=B341),"632",IF(AND(L341="642",'642'!$N$5&lt;=B341,'642'!$O$5&gt;=B341),"642",IF(AND(L341="641",'641'!$N$5&lt;=B341,'641'!$O$5&gt;=B341),"641",""))))</f>
        <v/>
      </c>
      <c r="V341" s="51" t="str">
        <f>IF(OR(TH!L341=TH!$V$7,M341=TH!$V$7),"x","")</f>
        <v/>
      </c>
      <c r="W341" s="51" t="str">
        <f>IF(AND(B341&gt;='IN-NX'!$P$3,B341&lt;='IN-NX'!$Q$3,'IN-NX'!$D$7=D341,OR(LEFT(L341,2)="15",AND(LEFT(M341,2)&lt;&gt;"15",LEFT(M341,2)&lt;&gt;"33"))),"x","")</f>
        <v/>
      </c>
      <c r="X341" s="51" t="str">
        <f>IF(AND(OR(LEFT(TH!L341,2)="15",LEFT(TH!M341,2)="15"),'152-CT'!$J$8=TH!F341),"x","")</f>
        <v/>
      </c>
      <c r="Y341" s="51" t="str">
        <f>IF(AND(OR(LEFT(TH!L341,2)="15",LEFT(TH!M341,2)="15"),TK!$E$7=TH!F341),"x","")</f>
        <v/>
      </c>
      <c r="Z341" s="51" t="str">
        <f>IF(AND(B341&lt;=NKC!$N$8,B341&gt;=NKC!$M$8),"x","")</f>
        <v/>
      </c>
      <c r="AA341" s="803"/>
      <c r="AB341" s="565"/>
    </row>
    <row r="342" spans="1:30" ht="15.75" customHeight="1">
      <c r="A342" s="804" t="str">
        <f>IF(B342&lt;&gt;"",IF(AND(B342&gt;=_TM1,B342&lt;=_TM2,OR(TH!L342="1111",TH!M342="1111")),TH!D342,""),"")</f>
        <v/>
      </c>
      <c r="B342" s="36">
        <f t="shared" si="16"/>
        <v>6</v>
      </c>
      <c r="C342" s="189">
        <f t="shared" si="17"/>
        <v>42181</v>
      </c>
      <c r="D342" s="189" t="s">
        <v>1297</v>
      </c>
      <c r="E342" s="189">
        <v>42181</v>
      </c>
      <c r="F342" s="190" t="s">
        <v>1183</v>
      </c>
      <c r="G342" s="813" t="s">
        <v>997</v>
      </c>
      <c r="H342" s="202" t="s">
        <v>424</v>
      </c>
      <c r="I342" s="243">
        <v>15</v>
      </c>
      <c r="J342" s="243">
        <v>70000</v>
      </c>
      <c r="K342" s="573">
        <f>ROUND(I342*J342,0)</f>
        <v>1050000</v>
      </c>
      <c r="L342" s="574" t="s">
        <v>250</v>
      </c>
      <c r="M342" s="574" t="s">
        <v>164</v>
      </c>
      <c r="N342" s="51" t="str">
        <f>IF(AND('331-CT'!$E$7=TH!H342,OR(L342="331",M342="331")),"331",IF(AND(OR(L342="131",M342="131"),H342='131-CT'!$E$7),"131",""))</f>
        <v/>
      </c>
      <c r="O342" s="51" t="str">
        <f>IF(AND($B342&gt;='111'!$N$11,$B342&lt;='111'!$O$11,OR($L342=$O$7,$M342=$O$7)),"x","")</f>
        <v/>
      </c>
      <c r="P342" s="51" t="str">
        <f>IF(AND($L342=$O$7,$B342&lt;'111'!$N$11),"x","")</f>
        <v/>
      </c>
      <c r="Q342" s="51" t="str">
        <f>IF(AND($M342=$O$7,$B342&lt;'111'!$N$11),"x","")</f>
        <v/>
      </c>
      <c r="R342" s="51" t="str">
        <f>IF(ISERROR(FIND('112'!$M$9,G342,1)),"",IF((AND(FIND('112'!$M$9,G342,1)&gt;=1,$B342&gt;='112'!$N$8,$B342&lt;='112'!$O$8,OR($L342='112'!$I$6,$M342='112'!$I$6))),"x",""))</f>
        <v/>
      </c>
      <c r="S342" s="51" t="str">
        <f>IF(ISERROR(FIND('112'!$M$9,G342,1)),"",IF((AND(LEFT(G342,2)=LEFT('112'!$M$9,2),B342&lt;'112'!$N$8,$L342='112'!$I$6)),"x",""))</f>
        <v/>
      </c>
      <c r="T342" s="51" t="str">
        <f>IF(ISERROR(FIND('112'!$M$9,G342,1)),"",IF((AND(RIGHT(G342,2)=RIGHT('112'!$M$9,2),B342&lt;'112'!$N$8,$M342='112'!$I$6)),"x",""))</f>
        <v/>
      </c>
      <c r="U342" s="51" t="str">
        <f>IF(AND(L342="154",'154'!$O$5&lt;=B342,'154'!$P$5&gt;=B342),"154",IF(AND(L342="632",'632'!$L$5&lt;=B342,'632'!$M$5&gt;=B342),"632",IF(AND(L342="642",'642'!$N$5&lt;=B342,'642'!$O$5&gt;=B342),"642",IF(AND(L342="641",'641'!$N$5&lt;=B342,'641'!$O$5&gt;=B342),"641",""))))</f>
        <v/>
      </c>
      <c r="V342" s="51" t="str">
        <f>IF(OR(TH!L342=TH!$V$7,M342=TH!$V$7),"x","")</f>
        <v/>
      </c>
      <c r="W342" s="51" t="str">
        <f>IF(AND(B342&gt;='IN-NX'!$P$3,B342&lt;='IN-NX'!$Q$3,'IN-NX'!$D$7=D342,OR(LEFT(L342,2)="15",AND(LEFT(M342,2)&lt;&gt;"15",LEFT(M342,2)&lt;&gt;"33"))),"x","")</f>
        <v/>
      </c>
      <c r="X342" s="51" t="str">
        <f>IF(AND(OR(LEFT(TH!L342,2)="15",LEFT(TH!M342,2)="15"),'152-CT'!$J$8=TH!F342),"x","")</f>
        <v/>
      </c>
      <c r="Y342" s="51" t="str">
        <f>IF(AND(OR(LEFT(TH!L342,2)="15",LEFT(TH!M342,2)="15"),TK!$E$7=TH!F342),"x","")</f>
        <v/>
      </c>
      <c r="Z342" s="51" t="str">
        <f>IF(AND(B342&lt;=NKC!$N$8,B342&gt;=NKC!$M$8),"x","")</f>
        <v/>
      </c>
      <c r="AA342" s="803"/>
      <c r="AB342" s="565"/>
    </row>
    <row r="343" spans="1:30" ht="15.75" customHeight="1">
      <c r="A343" s="804" t="str">
        <f>IF(B343&lt;&gt;"",IF(AND(B343&gt;=_TM1,B343&lt;=_TM2,OR(TH!L343="1111",TH!M343="1111")),TH!D343,""),"")</f>
        <v/>
      </c>
      <c r="B343" s="36">
        <f t="shared" si="16"/>
        <v>6</v>
      </c>
      <c r="C343" s="189">
        <f t="shared" si="17"/>
        <v>42181</v>
      </c>
      <c r="D343" s="189" t="s">
        <v>1297</v>
      </c>
      <c r="E343" s="189">
        <v>42181</v>
      </c>
      <c r="F343" s="190" t="s">
        <v>1199</v>
      </c>
      <c r="G343" s="813" t="s">
        <v>997</v>
      </c>
      <c r="H343" s="202" t="s">
        <v>424</v>
      </c>
      <c r="I343" s="243">
        <v>6</v>
      </c>
      <c r="J343" s="243">
        <v>86000</v>
      </c>
      <c r="K343" s="573">
        <f>ROUND(I343*J343,0)</f>
        <v>516000</v>
      </c>
      <c r="L343" s="574" t="s">
        <v>250</v>
      </c>
      <c r="M343" s="574" t="s">
        <v>164</v>
      </c>
      <c r="N343" s="51" t="str">
        <f>IF(AND('331-CT'!$E$7=TH!H343,OR(L343="331",M343="331")),"331",IF(AND(OR(L343="131",M343="131"),H343='131-CT'!$E$7),"131",""))</f>
        <v/>
      </c>
      <c r="O343" s="51" t="str">
        <f>IF(AND($B343&gt;='111'!$N$11,$B343&lt;='111'!$O$11,OR($L343=$O$7,$M343=$O$7)),"x","")</f>
        <v/>
      </c>
      <c r="P343" s="51" t="str">
        <f>IF(AND($L343=$O$7,$B343&lt;'111'!$N$11),"x","")</f>
        <v/>
      </c>
      <c r="Q343" s="51" t="str">
        <f>IF(AND($M343=$O$7,$B343&lt;'111'!$N$11),"x","")</f>
        <v/>
      </c>
      <c r="R343" s="51" t="str">
        <f>IF(ISERROR(FIND('112'!$M$9,G343,1)),"",IF((AND(FIND('112'!$M$9,G343,1)&gt;=1,$B343&gt;='112'!$N$8,$B343&lt;='112'!$O$8,OR($L343='112'!$I$6,$M343='112'!$I$6))),"x",""))</f>
        <v/>
      </c>
      <c r="S343" s="51" t="str">
        <f>IF(ISERROR(FIND('112'!$M$9,G343,1)),"",IF((AND(LEFT(G343,2)=LEFT('112'!$M$9,2),B343&lt;'112'!$N$8,$L343='112'!$I$6)),"x",""))</f>
        <v/>
      </c>
      <c r="T343" s="51" t="str">
        <f>IF(ISERROR(FIND('112'!$M$9,G343,1)),"",IF((AND(RIGHT(G343,2)=RIGHT('112'!$M$9,2),B343&lt;'112'!$N$8,$M343='112'!$I$6)),"x",""))</f>
        <v/>
      </c>
      <c r="U343" s="51" t="str">
        <f>IF(AND(L343="154",'154'!$O$5&lt;=B343,'154'!$P$5&gt;=B343),"154",IF(AND(L343="632",'632'!$L$5&lt;=B343,'632'!$M$5&gt;=B343),"632",IF(AND(L343="642",'642'!$N$5&lt;=B343,'642'!$O$5&gt;=B343),"642",IF(AND(L343="641",'641'!$N$5&lt;=B343,'641'!$O$5&gt;=B343),"641",""))))</f>
        <v/>
      </c>
      <c r="V343" s="51" t="str">
        <f>IF(OR(TH!L343=TH!$V$7,M343=TH!$V$7),"x","")</f>
        <v/>
      </c>
      <c r="W343" s="51" t="str">
        <f>IF(AND(B343&gt;='IN-NX'!$P$3,B343&lt;='IN-NX'!$Q$3,'IN-NX'!$D$7=D343,OR(LEFT(L343,2)="15",AND(LEFT(M343,2)&lt;&gt;"15",LEFT(M343,2)&lt;&gt;"33"))),"x","")</f>
        <v/>
      </c>
      <c r="X343" s="51" t="str">
        <f>IF(AND(OR(LEFT(TH!L343,2)="15",LEFT(TH!M343,2)="15"),'152-CT'!$J$8=TH!F343),"x","")</f>
        <v/>
      </c>
      <c r="Y343" s="51" t="str">
        <f>IF(AND(OR(LEFT(TH!L343,2)="15",LEFT(TH!M343,2)="15"),TK!$E$7=TH!F343),"x","")</f>
        <v/>
      </c>
      <c r="Z343" s="51" t="str">
        <f>IF(AND(B343&lt;=NKC!$N$8,B343&gt;=NKC!$M$8),"x","")</f>
        <v/>
      </c>
      <c r="AA343" s="803"/>
      <c r="AB343" s="565"/>
    </row>
    <row r="344" spans="1:30" ht="15.75" customHeight="1">
      <c r="A344" s="804" t="str">
        <f>IF(B344&lt;&gt;"",IF(AND(B344&gt;=_TM1,B344&lt;=_TM2,OR(TH!L344="1111",TH!M344="1111")),TH!D344,""),"")</f>
        <v/>
      </c>
      <c r="B344" s="36">
        <f t="shared" si="16"/>
        <v>6</v>
      </c>
      <c r="C344" s="189">
        <f t="shared" si="17"/>
        <v>42181</v>
      </c>
      <c r="D344" s="189" t="s">
        <v>1297</v>
      </c>
      <c r="E344" s="189">
        <v>42181</v>
      </c>
      <c r="F344" s="190" t="s">
        <v>1200</v>
      </c>
      <c r="G344" s="813" t="s">
        <v>997</v>
      </c>
      <c r="H344" s="202" t="s">
        <v>424</v>
      </c>
      <c r="I344" s="243">
        <v>55</v>
      </c>
      <c r="J344" s="243">
        <v>67000</v>
      </c>
      <c r="K344" s="573">
        <f>ROUND(I344*J344,0)</f>
        <v>3685000</v>
      </c>
      <c r="L344" s="574" t="s">
        <v>250</v>
      </c>
      <c r="M344" s="574" t="s">
        <v>164</v>
      </c>
      <c r="N344" s="51" t="str">
        <f>IF(AND('331-CT'!$E$7=TH!H344,OR(L344="331",M344="331")),"331",IF(AND(OR(L344="131",M344="131"),H344='131-CT'!$E$7),"131",""))</f>
        <v/>
      </c>
      <c r="O344" s="51" t="str">
        <f>IF(AND($B344&gt;='111'!$N$11,$B344&lt;='111'!$O$11,OR($L344=$O$7,$M344=$O$7)),"x","")</f>
        <v/>
      </c>
      <c r="P344" s="51" t="str">
        <f>IF(AND($L344=$O$7,$B344&lt;'111'!$N$11),"x","")</f>
        <v/>
      </c>
      <c r="Q344" s="51" t="str">
        <f>IF(AND($M344=$O$7,$B344&lt;'111'!$N$11),"x","")</f>
        <v/>
      </c>
      <c r="R344" s="51" t="str">
        <f>IF(ISERROR(FIND('112'!$M$9,G344,1)),"",IF((AND(FIND('112'!$M$9,G344,1)&gt;=1,$B344&gt;='112'!$N$8,$B344&lt;='112'!$O$8,OR($L344='112'!$I$6,$M344='112'!$I$6))),"x",""))</f>
        <v/>
      </c>
      <c r="S344" s="51" t="str">
        <f>IF(ISERROR(FIND('112'!$M$9,G344,1)),"",IF((AND(LEFT(G344,2)=LEFT('112'!$M$9,2),B344&lt;'112'!$N$8,$L344='112'!$I$6)),"x",""))</f>
        <v/>
      </c>
      <c r="T344" s="51" t="str">
        <f>IF(ISERROR(FIND('112'!$M$9,G344,1)),"",IF((AND(RIGHT(G344,2)=RIGHT('112'!$M$9,2),B344&lt;'112'!$N$8,$M344='112'!$I$6)),"x",""))</f>
        <v/>
      </c>
      <c r="U344" s="51" t="str">
        <f>IF(AND(L344="154",'154'!$O$5&lt;=B344,'154'!$P$5&gt;=B344),"154",IF(AND(L344="632",'632'!$L$5&lt;=B344,'632'!$M$5&gt;=B344),"632",IF(AND(L344="642",'642'!$N$5&lt;=B344,'642'!$O$5&gt;=B344),"642",IF(AND(L344="641",'641'!$N$5&lt;=B344,'641'!$O$5&gt;=B344),"641",""))))</f>
        <v/>
      </c>
      <c r="V344" s="51" t="str">
        <f>IF(OR(TH!L344=TH!$V$7,M344=TH!$V$7),"x","")</f>
        <v/>
      </c>
      <c r="W344" s="51" t="str">
        <f>IF(AND(B344&gt;='IN-NX'!$P$3,B344&lt;='IN-NX'!$Q$3,'IN-NX'!$D$7=D344,OR(LEFT(L344,2)="15",AND(LEFT(M344,2)&lt;&gt;"15",LEFT(M344,2)&lt;&gt;"33"))),"x","")</f>
        <v/>
      </c>
      <c r="X344" s="51" t="str">
        <f>IF(AND(OR(LEFT(TH!L344,2)="15",LEFT(TH!M344,2)="15"),'152-CT'!$J$8=TH!F344),"x","")</f>
        <v/>
      </c>
      <c r="Y344" s="51" t="str">
        <f>IF(AND(OR(LEFT(TH!L344,2)="15",LEFT(TH!M344,2)="15"),TK!$E$7=TH!F344),"x","")</f>
        <v/>
      </c>
      <c r="Z344" s="51" t="str">
        <f>IF(AND(B344&lt;=NKC!$N$8,B344&gt;=NKC!$M$8),"x","")</f>
        <v/>
      </c>
      <c r="AA344" s="803"/>
      <c r="AB344" s="565"/>
    </row>
    <row r="345" spans="1:30" ht="15.75" customHeight="1">
      <c r="A345" s="804" t="str">
        <f>IF(B345&lt;&gt;"",IF(AND(B345&gt;=_TM1,B345&lt;=_TM2,OR(TH!L345="1111",TH!M345="1111")),TH!D345,""),"")</f>
        <v/>
      </c>
      <c r="B345" s="36">
        <f t="shared" ref="B345:B409" si="23">IF(C345&lt;&gt;"",MONTH(C345),"")</f>
        <v>6</v>
      </c>
      <c r="C345" s="189">
        <f t="shared" ref="C345:C409" si="24">E345</f>
        <v>42181</v>
      </c>
      <c r="D345" s="189" t="s">
        <v>1297</v>
      </c>
      <c r="E345" s="189">
        <v>42181</v>
      </c>
      <c r="F345" s="190" t="s">
        <v>962</v>
      </c>
      <c r="G345" s="813" t="s">
        <v>997</v>
      </c>
      <c r="H345" s="202" t="s">
        <v>424</v>
      </c>
      <c r="I345" s="243"/>
      <c r="J345" s="243"/>
      <c r="K345" s="573">
        <v>525100</v>
      </c>
      <c r="L345" s="574" t="s">
        <v>250</v>
      </c>
      <c r="M345" s="574" t="s">
        <v>352</v>
      </c>
      <c r="N345" s="51" t="str">
        <f>IF(AND('331-CT'!$E$7=TH!H345,OR(L345="331",M345="331")),"331",IF(AND(OR(L345="131",M345="131"),H345='131-CT'!$E$7),"131",""))</f>
        <v/>
      </c>
      <c r="O345" s="51" t="str">
        <f>IF(AND($B345&gt;='111'!$N$11,$B345&lt;='111'!$O$11,OR($L345=$O$7,$M345=$O$7)),"x","")</f>
        <v/>
      </c>
      <c r="P345" s="51" t="str">
        <f>IF(AND($L345=$O$7,$B345&lt;'111'!$N$11),"x","")</f>
        <v/>
      </c>
      <c r="Q345" s="51" t="str">
        <f>IF(AND($M345=$O$7,$B345&lt;'111'!$N$11),"x","")</f>
        <v/>
      </c>
      <c r="R345" s="51" t="str">
        <f>IF(ISERROR(FIND('112'!$M$9,G345,1)),"",IF((AND(FIND('112'!$M$9,G345,1)&gt;=1,$B345&gt;='112'!$N$8,$B345&lt;='112'!$O$8,OR($L345='112'!$I$6,$M345='112'!$I$6))),"x",""))</f>
        <v/>
      </c>
      <c r="S345" s="51" t="str">
        <f>IF(ISERROR(FIND('112'!$M$9,G345,1)),"",IF((AND(LEFT(G345,2)=LEFT('112'!$M$9,2),B345&lt;'112'!$N$8,$L345='112'!$I$6)),"x",""))</f>
        <v/>
      </c>
      <c r="T345" s="51" t="str">
        <f>IF(ISERROR(FIND('112'!$M$9,G345,1)),"",IF((AND(RIGHT(G345,2)=RIGHT('112'!$M$9,2),B345&lt;'112'!$N$8,$M345='112'!$I$6)),"x",""))</f>
        <v/>
      </c>
      <c r="U345" s="51" t="str">
        <f>IF(AND(L345="154",'154'!$O$5&lt;=B345,'154'!$P$5&gt;=B345),"154",IF(AND(L345="632",'632'!$L$5&lt;=B345,'632'!$M$5&gt;=B345),"632",IF(AND(L345="642",'642'!$N$5&lt;=B345,'642'!$O$5&gt;=B345),"642",IF(AND(L345="641",'641'!$N$5&lt;=B345,'641'!$O$5&gt;=B345),"641",""))))</f>
        <v/>
      </c>
      <c r="V345" s="51" t="str">
        <f>IF(OR(TH!L345=TH!$V$7,M345=TH!$V$7),"x","")</f>
        <v/>
      </c>
      <c r="W345" s="51" t="str">
        <f>IF(AND(B345&gt;='IN-NX'!$P$3,B345&lt;='IN-NX'!$Q$3,'IN-NX'!$D$7=D345,OR(LEFT(L345,2)="15",AND(LEFT(M345,2)&lt;&gt;"15",LEFT(M345,2)&lt;&gt;"33"))),"x","")</f>
        <v/>
      </c>
      <c r="X345" s="51" t="str">
        <f>IF(AND(OR(LEFT(TH!L345,2)="15",LEFT(TH!M345,2)="15"),'152-CT'!$J$8=TH!F345),"x","")</f>
        <v/>
      </c>
      <c r="Y345" s="51" t="str">
        <f>IF(AND(OR(LEFT(TH!L345,2)="15",LEFT(TH!M345,2)="15"),TK!$E$7=TH!F345),"x","")</f>
        <v/>
      </c>
      <c r="Z345" s="51" t="str">
        <f>IF(AND(B345&lt;=NKC!$N$8,B345&gt;=NKC!$M$8),"x","")</f>
        <v/>
      </c>
      <c r="AA345" s="803"/>
      <c r="AB345" s="565"/>
      <c r="AC345" s="565"/>
      <c r="AD345" s="565"/>
    </row>
    <row r="346" spans="1:30" ht="15.75" customHeight="1">
      <c r="A346" s="804" t="str">
        <f>IF(B346&lt;&gt;"",IF(AND(B346&gt;=_TM1,B346&lt;=_TM2,OR(TH!L346="1111",TH!M346="1111")),TH!D346,""),"")</f>
        <v/>
      </c>
      <c r="B346" s="36">
        <f t="shared" si="23"/>
        <v>6</v>
      </c>
      <c r="C346" s="189">
        <f t="shared" si="24"/>
        <v>42181</v>
      </c>
      <c r="D346" s="189" t="s">
        <v>1385</v>
      </c>
      <c r="E346" s="189">
        <v>42181</v>
      </c>
      <c r="F346" s="926" t="s">
        <v>423</v>
      </c>
      <c r="G346" s="813" t="s">
        <v>1281</v>
      </c>
      <c r="H346" s="202" t="s">
        <v>424</v>
      </c>
      <c r="I346" s="243"/>
      <c r="J346" s="243"/>
      <c r="K346" s="573">
        <f>SUM(K340:K345)</f>
        <v>19292900</v>
      </c>
      <c r="L346" s="574" t="s">
        <v>47</v>
      </c>
      <c r="M346" s="574" t="s">
        <v>250</v>
      </c>
      <c r="N346" s="51" t="str">
        <f>IF(AND('331-CT'!$E$7=TH!H346,OR(L346="331",M346="331")),"331",IF(AND(OR(L346="131",M346="131"),H346='131-CT'!$E$7),"131",""))</f>
        <v/>
      </c>
      <c r="O346" s="51" t="str">
        <f>IF(AND($B346&gt;='111'!$N$11,$B346&lt;='111'!$O$11,OR($L346=$O$7,$M346=$O$7)),"x","")</f>
        <v/>
      </c>
      <c r="P346" s="51" t="str">
        <f>IF(AND($L346=$O$7,$B346&lt;'111'!$N$11),"x","")</f>
        <v>x</v>
      </c>
      <c r="Q346" s="51" t="str">
        <f>IF(AND($M346=$O$7,$B346&lt;'111'!$N$11),"x","")</f>
        <v/>
      </c>
      <c r="R346" s="51" t="str">
        <f>IF(ISERROR(FIND('112'!$M$9,G346,1)),"",IF((AND(FIND('112'!$M$9,G346,1)&gt;=1,$B346&gt;='112'!$N$8,$B346&lt;='112'!$O$8,OR($L346='112'!$I$6,$M346='112'!$I$6))),"x",""))</f>
        <v/>
      </c>
      <c r="S346" s="51" t="str">
        <f>IF(ISERROR(FIND('112'!$M$9,G346,1)),"",IF((AND(LEFT(G346,2)=LEFT('112'!$M$9,2),B346&lt;'112'!$N$8,$L346='112'!$I$6)),"x",""))</f>
        <v/>
      </c>
      <c r="T346" s="51" t="str">
        <f>IF(ISERROR(FIND('112'!$M$9,G346,1)),"",IF((AND(RIGHT(G346,2)=RIGHT('112'!$M$9,2),B346&lt;'112'!$N$8,$M346='112'!$I$6)),"x",""))</f>
        <v/>
      </c>
      <c r="U346" s="51" t="str">
        <f>IF(AND(L346="154",'154'!$O$5&lt;=B346,'154'!$P$5&gt;=B346),"154",IF(AND(L346="632",'632'!$L$5&lt;=B346,'632'!$M$5&gt;=B346),"632",IF(AND(L346="642",'642'!$N$5&lt;=B346,'642'!$O$5&gt;=B346),"642",IF(AND(L346="641",'641'!$N$5&lt;=B346,'641'!$O$5&gt;=B346),"641",""))))</f>
        <v/>
      </c>
      <c r="V346" s="51" t="str">
        <f>IF(OR(TH!L346=TH!$V$7,M346=TH!$V$7),"x","")</f>
        <v/>
      </c>
      <c r="W346" s="51" t="str">
        <f>IF(AND(B346&gt;='IN-NX'!$P$3,B346&lt;='IN-NX'!$Q$3,'IN-NX'!$D$7=D346,OR(LEFT(L346,2)="15",AND(LEFT(M346,2)&lt;&gt;"15",LEFT(M346,2)&lt;&gt;"33"))),"x","")</f>
        <v/>
      </c>
      <c r="X346" s="51" t="str">
        <f>IF(AND(OR(LEFT(TH!L346,2)="15",LEFT(TH!M346,2)="15"),'152-CT'!$J$8=TH!F346),"x","")</f>
        <v/>
      </c>
      <c r="Y346" s="51" t="str">
        <f>IF(AND(OR(LEFT(TH!L346,2)="15",LEFT(TH!M346,2)="15"),TK!$E$7=TH!F346),"x","")</f>
        <v/>
      </c>
      <c r="Z346" s="51" t="str">
        <f>IF(AND(B346&lt;=NKC!$N$8,B346&gt;=NKC!$M$8),"x","")</f>
        <v/>
      </c>
      <c r="AA346" s="803"/>
      <c r="AB346" s="565"/>
      <c r="AC346" s="565"/>
      <c r="AD346" s="565"/>
    </row>
    <row r="347" spans="1:30" ht="15.75" customHeight="1">
      <c r="A347" s="804" t="str">
        <f>IF(B347&lt;&gt;"",IF(AND(B347&gt;=_TM1,B347&lt;=_TM2,OR(TH!L347="1111",TH!M347="1111")),TH!D347,""),"")</f>
        <v/>
      </c>
      <c r="B347" s="36">
        <f t="shared" si="23"/>
        <v>6</v>
      </c>
      <c r="C347" s="189">
        <f t="shared" si="24"/>
        <v>42182</v>
      </c>
      <c r="D347" s="189" t="s">
        <v>1364</v>
      </c>
      <c r="E347" s="189">
        <v>42182</v>
      </c>
      <c r="F347" s="922" t="s">
        <v>567</v>
      </c>
      <c r="G347" s="813" t="s">
        <v>565</v>
      </c>
      <c r="H347" s="191" t="s">
        <v>564</v>
      </c>
      <c r="I347" s="243">
        <v>20</v>
      </c>
      <c r="J347" s="243">
        <v>24638</v>
      </c>
      <c r="K347" s="573">
        <f>ROUND(I347*J347,0)</f>
        <v>492760</v>
      </c>
      <c r="L347" s="574" t="s">
        <v>417</v>
      </c>
      <c r="M347" s="574" t="s">
        <v>8</v>
      </c>
      <c r="N347" s="51" t="str">
        <f>IF(AND('331-CT'!$E$7=TH!H347,OR(L347="331",M347="331")),"331",IF(AND(OR(L347="131",M347="131"),H347='131-CT'!$E$7),"131",""))</f>
        <v/>
      </c>
      <c r="O347" s="51" t="str">
        <f>IF(AND($B347&gt;='111'!$N$11,$B347&lt;='111'!$O$11,OR($L347=$O$7,$M347=$O$7)),"x","")</f>
        <v/>
      </c>
      <c r="P347" s="51" t="str">
        <f>IF(AND($L347=$O$7,$B347&lt;'111'!$N$11),"x","")</f>
        <v/>
      </c>
      <c r="Q347" s="51" t="str">
        <f>IF(AND($M347=$O$7,$B347&lt;'111'!$N$11),"x","")</f>
        <v/>
      </c>
      <c r="R347" s="51" t="str">
        <f>IF(ISERROR(FIND('112'!$M$9,G347,1)),"",IF((AND(FIND('112'!$M$9,G347,1)&gt;=1,$B347&gt;='112'!$N$8,$B347&lt;='112'!$O$8,OR($L347='112'!$I$6,$M347='112'!$I$6))),"x",""))</f>
        <v/>
      </c>
      <c r="S347" s="51" t="str">
        <f>IF(ISERROR(FIND('112'!$M$9,G347,1)),"",IF((AND(LEFT(G347,2)=LEFT('112'!$M$9,2),B347&lt;'112'!$N$8,$L347='112'!$I$6)),"x",""))</f>
        <v/>
      </c>
      <c r="T347" s="51" t="str">
        <f>IF(ISERROR(FIND('112'!$M$9,G347,1)),"",IF((AND(RIGHT(G347,2)=RIGHT('112'!$M$9,2),B347&lt;'112'!$N$8,$M347='112'!$I$6)),"x",""))</f>
        <v/>
      </c>
      <c r="U347" s="51" t="str">
        <f>IF(AND(L347="154",'154'!$O$5&lt;=B347,'154'!$P$5&gt;=B347),"154",IF(AND(L347="632",'632'!$L$5&lt;=B347,'632'!$M$5&gt;=B347),"632",IF(AND(L347="642",'642'!$N$5&lt;=B347,'642'!$O$5&gt;=B347),"642",IF(AND(L347="641",'641'!$N$5&lt;=B347,'641'!$O$5&gt;=B347),"641",""))))</f>
        <v/>
      </c>
      <c r="V347" s="51" t="str">
        <f>IF(OR(TH!L347=TH!$V$7,M347=TH!$V$7),"x","")</f>
        <v/>
      </c>
      <c r="W347" s="51" t="str">
        <f>IF(AND(B347&gt;='IN-NX'!$P$3,B347&lt;='IN-NX'!$Q$3,'IN-NX'!$D$7=D347,OR(LEFT(L347,2)="15",AND(LEFT(M347,2)&lt;&gt;"15",LEFT(M347,2)&lt;&gt;"33"))),"x","")</f>
        <v/>
      </c>
      <c r="X347" s="51" t="str">
        <f>IF(AND(OR(LEFT(TH!L347,2)="15",LEFT(TH!M347,2)="15"),'152-CT'!$J$8=TH!F347),"x","")</f>
        <v/>
      </c>
      <c r="Y347" s="51" t="str">
        <f>IF(AND(OR(LEFT(TH!L347,2)="15",LEFT(TH!M347,2)="15"),TK!$E$7=TH!F347),"x","")</f>
        <v/>
      </c>
      <c r="Z347" s="51" t="str">
        <f>IF(AND(B347&lt;=NKC!$N$8,B347&gt;=NKC!$M$8),"x","")</f>
        <v/>
      </c>
      <c r="AA347" s="803"/>
      <c r="AB347" s="565"/>
    </row>
    <row r="348" spans="1:30" ht="15.75" customHeight="1">
      <c r="A348" s="804" t="str">
        <f>IF(B348&lt;&gt;"",IF(AND(B348&gt;=_TM1,B348&lt;=_TM2,OR(TH!L348="1111",TH!M348="1111")),TH!D348,""),"")</f>
        <v/>
      </c>
      <c r="B348" s="36">
        <f t="shared" si="23"/>
        <v>6</v>
      </c>
      <c r="C348" s="189">
        <f t="shared" si="24"/>
        <v>42182</v>
      </c>
      <c r="D348" s="189" t="s">
        <v>1364</v>
      </c>
      <c r="E348" s="189">
        <v>42182</v>
      </c>
      <c r="F348" s="190" t="s">
        <v>568</v>
      </c>
      <c r="G348" s="813" t="s">
        <v>565</v>
      </c>
      <c r="H348" s="191" t="s">
        <v>564</v>
      </c>
      <c r="I348" s="243">
        <v>20</v>
      </c>
      <c r="J348" s="243">
        <v>12110</v>
      </c>
      <c r="K348" s="573">
        <f>ROUND(I348*J348,0)</f>
        <v>242200</v>
      </c>
      <c r="L348" s="574" t="s">
        <v>417</v>
      </c>
      <c r="M348" s="574" t="s">
        <v>8</v>
      </c>
      <c r="N348" s="51" t="str">
        <f>IF(AND('331-CT'!$E$7=TH!H348,OR(L348="331",M348="331")),"331",IF(AND(OR(L348="131",M348="131"),H348='131-CT'!$E$7),"131",""))</f>
        <v/>
      </c>
      <c r="O348" s="51" t="str">
        <f>IF(AND($B348&gt;='111'!$N$11,$B348&lt;='111'!$O$11,OR($L348=$O$7,$M348=$O$7)),"x","")</f>
        <v/>
      </c>
      <c r="P348" s="51" t="str">
        <f>IF(AND($L348=$O$7,$B348&lt;'111'!$N$11),"x","")</f>
        <v/>
      </c>
      <c r="Q348" s="51" t="str">
        <f>IF(AND($M348=$O$7,$B348&lt;'111'!$N$11),"x","")</f>
        <v/>
      </c>
      <c r="R348" s="51" t="str">
        <f>IF(ISERROR(FIND('112'!$M$9,G348,1)),"",IF((AND(FIND('112'!$M$9,G348,1)&gt;=1,$B348&gt;='112'!$N$8,$B348&lt;='112'!$O$8,OR($L348='112'!$I$6,$M348='112'!$I$6))),"x",""))</f>
        <v/>
      </c>
      <c r="S348" s="51" t="str">
        <f>IF(ISERROR(FIND('112'!$M$9,G348,1)),"",IF((AND(LEFT(G348,2)=LEFT('112'!$M$9,2),B348&lt;'112'!$N$8,$L348='112'!$I$6)),"x",""))</f>
        <v/>
      </c>
      <c r="T348" s="51" t="str">
        <f>IF(ISERROR(FIND('112'!$M$9,G348,1)),"",IF((AND(RIGHT(G348,2)=RIGHT('112'!$M$9,2),B348&lt;'112'!$N$8,$M348='112'!$I$6)),"x",""))</f>
        <v/>
      </c>
      <c r="U348" s="51" t="str">
        <f>IF(AND(L348="154",'154'!$O$5&lt;=B348,'154'!$P$5&gt;=B348),"154",IF(AND(L348="632",'632'!$L$5&lt;=B348,'632'!$M$5&gt;=B348),"632",IF(AND(L348="642",'642'!$N$5&lt;=B348,'642'!$O$5&gt;=B348),"642",IF(AND(L348="641",'641'!$N$5&lt;=B348,'641'!$O$5&gt;=B348),"641",""))))</f>
        <v/>
      </c>
      <c r="V348" s="51" t="str">
        <f>IF(OR(TH!L348=TH!$V$7,M348=TH!$V$7),"x","")</f>
        <v/>
      </c>
      <c r="W348" s="51" t="str">
        <f>IF(AND(B348&gt;='IN-NX'!$P$3,B348&lt;='IN-NX'!$Q$3,'IN-NX'!$D$7=D348,OR(LEFT(L348,2)="15",AND(LEFT(M348,2)&lt;&gt;"15",LEFT(M348,2)&lt;&gt;"33"))),"x","")</f>
        <v/>
      </c>
      <c r="X348" s="51" t="str">
        <f>IF(AND(OR(LEFT(TH!L348,2)="15",LEFT(TH!M348,2)="15"),'152-CT'!$J$8=TH!F348),"x","")</f>
        <v/>
      </c>
      <c r="Y348" s="51" t="str">
        <f>IF(AND(OR(LEFT(TH!L348,2)="15",LEFT(TH!M348,2)="15"),TK!$E$7=TH!F348),"x","")</f>
        <v/>
      </c>
      <c r="Z348" s="51" t="str">
        <f>IF(AND(B348&lt;=NKC!$N$8,B348&gt;=NKC!$M$8),"x","")</f>
        <v/>
      </c>
      <c r="AA348" s="803"/>
      <c r="AB348" s="565"/>
    </row>
    <row r="349" spans="1:30" ht="15.75" customHeight="1">
      <c r="A349" s="804" t="str">
        <f>IF(B349&lt;&gt;"",IF(AND(B349&gt;=_TM1,B349&lt;=_TM2,OR(TH!L349="1111",TH!M349="1111")),TH!D349,""),"")</f>
        <v/>
      </c>
      <c r="B349" s="36">
        <f t="shared" si="23"/>
        <v>6</v>
      </c>
      <c r="C349" s="189">
        <f t="shared" si="24"/>
        <v>42182</v>
      </c>
      <c r="D349" s="189" t="s">
        <v>1364</v>
      </c>
      <c r="E349" s="189">
        <v>42182</v>
      </c>
      <c r="F349" s="190" t="s">
        <v>566</v>
      </c>
      <c r="G349" s="813" t="s">
        <v>565</v>
      </c>
      <c r="H349" s="191" t="s">
        <v>564</v>
      </c>
      <c r="I349" s="243">
        <v>170</v>
      </c>
      <c r="J349" s="243">
        <v>9500</v>
      </c>
      <c r="K349" s="573">
        <f>ROUND(I349*J349,0)</f>
        <v>1615000</v>
      </c>
      <c r="L349" s="574" t="s">
        <v>417</v>
      </c>
      <c r="M349" s="574" t="s">
        <v>8</v>
      </c>
      <c r="N349" s="51" t="str">
        <f>IF(AND('331-CT'!$E$7=TH!H349,OR(L349="331",M349="331")),"331",IF(AND(OR(L349="131",M349="131"),H349='131-CT'!$E$7),"131",""))</f>
        <v/>
      </c>
      <c r="O349" s="51" t="str">
        <f>IF(AND($B349&gt;='111'!$N$11,$B349&lt;='111'!$O$11,OR($L349=$O$7,$M349=$O$7)),"x","")</f>
        <v/>
      </c>
      <c r="P349" s="51" t="str">
        <f>IF(AND($L349=$O$7,$B349&lt;'111'!$N$11),"x","")</f>
        <v/>
      </c>
      <c r="Q349" s="51" t="str">
        <f>IF(AND($M349=$O$7,$B349&lt;'111'!$N$11),"x","")</f>
        <v/>
      </c>
      <c r="R349" s="51" t="str">
        <f>IF(ISERROR(FIND('112'!$M$9,G349,1)),"",IF((AND(FIND('112'!$M$9,G349,1)&gt;=1,$B349&gt;='112'!$N$8,$B349&lt;='112'!$O$8,OR($L349='112'!$I$6,$M349='112'!$I$6))),"x",""))</f>
        <v/>
      </c>
      <c r="S349" s="51" t="str">
        <f>IF(ISERROR(FIND('112'!$M$9,G349,1)),"",IF((AND(LEFT(G349,2)=LEFT('112'!$M$9,2),B349&lt;'112'!$N$8,$L349='112'!$I$6)),"x",""))</f>
        <v/>
      </c>
      <c r="T349" s="51" t="str">
        <f>IF(ISERROR(FIND('112'!$M$9,G349,1)),"",IF((AND(RIGHT(G349,2)=RIGHT('112'!$M$9,2),B349&lt;'112'!$N$8,$M349='112'!$I$6)),"x",""))</f>
        <v/>
      </c>
      <c r="U349" s="51" t="str">
        <f>IF(AND(L349="154",'154'!$O$5&lt;=B349,'154'!$P$5&gt;=B349),"154",IF(AND(L349="632",'632'!$L$5&lt;=B349,'632'!$M$5&gt;=B349),"632",IF(AND(L349="642",'642'!$N$5&lt;=B349,'642'!$O$5&gt;=B349),"642",IF(AND(L349="641",'641'!$N$5&lt;=B349,'641'!$O$5&gt;=B349),"641",""))))</f>
        <v/>
      </c>
      <c r="V349" s="51" t="str">
        <f>IF(OR(TH!L349=TH!$V$7,M349=TH!$V$7),"x","")</f>
        <v/>
      </c>
      <c r="W349" s="51" t="str">
        <f>IF(AND(B349&gt;='IN-NX'!$P$3,B349&lt;='IN-NX'!$Q$3,'IN-NX'!$D$7=D349,OR(LEFT(L349,2)="15",AND(LEFT(M349,2)&lt;&gt;"15",LEFT(M349,2)&lt;&gt;"33"))),"x","")</f>
        <v/>
      </c>
      <c r="X349" s="51" t="str">
        <f>IF(AND(OR(LEFT(TH!L349,2)="15",LEFT(TH!M349,2)="15"),'152-CT'!$J$8=TH!F349),"x","")</f>
        <v/>
      </c>
      <c r="Y349" s="51" t="str">
        <f>IF(AND(OR(LEFT(TH!L349,2)="15",LEFT(TH!M349,2)="15"),TK!$E$7=TH!F349),"x","")</f>
        <v/>
      </c>
      <c r="Z349" s="51" t="str">
        <f>IF(AND(B349&lt;=NKC!$N$8,B349&gt;=NKC!$M$8),"x","")</f>
        <v/>
      </c>
      <c r="AA349" s="803"/>
      <c r="AB349" s="565"/>
    </row>
    <row r="350" spans="1:30" ht="15.75" customHeight="1">
      <c r="A350" s="804" t="str">
        <f>IF(B350&lt;&gt;"",IF(AND(B350&gt;=_TM1,B350&lt;=_TM2,OR(TH!L350="1111",TH!M350="1111")),TH!D350,""),"")</f>
        <v/>
      </c>
      <c r="B350" s="36">
        <f t="shared" si="23"/>
        <v>6</v>
      </c>
      <c r="C350" s="189">
        <f t="shared" si="24"/>
        <v>42182</v>
      </c>
      <c r="D350" s="189" t="s">
        <v>1364</v>
      </c>
      <c r="E350" s="189">
        <v>42182</v>
      </c>
      <c r="F350" s="190" t="s">
        <v>468</v>
      </c>
      <c r="G350" s="813" t="s">
        <v>565</v>
      </c>
      <c r="H350" s="191" t="s">
        <v>564</v>
      </c>
      <c r="I350" s="243"/>
      <c r="J350" s="243"/>
      <c r="K350" s="573">
        <v>234996</v>
      </c>
      <c r="L350" s="574" t="s">
        <v>9</v>
      </c>
      <c r="M350" s="574" t="s">
        <v>8</v>
      </c>
      <c r="N350" s="51" t="str">
        <f>IF(AND('331-CT'!$E$7=TH!H350,OR(L350="331",M350="331")),"331",IF(AND(OR(L350="131",M350="131"),H350='131-CT'!$E$7),"131",""))</f>
        <v/>
      </c>
      <c r="O350" s="51" t="str">
        <f>IF(AND($B350&gt;='111'!$N$11,$B350&lt;='111'!$O$11,OR($L350=$O$7,$M350=$O$7)),"x","")</f>
        <v/>
      </c>
      <c r="P350" s="51" t="str">
        <f>IF(AND($L350=$O$7,$B350&lt;'111'!$N$11),"x","")</f>
        <v/>
      </c>
      <c r="Q350" s="51" t="str">
        <f>IF(AND($M350=$O$7,$B350&lt;'111'!$N$11),"x","")</f>
        <v/>
      </c>
      <c r="R350" s="51" t="str">
        <f>IF(ISERROR(FIND('112'!$M$9,G350,1)),"",IF((AND(FIND('112'!$M$9,G350,1)&gt;=1,$B350&gt;='112'!$N$8,$B350&lt;='112'!$O$8,OR($L350='112'!$I$6,$M350='112'!$I$6))),"x",""))</f>
        <v/>
      </c>
      <c r="S350" s="51" t="str">
        <f>IF(ISERROR(FIND('112'!$M$9,G350,1)),"",IF((AND(LEFT(G350,2)=LEFT('112'!$M$9,2),B350&lt;'112'!$N$8,$L350='112'!$I$6)),"x",""))</f>
        <v/>
      </c>
      <c r="T350" s="51" t="str">
        <f>IF(ISERROR(FIND('112'!$M$9,G350,1)),"",IF((AND(RIGHT(G350,2)=RIGHT('112'!$M$9,2),B350&lt;'112'!$N$8,$M350='112'!$I$6)),"x",""))</f>
        <v/>
      </c>
      <c r="U350" s="51" t="str">
        <f>IF(AND(L350="154",'154'!$O$5&lt;=B350,'154'!$P$5&gt;=B350),"154",IF(AND(L350="632",'632'!$L$5&lt;=B350,'632'!$M$5&gt;=B350),"632",IF(AND(L350="642",'642'!$N$5&lt;=B350,'642'!$O$5&gt;=B350),"642",IF(AND(L350="641",'641'!$N$5&lt;=B350,'641'!$O$5&gt;=B350),"641",""))))</f>
        <v/>
      </c>
      <c r="V350" s="51" t="str">
        <f>IF(OR(TH!L350=TH!$V$7,M350=TH!$V$7),"x","")</f>
        <v/>
      </c>
      <c r="W350" s="51" t="str">
        <f>IF(AND(B350&gt;='IN-NX'!$P$3,B350&lt;='IN-NX'!$Q$3,'IN-NX'!$D$7=D350,OR(LEFT(L350,2)="15",AND(LEFT(M350,2)&lt;&gt;"15",LEFT(M350,2)&lt;&gt;"33"))),"x","")</f>
        <v/>
      </c>
      <c r="X350" s="51" t="str">
        <f>IF(AND(OR(LEFT(TH!L350,2)="15",LEFT(TH!M350,2)="15"),'152-CT'!$J$8=TH!F350),"x","")</f>
        <v/>
      </c>
      <c r="Y350" s="51" t="str">
        <f>IF(AND(OR(LEFT(TH!L350,2)="15",LEFT(TH!M350,2)="15"),TK!$E$7=TH!F350),"x","")</f>
        <v/>
      </c>
      <c r="Z350" s="51" t="str">
        <f>IF(AND(B350&lt;=NKC!$N$8,B350&gt;=NKC!$M$8),"x","")</f>
        <v/>
      </c>
      <c r="AA350" s="803">
        <v>2</v>
      </c>
      <c r="AB350" s="565"/>
    </row>
    <row r="351" spans="1:30" ht="15.75" customHeight="1">
      <c r="A351" s="804" t="str">
        <f>IF(B351&lt;&gt;"",IF(AND(B351&gt;=_TM1,B351&lt;=_TM2,OR(TH!L351="1111",TH!M351="1111")),TH!D351,""),"")</f>
        <v/>
      </c>
      <c r="B351" s="36">
        <f t="shared" si="23"/>
        <v>6</v>
      </c>
      <c r="C351" s="189">
        <f t="shared" si="24"/>
        <v>42182</v>
      </c>
      <c r="D351" s="189" t="s">
        <v>1407</v>
      </c>
      <c r="E351" s="189">
        <v>42182</v>
      </c>
      <c r="F351" s="187" t="s">
        <v>438</v>
      </c>
      <c r="G351" s="813" t="s">
        <v>565</v>
      </c>
      <c r="H351" s="191" t="s">
        <v>564</v>
      </c>
      <c r="I351" s="243"/>
      <c r="J351" s="243"/>
      <c r="K351" s="573">
        <v>2584956</v>
      </c>
      <c r="L351" s="574" t="s">
        <v>8</v>
      </c>
      <c r="M351" s="574" t="s">
        <v>47</v>
      </c>
      <c r="N351" s="51" t="str">
        <f>IF(AND('331-CT'!$E$7=TH!H351,OR(L351="331",M351="331")),"331",IF(AND(OR(L351="131",M351="131"),H351='131-CT'!$E$7),"131",""))</f>
        <v/>
      </c>
      <c r="O351" s="51" t="str">
        <f>IF(AND($B351&gt;='111'!$N$11,$B351&lt;='111'!$O$11,OR($L351=$O$7,$M351=$O$7)),"x","")</f>
        <v/>
      </c>
      <c r="P351" s="51" t="str">
        <f>IF(AND($L351=$O$7,$B351&lt;'111'!$N$11),"x","")</f>
        <v/>
      </c>
      <c r="Q351" s="51" t="str">
        <f>IF(AND($M351=$O$7,$B351&lt;'111'!$N$11),"x","")</f>
        <v>x</v>
      </c>
      <c r="R351" s="51" t="str">
        <f>IF(ISERROR(FIND('112'!$M$9,G351,1)),"",IF((AND(FIND('112'!$M$9,G351,1)&gt;=1,$B351&gt;='112'!$N$8,$B351&lt;='112'!$O$8,OR($L351='112'!$I$6,$M351='112'!$I$6))),"x",""))</f>
        <v/>
      </c>
      <c r="S351" s="51" t="str">
        <f>IF(ISERROR(FIND('112'!$M$9,G351,1)),"",IF((AND(LEFT(G351,2)=LEFT('112'!$M$9,2),B351&lt;'112'!$N$8,$L351='112'!$I$6)),"x",""))</f>
        <v/>
      </c>
      <c r="T351" s="51" t="str">
        <f>IF(ISERROR(FIND('112'!$M$9,G351,1)),"",IF((AND(RIGHT(G351,2)=RIGHT('112'!$M$9,2),B351&lt;'112'!$N$8,$M351='112'!$I$6)),"x",""))</f>
        <v/>
      </c>
      <c r="U351" s="51" t="str">
        <f>IF(AND(L351="154",'154'!$O$5&lt;=B351,'154'!$P$5&gt;=B351),"154",IF(AND(L351="632",'632'!$L$5&lt;=B351,'632'!$M$5&gt;=B351),"632",IF(AND(L351="642",'642'!$N$5&lt;=B351,'642'!$O$5&gt;=B351),"642",IF(AND(L351="641",'641'!$N$5&lt;=B351,'641'!$O$5&gt;=B351),"641",""))))</f>
        <v/>
      </c>
      <c r="V351" s="51" t="str">
        <f>IF(OR(TH!L351=TH!$V$7,M351=TH!$V$7),"x","")</f>
        <v/>
      </c>
      <c r="W351" s="51" t="str">
        <f>IF(AND(B351&gt;='IN-NX'!$P$3,B351&lt;='IN-NX'!$Q$3,'IN-NX'!$D$7=D351,OR(LEFT(L351,2)="15",AND(LEFT(M351,2)&lt;&gt;"15",LEFT(M351,2)&lt;&gt;"33"))),"x","")</f>
        <v/>
      </c>
      <c r="X351" s="51" t="str">
        <f>IF(AND(OR(LEFT(TH!L351,2)="15",LEFT(TH!M351,2)="15"),'152-CT'!$J$8=TH!F351),"x","")</f>
        <v/>
      </c>
      <c r="Y351" s="51" t="str">
        <f>IF(AND(OR(LEFT(TH!L351,2)="15",LEFT(TH!M351,2)="15"),TK!$E$7=TH!F351),"x","")</f>
        <v/>
      </c>
      <c r="Z351" s="51" t="str">
        <f>IF(AND(B351&lt;=NKC!$N$8,B351&gt;=NKC!$M$8),"x","")</f>
        <v/>
      </c>
      <c r="AA351" s="803"/>
      <c r="AB351" s="565"/>
    </row>
    <row r="352" spans="1:30" ht="15.75" customHeight="1">
      <c r="A352" s="804" t="str">
        <f>IF(B352&lt;&gt;"",IF(AND(B352&gt;=_TM1,B352&lt;=_TM2,OR(TH!L352="1111",TH!M352="1111")),TH!D352,""),"")</f>
        <v/>
      </c>
      <c r="B352" s="36">
        <f t="shared" si="23"/>
        <v>6</v>
      </c>
      <c r="C352" s="189">
        <f t="shared" si="24"/>
        <v>42183</v>
      </c>
      <c r="D352" s="189" t="s">
        <v>1365</v>
      </c>
      <c r="E352" s="189">
        <v>42183</v>
      </c>
      <c r="F352" s="190" t="s">
        <v>586</v>
      </c>
      <c r="G352" s="813" t="s">
        <v>585</v>
      </c>
      <c r="H352" s="191" t="s">
        <v>509</v>
      </c>
      <c r="I352" s="243">
        <v>30</v>
      </c>
      <c r="J352" s="243">
        <v>22924.5</v>
      </c>
      <c r="K352" s="573">
        <f t="shared" ref="K352:K367" si="25">ROUND(I352*J352,0)</f>
        <v>687735</v>
      </c>
      <c r="L352" s="574" t="s">
        <v>417</v>
      </c>
      <c r="M352" s="574" t="s">
        <v>8</v>
      </c>
      <c r="N352" s="51" t="str">
        <f>IF(AND('331-CT'!$E$7=TH!H352,OR(L352="331",M352="331")),"331",IF(AND(OR(L352="131",M352="131"),H352='131-CT'!$E$7),"131",""))</f>
        <v/>
      </c>
      <c r="O352" s="51" t="str">
        <f>IF(AND($B352&gt;='111'!$N$11,$B352&lt;='111'!$O$11,OR($L352=$O$7,$M352=$O$7)),"x","")</f>
        <v/>
      </c>
      <c r="P352" s="51" t="str">
        <f>IF(AND($L352=$O$7,$B352&lt;'111'!$N$11),"x","")</f>
        <v/>
      </c>
      <c r="Q352" s="51" t="str">
        <f>IF(AND($M352=$O$7,$B352&lt;'111'!$N$11),"x","")</f>
        <v/>
      </c>
      <c r="R352" s="51" t="str">
        <f>IF(ISERROR(FIND('112'!$M$9,G352,1)),"",IF((AND(FIND('112'!$M$9,G352,1)&gt;=1,$B352&gt;='112'!$N$8,$B352&lt;='112'!$O$8,OR($L352='112'!$I$6,$M352='112'!$I$6))),"x",""))</f>
        <v/>
      </c>
      <c r="S352" s="51" t="str">
        <f>IF(ISERROR(FIND('112'!$M$9,G352,1)),"",IF((AND(LEFT(G352,2)=LEFT('112'!$M$9,2),B352&lt;'112'!$N$8,$L352='112'!$I$6)),"x",""))</f>
        <v/>
      </c>
      <c r="T352" s="51" t="str">
        <f>IF(ISERROR(FIND('112'!$M$9,G352,1)),"",IF((AND(RIGHT(G352,2)=RIGHT('112'!$M$9,2),B352&lt;'112'!$N$8,$M352='112'!$I$6)),"x",""))</f>
        <v/>
      </c>
      <c r="U352" s="51" t="str">
        <f>IF(AND(L352="154",'154'!$O$5&lt;=B352,'154'!$P$5&gt;=B352),"154",IF(AND(L352="632",'632'!$L$5&lt;=B352,'632'!$M$5&gt;=B352),"632",IF(AND(L352="642",'642'!$N$5&lt;=B352,'642'!$O$5&gt;=B352),"642",IF(AND(L352="641",'641'!$N$5&lt;=B352,'641'!$O$5&gt;=B352),"641",""))))</f>
        <v/>
      </c>
      <c r="V352" s="51" t="str">
        <f>IF(OR(TH!L352=TH!$V$7,M352=TH!$V$7),"x","")</f>
        <v/>
      </c>
      <c r="W352" s="51" t="str">
        <f>IF(AND(B352&gt;='IN-NX'!$P$3,B352&lt;='IN-NX'!$Q$3,'IN-NX'!$D$7=D352,OR(LEFT(L352,2)="15",AND(LEFT(M352,2)&lt;&gt;"15",LEFT(M352,2)&lt;&gt;"33"))),"x","")</f>
        <v/>
      </c>
      <c r="X352" s="51" t="str">
        <f>IF(AND(OR(LEFT(TH!L352,2)="15",LEFT(TH!M352,2)="15"),'152-CT'!$J$8=TH!F352),"x","")</f>
        <v/>
      </c>
      <c r="Y352" s="51" t="str">
        <f>IF(AND(OR(LEFT(TH!L352,2)="15",LEFT(TH!M352,2)="15"),TK!$E$7=TH!F352),"x","")</f>
        <v/>
      </c>
      <c r="Z352" s="51" t="str">
        <f>IF(AND(B352&lt;=NKC!$N$8,B352&gt;=NKC!$M$8),"x","")</f>
        <v/>
      </c>
      <c r="AA352" s="803"/>
      <c r="AB352" s="565"/>
    </row>
    <row r="353" spans="1:28" ht="15.75" customHeight="1">
      <c r="A353" s="804" t="str">
        <f>IF(B353&lt;&gt;"",IF(AND(B353&gt;=_TM1,B353&lt;=_TM2,OR(TH!L353="1111",TH!M353="1111")),TH!D353,""),"")</f>
        <v/>
      </c>
      <c r="B353" s="36">
        <f t="shared" si="23"/>
        <v>6</v>
      </c>
      <c r="C353" s="189">
        <f t="shared" si="24"/>
        <v>42183</v>
      </c>
      <c r="D353" s="189" t="s">
        <v>1365</v>
      </c>
      <c r="E353" s="189">
        <v>42183</v>
      </c>
      <c r="F353" s="190" t="s">
        <v>587</v>
      </c>
      <c r="G353" s="813" t="s">
        <v>585</v>
      </c>
      <c r="H353" s="191" t="s">
        <v>509</v>
      </c>
      <c r="I353" s="243">
        <v>110</v>
      </c>
      <c r="J353" s="243">
        <v>22397.5</v>
      </c>
      <c r="K353" s="573">
        <f t="shared" si="25"/>
        <v>2463725</v>
      </c>
      <c r="L353" s="574" t="s">
        <v>417</v>
      </c>
      <c r="M353" s="574" t="s">
        <v>8</v>
      </c>
      <c r="N353" s="51" t="str">
        <f>IF(AND('331-CT'!$E$7=TH!H353,OR(L353="331",M353="331")),"331",IF(AND(OR(L353="131",M353="131"),H353='131-CT'!$E$7),"131",""))</f>
        <v/>
      </c>
      <c r="O353" s="51" t="str">
        <f>IF(AND($B353&gt;='111'!$N$11,$B353&lt;='111'!$O$11,OR($L353=$O$7,$M353=$O$7)),"x","")</f>
        <v/>
      </c>
      <c r="P353" s="51" t="str">
        <f>IF(AND($L353=$O$7,$B353&lt;'111'!$N$11),"x","")</f>
        <v/>
      </c>
      <c r="Q353" s="51" t="str">
        <f>IF(AND($M353=$O$7,$B353&lt;'111'!$N$11),"x","")</f>
        <v/>
      </c>
      <c r="R353" s="51" t="str">
        <f>IF(ISERROR(FIND('112'!$M$9,G353,1)),"",IF((AND(FIND('112'!$M$9,G353,1)&gt;=1,$B353&gt;='112'!$N$8,$B353&lt;='112'!$O$8,OR($L353='112'!$I$6,$M353='112'!$I$6))),"x",""))</f>
        <v/>
      </c>
      <c r="S353" s="51" t="str">
        <f>IF(ISERROR(FIND('112'!$M$9,G353,1)),"",IF((AND(LEFT(G353,2)=LEFT('112'!$M$9,2),B353&lt;'112'!$N$8,$L353='112'!$I$6)),"x",""))</f>
        <v/>
      </c>
      <c r="T353" s="51" t="str">
        <f>IF(ISERROR(FIND('112'!$M$9,G353,1)),"",IF((AND(RIGHT(G353,2)=RIGHT('112'!$M$9,2),B353&lt;'112'!$N$8,$M353='112'!$I$6)),"x",""))</f>
        <v/>
      </c>
      <c r="U353" s="51" t="str">
        <f>IF(AND(L353="154",'154'!$O$5&lt;=B353,'154'!$P$5&gt;=B353),"154",IF(AND(L353="632",'632'!$L$5&lt;=B353,'632'!$M$5&gt;=B353),"632",IF(AND(L353="642",'642'!$N$5&lt;=B353,'642'!$O$5&gt;=B353),"642",IF(AND(L353="641",'641'!$N$5&lt;=B353,'641'!$O$5&gt;=B353),"641",""))))</f>
        <v/>
      </c>
      <c r="V353" s="51" t="str">
        <f>IF(OR(TH!L353=TH!$V$7,M353=TH!$V$7),"x","")</f>
        <v/>
      </c>
      <c r="W353" s="51" t="str">
        <f>IF(AND(B353&gt;='IN-NX'!$P$3,B353&lt;='IN-NX'!$Q$3,'IN-NX'!$D$7=D353,OR(LEFT(L353,2)="15",AND(LEFT(M353,2)&lt;&gt;"15",LEFT(M353,2)&lt;&gt;"33"))),"x","")</f>
        <v/>
      </c>
      <c r="X353" s="51" t="str">
        <f>IF(AND(OR(LEFT(TH!L353,2)="15",LEFT(TH!M353,2)="15"),'152-CT'!$J$8=TH!F353),"x","")</f>
        <v/>
      </c>
      <c r="Y353" s="51" t="str">
        <f>IF(AND(OR(LEFT(TH!L353,2)="15",LEFT(TH!M353,2)="15"),TK!$E$7=TH!F353),"x","")</f>
        <v/>
      </c>
      <c r="Z353" s="51" t="str">
        <f>IF(AND(B353&lt;=NKC!$N$8,B353&gt;=NKC!$M$8),"x","")</f>
        <v/>
      </c>
      <c r="AA353" s="803"/>
      <c r="AB353" s="565"/>
    </row>
    <row r="354" spans="1:28" ht="15.75" customHeight="1">
      <c r="A354" s="804" t="str">
        <f>IF(B354&lt;&gt;"",IF(AND(B354&gt;=_TM1,B354&lt;=_TM2,OR(TH!L354="1111",TH!M354="1111")),TH!D354,""),"")</f>
        <v/>
      </c>
      <c r="B354" s="36">
        <f t="shared" si="23"/>
        <v>6</v>
      </c>
      <c r="C354" s="189">
        <f t="shared" si="24"/>
        <v>42183</v>
      </c>
      <c r="D354" s="189" t="s">
        <v>1365</v>
      </c>
      <c r="E354" s="189">
        <v>42183</v>
      </c>
      <c r="F354" s="190" t="s">
        <v>588</v>
      </c>
      <c r="G354" s="813" t="s">
        <v>585</v>
      </c>
      <c r="H354" s="191" t="s">
        <v>509</v>
      </c>
      <c r="I354" s="243">
        <v>30</v>
      </c>
      <c r="J354" s="243">
        <v>20230</v>
      </c>
      <c r="K354" s="573">
        <f t="shared" si="25"/>
        <v>606900</v>
      </c>
      <c r="L354" s="574" t="s">
        <v>417</v>
      </c>
      <c r="M354" s="574" t="s">
        <v>8</v>
      </c>
      <c r="N354" s="51" t="str">
        <f>IF(AND('331-CT'!$E$7=TH!H354,OR(L354="331",M354="331")),"331",IF(AND(OR(L354="131",M354="131"),H354='131-CT'!$E$7),"131",""))</f>
        <v/>
      </c>
      <c r="O354" s="51" t="str">
        <f>IF(AND($B354&gt;='111'!$N$11,$B354&lt;='111'!$O$11,OR($L354=$O$7,$M354=$O$7)),"x","")</f>
        <v/>
      </c>
      <c r="P354" s="51" t="str">
        <f>IF(AND($L354=$O$7,$B354&lt;'111'!$N$11),"x","")</f>
        <v/>
      </c>
      <c r="Q354" s="51" t="str">
        <f>IF(AND($M354=$O$7,$B354&lt;'111'!$N$11),"x","")</f>
        <v/>
      </c>
      <c r="R354" s="51" t="str">
        <f>IF(ISERROR(FIND('112'!$M$9,G354,1)),"",IF((AND(FIND('112'!$M$9,G354,1)&gt;=1,$B354&gt;='112'!$N$8,$B354&lt;='112'!$O$8,OR($L354='112'!$I$6,$M354='112'!$I$6))),"x",""))</f>
        <v/>
      </c>
      <c r="S354" s="51" t="str">
        <f>IF(ISERROR(FIND('112'!$M$9,G354,1)),"",IF((AND(LEFT(G354,2)=LEFT('112'!$M$9,2),B354&lt;'112'!$N$8,$L354='112'!$I$6)),"x",""))</f>
        <v/>
      </c>
      <c r="T354" s="51" t="str">
        <f>IF(ISERROR(FIND('112'!$M$9,G354,1)),"",IF((AND(RIGHT(G354,2)=RIGHT('112'!$M$9,2),B354&lt;'112'!$N$8,$M354='112'!$I$6)),"x",""))</f>
        <v/>
      </c>
      <c r="U354" s="51" t="str">
        <f>IF(AND(L354="154",'154'!$O$5&lt;=B354,'154'!$P$5&gt;=B354),"154",IF(AND(L354="632",'632'!$L$5&lt;=B354,'632'!$M$5&gt;=B354),"632",IF(AND(L354="642",'642'!$N$5&lt;=B354,'642'!$O$5&gt;=B354),"642",IF(AND(L354="641",'641'!$N$5&lt;=B354,'641'!$O$5&gt;=B354),"641",""))))</f>
        <v/>
      </c>
      <c r="V354" s="51" t="str">
        <f>IF(OR(TH!L354=TH!$V$7,M354=TH!$V$7),"x","")</f>
        <v/>
      </c>
      <c r="W354" s="51" t="str">
        <f>IF(AND(B354&gt;='IN-NX'!$P$3,B354&lt;='IN-NX'!$Q$3,'IN-NX'!$D$7=D354,OR(LEFT(L354,2)="15",AND(LEFT(M354,2)&lt;&gt;"15",LEFT(M354,2)&lt;&gt;"33"))),"x","")</f>
        <v/>
      </c>
      <c r="X354" s="51" t="str">
        <f>IF(AND(OR(LEFT(TH!L354,2)="15",LEFT(TH!M354,2)="15"),'152-CT'!$J$8=TH!F354),"x","")</f>
        <v/>
      </c>
      <c r="Y354" s="51" t="str">
        <f>IF(AND(OR(LEFT(TH!L354,2)="15",LEFT(TH!M354,2)="15"),TK!$E$7=TH!F354),"x","")</f>
        <v/>
      </c>
      <c r="Z354" s="51" t="str">
        <f>IF(AND(B354&lt;=NKC!$N$8,B354&gt;=NKC!$M$8),"x","")</f>
        <v/>
      </c>
      <c r="AA354" s="803"/>
      <c r="AB354" s="565"/>
    </row>
    <row r="355" spans="1:28" ht="15.75" customHeight="1">
      <c r="A355" s="804" t="str">
        <f>IF(B355&lt;&gt;"",IF(AND(B355&gt;=_TM1,B355&lt;=_TM2,OR(TH!L355="1111",TH!M355="1111")),TH!D355,""),"")</f>
        <v/>
      </c>
      <c r="B355" s="36">
        <f t="shared" si="23"/>
        <v>6</v>
      </c>
      <c r="C355" s="189">
        <f t="shared" si="24"/>
        <v>42183</v>
      </c>
      <c r="D355" s="189" t="s">
        <v>1365</v>
      </c>
      <c r="E355" s="189">
        <v>42183</v>
      </c>
      <c r="F355" s="190" t="s">
        <v>589</v>
      </c>
      <c r="G355" s="813" t="s">
        <v>585</v>
      </c>
      <c r="H355" s="191" t="s">
        <v>509</v>
      </c>
      <c r="I355" s="243">
        <v>12</v>
      </c>
      <c r="J355" s="243">
        <v>15300</v>
      </c>
      <c r="K355" s="573">
        <f t="shared" si="25"/>
        <v>183600</v>
      </c>
      <c r="L355" s="574" t="s">
        <v>417</v>
      </c>
      <c r="M355" s="574" t="s">
        <v>8</v>
      </c>
      <c r="N355" s="51" t="str">
        <f>IF(AND('331-CT'!$E$7=TH!H355,OR(L355="331",M355="331")),"331",IF(AND(OR(L355="131",M355="131"),H355='131-CT'!$E$7),"131",""))</f>
        <v/>
      </c>
      <c r="O355" s="51" t="str">
        <f>IF(AND($B355&gt;='111'!$N$11,$B355&lt;='111'!$O$11,OR($L355=$O$7,$M355=$O$7)),"x","")</f>
        <v/>
      </c>
      <c r="P355" s="51" t="str">
        <f>IF(AND($L355=$O$7,$B355&lt;'111'!$N$11),"x","")</f>
        <v/>
      </c>
      <c r="Q355" s="51" t="str">
        <f>IF(AND($M355=$O$7,$B355&lt;'111'!$N$11),"x","")</f>
        <v/>
      </c>
      <c r="R355" s="51" t="str">
        <f>IF(ISERROR(FIND('112'!$M$9,G355,1)),"",IF((AND(FIND('112'!$M$9,G355,1)&gt;=1,$B355&gt;='112'!$N$8,$B355&lt;='112'!$O$8,OR($L355='112'!$I$6,$M355='112'!$I$6))),"x",""))</f>
        <v/>
      </c>
      <c r="S355" s="51" t="str">
        <f>IF(ISERROR(FIND('112'!$M$9,G355,1)),"",IF((AND(LEFT(G355,2)=LEFT('112'!$M$9,2),B355&lt;'112'!$N$8,$L355='112'!$I$6)),"x",""))</f>
        <v/>
      </c>
      <c r="T355" s="51" t="str">
        <f>IF(ISERROR(FIND('112'!$M$9,G355,1)),"",IF((AND(RIGHT(G355,2)=RIGHT('112'!$M$9,2),B355&lt;'112'!$N$8,$M355='112'!$I$6)),"x",""))</f>
        <v/>
      </c>
      <c r="U355" s="51" t="str">
        <f>IF(AND(L355="154",'154'!$O$5&lt;=B355,'154'!$P$5&gt;=B355),"154",IF(AND(L355="632",'632'!$L$5&lt;=B355,'632'!$M$5&gt;=B355),"632",IF(AND(L355="642",'642'!$N$5&lt;=B355,'642'!$O$5&gt;=B355),"642",IF(AND(L355="641",'641'!$N$5&lt;=B355,'641'!$O$5&gt;=B355),"641",""))))</f>
        <v/>
      </c>
      <c r="V355" s="51" t="str">
        <f>IF(OR(TH!L355=TH!$V$7,M355=TH!$V$7),"x","")</f>
        <v/>
      </c>
      <c r="W355" s="51" t="str">
        <f>IF(AND(B355&gt;='IN-NX'!$P$3,B355&lt;='IN-NX'!$Q$3,'IN-NX'!$D$7=D355,OR(LEFT(L355,2)="15",AND(LEFT(M355,2)&lt;&gt;"15",LEFT(M355,2)&lt;&gt;"33"))),"x","")</f>
        <v/>
      </c>
      <c r="X355" s="51" t="str">
        <f>IF(AND(OR(LEFT(TH!L355,2)="15",LEFT(TH!M355,2)="15"),'152-CT'!$J$8=TH!F355),"x","")</f>
        <v/>
      </c>
      <c r="Y355" s="51" t="str">
        <f>IF(AND(OR(LEFT(TH!L355,2)="15",LEFT(TH!M355,2)="15"),TK!$E$7=TH!F355),"x","")</f>
        <v/>
      </c>
      <c r="Z355" s="51" t="str">
        <f>IF(AND(B355&lt;=NKC!$N$8,B355&gt;=NKC!$M$8),"x","")</f>
        <v/>
      </c>
      <c r="AA355" s="803"/>
      <c r="AB355" s="565"/>
    </row>
    <row r="356" spans="1:28" ht="15.75" customHeight="1">
      <c r="A356" s="804" t="str">
        <f>IF(B356&lt;&gt;"",IF(AND(B356&gt;=_TM1,B356&lt;=_TM2,OR(TH!L356="1111",TH!M356="1111")),TH!D356,""),"")</f>
        <v/>
      </c>
      <c r="B356" s="36">
        <f t="shared" si="23"/>
        <v>6</v>
      </c>
      <c r="C356" s="189">
        <f t="shared" si="24"/>
        <v>42183</v>
      </c>
      <c r="D356" s="189" t="s">
        <v>1365</v>
      </c>
      <c r="E356" s="189">
        <v>42183</v>
      </c>
      <c r="F356" s="190" t="s">
        <v>590</v>
      </c>
      <c r="G356" s="813" t="s">
        <v>585</v>
      </c>
      <c r="H356" s="191" t="s">
        <v>509</v>
      </c>
      <c r="I356" s="244">
        <v>6</v>
      </c>
      <c r="J356" s="243">
        <v>10710</v>
      </c>
      <c r="K356" s="573">
        <f t="shared" si="25"/>
        <v>64260</v>
      </c>
      <c r="L356" s="574" t="s">
        <v>417</v>
      </c>
      <c r="M356" s="574" t="s">
        <v>8</v>
      </c>
      <c r="N356" s="51" t="str">
        <f>IF(AND('331-CT'!$E$7=TH!H356,OR(L356="331",M356="331")),"331",IF(AND(OR(L356="131",M356="131"),H356='131-CT'!$E$7),"131",""))</f>
        <v/>
      </c>
      <c r="O356" s="51" t="str">
        <f>IF(AND($B356&gt;='111'!$N$11,$B356&lt;='111'!$O$11,OR($L356=$O$7,$M356=$O$7)),"x","")</f>
        <v/>
      </c>
      <c r="P356" s="51" t="str">
        <f>IF(AND($L356=$O$7,$B356&lt;'111'!$N$11),"x","")</f>
        <v/>
      </c>
      <c r="Q356" s="51" t="str">
        <f>IF(AND($M356=$O$7,$B356&lt;'111'!$N$11),"x","")</f>
        <v/>
      </c>
      <c r="R356" s="51" t="str">
        <f>IF(ISERROR(FIND('112'!$M$9,G356,1)),"",IF((AND(FIND('112'!$M$9,G356,1)&gt;=1,$B356&gt;='112'!$N$8,$B356&lt;='112'!$O$8,OR($L356='112'!$I$6,$M356='112'!$I$6))),"x",""))</f>
        <v/>
      </c>
      <c r="S356" s="51" t="str">
        <f>IF(ISERROR(FIND('112'!$M$9,G356,1)),"",IF((AND(LEFT(G356,2)=LEFT('112'!$M$9,2),B356&lt;'112'!$N$8,$L356='112'!$I$6)),"x",""))</f>
        <v/>
      </c>
      <c r="T356" s="51" t="str">
        <f>IF(ISERROR(FIND('112'!$M$9,G356,1)),"",IF((AND(RIGHT(G356,2)=RIGHT('112'!$M$9,2),B356&lt;'112'!$N$8,$M356='112'!$I$6)),"x",""))</f>
        <v/>
      </c>
      <c r="U356" s="51" t="str">
        <f>IF(AND(L356="154",'154'!$O$5&lt;=B356,'154'!$P$5&gt;=B356),"154",IF(AND(L356="632",'632'!$L$5&lt;=B356,'632'!$M$5&gt;=B356),"632",IF(AND(L356="642",'642'!$N$5&lt;=B356,'642'!$O$5&gt;=B356),"642",IF(AND(L356="641",'641'!$N$5&lt;=B356,'641'!$O$5&gt;=B356),"641",""))))</f>
        <v/>
      </c>
      <c r="V356" s="51" t="str">
        <f>IF(OR(TH!L356=TH!$V$7,M356=TH!$V$7),"x","")</f>
        <v/>
      </c>
      <c r="W356" s="51" t="str">
        <f>IF(AND(B356&gt;='IN-NX'!$P$3,B356&lt;='IN-NX'!$Q$3,'IN-NX'!$D$7=D356,OR(LEFT(L356,2)="15",AND(LEFT(M356,2)&lt;&gt;"15",LEFT(M356,2)&lt;&gt;"33"))),"x","")</f>
        <v/>
      </c>
      <c r="X356" s="51" t="str">
        <f>IF(AND(OR(LEFT(TH!L356,2)="15",LEFT(TH!M356,2)="15"),'152-CT'!$J$8=TH!F356),"x","")</f>
        <v/>
      </c>
      <c r="Y356" s="51" t="str">
        <f>IF(AND(OR(LEFT(TH!L356,2)="15",LEFT(TH!M356,2)="15"),TK!$E$7=TH!F356),"x","")</f>
        <v/>
      </c>
      <c r="Z356" s="51" t="str">
        <f>IF(AND(B356&lt;=NKC!$N$8,B356&gt;=NKC!$M$8),"x","")</f>
        <v/>
      </c>
      <c r="AA356" s="803"/>
      <c r="AB356" s="565"/>
    </row>
    <row r="357" spans="1:28" ht="15.75" customHeight="1">
      <c r="A357" s="804" t="str">
        <f>IF(B357&lt;&gt;"",IF(AND(B357&gt;=_TM1,B357&lt;=_TM2,OR(TH!L357="1111",TH!M357="1111")),TH!D357,""),"")</f>
        <v/>
      </c>
      <c r="B357" s="36">
        <f t="shared" si="23"/>
        <v>6</v>
      </c>
      <c r="C357" s="189">
        <f t="shared" si="24"/>
        <v>42183</v>
      </c>
      <c r="D357" s="189" t="s">
        <v>1365</v>
      </c>
      <c r="E357" s="189">
        <v>42183</v>
      </c>
      <c r="F357" s="190" t="s">
        <v>591</v>
      </c>
      <c r="G357" s="813" t="s">
        <v>585</v>
      </c>
      <c r="H357" s="191" t="s">
        <v>509</v>
      </c>
      <c r="I357" s="243">
        <v>2</v>
      </c>
      <c r="J357" s="243">
        <v>22873.5</v>
      </c>
      <c r="K357" s="573">
        <f t="shared" si="25"/>
        <v>45747</v>
      </c>
      <c r="L357" s="574" t="s">
        <v>417</v>
      </c>
      <c r="M357" s="574" t="s">
        <v>8</v>
      </c>
      <c r="N357" s="51" t="str">
        <f>IF(AND('331-CT'!$E$7=TH!H357,OR(L357="331",M357="331")),"331",IF(AND(OR(L357="131",M357="131"),H357='131-CT'!$E$7),"131",""))</f>
        <v/>
      </c>
      <c r="O357" s="51" t="str">
        <f>IF(AND($B357&gt;='111'!$N$11,$B357&lt;='111'!$O$11,OR($L357=$O$7,$M357=$O$7)),"x","")</f>
        <v/>
      </c>
      <c r="P357" s="51" t="str">
        <f>IF(AND($L357=$O$7,$B357&lt;'111'!$N$11),"x","")</f>
        <v/>
      </c>
      <c r="Q357" s="51" t="str">
        <f>IF(AND($M357=$O$7,$B357&lt;'111'!$N$11),"x","")</f>
        <v/>
      </c>
      <c r="R357" s="51" t="str">
        <f>IF(ISERROR(FIND('112'!$M$9,G357,1)),"",IF((AND(FIND('112'!$M$9,G357,1)&gt;=1,$B357&gt;='112'!$N$8,$B357&lt;='112'!$O$8,OR($L357='112'!$I$6,$M357='112'!$I$6))),"x",""))</f>
        <v/>
      </c>
      <c r="S357" s="51" t="str">
        <f>IF(ISERROR(FIND('112'!$M$9,G357,1)),"",IF((AND(LEFT(G357,2)=LEFT('112'!$M$9,2),B357&lt;'112'!$N$8,$L357='112'!$I$6)),"x",""))</f>
        <v/>
      </c>
      <c r="T357" s="51" t="str">
        <f>IF(ISERROR(FIND('112'!$M$9,G357,1)),"",IF((AND(RIGHT(G357,2)=RIGHT('112'!$M$9,2),B357&lt;'112'!$N$8,$M357='112'!$I$6)),"x",""))</f>
        <v/>
      </c>
      <c r="U357" s="51" t="str">
        <f>IF(AND(L357="154",'154'!$O$5&lt;=B357,'154'!$P$5&gt;=B357),"154",IF(AND(L357="632",'632'!$L$5&lt;=B357,'632'!$M$5&gt;=B357),"632",IF(AND(L357="642",'642'!$N$5&lt;=B357,'642'!$O$5&gt;=B357),"642",IF(AND(L357="641",'641'!$N$5&lt;=B357,'641'!$O$5&gt;=B357),"641",""))))</f>
        <v/>
      </c>
      <c r="V357" s="51" t="str">
        <f>IF(OR(TH!L357=TH!$V$7,M357=TH!$V$7),"x","")</f>
        <v/>
      </c>
      <c r="W357" s="51" t="str">
        <f>IF(AND(B357&gt;='IN-NX'!$P$3,B357&lt;='IN-NX'!$Q$3,'IN-NX'!$D$7=D357,OR(LEFT(L357,2)="15",AND(LEFT(M357,2)&lt;&gt;"15",LEFT(M357,2)&lt;&gt;"33"))),"x","")</f>
        <v/>
      </c>
      <c r="X357" s="51" t="str">
        <f>IF(AND(OR(LEFT(TH!L357,2)="15",LEFT(TH!M357,2)="15"),'152-CT'!$J$8=TH!F357),"x","")</f>
        <v/>
      </c>
      <c r="Y357" s="51" t="str">
        <f>IF(AND(OR(LEFT(TH!L357,2)="15",LEFT(TH!M357,2)="15"),TK!$E$7=TH!F357),"x","")</f>
        <v/>
      </c>
      <c r="Z357" s="51" t="str">
        <f>IF(AND(B357&lt;=NKC!$N$8,B357&gt;=NKC!$M$8),"x","")</f>
        <v/>
      </c>
      <c r="AA357" s="803"/>
      <c r="AB357" s="565"/>
    </row>
    <row r="358" spans="1:28" ht="15.75" customHeight="1">
      <c r="A358" s="804" t="str">
        <f>IF(B358&lt;&gt;"",IF(AND(B358&gt;=_TM1,B358&lt;=_TM2,OR(TH!L358="1111",TH!M358="1111")),TH!D358,""),"")</f>
        <v/>
      </c>
      <c r="B358" s="36">
        <f t="shared" si="23"/>
        <v>6</v>
      </c>
      <c r="C358" s="189">
        <f t="shared" si="24"/>
        <v>42183</v>
      </c>
      <c r="D358" s="189" t="s">
        <v>1365</v>
      </c>
      <c r="E358" s="189">
        <v>42183</v>
      </c>
      <c r="F358" s="190" t="s">
        <v>592</v>
      </c>
      <c r="G358" s="813" t="s">
        <v>585</v>
      </c>
      <c r="H358" s="191" t="s">
        <v>509</v>
      </c>
      <c r="I358" s="243">
        <v>2</v>
      </c>
      <c r="J358" s="243">
        <v>17348.5</v>
      </c>
      <c r="K358" s="573">
        <f t="shared" si="25"/>
        <v>34697</v>
      </c>
      <c r="L358" s="574" t="s">
        <v>417</v>
      </c>
      <c r="M358" s="574" t="s">
        <v>8</v>
      </c>
      <c r="N358" s="51" t="str">
        <f>IF(AND('331-CT'!$E$7=TH!H358,OR(L358="331",M358="331")),"331",IF(AND(OR(L358="131",M358="131"),H358='131-CT'!$E$7),"131",""))</f>
        <v/>
      </c>
      <c r="O358" s="51" t="str">
        <f>IF(AND($B358&gt;='111'!$N$11,$B358&lt;='111'!$O$11,OR($L358=$O$7,$M358=$O$7)),"x","")</f>
        <v/>
      </c>
      <c r="P358" s="51" t="str">
        <f>IF(AND($L358=$O$7,$B358&lt;'111'!$N$11),"x","")</f>
        <v/>
      </c>
      <c r="Q358" s="51" t="str">
        <f>IF(AND($M358=$O$7,$B358&lt;'111'!$N$11),"x","")</f>
        <v/>
      </c>
      <c r="R358" s="51" t="str">
        <f>IF(ISERROR(FIND('112'!$M$9,G358,1)),"",IF((AND(FIND('112'!$M$9,G358,1)&gt;=1,$B358&gt;='112'!$N$8,$B358&lt;='112'!$O$8,OR($L358='112'!$I$6,$M358='112'!$I$6))),"x",""))</f>
        <v/>
      </c>
      <c r="S358" s="51" t="str">
        <f>IF(ISERROR(FIND('112'!$M$9,G358,1)),"",IF((AND(LEFT(G358,2)=LEFT('112'!$M$9,2),B358&lt;'112'!$N$8,$L358='112'!$I$6)),"x",""))</f>
        <v/>
      </c>
      <c r="T358" s="51" t="str">
        <f>IF(ISERROR(FIND('112'!$M$9,G358,1)),"",IF((AND(RIGHT(G358,2)=RIGHT('112'!$M$9,2),B358&lt;'112'!$N$8,$M358='112'!$I$6)),"x",""))</f>
        <v/>
      </c>
      <c r="U358" s="51" t="str">
        <f>IF(AND(L358="154",'154'!$O$5&lt;=B358,'154'!$P$5&gt;=B358),"154",IF(AND(L358="632",'632'!$L$5&lt;=B358,'632'!$M$5&gt;=B358),"632",IF(AND(L358="642",'642'!$N$5&lt;=B358,'642'!$O$5&gt;=B358),"642",IF(AND(L358="641",'641'!$N$5&lt;=B358,'641'!$O$5&gt;=B358),"641",""))))</f>
        <v/>
      </c>
      <c r="V358" s="51" t="str">
        <f>IF(OR(TH!L358=TH!$V$7,M358=TH!$V$7),"x","")</f>
        <v/>
      </c>
      <c r="W358" s="51" t="str">
        <f>IF(AND(B358&gt;='IN-NX'!$P$3,B358&lt;='IN-NX'!$Q$3,'IN-NX'!$D$7=D358,OR(LEFT(L358,2)="15",AND(LEFT(M358,2)&lt;&gt;"15",LEFT(M358,2)&lt;&gt;"33"))),"x","")</f>
        <v/>
      </c>
      <c r="X358" s="51" t="str">
        <f>IF(AND(OR(LEFT(TH!L358,2)="15",LEFT(TH!M358,2)="15"),'152-CT'!$J$8=TH!F358),"x","")</f>
        <v/>
      </c>
      <c r="Y358" s="51" t="str">
        <f>IF(AND(OR(LEFT(TH!L358,2)="15",LEFT(TH!M358,2)="15"),TK!$E$7=TH!F358),"x","")</f>
        <v/>
      </c>
      <c r="Z358" s="51" t="str">
        <f>IF(AND(B358&lt;=NKC!$N$8,B358&gt;=NKC!$M$8),"x","")</f>
        <v/>
      </c>
      <c r="AA358" s="803"/>
      <c r="AB358" s="565"/>
    </row>
    <row r="359" spans="1:28" ht="15.75" customHeight="1">
      <c r="A359" s="804" t="str">
        <f>IF(B359&lt;&gt;"",IF(AND(B359&gt;=_TM1,B359&lt;=_TM2,OR(TH!L359="1111",TH!M359="1111")),TH!D359,""),"")</f>
        <v/>
      </c>
      <c r="B359" s="36">
        <f t="shared" si="23"/>
        <v>6</v>
      </c>
      <c r="C359" s="189">
        <f t="shared" si="24"/>
        <v>42183</v>
      </c>
      <c r="D359" s="189" t="s">
        <v>1365</v>
      </c>
      <c r="E359" s="189">
        <v>42183</v>
      </c>
      <c r="F359" s="190" t="s">
        <v>593</v>
      </c>
      <c r="G359" s="813" t="s">
        <v>585</v>
      </c>
      <c r="H359" s="191" t="s">
        <v>509</v>
      </c>
      <c r="I359" s="243">
        <v>16</v>
      </c>
      <c r="J359" s="243">
        <v>21547.5</v>
      </c>
      <c r="K359" s="573">
        <f t="shared" si="25"/>
        <v>344760</v>
      </c>
      <c r="L359" s="574" t="s">
        <v>417</v>
      </c>
      <c r="M359" s="574" t="s">
        <v>8</v>
      </c>
      <c r="N359" s="51" t="str">
        <f>IF(AND('331-CT'!$E$7=TH!H359,OR(L359="331",M359="331")),"331",IF(AND(OR(L359="131",M359="131"),H359='131-CT'!$E$7),"131",""))</f>
        <v/>
      </c>
      <c r="O359" s="51" t="str">
        <f>IF(AND($B359&gt;='111'!$N$11,$B359&lt;='111'!$O$11,OR($L359=$O$7,$M359=$O$7)),"x","")</f>
        <v/>
      </c>
      <c r="P359" s="51" t="str">
        <f>IF(AND($L359=$O$7,$B359&lt;'111'!$N$11),"x","")</f>
        <v/>
      </c>
      <c r="Q359" s="51" t="str">
        <f>IF(AND($M359=$O$7,$B359&lt;'111'!$N$11),"x","")</f>
        <v/>
      </c>
      <c r="R359" s="51" t="str">
        <f>IF(ISERROR(FIND('112'!$M$9,G359,1)),"",IF((AND(FIND('112'!$M$9,G359,1)&gt;=1,$B359&gt;='112'!$N$8,$B359&lt;='112'!$O$8,OR($L359='112'!$I$6,$M359='112'!$I$6))),"x",""))</f>
        <v/>
      </c>
      <c r="S359" s="51" t="str">
        <f>IF(ISERROR(FIND('112'!$M$9,G359,1)),"",IF((AND(LEFT(G359,2)=LEFT('112'!$M$9,2),B359&lt;'112'!$N$8,$L359='112'!$I$6)),"x",""))</f>
        <v/>
      </c>
      <c r="T359" s="51" t="str">
        <f>IF(ISERROR(FIND('112'!$M$9,G359,1)),"",IF((AND(RIGHT(G359,2)=RIGHT('112'!$M$9,2),B359&lt;'112'!$N$8,$M359='112'!$I$6)),"x",""))</f>
        <v/>
      </c>
      <c r="U359" s="51" t="str">
        <f>IF(AND(L359="154",'154'!$O$5&lt;=B359,'154'!$P$5&gt;=B359),"154",IF(AND(L359="632",'632'!$L$5&lt;=B359,'632'!$M$5&gt;=B359),"632",IF(AND(L359="642",'642'!$N$5&lt;=B359,'642'!$O$5&gt;=B359),"642",IF(AND(L359="641",'641'!$N$5&lt;=B359,'641'!$O$5&gt;=B359),"641",""))))</f>
        <v/>
      </c>
      <c r="V359" s="51" t="str">
        <f>IF(OR(TH!L359=TH!$V$7,M359=TH!$V$7),"x","")</f>
        <v/>
      </c>
      <c r="W359" s="51" t="str">
        <f>IF(AND(B359&gt;='IN-NX'!$P$3,B359&lt;='IN-NX'!$Q$3,'IN-NX'!$D$7=D359,OR(LEFT(L359,2)="15",AND(LEFT(M359,2)&lt;&gt;"15",LEFT(M359,2)&lt;&gt;"33"))),"x","")</f>
        <v/>
      </c>
      <c r="X359" s="51" t="str">
        <f>IF(AND(OR(LEFT(TH!L359,2)="15",LEFT(TH!M359,2)="15"),'152-CT'!$J$8=TH!F359),"x","")</f>
        <v/>
      </c>
      <c r="Y359" s="51" t="str">
        <f>IF(AND(OR(LEFT(TH!L359,2)="15",LEFT(TH!M359,2)="15"),TK!$E$7=TH!F359),"x","")</f>
        <v/>
      </c>
      <c r="Z359" s="51" t="str">
        <f>IF(AND(B359&lt;=NKC!$N$8,B359&gt;=NKC!$M$8),"x","")</f>
        <v/>
      </c>
      <c r="AA359" s="803"/>
      <c r="AB359" s="565"/>
    </row>
    <row r="360" spans="1:28" ht="15.75" customHeight="1">
      <c r="A360" s="804" t="str">
        <f>IF(B360&lt;&gt;"",IF(AND(B360&gt;=_TM1,B360&lt;=_TM2,OR(TH!L360="1111",TH!M360="1111")),TH!D360,""),"")</f>
        <v/>
      </c>
      <c r="B360" s="36">
        <f t="shared" si="23"/>
        <v>6</v>
      </c>
      <c r="C360" s="189">
        <f t="shared" si="24"/>
        <v>42183</v>
      </c>
      <c r="D360" s="189" t="s">
        <v>1365</v>
      </c>
      <c r="E360" s="189">
        <v>42183</v>
      </c>
      <c r="F360" s="190" t="s">
        <v>594</v>
      </c>
      <c r="G360" s="813" t="s">
        <v>585</v>
      </c>
      <c r="H360" s="191" t="s">
        <v>509</v>
      </c>
      <c r="I360" s="243">
        <v>16</v>
      </c>
      <c r="J360" s="243">
        <v>21105.5</v>
      </c>
      <c r="K360" s="573">
        <f t="shared" si="25"/>
        <v>337688</v>
      </c>
      <c r="L360" s="574" t="s">
        <v>417</v>
      </c>
      <c r="M360" s="574" t="s">
        <v>8</v>
      </c>
      <c r="N360" s="51" t="str">
        <f>IF(AND('331-CT'!$E$7=TH!H360,OR(L360="331",M360="331")),"331",IF(AND(OR(L360="131",M360="131"),H360='131-CT'!$E$7),"131",""))</f>
        <v/>
      </c>
      <c r="O360" s="51" t="str">
        <f>IF(AND($B360&gt;='111'!$N$11,$B360&lt;='111'!$O$11,OR($L360=$O$7,$M360=$O$7)),"x","")</f>
        <v/>
      </c>
      <c r="P360" s="51" t="str">
        <f>IF(AND($L360=$O$7,$B360&lt;'111'!$N$11),"x","")</f>
        <v/>
      </c>
      <c r="Q360" s="51" t="str">
        <f>IF(AND($M360=$O$7,$B360&lt;'111'!$N$11),"x","")</f>
        <v/>
      </c>
      <c r="R360" s="51" t="str">
        <f>IF(ISERROR(FIND('112'!$M$9,G360,1)),"",IF((AND(FIND('112'!$M$9,G360,1)&gt;=1,$B360&gt;='112'!$N$8,$B360&lt;='112'!$O$8,OR($L360='112'!$I$6,$M360='112'!$I$6))),"x",""))</f>
        <v/>
      </c>
      <c r="S360" s="51" t="str">
        <f>IF(ISERROR(FIND('112'!$M$9,G360,1)),"",IF((AND(LEFT(G360,2)=LEFT('112'!$M$9,2),B360&lt;'112'!$N$8,$L360='112'!$I$6)),"x",""))</f>
        <v/>
      </c>
      <c r="T360" s="51" t="str">
        <f>IF(ISERROR(FIND('112'!$M$9,G360,1)),"",IF((AND(RIGHT(G360,2)=RIGHT('112'!$M$9,2),B360&lt;'112'!$N$8,$M360='112'!$I$6)),"x",""))</f>
        <v/>
      </c>
      <c r="U360" s="51" t="str">
        <f>IF(AND(L360="154",'154'!$O$5&lt;=B360,'154'!$P$5&gt;=B360),"154",IF(AND(L360="632",'632'!$L$5&lt;=B360,'632'!$M$5&gt;=B360),"632",IF(AND(L360="642",'642'!$N$5&lt;=B360,'642'!$O$5&gt;=B360),"642",IF(AND(L360="641",'641'!$N$5&lt;=B360,'641'!$O$5&gt;=B360),"641",""))))</f>
        <v/>
      </c>
      <c r="V360" s="51" t="str">
        <f>IF(OR(TH!L360=TH!$V$7,M360=TH!$V$7),"x","")</f>
        <v/>
      </c>
      <c r="W360" s="51" t="str">
        <f>IF(AND(B360&gt;='IN-NX'!$P$3,B360&lt;='IN-NX'!$Q$3,'IN-NX'!$D$7=D360,OR(LEFT(L360,2)="15",AND(LEFT(M360,2)&lt;&gt;"15",LEFT(M360,2)&lt;&gt;"33"))),"x","")</f>
        <v/>
      </c>
      <c r="X360" s="51" t="str">
        <f>IF(AND(OR(LEFT(TH!L360,2)="15",LEFT(TH!M360,2)="15"),'152-CT'!$J$8=TH!F360),"x","")</f>
        <v/>
      </c>
      <c r="Y360" s="51" t="str">
        <f>IF(AND(OR(LEFT(TH!L360,2)="15",LEFT(TH!M360,2)="15"),TK!$E$7=TH!F360),"x","")</f>
        <v/>
      </c>
      <c r="Z360" s="51" t="str">
        <f>IF(AND(B360&lt;=NKC!$N$8,B360&gt;=NKC!$M$8),"x","")</f>
        <v/>
      </c>
      <c r="AA360" s="803"/>
      <c r="AB360" s="565"/>
    </row>
    <row r="361" spans="1:28" ht="15.75" customHeight="1">
      <c r="A361" s="804" t="str">
        <f>IF(B361&lt;&gt;"",IF(AND(B361&gt;=_TM1,B361&lt;=_TM2,OR(TH!L361="1111",TH!M361="1111")),TH!D361,""),"")</f>
        <v/>
      </c>
      <c r="B361" s="36">
        <f t="shared" si="23"/>
        <v>6</v>
      </c>
      <c r="C361" s="189">
        <f t="shared" si="24"/>
        <v>42183</v>
      </c>
      <c r="D361" s="189" t="s">
        <v>1365</v>
      </c>
      <c r="E361" s="189">
        <v>42183</v>
      </c>
      <c r="F361" s="190" t="s">
        <v>601</v>
      </c>
      <c r="G361" s="813" t="s">
        <v>585</v>
      </c>
      <c r="H361" s="191" t="s">
        <v>509</v>
      </c>
      <c r="I361" s="243">
        <v>20</v>
      </c>
      <c r="J361" s="243">
        <v>21326.5</v>
      </c>
      <c r="K361" s="573">
        <f t="shared" si="25"/>
        <v>426530</v>
      </c>
      <c r="L361" s="574" t="s">
        <v>417</v>
      </c>
      <c r="M361" s="574" t="s">
        <v>8</v>
      </c>
      <c r="N361" s="51" t="str">
        <f>IF(AND('331-CT'!$E$7=TH!H361,OR(L361="331",M361="331")),"331",IF(AND(OR(L361="131",M361="131"),H361='131-CT'!$E$7),"131",""))</f>
        <v/>
      </c>
      <c r="O361" s="51" t="str">
        <f>IF(AND($B361&gt;='111'!$N$11,$B361&lt;='111'!$O$11,OR($L361=$O$7,$M361=$O$7)),"x","")</f>
        <v/>
      </c>
      <c r="P361" s="51" t="str">
        <f>IF(AND($L361=$O$7,$B361&lt;'111'!$N$11),"x","")</f>
        <v/>
      </c>
      <c r="Q361" s="51" t="str">
        <f>IF(AND($M361=$O$7,$B361&lt;'111'!$N$11),"x","")</f>
        <v/>
      </c>
      <c r="R361" s="51" t="str">
        <f>IF(ISERROR(FIND('112'!$M$9,G361,1)),"",IF((AND(FIND('112'!$M$9,G361,1)&gt;=1,$B361&gt;='112'!$N$8,$B361&lt;='112'!$O$8,OR($L361='112'!$I$6,$M361='112'!$I$6))),"x",""))</f>
        <v/>
      </c>
      <c r="S361" s="51" t="str">
        <f>IF(ISERROR(FIND('112'!$M$9,G361,1)),"",IF((AND(LEFT(G361,2)=LEFT('112'!$M$9,2),B361&lt;'112'!$N$8,$L361='112'!$I$6)),"x",""))</f>
        <v/>
      </c>
      <c r="T361" s="51" t="str">
        <f>IF(ISERROR(FIND('112'!$M$9,G361,1)),"",IF((AND(RIGHT(G361,2)=RIGHT('112'!$M$9,2),B361&lt;'112'!$N$8,$M361='112'!$I$6)),"x",""))</f>
        <v/>
      </c>
      <c r="U361" s="51" t="str">
        <f>IF(AND(L361="154",'154'!$O$5&lt;=B361,'154'!$P$5&gt;=B361),"154",IF(AND(L361="632",'632'!$L$5&lt;=B361,'632'!$M$5&gt;=B361),"632",IF(AND(L361="642",'642'!$N$5&lt;=B361,'642'!$O$5&gt;=B361),"642",IF(AND(L361="641",'641'!$N$5&lt;=B361,'641'!$O$5&gt;=B361),"641",""))))</f>
        <v/>
      </c>
      <c r="V361" s="51" t="str">
        <f>IF(OR(TH!L361=TH!$V$7,M361=TH!$V$7),"x","")</f>
        <v/>
      </c>
      <c r="W361" s="51" t="str">
        <f>IF(AND(B361&gt;='IN-NX'!$P$3,B361&lt;='IN-NX'!$Q$3,'IN-NX'!$D$7=D361,OR(LEFT(L361,2)="15",AND(LEFT(M361,2)&lt;&gt;"15",LEFT(M361,2)&lt;&gt;"33"))),"x","")</f>
        <v/>
      </c>
      <c r="X361" s="51" t="str">
        <f>IF(AND(OR(LEFT(TH!L361,2)="15",LEFT(TH!M361,2)="15"),'152-CT'!$J$8=TH!F361),"x","")</f>
        <v/>
      </c>
      <c r="Y361" s="51" t="str">
        <f>IF(AND(OR(LEFT(TH!L361,2)="15",LEFT(TH!M361,2)="15"),TK!$E$7=TH!F361),"x","")</f>
        <v/>
      </c>
      <c r="Z361" s="51" t="str">
        <f>IF(AND(B361&lt;=NKC!$N$8,B361&gt;=NKC!$M$8),"x","")</f>
        <v/>
      </c>
      <c r="AA361" s="803"/>
      <c r="AB361" s="565"/>
    </row>
    <row r="362" spans="1:28" ht="15.75" customHeight="1">
      <c r="A362" s="804" t="str">
        <f>IF(B362&lt;&gt;"",IF(AND(B362&gt;=_TM1,B362&lt;=_TM2,OR(TH!L362="1111",TH!M362="1111")),TH!D362,""),"")</f>
        <v/>
      </c>
      <c r="B362" s="36">
        <f t="shared" si="23"/>
        <v>6</v>
      </c>
      <c r="C362" s="189">
        <f t="shared" si="24"/>
        <v>42183</v>
      </c>
      <c r="D362" s="189" t="s">
        <v>1365</v>
      </c>
      <c r="E362" s="189">
        <v>42183</v>
      </c>
      <c r="F362" s="190" t="s">
        <v>595</v>
      </c>
      <c r="G362" s="813" t="s">
        <v>585</v>
      </c>
      <c r="H362" s="191" t="s">
        <v>509</v>
      </c>
      <c r="I362" s="243">
        <v>10</v>
      </c>
      <c r="J362" s="243">
        <v>21658</v>
      </c>
      <c r="K362" s="573">
        <f t="shared" si="25"/>
        <v>216580</v>
      </c>
      <c r="L362" s="574" t="s">
        <v>417</v>
      </c>
      <c r="M362" s="574" t="s">
        <v>8</v>
      </c>
      <c r="N362" s="51" t="str">
        <f>IF(AND('331-CT'!$E$7=TH!H362,OR(L362="331",M362="331")),"331",IF(AND(OR(L362="131",M362="131"),H362='131-CT'!$E$7),"131",""))</f>
        <v/>
      </c>
      <c r="O362" s="51" t="str">
        <f>IF(AND($B362&gt;='111'!$N$11,$B362&lt;='111'!$O$11,OR($L362=$O$7,$M362=$O$7)),"x","")</f>
        <v/>
      </c>
      <c r="P362" s="51" t="str">
        <f>IF(AND($L362=$O$7,$B362&lt;'111'!$N$11),"x","")</f>
        <v/>
      </c>
      <c r="Q362" s="51" t="str">
        <f>IF(AND($M362=$O$7,$B362&lt;'111'!$N$11),"x","")</f>
        <v/>
      </c>
      <c r="R362" s="51" t="str">
        <f>IF(ISERROR(FIND('112'!$M$9,G362,1)),"",IF((AND(FIND('112'!$M$9,G362,1)&gt;=1,$B362&gt;='112'!$N$8,$B362&lt;='112'!$O$8,OR($L362='112'!$I$6,$M362='112'!$I$6))),"x",""))</f>
        <v/>
      </c>
      <c r="S362" s="51" t="str">
        <f>IF(ISERROR(FIND('112'!$M$9,G362,1)),"",IF((AND(LEFT(G362,2)=LEFT('112'!$M$9,2),B362&lt;'112'!$N$8,$L362='112'!$I$6)),"x",""))</f>
        <v/>
      </c>
      <c r="T362" s="51" t="str">
        <f>IF(ISERROR(FIND('112'!$M$9,G362,1)),"",IF((AND(RIGHT(G362,2)=RIGHT('112'!$M$9,2),B362&lt;'112'!$N$8,$M362='112'!$I$6)),"x",""))</f>
        <v/>
      </c>
      <c r="U362" s="51" t="str">
        <f>IF(AND(L362="154",'154'!$O$5&lt;=B362,'154'!$P$5&gt;=B362),"154",IF(AND(L362="632",'632'!$L$5&lt;=B362,'632'!$M$5&gt;=B362),"632",IF(AND(L362="642",'642'!$N$5&lt;=B362,'642'!$O$5&gt;=B362),"642",IF(AND(L362="641",'641'!$N$5&lt;=B362,'641'!$O$5&gt;=B362),"641",""))))</f>
        <v/>
      </c>
      <c r="V362" s="51" t="str">
        <f>IF(OR(TH!L362=TH!$V$7,M362=TH!$V$7),"x","")</f>
        <v/>
      </c>
      <c r="W362" s="51" t="str">
        <f>IF(AND(B362&gt;='IN-NX'!$P$3,B362&lt;='IN-NX'!$Q$3,'IN-NX'!$D$7=D362,OR(LEFT(L362,2)="15",AND(LEFT(M362,2)&lt;&gt;"15",LEFT(M362,2)&lt;&gt;"33"))),"x","")</f>
        <v/>
      </c>
      <c r="X362" s="51" t="str">
        <f>IF(AND(OR(LEFT(TH!L362,2)="15",LEFT(TH!M362,2)="15"),'152-CT'!$J$8=TH!F362),"x","")</f>
        <v/>
      </c>
      <c r="Y362" s="51" t="str">
        <f>IF(AND(OR(LEFT(TH!L362,2)="15",LEFT(TH!M362,2)="15"),TK!$E$7=TH!F362),"x","")</f>
        <v/>
      </c>
      <c r="Z362" s="51" t="str">
        <f>IF(AND(B362&lt;=NKC!$N$8,B362&gt;=NKC!$M$8),"x","")</f>
        <v/>
      </c>
      <c r="AA362" s="803"/>
      <c r="AB362" s="565"/>
    </row>
    <row r="363" spans="1:28" ht="15.75" customHeight="1">
      <c r="A363" s="804" t="str">
        <f>IF(B363&lt;&gt;"",IF(AND(B363&gt;=_TM1,B363&lt;=_TM2,OR(TH!L363="1111",TH!M363="1111")),TH!D363,""),"")</f>
        <v/>
      </c>
      <c r="B363" s="36">
        <f t="shared" si="23"/>
        <v>6</v>
      </c>
      <c r="C363" s="189">
        <f t="shared" si="24"/>
        <v>42183</v>
      </c>
      <c r="D363" s="189" t="s">
        <v>1400</v>
      </c>
      <c r="E363" s="189">
        <v>42183</v>
      </c>
      <c r="F363" s="190" t="s">
        <v>596</v>
      </c>
      <c r="G363" s="813" t="s">
        <v>585</v>
      </c>
      <c r="H363" s="191" t="s">
        <v>509</v>
      </c>
      <c r="I363" s="243">
        <v>33</v>
      </c>
      <c r="J363" s="243">
        <v>15665.515151515152</v>
      </c>
      <c r="K363" s="573">
        <f t="shared" si="25"/>
        <v>516962</v>
      </c>
      <c r="L363" s="574" t="s">
        <v>417</v>
      </c>
      <c r="M363" s="574" t="s">
        <v>8</v>
      </c>
      <c r="N363" s="51" t="str">
        <f>IF(AND('331-CT'!$E$7=TH!H363,OR(L363="331",M363="331")),"331",IF(AND(OR(L363="131",M363="131"),H363='131-CT'!$E$7),"131",""))</f>
        <v/>
      </c>
      <c r="O363" s="51" t="str">
        <f>IF(AND($B363&gt;='111'!$N$11,$B363&lt;='111'!$O$11,OR($L363=$O$7,$M363=$O$7)),"x","")</f>
        <v/>
      </c>
      <c r="P363" s="51" t="str">
        <f>IF(AND($L363=$O$7,$B363&lt;'111'!$N$11),"x","")</f>
        <v/>
      </c>
      <c r="Q363" s="51" t="str">
        <f>IF(AND($M363=$O$7,$B363&lt;'111'!$N$11),"x","")</f>
        <v/>
      </c>
      <c r="R363" s="51" t="str">
        <f>IF(ISERROR(FIND('112'!$M$9,G363,1)),"",IF((AND(FIND('112'!$M$9,G363,1)&gt;=1,$B363&gt;='112'!$N$8,$B363&lt;='112'!$O$8,OR($L363='112'!$I$6,$M363='112'!$I$6))),"x",""))</f>
        <v/>
      </c>
      <c r="S363" s="51" t="str">
        <f>IF(ISERROR(FIND('112'!$M$9,G363,1)),"",IF((AND(LEFT(G363,2)=LEFT('112'!$M$9,2),B363&lt;'112'!$N$8,$L363='112'!$I$6)),"x",""))</f>
        <v/>
      </c>
      <c r="T363" s="51" t="str">
        <f>IF(ISERROR(FIND('112'!$M$9,G363,1)),"",IF((AND(RIGHT(G363,2)=RIGHT('112'!$M$9,2),B363&lt;'112'!$N$8,$M363='112'!$I$6)),"x",""))</f>
        <v/>
      </c>
      <c r="U363" s="51" t="str">
        <f>IF(AND(L363="154",'154'!$O$5&lt;=B363,'154'!$P$5&gt;=B363),"154",IF(AND(L363="632",'632'!$L$5&lt;=B363,'632'!$M$5&gt;=B363),"632",IF(AND(L363="642",'642'!$N$5&lt;=B363,'642'!$O$5&gt;=B363),"642",IF(AND(L363="641",'641'!$N$5&lt;=B363,'641'!$O$5&gt;=B363),"641",""))))</f>
        <v/>
      </c>
      <c r="V363" s="51" t="str">
        <f>IF(OR(TH!L363=TH!$V$7,M363=TH!$V$7),"x","")</f>
        <v/>
      </c>
      <c r="W363" s="51" t="str">
        <f>IF(AND(B363&gt;='IN-NX'!$P$3,B363&lt;='IN-NX'!$Q$3,'IN-NX'!$D$7=D363,OR(LEFT(L363,2)="15",AND(LEFT(M363,2)&lt;&gt;"15",LEFT(M363,2)&lt;&gt;"33"))),"x","")</f>
        <v/>
      </c>
      <c r="X363" s="51" t="str">
        <f>IF(AND(OR(LEFT(TH!L363,2)="15",LEFT(TH!M363,2)="15"),'152-CT'!$J$8=TH!F363),"x","")</f>
        <v/>
      </c>
      <c r="Y363" s="51" t="str">
        <f>IF(AND(OR(LEFT(TH!L363,2)="15",LEFT(TH!M363,2)="15"),TK!$E$7=TH!F363),"x","")</f>
        <v/>
      </c>
      <c r="Z363" s="51" t="str">
        <f>IF(AND(B363&lt;=NKC!$N$8,B363&gt;=NKC!$M$8),"x","")</f>
        <v/>
      </c>
      <c r="AA363" s="803"/>
      <c r="AB363" s="565"/>
    </row>
    <row r="364" spans="1:28" ht="15.75" customHeight="1">
      <c r="A364" s="804" t="str">
        <f>IF(B364&lt;&gt;"",IF(AND(B364&gt;=_TM1,B364&lt;=_TM2,OR(TH!L364="1111",TH!M364="1111")),TH!D364,""),"")</f>
        <v/>
      </c>
      <c r="B364" s="36">
        <f t="shared" si="23"/>
        <v>6</v>
      </c>
      <c r="C364" s="189">
        <f t="shared" si="24"/>
        <v>42183</v>
      </c>
      <c r="D364" s="189" t="s">
        <v>1400</v>
      </c>
      <c r="E364" s="189">
        <v>42183</v>
      </c>
      <c r="F364" s="926" t="s">
        <v>597</v>
      </c>
      <c r="G364" s="813" t="s">
        <v>585</v>
      </c>
      <c r="H364" s="191" t="s">
        <v>509</v>
      </c>
      <c r="I364" s="243">
        <v>2</v>
      </c>
      <c r="J364" s="243">
        <v>16473</v>
      </c>
      <c r="K364" s="573">
        <f t="shared" si="25"/>
        <v>32946</v>
      </c>
      <c r="L364" s="574" t="s">
        <v>417</v>
      </c>
      <c r="M364" s="574" t="s">
        <v>8</v>
      </c>
      <c r="N364" s="51" t="str">
        <f>IF(AND('331-CT'!$E$7=TH!H364,OR(L364="331",M364="331")),"331",IF(AND(OR(L364="131",M364="131"),H364='131-CT'!$E$7),"131",""))</f>
        <v/>
      </c>
      <c r="O364" s="51" t="str">
        <f>IF(AND($B364&gt;='111'!$N$11,$B364&lt;='111'!$O$11,OR($L364=$O$7,$M364=$O$7)),"x","")</f>
        <v/>
      </c>
      <c r="P364" s="51" t="str">
        <f>IF(AND($L364=$O$7,$B364&lt;'111'!$N$11),"x","")</f>
        <v/>
      </c>
      <c r="Q364" s="51" t="str">
        <f>IF(AND($M364=$O$7,$B364&lt;'111'!$N$11),"x","")</f>
        <v/>
      </c>
      <c r="R364" s="51" t="str">
        <f>IF(ISERROR(FIND('112'!$M$9,G364,1)),"",IF((AND(FIND('112'!$M$9,G364,1)&gt;=1,$B364&gt;='112'!$N$8,$B364&lt;='112'!$O$8,OR($L364='112'!$I$6,$M364='112'!$I$6))),"x",""))</f>
        <v/>
      </c>
      <c r="S364" s="51" t="str">
        <f>IF(ISERROR(FIND('112'!$M$9,G364,1)),"",IF((AND(LEFT(G364,2)=LEFT('112'!$M$9,2),B364&lt;'112'!$N$8,$L364='112'!$I$6)),"x",""))</f>
        <v/>
      </c>
      <c r="T364" s="51" t="str">
        <f>IF(ISERROR(FIND('112'!$M$9,G364,1)),"",IF((AND(RIGHT(G364,2)=RIGHT('112'!$M$9,2),B364&lt;'112'!$N$8,$M364='112'!$I$6)),"x",""))</f>
        <v/>
      </c>
      <c r="U364" s="51" t="str">
        <f>IF(AND(L364="154",'154'!$O$5&lt;=B364,'154'!$P$5&gt;=B364),"154",IF(AND(L364="632",'632'!$L$5&lt;=B364,'632'!$M$5&gt;=B364),"632",IF(AND(L364="642",'642'!$N$5&lt;=B364,'642'!$O$5&gt;=B364),"642",IF(AND(L364="641",'641'!$N$5&lt;=B364,'641'!$O$5&gt;=B364),"641",""))))</f>
        <v/>
      </c>
      <c r="V364" s="51" t="str">
        <f>IF(OR(TH!L364=TH!$V$7,M364=TH!$V$7),"x","")</f>
        <v/>
      </c>
      <c r="W364" s="51" t="str">
        <f>IF(AND(B364&gt;='IN-NX'!$P$3,B364&lt;='IN-NX'!$Q$3,'IN-NX'!$D$7=D364,OR(LEFT(L364,2)="15",AND(LEFT(M364,2)&lt;&gt;"15",LEFT(M364,2)&lt;&gt;"33"))),"x","")</f>
        <v/>
      </c>
      <c r="X364" s="51" t="str">
        <f>IF(AND(OR(LEFT(TH!L364,2)="15",LEFT(TH!M364,2)="15"),'152-CT'!$J$8=TH!F364),"x","")</f>
        <v/>
      </c>
      <c r="Y364" s="51" t="str">
        <f>IF(AND(OR(LEFT(TH!L364,2)="15",LEFT(TH!M364,2)="15"),TK!$E$7=TH!F364),"x","")</f>
        <v/>
      </c>
      <c r="Z364" s="51" t="str">
        <f>IF(AND(B364&lt;=NKC!$N$8,B364&gt;=NKC!$M$8),"x","")</f>
        <v/>
      </c>
      <c r="AA364" s="803"/>
      <c r="AB364" s="565"/>
    </row>
    <row r="365" spans="1:28" ht="15.75" customHeight="1">
      <c r="A365" s="804" t="str">
        <f>IF(B365&lt;&gt;"",IF(AND(B365&gt;=_TM1,B365&lt;=_TM2,OR(TH!L365="1111",TH!M365="1111")),TH!D365,""),"")</f>
        <v/>
      </c>
      <c r="B365" s="36">
        <f t="shared" si="23"/>
        <v>6</v>
      </c>
      <c r="C365" s="189">
        <f t="shared" si="24"/>
        <v>42183</v>
      </c>
      <c r="D365" s="189" t="s">
        <v>1400</v>
      </c>
      <c r="E365" s="189">
        <v>42183</v>
      </c>
      <c r="F365" s="926" t="s">
        <v>598</v>
      </c>
      <c r="G365" s="813" t="s">
        <v>585</v>
      </c>
      <c r="H365" s="191" t="s">
        <v>509</v>
      </c>
      <c r="I365" s="243">
        <v>16</v>
      </c>
      <c r="J365" s="243">
        <v>15151.25</v>
      </c>
      <c r="K365" s="573">
        <f t="shared" si="25"/>
        <v>242420</v>
      </c>
      <c r="L365" s="574" t="s">
        <v>417</v>
      </c>
      <c r="M365" s="574" t="s">
        <v>8</v>
      </c>
      <c r="N365" s="51" t="str">
        <f>IF(AND('331-CT'!$E$7=TH!H365,OR(L365="331",M365="331")),"331",IF(AND(OR(L365="131",M365="131"),H365='131-CT'!$E$7),"131",""))</f>
        <v/>
      </c>
      <c r="O365" s="51" t="str">
        <f>IF(AND($B365&gt;='111'!$N$11,$B365&lt;='111'!$O$11,OR($L365=$O$7,$M365=$O$7)),"x","")</f>
        <v/>
      </c>
      <c r="P365" s="51" t="str">
        <f>IF(AND($L365=$O$7,$B365&lt;'111'!$N$11),"x","")</f>
        <v/>
      </c>
      <c r="Q365" s="51" t="str">
        <f>IF(AND($M365=$O$7,$B365&lt;'111'!$N$11),"x","")</f>
        <v/>
      </c>
      <c r="R365" s="51" t="str">
        <f>IF(ISERROR(FIND('112'!$M$9,G365,1)),"",IF((AND(FIND('112'!$M$9,G365,1)&gt;=1,$B365&gt;='112'!$N$8,$B365&lt;='112'!$O$8,OR($L365='112'!$I$6,$M365='112'!$I$6))),"x",""))</f>
        <v/>
      </c>
      <c r="S365" s="51" t="str">
        <f>IF(ISERROR(FIND('112'!$M$9,G365,1)),"",IF((AND(LEFT(G365,2)=LEFT('112'!$M$9,2),B365&lt;'112'!$N$8,$L365='112'!$I$6)),"x",""))</f>
        <v/>
      </c>
      <c r="T365" s="51" t="str">
        <f>IF(ISERROR(FIND('112'!$M$9,G365,1)),"",IF((AND(RIGHT(G365,2)=RIGHT('112'!$M$9,2),B365&lt;'112'!$N$8,$M365='112'!$I$6)),"x",""))</f>
        <v/>
      </c>
      <c r="U365" s="51" t="str">
        <f>IF(AND(L365="154",'154'!$O$5&lt;=B365,'154'!$P$5&gt;=B365),"154",IF(AND(L365="632",'632'!$L$5&lt;=B365,'632'!$M$5&gt;=B365),"632",IF(AND(L365="642",'642'!$N$5&lt;=B365,'642'!$O$5&gt;=B365),"642",IF(AND(L365="641",'641'!$N$5&lt;=B365,'641'!$O$5&gt;=B365),"641",""))))</f>
        <v/>
      </c>
      <c r="V365" s="51" t="str">
        <f>IF(OR(TH!L365=TH!$V$7,M365=TH!$V$7),"x","")</f>
        <v/>
      </c>
      <c r="W365" s="51" t="str">
        <f>IF(AND(B365&gt;='IN-NX'!$P$3,B365&lt;='IN-NX'!$Q$3,'IN-NX'!$D$7=D365,OR(LEFT(L365,2)="15",AND(LEFT(M365,2)&lt;&gt;"15",LEFT(M365,2)&lt;&gt;"33"))),"x","")</f>
        <v/>
      </c>
      <c r="X365" s="51" t="str">
        <f>IF(AND(OR(LEFT(TH!L365,2)="15",LEFT(TH!M365,2)="15"),'152-CT'!$J$8=TH!F365),"x","")</f>
        <v/>
      </c>
      <c r="Y365" s="51" t="str">
        <f>IF(AND(OR(LEFT(TH!L365,2)="15",LEFT(TH!M365,2)="15"),TK!$E$7=TH!F365),"x","")</f>
        <v/>
      </c>
      <c r="Z365" s="51" t="str">
        <f>IF(AND(B365&lt;=NKC!$N$8,B365&gt;=NKC!$M$8),"x","")</f>
        <v/>
      </c>
      <c r="AA365" s="803"/>
      <c r="AB365" s="565"/>
    </row>
    <row r="366" spans="1:28" ht="15.75" customHeight="1">
      <c r="A366" s="804" t="str">
        <f>IF(B366&lt;&gt;"",IF(AND(B366&gt;=_TM1,B366&lt;=_TM2,OR(TH!L366="1111",TH!M366="1111")),TH!D366,""),"")</f>
        <v/>
      </c>
      <c r="B366" s="36">
        <f t="shared" si="23"/>
        <v>6</v>
      </c>
      <c r="C366" s="189">
        <f t="shared" si="24"/>
        <v>42183</v>
      </c>
      <c r="D366" s="189" t="s">
        <v>1400</v>
      </c>
      <c r="E366" s="189">
        <v>42183</v>
      </c>
      <c r="F366" s="926" t="s">
        <v>599</v>
      </c>
      <c r="G366" s="813" t="s">
        <v>585</v>
      </c>
      <c r="H366" s="191" t="s">
        <v>509</v>
      </c>
      <c r="I366" s="243">
        <v>16</v>
      </c>
      <c r="J366" s="243">
        <v>17986</v>
      </c>
      <c r="K366" s="573">
        <f t="shared" si="25"/>
        <v>287776</v>
      </c>
      <c r="L366" s="574" t="s">
        <v>417</v>
      </c>
      <c r="M366" s="574" t="s">
        <v>8</v>
      </c>
      <c r="N366" s="51" t="str">
        <f>IF(AND('331-CT'!$E$7=TH!H366,OR(L366="331",M366="331")),"331",IF(AND(OR(L366="131",M366="131"),H366='131-CT'!$E$7),"131",""))</f>
        <v/>
      </c>
      <c r="O366" s="51" t="str">
        <f>IF(AND($B366&gt;='111'!$N$11,$B366&lt;='111'!$O$11,OR($L366=$O$7,$M366=$O$7)),"x","")</f>
        <v/>
      </c>
      <c r="P366" s="51" t="str">
        <f>IF(AND($L366=$O$7,$B366&lt;'111'!$N$11),"x","")</f>
        <v/>
      </c>
      <c r="Q366" s="51" t="str">
        <f>IF(AND($M366=$O$7,$B366&lt;'111'!$N$11),"x","")</f>
        <v/>
      </c>
      <c r="R366" s="51" t="str">
        <f>IF(ISERROR(FIND('112'!$M$9,G366,1)),"",IF((AND(FIND('112'!$M$9,G366,1)&gt;=1,$B366&gt;='112'!$N$8,$B366&lt;='112'!$O$8,OR($L366='112'!$I$6,$M366='112'!$I$6))),"x",""))</f>
        <v/>
      </c>
      <c r="S366" s="51" t="str">
        <f>IF(ISERROR(FIND('112'!$M$9,G366,1)),"",IF((AND(LEFT(G366,2)=LEFT('112'!$M$9,2),B366&lt;'112'!$N$8,$L366='112'!$I$6)),"x",""))</f>
        <v/>
      </c>
      <c r="T366" s="51" t="str">
        <f>IF(ISERROR(FIND('112'!$M$9,G366,1)),"",IF((AND(RIGHT(G366,2)=RIGHT('112'!$M$9,2),B366&lt;'112'!$N$8,$M366='112'!$I$6)),"x",""))</f>
        <v/>
      </c>
      <c r="U366" s="51" t="str">
        <f>IF(AND(L366="154",'154'!$O$5&lt;=B366,'154'!$P$5&gt;=B366),"154",IF(AND(L366="632",'632'!$L$5&lt;=B366,'632'!$M$5&gt;=B366),"632",IF(AND(L366="642",'642'!$N$5&lt;=B366,'642'!$O$5&gt;=B366),"642",IF(AND(L366="641",'641'!$N$5&lt;=B366,'641'!$O$5&gt;=B366),"641",""))))</f>
        <v/>
      </c>
      <c r="V366" s="51" t="str">
        <f>IF(OR(TH!L366=TH!$V$7,M366=TH!$V$7),"x","")</f>
        <v/>
      </c>
      <c r="W366" s="51" t="str">
        <f>IF(AND(B366&gt;='IN-NX'!$P$3,B366&lt;='IN-NX'!$Q$3,'IN-NX'!$D$7=D366,OR(LEFT(L366,2)="15",AND(LEFT(M366,2)&lt;&gt;"15",LEFT(M366,2)&lt;&gt;"33"))),"x","")</f>
        <v/>
      </c>
      <c r="X366" s="51" t="str">
        <f>IF(AND(OR(LEFT(TH!L366,2)="15",LEFT(TH!M366,2)="15"),'152-CT'!$J$8=TH!F366),"x","")</f>
        <v/>
      </c>
      <c r="Y366" s="51" t="str">
        <f>IF(AND(OR(LEFT(TH!L366,2)="15",LEFT(TH!M366,2)="15"),TK!$E$7=TH!F366),"x","")</f>
        <v/>
      </c>
      <c r="Z366" s="51" t="str">
        <f>IF(AND(B366&lt;=NKC!$N$8,B366&gt;=NKC!$M$8),"x","")</f>
        <v/>
      </c>
      <c r="AA366" s="803"/>
      <c r="AB366" s="565"/>
    </row>
    <row r="367" spans="1:28" ht="15.75" customHeight="1">
      <c r="A367" s="804" t="str">
        <f>IF(B367&lt;&gt;"",IF(AND(B367&gt;=_TM1,B367&lt;=_TM2,OR(TH!L367="1111",TH!M367="1111")),TH!D367,""),"")</f>
        <v/>
      </c>
      <c r="B367" s="36">
        <f t="shared" si="23"/>
        <v>6</v>
      </c>
      <c r="C367" s="189">
        <f t="shared" si="24"/>
        <v>42183</v>
      </c>
      <c r="D367" s="189" t="s">
        <v>1400</v>
      </c>
      <c r="E367" s="189">
        <v>42183</v>
      </c>
      <c r="F367" s="926" t="s">
        <v>600</v>
      </c>
      <c r="G367" s="813" t="s">
        <v>585</v>
      </c>
      <c r="H367" s="191" t="s">
        <v>509</v>
      </c>
      <c r="I367" s="243">
        <v>10</v>
      </c>
      <c r="J367" s="243">
        <v>15835.5</v>
      </c>
      <c r="K367" s="573">
        <f t="shared" si="25"/>
        <v>158355</v>
      </c>
      <c r="L367" s="574" t="s">
        <v>417</v>
      </c>
      <c r="M367" s="574" t="s">
        <v>8</v>
      </c>
      <c r="N367" s="51" t="str">
        <f>IF(AND('331-CT'!$E$7=TH!H367,OR(L367="331",M367="331")),"331",IF(AND(OR(L367="131",M367="131"),H367='131-CT'!$E$7),"131",""))</f>
        <v/>
      </c>
      <c r="O367" s="51" t="str">
        <f>IF(AND($B367&gt;='111'!$N$11,$B367&lt;='111'!$O$11,OR($L367=$O$7,$M367=$O$7)),"x","")</f>
        <v/>
      </c>
      <c r="P367" s="51" t="str">
        <f>IF(AND($L367=$O$7,$B367&lt;'111'!$N$11),"x","")</f>
        <v/>
      </c>
      <c r="Q367" s="51" t="str">
        <f>IF(AND($M367=$O$7,$B367&lt;'111'!$N$11),"x","")</f>
        <v/>
      </c>
      <c r="R367" s="51" t="str">
        <f>IF(ISERROR(FIND('112'!$M$9,G367,1)),"",IF((AND(FIND('112'!$M$9,G367,1)&gt;=1,$B367&gt;='112'!$N$8,$B367&lt;='112'!$O$8,OR($L367='112'!$I$6,$M367='112'!$I$6))),"x",""))</f>
        <v/>
      </c>
      <c r="S367" s="51" t="str">
        <f>IF(ISERROR(FIND('112'!$M$9,G367,1)),"",IF((AND(LEFT(G367,2)=LEFT('112'!$M$9,2),B367&lt;'112'!$N$8,$L367='112'!$I$6)),"x",""))</f>
        <v/>
      </c>
      <c r="T367" s="51" t="str">
        <f>IF(ISERROR(FIND('112'!$M$9,G367,1)),"",IF((AND(RIGHT(G367,2)=RIGHT('112'!$M$9,2),B367&lt;'112'!$N$8,$M367='112'!$I$6)),"x",""))</f>
        <v/>
      </c>
      <c r="U367" s="51" t="str">
        <f>IF(AND(L367="154",'154'!$O$5&lt;=B367,'154'!$P$5&gt;=B367),"154",IF(AND(L367="632",'632'!$L$5&lt;=B367,'632'!$M$5&gt;=B367),"632",IF(AND(L367="642",'642'!$N$5&lt;=B367,'642'!$O$5&gt;=B367),"642",IF(AND(L367="641",'641'!$N$5&lt;=B367,'641'!$O$5&gt;=B367),"641",""))))</f>
        <v/>
      </c>
      <c r="V367" s="51" t="str">
        <f>IF(OR(TH!L367=TH!$V$7,M367=TH!$V$7),"x","")</f>
        <v/>
      </c>
      <c r="W367" s="51" t="str">
        <f>IF(AND(B367&gt;='IN-NX'!$P$3,B367&lt;='IN-NX'!$Q$3,'IN-NX'!$D$7=D367,OR(LEFT(L367,2)="15",AND(LEFT(M367,2)&lt;&gt;"15",LEFT(M367,2)&lt;&gt;"33"))),"x","")</f>
        <v/>
      </c>
      <c r="X367" s="51" t="str">
        <f>IF(AND(OR(LEFT(TH!L367,2)="15",LEFT(TH!M367,2)="15"),'152-CT'!$J$8=TH!F367),"x","")</f>
        <v/>
      </c>
      <c r="Y367" s="51" t="str">
        <f>IF(AND(OR(LEFT(TH!L367,2)="15",LEFT(TH!M367,2)="15"),TK!$E$7=TH!F367),"x","")</f>
        <v/>
      </c>
      <c r="Z367" s="51" t="str">
        <f>IF(AND(B367&lt;=NKC!$N$8,B367&gt;=NKC!$M$8),"x","")</f>
        <v/>
      </c>
      <c r="AA367" s="803"/>
      <c r="AB367" s="565"/>
    </row>
    <row r="368" spans="1:28" ht="15.75" customHeight="1">
      <c r="A368" s="804" t="str">
        <f>IF(B368&lt;&gt;"",IF(AND(B368&gt;=_TM1,B368&lt;=_TM2,OR(TH!L368="1111",TH!M368="1111")),TH!D368,""),"")</f>
        <v/>
      </c>
      <c r="B368" s="36">
        <f t="shared" si="23"/>
        <v>6</v>
      </c>
      <c r="C368" s="189">
        <f t="shared" si="24"/>
        <v>42183</v>
      </c>
      <c r="D368" s="189" t="s">
        <v>1400</v>
      </c>
      <c r="E368" s="189">
        <v>42183</v>
      </c>
      <c r="F368" s="922" t="s">
        <v>468</v>
      </c>
      <c r="G368" s="813" t="s">
        <v>585</v>
      </c>
      <c r="H368" s="191" t="s">
        <v>509</v>
      </c>
      <c r="I368" s="243"/>
      <c r="J368" s="243"/>
      <c r="K368" s="573">
        <v>665068</v>
      </c>
      <c r="L368" s="574" t="s">
        <v>9</v>
      </c>
      <c r="M368" s="574" t="s">
        <v>8</v>
      </c>
      <c r="N368" s="51" t="str">
        <f>IF(AND('331-CT'!$E$7=TH!H368,OR(L368="331",M368="331")),"331",IF(AND(OR(L368="131",M368="131"),H368='131-CT'!$E$7),"131",""))</f>
        <v/>
      </c>
      <c r="O368" s="51" t="str">
        <f>IF(AND($B368&gt;='111'!$N$11,$B368&lt;='111'!$O$11,OR($L368=$O$7,$M368=$O$7)),"x","")</f>
        <v/>
      </c>
      <c r="P368" s="51" t="str">
        <f>IF(AND($L368=$O$7,$B368&lt;'111'!$N$11),"x","")</f>
        <v/>
      </c>
      <c r="Q368" s="51" t="str">
        <f>IF(AND($M368=$O$7,$B368&lt;'111'!$N$11),"x","")</f>
        <v/>
      </c>
      <c r="R368" s="51" t="str">
        <f>IF(ISERROR(FIND('112'!$M$9,G368,1)),"",IF((AND(FIND('112'!$M$9,G368,1)&gt;=1,$B368&gt;='112'!$N$8,$B368&lt;='112'!$O$8,OR($L368='112'!$I$6,$M368='112'!$I$6))),"x",""))</f>
        <v/>
      </c>
      <c r="S368" s="51" t="str">
        <f>IF(ISERROR(FIND('112'!$M$9,G368,1)),"",IF((AND(LEFT(G368,2)=LEFT('112'!$M$9,2),B368&lt;'112'!$N$8,$L368='112'!$I$6)),"x",""))</f>
        <v/>
      </c>
      <c r="T368" s="51" t="str">
        <f>IF(ISERROR(FIND('112'!$M$9,G368,1)),"",IF((AND(RIGHT(G368,2)=RIGHT('112'!$M$9,2),B368&lt;'112'!$N$8,$M368='112'!$I$6)),"x",""))</f>
        <v/>
      </c>
      <c r="U368" s="51" t="str">
        <f>IF(AND(L368="154",'154'!$O$5&lt;=B368,'154'!$P$5&gt;=B368),"154",IF(AND(L368="632",'632'!$L$5&lt;=B368,'632'!$M$5&gt;=B368),"632",IF(AND(L368="642",'642'!$N$5&lt;=B368,'642'!$O$5&gt;=B368),"642",IF(AND(L368="641",'641'!$N$5&lt;=B368,'641'!$O$5&gt;=B368),"641",""))))</f>
        <v/>
      </c>
      <c r="V368" s="51" t="str">
        <f>IF(OR(TH!L368=TH!$V$7,M368=TH!$V$7),"x","")</f>
        <v/>
      </c>
      <c r="W368" s="51" t="str">
        <f>IF(AND(B368&gt;='IN-NX'!$P$3,B368&lt;='IN-NX'!$Q$3,'IN-NX'!$D$7=D368,OR(LEFT(L368,2)="15",AND(LEFT(M368,2)&lt;&gt;"15",LEFT(M368,2)&lt;&gt;"33"))),"x","")</f>
        <v/>
      </c>
      <c r="X368" s="51" t="str">
        <f>IF(AND(OR(LEFT(TH!L368,2)="15",LEFT(TH!M368,2)="15"),'152-CT'!$J$8=TH!F368),"x","")</f>
        <v/>
      </c>
      <c r="Y368" s="51" t="str">
        <f>IF(AND(OR(LEFT(TH!L368,2)="15",LEFT(TH!M368,2)="15"),TK!$E$7=TH!F368),"x","")</f>
        <v/>
      </c>
      <c r="Z368" s="51" t="str">
        <f>IF(AND(B368&lt;=NKC!$N$8,B368&gt;=NKC!$M$8),"x","")</f>
        <v/>
      </c>
      <c r="AA368" s="803">
        <v>2</v>
      </c>
      <c r="AB368" s="565"/>
    </row>
    <row r="369" spans="1:31" ht="15.75" customHeight="1">
      <c r="A369" s="804" t="str">
        <f>IF(B369&lt;&gt;"",IF(AND(B369&gt;=_TM1,B369&lt;=_TM2,OR(TH!L369="1111",TH!M369="1111")),TH!D369,""),"")</f>
        <v/>
      </c>
      <c r="B369" s="36">
        <f t="shared" ref="B369" si="26">IF(C369&lt;&gt;"",MONTH(C369),"")</f>
        <v>6</v>
      </c>
      <c r="C369" s="189">
        <f t="shared" ref="C369" si="27">E369</f>
        <v>42183</v>
      </c>
      <c r="D369" s="189" t="s">
        <v>1400</v>
      </c>
      <c r="E369" s="189">
        <v>42183</v>
      </c>
      <c r="F369" s="187" t="s">
        <v>438</v>
      </c>
      <c r="G369" s="813" t="s">
        <v>585</v>
      </c>
      <c r="H369" s="191" t="s">
        <v>509</v>
      </c>
      <c r="I369" s="243"/>
      <c r="J369" s="243"/>
      <c r="K369" s="573">
        <v>7315749</v>
      </c>
      <c r="L369" s="574" t="s">
        <v>8</v>
      </c>
      <c r="M369" s="574" t="s">
        <v>47</v>
      </c>
      <c r="N369" s="51" t="str">
        <f>IF(AND('331-CT'!$E$7=TH!H369,OR(L369="331",M369="331")),"331",IF(AND(OR(L369="131",M369="131"),H369='131-CT'!$E$7),"131",""))</f>
        <v/>
      </c>
      <c r="O369" s="51" t="str">
        <f>IF(AND($B369&gt;='111'!$N$11,$B369&lt;='111'!$O$11,OR($L369=$O$7,$M369=$O$7)),"x","")</f>
        <v/>
      </c>
      <c r="P369" s="51" t="str">
        <f>IF(AND($L369=$O$7,$B369&lt;'111'!$N$11),"x","")</f>
        <v/>
      </c>
      <c r="Q369" s="51" t="str">
        <f>IF(AND($M369=$O$7,$B369&lt;'111'!$N$11),"x","")</f>
        <v>x</v>
      </c>
      <c r="R369" s="51" t="str">
        <f>IF(ISERROR(FIND('112'!$M$9,G369,1)),"",IF((AND(FIND('112'!$M$9,G369,1)&gt;=1,$B369&gt;='112'!$N$8,$B369&lt;='112'!$O$8,OR($L369='112'!$I$6,$M369='112'!$I$6))),"x",""))</f>
        <v/>
      </c>
      <c r="S369" s="51" t="str">
        <f>IF(ISERROR(FIND('112'!$M$9,G369,1)),"",IF((AND(LEFT(G369,2)=LEFT('112'!$M$9,2),B369&lt;'112'!$N$8,$L369='112'!$I$6)),"x",""))</f>
        <v/>
      </c>
      <c r="T369" s="51" t="str">
        <f>IF(ISERROR(FIND('112'!$M$9,G369,1)),"",IF((AND(RIGHT(G369,2)=RIGHT('112'!$M$9,2),B369&lt;'112'!$N$8,$M369='112'!$I$6)),"x",""))</f>
        <v/>
      </c>
      <c r="U369" s="51" t="str">
        <f>IF(AND(L369="154",'154'!$O$5&lt;=B369,'154'!$P$5&gt;=B369),"154",IF(AND(L369="632",'632'!$L$5&lt;=B369,'632'!$M$5&gt;=B369),"632",IF(AND(L369="642",'642'!$N$5&lt;=B369,'642'!$O$5&gt;=B369),"642",IF(AND(L369="641",'641'!$N$5&lt;=B369,'641'!$O$5&gt;=B369),"641",""))))</f>
        <v/>
      </c>
      <c r="V369" s="51" t="str">
        <f>IF(OR(TH!L369=TH!$V$7,M369=TH!$V$7),"x","")</f>
        <v/>
      </c>
      <c r="W369" s="51" t="str">
        <f>IF(AND(B369&gt;='IN-NX'!$P$3,B369&lt;='IN-NX'!$Q$3,'IN-NX'!$D$7=D369,OR(LEFT(L369,2)="15",AND(LEFT(M369,2)&lt;&gt;"15",LEFT(M369,2)&lt;&gt;"33"))),"x","")</f>
        <v/>
      </c>
      <c r="X369" s="51" t="str">
        <f>IF(AND(OR(LEFT(TH!L369,2)="15",LEFT(TH!M369,2)="15"),'152-CT'!$J$8=TH!F369),"x","")</f>
        <v/>
      </c>
      <c r="Y369" s="51" t="str">
        <f>IF(AND(OR(LEFT(TH!L369,2)="15",LEFT(TH!M369,2)="15"),TK!$E$7=TH!F369),"x","")</f>
        <v/>
      </c>
      <c r="Z369" s="51" t="str">
        <f>IF(AND(B369&lt;=NKC!$N$8,B369&gt;=NKC!$M$8),"x","")</f>
        <v/>
      </c>
      <c r="AA369" s="803"/>
      <c r="AB369" s="565"/>
    </row>
    <row r="370" spans="1:31" ht="15.75" customHeight="1">
      <c r="A370" s="804" t="str">
        <f>IF(B370&lt;&gt;"",IF(AND(B370&gt;=_TM1,B370&lt;=_TM2,OR(TH!L370="1111",TH!M370="1111")),TH!D370,""),"")</f>
        <v/>
      </c>
      <c r="B370" s="36">
        <f t="shared" si="23"/>
        <v>6</v>
      </c>
      <c r="C370" s="189">
        <f t="shared" si="24"/>
        <v>42185</v>
      </c>
      <c r="D370" s="189" t="s">
        <v>1387</v>
      </c>
      <c r="E370" s="182">
        <v>42185</v>
      </c>
      <c r="F370" s="187" t="s">
        <v>427</v>
      </c>
      <c r="G370" s="811" t="s">
        <v>415</v>
      </c>
      <c r="H370" s="7" t="s">
        <v>437</v>
      </c>
      <c r="I370" s="243"/>
      <c r="J370" s="243"/>
      <c r="K370" s="38">
        <v>23000000</v>
      </c>
      <c r="L370" s="192" t="s">
        <v>47</v>
      </c>
      <c r="M370" s="192" t="s">
        <v>24</v>
      </c>
      <c r="N370" s="51" t="str">
        <f>IF(AND('331-CT'!$E$7=TH!H370,OR(L370="331",M370="331")),"331",IF(AND(OR(L370="131",M370="131"),H370='131-CT'!$E$7),"131",""))</f>
        <v/>
      </c>
      <c r="O370" s="51" t="str">
        <f>IF(AND($B370&gt;='111'!$N$11,$B370&lt;='111'!$O$11,OR($L370=$O$7,$M370=$O$7)),"x","")</f>
        <v/>
      </c>
      <c r="P370" s="51" t="str">
        <f>IF(AND($L370=$O$7,$B370&lt;'111'!$N$11),"x","")</f>
        <v>x</v>
      </c>
      <c r="Q370" s="51" t="str">
        <f>IF(AND($M370=$O$7,$B370&lt;'111'!$N$11),"x","")</f>
        <v/>
      </c>
      <c r="R370" s="51" t="str">
        <f>IF(ISERROR(FIND('112'!$M$9,G370,1)),"",IF((AND(FIND('112'!$M$9,G370,1)&gt;=1,$B370&gt;='112'!$N$8,$B370&lt;='112'!$O$8,OR($L370='112'!$I$6,$M370='112'!$I$6))),"x",""))</f>
        <v/>
      </c>
      <c r="S370" s="51" t="str">
        <f>IF(ISERROR(FIND('112'!$M$9,G370,1)),"",IF((AND(LEFT(G370,2)=LEFT('112'!$M$9,2),B370&lt;'112'!$N$8,$L370='112'!$I$6)),"x",""))</f>
        <v/>
      </c>
      <c r="T370" s="51" t="str">
        <f>IF(ISERROR(FIND('112'!$M$9,G370,1)),"",IF((AND(RIGHT(G370,2)=RIGHT('112'!$M$9,2),B370&lt;'112'!$N$8,$M370='112'!$I$6)),"x",""))</f>
        <v/>
      </c>
      <c r="U370" s="51" t="str">
        <f>IF(AND(L370="154",'154'!$O$5&lt;=B370,'154'!$P$5&gt;=B370),"154",IF(AND(L370="632",'632'!$L$5&lt;=B370,'632'!$M$5&gt;=B370),"632",IF(AND(L370="642",'642'!$N$5&lt;=B370,'642'!$O$5&gt;=B370),"642",IF(AND(L370="641",'641'!$N$5&lt;=B370,'641'!$O$5&gt;=B370),"641",""))))</f>
        <v/>
      </c>
      <c r="V370" s="51" t="str">
        <f>IF(OR(TH!L370=TH!$V$7,M370=TH!$V$7),"x","")</f>
        <v/>
      </c>
      <c r="W370" s="51" t="str">
        <f>IF(AND(B370&gt;='IN-NX'!$P$3,B370&lt;='IN-NX'!$Q$3,'IN-NX'!$D$7=D370,OR(LEFT(L370,2)="15",AND(LEFT(M370,2)&lt;&gt;"15",LEFT(M370,2)&lt;&gt;"33"))),"x","")</f>
        <v/>
      </c>
      <c r="X370" s="51" t="str">
        <f>IF(AND(OR(LEFT(TH!L370,2)="15",LEFT(TH!M370,2)="15"),'152-CT'!$J$8=TH!F370),"x","")</f>
        <v/>
      </c>
      <c r="Y370" s="51" t="str">
        <f>IF(AND(OR(LEFT(TH!L370,2)="15",LEFT(TH!M370,2)="15"),TK!$E$7=TH!F370),"x","")</f>
        <v/>
      </c>
      <c r="Z370" s="51" t="str">
        <f>IF(AND(B370&lt;=NKC!$N$8,B370&gt;=NKC!$M$8),"x","")</f>
        <v/>
      </c>
      <c r="AA370" s="803"/>
    </row>
    <row r="371" spans="1:31" ht="15.75" customHeight="1">
      <c r="A371" s="804" t="str">
        <f>IF(B371&lt;&gt;"",IF(AND(B371&gt;=_TM1,B371&lt;=_TM2,OR(TH!L371="1111",TH!M371="1111")),TH!D371,""),"")</f>
        <v/>
      </c>
      <c r="B371" s="36">
        <f t="shared" si="23"/>
        <v>6</v>
      </c>
      <c r="C371" s="853">
        <f t="shared" si="24"/>
        <v>42185</v>
      </c>
      <c r="D371" s="853" t="s">
        <v>319</v>
      </c>
      <c r="E371" s="853">
        <v>42185</v>
      </c>
      <c r="F371" s="854" t="s">
        <v>1262</v>
      </c>
      <c r="G371" s="855"/>
      <c r="H371" s="856"/>
      <c r="I371" s="857"/>
      <c r="J371" s="857"/>
      <c r="K371" s="858">
        <v>11680000</v>
      </c>
      <c r="L371" s="859" t="s">
        <v>83</v>
      </c>
      <c r="M371" s="859" t="s">
        <v>252</v>
      </c>
      <c r="N371" s="51" t="str">
        <f>IF(AND('331-CT'!$E$7=TH!H371,OR(L371="331",M371="331")),"331",IF(AND(OR(L371="131",M371="131"),H371='131-CT'!$E$7),"131",""))</f>
        <v/>
      </c>
      <c r="O371" s="51" t="str">
        <f>IF(AND($B371&gt;='111'!$N$11,$B371&lt;='111'!$O$11,OR($L371=$O$7,$M371=$O$7)),"x","")</f>
        <v/>
      </c>
      <c r="P371" s="51" t="str">
        <f>IF(AND($L371=$O$7,$B371&lt;'111'!$N$11),"x","")</f>
        <v/>
      </c>
      <c r="Q371" s="51" t="str">
        <f>IF(AND($M371=$O$7,$B371&lt;'111'!$N$11),"x","")</f>
        <v/>
      </c>
      <c r="R371" s="51" t="str">
        <f>IF(ISERROR(FIND('112'!$M$9,G371,1)),"",IF((AND(FIND('112'!$M$9,G371,1)&gt;=1,$B371&gt;='112'!$N$8,$B371&lt;='112'!$O$8,OR($L371='112'!$I$6,$M371='112'!$I$6))),"x",""))</f>
        <v/>
      </c>
      <c r="S371" s="51" t="str">
        <f>IF(ISERROR(FIND('112'!$M$9,G371,1)),"",IF((AND(LEFT(G371,2)=LEFT('112'!$M$9,2),B371&lt;'112'!$N$8,$L371='112'!$I$6)),"x",""))</f>
        <v/>
      </c>
      <c r="T371" s="51" t="str">
        <f>IF(ISERROR(FIND('112'!$M$9,G371,1)),"",IF((AND(RIGHT(G371,2)=RIGHT('112'!$M$9,2),B371&lt;'112'!$N$8,$M371='112'!$I$6)),"x",""))</f>
        <v/>
      </c>
      <c r="U371" s="51" t="str">
        <f>IF(AND(L371="154",'154'!$O$5&lt;=B371,'154'!$P$5&gt;=B371),"154",IF(AND(L371="632",'632'!$L$5&lt;=B371,'632'!$M$5&gt;=B371),"632",IF(AND(L371="642",'642'!$N$5&lt;=B371,'642'!$O$5&gt;=B371),"642",IF(AND(L371="641",'641'!$N$5&lt;=B371,'641'!$O$5&gt;=B371),"641",""))))</f>
        <v>642</v>
      </c>
      <c r="V371" s="51" t="str">
        <f>IF(OR(TH!L371=TH!$V$7,M371=TH!$V$7),"x","")</f>
        <v>x</v>
      </c>
      <c r="W371" s="51" t="str">
        <f>IF(AND(B371&gt;='IN-NX'!$P$3,B371&lt;='IN-NX'!$Q$3,'IN-NX'!$D$7=D371,OR(LEFT(L371,2)="15",AND(LEFT(M371,2)&lt;&gt;"15",LEFT(M371,2)&lt;&gt;"33"))),"x","")</f>
        <v/>
      </c>
      <c r="X371" s="51" t="str">
        <f>IF(AND(OR(LEFT(TH!L371,2)="15",LEFT(TH!M371,2)="15"),'152-CT'!$J$8=TH!F371),"x","")</f>
        <v/>
      </c>
      <c r="Y371" s="51" t="str">
        <f>IF(AND(OR(LEFT(TH!L371,2)="15",LEFT(TH!M371,2)="15"),TK!$E$7=TH!F371),"x","")</f>
        <v/>
      </c>
      <c r="Z371" s="51" t="str">
        <f>IF(AND(B371&lt;=NKC!$N$8,B371&gt;=NKC!$M$8),"x","")</f>
        <v/>
      </c>
      <c r="AA371" s="860"/>
      <c r="AB371" s="565"/>
      <c r="AE371" s="565"/>
    </row>
    <row r="372" spans="1:31" ht="15.75" customHeight="1">
      <c r="A372" s="804" t="str">
        <f>IF(B372&lt;&gt;"",IF(AND(B372&gt;=_TM1,B372&lt;=_TM2,OR(TH!L372="1111",TH!M372="1111")),TH!D372,""),"")</f>
        <v/>
      </c>
      <c r="B372" s="36">
        <f t="shared" si="23"/>
        <v>6</v>
      </c>
      <c r="C372" s="853">
        <f t="shared" si="24"/>
        <v>42185</v>
      </c>
      <c r="D372" s="853" t="s">
        <v>319</v>
      </c>
      <c r="E372" s="853">
        <v>42185</v>
      </c>
      <c r="F372" s="854" t="s">
        <v>1263</v>
      </c>
      <c r="G372" s="855"/>
      <c r="H372" s="856"/>
      <c r="I372" s="857"/>
      <c r="J372" s="857"/>
      <c r="K372" s="858">
        <v>3020000</v>
      </c>
      <c r="L372" s="859" t="s">
        <v>160</v>
      </c>
      <c r="M372" s="859" t="s">
        <v>252</v>
      </c>
      <c r="N372" s="51" t="str">
        <f>IF(AND('331-CT'!$E$7=TH!H372,OR(L372="331",M372="331")),"331",IF(AND(OR(L372="131",M372="131"),H372='131-CT'!$E$7),"131",""))</f>
        <v/>
      </c>
      <c r="O372" s="51" t="str">
        <f>IF(AND($B372&gt;='111'!$N$11,$B372&lt;='111'!$O$11,OR($L372=$O$7,$M372=$O$7)),"x","")</f>
        <v/>
      </c>
      <c r="P372" s="51" t="str">
        <f>IF(AND($L372=$O$7,$B372&lt;'111'!$N$11),"x","")</f>
        <v/>
      </c>
      <c r="Q372" s="51" t="str">
        <f>IF(AND($M372=$O$7,$B372&lt;'111'!$N$11),"x","")</f>
        <v/>
      </c>
      <c r="R372" s="51" t="str">
        <f>IF(ISERROR(FIND('112'!$M$9,G372,1)),"",IF((AND(FIND('112'!$M$9,G372,1)&gt;=1,$B372&gt;='112'!$N$8,$B372&lt;='112'!$O$8,OR($L372='112'!$I$6,$M372='112'!$I$6))),"x",""))</f>
        <v/>
      </c>
      <c r="S372" s="51" t="str">
        <f>IF(ISERROR(FIND('112'!$M$9,G372,1)),"",IF((AND(LEFT(G372,2)=LEFT('112'!$M$9,2),B372&lt;'112'!$N$8,$L372='112'!$I$6)),"x",""))</f>
        <v/>
      </c>
      <c r="T372" s="51" t="str">
        <f>IF(ISERROR(FIND('112'!$M$9,G372,1)),"",IF((AND(RIGHT(G372,2)=RIGHT('112'!$M$9,2),B372&lt;'112'!$N$8,$M372='112'!$I$6)),"x",""))</f>
        <v/>
      </c>
      <c r="U372" s="51" t="str">
        <f>IF(AND(L372="154",'154'!$O$5&lt;=B372,'154'!$P$5&gt;=B372),"154",IF(AND(L372="632",'632'!$L$5&lt;=B372,'632'!$M$5&gt;=B372),"632",IF(AND(L372="642",'642'!$N$5&lt;=B372,'642'!$O$5&gt;=B372),"642",IF(AND(L372="641",'641'!$N$5&lt;=B372,'641'!$O$5&gt;=B372),"641",""))))</f>
        <v>154</v>
      </c>
      <c r="V372" s="51" t="str">
        <f>IF(OR(TH!L372=TH!$V$7,M372=TH!$V$7),"x","")</f>
        <v/>
      </c>
      <c r="W372" s="51" t="str">
        <f>IF(AND(B372&gt;='IN-NX'!$P$3,B372&lt;='IN-NX'!$Q$3,'IN-NX'!$D$7=D372,OR(LEFT(L372,2)="15",AND(LEFT(M372,2)&lt;&gt;"15",LEFT(M372,2)&lt;&gt;"33"))),"x","")</f>
        <v/>
      </c>
      <c r="X372" s="51" t="str">
        <f>IF(AND(OR(LEFT(TH!L372,2)="15",LEFT(TH!M372,2)="15"),'152-CT'!$J$8=TH!F372),"x","")</f>
        <v/>
      </c>
      <c r="Y372" s="51" t="str">
        <f>IF(AND(OR(LEFT(TH!L372,2)="15",LEFT(TH!M372,2)="15"),TK!$E$7=TH!F372),"x","")</f>
        <v/>
      </c>
      <c r="Z372" s="51" t="str">
        <f>IF(AND(B372&lt;=NKC!$N$8,B372&gt;=NKC!$M$8),"x","")</f>
        <v/>
      </c>
      <c r="AA372" s="860"/>
      <c r="AB372" s="565"/>
      <c r="AE372" s="565"/>
    </row>
    <row r="373" spans="1:31" ht="15.75" customHeight="1">
      <c r="A373" s="804" t="str">
        <f>IF(B373&lt;&gt;"",IF(AND(B373&gt;=_TM1,B373&lt;=_TM2,OR(TH!L373="1111",TH!M373="1111")),TH!D373,""),"")</f>
        <v/>
      </c>
      <c r="B373" s="36">
        <f t="shared" si="23"/>
        <v>6</v>
      </c>
      <c r="C373" s="853">
        <f t="shared" si="24"/>
        <v>42185</v>
      </c>
      <c r="D373" s="861" t="s">
        <v>1412</v>
      </c>
      <c r="E373" s="853">
        <v>42185</v>
      </c>
      <c r="F373" s="854" t="s">
        <v>1272</v>
      </c>
      <c r="G373" s="855"/>
      <c r="H373" s="7" t="s">
        <v>437</v>
      </c>
      <c r="I373" s="857"/>
      <c r="J373" s="857"/>
      <c r="K373" s="858">
        <f>K371+K372</f>
        <v>14700000</v>
      </c>
      <c r="L373" s="859" t="s">
        <v>252</v>
      </c>
      <c r="M373" s="859" t="s">
        <v>47</v>
      </c>
      <c r="N373" s="51" t="str">
        <f>IF(AND('331-CT'!$E$7=TH!H373,OR(L373="331",M373="331")),"331",IF(AND(OR(L373="131",M373="131"),H373='131-CT'!$E$7),"131",""))</f>
        <v/>
      </c>
      <c r="O373" s="51" t="str">
        <f>IF(AND($B373&gt;='111'!$N$11,$B373&lt;='111'!$O$11,OR($L373=$O$7,$M373=$O$7)),"x","")</f>
        <v/>
      </c>
      <c r="P373" s="51" t="str">
        <f>IF(AND($L373=$O$7,$B373&lt;'111'!$N$11),"x","")</f>
        <v/>
      </c>
      <c r="Q373" s="51" t="str">
        <f>IF(AND($M373=$O$7,$B373&lt;'111'!$N$11),"x","")</f>
        <v>x</v>
      </c>
      <c r="R373" s="51" t="str">
        <f>IF(ISERROR(FIND('112'!$M$9,G373,1)),"",IF((AND(FIND('112'!$M$9,G373,1)&gt;=1,$B373&gt;='112'!$N$8,$B373&lt;='112'!$O$8,OR($L373='112'!$I$6,$M373='112'!$I$6))),"x",""))</f>
        <v/>
      </c>
      <c r="S373" s="51" t="str">
        <f>IF(ISERROR(FIND('112'!$M$9,G373,1)),"",IF((AND(LEFT(G373,2)=LEFT('112'!$M$9,2),B373&lt;'112'!$N$8,$L373='112'!$I$6)),"x",""))</f>
        <v/>
      </c>
      <c r="T373" s="51" t="str">
        <f>IF(ISERROR(FIND('112'!$M$9,G373,1)),"",IF((AND(RIGHT(G373,2)=RIGHT('112'!$M$9,2),B373&lt;'112'!$N$8,$M373='112'!$I$6)),"x",""))</f>
        <v/>
      </c>
      <c r="U373" s="51" t="str">
        <f>IF(AND(L373="154",'154'!$O$5&lt;=B373,'154'!$P$5&gt;=B373),"154",IF(AND(L373="632",'632'!$L$5&lt;=B373,'632'!$M$5&gt;=B373),"632",IF(AND(L373="642",'642'!$N$5&lt;=B373,'642'!$O$5&gt;=B373),"642",IF(AND(L373="641",'641'!$N$5&lt;=B373,'641'!$O$5&gt;=B373),"641",""))))</f>
        <v/>
      </c>
      <c r="V373" s="51" t="str">
        <f>IF(OR(TH!L373=TH!$V$7,M373=TH!$V$7),"x","")</f>
        <v/>
      </c>
      <c r="W373" s="51" t="str">
        <f>IF(AND(B373&gt;='IN-NX'!$P$3,B373&lt;='IN-NX'!$Q$3,'IN-NX'!$D$7=D373,OR(LEFT(L373,2)="15",AND(LEFT(M373,2)&lt;&gt;"15",LEFT(M373,2)&lt;&gt;"33"))),"x","")</f>
        <v/>
      </c>
      <c r="X373" s="51" t="str">
        <f>IF(AND(OR(LEFT(TH!L373,2)="15",LEFT(TH!M373,2)="15"),'152-CT'!$J$8=TH!F373),"x","")</f>
        <v/>
      </c>
      <c r="Y373" s="51" t="str">
        <f>IF(AND(OR(LEFT(TH!L373,2)="15",LEFT(TH!M373,2)="15"),TK!$E$7=TH!F373),"x","")</f>
        <v/>
      </c>
      <c r="Z373" s="51" t="str">
        <f>IF(AND(B373&lt;=NKC!$N$8,B373&gt;=NKC!$M$8),"x","")</f>
        <v/>
      </c>
      <c r="AA373" s="860"/>
      <c r="AB373" s="565"/>
      <c r="AE373" s="565"/>
    </row>
    <row r="374" spans="1:31" ht="15.75" customHeight="1">
      <c r="A374" s="804" t="str">
        <f>IF(B374&lt;&gt;"",IF(AND(B374&gt;=_TM1,B374&lt;=_TM2,OR(TH!L374="1111",TH!M374="1111")),TH!D374,""),"")</f>
        <v/>
      </c>
      <c r="B374" s="36">
        <f t="shared" si="23"/>
        <v>6</v>
      </c>
      <c r="C374" s="189">
        <f t="shared" si="24"/>
        <v>42185</v>
      </c>
      <c r="D374" s="861" t="s">
        <v>1416</v>
      </c>
      <c r="E374" s="189">
        <v>42185</v>
      </c>
      <c r="F374" s="926" t="s">
        <v>451</v>
      </c>
      <c r="G374" s="813" t="s">
        <v>604</v>
      </c>
      <c r="H374" s="191" t="s">
        <v>523</v>
      </c>
      <c r="I374" s="243"/>
      <c r="J374" s="243"/>
      <c r="K374" s="573">
        <f>291787+188541</f>
        <v>480328</v>
      </c>
      <c r="L374" s="574" t="s">
        <v>83</v>
      </c>
      <c r="M374" s="574" t="s">
        <v>47</v>
      </c>
      <c r="N374" s="51" t="str">
        <f>IF(AND('331-CT'!$E$7=TH!H374,OR(L374="331",M374="331")),"331",IF(AND(OR(L374="131",M374="131"),H374='131-CT'!$E$7),"131",""))</f>
        <v/>
      </c>
      <c r="O374" s="51" t="str">
        <f>IF(AND($B374&gt;='111'!$N$11,$B374&lt;='111'!$O$11,OR($L374=$O$7,$M374=$O$7)),"x","")</f>
        <v/>
      </c>
      <c r="P374" s="51" t="str">
        <f>IF(AND($L374=$O$7,$B374&lt;'111'!$N$11),"x","")</f>
        <v/>
      </c>
      <c r="Q374" s="51" t="str">
        <f>IF(AND($M374=$O$7,$B374&lt;'111'!$N$11),"x","")</f>
        <v>x</v>
      </c>
      <c r="R374" s="51" t="str">
        <f>IF(ISERROR(FIND('112'!$M$9,G374,1)),"",IF((AND(FIND('112'!$M$9,G374,1)&gt;=1,$B374&gt;='112'!$N$8,$B374&lt;='112'!$O$8,OR($L374='112'!$I$6,$M374='112'!$I$6))),"x",""))</f>
        <v/>
      </c>
      <c r="S374" s="51" t="str">
        <f>IF(ISERROR(FIND('112'!$M$9,G374,1)),"",IF((AND(LEFT(G374,2)=LEFT('112'!$M$9,2),B374&lt;'112'!$N$8,$L374='112'!$I$6)),"x",""))</f>
        <v/>
      </c>
      <c r="T374" s="51" t="str">
        <f>IF(ISERROR(FIND('112'!$M$9,G374,1)),"",IF((AND(RIGHT(G374,2)=RIGHT('112'!$M$9,2),B374&lt;'112'!$N$8,$M374='112'!$I$6)),"x",""))</f>
        <v/>
      </c>
      <c r="U374" s="51" t="str">
        <f>IF(AND(L374="154",'154'!$O$5&lt;=B374,'154'!$P$5&gt;=B374),"154",IF(AND(L374="632",'632'!$L$5&lt;=B374,'632'!$M$5&gt;=B374),"632",IF(AND(L374="642",'642'!$N$5&lt;=B374,'642'!$O$5&gt;=B374),"642",IF(AND(L374="641",'641'!$N$5&lt;=B374,'641'!$O$5&gt;=B374),"641",""))))</f>
        <v>642</v>
      </c>
      <c r="V374" s="51" t="str">
        <f>IF(OR(TH!L374=TH!$V$7,M374=TH!$V$7),"x","")</f>
        <v>x</v>
      </c>
      <c r="W374" s="51" t="str">
        <f>IF(AND(B374&gt;='IN-NX'!$P$3,B374&lt;='IN-NX'!$Q$3,'IN-NX'!$D$7=D374,OR(LEFT(L374,2)="15",AND(LEFT(M374,2)&lt;&gt;"15",LEFT(M374,2)&lt;&gt;"33"))),"x","")</f>
        <v/>
      </c>
      <c r="X374" s="51" t="str">
        <f>IF(AND(OR(LEFT(TH!L374,2)="15",LEFT(TH!M374,2)="15"),'152-CT'!$J$8=TH!F374),"x","")</f>
        <v/>
      </c>
      <c r="Y374" s="51" t="str">
        <f>IF(AND(OR(LEFT(TH!L374,2)="15",LEFT(TH!M374,2)="15"),TK!$E$7=TH!F374),"x","")</f>
        <v/>
      </c>
      <c r="Z374" s="51" t="str">
        <f>IF(AND(B374&lt;=NKC!$N$8,B374&gt;=NKC!$M$8),"x","")</f>
        <v/>
      </c>
      <c r="AA374" s="803"/>
      <c r="AB374" s="565"/>
    </row>
    <row r="375" spans="1:31" ht="15.75" customHeight="1">
      <c r="A375" s="804" t="str">
        <f>IF(B375&lt;&gt;"",IF(AND(B375&gt;=_TM1,B375&lt;=_TM2,OR(TH!L375="1111",TH!M375="1111")),TH!D375,""),"")</f>
        <v/>
      </c>
      <c r="B375" s="36">
        <f t="shared" si="23"/>
        <v>6</v>
      </c>
      <c r="C375" s="189">
        <f t="shared" si="24"/>
        <v>42185</v>
      </c>
      <c r="D375" s="861" t="s">
        <v>1416</v>
      </c>
      <c r="E375" s="189">
        <v>42185</v>
      </c>
      <c r="F375" s="926" t="s">
        <v>453</v>
      </c>
      <c r="G375" s="813" t="s">
        <v>604</v>
      </c>
      <c r="H375" s="191" t="s">
        <v>523</v>
      </c>
      <c r="I375" s="243"/>
      <c r="J375" s="243"/>
      <c r="K375" s="573">
        <f>29179+18854</f>
        <v>48033</v>
      </c>
      <c r="L375" s="574" t="s">
        <v>9</v>
      </c>
      <c r="M375" s="574" t="s">
        <v>47</v>
      </c>
      <c r="N375" s="51" t="str">
        <f>IF(AND('331-CT'!$E$7=TH!H375,OR(L375="331",M375="331")),"331",IF(AND(OR(L375="131",M375="131"),H375='131-CT'!$E$7),"131",""))</f>
        <v/>
      </c>
      <c r="O375" s="51" t="str">
        <f>IF(AND($B375&gt;='111'!$N$11,$B375&lt;='111'!$O$11,OR($L375=$O$7,$M375=$O$7)),"x","")</f>
        <v/>
      </c>
      <c r="P375" s="51" t="str">
        <f>IF(AND($L375=$O$7,$B375&lt;'111'!$N$11),"x","")</f>
        <v/>
      </c>
      <c r="Q375" s="51" t="str">
        <f>IF(AND($M375=$O$7,$B375&lt;'111'!$N$11),"x","")</f>
        <v>x</v>
      </c>
      <c r="R375" s="51" t="str">
        <f>IF(ISERROR(FIND('112'!$M$9,G375,1)),"",IF((AND(FIND('112'!$M$9,G375,1)&gt;=1,$B375&gt;='112'!$N$8,$B375&lt;='112'!$O$8,OR($L375='112'!$I$6,$M375='112'!$I$6))),"x",""))</f>
        <v/>
      </c>
      <c r="S375" s="51" t="str">
        <f>IF(ISERROR(FIND('112'!$M$9,G375,1)),"",IF((AND(LEFT(G375,2)=LEFT('112'!$M$9,2),B375&lt;'112'!$N$8,$L375='112'!$I$6)),"x",""))</f>
        <v/>
      </c>
      <c r="T375" s="51" t="str">
        <f>IF(ISERROR(FIND('112'!$M$9,G375,1)),"",IF((AND(RIGHT(G375,2)=RIGHT('112'!$M$9,2),B375&lt;'112'!$N$8,$M375='112'!$I$6)),"x",""))</f>
        <v/>
      </c>
      <c r="U375" s="51" t="str">
        <f>IF(AND(L375="154",'154'!$O$5&lt;=B375,'154'!$P$5&gt;=B375),"154",IF(AND(L375="632",'632'!$L$5&lt;=B375,'632'!$M$5&gt;=B375),"632",IF(AND(L375="642",'642'!$N$5&lt;=B375,'642'!$O$5&gt;=B375),"642",IF(AND(L375="641",'641'!$N$5&lt;=B375,'641'!$O$5&gt;=B375),"641",""))))</f>
        <v/>
      </c>
      <c r="V375" s="51" t="str">
        <f>IF(OR(TH!L375=TH!$V$7,M375=TH!$V$7),"x","")</f>
        <v/>
      </c>
      <c r="W375" s="51" t="str">
        <f>IF(AND(B375&gt;='IN-NX'!$P$3,B375&lt;='IN-NX'!$Q$3,'IN-NX'!$D$7=D375,OR(LEFT(L375,2)="15",AND(LEFT(M375,2)&lt;&gt;"15",LEFT(M375,2)&lt;&gt;"33"))),"x","")</f>
        <v/>
      </c>
      <c r="X375" s="51" t="str">
        <f>IF(AND(OR(LEFT(TH!L375,2)="15",LEFT(TH!M375,2)="15"),'152-CT'!$J$8=TH!F375),"x","")</f>
        <v/>
      </c>
      <c r="Y375" s="51" t="str">
        <f>IF(AND(OR(LEFT(TH!L375,2)="15",LEFT(TH!M375,2)="15"),TK!$E$7=TH!F375),"x","")</f>
        <v/>
      </c>
      <c r="Z375" s="51" t="str">
        <f>IF(AND(B375&lt;=NKC!$N$8,B375&gt;=NKC!$M$8),"x","")</f>
        <v/>
      </c>
      <c r="AA375" s="803">
        <v>3</v>
      </c>
      <c r="AB375" s="565"/>
    </row>
    <row r="376" spans="1:31" ht="15.75" customHeight="1">
      <c r="A376" s="804" t="str">
        <f>IF(B376&lt;&gt;"",IF(AND(B376&gt;=_TM1,B376&lt;=_TM2,OR(TH!L376="1111",TH!M376="1111")),TH!D376,""),"")</f>
        <v/>
      </c>
      <c r="B376" s="820">
        <f t="shared" si="23"/>
        <v>6</v>
      </c>
      <c r="C376" s="821">
        <f t="shared" si="24"/>
        <v>42185</v>
      </c>
      <c r="D376" s="189" t="s">
        <v>1298</v>
      </c>
      <c r="E376" s="821">
        <v>42185</v>
      </c>
      <c r="F376" s="822" t="s">
        <v>1139</v>
      </c>
      <c r="G376" s="829" t="s">
        <v>998</v>
      </c>
      <c r="H376" s="202" t="s">
        <v>424</v>
      </c>
      <c r="I376" s="825">
        <v>15</v>
      </c>
      <c r="J376" s="825">
        <v>25000</v>
      </c>
      <c r="K376" s="818">
        <f>ROUND(I376*J376,0)</f>
        <v>375000</v>
      </c>
      <c r="L376" s="819" t="s">
        <v>250</v>
      </c>
      <c r="M376" s="819" t="s">
        <v>164</v>
      </c>
      <c r="N376" s="51" t="str">
        <f>IF(AND('331-CT'!$E$7=TH!H376,OR(L376="331",M376="331")),"331",IF(AND(OR(L376="131",M376="131"),H376='131-CT'!$E$7),"131",""))</f>
        <v/>
      </c>
      <c r="O376" s="51" t="str">
        <f>IF(AND($B376&gt;='111'!$N$11,$B376&lt;='111'!$O$11,OR($L376=$O$7,$M376=$O$7)),"x","")</f>
        <v/>
      </c>
      <c r="P376" s="51" t="str">
        <f>IF(AND($L376=$O$7,$B376&lt;'111'!$N$11),"x","")</f>
        <v/>
      </c>
      <c r="Q376" s="51" t="str">
        <f>IF(AND($M376=$O$7,$B376&lt;'111'!$N$11),"x","")</f>
        <v/>
      </c>
      <c r="R376" s="51" t="str">
        <f>IF(ISERROR(FIND('112'!$M$9,G376,1)),"",IF((AND(FIND('112'!$M$9,G376,1)&gt;=1,$B376&gt;='112'!$N$8,$B376&lt;='112'!$O$8,OR($L376='112'!$I$6,$M376='112'!$I$6))),"x",""))</f>
        <v/>
      </c>
      <c r="S376" s="51" t="str">
        <f>IF(ISERROR(FIND('112'!$M$9,G376,1)),"",IF((AND(LEFT(G376,2)=LEFT('112'!$M$9,2),B376&lt;'112'!$N$8,$L376='112'!$I$6)),"x",""))</f>
        <v/>
      </c>
      <c r="T376" s="51" t="str">
        <f>IF(ISERROR(FIND('112'!$M$9,G376,1)),"",IF((AND(RIGHT(G376,2)=RIGHT('112'!$M$9,2),B376&lt;'112'!$N$8,$M376='112'!$I$6)),"x",""))</f>
        <v/>
      </c>
      <c r="U376" s="51" t="str">
        <f>IF(AND(L376="154",'154'!$O$5&lt;=B376,'154'!$P$5&gt;=B376),"154",IF(AND(L376="632",'632'!$L$5&lt;=B376,'632'!$M$5&gt;=B376),"632",IF(AND(L376="642",'642'!$N$5&lt;=B376,'642'!$O$5&gt;=B376),"642",IF(AND(L376="641",'641'!$N$5&lt;=B376,'641'!$O$5&gt;=B376),"641",""))))</f>
        <v/>
      </c>
      <c r="V376" s="51" t="str">
        <f>IF(OR(TH!L376=TH!$V$7,M376=TH!$V$7),"x","")</f>
        <v/>
      </c>
      <c r="W376" s="51" t="str">
        <f>IF(AND(B376&gt;='IN-NX'!$P$3,B376&lt;='IN-NX'!$Q$3,'IN-NX'!$D$7=D376,OR(LEFT(L376,2)="15",AND(LEFT(M376,2)&lt;&gt;"15",LEFT(M376,2)&lt;&gt;"33"))),"x","")</f>
        <v/>
      </c>
      <c r="X376" s="51" t="str">
        <f>IF(AND(OR(LEFT(TH!L376,2)="15",LEFT(TH!M376,2)="15"),'152-CT'!$J$8=TH!F376),"x","")</f>
        <v/>
      </c>
      <c r="Y376" s="51" t="str">
        <f>IF(AND(OR(LEFT(TH!L376,2)="15",LEFT(TH!M376,2)="15"),TK!$E$7=TH!F376),"x","")</f>
        <v/>
      </c>
      <c r="Z376" s="51" t="str">
        <f>IF(AND(B376&lt;=NKC!$N$8,B376&gt;=NKC!$M$8),"x","")</f>
        <v/>
      </c>
      <c r="AA376" s="826"/>
      <c r="AB376" s="565"/>
      <c r="AC376" s="828"/>
      <c r="AD376" s="828"/>
      <c r="AE376" s="828"/>
    </row>
    <row r="377" spans="1:31" ht="15.75" customHeight="1">
      <c r="A377" s="804" t="str">
        <f>IF(B377&lt;&gt;"",IF(AND(B377&gt;=_TM1,B377&lt;=_TM2,OR(TH!L377="1111",TH!M377="1111")),TH!D377,""),"")</f>
        <v/>
      </c>
      <c r="B377" s="820">
        <f t="shared" si="23"/>
        <v>6</v>
      </c>
      <c r="C377" s="821">
        <f t="shared" si="24"/>
        <v>42185</v>
      </c>
      <c r="D377" s="189" t="s">
        <v>1298</v>
      </c>
      <c r="E377" s="821">
        <v>42185</v>
      </c>
      <c r="F377" s="822" t="s">
        <v>1141</v>
      </c>
      <c r="G377" s="829" t="s">
        <v>998</v>
      </c>
      <c r="H377" s="202" t="s">
        <v>424</v>
      </c>
      <c r="I377" s="825">
        <v>22</v>
      </c>
      <c r="J377" s="825">
        <v>32068.2</v>
      </c>
      <c r="K377" s="818">
        <f>ROUND(I377*J377,0)</f>
        <v>705500</v>
      </c>
      <c r="L377" s="819" t="s">
        <v>250</v>
      </c>
      <c r="M377" s="819" t="s">
        <v>164</v>
      </c>
      <c r="N377" s="51" t="str">
        <f>IF(AND('331-CT'!$E$7=TH!H377,OR(L377="331",M377="331")),"331",IF(AND(OR(L377="131",M377="131"),H377='131-CT'!$E$7),"131",""))</f>
        <v/>
      </c>
      <c r="O377" s="51" t="str">
        <f>IF(AND($B377&gt;='111'!$N$11,$B377&lt;='111'!$O$11,OR($L377=$O$7,$M377=$O$7)),"x","")</f>
        <v/>
      </c>
      <c r="P377" s="51" t="str">
        <f>IF(AND($L377=$O$7,$B377&lt;'111'!$N$11),"x","")</f>
        <v/>
      </c>
      <c r="Q377" s="51" t="str">
        <f>IF(AND($M377=$O$7,$B377&lt;'111'!$N$11),"x","")</f>
        <v/>
      </c>
      <c r="R377" s="51" t="str">
        <f>IF(ISERROR(FIND('112'!$M$9,G377,1)),"",IF((AND(FIND('112'!$M$9,G377,1)&gt;=1,$B377&gt;='112'!$N$8,$B377&lt;='112'!$O$8,OR($L377='112'!$I$6,$M377='112'!$I$6))),"x",""))</f>
        <v/>
      </c>
      <c r="S377" s="51" t="str">
        <f>IF(ISERROR(FIND('112'!$M$9,G377,1)),"",IF((AND(LEFT(G377,2)=LEFT('112'!$M$9,2),B377&lt;'112'!$N$8,$L377='112'!$I$6)),"x",""))</f>
        <v/>
      </c>
      <c r="T377" s="51" t="str">
        <f>IF(ISERROR(FIND('112'!$M$9,G377,1)),"",IF((AND(RIGHT(G377,2)=RIGHT('112'!$M$9,2),B377&lt;'112'!$N$8,$M377='112'!$I$6)),"x",""))</f>
        <v/>
      </c>
      <c r="U377" s="51" t="str">
        <f>IF(AND(L377="154",'154'!$O$5&lt;=B377,'154'!$P$5&gt;=B377),"154",IF(AND(L377="632",'632'!$L$5&lt;=B377,'632'!$M$5&gt;=B377),"632",IF(AND(L377="642",'642'!$N$5&lt;=B377,'642'!$O$5&gt;=B377),"642",IF(AND(L377="641",'641'!$N$5&lt;=B377,'641'!$O$5&gt;=B377),"641",""))))</f>
        <v/>
      </c>
      <c r="V377" s="51" t="str">
        <f>IF(OR(TH!L377=TH!$V$7,M377=TH!$V$7),"x","")</f>
        <v/>
      </c>
      <c r="W377" s="51" t="str">
        <f>IF(AND(B377&gt;='IN-NX'!$P$3,B377&lt;='IN-NX'!$Q$3,'IN-NX'!$D$7=D377,OR(LEFT(L377,2)="15",AND(LEFT(M377,2)&lt;&gt;"15",LEFT(M377,2)&lt;&gt;"33"))),"x","")</f>
        <v/>
      </c>
      <c r="X377" s="51" t="str">
        <f>IF(AND(OR(LEFT(TH!L377,2)="15",LEFT(TH!M377,2)="15"),'152-CT'!$J$8=TH!F377),"x","")</f>
        <v/>
      </c>
      <c r="Y377" s="51" t="str">
        <f>IF(AND(OR(LEFT(TH!L377,2)="15",LEFT(TH!M377,2)="15"),TK!$E$7=TH!F377),"x","")</f>
        <v/>
      </c>
      <c r="Z377" s="51" t="str">
        <f>IF(AND(B377&lt;=NKC!$N$8,B377&gt;=NKC!$M$8),"x","")</f>
        <v/>
      </c>
      <c r="AA377" s="826"/>
      <c r="AB377" s="565"/>
      <c r="AC377" s="828"/>
      <c r="AD377" s="828"/>
      <c r="AE377" s="828"/>
    </row>
    <row r="378" spans="1:31" ht="15.75" customHeight="1">
      <c r="A378" s="804" t="str">
        <f>IF(B378&lt;&gt;"",IF(AND(B378&gt;=_TM1,B378&lt;=_TM2,OR(TH!L378="1111",TH!M378="1111")),TH!D378,""),"")</f>
        <v/>
      </c>
      <c r="B378" s="820">
        <f t="shared" si="23"/>
        <v>6</v>
      </c>
      <c r="C378" s="821">
        <f t="shared" si="24"/>
        <v>42185</v>
      </c>
      <c r="D378" s="189" t="s">
        <v>1298</v>
      </c>
      <c r="E378" s="821">
        <v>42185</v>
      </c>
      <c r="F378" s="822" t="s">
        <v>1143</v>
      </c>
      <c r="G378" s="829" t="s">
        <v>998</v>
      </c>
      <c r="H378" s="202" t="s">
        <v>424</v>
      </c>
      <c r="I378" s="825">
        <v>45</v>
      </c>
      <c r="J378" s="825">
        <v>19000</v>
      </c>
      <c r="K378" s="818">
        <f>ROUND(I378*J378,0)</f>
        <v>855000</v>
      </c>
      <c r="L378" s="819" t="s">
        <v>250</v>
      </c>
      <c r="M378" s="819" t="s">
        <v>164</v>
      </c>
      <c r="N378" s="51" t="str">
        <f>IF(AND('331-CT'!$E$7=TH!H378,OR(L378="331",M378="331")),"331",IF(AND(OR(L378="131",M378="131"),H378='131-CT'!$E$7),"131",""))</f>
        <v/>
      </c>
      <c r="O378" s="51" t="str">
        <f>IF(AND($B378&gt;='111'!$N$11,$B378&lt;='111'!$O$11,OR($L378=$O$7,$M378=$O$7)),"x","")</f>
        <v/>
      </c>
      <c r="P378" s="51" t="str">
        <f>IF(AND($L378=$O$7,$B378&lt;'111'!$N$11),"x","")</f>
        <v/>
      </c>
      <c r="Q378" s="51" t="str">
        <f>IF(AND($M378=$O$7,$B378&lt;'111'!$N$11),"x","")</f>
        <v/>
      </c>
      <c r="R378" s="51" t="str">
        <f>IF(ISERROR(FIND('112'!$M$9,G378,1)),"",IF((AND(FIND('112'!$M$9,G378,1)&gt;=1,$B378&gt;='112'!$N$8,$B378&lt;='112'!$O$8,OR($L378='112'!$I$6,$M378='112'!$I$6))),"x",""))</f>
        <v/>
      </c>
      <c r="S378" s="51" t="str">
        <f>IF(ISERROR(FIND('112'!$M$9,G378,1)),"",IF((AND(LEFT(G378,2)=LEFT('112'!$M$9,2),B378&lt;'112'!$N$8,$L378='112'!$I$6)),"x",""))</f>
        <v/>
      </c>
      <c r="T378" s="51" t="str">
        <f>IF(ISERROR(FIND('112'!$M$9,G378,1)),"",IF((AND(RIGHT(G378,2)=RIGHT('112'!$M$9,2),B378&lt;'112'!$N$8,$M378='112'!$I$6)),"x",""))</f>
        <v/>
      </c>
      <c r="U378" s="51" t="str">
        <f>IF(AND(L378="154",'154'!$O$5&lt;=B378,'154'!$P$5&gt;=B378),"154",IF(AND(L378="632",'632'!$L$5&lt;=B378,'632'!$M$5&gt;=B378),"632",IF(AND(L378="642",'642'!$N$5&lt;=B378,'642'!$O$5&gt;=B378),"642",IF(AND(L378="641",'641'!$N$5&lt;=B378,'641'!$O$5&gt;=B378),"641",""))))</f>
        <v/>
      </c>
      <c r="V378" s="51" t="str">
        <f>IF(OR(TH!L378=TH!$V$7,M378=TH!$V$7),"x","")</f>
        <v/>
      </c>
      <c r="W378" s="51" t="str">
        <f>IF(AND(B378&gt;='IN-NX'!$P$3,B378&lt;='IN-NX'!$Q$3,'IN-NX'!$D$7=D378,OR(LEFT(L378,2)="15",AND(LEFT(M378,2)&lt;&gt;"15",LEFT(M378,2)&lt;&gt;"33"))),"x","")</f>
        <v/>
      </c>
      <c r="X378" s="51" t="str">
        <f>IF(AND(OR(LEFT(TH!L378,2)="15",LEFT(TH!M378,2)="15"),'152-CT'!$J$8=TH!F378),"x","")</f>
        <v/>
      </c>
      <c r="Y378" s="51" t="str">
        <f>IF(AND(OR(LEFT(TH!L378,2)="15",LEFT(TH!M378,2)="15"),TK!$E$7=TH!F378),"x","")</f>
        <v/>
      </c>
      <c r="Z378" s="51" t="str">
        <f>IF(AND(B378&lt;=NKC!$N$8,B378&gt;=NKC!$M$8),"x","")</f>
        <v/>
      </c>
      <c r="AA378" s="826"/>
      <c r="AB378" s="565"/>
      <c r="AC378" s="828"/>
      <c r="AD378" s="828"/>
      <c r="AE378" s="828"/>
    </row>
    <row r="379" spans="1:31" ht="15.75" customHeight="1">
      <c r="A379" s="804" t="str">
        <f>IF(B379&lt;&gt;"",IF(AND(B379&gt;=_TM1,B379&lt;=_TM2,OR(TH!L379="1111",TH!M379="1111")),TH!D379,""),"")</f>
        <v/>
      </c>
      <c r="B379" s="820">
        <f t="shared" si="23"/>
        <v>6</v>
      </c>
      <c r="C379" s="821">
        <f t="shared" si="24"/>
        <v>42185</v>
      </c>
      <c r="D379" s="189" t="s">
        <v>1298</v>
      </c>
      <c r="E379" s="821">
        <v>42185</v>
      </c>
      <c r="F379" s="822" t="s">
        <v>1140</v>
      </c>
      <c r="G379" s="829" t="s">
        <v>998</v>
      </c>
      <c r="H379" s="202" t="s">
        <v>424</v>
      </c>
      <c r="I379" s="825">
        <v>30</v>
      </c>
      <c r="J379" s="825">
        <v>29000</v>
      </c>
      <c r="K379" s="818">
        <f>ROUND(I379*J379,0)</f>
        <v>870000</v>
      </c>
      <c r="L379" s="819" t="s">
        <v>250</v>
      </c>
      <c r="M379" s="819" t="s">
        <v>164</v>
      </c>
      <c r="N379" s="51" t="str">
        <f>IF(AND('331-CT'!$E$7=TH!H379,OR(L379="331",M379="331")),"331",IF(AND(OR(L379="131",M379="131"),H379='131-CT'!$E$7),"131",""))</f>
        <v/>
      </c>
      <c r="O379" s="51" t="str">
        <f>IF(AND($B379&gt;='111'!$N$11,$B379&lt;='111'!$O$11,OR($L379=$O$7,$M379=$O$7)),"x","")</f>
        <v/>
      </c>
      <c r="P379" s="51" t="str">
        <f>IF(AND($L379=$O$7,$B379&lt;'111'!$N$11),"x","")</f>
        <v/>
      </c>
      <c r="Q379" s="51" t="str">
        <f>IF(AND($M379=$O$7,$B379&lt;'111'!$N$11),"x","")</f>
        <v/>
      </c>
      <c r="R379" s="51" t="str">
        <f>IF(ISERROR(FIND('112'!$M$9,G379,1)),"",IF((AND(FIND('112'!$M$9,G379,1)&gt;=1,$B379&gt;='112'!$N$8,$B379&lt;='112'!$O$8,OR($L379='112'!$I$6,$M379='112'!$I$6))),"x",""))</f>
        <v/>
      </c>
      <c r="S379" s="51" t="str">
        <f>IF(ISERROR(FIND('112'!$M$9,G379,1)),"",IF((AND(LEFT(G379,2)=LEFT('112'!$M$9,2),B379&lt;'112'!$N$8,$L379='112'!$I$6)),"x",""))</f>
        <v/>
      </c>
      <c r="T379" s="51" t="str">
        <f>IF(ISERROR(FIND('112'!$M$9,G379,1)),"",IF((AND(RIGHT(G379,2)=RIGHT('112'!$M$9,2),B379&lt;'112'!$N$8,$M379='112'!$I$6)),"x",""))</f>
        <v/>
      </c>
      <c r="U379" s="51" t="str">
        <f>IF(AND(L379="154",'154'!$O$5&lt;=B379,'154'!$P$5&gt;=B379),"154",IF(AND(L379="632",'632'!$L$5&lt;=B379,'632'!$M$5&gt;=B379),"632",IF(AND(L379="642",'642'!$N$5&lt;=B379,'642'!$O$5&gt;=B379),"642",IF(AND(L379="641",'641'!$N$5&lt;=B379,'641'!$O$5&gt;=B379),"641",""))))</f>
        <v/>
      </c>
      <c r="V379" s="51" t="str">
        <f>IF(OR(TH!L379=TH!$V$7,M379=TH!$V$7),"x","")</f>
        <v/>
      </c>
      <c r="W379" s="51" t="str">
        <f>IF(AND(B379&gt;='IN-NX'!$P$3,B379&lt;='IN-NX'!$Q$3,'IN-NX'!$D$7=D379,OR(LEFT(L379,2)="15",AND(LEFT(M379,2)&lt;&gt;"15",LEFT(M379,2)&lt;&gt;"33"))),"x","")</f>
        <v/>
      </c>
      <c r="X379" s="51" t="str">
        <f>IF(AND(OR(LEFT(TH!L379,2)="15",LEFT(TH!M379,2)="15"),'152-CT'!$J$8=TH!F379),"x","")</f>
        <v/>
      </c>
      <c r="Y379" s="51" t="str">
        <f>IF(AND(OR(LEFT(TH!L379,2)="15",LEFT(TH!M379,2)="15"),TK!$E$7=TH!F379),"x","")</f>
        <v/>
      </c>
      <c r="Z379" s="51" t="str">
        <f>IF(AND(B379&lt;=NKC!$N$8,B379&gt;=NKC!$M$8),"x","")</f>
        <v/>
      </c>
      <c r="AA379" s="826"/>
      <c r="AB379" s="565"/>
      <c r="AC379" s="828"/>
      <c r="AD379" s="828"/>
      <c r="AE379" s="828"/>
    </row>
    <row r="380" spans="1:31" ht="15.75" customHeight="1">
      <c r="A380" s="804" t="str">
        <f>IF(B380&lt;&gt;"",IF(AND(B380&gt;=_TM1,B380&lt;=_TM2,OR(TH!L380="1111",TH!M380="1111")),TH!D380,""),"")</f>
        <v/>
      </c>
      <c r="B380" s="820">
        <f t="shared" si="23"/>
        <v>6</v>
      </c>
      <c r="C380" s="821">
        <f t="shared" si="24"/>
        <v>42185</v>
      </c>
      <c r="D380" s="189" t="s">
        <v>1298</v>
      </c>
      <c r="E380" s="821">
        <v>42185</v>
      </c>
      <c r="F380" s="822" t="s">
        <v>1142</v>
      </c>
      <c r="G380" s="829" t="s">
        <v>998</v>
      </c>
      <c r="H380" s="202" t="s">
        <v>424</v>
      </c>
      <c r="I380" s="825">
        <v>217</v>
      </c>
      <c r="J380" s="825">
        <v>13800</v>
      </c>
      <c r="K380" s="818">
        <f>ROUND(I380*J380,0)</f>
        <v>2994600</v>
      </c>
      <c r="L380" s="819" t="s">
        <v>250</v>
      </c>
      <c r="M380" s="819" t="s">
        <v>164</v>
      </c>
      <c r="N380" s="51" t="str">
        <f>IF(AND('331-CT'!$E$7=TH!H380,OR(L380="331",M380="331")),"331",IF(AND(OR(L380="131",M380="131"),H380='131-CT'!$E$7),"131",""))</f>
        <v/>
      </c>
      <c r="O380" s="51" t="str">
        <f>IF(AND($B380&gt;='111'!$N$11,$B380&lt;='111'!$O$11,OR($L380=$O$7,$M380=$O$7)),"x","")</f>
        <v/>
      </c>
      <c r="P380" s="51" t="str">
        <f>IF(AND($L380=$O$7,$B380&lt;'111'!$N$11),"x","")</f>
        <v/>
      </c>
      <c r="Q380" s="51" t="str">
        <f>IF(AND($M380=$O$7,$B380&lt;'111'!$N$11),"x","")</f>
        <v/>
      </c>
      <c r="R380" s="51" t="str">
        <f>IF(ISERROR(FIND('112'!$M$9,G380,1)),"",IF((AND(FIND('112'!$M$9,G380,1)&gt;=1,$B380&gt;='112'!$N$8,$B380&lt;='112'!$O$8,OR($L380='112'!$I$6,$M380='112'!$I$6))),"x",""))</f>
        <v/>
      </c>
      <c r="S380" s="51" t="str">
        <f>IF(ISERROR(FIND('112'!$M$9,G380,1)),"",IF((AND(LEFT(G380,2)=LEFT('112'!$M$9,2),B380&lt;'112'!$N$8,$L380='112'!$I$6)),"x",""))</f>
        <v/>
      </c>
      <c r="T380" s="51" t="str">
        <f>IF(ISERROR(FIND('112'!$M$9,G380,1)),"",IF((AND(RIGHT(G380,2)=RIGHT('112'!$M$9,2),B380&lt;'112'!$N$8,$M380='112'!$I$6)),"x",""))</f>
        <v/>
      </c>
      <c r="U380" s="51" t="str">
        <f>IF(AND(L380="154",'154'!$O$5&lt;=B380,'154'!$P$5&gt;=B380),"154",IF(AND(L380="632",'632'!$L$5&lt;=B380,'632'!$M$5&gt;=B380),"632",IF(AND(L380="642",'642'!$N$5&lt;=B380,'642'!$O$5&gt;=B380),"642",IF(AND(L380="641",'641'!$N$5&lt;=B380,'641'!$O$5&gt;=B380),"641",""))))</f>
        <v/>
      </c>
      <c r="V380" s="51" t="str">
        <f>IF(OR(TH!L380=TH!$V$7,M380=TH!$V$7),"x","")</f>
        <v/>
      </c>
      <c r="W380" s="51" t="str">
        <f>IF(AND(B380&gt;='IN-NX'!$P$3,B380&lt;='IN-NX'!$Q$3,'IN-NX'!$D$7=D380,OR(LEFT(L380,2)="15",AND(LEFT(M380,2)&lt;&gt;"15",LEFT(M380,2)&lt;&gt;"33"))),"x","")</f>
        <v/>
      </c>
      <c r="X380" s="51" t="str">
        <f>IF(AND(OR(LEFT(TH!L380,2)="15",LEFT(TH!M380,2)="15"),'152-CT'!$J$8=TH!F380),"x","")</f>
        <v/>
      </c>
      <c r="Y380" s="51" t="str">
        <f>IF(AND(OR(LEFT(TH!L380,2)="15",LEFT(TH!M380,2)="15"),TK!$E$7=TH!F380),"x","")</f>
        <v/>
      </c>
      <c r="Z380" s="51" t="str">
        <f>IF(AND(B380&lt;=NKC!$N$8,B380&gt;=NKC!$M$8),"x","")</f>
        <v/>
      </c>
      <c r="AA380" s="826"/>
      <c r="AB380" s="565"/>
      <c r="AC380" s="828"/>
      <c r="AD380" s="828"/>
      <c r="AE380" s="828"/>
    </row>
    <row r="381" spans="1:31" ht="15.75" customHeight="1">
      <c r="A381" s="804" t="str">
        <f>IF(B381&lt;&gt;"",IF(AND(B381&gt;=_TM1,B381&lt;=_TM2,OR(TH!L381="1111",TH!M381="1111")),TH!D381,""),"")</f>
        <v/>
      </c>
      <c r="B381" s="820">
        <f t="shared" si="23"/>
        <v>6</v>
      </c>
      <c r="C381" s="821">
        <f t="shared" si="24"/>
        <v>42185</v>
      </c>
      <c r="D381" s="189" t="s">
        <v>1298</v>
      </c>
      <c r="E381" s="821">
        <v>42185</v>
      </c>
      <c r="F381" s="822" t="s">
        <v>962</v>
      </c>
      <c r="G381" s="829" t="s">
        <v>998</v>
      </c>
      <c r="H381" s="202" t="s">
        <v>424</v>
      </c>
      <c r="I381" s="825"/>
      <c r="J381" s="825"/>
      <c r="K381" s="818">
        <v>580010</v>
      </c>
      <c r="L381" s="819" t="s">
        <v>250</v>
      </c>
      <c r="M381" s="819" t="s">
        <v>352</v>
      </c>
      <c r="N381" s="51" t="str">
        <f>IF(AND('331-CT'!$E$7=TH!H381,OR(L381="331",M381="331")),"331",IF(AND(OR(L381="131",M381="131"),H381='131-CT'!$E$7),"131",""))</f>
        <v/>
      </c>
      <c r="O381" s="51" t="str">
        <f>IF(AND($B381&gt;='111'!$N$11,$B381&lt;='111'!$O$11,OR($L381=$O$7,$M381=$O$7)),"x","")</f>
        <v/>
      </c>
      <c r="P381" s="51" t="str">
        <f>IF(AND($L381=$O$7,$B381&lt;'111'!$N$11),"x","")</f>
        <v/>
      </c>
      <c r="Q381" s="51" t="str">
        <f>IF(AND($M381=$O$7,$B381&lt;'111'!$N$11),"x","")</f>
        <v/>
      </c>
      <c r="R381" s="51" t="str">
        <f>IF(ISERROR(FIND('112'!$M$9,G381,1)),"",IF((AND(FIND('112'!$M$9,G381,1)&gt;=1,$B381&gt;='112'!$N$8,$B381&lt;='112'!$O$8,OR($L381='112'!$I$6,$M381='112'!$I$6))),"x",""))</f>
        <v/>
      </c>
      <c r="S381" s="51" t="str">
        <f>IF(ISERROR(FIND('112'!$M$9,G381,1)),"",IF((AND(LEFT(G381,2)=LEFT('112'!$M$9,2),B381&lt;'112'!$N$8,$L381='112'!$I$6)),"x",""))</f>
        <v/>
      </c>
      <c r="T381" s="51" t="str">
        <f>IF(ISERROR(FIND('112'!$M$9,G381,1)),"",IF((AND(RIGHT(G381,2)=RIGHT('112'!$M$9,2),B381&lt;'112'!$N$8,$M381='112'!$I$6)),"x",""))</f>
        <v/>
      </c>
      <c r="U381" s="51" t="str">
        <f>IF(AND(L381="154",'154'!$O$5&lt;=B381,'154'!$P$5&gt;=B381),"154",IF(AND(L381="632",'632'!$L$5&lt;=B381,'632'!$M$5&gt;=B381),"632",IF(AND(L381="642",'642'!$N$5&lt;=B381,'642'!$O$5&gt;=B381),"642",IF(AND(L381="641",'641'!$N$5&lt;=B381,'641'!$O$5&gt;=B381),"641",""))))</f>
        <v/>
      </c>
      <c r="V381" s="51" t="str">
        <f>IF(OR(TH!L381=TH!$V$7,M381=TH!$V$7),"x","")</f>
        <v/>
      </c>
      <c r="W381" s="51" t="str">
        <f>IF(AND(B381&gt;='IN-NX'!$P$3,B381&lt;='IN-NX'!$Q$3,'IN-NX'!$D$7=D381,OR(LEFT(L381,2)="15",AND(LEFT(M381,2)&lt;&gt;"15",LEFT(M381,2)&lt;&gt;"33"))),"x","")</f>
        <v/>
      </c>
      <c r="X381" s="51" t="str">
        <f>IF(AND(OR(LEFT(TH!L381,2)="15",LEFT(TH!M381,2)="15"),'152-CT'!$J$8=TH!F381),"x","")</f>
        <v/>
      </c>
      <c r="Y381" s="51" t="str">
        <f>IF(AND(OR(LEFT(TH!L381,2)="15",LEFT(TH!M381,2)="15"),TK!$E$7=TH!F381),"x","")</f>
        <v/>
      </c>
      <c r="Z381" s="51" t="str">
        <f>IF(AND(B381&lt;=NKC!$N$8,B381&gt;=NKC!$M$8),"x","")</f>
        <v/>
      </c>
      <c r="AA381" s="826"/>
      <c r="AB381" s="565"/>
      <c r="AC381" s="838"/>
      <c r="AD381" s="828"/>
      <c r="AE381" s="828"/>
    </row>
    <row r="382" spans="1:31" ht="15.75" customHeight="1">
      <c r="A382" s="804" t="str">
        <f>IF(B382&lt;&gt;"",IF(AND(B382&gt;=_TM1,B382&lt;=_TM2,OR(TH!L382="1111",TH!M382="1111")),TH!D382,""),"")</f>
        <v/>
      </c>
      <c r="B382" s="820">
        <f t="shared" si="23"/>
        <v>6</v>
      </c>
      <c r="C382" s="821">
        <f t="shared" si="24"/>
        <v>42185</v>
      </c>
      <c r="D382" s="189" t="s">
        <v>1390</v>
      </c>
      <c r="E382" s="821">
        <v>42185</v>
      </c>
      <c r="F382" s="190" t="s">
        <v>423</v>
      </c>
      <c r="G382" s="829" t="s">
        <v>998</v>
      </c>
      <c r="H382" s="202" t="s">
        <v>424</v>
      </c>
      <c r="I382" s="825"/>
      <c r="J382" s="825"/>
      <c r="K382" s="818">
        <v>2242088</v>
      </c>
      <c r="L382" s="819" t="s">
        <v>47</v>
      </c>
      <c r="M382" s="819" t="s">
        <v>250</v>
      </c>
      <c r="N382" s="51" t="str">
        <f>IF(AND('331-CT'!$E$7=TH!H382,OR(L382="331",M382="331")),"331",IF(AND(OR(L382="131",M382="131"),H382='131-CT'!$E$7),"131",""))</f>
        <v/>
      </c>
      <c r="O382" s="51" t="str">
        <f>IF(AND($B382&gt;='111'!$N$11,$B382&lt;='111'!$O$11,OR($L382=$O$7,$M382=$O$7)),"x","")</f>
        <v/>
      </c>
      <c r="P382" s="51" t="str">
        <f>IF(AND($L382=$O$7,$B382&lt;'111'!$N$11),"x","")</f>
        <v>x</v>
      </c>
      <c r="Q382" s="51" t="str">
        <f>IF(AND($M382=$O$7,$B382&lt;'111'!$N$11),"x","")</f>
        <v/>
      </c>
      <c r="R382" s="51" t="str">
        <f>IF(ISERROR(FIND('112'!$M$9,G382,1)),"",IF((AND(FIND('112'!$M$9,G382,1)&gt;=1,$B382&gt;='112'!$N$8,$B382&lt;='112'!$O$8,OR($L382='112'!$I$6,$M382='112'!$I$6))),"x",""))</f>
        <v/>
      </c>
      <c r="S382" s="51" t="str">
        <f>IF(ISERROR(FIND('112'!$M$9,G382,1)),"",IF((AND(LEFT(G382,2)=LEFT('112'!$M$9,2),B382&lt;'112'!$N$8,$L382='112'!$I$6)),"x",""))</f>
        <v/>
      </c>
      <c r="T382" s="51" t="str">
        <f>IF(ISERROR(FIND('112'!$M$9,G382,1)),"",IF((AND(RIGHT(G382,2)=RIGHT('112'!$M$9,2),B382&lt;'112'!$N$8,$M382='112'!$I$6)),"x",""))</f>
        <v/>
      </c>
      <c r="U382" s="51" t="str">
        <f>IF(AND(L382="154",'154'!$O$5&lt;=B382,'154'!$P$5&gt;=B382),"154",IF(AND(L382="632",'632'!$L$5&lt;=B382,'632'!$M$5&gt;=B382),"632",IF(AND(L382="642",'642'!$N$5&lt;=B382,'642'!$O$5&gt;=B382),"642",IF(AND(L382="641",'641'!$N$5&lt;=B382,'641'!$O$5&gt;=B382),"641",""))))</f>
        <v/>
      </c>
      <c r="V382" s="51" t="str">
        <f>IF(OR(TH!L382=TH!$V$7,M382=TH!$V$7),"x","")</f>
        <v/>
      </c>
      <c r="W382" s="51" t="str">
        <f>IF(AND(B382&gt;='IN-NX'!$P$3,B382&lt;='IN-NX'!$Q$3,'IN-NX'!$D$7=D382,OR(LEFT(L382,2)="15",AND(LEFT(M382,2)&lt;&gt;"15",LEFT(M382,2)&lt;&gt;"33"))),"x","")</f>
        <v/>
      </c>
      <c r="X382" s="51" t="str">
        <f>IF(AND(OR(LEFT(TH!L382,2)="15",LEFT(TH!M382,2)="15"),'152-CT'!$J$8=TH!F382),"x","")</f>
        <v/>
      </c>
      <c r="Y382" s="51" t="str">
        <f>IF(AND(OR(LEFT(TH!L382,2)="15",LEFT(TH!M382,2)="15"),TK!$E$7=TH!F382),"x","")</f>
        <v/>
      </c>
      <c r="Z382" s="51" t="str">
        <f>IF(AND(B382&lt;=NKC!$N$8,B382&gt;=NKC!$M$8),"x","")</f>
        <v/>
      </c>
      <c r="AA382" s="826"/>
      <c r="AB382" s="565"/>
      <c r="AC382" s="838"/>
      <c r="AD382" s="828"/>
      <c r="AE382" s="828"/>
    </row>
    <row r="383" spans="1:31" ht="15.75" customHeight="1">
      <c r="A383" s="804" t="str">
        <f>IF(B383&lt;&gt;"",IF(AND(B383&gt;=_TM1,B383&lt;=_TM2,OR(TH!L383="1111",TH!M383="1111")),TH!D383,""),"")</f>
        <v/>
      </c>
      <c r="B383" s="36">
        <f t="shared" si="23"/>
        <v>6</v>
      </c>
      <c r="C383" s="189">
        <f t="shared" si="24"/>
        <v>42185</v>
      </c>
      <c r="D383" s="189" t="s">
        <v>1391</v>
      </c>
      <c r="E383" s="189">
        <v>42185</v>
      </c>
      <c r="F383" s="190" t="s">
        <v>964</v>
      </c>
      <c r="G383" s="813" t="s">
        <v>999</v>
      </c>
      <c r="H383" s="191" t="s">
        <v>975</v>
      </c>
      <c r="I383" s="243"/>
      <c r="J383" s="243"/>
      <c r="K383" s="573">
        <v>8500000</v>
      </c>
      <c r="L383" s="574" t="s">
        <v>47</v>
      </c>
      <c r="M383" s="574" t="s">
        <v>408</v>
      </c>
      <c r="N383" s="51" t="str">
        <f>IF(AND('331-CT'!$E$7=TH!H383,OR(L383="331",M383="331")),"331",IF(AND(OR(L383="131",M383="131"),H383='131-CT'!$E$7),"131",""))</f>
        <v/>
      </c>
      <c r="O383" s="51" t="str">
        <f>IF(AND($B383&gt;='111'!$N$11,$B383&lt;='111'!$O$11,OR($L383=$O$7,$M383=$O$7)),"x","")</f>
        <v/>
      </c>
      <c r="P383" s="51" t="str">
        <f>IF(AND($L383=$O$7,$B383&lt;'111'!$N$11),"x","")</f>
        <v>x</v>
      </c>
      <c r="Q383" s="51" t="str">
        <f>IF(AND($M383=$O$7,$B383&lt;'111'!$N$11),"x","")</f>
        <v/>
      </c>
      <c r="R383" s="51" t="str">
        <f>IF(ISERROR(FIND('112'!$M$9,G383,1)),"",IF((AND(FIND('112'!$M$9,G383,1)&gt;=1,$B383&gt;='112'!$N$8,$B383&lt;='112'!$O$8,OR($L383='112'!$I$6,$M383='112'!$I$6))),"x",""))</f>
        <v/>
      </c>
      <c r="S383" s="51" t="str">
        <f>IF(ISERROR(FIND('112'!$M$9,G383,1)),"",IF((AND(LEFT(G383,2)=LEFT('112'!$M$9,2),B383&lt;'112'!$N$8,$L383='112'!$I$6)),"x",""))</f>
        <v/>
      </c>
      <c r="T383" s="51" t="str">
        <f>IF(ISERROR(FIND('112'!$M$9,G383,1)),"",IF((AND(RIGHT(G383,2)=RIGHT('112'!$M$9,2),B383&lt;'112'!$N$8,$M383='112'!$I$6)),"x",""))</f>
        <v/>
      </c>
      <c r="U383" s="51" t="str">
        <f>IF(AND(L383="154",'154'!$O$5&lt;=B383,'154'!$P$5&gt;=B383),"154",IF(AND(L383="632",'632'!$L$5&lt;=B383,'632'!$M$5&gt;=B383),"632",IF(AND(L383="642",'642'!$N$5&lt;=B383,'642'!$O$5&gt;=B383),"642",IF(AND(L383="641",'641'!$N$5&lt;=B383,'641'!$O$5&gt;=B383),"641",""))))</f>
        <v/>
      </c>
      <c r="V383" s="51" t="str">
        <f>IF(OR(TH!L383=TH!$V$7,M383=TH!$V$7),"x","")</f>
        <v/>
      </c>
      <c r="W383" s="51" t="str">
        <f>IF(AND(B383&gt;='IN-NX'!$P$3,B383&lt;='IN-NX'!$Q$3,'IN-NX'!$D$7=D383,OR(LEFT(L383,2)="15",AND(LEFT(M383,2)&lt;&gt;"15",LEFT(M383,2)&lt;&gt;"33"))),"x","")</f>
        <v/>
      </c>
      <c r="X383" s="51" t="str">
        <f>IF(AND(OR(LEFT(TH!L383,2)="15",LEFT(TH!M383,2)="15"),'152-CT'!$J$8=TH!F383),"x","")</f>
        <v/>
      </c>
      <c r="Y383" s="51" t="str">
        <f>IF(AND(OR(LEFT(TH!L383,2)="15",LEFT(TH!M383,2)="15"),TK!$E$7=TH!F383),"x","")</f>
        <v/>
      </c>
      <c r="Z383" s="51" t="str">
        <f>IF(AND(B383&lt;=NKC!$N$8,B383&gt;=NKC!$M$8),"x","")</f>
        <v/>
      </c>
      <c r="AA383" s="803"/>
      <c r="AB383" s="565"/>
      <c r="AC383" s="838"/>
      <c r="AD383" s="838"/>
    </row>
    <row r="384" spans="1:31" ht="15.75" customHeight="1">
      <c r="A384" s="804" t="str">
        <f>IF(B384&lt;&gt;"",IF(AND(B384&gt;=_TM1,B384&lt;=_TM2,OR(TH!L384="1111",TH!M384="1111")),TH!D384,""),"")</f>
        <v/>
      </c>
      <c r="B384" s="36">
        <f t="shared" si="23"/>
        <v>6</v>
      </c>
      <c r="C384" s="189">
        <f t="shared" si="24"/>
        <v>42185</v>
      </c>
      <c r="D384" s="189" t="s">
        <v>1391</v>
      </c>
      <c r="E384" s="189">
        <v>42185</v>
      </c>
      <c r="F384" s="190" t="s">
        <v>1110</v>
      </c>
      <c r="G384" s="813" t="s">
        <v>999</v>
      </c>
      <c r="H384" s="191" t="s">
        <v>975</v>
      </c>
      <c r="I384" s="243"/>
      <c r="J384" s="243"/>
      <c r="K384" s="573">
        <v>850000</v>
      </c>
      <c r="L384" s="574" t="s">
        <v>47</v>
      </c>
      <c r="M384" s="574" t="s">
        <v>352</v>
      </c>
      <c r="N384" s="51" t="str">
        <f>IF(AND('331-CT'!$E$7=TH!H384,OR(L384="331",M384="331")),"331",IF(AND(OR(L384="131",M384="131"),H384='131-CT'!$E$7),"131",""))</f>
        <v/>
      </c>
      <c r="O384" s="51" t="str">
        <f>IF(AND($B384&gt;='111'!$N$11,$B384&lt;='111'!$O$11,OR($L384=$O$7,$M384=$O$7)),"x","")</f>
        <v/>
      </c>
      <c r="P384" s="51" t="str">
        <f>IF(AND($L384=$O$7,$B384&lt;'111'!$N$11),"x","")</f>
        <v>x</v>
      </c>
      <c r="Q384" s="51" t="str">
        <f>IF(AND($M384=$O$7,$B384&lt;'111'!$N$11),"x","")</f>
        <v/>
      </c>
      <c r="R384" s="51" t="str">
        <f>IF(ISERROR(FIND('112'!$M$9,G384,1)),"",IF((AND(FIND('112'!$M$9,G384,1)&gt;=1,$B384&gt;='112'!$N$8,$B384&lt;='112'!$O$8,OR($L384='112'!$I$6,$M384='112'!$I$6))),"x",""))</f>
        <v/>
      </c>
      <c r="S384" s="51" t="str">
        <f>IF(ISERROR(FIND('112'!$M$9,G384,1)),"",IF((AND(LEFT(G384,2)=LEFT('112'!$M$9,2),B384&lt;'112'!$N$8,$L384='112'!$I$6)),"x",""))</f>
        <v/>
      </c>
      <c r="T384" s="51" t="str">
        <f>IF(ISERROR(FIND('112'!$M$9,G384,1)),"",IF((AND(RIGHT(G384,2)=RIGHT('112'!$M$9,2),B384&lt;'112'!$N$8,$M384='112'!$I$6)),"x",""))</f>
        <v/>
      </c>
      <c r="U384" s="51" t="str">
        <f>IF(AND(L384="154",'154'!$O$5&lt;=B384,'154'!$P$5&gt;=B384),"154",IF(AND(L384="632",'632'!$L$5&lt;=B384,'632'!$M$5&gt;=B384),"632",IF(AND(L384="642",'642'!$N$5&lt;=B384,'642'!$O$5&gt;=B384),"642",IF(AND(L384="641",'641'!$N$5&lt;=B384,'641'!$O$5&gt;=B384),"641",""))))</f>
        <v/>
      </c>
      <c r="V384" s="51" t="str">
        <f>IF(OR(TH!L384=TH!$V$7,M384=TH!$V$7),"x","")</f>
        <v/>
      </c>
      <c r="W384" s="51" t="str">
        <f>IF(AND(B384&gt;='IN-NX'!$P$3,B384&lt;='IN-NX'!$Q$3,'IN-NX'!$D$7=D384,OR(LEFT(L384,2)="15",AND(LEFT(M384,2)&lt;&gt;"15",LEFT(M384,2)&lt;&gt;"33"))),"x","")</f>
        <v/>
      </c>
      <c r="X384" s="51" t="str">
        <f>IF(AND(OR(LEFT(TH!L384,2)="15",LEFT(TH!M384,2)="15"),'152-CT'!$J$8=TH!F384),"x","")</f>
        <v/>
      </c>
      <c r="Y384" s="51" t="str">
        <f>IF(AND(OR(LEFT(TH!L384,2)="15",LEFT(TH!M384,2)="15"),TK!$E$7=TH!F384),"x","")</f>
        <v/>
      </c>
      <c r="Z384" s="51" t="str">
        <f>IF(AND(B384&lt;=NKC!$N$8,B384&gt;=NKC!$M$8),"x","")</f>
        <v/>
      </c>
      <c r="AA384" s="803"/>
      <c r="AB384" s="565"/>
      <c r="AC384" s="839"/>
      <c r="AD384" s="838"/>
    </row>
    <row r="385" spans="1:28" ht="15.75" customHeight="1">
      <c r="A385" s="804" t="str">
        <f>IF(B385&lt;&gt;"",IF(AND(B385&gt;=_TM1,B385&lt;=_TM2,OR(TH!L385="1111",TH!M385="1111")),TH!D385,""),"")</f>
        <v/>
      </c>
      <c r="B385" s="36">
        <f t="shared" si="23"/>
        <v>6</v>
      </c>
      <c r="C385" s="189">
        <f t="shared" si="24"/>
        <v>42185</v>
      </c>
      <c r="D385" s="189" t="s">
        <v>1299</v>
      </c>
      <c r="E385" s="189">
        <v>42185</v>
      </c>
      <c r="F385" s="190" t="s">
        <v>572</v>
      </c>
      <c r="G385" s="813" t="s">
        <v>1000</v>
      </c>
      <c r="H385" s="191" t="s">
        <v>441</v>
      </c>
      <c r="I385" s="243">
        <v>500</v>
      </c>
      <c r="J385" s="243">
        <v>16449</v>
      </c>
      <c r="K385" s="573">
        <f>ROUND(I385*J385,0)</f>
        <v>8224500</v>
      </c>
      <c r="L385" s="574" t="s">
        <v>250</v>
      </c>
      <c r="M385" s="574" t="s">
        <v>164</v>
      </c>
      <c r="N385" s="51" t="str">
        <f>IF(AND('331-CT'!$E$7=TH!H385,OR(L385="331",M385="331")),"331",IF(AND(OR(L385="131",M385="131"),H385='131-CT'!$E$7),"131",""))</f>
        <v/>
      </c>
      <c r="O385" s="51" t="str">
        <f>IF(AND($B385&gt;='111'!$N$11,$B385&lt;='111'!$O$11,OR($L385=$O$7,$M385=$O$7)),"x","")</f>
        <v/>
      </c>
      <c r="P385" s="51" t="str">
        <f>IF(AND($L385=$O$7,$B385&lt;'111'!$N$11),"x","")</f>
        <v/>
      </c>
      <c r="Q385" s="51" t="str">
        <f>IF(AND($M385=$O$7,$B385&lt;'111'!$N$11),"x","")</f>
        <v/>
      </c>
      <c r="R385" s="51" t="str">
        <f>IF(ISERROR(FIND('112'!$M$9,G385,1)),"",IF((AND(FIND('112'!$M$9,G385,1)&gt;=1,$B385&gt;='112'!$N$8,$B385&lt;='112'!$O$8,OR($L385='112'!$I$6,$M385='112'!$I$6))),"x",""))</f>
        <v/>
      </c>
      <c r="S385" s="51" t="str">
        <f>IF(ISERROR(FIND('112'!$M$9,G385,1)),"",IF((AND(LEFT(G385,2)=LEFT('112'!$M$9,2),B385&lt;'112'!$N$8,$L385='112'!$I$6)),"x",""))</f>
        <v/>
      </c>
      <c r="T385" s="51" t="str">
        <f>IF(ISERROR(FIND('112'!$M$9,G385,1)),"",IF((AND(RIGHT(G385,2)=RIGHT('112'!$M$9,2),B385&lt;'112'!$N$8,$M385='112'!$I$6)),"x",""))</f>
        <v/>
      </c>
      <c r="U385" s="51" t="str">
        <f>IF(AND(L385="154",'154'!$O$5&lt;=B385,'154'!$P$5&gt;=B385),"154",IF(AND(L385="632",'632'!$L$5&lt;=B385,'632'!$M$5&gt;=B385),"632",IF(AND(L385="642",'642'!$N$5&lt;=B385,'642'!$O$5&gt;=B385),"642",IF(AND(L385="641",'641'!$N$5&lt;=B385,'641'!$O$5&gt;=B385),"641",""))))</f>
        <v/>
      </c>
      <c r="V385" s="51" t="str">
        <f>IF(OR(TH!L385=TH!$V$7,M385=TH!$V$7),"x","")</f>
        <v/>
      </c>
      <c r="W385" s="51" t="str">
        <f>IF(AND(B385&gt;='IN-NX'!$P$3,B385&lt;='IN-NX'!$Q$3,'IN-NX'!$D$7=D385,OR(LEFT(L385,2)="15",AND(LEFT(M385,2)&lt;&gt;"15",LEFT(M385,2)&lt;&gt;"33"))),"x","")</f>
        <v/>
      </c>
      <c r="X385" s="51" t="str">
        <f>IF(AND(OR(LEFT(TH!L385,2)="15",LEFT(TH!M385,2)="15"),'152-CT'!$J$8=TH!F385),"x","")</f>
        <v/>
      </c>
      <c r="Y385" s="51" t="str">
        <f>IF(AND(OR(LEFT(TH!L385,2)="15",LEFT(TH!M385,2)="15"),TK!$E$7=TH!F385),"x","")</f>
        <v/>
      </c>
      <c r="Z385" s="51" t="str">
        <f>IF(AND(B385&lt;=NKC!$N$8,B385&gt;=NKC!$M$8),"x","")</f>
        <v/>
      </c>
      <c r="AA385" s="803"/>
      <c r="AB385" s="565"/>
    </row>
    <row r="386" spans="1:28" ht="15.75" customHeight="1">
      <c r="A386" s="804" t="str">
        <f>IF(B386&lt;&gt;"",IF(AND(B386&gt;=_TM1,B386&lt;=_TM2,OR(TH!L386="1111",TH!M386="1111")),TH!D386,""),"")</f>
        <v/>
      </c>
      <c r="B386" s="36">
        <f t="shared" si="23"/>
        <v>6</v>
      </c>
      <c r="C386" s="189">
        <f t="shared" si="24"/>
        <v>42185</v>
      </c>
      <c r="D386" s="189" t="s">
        <v>1299</v>
      </c>
      <c r="E386" s="189">
        <v>42185</v>
      </c>
      <c r="F386" s="922" t="s">
        <v>573</v>
      </c>
      <c r="G386" s="813" t="s">
        <v>1000</v>
      </c>
      <c r="H386" s="191" t="s">
        <v>441</v>
      </c>
      <c r="I386" s="243">
        <v>500</v>
      </c>
      <c r="J386" s="243">
        <v>17297</v>
      </c>
      <c r="K386" s="573">
        <f>ROUND(I386*J386,0)</f>
        <v>8648500</v>
      </c>
      <c r="L386" s="574" t="s">
        <v>250</v>
      </c>
      <c r="M386" s="574" t="s">
        <v>164</v>
      </c>
      <c r="N386" s="51" t="str">
        <f>IF(AND('331-CT'!$E$7=TH!H386,OR(L386="331",M386="331")),"331",IF(AND(OR(L386="131",M386="131"),H386='131-CT'!$E$7),"131",""))</f>
        <v/>
      </c>
      <c r="O386" s="51" t="str">
        <f>IF(AND($B386&gt;='111'!$N$11,$B386&lt;='111'!$O$11,OR($L386=$O$7,$M386=$O$7)),"x","")</f>
        <v/>
      </c>
      <c r="P386" s="51" t="str">
        <f>IF(AND($L386=$O$7,$B386&lt;'111'!$N$11),"x","")</f>
        <v/>
      </c>
      <c r="Q386" s="51" t="str">
        <f>IF(AND($M386=$O$7,$B386&lt;'111'!$N$11),"x","")</f>
        <v/>
      </c>
      <c r="R386" s="51" t="str">
        <f>IF(ISERROR(FIND('112'!$M$9,G386,1)),"",IF((AND(FIND('112'!$M$9,G386,1)&gt;=1,$B386&gt;='112'!$N$8,$B386&lt;='112'!$O$8,OR($L386='112'!$I$6,$M386='112'!$I$6))),"x",""))</f>
        <v/>
      </c>
      <c r="S386" s="51" t="str">
        <f>IF(ISERROR(FIND('112'!$M$9,G386,1)),"",IF((AND(LEFT(G386,2)=LEFT('112'!$M$9,2),B386&lt;'112'!$N$8,$L386='112'!$I$6)),"x",""))</f>
        <v/>
      </c>
      <c r="T386" s="51" t="str">
        <f>IF(ISERROR(FIND('112'!$M$9,G386,1)),"",IF((AND(RIGHT(G386,2)=RIGHT('112'!$M$9,2),B386&lt;'112'!$N$8,$M386='112'!$I$6)),"x",""))</f>
        <v/>
      </c>
      <c r="U386" s="51" t="str">
        <f>IF(AND(L386="154",'154'!$O$5&lt;=B386,'154'!$P$5&gt;=B386),"154",IF(AND(L386="632",'632'!$L$5&lt;=B386,'632'!$M$5&gt;=B386),"632",IF(AND(L386="642",'642'!$N$5&lt;=B386,'642'!$O$5&gt;=B386),"642",IF(AND(L386="641",'641'!$N$5&lt;=B386,'641'!$O$5&gt;=B386),"641",""))))</f>
        <v/>
      </c>
      <c r="V386" s="51" t="str">
        <f>IF(OR(TH!L386=TH!$V$7,M386=TH!$V$7),"x","")</f>
        <v/>
      </c>
      <c r="W386" s="51" t="str">
        <f>IF(AND(B386&gt;='IN-NX'!$P$3,B386&lt;='IN-NX'!$Q$3,'IN-NX'!$D$7=D386,OR(LEFT(L386,2)="15",AND(LEFT(M386,2)&lt;&gt;"15",LEFT(M386,2)&lt;&gt;"33"))),"x","")</f>
        <v/>
      </c>
      <c r="X386" s="51" t="str">
        <f>IF(AND(OR(LEFT(TH!L386,2)="15",LEFT(TH!M386,2)="15"),'152-CT'!$J$8=TH!F386),"x","")</f>
        <v/>
      </c>
      <c r="Y386" s="51" t="str">
        <f>IF(AND(OR(LEFT(TH!L386,2)="15",LEFT(TH!M386,2)="15"),TK!$E$7=TH!F386),"x","")</f>
        <v/>
      </c>
      <c r="Z386" s="51" t="str">
        <f>IF(AND(B386&lt;=NKC!$N$8,B386&gt;=NKC!$M$8),"x","")</f>
        <v/>
      </c>
      <c r="AA386" s="803"/>
      <c r="AB386" s="565"/>
    </row>
    <row r="387" spans="1:28" ht="15.75" customHeight="1">
      <c r="A387" s="804" t="str">
        <f>IF(B387&lt;&gt;"",IF(AND(B387&gt;=_TM1,B387&lt;=_TM2,OR(TH!L387="1111",TH!M387="1111")),TH!D387,""),"")</f>
        <v/>
      </c>
      <c r="B387" s="36">
        <f t="shared" si="23"/>
        <v>6</v>
      </c>
      <c r="C387" s="189">
        <f t="shared" si="24"/>
        <v>42185</v>
      </c>
      <c r="D387" s="189" t="s">
        <v>1299</v>
      </c>
      <c r="E387" s="189">
        <v>42185</v>
      </c>
      <c r="F387" s="190" t="s">
        <v>994</v>
      </c>
      <c r="G387" s="813" t="s">
        <v>1000</v>
      </c>
      <c r="H387" s="191" t="s">
        <v>441</v>
      </c>
      <c r="I387" s="243"/>
      <c r="J387" s="243"/>
      <c r="K387" s="573">
        <v>1687300</v>
      </c>
      <c r="L387" s="574" t="s">
        <v>250</v>
      </c>
      <c r="M387" s="574" t="s">
        <v>352</v>
      </c>
      <c r="N387" s="51" t="str">
        <f>IF(AND('331-CT'!$E$7=TH!H387,OR(L387="331",M387="331")),"331",IF(AND(OR(L387="131",M387="131"),H387='131-CT'!$E$7),"131",""))</f>
        <v/>
      </c>
      <c r="O387" s="51" t="str">
        <f>IF(AND($B387&gt;='111'!$N$11,$B387&lt;='111'!$O$11,OR($L387=$O$7,$M387=$O$7)),"x","")</f>
        <v/>
      </c>
      <c r="P387" s="51" t="str">
        <f>IF(AND($L387=$O$7,$B387&lt;'111'!$N$11),"x","")</f>
        <v/>
      </c>
      <c r="Q387" s="51" t="str">
        <f>IF(AND($M387=$O$7,$B387&lt;'111'!$N$11),"x","")</f>
        <v/>
      </c>
      <c r="R387" s="51" t="str">
        <f>IF(ISERROR(FIND('112'!$M$9,G387,1)),"",IF((AND(FIND('112'!$M$9,G387,1)&gt;=1,$B387&gt;='112'!$N$8,$B387&lt;='112'!$O$8,OR($L387='112'!$I$6,$M387='112'!$I$6))),"x",""))</f>
        <v/>
      </c>
      <c r="S387" s="51" t="str">
        <f>IF(ISERROR(FIND('112'!$M$9,G387,1)),"",IF((AND(LEFT(G387,2)=LEFT('112'!$M$9,2),B387&lt;'112'!$N$8,$L387='112'!$I$6)),"x",""))</f>
        <v/>
      </c>
      <c r="T387" s="51" t="str">
        <f>IF(ISERROR(FIND('112'!$M$9,G387,1)),"",IF((AND(RIGHT(G387,2)=RIGHT('112'!$M$9,2),B387&lt;'112'!$N$8,$M387='112'!$I$6)),"x",""))</f>
        <v/>
      </c>
      <c r="U387" s="51" t="str">
        <f>IF(AND(L387="154",'154'!$O$5&lt;=B387,'154'!$P$5&gt;=B387),"154",IF(AND(L387="632",'632'!$L$5&lt;=B387,'632'!$M$5&gt;=B387),"632",IF(AND(L387="642",'642'!$N$5&lt;=B387,'642'!$O$5&gt;=B387),"642",IF(AND(L387="641",'641'!$N$5&lt;=B387,'641'!$O$5&gt;=B387),"641",""))))</f>
        <v/>
      </c>
      <c r="V387" s="51" t="str">
        <f>IF(OR(TH!L387=TH!$V$7,M387=TH!$V$7),"x","")</f>
        <v/>
      </c>
      <c r="W387" s="51" t="str">
        <f>IF(AND(B387&gt;='IN-NX'!$P$3,B387&lt;='IN-NX'!$Q$3,'IN-NX'!$D$7=D387,OR(LEFT(L387,2)="15",AND(LEFT(M387,2)&lt;&gt;"15",LEFT(M387,2)&lt;&gt;"33"))),"x","")</f>
        <v/>
      </c>
      <c r="X387" s="51" t="str">
        <f>IF(AND(OR(LEFT(TH!L387,2)="15",LEFT(TH!M387,2)="15"),'152-CT'!$J$8=TH!F387),"x","")</f>
        <v/>
      </c>
      <c r="Y387" s="51" t="str">
        <f>IF(AND(OR(LEFT(TH!L387,2)="15",LEFT(TH!M387,2)="15"),TK!$E$7=TH!F387),"x","")</f>
        <v/>
      </c>
      <c r="Z387" s="51" t="str">
        <f>IF(AND(B387&lt;=NKC!$N$8,B387&gt;=NKC!$M$8),"x","")</f>
        <v/>
      </c>
      <c r="AA387" s="803"/>
      <c r="AB387" s="565"/>
    </row>
    <row r="388" spans="1:28" ht="15.75" customHeight="1">
      <c r="A388" s="804" t="str">
        <f>IF(B388&lt;&gt;"",IF(AND(B388&gt;=_TM1,B388&lt;=_TM2,OR(TH!L388="1111",TH!M388="1111")),TH!D388,""),"")</f>
        <v/>
      </c>
      <c r="B388" s="36">
        <f t="shared" si="23"/>
        <v>6</v>
      </c>
      <c r="C388" s="189">
        <f t="shared" si="24"/>
        <v>42185</v>
      </c>
      <c r="D388" s="189" t="s">
        <v>1300</v>
      </c>
      <c r="E388" s="189">
        <v>42185</v>
      </c>
      <c r="F388" s="190" t="s">
        <v>570</v>
      </c>
      <c r="G388" s="813" t="s">
        <v>1001</v>
      </c>
      <c r="H388" s="191" t="s">
        <v>441</v>
      </c>
      <c r="I388" s="243">
        <v>400</v>
      </c>
      <c r="J388" s="243">
        <v>25258</v>
      </c>
      <c r="K388" s="573">
        <f>ROUND(I388*J388,0)</f>
        <v>10103200</v>
      </c>
      <c r="L388" s="574" t="s">
        <v>250</v>
      </c>
      <c r="M388" s="574" t="s">
        <v>164</v>
      </c>
      <c r="N388" s="51" t="str">
        <f>IF(AND('331-CT'!$E$7=TH!H388,OR(L388="331",M388="331")),"331",IF(AND(OR(L388="131",M388="131"),H388='131-CT'!$E$7),"131",""))</f>
        <v/>
      </c>
      <c r="O388" s="51" t="str">
        <f>IF(AND($B388&gt;='111'!$N$11,$B388&lt;='111'!$O$11,OR($L388=$O$7,$M388=$O$7)),"x","")</f>
        <v/>
      </c>
      <c r="P388" s="51" t="str">
        <f>IF(AND($L388=$O$7,$B388&lt;'111'!$N$11),"x","")</f>
        <v/>
      </c>
      <c r="Q388" s="51" t="str">
        <f>IF(AND($M388=$O$7,$B388&lt;'111'!$N$11),"x","")</f>
        <v/>
      </c>
      <c r="R388" s="51" t="str">
        <f>IF(ISERROR(FIND('112'!$M$9,G388,1)),"",IF((AND(FIND('112'!$M$9,G388,1)&gt;=1,$B388&gt;='112'!$N$8,$B388&lt;='112'!$O$8,OR($L388='112'!$I$6,$M388='112'!$I$6))),"x",""))</f>
        <v/>
      </c>
      <c r="S388" s="51" t="str">
        <f>IF(ISERROR(FIND('112'!$M$9,G388,1)),"",IF((AND(LEFT(G388,2)=LEFT('112'!$M$9,2),B388&lt;'112'!$N$8,$L388='112'!$I$6)),"x",""))</f>
        <v/>
      </c>
      <c r="T388" s="51" t="str">
        <f>IF(ISERROR(FIND('112'!$M$9,G388,1)),"",IF((AND(RIGHT(G388,2)=RIGHT('112'!$M$9,2),B388&lt;'112'!$N$8,$M388='112'!$I$6)),"x",""))</f>
        <v/>
      </c>
      <c r="U388" s="51" t="str">
        <f>IF(AND(L388="154",'154'!$O$5&lt;=B388,'154'!$P$5&gt;=B388),"154",IF(AND(L388="632",'632'!$L$5&lt;=B388,'632'!$M$5&gt;=B388),"632",IF(AND(L388="642",'642'!$N$5&lt;=B388,'642'!$O$5&gt;=B388),"642",IF(AND(L388="641",'641'!$N$5&lt;=B388,'641'!$O$5&gt;=B388),"641",""))))</f>
        <v/>
      </c>
      <c r="V388" s="51" t="str">
        <f>IF(OR(TH!L388=TH!$V$7,M388=TH!$V$7),"x","")</f>
        <v/>
      </c>
      <c r="W388" s="51" t="str">
        <f>IF(AND(B388&gt;='IN-NX'!$P$3,B388&lt;='IN-NX'!$Q$3,'IN-NX'!$D$7=D388,OR(LEFT(L388,2)="15",AND(LEFT(M388,2)&lt;&gt;"15",LEFT(M388,2)&lt;&gt;"33"))),"x","")</f>
        <v/>
      </c>
      <c r="X388" s="51" t="str">
        <f>IF(AND(OR(LEFT(TH!L388,2)="15",LEFT(TH!M388,2)="15"),'152-CT'!$J$8=TH!F388),"x","")</f>
        <v/>
      </c>
      <c r="Y388" s="51" t="str">
        <f>IF(AND(OR(LEFT(TH!L388,2)="15",LEFT(TH!M388,2)="15"),TK!$E$7=TH!F388),"x","")</f>
        <v/>
      </c>
      <c r="Z388" s="51" t="str">
        <f>IF(AND(B388&lt;=NKC!$N$8,B388&gt;=NKC!$M$8),"x","")</f>
        <v/>
      </c>
      <c r="AA388" s="803"/>
      <c r="AB388" s="565"/>
    </row>
    <row r="389" spans="1:28" ht="15.75" customHeight="1">
      <c r="A389" s="804" t="str">
        <f>IF(B389&lt;&gt;"",IF(AND(B389&gt;=_TM1,B389&lt;=_TM2,OR(TH!L389="1111",TH!M389="1111")),TH!D389,""),"")</f>
        <v/>
      </c>
      <c r="B389" s="36">
        <f t="shared" si="23"/>
        <v>6</v>
      </c>
      <c r="C389" s="189">
        <f t="shared" si="24"/>
        <v>42185</v>
      </c>
      <c r="D389" s="189" t="s">
        <v>1300</v>
      </c>
      <c r="E389" s="189">
        <v>42185</v>
      </c>
      <c r="F389" s="190" t="s">
        <v>571</v>
      </c>
      <c r="G389" s="813" t="s">
        <v>1001</v>
      </c>
      <c r="H389" s="191" t="s">
        <v>441</v>
      </c>
      <c r="I389" s="243">
        <v>600</v>
      </c>
      <c r="J389" s="243">
        <v>12406</v>
      </c>
      <c r="K389" s="573">
        <f>ROUND(I389*J389,0)</f>
        <v>7443600</v>
      </c>
      <c r="L389" s="574" t="s">
        <v>250</v>
      </c>
      <c r="M389" s="574" t="s">
        <v>164</v>
      </c>
      <c r="N389" s="51" t="str">
        <f>IF(AND('331-CT'!$E$7=TH!H389,OR(L389="331",M389="331")),"331",IF(AND(OR(L389="131",M389="131"),H389='131-CT'!$E$7),"131",""))</f>
        <v/>
      </c>
      <c r="O389" s="51" t="str">
        <f>IF(AND($B389&gt;='111'!$N$11,$B389&lt;='111'!$O$11,OR($L389=$O$7,$M389=$O$7)),"x","")</f>
        <v/>
      </c>
      <c r="P389" s="51" t="str">
        <f>IF(AND($L389=$O$7,$B389&lt;'111'!$N$11),"x","")</f>
        <v/>
      </c>
      <c r="Q389" s="51" t="str">
        <f>IF(AND($M389=$O$7,$B389&lt;'111'!$N$11),"x","")</f>
        <v/>
      </c>
      <c r="R389" s="51" t="str">
        <f>IF(ISERROR(FIND('112'!$M$9,G389,1)),"",IF((AND(FIND('112'!$M$9,G389,1)&gt;=1,$B389&gt;='112'!$N$8,$B389&lt;='112'!$O$8,OR($L389='112'!$I$6,$M389='112'!$I$6))),"x",""))</f>
        <v/>
      </c>
      <c r="S389" s="51" t="str">
        <f>IF(ISERROR(FIND('112'!$M$9,G389,1)),"",IF((AND(LEFT(G389,2)=LEFT('112'!$M$9,2),B389&lt;'112'!$N$8,$L389='112'!$I$6)),"x",""))</f>
        <v/>
      </c>
      <c r="T389" s="51" t="str">
        <f>IF(ISERROR(FIND('112'!$M$9,G389,1)),"",IF((AND(RIGHT(G389,2)=RIGHT('112'!$M$9,2),B389&lt;'112'!$N$8,$M389='112'!$I$6)),"x",""))</f>
        <v/>
      </c>
      <c r="U389" s="51" t="str">
        <f>IF(AND(L389="154",'154'!$O$5&lt;=B389,'154'!$P$5&gt;=B389),"154",IF(AND(L389="632",'632'!$L$5&lt;=B389,'632'!$M$5&gt;=B389),"632",IF(AND(L389="642",'642'!$N$5&lt;=B389,'642'!$O$5&gt;=B389),"642",IF(AND(L389="641",'641'!$N$5&lt;=B389,'641'!$O$5&gt;=B389),"641",""))))</f>
        <v/>
      </c>
      <c r="V389" s="51" t="str">
        <f>IF(OR(TH!L389=TH!$V$7,M389=TH!$V$7),"x","")</f>
        <v/>
      </c>
      <c r="W389" s="51" t="str">
        <f>IF(AND(B389&gt;='IN-NX'!$P$3,B389&lt;='IN-NX'!$Q$3,'IN-NX'!$D$7=D389,OR(LEFT(L389,2)="15",AND(LEFT(M389,2)&lt;&gt;"15",LEFT(M389,2)&lt;&gt;"33"))),"x","")</f>
        <v/>
      </c>
      <c r="X389" s="51" t="str">
        <f>IF(AND(OR(LEFT(TH!L389,2)="15",LEFT(TH!M389,2)="15"),'152-CT'!$J$8=TH!F389),"x","")</f>
        <v/>
      </c>
      <c r="Y389" s="51" t="str">
        <f>IF(AND(OR(LEFT(TH!L389,2)="15",LEFT(TH!M389,2)="15"),TK!$E$7=TH!F389),"x","")</f>
        <v/>
      </c>
      <c r="Z389" s="51" t="str">
        <f>IF(AND(B389&lt;=NKC!$N$8,B389&gt;=NKC!$M$8),"x","")</f>
        <v/>
      </c>
      <c r="AA389" s="803"/>
      <c r="AB389" s="565"/>
    </row>
    <row r="390" spans="1:28" ht="15.75" customHeight="1">
      <c r="A390" s="804" t="str">
        <f>IF(B390&lt;&gt;"",IF(AND(B390&gt;=_TM1,B390&lt;=_TM2,OR(TH!L390="1111",TH!M390="1111")),TH!D390,""),"")</f>
        <v/>
      </c>
      <c r="B390" s="36">
        <f t="shared" si="23"/>
        <v>6</v>
      </c>
      <c r="C390" s="189">
        <f t="shared" si="24"/>
        <v>42185</v>
      </c>
      <c r="D390" s="189" t="s">
        <v>1300</v>
      </c>
      <c r="E390" s="189">
        <v>42185</v>
      </c>
      <c r="F390" s="190" t="s">
        <v>994</v>
      </c>
      <c r="G390" s="813" t="s">
        <v>1001</v>
      </c>
      <c r="H390" s="191" t="s">
        <v>441</v>
      </c>
      <c r="I390" s="243"/>
      <c r="J390" s="243"/>
      <c r="K390" s="573">
        <v>1754680</v>
      </c>
      <c r="L390" s="574" t="s">
        <v>250</v>
      </c>
      <c r="M390" s="574" t="s">
        <v>352</v>
      </c>
      <c r="N390" s="51" t="str">
        <f>IF(AND('331-CT'!$E$7=TH!H390,OR(L390="331",M390="331")),"331",IF(AND(OR(L390="131",M390="131"),H390='131-CT'!$E$7),"131",""))</f>
        <v/>
      </c>
      <c r="O390" s="51" t="str">
        <f>IF(AND($B390&gt;='111'!$N$11,$B390&lt;='111'!$O$11,OR($L390=$O$7,$M390=$O$7)),"x","")</f>
        <v/>
      </c>
      <c r="P390" s="51" t="str">
        <f>IF(AND($L390=$O$7,$B390&lt;'111'!$N$11),"x","")</f>
        <v/>
      </c>
      <c r="Q390" s="51" t="str">
        <f>IF(AND($M390=$O$7,$B390&lt;'111'!$N$11),"x","")</f>
        <v/>
      </c>
      <c r="R390" s="51" t="str">
        <f>IF(ISERROR(FIND('112'!$M$9,G390,1)),"",IF((AND(FIND('112'!$M$9,G390,1)&gt;=1,$B390&gt;='112'!$N$8,$B390&lt;='112'!$O$8,OR($L390='112'!$I$6,$M390='112'!$I$6))),"x",""))</f>
        <v/>
      </c>
      <c r="S390" s="51" t="str">
        <f>IF(ISERROR(FIND('112'!$M$9,G390,1)),"",IF((AND(LEFT(G390,2)=LEFT('112'!$M$9,2),B390&lt;'112'!$N$8,$L390='112'!$I$6)),"x",""))</f>
        <v/>
      </c>
      <c r="T390" s="51" t="str">
        <f>IF(ISERROR(FIND('112'!$M$9,G390,1)),"",IF((AND(RIGHT(G390,2)=RIGHT('112'!$M$9,2),B390&lt;'112'!$N$8,$M390='112'!$I$6)),"x",""))</f>
        <v/>
      </c>
      <c r="U390" s="51" t="str">
        <f>IF(AND(L390="154",'154'!$O$5&lt;=B390,'154'!$P$5&gt;=B390),"154",IF(AND(L390="632",'632'!$L$5&lt;=B390,'632'!$M$5&gt;=B390),"632",IF(AND(L390="642",'642'!$N$5&lt;=B390,'642'!$O$5&gt;=B390),"642",IF(AND(L390="641",'641'!$N$5&lt;=B390,'641'!$O$5&gt;=B390),"641",""))))</f>
        <v/>
      </c>
      <c r="V390" s="51" t="str">
        <f>IF(OR(TH!L390=TH!$V$7,M390=TH!$V$7),"x","")</f>
        <v/>
      </c>
      <c r="W390" s="51" t="str">
        <f>IF(AND(B390&gt;='IN-NX'!$P$3,B390&lt;='IN-NX'!$Q$3,'IN-NX'!$D$7=D390,OR(LEFT(L390,2)="15",AND(LEFT(M390,2)&lt;&gt;"15",LEFT(M390,2)&lt;&gt;"33"))),"x","")</f>
        <v/>
      </c>
      <c r="X390" s="51" t="str">
        <f>IF(AND(OR(LEFT(TH!L390,2)="15",LEFT(TH!M390,2)="15"),'152-CT'!$J$8=TH!F390),"x","")</f>
        <v/>
      </c>
      <c r="Y390" s="51" t="str">
        <f>IF(AND(OR(LEFT(TH!L390,2)="15",LEFT(TH!M390,2)="15"),TK!$E$7=TH!F390),"x","")</f>
        <v/>
      </c>
      <c r="Z390" s="51" t="str">
        <f>IF(AND(B390&lt;=NKC!$N$8,B390&gt;=NKC!$M$8),"x","")</f>
        <v/>
      </c>
      <c r="AA390" s="803"/>
      <c r="AB390" s="565"/>
    </row>
    <row r="391" spans="1:28" ht="15.75" customHeight="1">
      <c r="A391" s="804" t="str">
        <f>IF(B391&lt;&gt;"",IF(AND(B391&gt;=_TM1,B391&lt;=_TM2,OR(TH!L391="1111",TH!M391="1111")),TH!D391,""),"")</f>
        <v/>
      </c>
      <c r="B391" s="36">
        <f t="shared" si="23"/>
        <v>6</v>
      </c>
      <c r="C391" s="189">
        <f t="shared" si="24"/>
        <v>42185</v>
      </c>
      <c r="D391" s="189" t="s">
        <v>1301</v>
      </c>
      <c r="E391" s="189">
        <v>42185</v>
      </c>
      <c r="F391" s="190" t="s">
        <v>574</v>
      </c>
      <c r="G391" s="813" t="s">
        <v>1002</v>
      </c>
      <c r="H391" s="191" t="s">
        <v>441</v>
      </c>
      <c r="I391" s="243">
        <v>500</v>
      </c>
      <c r="J391" s="243">
        <v>15909</v>
      </c>
      <c r="K391" s="573">
        <f>ROUND(I391*J391,0)</f>
        <v>7954500</v>
      </c>
      <c r="L391" s="574" t="s">
        <v>250</v>
      </c>
      <c r="M391" s="574" t="s">
        <v>164</v>
      </c>
      <c r="N391" s="51" t="str">
        <f>IF(AND('331-CT'!$E$7=TH!H391,OR(L391="331",M391="331")),"331",IF(AND(OR(L391="131",M391="131"),H391='131-CT'!$E$7),"131",""))</f>
        <v/>
      </c>
      <c r="O391" s="51" t="str">
        <f>IF(AND($B391&gt;='111'!$N$11,$B391&lt;='111'!$O$11,OR($L391=$O$7,$M391=$O$7)),"x","")</f>
        <v/>
      </c>
      <c r="P391" s="51" t="str">
        <f>IF(AND($L391=$O$7,$B391&lt;'111'!$N$11),"x","")</f>
        <v/>
      </c>
      <c r="Q391" s="51" t="str">
        <f>IF(AND($M391=$O$7,$B391&lt;'111'!$N$11),"x","")</f>
        <v/>
      </c>
      <c r="R391" s="51" t="str">
        <f>IF(ISERROR(FIND('112'!$M$9,G391,1)),"",IF((AND(FIND('112'!$M$9,G391,1)&gt;=1,$B391&gt;='112'!$N$8,$B391&lt;='112'!$O$8,OR($L391='112'!$I$6,$M391='112'!$I$6))),"x",""))</f>
        <v/>
      </c>
      <c r="S391" s="51" t="str">
        <f>IF(ISERROR(FIND('112'!$M$9,G391,1)),"",IF((AND(LEFT(G391,2)=LEFT('112'!$M$9,2),B391&lt;'112'!$N$8,$L391='112'!$I$6)),"x",""))</f>
        <v/>
      </c>
      <c r="T391" s="51" t="str">
        <f>IF(ISERROR(FIND('112'!$M$9,G391,1)),"",IF((AND(RIGHT(G391,2)=RIGHT('112'!$M$9,2),B391&lt;'112'!$N$8,$M391='112'!$I$6)),"x",""))</f>
        <v/>
      </c>
      <c r="U391" s="51" t="str">
        <f>IF(AND(L391="154",'154'!$O$5&lt;=B391,'154'!$P$5&gt;=B391),"154",IF(AND(L391="632",'632'!$L$5&lt;=B391,'632'!$M$5&gt;=B391),"632",IF(AND(L391="642",'642'!$N$5&lt;=B391,'642'!$O$5&gt;=B391),"642",IF(AND(L391="641",'641'!$N$5&lt;=B391,'641'!$O$5&gt;=B391),"641",""))))</f>
        <v/>
      </c>
      <c r="V391" s="51" t="str">
        <f>IF(OR(TH!L391=TH!$V$7,M391=TH!$V$7),"x","")</f>
        <v/>
      </c>
      <c r="W391" s="51" t="str">
        <f>IF(AND(B391&gt;='IN-NX'!$P$3,B391&lt;='IN-NX'!$Q$3,'IN-NX'!$D$7=D391,OR(LEFT(L391,2)="15",AND(LEFT(M391,2)&lt;&gt;"15",LEFT(M391,2)&lt;&gt;"33"))),"x","")</f>
        <v/>
      </c>
      <c r="X391" s="51" t="str">
        <f>IF(AND(OR(LEFT(TH!L391,2)="15",LEFT(TH!M391,2)="15"),'152-CT'!$J$8=TH!F391),"x","")</f>
        <v/>
      </c>
      <c r="Y391" s="51" t="str">
        <f>IF(AND(OR(LEFT(TH!L391,2)="15",LEFT(TH!M391,2)="15"),TK!$E$7=TH!F391),"x","")</f>
        <v/>
      </c>
      <c r="Z391" s="51" t="str">
        <f>IF(AND(B391&lt;=NKC!$N$8,B391&gt;=NKC!$M$8),"x","")</f>
        <v/>
      </c>
      <c r="AA391" s="803"/>
      <c r="AB391" s="565"/>
    </row>
    <row r="392" spans="1:28" ht="15.75" customHeight="1">
      <c r="A392" s="804" t="str">
        <f>IF(B392&lt;&gt;"",IF(AND(B392&gt;=_TM1,B392&lt;=_TM2,OR(TH!L392="1111",TH!M392="1111")),TH!D392,""),"")</f>
        <v/>
      </c>
      <c r="B392" s="36">
        <f t="shared" si="23"/>
        <v>6</v>
      </c>
      <c r="C392" s="189">
        <f t="shared" si="24"/>
        <v>42185</v>
      </c>
      <c r="D392" s="189" t="s">
        <v>1301</v>
      </c>
      <c r="E392" s="189">
        <v>42185</v>
      </c>
      <c r="F392" s="926" t="s">
        <v>575</v>
      </c>
      <c r="G392" s="813" t="s">
        <v>1002</v>
      </c>
      <c r="H392" s="191" t="s">
        <v>441</v>
      </c>
      <c r="I392" s="243">
        <v>550</v>
      </c>
      <c r="J392" s="243">
        <v>16627</v>
      </c>
      <c r="K392" s="573">
        <f>ROUND(I392*J392,0)</f>
        <v>9144850</v>
      </c>
      <c r="L392" s="574" t="s">
        <v>250</v>
      </c>
      <c r="M392" s="574" t="s">
        <v>164</v>
      </c>
      <c r="N392" s="51" t="str">
        <f>IF(AND('331-CT'!$E$7=TH!H392,OR(L392="331",M392="331")),"331",IF(AND(OR(L392="131",M392="131"),H392='131-CT'!$E$7),"131",""))</f>
        <v/>
      </c>
      <c r="O392" s="51" t="str">
        <f>IF(AND($B392&gt;='111'!$N$11,$B392&lt;='111'!$O$11,OR($L392=$O$7,$M392=$O$7)),"x","")</f>
        <v/>
      </c>
      <c r="P392" s="51" t="str">
        <f>IF(AND($L392=$O$7,$B392&lt;'111'!$N$11),"x","")</f>
        <v/>
      </c>
      <c r="Q392" s="51" t="str">
        <f>IF(AND($M392=$O$7,$B392&lt;'111'!$N$11),"x","")</f>
        <v/>
      </c>
      <c r="R392" s="51" t="str">
        <f>IF(ISERROR(FIND('112'!$M$9,G392,1)),"",IF((AND(FIND('112'!$M$9,G392,1)&gt;=1,$B392&gt;='112'!$N$8,$B392&lt;='112'!$O$8,OR($L392='112'!$I$6,$M392='112'!$I$6))),"x",""))</f>
        <v/>
      </c>
      <c r="S392" s="51" t="str">
        <f>IF(ISERROR(FIND('112'!$M$9,G392,1)),"",IF((AND(LEFT(G392,2)=LEFT('112'!$M$9,2),B392&lt;'112'!$N$8,$L392='112'!$I$6)),"x",""))</f>
        <v/>
      </c>
      <c r="T392" s="51" t="str">
        <f>IF(ISERROR(FIND('112'!$M$9,G392,1)),"",IF((AND(RIGHT(G392,2)=RIGHT('112'!$M$9,2),B392&lt;'112'!$N$8,$M392='112'!$I$6)),"x",""))</f>
        <v/>
      </c>
      <c r="U392" s="51" t="str">
        <f>IF(AND(L392="154",'154'!$O$5&lt;=B392,'154'!$P$5&gt;=B392),"154",IF(AND(L392="632",'632'!$L$5&lt;=B392,'632'!$M$5&gt;=B392),"632",IF(AND(L392="642",'642'!$N$5&lt;=B392,'642'!$O$5&gt;=B392),"642",IF(AND(L392="641",'641'!$N$5&lt;=B392,'641'!$O$5&gt;=B392),"641",""))))</f>
        <v/>
      </c>
      <c r="V392" s="51" t="str">
        <f>IF(OR(TH!L392=TH!$V$7,M392=TH!$V$7),"x","")</f>
        <v/>
      </c>
      <c r="W392" s="51" t="str">
        <f>IF(AND(B392&gt;='IN-NX'!$P$3,B392&lt;='IN-NX'!$Q$3,'IN-NX'!$D$7=D392,OR(LEFT(L392,2)="15",AND(LEFT(M392,2)&lt;&gt;"15",LEFT(M392,2)&lt;&gt;"33"))),"x","")</f>
        <v/>
      </c>
      <c r="X392" s="51" t="str">
        <f>IF(AND(OR(LEFT(TH!L392,2)="15",LEFT(TH!M392,2)="15"),'152-CT'!$J$8=TH!F392),"x","")</f>
        <v/>
      </c>
      <c r="Y392" s="51" t="str">
        <f>IF(AND(OR(LEFT(TH!L392,2)="15",LEFT(TH!M392,2)="15"),TK!$E$7=TH!F392),"x","")</f>
        <v/>
      </c>
      <c r="Z392" s="51" t="str">
        <f>IF(AND(B392&lt;=NKC!$N$8,B392&gt;=NKC!$M$8),"x","")</f>
        <v/>
      </c>
      <c r="AA392" s="803"/>
      <c r="AB392" s="565"/>
    </row>
    <row r="393" spans="1:28" ht="15.75" customHeight="1">
      <c r="A393" s="804" t="str">
        <f>IF(B393&lt;&gt;"",IF(AND(B393&gt;=_TM1,B393&lt;=_TM2,OR(TH!L393="1111",TH!M393="1111")),TH!D393,""),"")</f>
        <v/>
      </c>
      <c r="B393" s="36">
        <f t="shared" si="23"/>
        <v>6</v>
      </c>
      <c r="C393" s="189">
        <f t="shared" si="24"/>
        <v>42185</v>
      </c>
      <c r="D393" s="189" t="s">
        <v>1301</v>
      </c>
      <c r="E393" s="189">
        <v>42185</v>
      </c>
      <c r="F393" s="922" t="s">
        <v>994</v>
      </c>
      <c r="G393" s="813" t="s">
        <v>1002</v>
      </c>
      <c r="H393" s="191" t="s">
        <v>441</v>
      </c>
      <c r="I393" s="243"/>
      <c r="J393" s="243"/>
      <c r="K393" s="573">
        <v>1709935</v>
      </c>
      <c r="L393" s="574" t="s">
        <v>250</v>
      </c>
      <c r="M393" s="574" t="s">
        <v>352</v>
      </c>
      <c r="N393" s="51" t="str">
        <f>IF(AND('331-CT'!$E$7=TH!H393,OR(L393="331",M393="331")),"331",IF(AND(OR(L393="131",M393="131"),H393='131-CT'!$E$7),"131",""))</f>
        <v/>
      </c>
      <c r="O393" s="51" t="str">
        <f>IF(AND($B393&gt;='111'!$N$11,$B393&lt;='111'!$O$11,OR($L393=$O$7,$M393=$O$7)),"x","")</f>
        <v/>
      </c>
      <c r="P393" s="51" t="str">
        <f>IF(AND($L393=$O$7,$B393&lt;'111'!$N$11),"x","")</f>
        <v/>
      </c>
      <c r="Q393" s="51" t="str">
        <f>IF(AND($M393=$O$7,$B393&lt;'111'!$N$11),"x","")</f>
        <v/>
      </c>
      <c r="R393" s="51" t="str">
        <f>IF(ISERROR(FIND('112'!$M$9,G393,1)),"",IF((AND(FIND('112'!$M$9,G393,1)&gt;=1,$B393&gt;='112'!$N$8,$B393&lt;='112'!$O$8,OR($L393='112'!$I$6,$M393='112'!$I$6))),"x",""))</f>
        <v/>
      </c>
      <c r="S393" s="51" t="str">
        <f>IF(ISERROR(FIND('112'!$M$9,G393,1)),"",IF((AND(LEFT(G393,2)=LEFT('112'!$M$9,2),B393&lt;'112'!$N$8,$L393='112'!$I$6)),"x",""))</f>
        <v/>
      </c>
      <c r="T393" s="51" t="str">
        <f>IF(ISERROR(FIND('112'!$M$9,G393,1)),"",IF((AND(RIGHT(G393,2)=RIGHT('112'!$M$9,2),B393&lt;'112'!$N$8,$M393='112'!$I$6)),"x",""))</f>
        <v/>
      </c>
      <c r="U393" s="51" t="str">
        <f>IF(AND(L393="154",'154'!$O$5&lt;=B393,'154'!$P$5&gt;=B393),"154",IF(AND(L393="632",'632'!$L$5&lt;=B393,'632'!$M$5&gt;=B393),"632",IF(AND(L393="642",'642'!$N$5&lt;=B393,'642'!$O$5&gt;=B393),"642",IF(AND(L393="641",'641'!$N$5&lt;=B393,'641'!$O$5&gt;=B393),"641",""))))</f>
        <v/>
      </c>
      <c r="V393" s="51" t="str">
        <f>IF(OR(TH!L393=TH!$V$7,M393=TH!$V$7),"x","")</f>
        <v/>
      </c>
      <c r="W393" s="51" t="str">
        <f>IF(AND(B393&gt;='IN-NX'!$P$3,B393&lt;='IN-NX'!$Q$3,'IN-NX'!$D$7=D393,OR(LEFT(L393,2)="15",AND(LEFT(M393,2)&lt;&gt;"15",LEFT(M393,2)&lt;&gt;"33"))),"x","")</f>
        <v/>
      </c>
      <c r="X393" s="51" t="str">
        <f>IF(AND(OR(LEFT(TH!L393,2)="15",LEFT(TH!M393,2)="15"),'152-CT'!$J$8=TH!F393),"x","")</f>
        <v/>
      </c>
      <c r="Y393" s="51" t="str">
        <f>IF(AND(OR(LEFT(TH!L393,2)="15",LEFT(TH!M393,2)="15"),TK!$E$7=TH!F393),"x","")</f>
        <v/>
      </c>
      <c r="Z393" s="51" t="str">
        <f>IF(AND(B393&lt;=NKC!$N$8,B393&gt;=NKC!$M$8),"x","")</f>
        <v/>
      </c>
      <c r="AA393" s="803"/>
      <c r="AB393" s="565"/>
    </row>
    <row r="394" spans="1:28" ht="15.75" customHeight="1">
      <c r="A394" s="804" t="str">
        <f>IF(B394&lt;&gt;"",IF(AND(B394&gt;=_TM1,B394&lt;=_TM2,OR(TH!L394="1111",TH!M394="1111")),TH!D394,""),"")</f>
        <v/>
      </c>
      <c r="B394" s="36">
        <f t="shared" si="23"/>
        <v>6</v>
      </c>
      <c r="C394" s="189">
        <f t="shared" si="24"/>
        <v>42185</v>
      </c>
      <c r="D394" s="189" t="s">
        <v>1302</v>
      </c>
      <c r="E394" s="189">
        <v>42185</v>
      </c>
      <c r="F394" s="190" t="s">
        <v>578</v>
      </c>
      <c r="G394" s="813" t="s">
        <v>1003</v>
      </c>
      <c r="H394" s="191" t="s">
        <v>441</v>
      </c>
      <c r="I394" s="243">
        <v>490</v>
      </c>
      <c r="J394" s="243">
        <v>22964</v>
      </c>
      <c r="K394" s="573">
        <f>ROUND(I394*J394,0)</f>
        <v>11252360</v>
      </c>
      <c r="L394" s="574" t="s">
        <v>250</v>
      </c>
      <c r="M394" s="574" t="s">
        <v>164</v>
      </c>
      <c r="N394" s="51" t="str">
        <f>IF(AND('331-CT'!$E$7=TH!H394,OR(L394="331",M394="331")),"331",IF(AND(OR(L394="131",M394="131"),H394='131-CT'!$E$7),"131",""))</f>
        <v/>
      </c>
      <c r="O394" s="51" t="str">
        <f>IF(AND($B394&gt;='111'!$N$11,$B394&lt;='111'!$O$11,OR($L394=$O$7,$M394=$O$7)),"x","")</f>
        <v/>
      </c>
      <c r="P394" s="51" t="str">
        <f>IF(AND($L394=$O$7,$B394&lt;'111'!$N$11),"x","")</f>
        <v/>
      </c>
      <c r="Q394" s="51" t="str">
        <f>IF(AND($M394=$O$7,$B394&lt;'111'!$N$11),"x","")</f>
        <v/>
      </c>
      <c r="R394" s="51" t="str">
        <f>IF(ISERROR(FIND('112'!$M$9,G394,1)),"",IF((AND(FIND('112'!$M$9,G394,1)&gt;=1,$B394&gt;='112'!$N$8,$B394&lt;='112'!$O$8,OR($L394='112'!$I$6,$M394='112'!$I$6))),"x",""))</f>
        <v/>
      </c>
      <c r="S394" s="51" t="str">
        <f>IF(ISERROR(FIND('112'!$M$9,G394,1)),"",IF((AND(LEFT(G394,2)=LEFT('112'!$M$9,2),B394&lt;'112'!$N$8,$L394='112'!$I$6)),"x",""))</f>
        <v/>
      </c>
      <c r="T394" s="51" t="str">
        <f>IF(ISERROR(FIND('112'!$M$9,G394,1)),"",IF((AND(RIGHT(G394,2)=RIGHT('112'!$M$9,2),B394&lt;'112'!$N$8,$M394='112'!$I$6)),"x",""))</f>
        <v/>
      </c>
      <c r="U394" s="51" t="str">
        <f>IF(AND(L394="154",'154'!$O$5&lt;=B394,'154'!$P$5&gt;=B394),"154",IF(AND(L394="632",'632'!$L$5&lt;=B394,'632'!$M$5&gt;=B394),"632",IF(AND(L394="642",'642'!$N$5&lt;=B394,'642'!$O$5&gt;=B394),"642",IF(AND(L394="641",'641'!$N$5&lt;=B394,'641'!$O$5&gt;=B394),"641",""))))</f>
        <v/>
      </c>
      <c r="V394" s="51" t="str">
        <f>IF(OR(TH!L394=TH!$V$7,M394=TH!$V$7),"x","")</f>
        <v/>
      </c>
      <c r="W394" s="51" t="str">
        <f>IF(AND(B394&gt;='IN-NX'!$P$3,B394&lt;='IN-NX'!$Q$3,'IN-NX'!$D$7=D394,OR(LEFT(L394,2)="15",AND(LEFT(M394,2)&lt;&gt;"15",LEFT(M394,2)&lt;&gt;"33"))),"x","")</f>
        <v/>
      </c>
      <c r="X394" s="51" t="str">
        <f>IF(AND(OR(LEFT(TH!L394,2)="15",LEFT(TH!M394,2)="15"),'152-CT'!$J$8=TH!F394),"x","")</f>
        <v/>
      </c>
      <c r="Y394" s="51" t="str">
        <f>IF(AND(OR(LEFT(TH!L394,2)="15",LEFT(TH!M394,2)="15"),TK!$E$7=TH!F394),"x","")</f>
        <v/>
      </c>
      <c r="Z394" s="51" t="str">
        <f>IF(AND(B394&lt;=NKC!$N$8,B394&gt;=NKC!$M$8),"x","")</f>
        <v/>
      </c>
      <c r="AA394" s="803"/>
      <c r="AB394" s="565"/>
    </row>
    <row r="395" spans="1:28" ht="15.75" customHeight="1">
      <c r="A395" s="804" t="str">
        <f>IF(B395&lt;&gt;"",IF(AND(B395&gt;=_TM1,B395&lt;=_TM2,OR(TH!L395="1111",TH!M395="1111")),TH!D395,""),"")</f>
        <v/>
      </c>
      <c r="B395" s="36">
        <f t="shared" si="23"/>
        <v>6</v>
      </c>
      <c r="C395" s="189">
        <f t="shared" si="24"/>
        <v>42185</v>
      </c>
      <c r="D395" s="189" t="s">
        <v>1302</v>
      </c>
      <c r="E395" s="189">
        <v>42185</v>
      </c>
      <c r="F395" s="190" t="s">
        <v>576</v>
      </c>
      <c r="G395" s="813" t="s">
        <v>1003</v>
      </c>
      <c r="H395" s="191" t="s">
        <v>441</v>
      </c>
      <c r="I395" s="243">
        <v>500</v>
      </c>
      <c r="J395" s="243">
        <v>13066</v>
      </c>
      <c r="K395" s="573">
        <f>ROUND(I395*J395,0)</f>
        <v>6533000</v>
      </c>
      <c r="L395" s="574" t="s">
        <v>250</v>
      </c>
      <c r="M395" s="574" t="s">
        <v>164</v>
      </c>
      <c r="N395" s="51" t="str">
        <f>IF(AND('331-CT'!$E$7=TH!H395,OR(L395="331",M395="331")),"331",IF(AND(OR(L395="131",M395="131"),H395='131-CT'!$E$7),"131",""))</f>
        <v/>
      </c>
      <c r="O395" s="51" t="str">
        <f>IF(AND($B395&gt;='111'!$N$11,$B395&lt;='111'!$O$11,OR($L395=$O$7,$M395=$O$7)),"x","")</f>
        <v/>
      </c>
      <c r="P395" s="51" t="str">
        <f>IF(AND($L395=$O$7,$B395&lt;'111'!$N$11),"x","")</f>
        <v/>
      </c>
      <c r="Q395" s="51" t="str">
        <f>IF(AND($M395=$O$7,$B395&lt;'111'!$N$11),"x","")</f>
        <v/>
      </c>
      <c r="R395" s="51" t="str">
        <f>IF(ISERROR(FIND('112'!$M$9,G395,1)),"",IF((AND(FIND('112'!$M$9,G395,1)&gt;=1,$B395&gt;='112'!$N$8,$B395&lt;='112'!$O$8,OR($L395='112'!$I$6,$M395='112'!$I$6))),"x",""))</f>
        <v/>
      </c>
      <c r="S395" s="51" t="str">
        <f>IF(ISERROR(FIND('112'!$M$9,G395,1)),"",IF((AND(LEFT(G395,2)=LEFT('112'!$M$9,2),B395&lt;'112'!$N$8,$L395='112'!$I$6)),"x",""))</f>
        <v/>
      </c>
      <c r="T395" s="51" t="str">
        <f>IF(ISERROR(FIND('112'!$M$9,G395,1)),"",IF((AND(RIGHT(G395,2)=RIGHT('112'!$M$9,2),B395&lt;'112'!$N$8,$M395='112'!$I$6)),"x",""))</f>
        <v/>
      </c>
      <c r="U395" s="51" t="str">
        <f>IF(AND(L395="154",'154'!$O$5&lt;=B395,'154'!$P$5&gt;=B395),"154",IF(AND(L395="632",'632'!$L$5&lt;=B395,'632'!$M$5&gt;=B395),"632",IF(AND(L395="642",'642'!$N$5&lt;=B395,'642'!$O$5&gt;=B395),"642",IF(AND(L395="641",'641'!$N$5&lt;=B395,'641'!$O$5&gt;=B395),"641",""))))</f>
        <v/>
      </c>
      <c r="V395" s="51" t="str">
        <f>IF(OR(TH!L395=TH!$V$7,M395=TH!$V$7),"x","")</f>
        <v/>
      </c>
      <c r="W395" s="51" t="str">
        <f>IF(AND(B395&gt;='IN-NX'!$P$3,B395&lt;='IN-NX'!$Q$3,'IN-NX'!$D$7=D395,OR(LEFT(L395,2)="15",AND(LEFT(M395,2)&lt;&gt;"15",LEFT(M395,2)&lt;&gt;"33"))),"x","")</f>
        <v/>
      </c>
      <c r="X395" s="51" t="str">
        <f>IF(AND(OR(LEFT(TH!L395,2)="15",LEFT(TH!M395,2)="15"),'152-CT'!$J$8=TH!F395),"x","")</f>
        <v/>
      </c>
      <c r="Y395" s="51" t="str">
        <f>IF(AND(OR(LEFT(TH!L395,2)="15",LEFT(TH!M395,2)="15"),TK!$E$7=TH!F395),"x","")</f>
        <v/>
      </c>
      <c r="Z395" s="51" t="str">
        <f>IF(AND(B395&lt;=NKC!$N$8,B395&gt;=NKC!$M$8),"x","")</f>
        <v/>
      </c>
      <c r="AA395" s="803"/>
      <c r="AB395" s="565"/>
    </row>
    <row r="396" spans="1:28" ht="15.75" customHeight="1">
      <c r="A396" s="804" t="str">
        <f>IF(B396&lt;&gt;"",IF(AND(B396&gt;=_TM1,B396&lt;=_TM2,OR(TH!L396="1111",TH!M396="1111")),TH!D396,""),"")</f>
        <v/>
      </c>
      <c r="B396" s="36">
        <f t="shared" si="23"/>
        <v>6</v>
      </c>
      <c r="C396" s="189">
        <f t="shared" si="24"/>
        <v>42185</v>
      </c>
      <c r="D396" s="189" t="s">
        <v>1302</v>
      </c>
      <c r="E396" s="189">
        <v>42185</v>
      </c>
      <c r="F396" s="190" t="s">
        <v>994</v>
      </c>
      <c r="G396" s="813" t="s">
        <v>1003</v>
      </c>
      <c r="H396" s="191" t="s">
        <v>441</v>
      </c>
      <c r="I396" s="243"/>
      <c r="J396" s="243"/>
      <c r="K396" s="573">
        <v>1778536</v>
      </c>
      <c r="L396" s="574" t="s">
        <v>250</v>
      </c>
      <c r="M396" s="574" t="s">
        <v>352</v>
      </c>
      <c r="N396" s="51" t="str">
        <f>IF(AND('331-CT'!$E$7=TH!H396,OR(L396="331",M396="331")),"331",IF(AND(OR(L396="131",M396="131"),H396='131-CT'!$E$7),"131",""))</f>
        <v/>
      </c>
      <c r="O396" s="51" t="str">
        <f>IF(AND($B396&gt;='111'!$N$11,$B396&lt;='111'!$O$11,OR($L396=$O$7,$M396=$O$7)),"x","")</f>
        <v/>
      </c>
      <c r="P396" s="51" t="str">
        <f>IF(AND($L396=$O$7,$B396&lt;'111'!$N$11),"x","")</f>
        <v/>
      </c>
      <c r="Q396" s="51" t="str">
        <f>IF(AND($M396=$O$7,$B396&lt;'111'!$N$11),"x","")</f>
        <v/>
      </c>
      <c r="R396" s="51" t="str">
        <f>IF(ISERROR(FIND('112'!$M$9,G396,1)),"",IF((AND(FIND('112'!$M$9,G396,1)&gt;=1,$B396&gt;='112'!$N$8,$B396&lt;='112'!$O$8,OR($L396='112'!$I$6,$M396='112'!$I$6))),"x",""))</f>
        <v/>
      </c>
      <c r="S396" s="51" t="str">
        <f>IF(ISERROR(FIND('112'!$M$9,G396,1)),"",IF((AND(LEFT(G396,2)=LEFT('112'!$M$9,2),B396&lt;'112'!$N$8,$L396='112'!$I$6)),"x",""))</f>
        <v/>
      </c>
      <c r="T396" s="51" t="str">
        <f>IF(ISERROR(FIND('112'!$M$9,G396,1)),"",IF((AND(RIGHT(G396,2)=RIGHT('112'!$M$9,2),B396&lt;'112'!$N$8,$M396='112'!$I$6)),"x",""))</f>
        <v/>
      </c>
      <c r="U396" s="51" t="str">
        <f>IF(AND(L396="154",'154'!$O$5&lt;=B396,'154'!$P$5&gt;=B396),"154",IF(AND(L396="632",'632'!$L$5&lt;=B396,'632'!$M$5&gt;=B396),"632",IF(AND(L396="642",'642'!$N$5&lt;=B396,'642'!$O$5&gt;=B396),"642",IF(AND(L396="641",'641'!$N$5&lt;=B396,'641'!$O$5&gt;=B396),"641",""))))</f>
        <v/>
      </c>
      <c r="V396" s="51" t="str">
        <f>IF(OR(TH!L396=TH!$V$7,M396=TH!$V$7),"x","")</f>
        <v/>
      </c>
      <c r="W396" s="51" t="str">
        <f>IF(AND(B396&gt;='IN-NX'!$P$3,B396&lt;='IN-NX'!$Q$3,'IN-NX'!$D$7=D396,OR(LEFT(L396,2)="15",AND(LEFT(M396,2)&lt;&gt;"15",LEFT(M396,2)&lt;&gt;"33"))),"x","")</f>
        <v/>
      </c>
      <c r="X396" s="51" t="str">
        <f>IF(AND(OR(LEFT(TH!L396,2)="15",LEFT(TH!M396,2)="15"),'152-CT'!$J$8=TH!F396),"x","")</f>
        <v/>
      </c>
      <c r="Y396" s="51" t="str">
        <f>IF(AND(OR(LEFT(TH!L396,2)="15",LEFT(TH!M396,2)="15"),TK!$E$7=TH!F396),"x","")</f>
        <v/>
      </c>
      <c r="Z396" s="51" t="str">
        <f>IF(AND(B396&lt;=NKC!$N$8,B396&gt;=NKC!$M$8),"x","")</f>
        <v/>
      </c>
      <c r="AA396" s="803"/>
      <c r="AB396" s="565"/>
    </row>
    <row r="397" spans="1:28" ht="15.75" customHeight="1">
      <c r="A397" s="804" t="str">
        <f>IF(B397&lt;&gt;"",IF(AND(B397&gt;=_TM1,B397&lt;=_TM2,OR(TH!L397="1111",TH!M397="1111")),TH!D397,""),"")</f>
        <v/>
      </c>
      <c r="B397" s="36">
        <f t="shared" si="23"/>
        <v>6</v>
      </c>
      <c r="C397" s="189">
        <f t="shared" si="24"/>
        <v>42185</v>
      </c>
      <c r="D397" s="189" t="s">
        <v>1303</v>
      </c>
      <c r="E397" s="189">
        <v>42185</v>
      </c>
      <c r="F397" s="187" t="s">
        <v>520</v>
      </c>
      <c r="G397" s="813" t="s">
        <v>1004</v>
      </c>
      <c r="H397" s="191" t="s">
        <v>441</v>
      </c>
      <c r="I397" s="243">
        <v>1300</v>
      </c>
      <c r="J397" s="243">
        <v>12745</v>
      </c>
      <c r="K397" s="573">
        <f>ROUND(I397*J397,0)</f>
        <v>16568500</v>
      </c>
      <c r="L397" s="574" t="s">
        <v>250</v>
      </c>
      <c r="M397" s="574" t="s">
        <v>164</v>
      </c>
      <c r="N397" s="51" t="str">
        <f>IF(AND('331-CT'!$E$7=TH!H397,OR(L397="331",M397="331")),"331",IF(AND(OR(L397="131",M397="131"),H397='131-CT'!$E$7),"131",""))</f>
        <v/>
      </c>
      <c r="O397" s="51" t="str">
        <f>IF(AND($B397&gt;='111'!$N$11,$B397&lt;='111'!$O$11,OR($L397=$O$7,$M397=$O$7)),"x","")</f>
        <v/>
      </c>
      <c r="P397" s="51" t="str">
        <f>IF(AND($L397=$O$7,$B397&lt;'111'!$N$11),"x","")</f>
        <v/>
      </c>
      <c r="Q397" s="51" t="str">
        <f>IF(AND($M397=$O$7,$B397&lt;'111'!$N$11),"x","")</f>
        <v/>
      </c>
      <c r="R397" s="51" t="str">
        <f>IF(ISERROR(FIND('112'!$M$9,G397,1)),"",IF((AND(FIND('112'!$M$9,G397,1)&gt;=1,$B397&gt;='112'!$N$8,$B397&lt;='112'!$O$8,OR($L397='112'!$I$6,$M397='112'!$I$6))),"x",""))</f>
        <v/>
      </c>
      <c r="S397" s="51" t="str">
        <f>IF(ISERROR(FIND('112'!$M$9,G397,1)),"",IF((AND(LEFT(G397,2)=LEFT('112'!$M$9,2),B397&lt;'112'!$N$8,$L397='112'!$I$6)),"x",""))</f>
        <v/>
      </c>
      <c r="T397" s="51" t="str">
        <f>IF(ISERROR(FIND('112'!$M$9,G397,1)),"",IF((AND(RIGHT(G397,2)=RIGHT('112'!$M$9,2),B397&lt;'112'!$N$8,$M397='112'!$I$6)),"x",""))</f>
        <v/>
      </c>
      <c r="U397" s="51" t="str">
        <f>IF(AND(L397="154",'154'!$O$5&lt;=B397,'154'!$P$5&gt;=B397),"154",IF(AND(L397="632",'632'!$L$5&lt;=B397,'632'!$M$5&gt;=B397),"632",IF(AND(L397="642",'642'!$N$5&lt;=B397,'642'!$O$5&gt;=B397),"642",IF(AND(L397="641",'641'!$N$5&lt;=B397,'641'!$O$5&gt;=B397),"641",""))))</f>
        <v/>
      </c>
      <c r="V397" s="51" t="str">
        <f>IF(OR(TH!L397=TH!$V$7,M397=TH!$V$7),"x","")</f>
        <v/>
      </c>
      <c r="W397" s="51" t="str">
        <f>IF(AND(B397&gt;='IN-NX'!$P$3,B397&lt;='IN-NX'!$Q$3,'IN-NX'!$D$7=D397,OR(LEFT(L397,2)="15",AND(LEFT(M397,2)&lt;&gt;"15",LEFT(M397,2)&lt;&gt;"33"))),"x","")</f>
        <v/>
      </c>
      <c r="X397" s="51" t="str">
        <f>IF(AND(OR(LEFT(TH!L397,2)="15",LEFT(TH!M397,2)="15"),'152-CT'!$J$8=TH!F397),"x","")</f>
        <v/>
      </c>
      <c r="Y397" s="51" t="str">
        <f>IF(AND(OR(LEFT(TH!L397,2)="15",LEFT(TH!M397,2)="15"),TK!$E$7=TH!F397),"x","")</f>
        <v/>
      </c>
      <c r="Z397" s="51" t="str">
        <f>IF(AND(B397&lt;=NKC!$N$8,B397&gt;=NKC!$M$8),"x","")</f>
        <v/>
      </c>
      <c r="AA397" s="803"/>
      <c r="AB397" s="565"/>
    </row>
    <row r="398" spans="1:28" ht="15.75" customHeight="1">
      <c r="A398" s="804" t="str">
        <f>IF(B398&lt;&gt;"",IF(AND(B398&gt;=_TM1,B398&lt;=_TM2,OR(TH!L398="1111",TH!M398="1111")),TH!D398,""),"")</f>
        <v/>
      </c>
      <c r="B398" s="36">
        <f t="shared" si="23"/>
        <v>6</v>
      </c>
      <c r="C398" s="189">
        <f t="shared" si="24"/>
        <v>42185</v>
      </c>
      <c r="D398" s="189" t="s">
        <v>1303</v>
      </c>
      <c r="E398" s="189">
        <v>42185</v>
      </c>
      <c r="F398" s="190" t="s">
        <v>994</v>
      </c>
      <c r="G398" s="813" t="s">
        <v>1004</v>
      </c>
      <c r="H398" s="191" t="s">
        <v>441</v>
      </c>
      <c r="I398" s="243"/>
      <c r="J398" s="243"/>
      <c r="K398" s="573">
        <v>1656850</v>
      </c>
      <c r="L398" s="574" t="s">
        <v>250</v>
      </c>
      <c r="M398" s="574" t="s">
        <v>352</v>
      </c>
      <c r="N398" s="51" t="str">
        <f>IF(AND('331-CT'!$E$7=TH!H398,OR(L398="331",M398="331")),"331",IF(AND(OR(L398="131",M398="131"),H398='131-CT'!$E$7),"131",""))</f>
        <v/>
      </c>
      <c r="O398" s="51" t="str">
        <f>IF(AND($B398&gt;='111'!$N$11,$B398&lt;='111'!$O$11,OR($L398=$O$7,$M398=$O$7)),"x","")</f>
        <v/>
      </c>
      <c r="P398" s="51" t="str">
        <f>IF(AND($L398=$O$7,$B398&lt;'111'!$N$11),"x","")</f>
        <v/>
      </c>
      <c r="Q398" s="51" t="str">
        <f>IF(AND($M398=$O$7,$B398&lt;'111'!$N$11),"x","")</f>
        <v/>
      </c>
      <c r="R398" s="51" t="str">
        <f>IF(ISERROR(FIND('112'!$M$9,G398,1)),"",IF((AND(FIND('112'!$M$9,G398,1)&gt;=1,$B398&gt;='112'!$N$8,$B398&lt;='112'!$O$8,OR($L398='112'!$I$6,$M398='112'!$I$6))),"x",""))</f>
        <v/>
      </c>
      <c r="S398" s="51" t="str">
        <f>IF(ISERROR(FIND('112'!$M$9,G398,1)),"",IF((AND(LEFT(G398,2)=LEFT('112'!$M$9,2),B398&lt;'112'!$N$8,$L398='112'!$I$6)),"x",""))</f>
        <v/>
      </c>
      <c r="T398" s="51" t="str">
        <f>IF(ISERROR(FIND('112'!$M$9,G398,1)),"",IF((AND(RIGHT(G398,2)=RIGHT('112'!$M$9,2),B398&lt;'112'!$N$8,$M398='112'!$I$6)),"x",""))</f>
        <v/>
      </c>
      <c r="U398" s="51" t="str">
        <f>IF(AND(L398="154",'154'!$O$5&lt;=B398,'154'!$P$5&gt;=B398),"154",IF(AND(L398="632",'632'!$L$5&lt;=B398,'632'!$M$5&gt;=B398),"632",IF(AND(L398="642",'642'!$N$5&lt;=B398,'642'!$O$5&gt;=B398),"642",IF(AND(L398="641",'641'!$N$5&lt;=B398,'641'!$O$5&gt;=B398),"641",""))))</f>
        <v/>
      </c>
      <c r="V398" s="51" t="str">
        <f>IF(OR(TH!L398=TH!$V$7,M398=TH!$V$7),"x","")</f>
        <v/>
      </c>
      <c r="W398" s="51" t="str">
        <f>IF(AND(B398&gt;='IN-NX'!$P$3,B398&lt;='IN-NX'!$Q$3,'IN-NX'!$D$7=D398,OR(LEFT(L398,2)="15",AND(LEFT(M398,2)&lt;&gt;"15",LEFT(M398,2)&lt;&gt;"33"))),"x","")</f>
        <v/>
      </c>
      <c r="X398" s="51" t="str">
        <f>IF(AND(OR(LEFT(TH!L398,2)="15",LEFT(TH!M398,2)="15"),'152-CT'!$J$8=TH!F398),"x","")</f>
        <v/>
      </c>
      <c r="Y398" s="51" t="str">
        <f>IF(AND(OR(LEFT(TH!L398,2)="15",LEFT(TH!M398,2)="15"),TK!$E$7=TH!F398),"x","")</f>
        <v/>
      </c>
      <c r="Z398" s="51" t="str">
        <f>IF(AND(B398&lt;=NKC!$N$8,B398&gt;=NKC!$M$8),"x","")</f>
        <v/>
      </c>
      <c r="AA398" s="803"/>
      <c r="AB398" s="565"/>
    </row>
    <row r="399" spans="1:28" ht="15.75" customHeight="1">
      <c r="A399" s="804" t="str">
        <f>IF(B399&lt;&gt;"",IF(AND(B399&gt;=_TM1,B399&lt;=_TM2,OR(TH!L399="1111",TH!M399="1111")),TH!D399,""),"")</f>
        <v/>
      </c>
      <c r="B399" s="36">
        <f t="shared" si="23"/>
        <v>6</v>
      </c>
      <c r="C399" s="189">
        <f t="shared" si="24"/>
        <v>42185</v>
      </c>
      <c r="D399" s="189" t="s">
        <v>1304</v>
      </c>
      <c r="E399" s="189">
        <v>42185</v>
      </c>
      <c r="F399" s="190" t="s">
        <v>577</v>
      </c>
      <c r="G399" s="813" t="s">
        <v>1005</v>
      </c>
      <c r="H399" s="191" t="s">
        <v>441</v>
      </c>
      <c r="I399" s="243">
        <v>700</v>
      </c>
      <c r="J399" s="243">
        <v>11246</v>
      </c>
      <c r="K399" s="573">
        <f>ROUND(I399*J399,0)</f>
        <v>7872200</v>
      </c>
      <c r="L399" s="574" t="s">
        <v>250</v>
      </c>
      <c r="M399" s="574" t="s">
        <v>164</v>
      </c>
      <c r="N399" s="51" t="str">
        <f>IF(AND('331-CT'!$E$7=TH!H399,OR(L399="331",M399="331")),"331",IF(AND(OR(L399="131",M399="131"),H399='131-CT'!$E$7),"131",""))</f>
        <v/>
      </c>
      <c r="O399" s="51" t="str">
        <f>IF(AND($B399&gt;='111'!$N$11,$B399&lt;='111'!$O$11,OR($L399=$O$7,$M399=$O$7)),"x","")</f>
        <v/>
      </c>
      <c r="P399" s="51" t="str">
        <f>IF(AND($L399=$O$7,$B399&lt;'111'!$N$11),"x","")</f>
        <v/>
      </c>
      <c r="Q399" s="51" t="str">
        <f>IF(AND($M399=$O$7,$B399&lt;'111'!$N$11),"x","")</f>
        <v/>
      </c>
      <c r="R399" s="51" t="str">
        <f>IF(ISERROR(FIND('112'!$M$9,G399,1)),"",IF((AND(FIND('112'!$M$9,G399,1)&gt;=1,$B399&gt;='112'!$N$8,$B399&lt;='112'!$O$8,OR($L399='112'!$I$6,$M399='112'!$I$6))),"x",""))</f>
        <v/>
      </c>
      <c r="S399" s="51" t="str">
        <f>IF(ISERROR(FIND('112'!$M$9,G399,1)),"",IF((AND(LEFT(G399,2)=LEFT('112'!$M$9,2),B399&lt;'112'!$N$8,$L399='112'!$I$6)),"x",""))</f>
        <v/>
      </c>
      <c r="T399" s="51" t="str">
        <f>IF(ISERROR(FIND('112'!$M$9,G399,1)),"",IF((AND(RIGHT(G399,2)=RIGHT('112'!$M$9,2),B399&lt;'112'!$N$8,$M399='112'!$I$6)),"x",""))</f>
        <v/>
      </c>
      <c r="U399" s="51" t="str">
        <f>IF(AND(L399="154",'154'!$O$5&lt;=B399,'154'!$P$5&gt;=B399),"154",IF(AND(L399="632",'632'!$L$5&lt;=B399,'632'!$M$5&gt;=B399),"632",IF(AND(L399="642",'642'!$N$5&lt;=B399,'642'!$O$5&gt;=B399),"642",IF(AND(L399="641",'641'!$N$5&lt;=B399,'641'!$O$5&gt;=B399),"641",""))))</f>
        <v/>
      </c>
      <c r="V399" s="51" t="str">
        <f>IF(OR(TH!L399=TH!$V$7,M399=TH!$V$7),"x","")</f>
        <v/>
      </c>
      <c r="W399" s="51" t="str">
        <f>IF(AND(B399&gt;='IN-NX'!$P$3,B399&lt;='IN-NX'!$Q$3,'IN-NX'!$D$7=D399,OR(LEFT(L399,2)="15",AND(LEFT(M399,2)&lt;&gt;"15",LEFT(M399,2)&lt;&gt;"33"))),"x","")</f>
        <v/>
      </c>
      <c r="X399" s="51" t="str">
        <f>IF(AND(OR(LEFT(TH!L399,2)="15",LEFT(TH!M399,2)="15"),'152-CT'!$J$8=TH!F399),"x","")</f>
        <v/>
      </c>
      <c r="Y399" s="51" t="str">
        <f>IF(AND(OR(LEFT(TH!L399,2)="15",LEFT(TH!M399,2)="15"),TK!$E$7=TH!F399),"x","")</f>
        <v/>
      </c>
      <c r="Z399" s="51" t="str">
        <f>IF(AND(B399&lt;=NKC!$N$8,B399&gt;=NKC!$M$8),"x","")</f>
        <v/>
      </c>
      <c r="AA399" s="803"/>
      <c r="AB399" s="565"/>
    </row>
    <row r="400" spans="1:28" ht="15.75" customHeight="1">
      <c r="A400" s="804" t="str">
        <f>IF(B400&lt;&gt;"",IF(AND(B400&gt;=_TM1,B400&lt;=_TM2,OR(TH!L400="1111",TH!M400="1111")),TH!D400,""),"")</f>
        <v/>
      </c>
      <c r="B400" s="36">
        <f t="shared" si="23"/>
        <v>6</v>
      </c>
      <c r="C400" s="189">
        <f t="shared" si="24"/>
        <v>42185</v>
      </c>
      <c r="D400" s="189" t="s">
        <v>1304</v>
      </c>
      <c r="E400" s="189">
        <v>42185</v>
      </c>
      <c r="F400" s="190" t="s">
        <v>511</v>
      </c>
      <c r="G400" s="813" t="s">
        <v>1005</v>
      </c>
      <c r="H400" s="191" t="s">
        <v>441</v>
      </c>
      <c r="I400" s="243">
        <v>753</v>
      </c>
      <c r="J400" s="243">
        <v>12633</v>
      </c>
      <c r="K400" s="573">
        <f>ROUND(I400*J400,0)</f>
        <v>9512649</v>
      </c>
      <c r="L400" s="574" t="s">
        <v>250</v>
      </c>
      <c r="M400" s="574" t="s">
        <v>164</v>
      </c>
      <c r="N400" s="51" t="str">
        <f>IF(AND('331-CT'!$E$7=TH!H400,OR(L400="331",M400="331")),"331",IF(AND(OR(L400="131",M400="131"),H400='131-CT'!$E$7),"131",""))</f>
        <v/>
      </c>
      <c r="O400" s="51" t="str">
        <f>IF(AND($B400&gt;='111'!$N$11,$B400&lt;='111'!$O$11,OR($L400=$O$7,$M400=$O$7)),"x","")</f>
        <v/>
      </c>
      <c r="P400" s="51" t="str">
        <f>IF(AND($L400=$O$7,$B400&lt;'111'!$N$11),"x","")</f>
        <v/>
      </c>
      <c r="Q400" s="51" t="str">
        <f>IF(AND($M400=$O$7,$B400&lt;'111'!$N$11),"x","")</f>
        <v/>
      </c>
      <c r="R400" s="51" t="str">
        <f>IF(ISERROR(FIND('112'!$M$9,G400,1)),"",IF((AND(FIND('112'!$M$9,G400,1)&gt;=1,$B400&gt;='112'!$N$8,$B400&lt;='112'!$O$8,OR($L400='112'!$I$6,$M400='112'!$I$6))),"x",""))</f>
        <v/>
      </c>
      <c r="S400" s="51" t="str">
        <f>IF(ISERROR(FIND('112'!$M$9,G400,1)),"",IF((AND(LEFT(G400,2)=LEFT('112'!$M$9,2),B400&lt;'112'!$N$8,$L400='112'!$I$6)),"x",""))</f>
        <v/>
      </c>
      <c r="T400" s="51" t="str">
        <f>IF(ISERROR(FIND('112'!$M$9,G400,1)),"",IF((AND(RIGHT(G400,2)=RIGHT('112'!$M$9,2),B400&lt;'112'!$N$8,$M400='112'!$I$6)),"x",""))</f>
        <v/>
      </c>
      <c r="U400" s="51" t="str">
        <f>IF(AND(L400="154",'154'!$O$5&lt;=B400,'154'!$P$5&gt;=B400),"154",IF(AND(L400="632",'632'!$L$5&lt;=B400,'632'!$M$5&gt;=B400),"632",IF(AND(L400="642",'642'!$N$5&lt;=B400,'642'!$O$5&gt;=B400),"642",IF(AND(L400="641",'641'!$N$5&lt;=B400,'641'!$O$5&gt;=B400),"641",""))))</f>
        <v/>
      </c>
      <c r="V400" s="51" t="str">
        <f>IF(OR(TH!L400=TH!$V$7,M400=TH!$V$7),"x","")</f>
        <v/>
      </c>
      <c r="W400" s="51" t="str">
        <f>IF(AND(B400&gt;='IN-NX'!$P$3,B400&lt;='IN-NX'!$Q$3,'IN-NX'!$D$7=D400,OR(LEFT(L400,2)="15",AND(LEFT(M400,2)&lt;&gt;"15",LEFT(M400,2)&lt;&gt;"33"))),"x","")</f>
        <v/>
      </c>
      <c r="X400" s="51" t="str">
        <f>IF(AND(OR(LEFT(TH!L400,2)="15",LEFT(TH!M400,2)="15"),'152-CT'!$J$8=TH!F400),"x","")</f>
        <v/>
      </c>
      <c r="Y400" s="51" t="str">
        <f>IF(AND(OR(LEFT(TH!L400,2)="15",LEFT(TH!M400,2)="15"),TK!$E$7=TH!F400),"x","")</f>
        <v/>
      </c>
      <c r="Z400" s="51" t="str">
        <f>IF(AND(B400&lt;=NKC!$N$8,B400&gt;=NKC!$M$8),"x","")</f>
        <v/>
      </c>
      <c r="AA400" s="803"/>
      <c r="AB400" s="565"/>
    </row>
    <row r="401" spans="1:31" ht="15.75" customHeight="1">
      <c r="A401" s="804" t="str">
        <f>IF(B401&lt;&gt;"",IF(AND(B401&gt;=_TM1,B401&lt;=_TM2,OR(TH!L401="1111",TH!M401="1111")),TH!D401,""),"")</f>
        <v/>
      </c>
      <c r="B401" s="36">
        <f t="shared" si="23"/>
        <v>6</v>
      </c>
      <c r="C401" s="189">
        <f t="shared" si="24"/>
        <v>42185</v>
      </c>
      <c r="D401" s="189" t="s">
        <v>1304</v>
      </c>
      <c r="E401" s="189">
        <v>42185</v>
      </c>
      <c r="F401" s="190" t="s">
        <v>994</v>
      </c>
      <c r="G401" s="813" t="s">
        <v>1005</v>
      </c>
      <c r="H401" s="191" t="s">
        <v>441</v>
      </c>
      <c r="I401" s="243"/>
      <c r="J401" s="243"/>
      <c r="K401" s="573">
        <v>1715746</v>
      </c>
      <c r="L401" s="574" t="s">
        <v>250</v>
      </c>
      <c r="M401" s="574" t="s">
        <v>352</v>
      </c>
      <c r="N401" s="51" t="str">
        <f>IF(AND('331-CT'!$E$7=TH!H401,OR(L401="331",M401="331")),"331",IF(AND(OR(L401="131",M401="131"),H401='131-CT'!$E$7),"131",""))</f>
        <v/>
      </c>
      <c r="O401" s="51" t="str">
        <f>IF(AND($B401&gt;='111'!$N$11,$B401&lt;='111'!$O$11,OR($L401=$O$7,$M401=$O$7)),"x","")</f>
        <v/>
      </c>
      <c r="P401" s="51" t="str">
        <f>IF(AND($L401=$O$7,$B401&lt;'111'!$N$11),"x","")</f>
        <v/>
      </c>
      <c r="Q401" s="51" t="str">
        <f>IF(AND($M401=$O$7,$B401&lt;'111'!$N$11),"x","")</f>
        <v/>
      </c>
      <c r="R401" s="51" t="str">
        <f>IF(ISERROR(FIND('112'!$M$9,G401,1)),"",IF((AND(FIND('112'!$M$9,G401,1)&gt;=1,$B401&gt;='112'!$N$8,$B401&lt;='112'!$O$8,OR($L401='112'!$I$6,$M401='112'!$I$6))),"x",""))</f>
        <v/>
      </c>
      <c r="S401" s="51" t="str">
        <f>IF(ISERROR(FIND('112'!$M$9,G401,1)),"",IF((AND(LEFT(G401,2)=LEFT('112'!$M$9,2),B401&lt;'112'!$N$8,$L401='112'!$I$6)),"x",""))</f>
        <v/>
      </c>
      <c r="T401" s="51" t="str">
        <f>IF(ISERROR(FIND('112'!$M$9,G401,1)),"",IF((AND(RIGHT(G401,2)=RIGHT('112'!$M$9,2),B401&lt;'112'!$N$8,$M401='112'!$I$6)),"x",""))</f>
        <v/>
      </c>
      <c r="U401" s="51" t="str">
        <f>IF(AND(L401="154",'154'!$O$5&lt;=B401,'154'!$P$5&gt;=B401),"154",IF(AND(L401="632",'632'!$L$5&lt;=B401,'632'!$M$5&gt;=B401),"632",IF(AND(L401="642",'642'!$N$5&lt;=B401,'642'!$O$5&gt;=B401),"642",IF(AND(L401="641",'641'!$N$5&lt;=B401,'641'!$O$5&gt;=B401),"641",""))))</f>
        <v/>
      </c>
      <c r="V401" s="51" t="str">
        <f>IF(OR(TH!L401=TH!$V$7,M401=TH!$V$7),"x","")</f>
        <v/>
      </c>
      <c r="W401" s="51" t="str">
        <f>IF(AND(B401&gt;='IN-NX'!$P$3,B401&lt;='IN-NX'!$Q$3,'IN-NX'!$D$7=D401,OR(LEFT(L401,2)="15",AND(LEFT(M401,2)&lt;&gt;"15",LEFT(M401,2)&lt;&gt;"33"))),"x","")</f>
        <v/>
      </c>
      <c r="X401" s="51" t="str">
        <f>IF(AND(OR(LEFT(TH!L401,2)="15",LEFT(TH!M401,2)="15"),'152-CT'!$J$8=TH!F401),"x","")</f>
        <v/>
      </c>
      <c r="Y401" s="51" t="str">
        <f>IF(AND(OR(LEFT(TH!L401,2)="15",LEFT(TH!M401,2)="15"),TK!$E$7=TH!F401),"x","")</f>
        <v/>
      </c>
      <c r="Z401" s="51" t="str">
        <f>IF(AND(B401&lt;=NKC!$N$8,B401&gt;=NKC!$M$8),"x","")</f>
        <v/>
      </c>
      <c r="AA401" s="803"/>
      <c r="AB401" s="565"/>
    </row>
    <row r="402" spans="1:31" ht="15.75" customHeight="1">
      <c r="A402" s="804" t="str">
        <f>IF(B402&lt;&gt;"",IF(AND(B402&gt;=_TM1,B402&lt;=_TM2,OR(TH!L402="1111",TH!M402="1111")),TH!D402,""),"")</f>
        <v/>
      </c>
      <c r="B402" s="36">
        <f t="shared" si="23"/>
        <v>6</v>
      </c>
      <c r="C402" s="189">
        <f t="shared" si="24"/>
        <v>42185</v>
      </c>
      <c r="D402" s="189" t="s">
        <v>1305</v>
      </c>
      <c r="E402" s="189">
        <v>42185</v>
      </c>
      <c r="F402" s="190" t="s">
        <v>570</v>
      </c>
      <c r="G402" s="813" t="s">
        <v>1006</v>
      </c>
      <c r="H402" s="191" t="s">
        <v>441</v>
      </c>
      <c r="I402" s="243">
        <v>500</v>
      </c>
      <c r="J402" s="243">
        <v>25258</v>
      </c>
      <c r="K402" s="573">
        <f>ROUND(I402*J402,0)</f>
        <v>12629000</v>
      </c>
      <c r="L402" s="574" t="s">
        <v>250</v>
      </c>
      <c r="M402" s="574" t="s">
        <v>164</v>
      </c>
      <c r="N402" s="51" t="str">
        <f>IF(AND('331-CT'!$E$7=TH!H402,OR(L402="331",M402="331")),"331",IF(AND(OR(L402="131",M402="131"),H402='131-CT'!$E$7),"131",""))</f>
        <v/>
      </c>
      <c r="O402" s="51" t="str">
        <f>IF(AND($B402&gt;='111'!$N$11,$B402&lt;='111'!$O$11,OR($L402=$O$7,$M402=$O$7)),"x","")</f>
        <v/>
      </c>
      <c r="P402" s="51" t="str">
        <f>IF(AND($L402=$O$7,$B402&lt;'111'!$N$11),"x","")</f>
        <v/>
      </c>
      <c r="Q402" s="51" t="str">
        <f>IF(AND($M402=$O$7,$B402&lt;'111'!$N$11),"x","")</f>
        <v/>
      </c>
      <c r="R402" s="51" t="str">
        <f>IF(ISERROR(FIND('112'!$M$9,G402,1)),"",IF((AND(FIND('112'!$M$9,G402,1)&gt;=1,$B402&gt;='112'!$N$8,$B402&lt;='112'!$O$8,OR($L402='112'!$I$6,$M402='112'!$I$6))),"x",""))</f>
        <v/>
      </c>
      <c r="S402" s="51" t="str">
        <f>IF(ISERROR(FIND('112'!$M$9,G402,1)),"",IF((AND(LEFT(G402,2)=LEFT('112'!$M$9,2),B402&lt;'112'!$N$8,$L402='112'!$I$6)),"x",""))</f>
        <v/>
      </c>
      <c r="T402" s="51" t="str">
        <f>IF(ISERROR(FIND('112'!$M$9,G402,1)),"",IF((AND(RIGHT(G402,2)=RIGHT('112'!$M$9,2),B402&lt;'112'!$N$8,$M402='112'!$I$6)),"x",""))</f>
        <v/>
      </c>
      <c r="U402" s="51" t="str">
        <f>IF(AND(L402="154",'154'!$O$5&lt;=B402,'154'!$P$5&gt;=B402),"154",IF(AND(L402="632",'632'!$L$5&lt;=B402,'632'!$M$5&gt;=B402),"632",IF(AND(L402="642",'642'!$N$5&lt;=B402,'642'!$O$5&gt;=B402),"642",IF(AND(L402="641",'641'!$N$5&lt;=B402,'641'!$O$5&gt;=B402),"641",""))))</f>
        <v/>
      </c>
      <c r="V402" s="51" t="str">
        <f>IF(OR(TH!L402=TH!$V$7,M402=TH!$V$7),"x","")</f>
        <v/>
      </c>
      <c r="W402" s="51" t="str">
        <f>IF(AND(B402&gt;='IN-NX'!$P$3,B402&lt;='IN-NX'!$Q$3,'IN-NX'!$D$7=D402,OR(LEFT(L402,2)="15",AND(LEFT(M402,2)&lt;&gt;"15",LEFT(M402,2)&lt;&gt;"33"))),"x","")</f>
        <v/>
      </c>
      <c r="X402" s="51" t="str">
        <f>IF(AND(OR(LEFT(TH!L402,2)="15",LEFT(TH!M402,2)="15"),'152-CT'!$J$8=TH!F402),"x","")</f>
        <v/>
      </c>
      <c r="Y402" s="51" t="str">
        <f>IF(AND(OR(LEFT(TH!L402,2)="15",LEFT(TH!M402,2)="15"),TK!$E$7=TH!F402),"x","")</f>
        <v/>
      </c>
      <c r="Z402" s="51" t="str">
        <f>IF(AND(B402&lt;=NKC!$N$8,B402&gt;=NKC!$M$8),"x","")</f>
        <v/>
      </c>
      <c r="AA402" s="803"/>
      <c r="AB402" s="565"/>
    </row>
    <row r="403" spans="1:31" ht="15.75" customHeight="1">
      <c r="A403" s="804" t="str">
        <f>IF(B403&lt;&gt;"",IF(AND(B403&gt;=_TM1,B403&lt;=_TM2,OR(TH!L403="1111",TH!M403="1111")),TH!D403,""),"")</f>
        <v/>
      </c>
      <c r="B403" s="36">
        <f t="shared" si="23"/>
        <v>6</v>
      </c>
      <c r="C403" s="189">
        <f t="shared" si="24"/>
        <v>42185</v>
      </c>
      <c r="D403" s="189" t="s">
        <v>1305</v>
      </c>
      <c r="E403" s="189">
        <v>42185</v>
      </c>
      <c r="F403" s="190" t="s">
        <v>571</v>
      </c>
      <c r="G403" s="813" t="s">
        <v>1006</v>
      </c>
      <c r="H403" s="191" t="s">
        <v>441</v>
      </c>
      <c r="I403" s="243">
        <v>400</v>
      </c>
      <c r="J403" s="243">
        <v>12406</v>
      </c>
      <c r="K403" s="573">
        <f>ROUND(I403*J403,0)</f>
        <v>4962400</v>
      </c>
      <c r="L403" s="574" t="s">
        <v>250</v>
      </c>
      <c r="M403" s="574" t="s">
        <v>164</v>
      </c>
      <c r="N403" s="51" t="str">
        <f>IF(AND('331-CT'!$E$7=TH!H403,OR(L403="331",M403="331")),"331",IF(AND(OR(L403="131",M403="131"),H403='131-CT'!$E$7),"131",""))</f>
        <v/>
      </c>
      <c r="O403" s="51" t="str">
        <f>IF(AND($B403&gt;='111'!$N$11,$B403&lt;='111'!$O$11,OR($L403=$O$7,$M403=$O$7)),"x","")</f>
        <v/>
      </c>
      <c r="P403" s="51" t="str">
        <f>IF(AND($L403=$O$7,$B403&lt;'111'!$N$11),"x","")</f>
        <v/>
      </c>
      <c r="Q403" s="51" t="str">
        <f>IF(AND($M403=$O$7,$B403&lt;'111'!$N$11),"x","")</f>
        <v/>
      </c>
      <c r="R403" s="51" t="str">
        <f>IF(ISERROR(FIND('112'!$M$9,G403,1)),"",IF((AND(FIND('112'!$M$9,G403,1)&gt;=1,$B403&gt;='112'!$N$8,$B403&lt;='112'!$O$8,OR($L403='112'!$I$6,$M403='112'!$I$6))),"x",""))</f>
        <v/>
      </c>
      <c r="S403" s="51" t="str">
        <f>IF(ISERROR(FIND('112'!$M$9,G403,1)),"",IF((AND(LEFT(G403,2)=LEFT('112'!$M$9,2),B403&lt;'112'!$N$8,$L403='112'!$I$6)),"x",""))</f>
        <v/>
      </c>
      <c r="T403" s="51" t="str">
        <f>IF(ISERROR(FIND('112'!$M$9,G403,1)),"",IF((AND(RIGHT(G403,2)=RIGHT('112'!$M$9,2),B403&lt;'112'!$N$8,$M403='112'!$I$6)),"x",""))</f>
        <v/>
      </c>
      <c r="U403" s="51" t="str">
        <f>IF(AND(L403="154",'154'!$O$5&lt;=B403,'154'!$P$5&gt;=B403),"154",IF(AND(L403="632",'632'!$L$5&lt;=B403,'632'!$M$5&gt;=B403),"632",IF(AND(L403="642",'642'!$N$5&lt;=B403,'642'!$O$5&gt;=B403),"642",IF(AND(L403="641",'641'!$N$5&lt;=B403,'641'!$O$5&gt;=B403),"641",""))))</f>
        <v/>
      </c>
      <c r="V403" s="51" t="str">
        <f>IF(OR(TH!L403=TH!$V$7,M403=TH!$V$7),"x","")</f>
        <v/>
      </c>
      <c r="W403" s="51" t="str">
        <f>IF(AND(B403&gt;='IN-NX'!$P$3,B403&lt;='IN-NX'!$Q$3,'IN-NX'!$D$7=D403,OR(LEFT(L403,2)="15",AND(LEFT(M403,2)&lt;&gt;"15",LEFT(M403,2)&lt;&gt;"33"))),"x","")</f>
        <v/>
      </c>
      <c r="X403" s="51" t="str">
        <f>IF(AND(OR(LEFT(TH!L403,2)="15",LEFT(TH!M403,2)="15"),'152-CT'!$J$8=TH!F403),"x","")</f>
        <v/>
      </c>
      <c r="Y403" s="51" t="str">
        <f>IF(AND(OR(LEFT(TH!L403,2)="15",LEFT(TH!M403,2)="15"),TK!$E$7=TH!F403),"x","")</f>
        <v/>
      </c>
      <c r="Z403" s="51" t="str">
        <f>IF(AND(B403&lt;=NKC!$N$8,B403&gt;=NKC!$M$8),"x","")</f>
        <v/>
      </c>
      <c r="AA403" s="803"/>
      <c r="AB403" s="565"/>
    </row>
    <row r="404" spans="1:31" ht="15.75" customHeight="1">
      <c r="A404" s="804" t="str">
        <f>IF(B404&lt;&gt;"",IF(AND(B404&gt;=_TM1,B404&lt;=_TM2,OR(TH!L404="1111",TH!M404="1111")),TH!D404,""),"")</f>
        <v/>
      </c>
      <c r="B404" s="36">
        <f t="shared" si="23"/>
        <v>6</v>
      </c>
      <c r="C404" s="189">
        <f t="shared" si="24"/>
        <v>42185</v>
      </c>
      <c r="D404" s="189" t="s">
        <v>1305</v>
      </c>
      <c r="E404" s="189">
        <v>42185</v>
      </c>
      <c r="F404" s="190" t="s">
        <v>994</v>
      </c>
      <c r="G404" s="813" t="s">
        <v>1006</v>
      </c>
      <c r="H404" s="191" t="s">
        <v>441</v>
      </c>
      <c r="I404" s="243"/>
      <c r="J404" s="243"/>
      <c r="K404" s="573">
        <v>1759140</v>
      </c>
      <c r="L404" s="574" t="s">
        <v>250</v>
      </c>
      <c r="M404" s="574" t="s">
        <v>352</v>
      </c>
      <c r="N404" s="51" t="str">
        <f>IF(AND('331-CT'!$E$7=TH!H404,OR(L404="331",M404="331")),"331",IF(AND(OR(L404="131",M404="131"),H404='131-CT'!$E$7),"131",""))</f>
        <v/>
      </c>
      <c r="O404" s="51" t="str">
        <f>IF(AND($B404&gt;='111'!$N$11,$B404&lt;='111'!$O$11,OR($L404=$O$7,$M404=$O$7)),"x","")</f>
        <v/>
      </c>
      <c r="P404" s="51" t="str">
        <f>IF(AND($L404=$O$7,$B404&lt;'111'!$N$11),"x","")</f>
        <v/>
      </c>
      <c r="Q404" s="51" t="str">
        <f>IF(AND($M404=$O$7,$B404&lt;'111'!$N$11),"x","")</f>
        <v/>
      </c>
      <c r="R404" s="51" t="str">
        <f>IF(ISERROR(FIND('112'!$M$9,G404,1)),"",IF((AND(FIND('112'!$M$9,G404,1)&gt;=1,$B404&gt;='112'!$N$8,$B404&lt;='112'!$O$8,OR($L404='112'!$I$6,$M404='112'!$I$6))),"x",""))</f>
        <v/>
      </c>
      <c r="S404" s="51" t="str">
        <f>IF(ISERROR(FIND('112'!$M$9,G404,1)),"",IF((AND(LEFT(G404,2)=LEFT('112'!$M$9,2),B404&lt;'112'!$N$8,$L404='112'!$I$6)),"x",""))</f>
        <v/>
      </c>
      <c r="T404" s="51" t="str">
        <f>IF(ISERROR(FIND('112'!$M$9,G404,1)),"",IF((AND(RIGHT(G404,2)=RIGHT('112'!$M$9,2),B404&lt;'112'!$N$8,$M404='112'!$I$6)),"x",""))</f>
        <v/>
      </c>
      <c r="U404" s="51" t="str">
        <f>IF(AND(L404="154",'154'!$O$5&lt;=B404,'154'!$P$5&gt;=B404),"154",IF(AND(L404="632",'632'!$L$5&lt;=B404,'632'!$M$5&gt;=B404),"632",IF(AND(L404="642",'642'!$N$5&lt;=B404,'642'!$O$5&gt;=B404),"642",IF(AND(L404="641",'641'!$N$5&lt;=B404,'641'!$O$5&gt;=B404),"641",""))))</f>
        <v/>
      </c>
      <c r="V404" s="51" t="str">
        <f>IF(OR(TH!L404=TH!$V$7,M404=TH!$V$7),"x","")</f>
        <v/>
      </c>
      <c r="W404" s="51" t="str">
        <f>IF(AND(B404&gt;='IN-NX'!$P$3,B404&lt;='IN-NX'!$Q$3,'IN-NX'!$D$7=D404,OR(LEFT(L404,2)="15",AND(LEFT(M404,2)&lt;&gt;"15",LEFT(M404,2)&lt;&gt;"33"))),"x","")</f>
        <v/>
      </c>
      <c r="X404" s="51" t="str">
        <f>IF(AND(OR(LEFT(TH!L404,2)="15",LEFT(TH!M404,2)="15"),'152-CT'!$J$8=TH!F404),"x","")</f>
        <v/>
      </c>
      <c r="Y404" s="51" t="str">
        <f>IF(AND(OR(LEFT(TH!L404,2)="15",LEFT(TH!M404,2)="15"),TK!$E$7=TH!F404),"x","")</f>
        <v/>
      </c>
      <c r="Z404" s="51" t="str">
        <f>IF(AND(B404&lt;=NKC!$N$8,B404&gt;=NKC!$M$8),"x","")</f>
        <v/>
      </c>
      <c r="AA404" s="803"/>
      <c r="AB404" s="565"/>
    </row>
    <row r="405" spans="1:31" ht="15.75" customHeight="1">
      <c r="A405" s="804" t="str">
        <f>IF(B405&lt;&gt;"",IF(AND(B405&gt;=_TM1,B405&lt;=_TM2,OR(TH!L405="1111",TH!M405="1111")),TH!D405,""),"")</f>
        <v/>
      </c>
      <c r="B405" s="36">
        <f t="shared" si="23"/>
        <v>6</v>
      </c>
      <c r="C405" s="189">
        <f t="shared" si="24"/>
        <v>42185</v>
      </c>
      <c r="D405" s="189" t="s">
        <v>1306</v>
      </c>
      <c r="E405" s="189">
        <v>42185</v>
      </c>
      <c r="F405" s="190" t="s">
        <v>570</v>
      </c>
      <c r="G405" s="813" t="s">
        <v>1007</v>
      </c>
      <c r="H405" s="191" t="s">
        <v>441</v>
      </c>
      <c r="I405" s="243">
        <v>100</v>
      </c>
      <c r="J405" s="243">
        <v>25258</v>
      </c>
      <c r="K405" s="573">
        <f>ROUND(I405*J405,0)</f>
        <v>2525800</v>
      </c>
      <c r="L405" s="574" t="s">
        <v>250</v>
      </c>
      <c r="M405" s="574" t="s">
        <v>164</v>
      </c>
      <c r="N405" s="51" t="str">
        <f>IF(AND('331-CT'!$E$7=TH!H405,OR(L405="331",M405="331")),"331",IF(AND(OR(L405="131",M405="131"),H405='131-CT'!$E$7),"131",""))</f>
        <v/>
      </c>
      <c r="O405" s="51" t="str">
        <f>IF(AND($B405&gt;='111'!$N$11,$B405&lt;='111'!$O$11,OR($L405=$O$7,$M405=$O$7)),"x","")</f>
        <v/>
      </c>
      <c r="P405" s="51" t="str">
        <f>IF(AND($L405=$O$7,$B405&lt;'111'!$N$11),"x","")</f>
        <v/>
      </c>
      <c r="Q405" s="51" t="str">
        <f>IF(AND($M405=$O$7,$B405&lt;'111'!$N$11),"x","")</f>
        <v/>
      </c>
      <c r="R405" s="51" t="str">
        <f>IF(ISERROR(FIND('112'!$M$9,G405,1)),"",IF((AND(FIND('112'!$M$9,G405,1)&gt;=1,$B405&gt;='112'!$N$8,$B405&lt;='112'!$O$8,OR($L405='112'!$I$6,$M405='112'!$I$6))),"x",""))</f>
        <v/>
      </c>
      <c r="S405" s="51" t="str">
        <f>IF(ISERROR(FIND('112'!$M$9,G405,1)),"",IF((AND(LEFT(G405,2)=LEFT('112'!$M$9,2),B405&lt;'112'!$N$8,$L405='112'!$I$6)),"x",""))</f>
        <v/>
      </c>
      <c r="T405" s="51" t="str">
        <f>IF(ISERROR(FIND('112'!$M$9,G405,1)),"",IF((AND(RIGHT(G405,2)=RIGHT('112'!$M$9,2),B405&lt;'112'!$N$8,$M405='112'!$I$6)),"x",""))</f>
        <v/>
      </c>
      <c r="U405" s="51" t="str">
        <f>IF(AND(L405="154",'154'!$O$5&lt;=B405,'154'!$P$5&gt;=B405),"154",IF(AND(L405="632",'632'!$L$5&lt;=B405,'632'!$M$5&gt;=B405),"632",IF(AND(L405="642",'642'!$N$5&lt;=B405,'642'!$O$5&gt;=B405),"642",IF(AND(L405="641",'641'!$N$5&lt;=B405,'641'!$O$5&gt;=B405),"641",""))))</f>
        <v/>
      </c>
      <c r="V405" s="51" t="str">
        <f>IF(OR(TH!L405=TH!$V$7,M405=TH!$V$7),"x","")</f>
        <v/>
      </c>
      <c r="W405" s="51" t="str">
        <f>IF(AND(B405&gt;='IN-NX'!$P$3,B405&lt;='IN-NX'!$Q$3,'IN-NX'!$D$7=D405,OR(LEFT(L405,2)="15",AND(LEFT(M405,2)&lt;&gt;"15",LEFT(M405,2)&lt;&gt;"33"))),"x","")</f>
        <v/>
      </c>
      <c r="X405" s="51" t="str">
        <f>IF(AND(OR(LEFT(TH!L405,2)="15",LEFT(TH!M405,2)="15"),'152-CT'!$J$8=TH!F405),"x","")</f>
        <v/>
      </c>
      <c r="Y405" s="51" t="str">
        <f>IF(AND(OR(LEFT(TH!L405,2)="15",LEFT(TH!M405,2)="15"),TK!$E$7=TH!F405),"x","")</f>
        <v/>
      </c>
      <c r="Z405" s="51" t="str">
        <f>IF(AND(B405&lt;=NKC!$N$8,B405&gt;=NKC!$M$8),"x","")</f>
        <v/>
      </c>
      <c r="AA405" s="803"/>
      <c r="AB405" s="565"/>
    </row>
    <row r="406" spans="1:31" ht="15.75" customHeight="1">
      <c r="A406" s="804" t="str">
        <f>IF(B406&lt;&gt;"",IF(AND(B406&gt;=_TM1,B406&lt;=_TM2,OR(TH!L406="1111",TH!M406="1111")),TH!D406,""),"")</f>
        <v/>
      </c>
      <c r="B406" s="36">
        <f t="shared" si="23"/>
        <v>6</v>
      </c>
      <c r="C406" s="189">
        <f t="shared" si="24"/>
        <v>42185</v>
      </c>
      <c r="D406" s="189" t="s">
        <v>1306</v>
      </c>
      <c r="E406" s="189">
        <v>42185</v>
      </c>
      <c r="F406" s="926" t="s">
        <v>576</v>
      </c>
      <c r="G406" s="813" t="s">
        <v>1007</v>
      </c>
      <c r="H406" s="191" t="s">
        <v>441</v>
      </c>
      <c r="I406" s="243">
        <v>535</v>
      </c>
      <c r="J406" s="243">
        <v>13066</v>
      </c>
      <c r="K406" s="573">
        <f>ROUND(I406*J406,0)</f>
        <v>6990310</v>
      </c>
      <c r="L406" s="574" t="s">
        <v>250</v>
      </c>
      <c r="M406" s="574" t="s">
        <v>164</v>
      </c>
      <c r="N406" s="51" t="str">
        <f>IF(AND('331-CT'!$E$7=TH!H406,OR(L406="331",M406="331")),"331",IF(AND(OR(L406="131",M406="131"),H406='131-CT'!$E$7),"131",""))</f>
        <v/>
      </c>
      <c r="O406" s="51" t="str">
        <f>IF(AND($B406&gt;='111'!$N$11,$B406&lt;='111'!$O$11,OR($L406=$O$7,$M406=$O$7)),"x","")</f>
        <v/>
      </c>
      <c r="P406" s="51" t="str">
        <f>IF(AND($L406=$O$7,$B406&lt;'111'!$N$11),"x","")</f>
        <v/>
      </c>
      <c r="Q406" s="51" t="str">
        <f>IF(AND($M406=$O$7,$B406&lt;'111'!$N$11),"x","")</f>
        <v/>
      </c>
      <c r="R406" s="51" t="str">
        <f>IF(ISERROR(FIND('112'!$M$9,G406,1)),"",IF((AND(FIND('112'!$M$9,G406,1)&gt;=1,$B406&gt;='112'!$N$8,$B406&lt;='112'!$O$8,OR($L406='112'!$I$6,$M406='112'!$I$6))),"x",""))</f>
        <v/>
      </c>
      <c r="S406" s="51" t="str">
        <f>IF(ISERROR(FIND('112'!$M$9,G406,1)),"",IF((AND(LEFT(G406,2)=LEFT('112'!$M$9,2),B406&lt;'112'!$N$8,$L406='112'!$I$6)),"x",""))</f>
        <v/>
      </c>
      <c r="T406" s="51" t="str">
        <f>IF(ISERROR(FIND('112'!$M$9,G406,1)),"",IF((AND(RIGHT(G406,2)=RIGHT('112'!$M$9,2),B406&lt;'112'!$N$8,$M406='112'!$I$6)),"x",""))</f>
        <v/>
      </c>
      <c r="U406" s="51" t="str">
        <f>IF(AND(L406="154",'154'!$O$5&lt;=B406,'154'!$P$5&gt;=B406),"154",IF(AND(L406="632",'632'!$L$5&lt;=B406,'632'!$M$5&gt;=B406),"632",IF(AND(L406="642",'642'!$N$5&lt;=B406,'642'!$O$5&gt;=B406),"642",IF(AND(L406="641",'641'!$N$5&lt;=B406,'641'!$O$5&gt;=B406),"641",""))))</f>
        <v/>
      </c>
      <c r="V406" s="51" t="str">
        <f>IF(OR(TH!L406=TH!$V$7,M406=TH!$V$7),"x","")</f>
        <v/>
      </c>
      <c r="W406" s="51" t="str">
        <f>IF(AND(B406&gt;='IN-NX'!$P$3,B406&lt;='IN-NX'!$Q$3,'IN-NX'!$D$7=D406,OR(LEFT(L406,2)="15",AND(LEFT(M406,2)&lt;&gt;"15",LEFT(M406,2)&lt;&gt;"33"))),"x","")</f>
        <v/>
      </c>
      <c r="X406" s="51" t="str">
        <f>IF(AND(OR(LEFT(TH!L406,2)="15",LEFT(TH!M406,2)="15"),'152-CT'!$J$8=TH!F406),"x","")</f>
        <v/>
      </c>
      <c r="Y406" s="51" t="str">
        <f>IF(AND(OR(LEFT(TH!L406,2)="15",LEFT(TH!M406,2)="15"),TK!$E$7=TH!F406),"x","")</f>
        <v/>
      </c>
      <c r="Z406" s="51" t="str">
        <f>IF(AND(B406&lt;=NKC!$N$8,B406&gt;=NKC!$M$8),"x","")</f>
        <v/>
      </c>
      <c r="AA406" s="803"/>
      <c r="AB406" s="565"/>
    </row>
    <row r="407" spans="1:31" ht="15.75" customHeight="1">
      <c r="A407" s="804" t="str">
        <f>IF(B407&lt;&gt;"",IF(AND(B407&gt;=_TM1,B407&lt;=_TM2,OR(TH!L407="1111",TH!M407="1111")),TH!D407,""),"")</f>
        <v/>
      </c>
      <c r="B407" s="36">
        <f t="shared" si="23"/>
        <v>6</v>
      </c>
      <c r="C407" s="189">
        <f t="shared" si="24"/>
        <v>42185</v>
      </c>
      <c r="D407" s="189" t="s">
        <v>1306</v>
      </c>
      <c r="E407" s="189">
        <v>42185</v>
      </c>
      <c r="F407" s="926" t="s">
        <v>994</v>
      </c>
      <c r="G407" s="813" t="s">
        <v>1007</v>
      </c>
      <c r="H407" s="191" t="s">
        <v>441</v>
      </c>
      <c r="I407" s="243"/>
      <c r="J407" s="243"/>
      <c r="K407" s="573">
        <v>951611</v>
      </c>
      <c r="L407" s="574" t="s">
        <v>250</v>
      </c>
      <c r="M407" s="574" t="s">
        <v>352</v>
      </c>
      <c r="N407" s="51" t="str">
        <f>IF(AND('331-CT'!$E$7=TH!H407,OR(L407="331",M407="331")),"331",IF(AND(OR(L407="131",M407="131"),H407='131-CT'!$E$7),"131",""))</f>
        <v/>
      </c>
      <c r="O407" s="51" t="str">
        <f>IF(AND($B407&gt;='111'!$N$11,$B407&lt;='111'!$O$11,OR($L407=$O$7,$M407=$O$7)),"x","")</f>
        <v/>
      </c>
      <c r="P407" s="51" t="str">
        <f>IF(AND($L407=$O$7,$B407&lt;'111'!$N$11),"x","")</f>
        <v/>
      </c>
      <c r="Q407" s="51" t="str">
        <f>IF(AND($M407=$O$7,$B407&lt;'111'!$N$11),"x","")</f>
        <v/>
      </c>
      <c r="R407" s="51" t="str">
        <f>IF(ISERROR(FIND('112'!$M$9,G407,1)),"",IF((AND(FIND('112'!$M$9,G407,1)&gt;=1,$B407&gt;='112'!$N$8,$B407&lt;='112'!$O$8,OR($L407='112'!$I$6,$M407='112'!$I$6))),"x",""))</f>
        <v/>
      </c>
      <c r="S407" s="51" t="str">
        <f>IF(ISERROR(FIND('112'!$M$9,G407,1)),"",IF((AND(LEFT(G407,2)=LEFT('112'!$M$9,2),B407&lt;'112'!$N$8,$L407='112'!$I$6)),"x",""))</f>
        <v/>
      </c>
      <c r="T407" s="51" t="str">
        <f>IF(ISERROR(FIND('112'!$M$9,G407,1)),"",IF((AND(RIGHT(G407,2)=RIGHT('112'!$M$9,2),B407&lt;'112'!$N$8,$M407='112'!$I$6)),"x",""))</f>
        <v/>
      </c>
      <c r="U407" s="51" t="str">
        <f>IF(AND(L407="154",'154'!$O$5&lt;=B407,'154'!$P$5&gt;=B407),"154",IF(AND(L407="632",'632'!$L$5&lt;=B407,'632'!$M$5&gt;=B407),"632",IF(AND(L407="642",'642'!$N$5&lt;=B407,'642'!$O$5&gt;=B407),"642",IF(AND(L407="641",'641'!$N$5&lt;=B407,'641'!$O$5&gt;=B407),"641",""))))</f>
        <v/>
      </c>
      <c r="V407" s="51" t="str">
        <f>IF(OR(TH!L407=TH!$V$7,M407=TH!$V$7),"x","")</f>
        <v/>
      </c>
      <c r="W407" s="51" t="str">
        <f>IF(AND(B407&gt;='IN-NX'!$P$3,B407&lt;='IN-NX'!$Q$3,'IN-NX'!$D$7=D407,OR(LEFT(L407,2)="15",AND(LEFT(M407,2)&lt;&gt;"15",LEFT(M407,2)&lt;&gt;"33"))),"x","")</f>
        <v/>
      </c>
      <c r="X407" s="51" t="str">
        <f>IF(AND(OR(LEFT(TH!L407,2)="15",LEFT(TH!M407,2)="15"),'152-CT'!$J$8=TH!F407),"x","")</f>
        <v/>
      </c>
      <c r="Y407" s="51" t="str">
        <f>IF(AND(OR(LEFT(TH!L407,2)="15",LEFT(TH!M407,2)="15"),TK!$E$7=TH!F407),"x","")</f>
        <v/>
      </c>
      <c r="Z407" s="51" t="str">
        <f>IF(AND(B407&lt;=NKC!$N$8,B407&gt;=NKC!$M$8),"x","")</f>
        <v/>
      </c>
      <c r="AA407" s="803"/>
      <c r="AB407" s="565"/>
    </row>
    <row r="408" spans="1:31" ht="15.75" customHeight="1">
      <c r="A408" s="804" t="str">
        <f>IF(B408&lt;&gt;"",IF(AND(B408&gt;=_TM1,B408&lt;=_TM2,OR(TH!L408="1111",TH!M408="1111")),TH!D408,""),"")</f>
        <v/>
      </c>
      <c r="B408" s="36">
        <f t="shared" si="23"/>
        <v>6</v>
      </c>
      <c r="C408" s="189">
        <f t="shared" si="24"/>
        <v>42185</v>
      </c>
      <c r="D408" s="189" t="s">
        <v>1392</v>
      </c>
      <c r="E408" s="189">
        <v>42185</v>
      </c>
      <c r="F408" s="922" t="s">
        <v>423</v>
      </c>
      <c r="G408" s="813" t="s">
        <v>1007</v>
      </c>
      <c r="H408" s="191" t="s">
        <v>441</v>
      </c>
      <c r="I408" s="243"/>
      <c r="J408" s="243"/>
      <c r="K408" s="573">
        <v>10695116</v>
      </c>
      <c r="L408" s="574" t="s">
        <v>47</v>
      </c>
      <c r="M408" s="574" t="s">
        <v>250</v>
      </c>
      <c r="N408" s="51" t="str">
        <f>IF(AND('331-CT'!$E$7=TH!H408,OR(L408="331",M408="331")),"331",IF(AND(OR(L408="131",M408="131"),H408='131-CT'!$E$7),"131",""))</f>
        <v/>
      </c>
      <c r="O408" s="51" t="str">
        <f>IF(AND($B408&gt;='111'!$N$11,$B408&lt;='111'!$O$11,OR($L408=$O$7,$M408=$O$7)),"x","")</f>
        <v/>
      </c>
      <c r="P408" s="51" t="str">
        <f>IF(AND($L408=$O$7,$B408&lt;'111'!$N$11),"x","")</f>
        <v>x</v>
      </c>
      <c r="Q408" s="51" t="str">
        <f>IF(AND($M408=$O$7,$B408&lt;'111'!$N$11),"x","")</f>
        <v/>
      </c>
      <c r="R408" s="51" t="str">
        <f>IF(ISERROR(FIND('112'!$M$9,G408,1)),"",IF((AND(FIND('112'!$M$9,G408,1)&gt;=1,$B408&gt;='112'!$N$8,$B408&lt;='112'!$O$8,OR($L408='112'!$I$6,$M408='112'!$I$6))),"x",""))</f>
        <v/>
      </c>
      <c r="S408" s="51" t="str">
        <f>IF(ISERROR(FIND('112'!$M$9,G408,1)),"",IF((AND(LEFT(G408,2)=LEFT('112'!$M$9,2),B408&lt;'112'!$N$8,$L408='112'!$I$6)),"x",""))</f>
        <v/>
      </c>
      <c r="T408" s="51" t="str">
        <f>IF(ISERROR(FIND('112'!$M$9,G408,1)),"",IF((AND(RIGHT(G408,2)=RIGHT('112'!$M$9,2),B408&lt;'112'!$N$8,$M408='112'!$I$6)),"x",""))</f>
        <v/>
      </c>
      <c r="U408" s="51" t="str">
        <f>IF(AND(L408="154",'154'!$O$5&lt;=B408,'154'!$P$5&gt;=B408),"154",IF(AND(L408="632",'632'!$L$5&lt;=B408,'632'!$M$5&gt;=B408),"632",IF(AND(L408="642",'642'!$N$5&lt;=B408,'642'!$O$5&gt;=B408),"642",IF(AND(L408="641",'641'!$N$5&lt;=B408,'641'!$O$5&gt;=B408),"641",""))))</f>
        <v/>
      </c>
      <c r="V408" s="51" t="str">
        <f>IF(OR(TH!L408=TH!$V$7,M408=TH!$V$7),"x","")</f>
        <v/>
      </c>
      <c r="W408" s="51" t="str">
        <f>IF(AND(B408&gt;='IN-NX'!$P$3,B408&lt;='IN-NX'!$Q$3,'IN-NX'!$D$7=D408,OR(LEFT(L408,2)="15",AND(LEFT(M408,2)&lt;&gt;"15",LEFT(M408,2)&lt;&gt;"33"))),"x","")</f>
        <v/>
      </c>
      <c r="X408" s="51" t="str">
        <f>IF(AND(OR(LEFT(TH!L408,2)="15",LEFT(TH!M408,2)="15"),'152-CT'!$J$8=TH!F408),"x","")</f>
        <v/>
      </c>
      <c r="Y408" s="51" t="str">
        <f>IF(AND(OR(LEFT(TH!L408,2)="15",LEFT(TH!M408,2)="15"),TK!$E$7=TH!F408),"x","")</f>
        <v/>
      </c>
      <c r="Z408" s="51" t="str">
        <f>IF(AND(B408&lt;=NKC!$N$8,B408&gt;=NKC!$M$8),"x","")</f>
        <v/>
      </c>
      <c r="AA408" s="803"/>
      <c r="AB408" s="565"/>
    </row>
    <row r="409" spans="1:31" ht="15.75" customHeight="1">
      <c r="A409" s="804" t="str">
        <f>IF(B409&lt;&gt;"",IF(AND(B409&gt;=_TM1,B409&lt;=_TM2,OR(TH!L409="1111",TH!M409="1111")),TH!D409,""),"")</f>
        <v/>
      </c>
      <c r="B409" s="36">
        <f t="shared" si="23"/>
        <v>6</v>
      </c>
      <c r="C409" s="189">
        <f t="shared" si="24"/>
        <v>42185</v>
      </c>
      <c r="D409" s="189" t="s">
        <v>1307</v>
      </c>
      <c r="E409" s="189">
        <v>42185</v>
      </c>
      <c r="F409" s="190" t="s">
        <v>1201</v>
      </c>
      <c r="G409" s="813" t="s">
        <v>1008</v>
      </c>
      <c r="H409" s="202" t="s">
        <v>435</v>
      </c>
      <c r="I409" s="243">
        <v>100</v>
      </c>
      <c r="J409" s="243">
        <v>18650</v>
      </c>
      <c r="K409" s="573">
        <f>ROUND(I409*J409,0)</f>
        <v>1865000</v>
      </c>
      <c r="L409" s="574" t="s">
        <v>250</v>
      </c>
      <c r="M409" s="574" t="s">
        <v>164</v>
      </c>
      <c r="N409" s="51" t="str">
        <f>IF(AND('331-CT'!$E$7=TH!H409,OR(L409="331",M409="331")),"331",IF(AND(OR(L409="131",M409="131"),H409='131-CT'!$E$7),"131",""))</f>
        <v/>
      </c>
      <c r="O409" s="51" t="str">
        <f>IF(AND($B409&gt;='111'!$N$11,$B409&lt;='111'!$O$11,OR($L409=$O$7,$M409=$O$7)),"x","")</f>
        <v/>
      </c>
      <c r="P409" s="51" t="str">
        <f>IF(AND($L409=$O$7,$B409&lt;'111'!$N$11),"x","")</f>
        <v/>
      </c>
      <c r="Q409" s="51" t="str">
        <f>IF(AND($M409=$O$7,$B409&lt;'111'!$N$11),"x","")</f>
        <v/>
      </c>
      <c r="R409" s="51" t="str">
        <f>IF(ISERROR(FIND('112'!$M$9,G409,1)),"",IF((AND(FIND('112'!$M$9,G409,1)&gt;=1,$B409&gt;='112'!$N$8,$B409&lt;='112'!$O$8,OR($L409='112'!$I$6,$M409='112'!$I$6))),"x",""))</f>
        <v/>
      </c>
      <c r="S409" s="51" t="str">
        <f>IF(ISERROR(FIND('112'!$M$9,G409,1)),"",IF((AND(LEFT(G409,2)=LEFT('112'!$M$9,2),B409&lt;'112'!$N$8,$L409='112'!$I$6)),"x",""))</f>
        <v/>
      </c>
      <c r="T409" s="51" t="str">
        <f>IF(ISERROR(FIND('112'!$M$9,G409,1)),"",IF((AND(RIGHT(G409,2)=RIGHT('112'!$M$9,2),B409&lt;'112'!$N$8,$M409='112'!$I$6)),"x",""))</f>
        <v/>
      </c>
      <c r="U409" s="51" t="str">
        <f>IF(AND(L409="154",'154'!$O$5&lt;=B409,'154'!$P$5&gt;=B409),"154",IF(AND(L409="632",'632'!$L$5&lt;=B409,'632'!$M$5&gt;=B409),"632",IF(AND(L409="642",'642'!$N$5&lt;=B409,'642'!$O$5&gt;=B409),"642",IF(AND(L409="641",'641'!$N$5&lt;=B409,'641'!$O$5&gt;=B409),"641",""))))</f>
        <v/>
      </c>
      <c r="V409" s="51" t="str">
        <f>IF(OR(TH!L409=TH!$V$7,M409=TH!$V$7),"x","")</f>
        <v/>
      </c>
      <c r="W409" s="51" t="str">
        <f>IF(AND(B409&gt;='IN-NX'!$P$3,B409&lt;='IN-NX'!$Q$3,'IN-NX'!$D$7=D409,OR(LEFT(L409,2)="15",AND(LEFT(M409,2)&lt;&gt;"15",LEFT(M409,2)&lt;&gt;"33"))),"x","")</f>
        <v/>
      </c>
      <c r="X409" s="51" t="str">
        <f>IF(AND(OR(LEFT(TH!L409,2)="15",LEFT(TH!M409,2)="15"),'152-CT'!$J$8=TH!F409),"x","")</f>
        <v/>
      </c>
      <c r="Y409" s="51" t="str">
        <f>IF(AND(OR(LEFT(TH!L409,2)="15",LEFT(TH!M409,2)="15"),TK!$E$7=TH!F409),"x","")</f>
        <v/>
      </c>
      <c r="Z409" s="51" t="str">
        <f>IF(AND(B409&lt;=NKC!$N$8,B409&gt;=NKC!$M$8),"x","")</f>
        <v/>
      </c>
      <c r="AA409" s="803"/>
      <c r="AB409" s="565"/>
    </row>
    <row r="410" spans="1:31" ht="15.75" customHeight="1">
      <c r="A410" s="804" t="str">
        <f>IF(B410&lt;&gt;"",IF(AND(B410&gt;=_TM1,B410&lt;=_TM2,OR(TH!L410="1111",TH!M410="1111")),TH!D410,""),"")</f>
        <v/>
      </c>
      <c r="B410" s="36">
        <f t="shared" ref="B410:B472" si="28">IF(C410&lt;&gt;"",MONTH(C410),"")</f>
        <v>6</v>
      </c>
      <c r="C410" s="189">
        <f t="shared" ref="C410:C472" si="29">E410</f>
        <v>42185</v>
      </c>
      <c r="D410" s="189" t="s">
        <v>1307</v>
      </c>
      <c r="E410" s="189">
        <v>42185</v>
      </c>
      <c r="F410" s="926" t="s">
        <v>962</v>
      </c>
      <c r="G410" s="813" t="s">
        <v>1008</v>
      </c>
      <c r="H410" s="202" t="s">
        <v>435</v>
      </c>
      <c r="I410" s="243"/>
      <c r="J410" s="243"/>
      <c r="K410" s="573">
        <v>186500</v>
      </c>
      <c r="L410" s="574" t="s">
        <v>250</v>
      </c>
      <c r="M410" s="574" t="s">
        <v>352</v>
      </c>
      <c r="N410" s="51" t="str">
        <f>IF(AND('331-CT'!$E$7=TH!H410,OR(L410="331",M410="331")),"331",IF(AND(OR(L410="131",M410="131"),H410='131-CT'!$E$7),"131",""))</f>
        <v/>
      </c>
      <c r="O410" s="51" t="str">
        <f>IF(AND($B410&gt;='111'!$N$11,$B410&lt;='111'!$O$11,OR($L410=$O$7,$M410=$O$7)),"x","")</f>
        <v/>
      </c>
      <c r="P410" s="51" t="str">
        <f>IF(AND($L410=$O$7,$B410&lt;'111'!$N$11),"x","")</f>
        <v/>
      </c>
      <c r="Q410" s="51" t="str">
        <f>IF(AND($M410=$O$7,$B410&lt;'111'!$N$11),"x","")</f>
        <v/>
      </c>
      <c r="R410" s="51" t="str">
        <f>IF(ISERROR(FIND('112'!$M$9,G410,1)),"",IF((AND(FIND('112'!$M$9,G410,1)&gt;=1,$B410&gt;='112'!$N$8,$B410&lt;='112'!$O$8,OR($L410='112'!$I$6,$M410='112'!$I$6))),"x",""))</f>
        <v/>
      </c>
      <c r="S410" s="51" t="str">
        <f>IF(ISERROR(FIND('112'!$M$9,G410,1)),"",IF((AND(LEFT(G410,2)=LEFT('112'!$M$9,2),B410&lt;'112'!$N$8,$L410='112'!$I$6)),"x",""))</f>
        <v/>
      </c>
      <c r="T410" s="51" t="str">
        <f>IF(ISERROR(FIND('112'!$M$9,G410,1)),"",IF((AND(RIGHT(G410,2)=RIGHT('112'!$M$9,2),B410&lt;'112'!$N$8,$M410='112'!$I$6)),"x",""))</f>
        <v/>
      </c>
      <c r="U410" s="51" t="str">
        <f>IF(AND(L410="154",'154'!$O$5&lt;=B410,'154'!$P$5&gt;=B410),"154",IF(AND(L410="632",'632'!$L$5&lt;=B410,'632'!$M$5&gt;=B410),"632",IF(AND(L410="642",'642'!$N$5&lt;=B410,'642'!$O$5&gt;=B410),"642",IF(AND(L410="641",'641'!$N$5&lt;=B410,'641'!$O$5&gt;=B410),"641",""))))</f>
        <v/>
      </c>
      <c r="V410" s="51" t="str">
        <f>IF(OR(TH!L410=TH!$V$7,M410=TH!$V$7),"x","")</f>
        <v/>
      </c>
      <c r="W410" s="51" t="str">
        <f>IF(AND(B410&gt;='IN-NX'!$P$3,B410&lt;='IN-NX'!$Q$3,'IN-NX'!$D$7=D410,OR(LEFT(L410,2)="15",AND(LEFT(M410,2)&lt;&gt;"15",LEFT(M410,2)&lt;&gt;"33"))),"x","")</f>
        <v/>
      </c>
      <c r="X410" s="51" t="str">
        <f>IF(AND(OR(LEFT(TH!L410,2)="15",LEFT(TH!M410,2)="15"),'152-CT'!$J$8=TH!F410),"x","")</f>
        <v/>
      </c>
      <c r="Y410" s="51" t="str">
        <f>IF(AND(OR(LEFT(TH!L410,2)="15",LEFT(TH!M410,2)="15"),TK!$E$7=TH!F410),"x","")</f>
        <v/>
      </c>
      <c r="Z410" s="51" t="str">
        <f>IF(AND(B410&lt;=NKC!$N$8,B410&gt;=NKC!$M$8),"x","")</f>
        <v/>
      </c>
      <c r="AA410" s="803"/>
      <c r="AB410" s="565"/>
    </row>
    <row r="411" spans="1:31" ht="15.75" customHeight="1">
      <c r="A411" s="804" t="str">
        <f>IF(B411&lt;&gt;"",IF(AND(B411&gt;=_TM1,B411&lt;=_TM2,OR(TH!L411="1111",TH!M411="1111")),TH!D411,""),"")</f>
        <v/>
      </c>
      <c r="B411" s="661">
        <f t="shared" si="28"/>
        <v>6</v>
      </c>
      <c r="C411" s="830">
        <f t="shared" si="29"/>
        <v>42185</v>
      </c>
      <c r="D411" s="830" t="s">
        <v>1419</v>
      </c>
      <c r="E411" s="830">
        <v>42185</v>
      </c>
      <c r="F411" s="836" t="s">
        <v>1464</v>
      </c>
      <c r="G411" s="849"/>
      <c r="H411" s="914" t="s">
        <v>437</v>
      </c>
      <c r="I411" s="241"/>
      <c r="J411" s="241"/>
      <c r="K411" s="834">
        <v>5000000</v>
      </c>
      <c r="L411" s="851" t="s">
        <v>83</v>
      </c>
      <c r="M411" s="851" t="s">
        <v>47</v>
      </c>
      <c r="N411" s="51" t="str">
        <f>IF(AND('331-CT'!$E$7=TH!H411,OR(L411="331",M411="331")),"331",IF(AND(OR(L411="131",M411="131"),H411='131-CT'!$E$7),"131",""))</f>
        <v/>
      </c>
      <c r="O411" s="51" t="str">
        <f>IF(AND($B411&gt;='111'!$N$11,$B411&lt;='111'!$O$11,OR($L411=$O$7,$M411=$O$7)),"x","")</f>
        <v/>
      </c>
      <c r="P411" s="51" t="str">
        <f>IF(AND($L411=$O$7,$B411&lt;'111'!$N$11),"x","")</f>
        <v/>
      </c>
      <c r="Q411" s="51" t="str">
        <f>IF(AND($M411=$O$7,$B411&lt;'111'!$N$11),"x","")</f>
        <v>x</v>
      </c>
      <c r="R411" s="51" t="str">
        <f>IF(ISERROR(FIND('112'!$M$9,G411,1)),"",IF((AND(FIND('112'!$M$9,G411,1)&gt;=1,$B411&gt;='112'!$N$8,$B411&lt;='112'!$O$8,OR($L411='112'!$I$6,$M411='112'!$I$6))),"x",""))</f>
        <v/>
      </c>
      <c r="S411" s="51" t="str">
        <f>IF(ISERROR(FIND('112'!$M$9,G411,1)),"",IF((AND(LEFT(G411,2)=LEFT('112'!$M$9,2),B411&lt;'112'!$N$8,$L411='112'!$I$6)),"x",""))</f>
        <v/>
      </c>
      <c r="T411" s="51" t="str">
        <f>IF(ISERROR(FIND('112'!$M$9,G411,1)),"",IF((AND(RIGHT(G411,2)=RIGHT('112'!$M$9,2),B411&lt;'112'!$N$8,$M411='112'!$I$6)),"x",""))</f>
        <v/>
      </c>
      <c r="U411" s="51" t="str">
        <f>IF(AND(L411="154",'154'!$O$5&lt;=B411,'154'!$P$5&gt;=B411),"154",IF(AND(L411="632",'632'!$L$5&lt;=B411,'632'!$M$5&gt;=B411),"632",IF(AND(L411="642",'642'!$N$5&lt;=B411,'642'!$O$5&gt;=B411),"642",IF(AND(L411="641",'641'!$N$5&lt;=B411,'641'!$O$5&gt;=B411),"641",""))))</f>
        <v>642</v>
      </c>
      <c r="V411" s="51" t="str">
        <f>IF(OR(TH!L411=TH!$V$7,M411=TH!$V$7),"x","")</f>
        <v>x</v>
      </c>
      <c r="W411" s="51" t="str">
        <f>IF(AND(B411&gt;='IN-NX'!$P$3,B411&lt;='IN-NX'!$Q$3,'IN-NX'!$D$7=D411,OR(LEFT(L411,2)="15",AND(LEFT(M411,2)&lt;&gt;"15",LEFT(M411,2)&lt;&gt;"33"))),"x","")</f>
        <v/>
      </c>
      <c r="X411" s="51" t="str">
        <f>IF(AND(OR(LEFT(TH!L411,2)="15",LEFT(TH!M411,2)="15"),'152-CT'!$J$8=TH!F411),"x","")</f>
        <v/>
      </c>
      <c r="Y411" s="51" t="str">
        <f>IF(AND(OR(LEFT(TH!L411,2)="15",LEFT(TH!M411,2)="15"),TK!$E$7=TH!F411),"x","")</f>
        <v/>
      </c>
      <c r="Z411" s="51" t="str">
        <f>IF(AND(B411&lt;=NKC!$N$8,B411&gt;=NKC!$M$8),"x","")</f>
        <v/>
      </c>
      <c r="AA411" s="915"/>
      <c r="AB411" s="662"/>
      <c r="AC411" s="916"/>
      <c r="AD411" s="916"/>
      <c r="AE411" s="565"/>
    </row>
    <row r="412" spans="1:31" ht="15.75" customHeight="1">
      <c r="A412" s="804" t="str">
        <f>IF(B412&lt;&gt;"",IF(AND(B412&gt;=_TM1,B412&lt;=_TM2,OR(TH!L412="1111",TH!M412="1111")),TH!D412,""),"")</f>
        <v>C01</v>
      </c>
      <c r="B412" s="36">
        <f t="shared" si="28"/>
        <v>7</v>
      </c>
      <c r="C412" s="189">
        <f t="shared" si="29"/>
        <v>42186</v>
      </c>
      <c r="D412" s="189" t="s">
        <v>1335</v>
      </c>
      <c r="E412" s="182">
        <v>42186</v>
      </c>
      <c r="F412" s="187" t="s">
        <v>433</v>
      </c>
      <c r="G412" s="811" t="s">
        <v>415</v>
      </c>
      <c r="H412" s="7" t="s">
        <v>436</v>
      </c>
      <c r="I412" s="243"/>
      <c r="J412" s="243"/>
      <c r="K412" s="38">
        <v>100000000</v>
      </c>
      <c r="L412" s="192" t="s">
        <v>24</v>
      </c>
      <c r="M412" s="192" t="s">
        <v>47</v>
      </c>
      <c r="N412" s="51" t="str">
        <f>IF(AND('331-CT'!$E$7=TH!H412,OR(L412="331",M412="331")),"331",IF(AND(OR(L412="131",M412="131"),H412='131-CT'!$E$7),"131",""))</f>
        <v/>
      </c>
      <c r="O412" s="51" t="str">
        <f>IF(AND($B412&gt;='111'!$N$11,$B412&lt;='111'!$O$11,OR($L412=$O$7,$M412=$O$7)),"x","")</f>
        <v/>
      </c>
      <c r="P412" s="51" t="str">
        <f>IF(AND($L412=$O$7,$B412&lt;'111'!$N$11),"x","")</f>
        <v/>
      </c>
      <c r="Q412" s="51" t="str">
        <f>IF(AND($M412=$O$7,$B412&lt;'111'!$N$11),"x","")</f>
        <v>x</v>
      </c>
      <c r="R412" s="51" t="str">
        <f>IF(ISERROR(FIND('112'!$M$9,G412,1)),"",IF((AND(FIND('112'!$M$9,G412,1)&gt;=1,$B412&gt;='112'!$N$8,$B412&lt;='112'!$O$8,OR($L412='112'!$I$6,$M412='112'!$I$6))),"x",""))</f>
        <v/>
      </c>
      <c r="S412" s="51" t="str">
        <f>IF(ISERROR(FIND('112'!$M$9,G412,1)),"",IF((AND(LEFT(G412,2)=LEFT('112'!$M$9,2),B412&lt;'112'!$N$8,$L412='112'!$I$6)),"x",""))</f>
        <v/>
      </c>
      <c r="T412" s="51" t="str">
        <f>IF(ISERROR(FIND('112'!$M$9,G412,1)),"",IF((AND(RIGHT(G412,2)=RIGHT('112'!$M$9,2),B412&lt;'112'!$N$8,$M412='112'!$I$6)),"x",""))</f>
        <v/>
      </c>
      <c r="U412" s="51" t="str">
        <f>IF(AND(L412="154",'154'!$O$5&lt;=B412,'154'!$P$5&gt;=B412),"154",IF(AND(L412="632",'632'!$L$5&lt;=B412,'632'!$M$5&gt;=B412),"632",IF(AND(L412="642",'642'!$N$5&lt;=B412,'642'!$O$5&gt;=B412),"642",IF(AND(L412="641",'641'!$N$5&lt;=B412,'641'!$O$5&gt;=B412),"641",""))))</f>
        <v/>
      </c>
      <c r="V412" s="51" t="str">
        <f>IF(OR(TH!L412=TH!$V$7,M412=TH!$V$7),"x","")</f>
        <v/>
      </c>
      <c r="W412" s="51" t="str">
        <f>IF(AND(B412&gt;='IN-NX'!$P$3,B412&lt;='IN-NX'!$Q$3,'IN-NX'!$D$7=D412,OR(LEFT(L412,2)="15",AND(LEFT(M412,2)&lt;&gt;"15",LEFT(M412,2)&lt;&gt;"33"))),"x","")</f>
        <v/>
      </c>
      <c r="X412" s="51" t="str">
        <f>IF(AND(OR(LEFT(TH!L412,2)="15",LEFT(TH!M412,2)="15"),'152-CT'!$J$8=TH!F412),"x","")</f>
        <v/>
      </c>
      <c r="Y412" s="51" t="str">
        <f>IF(AND(OR(LEFT(TH!L412,2)="15",LEFT(TH!M412,2)="15"),TK!$E$7=TH!F412),"x","")</f>
        <v/>
      </c>
      <c r="Z412" s="51" t="str">
        <f>IF(AND(B412&lt;=NKC!$N$8,B412&gt;=NKC!$M$8),"x","")</f>
        <v>x</v>
      </c>
      <c r="AA412" s="803"/>
    </row>
    <row r="413" spans="1:31" ht="15.75" customHeight="1">
      <c r="A413" s="804" t="str">
        <f>IF(B413&lt;&gt;"",IF(AND(B413&gt;=_TM1,B413&lt;=_TM2,OR(TH!L413="1111",TH!M413="1111")),TH!D413,""),"")</f>
        <v>T01</v>
      </c>
      <c r="B413" s="36">
        <f t="shared" si="28"/>
        <v>7</v>
      </c>
      <c r="C413" s="189">
        <f t="shared" si="29"/>
        <v>42187</v>
      </c>
      <c r="D413" s="189" t="s">
        <v>339</v>
      </c>
      <c r="E413" s="182">
        <v>42187</v>
      </c>
      <c r="F413" s="187" t="s">
        <v>427</v>
      </c>
      <c r="G413" s="811" t="s">
        <v>415</v>
      </c>
      <c r="H413" s="7" t="s">
        <v>437</v>
      </c>
      <c r="I413" s="243"/>
      <c r="J413" s="243"/>
      <c r="K413" s="38">
        <v>5500000</v>
      </c>
      <c r="L413" s="192" t="s">
        <v>47</v>
      </c>
      <c r="M413" s="192" t="s">
        <v>24</v>
      </c>
      <c r="N413" s="51" t="str">
        <f>IF(AND('331-CT'!$E$7=TH!H413,OR(L413="331",M413="331")),"331",IF(AND(OR(L413="131",M413="131"),H413='131-CT'!$E$7),"131",""))</f>
        <v/>
      </c>
      <c r="O413" s="51" t="str">
        <f>IF(AND($B413&gt;='111'!$N$11,$B413&lt;='111'!$O$11,OR($L413=$O$7,$M413=$O$7)),"x","")</f>
        <v/>
      </c>
      <c r="P413" s="51" t="str">
        <f>IF(AND($L413=$O$7,$B413&lt;'111'!$N$11),"x","")</f>
        <v>x</v>
      </c>
      <c r="Q413" s="51" t="str">
        <f>IF(AND($M413=$O$7,$B413&lt;'111'!$N$11),"x","")</f>
        <v/>
      </c>
      <c r="R413" s="51" t="str">
        <f>IF(ISERROR(FIND('112'!$M$9,G413,1)),"",IF((AND(FIND('112'!$M$9,G413,1)&gt;=1,$B413&gt;='112'!$N$8,$B413&lt;='112'!$O$8,OR($L413='112'!$I$6,$M413='112'!$I$6))),"x",""))</f>
        <v/>
      </c>
      <c r="S413" s="51" t="str">
        <f>IF(ISERROR(FIND('112'!$M$9,G413,1)),"",IF((AND(LEFT(G413,2)=LEFT('112'!$M$9,2),B413&lt;'112'!$N$8,$L413='112'!$I$6)),"x",""))</f>
        <v/>
      </c>
      <c r="T413" s="51" t="str">
        <f>IF(ISERROR(FIND('112'!$M$9,G413,1)),"",IF((AND(RIGHT(G413,2)=RIGHT('112'!$M$9,2),B413&lt;'112'!$N$8,$M413='112'!$I$6)),"x",""))</f>
        <v/>
      </c>
      <c r="U413" s="51" t="str">
        <f>IF(AND(L413="154",'154'!$O$5&lt;=B413,'154'!$P$5&gt;=B413),"154",IF(AND(L413="632",'632'!$L$5&lt;=B413,'632'!$M$5&gt;=B413),"632",IF(AND(L413="642",'642'!$N$5&lt;=B413,'642'!$O$5&gt;=B413),"642",IF(AND(L413="641",'641'!$N$5&lt;=B413,'641'!$O$5&gt;=B413),"641",""))))</f>
        <v/>
      </c>
      <c r="V413" s="51" t="str">
        <f>IF(OR(TH!L413=TH!$V$7,M413=TH!$V$7),"x","")</f>
        <v/>
      </c>
      <c r="W413" s="51" t="str">
        <f>IF(AND(B413&gt;='IN-NX'!$P$3,B413&lt;='IN-NX'!$Q$3,'IN-NX'!$D$7=D413,OR(LEFT(L413,2)="15",AND(LEFT(M413,2)&lt;&gt;"15",LEFT(M413,2)&lt;&gt;"33"))),"x","")</f>
        <v/>
      </c>
      <c r="X413" s="51" t="str">
        <f>IF(AND(OR(LEFT(TH!L413,2)="15",LEFT(TH!M413,2)="15"),'152-CT'!$J$8=TH!F413),"x","")</f>
        <v/>
      </c>
      <c r="Y413" s="51" t="str">
        <f>IF(AND(OR(LEFT(TH!L413,2)="15",LEFT(TH!M413,2)="15"),TK!$E$7=TH!F413),"x","")</f>
        <v/>
      </c>
      <c r="Z413" s="51" t="str">
        <f>IF(AND(B413&lt;=NKC!$N$8,B413&gt;=NKC!$M$8),"x","")</f>
        <v>x</v>
      </c>
      <c r="AA413" s="803"/>
    </row>
    <row r="414" spans="1:31" ht="15.75" customHeight="1">
      <c r="A414" s="804" t="str">
        <f>IF(B414&lt;&gt;"",IF(AND(B414&gt;=_TM1,B414&lt;=_TM2,OR(TH!L414="1111",TH!M414="1111")),TH!D414,""),"")</f>
        <v>C02</v>
      </c>
      <c r="B414" s="36">
        <f t="shared" si="28"/>
        <v>7</v>
      </c>
      <c r="C414" s="189">
        <f t="shared" si="29"/>
        <v>42189</v>
      </c>
      <c r="D414" s="189" t="s">
        <v>1337</v>
      </c>
      <c r="E414" s="189">
        <v>42189</v>
      </c>
      <c r="F414" s="922" t="s">
        <v>526</v>
      </c>
      <c r="G414" s="813" t="s">
        <v>617</v>
      </c>
      <c r="H414" s="191" t="s">
        <v>525</v>
      </c>
      <c r="I414" s="243"/>
      <c r="J414" s="243"/>
      <c r="K414" s="573">
        <v>1409091</v>
      </c>
      <c r="L414" s="574" t="s">
        <v>83</v>
      </c>
      <c r="M414" s="574" t="s">
        <v>47</v>
      </c>
      <c r="N414" s="51" t="str">
        <f>IF(AND('331-CT'!$E$7=TH!H414,OR(L414="331",M414="331")),"331",IF(AND(OR(L414="131",M414="131"),H414='131-CT'!$E$7),"131",""))</f>
        <v/>
      </c>
      <c r="O414" s="51" t="str">
        <f>IF(AND($B414&gt;='111'!$N$11,$B414&lt;='111'!$O$11,OR($L414=$O$7,$M414=$O$7)),"x","")</f>
        <v/>
      </c>
      <c r="P414" s="51" t="str">
        <f>IF(AND($L414=$O$7,$B414&lt;'111'!$N$11),"x","")</f>
        <v/>
      </c>
      <c r="Q414" s="51" t="str">
        <f>IF(AND($M414=$O$7,$B414&lt;'111'!$N$11),"x","")</f>
        <v>x</v>
      </c>
      <c r="R414" s="51" t="str">
        <f>IF(ISERROR(FIND('112'!$M$9,G414,1)),"",IF((AND(FIND('112'!$M$9,G414,1)&gt;=1,$B414&gt;='112'!$N$8,$B414&lt;='112'!$O$8,OR($L414='112'!$I$6,$M414='112'!$I$6))),"x",""))</f>
        <v/>
      </c>
      <c r="S414" s="51" t="str">
        <f>IF(ISERROR(FIND('112'!$M$9,G414,1)),"",IF((AND(LEFT(G414,2)=LEFT('112'!$M$9,2),B414&lt;'112'!$N$8,$L414='112'!$I$6)),"x",""))</f>
        <v/>
      </c>
      <c r="T414" s="51" t="str">
        <f>IF(ISERROR(FIND('112'!$M$9,G414,1)),"",IF((AND(RIGHT(G414,2)=RIGHT('112'!$M$9,2),B414&lt;'112'!$N$8,$M414='112'!$I$6)),"x",""))</f>
        <v/>
      </c>
      <c r="U414" s="51" t="str">
        <f>IF(AND(L414="154",'154'!$O$5&lt;=B414,'154'!$P$5&gt;=B414),"154",IF(AND(L414="632",'632'!$L$5&lt;=B414,'632'!$M$5&gt;=B414),"632",IF(AND(L414="642",'642'!$N$5&lt;=B414,'642'!$O$5&gt;=B414),"642",IF(AND(L414="641",'641'!$N$5&lt;=B414,'641'!$O$5&gt;=B414),"641",""))))</f>
        <v/>
      </c>
      <c r="V414" s="51" t="str">
        <f>IF(OR(TH!L414=TH!$V$7,M414=TH!$V$7),"x","")</f>
        <v>x</v>
      </c>
      <c r="W414" s="51" t="str">
        <f>IF(AND(B414&gt;='IN-NX'!$P$3,B414&lt;='IN-NX'!$Q$3,'IN-NX'!$D$7=D414,OR(LEFT(L414,2)="15",AND(LEFT(M414,2)&lt;&gt;"15",LEFT(M414,2)&lt;&gt;"33"))),"x","")</f>
        <v/>
      </c>
      <c r="X414" s="51" t="str">
        <f>IF(AND(OR(LEFT(TH!L414,2)="15",LEFT(TH!M414,2)="15"),'152-CT'!$J$8=TH!F414),"x","")</f>
        <v/>
      </c>
      <c r="Y414" s="51" t="str">
        <f>IF(AND(OR(LEFT(TH!L414,2)="15",LEFT(TH!M414,2)="15"),TK!$E$7=TH!F414),"x","")</f>
        <v/>
      </c>
      <c r="Z414" s="51" t="str">
        <f>IF(AND(B414&lt;=NKC!$N$8,B414&gt;=NKC!$M$8),"x","")</f>
        <v>x</v>
      </c>
      <c r="AA414" s="803"/>
      <c r="AB414" s="565"/>
    </row>
    <row r="415" spans="1:31" ht="15.75" customHeight="1">
      <c r="A415" s="804" t="str">
        <f>IF(B415&lt;&gt;"",IF(AND(B415&gt;=_TM1,B415&lt;=_TM2,OR(TH!L415="1111",TH!M415="1111")),TH!D415,""),"")</f>
        <v>C02</v>
      </c>
      <c r="B415" s="36">
        <f t="shared" si="28"/>
        <v>7</v>
      </c>
      <c r="C415" s="189">
        <f t="shared" si="29"/>
        <v>42189</v>
      </c>
      <c r="D415" s="189" t="s">
        <v>1337</v>
      </c>
      <c r="E415" s="189">
        <v>42189</v>
      </c>
      <c r="F415" s="926" t="s">
        <v>527</v>
      </c>
      <c r="G415" s="813" t="s">
        <v>617</v>
      </c>
      <c r="H415" s="191" t="s">
        <v>525</v>
      </c>
      <c r="I415" s="243"/>
      <c r="J415" s="243"/>
      <c r="K415" s="573">
        <v>140909</v>
      </c>
      <c r="L415" s="574" t="s">
        <v>9</v>
      </c>
      <c r="M415" s="574" t="s">
        <v>47</v>
      </c>
      <c r="N415" s="51" t="str">
        <f>IF(AND('331-CT'!$E$7=TH!H415,OR(L415="331",M415="331")),"331",IF(AND(OR(L415="131",M415="131"),H415='131-CT'!$E$7),"131",""))</f>
        <v/>
      </c>
      <c r="O415" s="51" t="str">
        <f>IF(AND($B415&gt;='111'!$N$11,$B415&lt;='111'!$O$11,OR($L415=$O$7,$M415=$O$7)),"x","")</f>
        <v/>
      </c>
      <c r="P415" s="51" t="str">
        <f>IF(AND($L415=$O$7,$B415&lt;'111'!$N$11),"x","")</f>
        <v/>
      </c>
      <c r="Q415" s="51" t="str">
        <f>IF(AND($M415=$O$7,$B415&lt;'111'!$N$11),"x","")</f>
        <v>x</v>
      </c>
      <c r="R415" s="51" t="str">
        <f>IF(ISERROR(FIND('112'!$M$9,G415,1)),"",IF((AND(FIND('112'!$M$9,G415,1)&gt;=1,$B415&gt;='112'!$N$8,$B415&lt;='112'!$O$8,OR($L415='112'!$I$6,$M415='112'!$I$6))),"x",""))</f>
        <v/>
      </c>
      <c r="S415" s="51" t="str">
        <f>IF(ISERROR(FIND('112'!$M$9,G415,1)),"",IF((AND(LEFT(G415,2)=LEFT('112'!$M$9,2),B415&lt;'112'!$N$8,$L415='112'!$I$6)),"x",""))</f>
        <v/>
      </c>
      <c r="T415" s="51" t="str">
        <f>IF(ISERROR(FIND('112'!$M$9,G415,1)),"",IF((AND(RIGHT(G415,2)=RIGHT('112'!$M$9,2),B415&lt;'112'!$N$8,$M415='112'!$I$6)),"x",""))</f>
        <v/>
      </c>
      <c r="U415" s="51" t="str">
        <f>IF(AND(L415="154",'154'!$O$5&lt;=B415,'154'!$P$5&gt;=B415),"154",IF(AND(L415="632",'632'!$L$5&lt;=B415,'632'!$M$5&gt;=B415),"632",IF(AND(L415="642",'642'!$N$5&lt;=B415,'642'!$O$5&gt;=B415),"642",IF(AND(L415="641",'641'!$N$5&lt;=B415,'641'!$O$5&gt;=B415),"641",""))))</f>
        <v/>
      </c>
      <c r="V415" s="51" t="str">
        <f>IF(OR(TH!L415=TH!$V$7,M415=TH!$V$7),"x","")</f>
        <v/>
      </c>
      <c r="W415" s="51" t="str">
        <f>IF(AND(B415&gt;='IN-NX'!$P$3,B415&lt;='IN-NX'!$Q$3,'IN-NX'!$D$7=D415,OR(LEFT(L415,2)="15",AND(LEFT(M415,2)&lt;&gt;"15",LEFT(M415,2)&lt;&gt;"33"))),"x","")</f>
        <v/>
      </c>
      <c r="X415" s="51" t="str">
        <f>IF(AND(OR(LEFT(TH!L415,2)="15",LEFT(TH!M415,2)="15"),'152-CT'!$J$8=TH!F415),"x","")</f>
        <v/>
      </c>
      <c r="Y415" s="51" t="str">
        <f>IF(AND(OR(LEFT(TH!L415,2)="15",LEFT(TH!M415,2)="15"),TK!$E$7=TH!F415),"x","")</f>
        <v/>
      </c>
      <c r="Z415" s="51" t="str">
        <f>IF(AND(B415&lt;=NKC!$N$8,B415&gt;=NKC!$M$8),"x","")</f>
        <v>x</v>
      </c>
      <c r="AA415" s="803">
        <v>3</v>
      </c>
      <c r="AB415" s="565"/>
    </row>
    <row r="416" spans="1:31" ht="15.75" customHeight="1">
      <c r="A416" s="804" t="str">
        <f>IF(B416&lt;&gt;"",IF(AND(B416&gt;=_TM1,B416&lt;=_TM2,OR(TH!L416="1111",TH!M416="1111")),TH!D416,""),"")</f>
        <v>T02</v>
      </c>
      <c r="B416" s="36">
        <f t="shared" si="28"/>
        <v>7</v>
      </c>
      <c r="C416" s="189">
        <f t="shared" si="29"/>
        <v>42191</v>
      </c>
      <c r="D416" s="189" t="s">
        <v>340</v>
      </c>
      <c r="E416" s="182">
        <v>42191</v>
      </c>
      <c r="F416" s="187" t="s">
        <v>427</v>
      </c>
      <c r="G416" s="811" t="s">
        <v>415</v>
      </c>
      <c r="H416" s="7" t="s">
        <v>437</v>
      </c>
      <c r="I416" s="243"/>
      <c r="J416" s="243"/>
      <c r="K416" s="38">
        <v>4000000</v>
      </c>
      <c r="L416" s="192" t="s">
        <v>47</v>
      </c>
      <c r="M416" s="192" t="s">
        <v>24</v>
      </c>
      <c r="N416" s="51" t="str">
        <f>IF(AND('331-CT'!$E$7=TH!H416,OR(L416="331",M416="331")),"331",IF(AND(OR(L416="131",M416="131"),H416='131-CT'!$E$7),"131",""))</f>
        <v/>
      </c>
      <c r="O416" s="51" t="str">
        <f>IF(AND($B416&gt;='111'!$N$11,$B416&lt;='111'!$O$11,OR($L416=$O$7,$M416=$O$7)),"x","")</f>
        <v/>
      </c>
      <c r="P416" s="51" t="str">
        <f>IF(AND($L416=$O$7,$B416&lt;'111'!$N$11),"x","")</f>
        <v>x</v>
      </c>
      <c r="Q416" s="51" t="str">
        <f>IF(AND($M416=$O$7,$B416&lt;'111'!$N$11),"x","")</f>
        <v/>
      </c>
      <c r="R416" s="51" t="str">
        <f>IF(ISERROR(FIND('112'!$M$9,G416,1)),"",IF((AND(FIND('112'!$M$9,G416,1)&gt;=1,$B416&gt;='112'!$N$8,$B416&lt;='112'!$O$8,OR($L416='112'!$I$6,$M416='112'!$I$6))),"x",""))</f>
        <v/>
      </c>
      <c r="S416" s="51" t="str">
        <f>IF(ISERROR(FIND('112'!$M$9,G416,1)),"",IF((AND(LEFT(G416,2)=LEFT('112'!$M$9,2),B416&lt;'112'!$N$8,$L416='112'!$I$6)),"x",""))</f>
        <v/>
      </c>
      <c r="T416" s="51" t="str">
        <f>IF(ISERROR(FIND('112'!$M$9,G416,1)),"",IF((AND(RIGHT(G416,2)=RIGHT('112'!$M$9,2),B416&lt;'112'!$N$8,$M416='112'!$I$6)),"x",""))</f>
        <v/>
      </c>
      <c r="U416" s="51" t="str">
        <f>IF(AND(L416="154",'154'!$O$5&lt;=B416,'154'!$P$5&gt;=B416),"154",IF(AND(L416="632",'632'!$L$5&lt;=B416,'632'!$M$5&gt;=B416),"632",IF(AND(L416="642",'642'!$N$5&lt;=B416,'642'!$O$5&gt;=B416),"642",IF(AND(L416="641",'641'!$N$5&lt;=B416,'641'!$O$5&gt;=B416),"641",""))))</f>
        <v/>
      </c>
      <c r="V416" s="51" t="str">
        <f>IF(OR(TH!L416=TH!$V$7,M416=TH!$V$7),"x","")</f>
        <v/>
      </c>
      <c r="W416" s="51" t="str">
        <f>IF(AND(B416&gt;='IN-NX'!$P$3,B416&lt;='IN-NX'!$Q$3,'IN-NX'!$D$7=D416,OR(LEFT(L416,2)="15",AND(LEFT(M416,2)&lt;&gt;"15",LEFT(M416,2)&lt;&gt;"33"))),"x","")</f>
        <v/>
      </c>
      <c r="X416" s="51" t="str">
        <f>IF(AND(OR(LEFT(TH!L416,2)="15",LEFT(TH!M416,2)="15"),'152-CT'!$J$8=TH!F416),"x","")</f>
        <v/>
      </c>
      <c r="Y416" s="51" t="str">
        <f>IF(AND(OR(LEFT(TH!L416,2)="15",LEFT(TH!M416,2)="15"),TK!$E$7=TH!F416),"x","")</f>
        <v/>
      </c>
      <c r="Z416" s="51" t="str">
        <f>IF(AND(B416&lt;=NKC!$N$8,B416&gt;=NKC!$M$8),"x","")</f>
        <v>x</v>
      </c>
      <c r="AA416" s="803"/>
    </row>
    <row r="417" spans="1:31" ht="15.75" customHeight="1">
      <c r="A417" s="804" t="str">
        <f>IF(B417&lt;&gt;"",IF(AND(B417&gt;=_TM1,B417&lt;=_TM2,OR(TH!L417="1111",TH!M417="1111")),TH!D417,""),"")</f>
        <v>C03</v>
      </c>
      <c r="B417" s="36">
        <f t="shared" si="28"/>
        <v>7</v>
      </c>
      <c r="C417" s="189">
        <f t="shared" si="29"/>
        <v>42194</v>
      </c>
      <c r="D417" s="189" t="s">
        <v>1341</v>
      </c>
      <c r="E417" s="189">
        <v>42194</v>
      </c>
      <c r="F417" s="926" t="s">
        <v>558</v>
      </c>
      <c r="G417" s="813" t="s">
        <v>616</v>
      </c>
      <c r="H417" s="7" t="s">
        <v>559</v>
      </c>
      <c r="I417" s="243"/>
      <c r="J417" s="243"/>
      <c r="K417" s="573">
        <v>81818</v>
      </c>
      <c r="L417" s="574" t="s">
        <v>83</v>
      </c>
      <c r="M417" s="574" t="s">
        <v>47</v>
      </c>
      <c r="N417" s="51" t="str">
        <f>IF(AND('331-CT'!$E$7=TH!H417,OR(L417="331",M417="331")),"331",IF(AND(OR(L417="131",M417="131"),H417='131-CT'!$E$7),"131",""))</f>
        <v/>
      </c>
      <c r="O417" s="51" t="str">
        <f>IF(AND($B417&gt;='111'!$N$11,$B417&lt;='111'!$O$11,OR($L417=$O$7,$M417=$O$7)),"x","")</f>
        <v/>
      </c>
      <c r="P417" s="51" t="str">
        <f>IF(AND($L417=$O$7,$B417&lt;'111'!$N$11),"x","")</f>
        <v/>
      </c>
      <c r="Q417" s="51" t="str">
        <f>IF(AND($M417=$O$7,$B417&lt;'111'!$N$11),"x","")</f>
        <v>x</v>
      </c>
      <c r="R417" s="51" t="str">
        <f>IF(ISERROR(FIND('112'!$M$9,G417,1)),"",IF((AND(FIND('112'!$M$9,G417,1)&gt;=1,$B417&gt;='112'!$N$8,$B417&lt;='112'!$O$8,OR($L417='112'!$I$6,$M417='112'!$I$6))),"x",""))</f>
        <v/>
      </c>
      <c r="S417" s="51" t="str">
        <f>IF(ISERROR(FIND('112'!$M$9,G417,1)),"",IF((AND(LEFT(G417,2)=LEFT('112'!$M$9,2),B417&lt;'112'!$N$8,$L417='112'!$I$6)),"x",""))</f>
        <v/>
      </c>
      <c r="T417" s="51" t="str">
        <f>IF(ISERROR(FIND('112'!$M$9,G417,1)),"",IF((AND(RIGHT(G417,2)=RIGHT('112'!$M$9,2),B417&lt;'112'!$N$8,$M417='112'!$I$6)),"x",""))</f>
        <v/>
      </c>
      <c r="U417" s="51" t="str">
        <f>IF(AND(L417="154",'154'!$O$5&lt;=B417,'154'!$P$5&gt;=B417),"154",IF(AND(L417="632",'632'!$L$5&lt;=B417,'632'!$M$5&gt;=B417),"632",IF(AND(L417="642",'642'!$N$5&lt;=B417,'642'!$O$5&gt;=B417),"642",IF(AND(L417="641",'641'!$N$5&lt;=B417,'641'!$O$5&gt;=B417),"641",""))))</f>
        <v/>
      </c>
      <c r="V417" s="51" t="str">
        <f>IF(OR(TH!L417=TH!$V$7,M417=TH!$V$7),"x","")</f>
        <v>x</v>
      </c>
      <c r="W417" s="51" t="str">
        <f>IF(AND(B417&gt;='IN-NX'!$P$3,B417&lt;='IN-NX'!$Q$3,'IN-NX'!$D$7=D417,OR(LEFT(L417,2)="15",AND(LEFT(M417,2)&lt;&gt;"15",LEFT(M417,2)&lt;&gt;"33"))),"x","")</f>
        <v/>
      </c>
      <c r="X417" s="51" t="str">
        <f>IF(AND(OR(LEFT(TH!L417,2)="15",LEFT(TH!M417,2)="15"),'152-CT'!$J$8=TH!F417),"x","")</f>
        <v/>
      </c>
      <c r="Y417" s="51" t="str">
        <f>IF(AND(OR(LEFT(TH!L417,2)="15",LEFT(TH!M417,2)="15"),TK!$E$7=TH!F417),"x","")</f>
        <v/>
      </c>
      <c r="Z417" s="51" t="str">
        <f>IF(AND(B417&lt;=NKC!$N$8,B417&gt;=NKC!$M$8),"x","")</f>
        <v>x</v>
      </c>
      <c r="AA417" s="803"/>
      <c r="AB417" s="565"/>
    </row>
    <row r="418" spans="1:31" ht="15.75" customHeight="1">
      <c r="A418" s="804" t="str">
        <f>IF(B418&lt;&gt;"",IF(AND(B418&gt;=_TM1,B418&lt;=_TM2,OR(TH!L418="1111",TH!M418="1111")),TH!D418,""),"")</f>
        <v>C03</v>
      </c>
      <c r="B418" s="36">
        <f t="shared" si="28"/>
        <v>7</v>
      </c>
      <c r="C418" s="189">
        <f t="shared" si="29"/>
        <v>42194</v>
      </c>
      <c r="D418" s="189" t="s">
        <v>1341</v>
      </c>
      <c r="E418" s="189">
        <v>42194</v>
      </c>
      <c r="F418" s="926" t="s">
        <v>560</v>
      </c>
      <c r="G418" s="813" t="s">
        <v>616</v>
      </c>
      <c r="H418" s="7" t="s">
        <v>559</v>
      </c>
      <c r="I418" s="243"/>
      <c r="J418" s="243"/>
      <c r="K418" s="573">
        <v>8182</v>
      </c>
      <c r="L418" s="574" t="s">
        <v>9</v>
      </c>
      <c r="M418" s="574" t="s">
        <v>47</v>
      </c>
      <c r="N418" s="51" t="str">
        <f>IF(AND('331-CT'!$E$7=TH!H418,OR(L418="331",M418="331")),"331",IF(AND(OR(L418="131",M418="131"),H418='131-CT'!$E$7),"131",""))</f>
        <v/>
      </c>
      <c r="O418" s="51" t="str">
        <f>IF(AND($B418&gt;='111'!$N$11,$B418&lt;='111'!$O$11,OR($L418=$O$7,$M418=$O$7)),"x","")</f>
        <v/>
      </c>
      <c r="P418" s="51" t="str">
        <f>IF(AND($L418=$O$7,$B418&lt;'111'!$N$11),"x","")</f>
        <v/>
      </c>
      <c r="Q418" s="51" t="str">
        <f>IF(AND($M418=$O$7,$B418&lt;'111'!$N$11),"x","")</f>
        <v>x</v>
      </c>
      <c r="R418" s="51" t="str">
        <f>IF(ISERROR(FIND('112'!$M$9,G418,1)),"",IF((AND(FIND('112'!$M$9,G418,1)&gt;=1,$B418&gt;='112'!$N$8,$B418&lt;='112'!$O$8,OR($L418='112'!$I$6,$M418='112'!$I$6))),"x",""))</f>
        <v/>
      </c>
      <c r="S418" s="51" t="str">
        <f>IF(ISERROR(FIND('112'!$M$9,G418,1)),"",IF((AND(LEFT(G418,2)=LEFT('112'!$M$9,2),B418&lt;'112'!$N$8,$L418='112'!$I$6)),"x",""))</f>
        <v/>
      </c>
      <c r="T418" s="51" t="str">
        <f>IF(ISERROR(FIND('112'!$M$9,G418,1)),"",IF((AND(RIGHT(G418,2)=RIGHT('112'!$M$9,2),B418&lt;'112'!$N$8,$M418='112'!$I$6)),"x",""))</f>
        <v/>
      </c>
      <c r="U418" s="51" t="str">
        <f>IF(AND(L418="154",'154'!$O$5&lt;=B418,'154'!$P$5&gt;=B418),"154",IF(AND(L418="632",'632'!$L$5&lt;=B418,'632'!$M$5&gt;=B418),"632",IF(AND(L418="642",'642'!$N$5&lt;=B418,'642'!$O$5&gt;=B418),"642",IF(AND(L418="641",'641'!$N$5&lt;=B418,'641'!$O$5&gt;=B418),"641",""))))</f>
        <v/>
      </c>
      <c r="V418" s="51" t="str">
        <f>IF(OR(TH!L418=TH!$V$7,M418=TH!$V$7),"x","")</f>
        <v/>
      </c>
      <c r="W418" s="51" t="str">
        <f>IF(AND(B418&gt;='IN-NX'!$P$3,B418&lt;='IN-NX'!$Q$3,'IN-NX'!$D$7=D418,OR(LEFT(L418,2)="15",AND(LEFT(M418,2)&lt;&gt;"15",LEFT(M418,2)&lt;&gt;"33"))),"x","")</f>
        <v/>
      </c>
      <c r="X418" s="51" t="str">
        <f>IF(AND(OR(LEFT(TH!L418,2)="15",LEFT(TH!M418,2)="15"),'152-CT'!$J$8=TH!F418),"x","")</f>
        <v/>
      </c>
      <c r="Y418" s="51" t="str">
        <f>IF(AND(OR(LEFT(TH!L418,2)="15",LEFT(TH!M418,2)="15"),TK!$E$7=TH!F418),"x","")</f>
        <v/>
      </c>
      <c r="Z418" s="51" t="str">
        <f>IF(AND(B418&lt;=NKC!$N$8,B418&gt;=NKC!$M$8),"x","")</f>
        <v>x</v>
      </c>
      <c r="AA418" s="803">
        <v>3</v>
      </c>
      <c r="AB418" s="565"/>
    </row>
    <row r="419" spans="1:31" ht="15.75" customHeight="1">
      <c r="A419" s="804" t="str">
        <f>IF(B419&lt;&gt;"",IF(AND(B419&gt;=_TM1,B419&lt;=_TM2,OR(TH!L419="1111",TH!M419="1111")),TH!D419,""),"")</f>
        <v/>
      </c>
      <c r="B419" s="36">
        <f t="shared" si="28"/>
        <v>7</v>
      </c>
      <c r="C419" s="189">
        <f t="shared" si="29"/>
        <v>42196</v>
      </c>
      <c r="D419" s="189" t="s">
        <v>422</v>
      </c>
      <c r="E419" s="182">
        <v>42196</v>
      </c>
      <c r="F419" s="187" t="s">
        <v>425</v>
      </c>
      <c r="G419" s="811" t="s">
        <v>415</v>
      </c>
      <c r="H419" s="7"/>
      <c r="I419" s="243"/>
      <c r="J419" s="243"/>
      <c r="K419" s="38">
        <v>55000</v>
      </c>
      <c r="L419" s="192" t="s">
        <v>83</v>
      </c>
      <c r="M419" s="192" t="s">
        <v>24</v>
      </c>
      <c r="N419" s="51" t="str">
        <f>IF(AND('331-CT'!$E$7=TH!H419,OR(L419="331",M419="331")),"331",IF(AND(OR(L419="131",M419="131"),H419='131-CT'!$E$7),"131",""))</f>
        <v/>
      </c>
      <c r="O419" s="51" t="str">
        <f>IF(AND($B419&gt;='111'!$N$11,$B419&lt;='111'!$O$11,OR($L419=$O$7,$M419=$O$7)),"x","")</f>
        <v/>
      </c>
      <c r="P419" s="51" t="str">
        <f>IF(AND($L419=$O$7,$B419&lt;'111'!$N$11),"x","")</f>
        <v/>
      </c>
      <c r="Q419" s="51" t="str">
        <f>IF(AND($M419=$O$7,$B419&lt;'111'!$N$11),"x","")</f>
        <v/>
      </c>
      <c r="R419" s="51" t="str">
        <f>IF(ISERROR(FIND('112'!$M$9,G419,1)),"",IF((AND(FIND('112'!$M$9,G419,1)&gt;=1,$B419&gt;='112'!$N$8,$B419&lt;='112'!$O$8,OR($L419='112'!$I$6,$M419='112'!$I$6))),"x",""))</f>
        <v/>
      </c>
      <c r="S419" s="51" t="str">
        <f>IF(ISERROR(FIND('112'!$M$9,G419,1)),"",IF((AND(LEFT(G419,2)=LEFT('112'!$M$9,2),B419&lt;'112'!$N$8,$L419='112'!$I$6)),"x",""))</f>
        <v/>
      </c>
      <c r="T419" s="51" t="str">
        <f>IF(ISERROR(FIND('112'!$M$9,G419,1)),"",IF((AND(RIGHT(G419,2)=RIGHT('112'!$M$9,2),B419&lt;'112'!$N$8,$M419='112'!$I$6)),"x",""))</f>
        <v/>
      </c>
      <c r="U419" s="51" t="str">
        <f>IF(AND(L419="154",'154'!$O$5&lt;=B419,'154'!$P$5&gt;=B419),"154",IF(AND(L419="632",'632'!$L$5&lt;=B419,'632'!$M$5&gt;=B419),"632",IF(AND(L419="642",'642'!$N$5&lt;=B419,'642'!$O$5&gt;=B419),"642",IF(AND(L419="641",'641'!$N$5&lt;=B419,'641'!$O$5&gt;=B419),"641",""))))</f>
        <v/>
      </c>
      <c r="V419" s="51" t="str">
        <f>IF(OR(TH!L419=TH!$V$7,M419=TH!$V$7),"x","")</f>
        <v>x</v>
      </c>
      <c r="W419" s="51" t="str">
        <f>IF(AND(B419&gt;='IN-NX'!$P$3,B419&lt;='IN-NX'!$Q$3,'IN-NX'!$D$7=D419,OR(LEFT(L419,2)="15",AND(LEFT(M419,2)&lt;&gt;"15",LEFT(M419,2)&lt;&gt;"33"))),"x","")</f>
        <v/>
      </c>
      <c r="X419" s="51" t="str">
        <f>IF(AND(OR(LEFT(TH!L419,2)="15",LEFT(TH!M419,2)="15"),'152-CT'!$J$8=TH!F419),"x","")</f>
        <v/>
      </c>
      <c r="Y419" s="51" t="str">
        <f>IF(AND(OR(LEFT(TH!L419,2)="15",LEFT(TH!M419,2)="15"),TK!$E$7=TH!F419),"x","")</f>
        <v/>
      </c>
      <c r="Z419" s="51" t="str">
        <f>IF(AND(B419&lt;=NKC!$N$8,B419&gt;=NKC!$M$8),"x","")</f>
        <v>x</v>
      </c>
      <c r="AA419" s="803"/>
    </row>
    <row r="420" spans="1:31" ht="15.75" customHeight="1">
      <c r="A420" s="804" t="str">
        <f>IF(B420&lt;&gt;"",IF(AND(B420&gt;=_TM1,B420&lt;=_TM2,OR(TH!L420="1111",TH!M420="1111")),TH!D420,""),"")</f>
        <v/>
      </c>
      <c r="B420" s="36">
        <f t="shared" si="28"/>
        <v>7</v>
      </c>
      <c r="C420" s="189">
        <f t="shared" si="29"/>
        <v>42198</v>
      </c>
      <c r="D420" s="189" t="s">
        <v>421</v>
      </c>
      <c r="E420" s="182">
        <v>42198</v>
      </c>
      <c r="F420" s="922" t="s">
        <v>423</v>
      </c>
      <c r="G420" s="811" t="s">
        <v>415</v>
      </c>
      <c r="H420" s="202" t="s">
        <v>435</v>
      </c>
      <c r="I420" s="243"/>
      <c r="J420" s="243"/>
      <c r="K420" s="38">
        <v>2051500</v>
      </c>
      <c r="L420" s="192" t="s">
        <v>24</v>
      </c>
      <c r="M420" s="192" t="s">
        <v>250</v>
      </c>
      <c r="N420" s="51" t="str">
        <f>IF(AND('331-CT'!$E$7=TH!H420,OR(L420="331",M420="331")),"331",IF(AND(OR(L420="131",M420="131"),H420='131-CT'!$E$7),"131",""))</f>
        <v/>
      </c>
      <c r="O420" s="51" t="str">
        <f>IF(AND($B420&gt;='111'!$N$11,$B420&lt;='111'!$O$11,OR($L420=$O$7,$M420=$O$7)),"x","")</f>
        <v/>
      </c>
      <c r="P420" s="51" t="str">
        <f>IF(AND($L420=$O$7,$B420&lt;'111'!$N$11),"x","")</f>
        <v/>
      </c>
      <c r="Q420" s="51" t="str">
        <f>IF(AND($M420=$O$7,$B420&lt;'111'!$N$11),"x","")</f>
        <v/>
      </c>
      <c r="R420" s="51" t="str">
        <f>IF(ISERROR(FIND('112'!$M$9,G420,1)),"",IF((AND(FIND('112'!$M$9,G420,1)&gt;=1,$B420&gt;='112'!$N$8,$B420&lt;='112'!$O$8,OR($L420='112'!$I$6,$M420='112'!$I$6))),"x",""))</f>
        <v/>
      </c>
      <c r="S420" s="51" t="str">
        <f>IF(ISERROR(FIND('112'!$M$9,G420,1)),"",IF((AND(LEFT(G420,2)=LEFT('112'!$M$9,2),B420&lt;'112'!$N$8,$L420='112'!$I$6)),"x",""))</f>
        <v/>
      </c>
      <c r="T420" s="51" t="str">
        <f>IF(ISERROR(FIND('112'!$M$9,G420,1)),"",IF((AND(RIGHT(G420,2)=RIGHT('112'!$M$9,2),B420&lt;'112'!$N$8,$M420='112'!$I$6)),"x",""))</f>
        <v/>
      </c>
      <c r="U420" s="51" t="str">
        <f>IF(AND(L420="154",'154'!$O$5&lt;=B420,'154'!$P$5&gt;=B420),"154",IF(AND(L420="632",'632'!$L$5&lt;=B420,'632'!$M$5&gt;=B420),"632",IF(AND(L420="642",'642'!$N$5&lt;=B420,'642'!$O$5&gt;=B420),"642",IF(AND(L420="641",'641'!$N$5&lt;=B420,'641'!$O$5&gt;=B420),"641",""))))</f>
        <v/>
      </c>
      <c r="V420" s="51" t="str">
        <f>IF(OR(TH!L420=TH!$V$7,M420=TH!$V$7),"x","")</f>
        <v/>
      </c>
      <c r="W420" s="51" t="str">
        <f>IF(AND(B420&gt;='IN-NX'!$P$3,B420&lt;='IN-NX'!$Q$3,'IN-NX'!$D$7=D420,OR(LEFT(L420,2)="15",AND(LEFT(M420,2)&lt;&gt;"15",LEFT(M420,2)&lt;&gt;"33"))),"x","")</f>
        <v/>
      </c>
      <c r="X420" s="51" t="str">
        <f>IF(AND(OR(LEFT(TH!L420,2)="15",LEFT(TH!M420,2)="15"),'152-CT'!$J$8=TH!F420),"x","")</f>
        <v/>
      </c>
      <c r="Y420" s="51" t="str">
        <f>IF(AND(OR(LEFT(TH!L420,2)="15",LEFT(TH!M420,2)="15"),TK!$E$7=TH!F420),"x","")</f>
        <v/>
      </c>
      <c r="Z420" s="51" t="str">
        <f>IF(AND(B420&lt;=NKC!$N$8,B420&gt;=NKC!$M$8),"x","")</f>
        <v>x</v>
      </c>
      <c r="AA420" s="803"/>
    </row>
    <row r="421" spans="1:31" ht="15.75" customHeight="1">
      <c r="A421" s="804" t="str">
        <f>IF(B421&lt;&gt;"",IF(AND(B421&gt;=_TM1,B421&lt;=_TM2,OR(TH!L421="1111",TH!M421="1111")),TH!D421,""),"")</f>
        <v>T03</v>
      </c>
      <c r="B421" s="36">
        <f t="shared" si="28"/>
        <v>7</v>
      </c>
      <c r="C421" s="189">
        <f t="shared" si="29"/>
        <v>42198</v>
      </c>
      <c r="D421" s="189" t="s">
        <v>344</v>
      </c>
      <c r="E421" s="182">
        <v>42198</v>
      </c>
      <c r="F421" s="187" t="s">
        <v>427</v>
      </c>
      <c r="G421" s="811" t="s">
        <v>415</v>
      </c>
      <c r="H421" s="7" t="s">
        <v>437</v>
      </c>
      <c r="I421" s="243"/>
      <c r="J421" s="243"/>
      <c r="K421" s="38">
        <v>6000000</v>
      </c>
      <c r="L421" s="192" t="s">
        <v>47</v>
      </c>
      <c r="M421" s="192" t="s">
        <v>24</v>
      </c>
      <c r="N421" s="51" t="str">
        <f>IF(AND('331-CT'!$E$7=TH!H421,OR(L421="331",M421="331")),"331",IF(AND(OR(L421="131",M421="131"),H421='131-CT'!$E$7),"131",""))</f>
        <v/>
      </c>
      <c r="O421" s="51" t="str">
        <f>IF(AND($B421&gt;='111'!$N$11,$B421&lt;='111'!$O$11,OR($L421=$O$7,$M421=$O$7)),"x","")</f>
        <v/>
      </c>
      <c r="P421" s="51" t="str">
        <f>IF(AND($L421=$O$7,$B421&lt;'111'!$N$11),"x","")</f>
        <v>x</v>
      </c>
      <c r="Q421" s="51" t="str">
        <f>IF(AND($M421=$O$7,$B421&lt;'111'!$N$11),"x","")</f>
        <v/>
      </c>
      <c r="R421" s="51" t="str">
        <f>IF(ISERROR(FIND('112'!$M$9,G421,1)),"",IF((AND(FIND('112'!$M$9,G421,1)&gt;=1,$B421&gt;='112'!$N$8,$B421&lt;='112'!$O$8,OR($L421='112'!$I$6,$M421='112'!$I$6))),"x",""))</f>
        <v/>
      </c>
      <c r="S421" s="51" t="str">
        <f>IF(ISERROR(FIND('112'!$M$9,G421,1)),"",IF((AND(LEFT(G421,2)=LEFT('112'!$M$9,2),B421&lt;'112'!$N$8,$L421='112'!$I$6)),"x",""))</f>
        <v/>
      </c>
      <c r="T421" s="51" t="str">
        <f>IF(ISERROR(FIND('112'!$M$9,G421,1)),"",IF((AND(RIGHT(G421,2)=RIGHT('112'!$M$9,2),B421&lt;'112'!$N$8,$M421='112'!$I$6)),"x",""))</f>
        <v/>
      </c>
      <c r="U421" s="51" t="str">
        <f>IF(AND(L421="154",'154'!$O$5&lt;=B421,'154'!$P$5&gt;=B421),"154",IF(AND(L421="632",'632'!$L$5&lt;=B421,'632'!$M$5&gt;=B421),"632",IF(AND(L421="642",'642'!$N$5&lt;=B421,'642'!$O$5&gt;=B421),"642",IF(AND(L421="641",'641'!$N$5&lt;=B421,'641'!$O$5&gt;=B421),"641",""))))</f>
        <v/>
      </c>
      <c r="V421" s="51" t="str">
        <f>IF(OR(TH!L421=TH!$V$7,M421=TH!$V$7),"x","")</f>
        <v/>
      </c>
      <c r="W421" s="51" t="str">
        <f>IF(AND(B421&gt;='IN-NX'!$P$3,B421&lt;='IN-NX'!$Q$3,'IN-NX'!$D$7=D421,OR(LEFT(L421,2)="15",AND(LEFT(M421,2)&lt;&gt;"15",LEFT(M421,2)&lt;&gt;"33"))),"x","")</f>
        <v/>
      </c>
      <c r="X421" s="51" t="str">
        <f>IF(AND(OR(LEFT(TH!L421,2)="15",LEFT(TH!M421,2)="15"),'152-CT'!$J$8=TH!F421),"x","")</f>
        <v/>
      </c>
      <c r="Y421" s="51" t="str">
        <f>IF(AND(OR(LEFT(TH!L421,2)="15",LEFT(TH!M421,2)="15"),TK!$E$7=TH!F421),"x","")</f>
        <v/>
      </c>
      <c r="Z421" s="51" t="str">
        <f>IF(AND(B421&lt;=NKC!$N$8,B421&gt;=NKC!$M$8),"x","")</f>
        <v>x</v>
      </c>
      <c r="AA421" s="803"/>
      <c r="AB421" s="565"/>
      <c r="AC421" s="565"/>
      <c r="AD421" s="565"/>
    </row>
    <row r="422" spans="1:31" ht="15.75" customHeight="1">
      <c r="A422" s="804" t="str">
        <f>IF(B422&lt;&gt;"",IF(AND(B422&gt;=_TM1,B422&lt;=_TM2,OR(TH!L422="1111",TH!M422="1111")),TH!D422,""),"")</f>
        <v/>
      </c>
      <c r="B422" s="36">
        <f t="shared" si="28"/>
        <v>7</v>
      </c>
      <c r="C422" s="189">
        <f t="shared" si="29"/>
        <v>42198</v>
      </c>
      <c r="D422" s="189" t="s">
        <v>422</v>
      </c>
      <c r="E422" s="182">
        <v>42198</v>
      </c>
      <c r="F422" s="187" t="s">
        <v>438</v>
      </c>
      <c r="G422" s="811" t="s">
        <v>415</v>
      </c>
      <c r="H422" s="191" t="s">
        <v>509</v>
      </c>
      <c r="I422" s="243"/>
      <c r="J422" s="243"/>
      <c r="K422" s="38">
        <v>20436054</v>
      </c>
      <c r="L422" s="192" t="s">
        <v>8</v>
      </c>
      <c r="M422" s="192" t="s">
        <v>24</v>
      </c>
      <c r="N422" s="51" t="str">
        <f>IF(AND('331-CT'!$E$7=TH!H422,OR(L422="331",M422="331")),"331",IF(AND(OR(L422="131",M422="131"),H422='131-CT'!$E$7),"131",""))</f>
        <v/>
      </c>
      <c r="O422" s="51" t="str">
        <f>IF(AND($B422&gt;='111'!$N$11,$B422&lt;='111'!$O$11,OR($L422=$O$7,$M422=$O$7)),"x","")</f>
        <v/>
      </c>
      <c r="P422" s="51" t="str">
        <f>IF(AND($L422=$O$7,$B422&lt;'111'!$N$11),"x","")</f>
        <v/>
      </c>
      <c r="Q422" s="51" t="str">
        <f>IF(AND($M422=$O$7,$B422&lt;'111'!$N$11),"x","")</f>
        <v/>
      </c>
      <c r="R422" s="51" t="str">
        <f>IF(ISERROR(FIND('112'!$M$9,G422,1)),"",IF((AND(FIND('112'!$M$9,G422,1)&gt;=1,$B422&gt;='112'!$N$8,$B422&lt;='112'!$O$8,OR($L422='112'!$I$6,$M422='112'!$I$6))),"x",""))</f>
        <v/>
      </c>
      <c r="S422" s="51" t="str">
        <f>IF(ISERROR(FIND('112'!$M$9,G422,1)),"",IF((AND(LEFT(G422,2)=LEFT('112'!$M$9,2),B422&lt;'112'!$N$8,$L422='112'!$I$6)),"x",""))</f>
        <v/>
      </c>
      <c r="T422" s="51" t="str">
        <f>IF(ISERROR(FIND('112'!$M$9,G422,1)),"",IF((AND(RIGHT(G422,2)=RIGHT('112'!$M$9,2),B422&lt;'112'!$N$8,$M422='112'!$I$6)),"x",""))</f>
        <v/>
      </c>
      <c r="U422" s="51" t="str">
        <f>IF(AND(L422="154",'154'!$O$5&lt;=B422,'154'!$P$5&gt;=B422),"154",IF(AND(L422="632",'632'!$L$5&lt;=B422,'632'!$M$5&gt;=B422),"632",IF(AND(L422="642",'642'!$N$5&lt;=B422,'642'!$O$5&gt;=B422),"642",IF(AND(L422="641",'641'!$N$5&lt;=B422,'641'!$O$5&gt;=B422),"641",""))))</f>
        <v/>
      </c>
      <c r="V422" s="51" t="str">
        <f>IF(OR(TH!L422=TH!$V$7,M422=TH!$V$7),"x","")</f>
        <v/>
      </c>
      <c r="W422" s="51" t="str">
        <f>IF(AND(B422&gt;='IN-NX'!$P$3,B422&lt;='IN-NX'!$Q$3,'IN-NX'!$D$7=D422,OR(LEFT(L422,2)="15",AND(LEFT(M422,2)&lt;&gt;"15",LEFT(M422,2)&lt;&gt;"33"))),"x","")</f>
        <v/>
      </c>
      <c r="X422" s="51" t="str">
        <f>IF(AND(OR(LEFT(TH!L422,2)="15",LEFT(TH!M422,2)="15"),'152-CT'!$J$8=TH!F422),"x","")</f>
        <v/>
      </c>
      <c r="Y422" s="51" t="str">
        <f>IF(AND(OR(LEFT(TH!L422,2)="15",LEFT(TH!M422,2)="15"),TK!$E$7=TH!F422),"x","")</f>
        <v/>
      </c>
      <c r="Z422" s="51" t="str">
        <f>IF(AND(B422&lt;=NKC!$N$8,B422&gt;=NKC!$M$8),"x","")</f>
        <v>x</v>
      </c>
      <c r="AA422" s="803"/>
      <c r="AB422" s="565"/>
      <c r="AC422" s="565"/>
      <c r="AD422" s="565"/>
    </row>
    <row r="423" spans="1:31" ht="15.75" customHeight="1">
      <c r="A423" s="804" t="str">
        <f>IF(B423&lt;&gt;"",IF(AND(B423&gt;=_TM1,B423&lt;=_TM2,OR(TH!L423="1111",TH!M423="1111")),TH!D423,""),"")</f>
        <v/>
      </c>
      <c r="B423" s="36">
        <f t="shared" si="28"/>
        <v>7</v>
      </c>
      <c r="C423" s="189">
        <f t="shared" si="29"/>
        <v>42199</v>
      </c>
      <c r="D423" s="189" t="s">
        <v>422</v>
      </c>
      <c r="E423" s="182">
        <v>42199</v>
      </c>
      <c r="F423" s="187" t="s">
        <v>438</v>
      </c>
      <c r="G423" s="811" t="s">
        <v>415</v>
      </c>
      <c r="H423" s="191" t="s">
        <v>958</v>
      </c>
      <c r="I423" s="243"/>
      <c r="J423" s="243"/>
      <c r="K423" s="38">
        <v>18400573</v>
      </c>
      <c r="L423" s="192" t="s">
        <v>8</v>
      </c>
      <c r="M423" s="192" t="s">
        <v>24</v>
      </c>
      <c r="N423" s="51" t="str">
        <f>IF(AND('331-CT'!$E$7=TH!H423,OR(L423="331",M423="331")),"331",IF(AND(OR(L423="131",M423="131"),H423='131-CT'!$E$7),"131",""))</f>
        <v/>
      </c>
      <c r="O423" s="51" t="str">
        <f>IF(AND($B423&gt;='111'!$N$11,$B423&lt;='111'!$O$11,OR($L423=$O$7,$M423=$O$7)),"x","")</f>
        <v/>
      </c>
      <c r="P423" s="51" t="str">
        <f>IF(AND($L423=$O$7,$B423&lt;'111'!$N$11),"x","")</f>
        <v/>
      </c>
      <c r="Q423" s="51" t="str">
        <f>IF(AND($M423=$O$7,$B423&lt;'111'!$N$11),"x","")</f>
        <v/>
      </c>
      <c r="R423" s="51" t="str">
        <f>IF(ISERROR(FIND('112'!$M$9,G423,1)),"",IF((AND(FIND('112'!$M$9,G423,1)&gt;=1,$B423&gt;='112'!$N$8,$B423&lt;='112'!$O$8,OR($L423='112'!$I$6,$M423='112'!$I$6))),"x",""))</f>
        <v/>
      </c>
      <c r="S423" s="51" t="str">
        <f>IF(ISERROR(FIND('112'!$M$9,G423,1)),"",IF((AND(LEFT(G423,2)=LEFT('112'!$M$9,2),B423&lt;'112'!$N$8,$L423='112'!$I$6)),"x",""))</f>
        <v/>
      </c>
      <c r="T423" s="51" t="str">
        <f>IF(ISERROR(FIND('112'!$M$9,G423,1)),"",IF((AND(RIGHT(G423,2)=RIGHT('112'!$M$9,2),B423&lt;'112'!$N$8,$M423='112'!$I$6)),"x",""))</f>
        <v/>
      </c>
      <c r="U423" s="51" t="str">
        <f>IF(AND(L423="154",'154'!$O$5&lt;=B423,'154'!$P$5&gt;=B423),"154",IF(AND(L423="632",'632'!$L$5&lt;=B423,'632'!$M$5&gt;=B423),"632",IF(AND(L423="642",'642'!$N$5&lt;=B423,'642'!$O$5&gt;=B423),"642",IF(AND(L423="641",'641'!$N$5&lt;=B423,'641'!$O$5&gt;=B423),"641",""))))</f>
        <v/>
      </c>
      <c r="V423" s="51" t="str">
        <f>IF(OR(TH!L423=TH!$V$7,M423=TH!$V$7),"x","")</f>
        <v/>
      </c>
      <c r="W423" s="51" t="str">
        <f>IF(AND(B423&gt;='IN-NX'!$P$3,B423&lt;='IN-NX'!$Q$3,'IN-NX'!$D$7=D423,OR(LEFT(L423,2)="15",AND(LEFT(M423,2)&lt;&gt;"15",LEFT(M423,2)&lt;&gt;"33"))),"x","")</f>
        <v/>
      </c>
      <c r="X423" s="51" t="str">
        <f>IF(AND(OR(LEFT(TH!L423,2)="15",LEFT(TH!M423,2)="15"),'152-CT'!$J$8=TH!F423),"x","")</f>
        <v/>
      </c>
      <c r="Y423" s="51" t="str">
        <f>IF(AND(OR(LEFT(TH!L423,2)="15",LEFT(TH!M423,2)="15"),TK!$E$7=TH!F423),"x","")</f>
        <v/>
      </c>
      <c r="Z423" s="51" t="str">
        <f>IF(AND(B423&lt;=NKC!$N$8,B423&gt;=NKC!$M$8),"x","")</f>
        <v>x</v>
      </c>
      <c r="AA423" s="803"/>
      <c r="AB423" s="565"/>
      <c r="AC423" s="565"/>
      <c r="AD423" s="565"/>
    </row>
    <row r="424" spans="1:31" ht="15.75" customHeight="1">
      <c r="A424" s="804" t="str">
        <f>IF(B424&lt;&gt;"",IF(AND(B424&gt;=_TM1,B424&lt;=_TM2,OR(TH!L424="1111",TH!M424="1111")),TH!D424,""),"")</f>
        <v>T04</v>
      </c>
      <c r="B424" s="36">
        <f t="shared" si="28"/>
        <v>7</v>
      </c>
      <c r="C424" s="189">
        <f t="shared" si="29"/>
        <v>42199</v>
      </c>
      <c r="D424" s="189" t="s">
        <v>1338</v>
      </c>
      <c r="E424" s="182">
        <v>42199</v>
      </c>
      <c r="F424" s="187" t="s">
        <v>427</v>
      </c>
      <c r="G424" s="811" t="s">
        <v>415</v>
      </c>
      <c r="H424" s="7" t="s">
        <v>437</v>
      </c>
      <c r="I424" s="243"/>
      <c r="J424" s="243"/>
      <c r="K424" s="573">
        <v>13000000</v>
      </c>
      <c r="L424" s="192" t="s">
        <v>47</v>
      </c>
      <c r="M424" s="192" t="s">
        <v>24</v>
      </c>
      <c r="N424" s="51" t="str">
        <f>IF(AND('331-CT'!$E$7=TH!H424,OR(L424="331",M424="331")),"331",IF(AND(OR(L424="131",M424="131"),H424='131-CT'!$E$7),"131",""))</f>
        <v/>
      </c>
      <c r="O424" s="51" t="str">
        <f>IF(AND($B424&gt;='111'!$N$11,$B424&lt;='111'!$O$11,OR($L424=$O$7,$M424=$O$7)),"x","")</f>
        <v/>
      </c>
      <c r="P424" s="51" t="str">
        <f>IF(AND($L424=$O$7,$B424&lt;'111'!$N$11),"x","")</f>
        <v>x</v>
      </c>
      <c r="Q424" s="51" t="str">
        <f>IF(AND($M424=$O$7,$B424&lt;'111'!$N$11),"x","")</f>
        <v/>
      </c>
      <c r="R424" s="51" t="str">
        <f>IF(ISERROR(FIND('112'!$M$9,G424,1)),"",IF((AND(FIND('112'!$M$9,G424,1)&gt;=1,$B424&gt;='112'!$N$8,$B424&lt;='112'!$O$8,OR($L424='112'!$I$6,$M424='112'!$I$6))),"x",""))</f>
        <v/>
      </c>
      <c r="S424" s="51" t="str">
        <f>IF(ISERROR(FIND('112'!$M$9,G424,1)),"",IF((AND(LEFT(G424,2)=LEFT('112'!$M$9,2),B424&lt;'112'!$N$8,$L424='112'!$I$6)),"x",""))</f>
        <v/>
      </c>
      <c r="T424" s="51" t="str">
        <f>IF(ISERROR(FIND('112'!$M$9,G424,1)),"",IF((AND(RIGHT(G424,2)=RIGHT('112'!$M$9,2),B424&lt;'112'!$N$8,$M424='112'!$I$6)),"x",""))</f>
        <v/>
      </c>
      <c r="U424" s="51" t="str">
        <f>IF(AND(L424="154",'154'!$O$5&lt;=B424,'154'!$P$5&gt;=B424),"154",IF(AND(L424="632",'632'!$L$5&lt;=B424,'632'!$M$5&gt;=B424),"632",IF(AND(L424="642",'642'!$N$5&lt;=B424,'642'!$O$5&gt;=B424),"642",IF(AND(L424="641",'641'!$N$5&lt;=B424,'641'!$O$5&gt;=B424),"641",""))))</f>
        <v/>
      </c>
      <c r="V424" s="51" t="str">
        <f>IF(OR(TH!L424=TH!$V$7,M424=TH!$V$7),"x","")</f>
        <v/>
      </c>
      <c r="W424" s="51" t="str">
        <f>IF(AND(B424&gt;='IN-NX'!$P$3,B424&lt;='IN-NX'!$Q$3,'IN-NX'!$D$7=D424,OR(LEFT(L424,2)="15",AND(LEFT(M424,2)&lt;&gt;"15",LEFT(M424,2)&lt;&gt;"33"))),"x","")</f>
        <v/>
      </c>
      <c r="X424" s="51" t="str">
        <f>IF(AND(OR(LEFT(TH!L424,2)="15",LEFT(TH!M424,2)="15"),'152-CT'!$J$8=TH!F424),"x","")</f>
        <v/>
      </c>
      <c r="Y424" s="51" t="str">
        <f>IF(AND(OR(LEFT(TH!L424,2)="15",LEFT(TH!M424,2)="15"),TK!$E$7=TH!F424),"x","")</f>
        <v/>
      </c>
      <c r="Z424" s="51" t="str">
        <f>IF(AND(B424&lt;=NKC!$N$8,B424&gt;=NKC!$M$8),"x","")</f>
        <v>x</v>
      </c>
      <c r="AA424" s="803"/>
      <c r="AB424" s="565"/>
      <c r="AC424" s="565"/>
      <c r="AD424" s="565"/>
      <c r="AE424" s="565"/>
    </row>
    <row r="425" spans="1:31" ht="15.75" customHeight="1">
      <c r="A425" s="804" t="str">
        <f>IF(B425&lt;&gt;"",IF(AND(B425&gt;=_TM1,B425&lt;=_TM2,OR(TH!L425="1111",TH!M425="1111")),TH!D425,""),"")</f>
        <v>T05</v>
      </c>
      <c r="B425" s="36">
        <f t="shared" si="28"/>
        <v>7</v>
      </c>
      <c r="C425" s="189">
        <f t="shared" si="29"/>
        <v>42200</v>
      </c>
      <c r="D425" s="189" t="s">
        <v>1339</v>
      </c>
      <c r="E425" s="182">
        <v>42200</v>
      </c>
      <c r="F425" s="187" t="s">
        <v>427</v>
      </c>
      <c r="G425" s="811" t="s">
        <v>415</v>
      </c>
      <c r="H425" s="7" t="s">
        <v>437</v>
      </c>
      <c r="I425" s="243"/>
      <c r="J425" s="243"/>
      <c r="K425" s="38">
        <v>6000000</v>
      </c>
      <c r="L425" s="192" t="s">
        <v>47</v>
      </c>
      <c r="M425" s="192" t="s">
        <v>24</v>
      </c>
      <c r="N425" s="51" t="str">
        <f>IF(AND('331-CT'!$E$7=TH!H425,OR(L425="331",M425="331")),"331",IF(AND(OR(L425="131",M425="131"),H425='131-CT'!$E$7),"131",""))</f>
        <v/>
      </c>
      <c r="O425" s="51" t="str">
        <f>IF(AND($B425&gt;='111'!$N$11,$B425&lt;='111'!$O$11,OR($L425=$O$7,$M425=$O$7)),"x","")</f>
        <v/>
      </c>
      <c r="P425" s="51" t="str">
        <f>IF(AND($L425=$O$7,$B425&lt;'111'!$N$11),"x","")</f>
        <v>x</v>
      </c>
      <c r="Q425" s="51" t="str">
        <f>IF(AND($M425=$O$7,$B425&lt;'111'!$N$11),"x","")</f>
        <v/>
      </c>
      <c r="R425" s="51" t="str">
        <f>IF(ISERROR(FIND('112'!$M$9,G425,1)),"",IF((AND(FIND('112'!$M$9,G425,1)&gt;=1,$B425&gt;='112'!$N$8,$B425&lt;='112'!$O$8,OR($L425='112'!$I$6,$M425='112'!$I$6))),"x",""))</f>
        <v/>
      </c>
      <c r="S425" s="51" t="str">
        <f>IF(ISERROR(FIND('112'!$M$9,G425,1)),"",IF((AND(LEFT(G425,2)=LEFT('112'!$M$9,2),B425&lt;'112'!$N$8,$L425='112'!$I$6)),"x",""))</f>
        <v/>
      </c>
      <c r="T425" s="51" t="str">
        <f>IF(ISERROR(FIND('112'!$M$9,G425,1)),"",IF((AND(RIGHT(G425,2)=RIGHT('112'!$M$9,2),B425&lt;'112'!$N$8,$M425='112'!$I$6)),"x",""))</f>
        <v/>
      </c>
      <c r="U425" s="51" t="str">
        <f>IF(AND(L425="154",'154'!$O$5&lt;=B425,'154'!$P$5&gt;=B425),"154",IF(AND(L425="632",'632'!$L$5&lt;=B425,'632'!$M$5&gt;=B425),"632",IF(AND(L425="642",'642'!$N$5&lt;=B425,'642'!$O$5&gt;=B425),"642",IF(AND(L425="641",'641'!$N$5&lt;=B425,'641'!$O$5&gt;=B425),"641",""))))</f>
        <v/>
      </c>
      <c r="V425" s="51" t="str">
        <f>IF(OR(TH!L425=TH!$V$7,M425=TH!$V$7),"x","")</f>
        <v/>
      </c>
      <c r="W425" s="51" t="str">
        <f>IF(AND(B425&gt;='IN-NX'!$P$3,B425&lt;='IN-NX'!$Q$3,'IN-NX'!$D$7=D425,OR(LEFT(L425,2)="15",AND(LEFT(M425,2)&lt;&gt;"15",LEFT(M425,2)&lt;&gt;"33"))),"x","")</f>
        <v/>
      </c>
      <c r="X425" s="51" t="str">
        <f>IF(AND(OR(LEFT(TH!L425,2)="15",LEFT(TH!M425,2)="15"),'152-CT'!$J$8=TH!F425),"x","")</f>
        <v/>
      </c>
      <c r="Y425" s="51" t="str">
        <f>IF(AND(OR(LEFT(TH!L425,2)="15",LEFT(TH!M425,2)="15"),TK!$E$7=TH!F425),"x","")</f>
        <v/>
      </c>
      <c r="Z425" s="51" t="str">
        <f>IF(AND(B425&lt;=NKC!$N$8,B425&gt;=NKC!$M$8),"x","")</f>
        <v>x</v>
      </c>
      <c r="AA425" s="803"/>
      <c r="AB425" s="565"/>
      <c r="AC425" s="565"/>
      <c r="AD425" s="565"/>
      <c r="AE425" s="565"/>
    </row>
    <row r="426" spans="1:31" ht="15.75" customHeight="1">
      <c r="A426" s="804" t="str">
        <f>IF(B426&lt;&gt;"",IF(AND(B426&gt;=_TM1,B426&lt;=_TM2,OR(TH!L426="1111",TH!M426="1111")),TH!D426,""),"")</f>
        <v>C04</v>
      </c>
      <c r="B426" s="36">
        <f t="shared" si="28"/>
        <v>7</v>
      </c>
      <c r="C426" s="189">
        <f t="shared" si="29"/>
        <v>42200</v>
      </c>
      <c r="D426" s="189" t="s">
        <v>1344</v>
      </c>
      <c r="E426" s="817">
        <v>42200</v>
      </c>
      <c r="F426" s="190" t="s">
        <v>456</v>
      </c>
      <c r="G426" s="813" t="s">
        <v>615</v>
      </c>
      <c r="H426" s="191" t="s">
        <v>614</v>
      </c>
      <c r="I426" s="243"/>
      <c r="J426" s="243"/>
      <c r="K426" s="573">
        <v>765200</v>
      </c>
      <c r="L426" s="574" t="s">
        <v>251</v>
      </c>
      <c r="M426" s="574" t="s">
        <v>47</v>
      </c>
      <c r="N426" s="51" t="str">
        <f>IF(AND('331-CT'!$E$7=TH!H426,OR(L426="331",M426="331")),"331",IF(AND(OR(L426="131",M426="131"),H426='131-CT'!$E$7),"131",""))</f>
        <v/>
      </c>
      <c r="O426" s="51" t="str">
        <f>IF(AND($B426&gt;='111'!$N$11,$B426&lt;='111'!$O$11,OR($L426=$O$7,$M426=$O$7)),"x","")</f>
        <v/>
      </c>
      <c r="P426" s="51" t="str">
        <f>IF(AND($L426=$O$7,$B426&lt;'111'!$N$11),"x","")</f>
        <v/>
      </c>
      <c r="Q426" s="51" t="str">
        <f>IF(AND($M426=$O$7,$B426&lt;'111'!$N$11),"x","")</f>
        <v>x</v>
      </c>
      <c r="R426" s="51" t="str">
        <f>IF(ISERROR(FIND('112'!$M$9,G426,1)),"",IF((AND(FIND('112'!$M$9,G426,1)&gt;=1,$B426&gt;='112'!$N$8,$B426&lt;='112'!$O$8,OR($L426='112'!$I$6,$M426='112'!$I$6))),"x",""))</f>
        <v/>
      </c>
      <c r="S426" s="51" t="str">
        <f>IF(ISERROR(FIND('112'!$M$9,G426,1)),"",IF((AND(LEFT(G426,2)=LEFT('112'!$M$9,2),B426&lt;'112'!$N$8,$L426='112'!$I$6)),"x",""))</f>
        <v/>
      </c>
      <c r="T426" s="51" t="str">
        <f>IF(ISERROR(FIND('112'!$M$9,G426,1)),"",IF((AND(RIGHT(G426,2)=RIGHT('112'!$M$9,2),B426&lt;'112'!$N$8,$M426='112'!$I$6)),"x",""))</f>
        <v/>
      </c>
      <c r="U426" s="51" t="str">
        <f>IF(AND(L426="154",'154'!$O$5&lt;=B426,'154'!$P$5&gt;=B426),"154",IF(AND(L426="632",'632'!$L$5&lt;=B426,'632'!$M$5&gt;=B426),"632",IF(AND(L426="642",'642'!$N$5&lt;=B426,'642'!$O$5&gt;=B426),"642",IF(AND(L426="641",'641'!$N$5&lt;=B426,'641'!$O$5&gt;=B426),"641",""))))</f>
        <v>641</v>
      </c>
      <c r="V426" s="51" t="str">
        <f>IF(OR(TH!L426=TH!$V$7,M426=TH!$V$7),"x","")</f>
        <v/>
      </c>
      <c r="W426" s="51" t="str">
        <f>IF(AND(B426&gt;='IN-NX'!$P$3,B426&lt;='IN-NX'!$Q$3,'IN-NX'!$D$7=D426,OR(LEFT(L426,2)="15",AND(LEFT(M426,2)&lt;&gt;"15",LEFT(M426,2)&lt;&gt;"33"))),"x","")</f>
        <v/>
      </c>
      <c r="X426" s="51" t="str">
        <f>IF(AND(OR(LEFT(TH!L426,2)="15",LEFT(TH!M426,2)="15"),'152-CT'!$J$8=TH!F426),"x","")</f>
        <v/>
      </c>
      <c r="Y426" s="51" t="str">
        <f>IF(AND(OR(LEFT(TH!L426,2)="15",LEFT(TH!M426,2)="15"),TK!$E$7=TH!F426),"x","")</f>
        <v/>
      </c>
      <c r="Z426" s="51" t="str">
        <f>IF(AND(B426&lt;=NKC!$N$8,B426&gt;=NKC!$M$8),"x","")</f>
        <v>x</v>
      </c>
      <c r="AA426" s="803"/>
      <c r="AB426" s="565"/>
    </row>
    <row r="427" spans="1:31" ht="15.75" customHeight="1">
      <c r="A427" s="804" t="str">
        <f>IF(B427&lt;&gt;"",IF(AND(B427&gt;=_TM1,B427&lt;=_TM2,OR(TH!L427="1111",TH!M427="1111")),TH!D427,""),"")</f>
        <v>C04</v>
      </c>
      <c r="B427" s="36">
        <f t="shared" si="28"/>
        <v>7</v>
      </c>
      <c r="C427" s="189">
        <f t="shared" si="29"/>
        <v>42200</v>
      </c>
      <c r="D427" s="189" t="s">
        <v>1344</v>
      </c>
      <c r="E427" s="817">
        <v>42200</v>
      </c>
      <c r="F427" s="190" t="s">
        <v>457</v>
      </c>
      <c r="G427" s="813" t="s">
        <v>615</v>
      </c>
      <c r="H427" s="191" t="s">
        <v>614</v>
      </c>
      <c r="I427" s="243"/>
      <c r="J427" s="243"/>
      <c r="K427" s="818">
        <v>72037</v>
      </c>
      <c r="L427" s="574" t="s">
        <v>9</v>
      </c>
      <c r="M427" s="574" t="s">
        <v>47</v>
      </c>
      <c r="N427" s="51" t="str">
        <f>IF(AND('331-CT'!$E$7=TH!H427,OR(L427="331",M427="331")),"331",IF(AND(OR(L427="131",M427="131"),H427='131-CT'!$E$7),"131",""))</f>
        <v/>
      </c>
      <c r="O427" s="51" t="str">
        <f>IF(AND($B427&gt;='111'!$N$11,$B427&lt;='111'!$O$11,OR($L427=$O$7,$M427=$O$7)),"x","")</f>
        <v/>
      </c>
      <c r="P427" s="51" t="str">
        <f>IF(AND($L427=$O$7,$B427&lt;'111'!$N$11),"x","")</f>
        <v/>
      </c>
      <c r="Q427" s="51" t="str">
        <f>IF(AND($M427=$O$7,$B427&lt;'111'!$N$11),"x","")</f>
        <v>x</v>
      </c>
      <c r="R427" s="51" t="str">
        <f>IF(ISERROR(FIND('112'!$M$9,G427,1)),"",IF((AND(FIND('112'!$M$9,G427,1)&gt;=1,$B427&gt;='112'!$N$8,$B427&lt;='112'!$O$8,OR($L427='112'!$I$6,$M427='112'!$I$6))),"x",""))</f>
        <v/>
      </c>
      <c r="S427" s="51" t="str">
        <f>IF(ISERROR(FIND('112'!$M$9,G427,1)),"",IF((AND(LEFT(G427,2)=LEFT('112'!$M$9,2),B427&lt;'112'!$N$8,$L427='112'!$I$6)),"x",""))</f>
        <v/>
      </c>
      <c r="T427" s="51" t="str">
        <f>IF(ISERROR(FIND('112'!$M$9,G427,1)),"",IF((AND(RIGHT(G427,2)=RIGHT('112'!$M$9,2),B427&lt;'112'!$N$8,$M427='112'!$I$6)),"x",""))</f>
        <v/>
      </c>
      <c r="U427" s="51" t="str">
        <f>IF(AND(L427="154",'154'!$O$5&lt;=B427,'154'!$P$5&gt;=B427),"154",IF(AND(L427="632",'632'!$L$5&lt;=B427,'632'!$M$5&gt;=B427),"632",IF(AND(L427="642",'642'!$N$5&lt;=B427,'642'!$O$5&gt;=B427),"642",IF(AND(L427="641",'641'!$N$5&lt;=B427,'641'!$O$5&gt;=B427),"641",""))))</f>
        <v/>
      </c>
      <c r="V427" s="51" t="str">
        <f>IF(OR(TH!L427=TH!$V$7,M427=TH!$V$7),"x","")</f>
        <v/>
      </c>
      <c r="W427" s="51" t="str">
        <f>IF(AND(B427&gt;='IN-NX'!$P$3,B427&lt;='IN-NX'!$Q$3,'IN-NX'!$D$7=D427,OR(LEFT(L427,2)="15",AND(LEFT(M427,2)&lt;&gt;"15",LEFT(M427,2)&lt;&gt;"33"))),"x","")</f>
        <v/>
      </c>
      <c r="X427" s="51" t="str">
        <f>IF(AND(OR(LEFT(TH!L427,2)="15",LEFT(TH!M427,2)="15"),'152-CT'!$J$8=TH!F427),"x","")</f>
        <v/>
      </c>
      <c r="Y427" s="51" t="str">
        <f>IF(AND(OR(LEFT(TH!L427,2)="15",LEFT(TH!M427,2)="15"),TK!$E$7=TH!F427),"x","")</f>
        <v/>
      </c>
      <c r="Z427" s="51" t="str">
        <f>IF(AND(B427&lt;=NKC!$N$8,B427&gt;=NKC!$M$8),"x","")</f>
        <v>x</v>
      </c>
      <c r="AA427" s="803">
        <v>3</v>
      </c>
      <c r="AB427" s="565"/>
    </row>
    <row r="428" spans="1:31" ht="15.75" customHeight="1">
      <c r="A428" s="804" t="str">
        <f>IF(B428&lt;&gt;"",IF(AND(B428&gt;=_TM1,B428&lt;=_TM2,OR(TH!L428="1111",TH!M428="1111")),TH!D428,""),"")</f>
        <v>T06</v>
      </c>
      <c r="B428" s="36">
        <f t="shared" si="28"/>
        <v>7</v>
      </c>
      <c r="C428" s="189">
        <f t="shared" si="29"/>
        <v>42201</v>
      </c>
      <c r="D428" s="189" t="s">
        <v>1342</v>
      </c>
      <c r="E428" s="182">
        <v>42201</v>
      </c>
      <c r="F428" s="187" t="s">
        <v>427</v>
      </c>
      <c r="G428" s="811" t="s">
        <v>415</v>
      </c>
      <c r="H428" s="7" t="s">
        <v>437</v>
      </c>
      <c r="I428" s="243"/>
      <c r="J428" s="243"/>
      <c r="K428" s="38">
        <v>1500000</v>
      </c>
      <c r="L428" s="192" t="s">
        <v>47</v>
      </c>
      <c r="M428" s="192" t="s">
        <v>24</v>
      </c>
      <c r="N428" s="51" t="str">
        <f>IF(AND('331-CT'!$E$7=TH!H428,OR(L428="331",M428="331")),"331",IF(AND(OR(L428="131",M428="131"),H428='131-CT'!$E$7),"131",""))</f>
        <v/>
      </c>
      <c r="O428" s="51" t="str">
        <f>IF(AND($B428&gt;='111'!$N$11,$B428&lt;='111'!$O$11,OR($L428=$O$7,$M428=$O$7)),"x","")</f>
        <v/>
      </c>
      <c r="P428" s="51" t="str">
        <f>IF(AND($L428=$O$7,$B428&lt;'111'!$N$11),"x","")</f>
        <v>x</v>
      </c>
      <c r="Q428" s="51" t="str">
        <f>IF(AND($M428=$O$7,$B428&lt;'111'!$N$11),"x","")</f>
        <v/>
      </c>
      <c r="R428" s="51" t="str">
        <f>IF(ISERROR(FIND('112'!$M$9,G428,1)),"",IF((AND(FIND('112'!$M$9,G428,1)&gt;=1,$B428&gt;='112'!$N$8,$B428&lt;='112'!$O$8,OR($L428='112'!$I$6,$M428='112'!$I$6))),"x",""))</f>
        <v/>
      </c>
      <c r="S428" s="51" t="str">
        <f>IF(ISERROR(FIND('112'!$M$9,G428,1)),"",IF((AND(LEFT(G428,2)=LEFT('112'!$M$9,2),B428&lt;'112'!$N$8,$L428='112'!$I$6)),"x",""))</f>
        <v/>
      </c>
      <c r="T428" s="51" t="str">
        <f>IF(ISERROR(FIND('112'!$M$9,G428,1)),"",IF((AND(RIGHT(G428,2)=RIGHT('112'!$M$9,2),B428&lt;'112'!$N$8,$M428='112'!$I$6)),"x",""))</f>
        <v/>
      </c>
      <c r="U428" s="51" t="str">
        <f>IF(AND(L428="154",'154'!$O$5&lt;=B428,'154'!$P$5&gt;=B428),"154",IF(AND(L428="632",'632'!$L$5&lt;=B428,'632'!$M$5&gt;=B428),"632",IF(AND(L428="642",'642'!$N$5&lt;=B428,'642'!$O$5&gt;=B428),"642",IF(AND(L428="641",'641'!$N$5&lt;=B428,'641'!$O$5&gt;=B428),"641",""))))</f>
        <v/>
      </c>
      <c r="V428" s="51" t="str">
        <f>IF(OR(TH!L428=TH!$V$7,M428=TH!$V$7),"x","")</f>
        <v/>
      </c>
      <c r="W428" s="51" t="str">
        <f>IF(AND(B428&gt;='IN-NX'!$P$3,B428&lt;='IN-NX'!$Q$3,'IN-NX'!$D$7=D428,OR(LEFT(L428,2)="15",AND(LEFT(M428,2)&lt;&gt;"15",LEFT(M428,2)&lt;&gt;"33"))),"x","")</f>
        <v/>
      </c>
      <c r="X428" s="51" t="str">
        <f>IF(AND(OR(LEFT(TH!L428,2)="15",LEFT(TH!M428,2)="15"),'152-CT'!$J$8=TH!F428),"x","")</f>
        <v/>
      </c>
      <c r="Y428" s="51" t="str">
        <f>IF(AND(OR(LEFT(TH!L428,2)="15",LEFT(TH!M428,2)="15"),TK!$E$7=TH!F428),"x","")</f>
        <v/>
      </c>
      <c r="Z428" s="51" t="str">
        <f>IF(AND(B428&lt;=NKC!$N$8,B428&gt;=NKC!$M$8),"x","")</f>
        <v>x</v>
      </c>
      <c r="AA428" s="803"/>
      <c r="AB428" s="565"/>
      <c r="AC428" s="565"/>
      <c r="AD428" s="565"/>
      <c r="AE428" s="565"/>
    </row>
    <row r="429" spans="1:31" ht="15.75" customHeight="1">
      <c r="A429" s="804" t="str">
        <f>IF(B429&lt;&gt;"",IF(AND(B429&gt;=_TM1,B429&lt;=_TM2,OR(TH!L429="1111",TH!M429="1111")),TH!D429,""),"")</f>
        <v>T07</v>
      </c>
      <c r="B429" s="36">
        <f t="shared" si="28"/>
        <v>7</v>
      </c>
      <c r="C429" s="189">
        <f t="shared" si="29"/>
        <v>42202</v>
      </c>
      <c r="D429" s="189" t="s">
        <v>1345</v>
      </c>
      <c r="E429" s="182">
        <v>42202</v>
      </c>
      <c r="F429" s="187" t="s">
        <v>427</v>
      </c>
      <c r="G429" s="811" t="s">
        <v>415</v>
      </c>
      <c r="H429" s="7" t="s">
        <v>437</v>
      </c>
      <c r="I429" s="243"/>
      <c r="J429" s="243"/>
      <c r="K429" s="38">
        <v>16000000</v>
      </c>
      <c r="L429" s="192" t="s">
        <v>47</v>
      </c>
      <c r="M429" s="192" t="s">
        <v>24</v>
      </c>
      <c r="N429" s="51" t="str">
        <f>IF(AND('331-CT'!$E$7=TH!H429,OR(L429="331",M429="331")),"331",IF(AND(OR(L429="131",M429="131"),H429='131-CT'!$E$7),"131",""))</f>
        <v/>
      </c>
      <c r="O429" s="51" t="str">
        <f>IF(AND($B429&gt;='111'!$N$11,$B429&lt;='111'!$O$11,OR($L429=$O$7,$M429=$O$7)),"x","")</f>
        <v/>
      </c>
      <c r="P429" s="51" t="str">
        <f>IF(AND($L429=$O$7,$B429&lt;'111'!$N$11),"x","")</f>
        <v>x</v>
      </c>
      <c r="Q429" s="51" t="str">
        <f>IF(AND($M429=$O$7,$B429&lt;'111'!$N$11),"x","")</f>
        <v/>
      </c>
      <c r="R429" s="51" t="str">
        <f>IF(ISERROR(FIND('112'!$M$9,G429,1)),"",IF((AND(FIND('112'!$M$9,G429,1)&gt;=1,$B429&gt;='112'!$N$8,$B429&lt;='112'!$O$8,OR($L429='112'!$I$6,$M429='112'!$I$6))),"x",""))</f>
        <v/>
      </c>
      <c r="S429" s="51" t="str">
        <f>IF(ISERROR(FIND('112'!$M$9,G429,1)),"",IF((AND(LEFT(G429,2)=LEFT('112'!$M$9,2),B429&lt;'112'!$N$8,$L429='112'!$I$6)),"x",""))</f>
        <v/>
      </c>
      <c r="T429" s="51" t="str">
        <f>IF(ISERROR(FIND('112'!$M$9,G429,1)),"",IF((AND(RIGHT(G429,2)=RIGHT('112'!$M$9,2),B429&lt;'112'!$N$8,$M429='112'!$I$6)),"x",""))</f>
        <v/>
      </c>
      <c r="U429" s="51" t="str">
        <f>IF(AND(L429="154",'154'!$O$5&lt;=B429,'154'!$P$5&gt;=B429),"154",IF(AND(L429="632",'632'!$L$5&lt;=B429,'632'!$M$5&gt;=B429),"632",IF(AND(L429="642",'642'!$N$5&lt;=B429,'642'!$O$5&gt;=B429),"642",IF(AND(L429="641",'641'!$N$5&lt;=B429,'641'!$O$5&gt;=B429),"641",""))))</f>
        <v/>
      </c>
      <c r="V429" s="51" t="str">
        <f>IF(OR(TH!L429=TH!$V$7,M429=TH!$V$7),"x","")</f>
        <v/>
      </c>
      <c r="W429" s="51" t="str">
        <f>IF(AND(B429&gt;='IN-NX'!$P$3,B429&lt;='IN-NX'!$Q$3,'IN-NX'!$D$7=D429,OR(LEFT(L429,2)="15",AND(LEFT(M429,2)&lt;&gt;"15",LEFT(M429,2)&lt;&gt;"33"))),"x","")</f>
        <v/>
      </c>
      <c r="X429" s="51" t="str">
        <f>IF(AND(OR(LEFT(TH!L429,2)="15",LEFT(TH!M429,2)="15"),'152-CT'!$J$8=TH!F429),"x","")</f>
        <v/>
      </c>
      <c r="Y429" s="51" t="str">
        <f>IF(AND(OR(LEFT(TH!L429,2)="15",LEFT(TH!M429,2)="15"),TK!$E$7=TH!F429),"x","")</f>
        <v/>
      </c>
      <c r="Z429" s="51" t="str">
        <f>IF(AND(B429&lt;=NKC!$N$8,B429&gt;=NKC!$M$8),"x","")</f>
        <v>x</v>
      </c>
      <c r="AA429" s="803"/>
      <c r="AB429" s="565"/>
      <c r="AC429" s="565"/>
      <c r="AD429" s="565"/>
    </row>
    <row r="430" spans="1:31" ht="15.75" customHeight="1">
      <c r="A430" s="804" t="str">
        <f>IF(B430&lt;&gt;"",IF(AND(B430&gt;=_TM1,B430&lt;=_TM2,OR(TH!L430="1111",TH!M430="1111")),TH!D430,""),"")</f>
        <v/>
      </c>
      <c r="B430" s="36">
        <f t="shared" si="28"/>
        <v>7</v>
      </c>
      <c r="C430" s="189">
        <f t="shared" si="29"/>
        <v>42202</v>
      </c>
      <c r="D430" s="189" t="s">
        <v>422</v>
      </c>
      <c r="E430" s="182">
        <v>42202</v>
      </c>
      <c r="F430" s="187" t="s">
        <v>442</v>
      </c>
      <c r="G430" s="811" t="s">
        <v>415</v>
      </c>
      <c r="H430" s="7" t="s">
        <v>437</v>
      </c>
      <c r="I430" s="243"/>
      <c r="J430" s="243"/>
      <c r="K430" s="38">
        <v>22000</v>
      </c>
      <c r="L430" s="192" t="s">
        <v>83</v>
      </c>
      <c r="M430" s="192" t="s">
        <v>24</v>
      </c>
      <c r="N430" s="51" t="str">
        <f>IF(AND('331-CT'!$E$7=TH!H430,OR(L430="331",M430="331")),"331",IF(AND(OR(L430="131",M430="131"),H430='131-CT'!$E$7),"131",""))</f>
        <v/>
      </c>
      <c r="O430" s="51" t="str">
        <f>IF(AND($B430&gt;='111'!$N$11,$B430&lt;='111'!$O$11,OR($L430=$O$7,$M430=$O$7)),"x","")</f>
        <v/>
      </c>
      <c r="P430" s="51" t="str">
        <f>IF(AND($L430=$O$7,$B430&lt;'111'!$N$11),"x","")</f>
        <v/>
      </c>
      <c r="Q430" s="51" t="str">
        <f>IF(AND($M430=$O$7,$B430&lt;'111'!$N$11),"x","")</f>
        <v/>
      </c>
      <c r="R430" s="51" t="str">
        <f>IF(ISERROR(FIND('112'!$M$9,G430,1)),"",IF((AND(FIND('112'!$M$9,G430,1)&gt;=1,$B430&gt;='112'!$N$8,$B430&lt;='112'!$O$8,OR($L430='112'!$I$6,$M430='112'!$I$6))),"x",""))</f>
        <v/>
      </c>
      <c r="S430" s="51" t="str">
        <f>IF(ISERROR(FIND('112'!$M$9,G430,1)),"",IF((AND(LEFT(G430,2)=LEFT('112'!$M$9,2),B430&lt;'112'!$N$8,$L430='112'!$I$6)),"x",""))</f>
        <v/>
      </c>
      <c r="T430" s="51" t="str">
        <f>IF(ISERROR(FIND('112'!$M$9,G430,1)),"",IF((AND(RIGHT(G430,2)=RIGHT('112'!$M$9,2),B430&lt;'112'!$N$8,$M430='112'!$I$6)),"x",""))</f>
        <v/>
      </c>
      <c r="U430" s="51" t="str">
        <f>IF(AND(L430="154",'154'!$O$5&lt;=B430,'154'!$P$5&gt;=B430),"154",IF(AND(L430="632",'632'!$L$5&lt;=B430,'632'!$M$5&gt;=B430),"632",IF(AND(L430="642",'642'!$N$5&lt;=B430,'642'!$O$5&gt;=B430),"642",IF(AND(L430="641",'641'!$N$5&lt;=B430,'641'!$O$5&gt;=B430),"641",""))))</f>
        <v/>
      </c>
      <c r="V430" s="51" t="str">
        <f>IF(OR(TH!L430=TH!$V$7,M430=TH!$V$7),"x","")</f>
        <v>x</v>
      </c>
      <c r="W430" s="51" t="str">
        <f>IF(AND(B430&gt;='IN-NX'!$P$3,B430&lt;='IN-NX'!$Q$3,'IN-NX'!$D$7=D430,OR(LEFT(L430,2)="15",AND(LEFT(M430,2)&lt;&gt;"15",LEFT(M430,2)&lt;&gt;"33"))),"x","")</f>
        <v/>
      </c>
      <c r="X430" s="51" t="str">
        <f>IF(AND(OR(LEFT(TH!L430,2)="15",LEFT(TH!M430,2)="15"),'152-CT'!$J$8=TH!F430),"x","")</f>
        <v/>
      </c>
      <c r="Y430" s="51" t="str">
        <f>IF(AND(OR(LEFT(TH!L430,2)="15",LEFT(TH!M430,2)="15"),TK!$E$7=TH!F430),"x","")</f>
        <v/>
      </c>
      <c r="Z430" s="51" t="str">
        <f>IF(AND(B430&lt;=NKC!$N$8,B430&gt;=NKC!$M$8),"x","")</f>
        <v>x</v>
      </c>
      <c r="AA430" s="803"/>
      <c r="AB430" s="565"/>
      <c r="AC430" s="565"/>
      <c r="AD430" s="565"/>
    </row>
    <row r="431" spans="1:31" ht="15.75" customHeight="1">
      <c r="A431" s="804" t="str">
        <f>IF(B431&lt;&gt;"",IF(AND(B431&gt;=_TM1,B431&lt;=_TM2,OR(TH!L431="1111",TH!M431="1111")),TH!D431,""),"")</f>
        <v/>
      </c>
      <c r="B431" s="36">
        <f t="shared" si="28"/>
        <v>7</v>
      </c>
      <c r="C431" s="189">
        <f t="shared" si="29"/>
        <v>42205</v>
      </c>
      <c r="D431" s="189" t="s">
        <v>1283</v>
      </c>
      <c r="E431" s="189">
        <v>42205</v>
      </c>
      <c r="F431" s="922" t="s">
        <v>1202</v>
      </c>
      <c r="G431" s="813" t="s">
        <v>1009</v>
      </c>
      <c r="H431" s="191" t="s">
        <v>1010</v>
      </c>
      <c r="I431" s="243">
        <v>50</v>
      </c>
      <c r="J431" s="243">
        <v>6000</v>
      </c>
      <c r="K431" s="573">
        <f>ROUND(I431*J431,0)</f>
        <v>300000</v>
      </c>
      <c r="L431" s="574" t="s">
        <v>250</v>
      </c>
      <c r="M431" s="574" t="s">
        <v>164</v>
      </c>
      <c r="N431" s="51" t="str">
        <f>IF(AND('331-CT'!$E$7=TH!H431,OR(L431="331",M431="331")),"331",IF(AND(OR(L431="131",M431="131"),H431='131-CT'!$E$7),"131",""))</f>
        <v/>
      </c>
      <c r="O431" s="51" t="str">
        <f>IF(AND($B431&gt;='111'!$N$11,$B431&lt;='111'!$O$11,OR($L431=$O$7,$M431=$O$7)),"x","")</f>
        <v/>
      </c>
      <c r="P431" s="51" t="str">
        <f>IF(AND($L431=$O$7,$B431&lt;'111'!$N$11),"x","")</f>
        <v/>
      </c>
      <c r="Q431" s="51" t="str">
        <f>IF(AND($M431=$O$7,$B431&lt;'111'!$N$11),"x","")</f>
        <v/>
      </c>
      <c r="R431" s="51" t="str">
        <f>IF(ISERROR(FIND('112'!$M$9,G431,1)),"",IF((AND(FIND('112'!$M$9,G431,1)&gt;=1,$B431&gt;='112'!$N$8,$B431&lt;='112'!$O$8,OR($L431='112'!$I$6,$M431='112'!$I$6))),"x",""))</f>
        <v/>
      </c>
      <c r="S431" s="51" t="str">
        <f>IF(ISERROR(FIND('112'!$M$9,G431,1)),"",IF((AND(LEFT(G431,2)=LEFT('112'!$M$9,2),B431&lt;'112'!$N$8,$L431='112'!$I$6)),"x",""))</f>
        <v/>
      </c>
      <c r="T431" s="51" t="str">
        <f>IF(ISERROR(FIND('112'!$M$9,G431,1)),"",IF((AND(RIGHT(G431,2)=RIGHT('112'!$M$9,2),B431&lt;'112'!$N$8,$M431='112'!$I$6)),"x",""))</f>
        <v/>
      </c>
      <c r="U431" s="51" t="str">
        <f>IF(AND(L431="154",'154'!$O$5&lt;=B431,'154'!$P$5&gt;=B431),"154",IF(AND(L431="632",'632'!$L$5&lt;=B431,'632'!$M$5&gt;=B431),"632",IF(AND(L431="642",'642'!$N$5&lt;=B431,'642'!$O$5&gt;=B431),"642",IF(AND(L431="641",'641'!$N$5&lt;=B431,'641'!$O$5&gt;=B431),"641",""))))</f>
        <v/>
      </c>
      <c r="V431" s="51" t="str">
        <f>IF(OR(TH!L431=TH!$V$7,M431=TH!$V$7),"x","")</f>
        <v/>
      </c>
      <c r="W431" s="51" t="str">
        <f>IF(AND(B431&gt;='IN-NX'!$P$3,B431&lt;='IN-NX'!$Q$3,'IN-NX'!$D$7=D431,OR(LEFT(L431,2)="15",AND(LEFT(M431,2)&lt;&gt;"15",LEFT(M431,2)&lt;&gt;"33"))),"x","")</f>
        <v/>
      </c>
      <c r="X431" s="51" t="str">
        <f>IF(AND(OR(LEFT(TH!L431,2)="15",LEFT(TH!M431,2)="15"),'152-CT'!$J$8=TH!F431),"x","")</f>
        <v/>
      </c>
      <c r="Y431" s="51" t="str">
        <f>IF(AND(OR(LEFT(TH!L431,2)="15",LEFT(TH!M431,2)="15"),TK!$E$7=TH!F431),"x","")</f>
        <v/>
      </c>
      <c r="Z431" s="51" t="str">
        <f>IF(AND(B431&lt;=NKC!$N$8,B431&gt;=NKC!$M$8),"x","")</f>
        <v>x</v>
      </c>
      <c r="AA431" s="803"/>
      <c r="AB431" s="565"/>
    </row>
    <row r="432" spans="1:31" ht="15.75" customHeight="1">
      <c r="A432" s="804" t="str">
        <f>IF(B432&lt;&gt;"",IF(AND(B432&gt;=_TM1,B432&lt;=_TM2,OR(TH!L432="1111",TH!M432="1111")),TH!D432,""),"")</f>
        <v/>
      </c>
      <c r="B432" s="36">
        <f t="shared" si="28"/>
        <v>7</v>
      </c>
      <c r="C432" s="189">
        <f t="shared" si="29"/>
        <v>42205</v>
      </c>
      <c r="D432" s="189" t="s">
        <v>1283</v>
      </c>
      <c r="E432" s="189">
        <v>42205</v>
      </c>
      <c r="F432" s="190" t="s">
        <v>962</v>
      </c>
      <c r="G432" s="813" t="s">
        <v>1009</v>
      </c>
      <c r="H432" s="191" t="s">
        <v>1010</v>
      </c>
      <c r="I432" s="243"/>
      <c r="J432" s="243"/>
      <c r="K432" s="573">
        <v>30000</v>
      </c>
      <c r="L432" s="574" t="s">
        <v>250</v>
      </c>
      <c r="M432" s="574" t="s">
        <v>352</v>
      </c>
      <c r="N432" s="51" t="str">
        <f>IF(AND('331-CT'!$E$7=TH!H432,OR(L432="331",M432="331")),"331",IF(AND(OR(L432="131",M432="131"),H432='131-CT'!$E$7),"131",""))</f>
        <v/>
      </c>
      <c r="O432" s="51" t="str">
        <f>IF(AND($B432&gt;='111'!$N$11,$B432&lt;='111'!$O$11,OR($L432=$O$7,$M432=$O$7)),"x","")</f>
        <v/>
      </c>
      <c r="P432" s="51" t="str">
        <f>IF(AND($L432=$O$7,$B432&lt;'111'!$N$11),"x","")</f>
        <v/>
      </c>
      <c r="Q432" s="51" t="str">
        <f>IF(AND($M432=$O$7,$B432&lt;'111'!$N$11),"x","")</f>
        <v/>
      </c>
      <c r="R432" s="51" t="str">
        <f>IF(ISERROR(FIND('112'!$M$9,G432,1)),"",IF((AND(FIND('112'!$M$9,G432,1)&gt;=1,$B432&gt;='112'!$N$8,$B432&lt;='112'!$O$8,OR($L432='112'!$I$6,$M432='112'!$I$6))),"x",""))</f>
        <v/>
      </c>
      <c r="S432" s="51" t="str">
        <f>IF(ISERROR(FIND('112'!$M$9,G432,1)),"",IF((AND(LEFT(G432,2)=LEFT('112'!$M$9,2),B432&lt;'112'!$N$8,$L432='112'!$I$6)),"x",""))</f>
        <v/>
      </c>
      <c r="T432" s="51" t="str">
        <f>IF(ISERROR(FIND('112'!$M$9,G432,1)),"",IF((AND(RIGHT(G432,2)=RIGHT('112'!$M$9,2),B432&lt;'112'!$N$8,$M432='112'!$I$6)),"x",""))</f>
        <v/>
      </c>
      <c r="U432" s="51" t="str">
        <f>IF(AND(L432="154",'154'!$O$5&lt;=B432,'154'!$P$5&gt;=B432),"154",IF(AND(L432="632",'632'!$L$5&lt;=B432,'632'!$M$5&gt;=B432),"632",IF(AND(L432="642",'642'!$N$5&lt;=B432,'642'!$O$5&gt;=B432),"642",IF(AND(L432="641",'641'!$N$5&lt;=B432,'641'!$O$5&gt;=B432),"641",""))))</f>
        <v/>
      </c>
      <c r="V432" s="51" t="str">
        <f>IF(OR(TH!L432=TH!$V$7,M432=TH!$V$7),"x","")</f>
        <v/>
      </c>
      <c r="W432" s="51" t="str">
        <f>IF(AND(B432&gt;='IN-NX'!$P$3,B432&lt;='IN-NX'!$Q$3,'IN-NX'!$D$7=D432,OR(LEFT(L432,2)="15",AND(LEFT(M432,2)&lt;&gt;"15",LEFT(M432,2)&lt;&gt;"33"))),"x","")</f>
        <v/>
      </c>
      <c r="X432" s="51" t="str">
        <f>IF(AND(OR(LEFT(TH!L432,2)="15",LEFT(TH!M432,2)="15"),'152-CT'!$J$8=TH!F432),"x","")</f>
        <v/>
      </c>
      <c r="Y432" s="51" t="str">
        <f>IF(AND(OR(LEFT(TH!L432,2)="15",LEFT(TH!M432,2)="15"),TK!$E$7=TH!F432),"x","")</f>
        <v/>
      </c>
      <c r="Z432" s="51" t="str">
        <f>IF(AND(B432&lt;=NKC!$N$8,B432&gt;=NKC!$M$8),"x","")</f>
        <v>x</v>
      </c>
      <c r="AA432" s="803"/>
      <c r="AB432" s="565"/>
    </row>
    <row r="433" spans="1:31" ht="15.75" customHeight="1">
      <c r="A433" s="804" t="str">
        <f>IF(B433&lt;&gt;"",IF(AND(B433&gt;=_TM1,B433&lt;=_TM2,OR(TH!L433="1111",TH!M433="1111")),TH!D433,""),"")</f>
        <v>T08</v>
      </c>
      <c r="B433" s="36">
        <f t="shared" si="28"/>
        <v>7</v>
      </c>
      <c r="C433" s="189">
        <f t="shared" si="29"/>
        <v>42205</v>
      </c>
      <c r="D433" s="189" t="s">
        <v>1346</v>
      </c>
      <c r="E433" s="189">
        <v>42205</v>
      </c>
      <c r="F433" s="190" t="s">
        <v>423</v>
      </c>
      <c r="G433" s="813" t="s">
        <v>1009</v>
      </c>
      <c r="H433" s="191" t="s">
        <v>1010</v>
      </c>
      <c r="I433" s="243"/>
      <c r="J433" s="243"/>
      <c r="K433" s="573">
        <f>K431+K432</f>
        <v>330000</v>
      </c>
      <c r="L433" s="574" t="s">
        <v>47</v>
      </c>
      <c r="M433" s="574" t="s">
        <v>250</v>
      </c>
      <c r="N433" s="51" t="str">
        <f>IF(AND('331-CT'!$E$7=TH!H433,OR(L433="331",M433="331")),"331",IF(AND(OR(L433="131",M433="131"),H433='131-CT'!$E$7),"131",""))</f>
        <v/>
      </c>
      <c r="O433" s="51" t="str">
        <f>IF(AND($B433&gt;='111'!$N$11,$B433&lt;='111'!$O$11,OR($L433=$O$7,$M433=$O$7)),"x","")</f>
        <v/>
      </c>
      <c r="P433" s="51" t="str">
        <f>IF(AND($L433=$O$7,$B433&lt;'111'!$N$11),"x","")</f>
        <v>x</v>
      </c>
      <c r="Q433" s="51" t="str">
        <f>IF(AND($M433=$O$7,$B433&lt;'111'!$N$11),"x","")</f>
        <v/>
      </c>
      <c r="R433" s="51" t="str">
        <f>IF(ISERROR(FIND('112'!$M$9,G433,1)),"",IF((AND(FIND('112'!$M$9,G433,1)&gt;=1,$B433&gt;='112'!$N$8,$B433&lt;='112'!$O$8,OR($L433='112'!$I$6,$M433='112'!$I$6))),"x",""))</f>
        <v/>
      </c>
      <c r="S433" s="51" t="str">
        <f>IF(ISERROR(FIND('112'!$M$9,G433,1)),"",IF((AND(LEFT(G433,2)=LEFT('112'!$M$9,2),B433&lt;'112'!$N$8,$L433='112'!$I$6)),"x",""))</f>
        <v/>
      </c>
      <c r="T433" s="51" t="str">
        <f>IF(ISERROR(FIND('112'!$M$9,G433,1)),"",IF((AND(RIGHT(G433,2)=RIGHT('112'!$M$9,2),B433&lt;'112'!$N$8,$M433='112'!$I$6)),"x",""))</f>
        <v/>
      </c>
      <c r="U433" s="51" t="str">
        <f>IF(AND(L433="154",'154'!$O$5&lt;=B433,'154'!$P$5&gt;=B433),"154",IF(AND(L433="632",'632'!$L$5&lt;=B433,'632'!$M$5&gt;=B433),"632",IF(AND(L433="642",'642'!$N$5&lt;=B433,'642'!$O$5&gt;=B433),"642",IF(AND(L433="641",'641'!$N$5&lt;=B433,'641'!$O$5&gt;=B433),"641",""))))</f>
        <v/>
      </c>
      <c r="V433" s="51" t="str">
        <f>IF(OR(TH!L433=TH!$V$7,M433=TH!$V$7),"x","")</f>
        <v/>
      </c>
      <c r="W433" s="51" t="str">
        <f>IF(AND(B433&gt;='IN-NX'!$P$3,B433&lt;='IN-NX'!$Q$3,'IN-NX'!$D$7=D433,OR(LEFT(L433,2)="15",AND(LEFT(M433,2)&lt;&gt;"15",LEFT(M433,2)&lt;&gt;"33"))),"x","")</f>
        <v/>
      </c>
      <c r="X433" s="51" t="str">
        <f>IF(AND(OR(LEFT(TH!L433,2)="15",LEFT(TH!M433,2)="15"),'152-CT'!$J$8=TH!F433),"x","")</f>
        <v/>
      </c>
      <c r="Y433" s="51" t="str">
        <f>IF(AND(OR(LEFT(TH!L433,2)="15",LEFT(TH!M433,2)="15"),TK!$E$7=TH!F433),"x","")</f>
        <v/>
      </c>
      <c r="Z433" s="51" t="str">
        <f>IF(AND(B433&lt;=NKC!$N$8,B433&gt;=NKC!$M$8),"x","")</f>
        <v>x</v>
      </c>
      <c r="AA433" s="803"/>
      <c r="AB433" s="565"/>
    </row>
    <row r="434" spans="1:31" ht="15.75" customHeight="1">
      <c r="A434" s="804" t="str">
        <f>IF(B434&lt;&gt;"",IF(AND(B434&gt;=_TM1,B434&lt;=_TM2,OR(TH!L434="1111",TH!M434="1111")),TH!D434,""),"")</f>
        <v>C05</v>
      </c>
      <c r="B434" s="36">
        <f t="shared" si="28"/>
        <v>7</v>
      </c>
      <c r="C434" s="189">
        <f t="shared" si="29"/>
        <v>42206</v>
      </c>
      <c r="D434" s="189" t="s">
        <v>1264</v>
      </c>
      <c r="E434" s="182">
        <v>42206</v>
      </c>
      <c r="F434" s="187" t="s">
        <v>433</v>
      </c>
      <c r="G434" s="811" t="s">
        <v>415</v>
      </c>
      <c r="H434" s="7" t="s">
        <v>437</v>
      </c>
      <c r="I434" s="243"/>
      <c r="J434" s="243"/>
      <c r="K434" s="38">
        <v>196400000</v>
      </c>
      <c r="L434" s="192" t="s">
        <v>24</v>
      </c>
      <c r="M434" s="192" t="s">
        <v>47</v>
      </c>
      <c r="N434" s="51" t="str">
        <f>IF(AND('331-CT'!$E$7=TH!H434,OR(L434="331",M434="331")),"331",IF(AND(OR(L434="131",M434="131"),H434='131-CT'!$E$7),"131",""))</f>
        <v/>
      </c>
      <c r="O434" s="51" t="str">
        <f>IF(AND($B434&gt;='111'!$N$11,$B434&lt;='111'!$O$11,OR($L434=$O$7,$M434=$O$7)),"x","")</f>
        <v/>
      </c>
      <c r="P434" s="51" t="str">
        <f>IF(AND($L434=$O$7,$B434&lt;'111'!$N$11),"x","")</f>
        <v/>
      </c>
      <c r="Q434" s="51" t="str">
        <f>IF(AND($M434=$O$7,$B434&lt;'111'!$N$11),"x","")</f>
        <v>x</v>
      </c>
      <c r="R434" s="51" t="str">
        <f>IF(ISERROR(FIND('112'!$M$9,G434,1)),"",IF((AND(FIND('112'!$M$9,G434,1)&gt;=1,$B434&gt;='112'!$N$8,$B434&lt;='112'!$O$8,OR($L434='112'!$I$6,$M434='112'!$I$6))),"x",""))</f>
        <v/>
      </c>
      <c r="S434" s="51" t="str">
        <f>IF(ISERROR(FIND('112'!$M$9,G434,1)),"",IF((AND(LEFT(G434,2)=LEFT('112'!$M$9,2),B434&lt;'112'!$N$8,$L434='112'!$I$6)),"x",""))</f>
        <v/>
      </c>
      <c r="T434" s="51" t="str">
        <f>IF(ISERROR(FIND('112'!$M$9,G434,1)),"",IF((AND(RIGHT(G434,2)=RIGHT('112'!$M$9,2),B434&lt;'112'!$N$8,$M434='112'!$I$6)),"x",""))</f>
        <v/>
      </c>
      <c r="U434" s="51" t="str">
        <f>IF(AND(L434="154",'154'!$O$5&lt;=B434,'154'!$P$5&gt;=B434),"154",IF(AND(L434="632",'632'!$L$5&lt;=B434,'632'!$M$5&gt;=B434),"632",IF(AND(L434="642",'642'!$N$5&lt;=B434,'642'!$O$5&gt;=B434),"642",IF(AND(L434="641",'641'!$N$5&lt;=B434,'641'!$O$5&gt;=B434),"641",""))))</f>
        <v/>
      </c>
      <c r="V434" s="51" t="str">
        <f>IF(OR(TH!L434=TH!$V$7,M434=TH!$V$7),"x","")</f>
        <v/>
      </c>
      <c r="W434" s="51" t="str">
        <f>IF(AND(B434&gt;='IN-NX'!$P$3,B434&lt;='IN-NX'!$Q$3,'IN-NX'!$D$7=D434,OR(LEFT(L434,2)="15",AND(LEFT(M434,2)&lt;&gt;"15",LEFT(M434,2)&lt;&gt;"33"))),"x","")</f>
        <v/>
      </c>
      <c r="X434" s="51" t="str">
        <f>IF(AND(OR(LEFT(TH!L434,2)="15",LEFT(TH!M434,2)="15"),'152-CT'!$J$8=TH!F434),"x","")</f>
        <v/>
      </c>
      <c r="Y434" s="51" t="str">
        <f>IF(AND(OR(LEFT(TH!L434,2)="15",LEFT(TH!M434,2)="15"),TK!$E$7=TH!F434),"x","")</f>
        <v/>
      </c>
      <c r="Z434" s="51" t="str">
        <f>IF(AND(B434&lt;=NKC!$N$8,B434&gt;=NKC!$M$8),"x","")</f>
        <v>x</v>
      </c>
      <c r="AA434" s="803"/>
      <c r="AE434" s="565"/>
    </row>
    <row r="435" spans="1:31" ht="15.75" customHeight="1">
      <c r="A435" s="804" t="str">
        <f>IF(B435&lt;&gt;"",IF(AND(B435&gt;=_TM1,B435&lt;=_TM2,OR(TH!L435="1111",TH!M435="1111")),TH!D435,""),"")</f>
        <v/>
      </c>
      <c r="B435" s="36">
        <f t="shared" si="28"/>
        <v>7</v>
      </c>
      <c r="C435" s="189">
        <f t="shared" si="29"/>
        <v>42206</v>
      </c>
      <c r="D435" s="189" t="s">
        <v>422</v>
      </c>
      <c r="E435" s="182">
        <v>42206</v>
      </c>
      <c r="F435" s="187" t="s">
        <v>438</v>
      </c>
      <c r="G435" s="811" t="s">
        <v>415</v>
      </c>
      <c r="H435" s="7" t="s">
        <v>494</v>
      </c>
      <c r="I435" s="243"/>
      <c r="J435" s="243"/>
      <c r="K435" s="573">
        <v>196405605</v>
      </c>
      <c r="L435" s="192" t="s">
        <v>8</v>
      </c>
      <c r="M435" s="192" t="s">
        <v>24</v>
      </c>
      <c r="N435" s="51" t="str">
        <f>IF(AND('331-CT'!$E$7=TH!H435,OR(L435="331",M435="331")),"331",IF(AND(OR(L435="131",M435="131"),H435='131-CT'!$E$7),"131",""))</f>
        <v/>
      </c>
      <c r="O435" s="51" t="str">
        <f>IF(AND($B435&gt;='111'!$N$11,$B435&lt;='111'!$O$11,OR($L435=$O$7,$M435=$O$7)),"x","")</f>
        <v/>
      </c>
      <c r="P435" s="51" t="str">
        <f>IF(AND($L435=$O$7,$B435&lt;'111'!$N$11),"x","")</f>
        <v/>
      </c>
      <c r="Q435" s="51" t="str">
        <f>IF(AND($M435=$O$7,$B435&lt;'111'!$N$11),"x","")</f>
        <v/>
      </c>
      <c r="R435" s="51" t="str">
        <f>IF(ISERROR(FIND('112'!$M$9,G435,1)),"",IF((AND(FIND('112'!$M$9,G435,1)&gt;=1,$B435&gt;='112'!$N$8,$B435&lt;='112'!$O$8,OR($L435='112'!$I$6,$M435='112'!$I$6))),"x",""))</f>
        <v/>
      </c>
      <c r="S435" s="51" t="str">
        <f>IF(ISERROR(FIND('112'!$M$9,G435,1)),"",IF((AND(LEFT(G435,2)=LEFT('112'!$M$9,2),B435&lt;'112'!$N$8,$L435='112'!$I$6)),"x",""))</f>
        <v/>
      </c>
      <c r="T435" s="51" t="str">
        <f>IF(ISERROR(FIND('112'!$M$9,G435,1)),"",IF((AND(RIGHT(G435,2)=RIGHT('112'!$M$9,2),B435&lt;'112'!$N$8,$M435='112'!$I$6)),"x",""))</f>
        <v/>
      </c>
      <c r="U435" s="51" t="str">
        <f>IF(AND(L435="154",'154'!$O$5&lt;=B435,'154'!$P$5&gt;=B435),"154",IF(AND(L435="632",'632'!$L$5&lt;=B435,'632'!$M$5&gt;=B435),"632",IF(AND(L435="642",'642'!$N$5&lt;=B435,'642'!$O$5&gt;=B435),"642",IF(AND(L435="641",'641'!$N$5&lt;=B435,'641'!$O$5&gt;=B435),"641",""))))</f>
        <v/>
      </c>
      <c r="V435" s="51" t="str">
        <f>IF(OR(TH!L435=TH!$V$7,M435=TH!$V$7),"x","")</f>
        <v/>
      </c>
      <c r="W435" s="51" t="str">
        <f>IF(AND(B435&gt;='IN-NX'!$P$3,B435&lt;='IN-NX'!$Q$3,'IN-NX'!$D$7=D435,OR(LEFT(L435,2)="15",AND(LEFT(M435,2)&lt;&gt;"15",LEFT(M435,2)&lt;&gt;"33"))),"x","")</f>
        <v/>
      </c>
      <c r="X435" s="51" t="str">
        <f>IF(AND(OR(LEFT(TH!L435,2)="15",LEFT(TH!M435,2)="15"),'152-CT'!$J$8=TH!F435),"x","")</f>
        <v/>
      </c>
      <c r="Y435" s="51" t="str">
        <f>IF(AND(OR(LEFT(TH!L435,2)="15",LEFT(TH!M435,2)="15"),TK!$E$7=TH!F435),"x","")</f>
        <v/>
      </c>
      <c r="Z435" s="51" t="str">
        <f>IF(AND(B435&lt;=NKC!$N$8,B435&gt;=NKC!$M$8),"x","")</f>
        <v>x</v>
      </c>
      <c r="AA435" s="803"/>
      <c r="AD435" s="565"/>
      <c r="AE435" s="565"/>
    </row>
    <row r="436" spans="1:31" ht="15.75" customHeight="1">
      <c r="A436" s="804" t="str">
        <f>IF(B436&lt;&gt;"",IF(AND(B436&gt;=_TM1,B436&lt;=_TM2,OR(TH!L436="1111",TH!M436="1111")),TH!D436,""),"")</f>
        <v/>
      </c>
      <c r="B436" s="36">
        <f t="shared" si="28"/>
        <v>7</v>
      </c>
      <c r="C436" s="189">
        <f t="shared" si="29"/>
        <v>42206</v>
      </c>
      <c r="D436" s="189" t="s">
        <v>422</v>
      </c>
      <c r="E436" s="182">
        <v>42206</v>
      </c>
      <c r="F436" s="187" t="s">
        <v>443</v>
      </c>
      <c r="G436" s="811" t="s">
        <v>415</v>
      </c>
      <c r="H436" s="7"/>
      <c r="I436" s="243"/>
      <c r="J436" s="243"/>
      <c r="K436" s="573">
        <v>142931</v>
      </c>
      <c r="L436" s="192" t="s">
        <v>83</v>
      </c>
      <c r="M436" s="192" t="s">
        <v>24</v>
      </c>
      <c r="N436" s="51" t="str">
        <f>IF(AND('331-CT'!$E$7=TH!H436,OR(L436="331",M436="331")),"331",IF(AND(OR(L436="131",M436="131"),H436='131-CT'!$E$7),"131",""))</f>
        <v/>
      </c>
      <c r="O436" s="51" t="str">
        <f>IF(AND($B436&gt;='111'!$N$11,$B436&lt;='111'!$O$11,OR($L436=$O$7,$M436=$O$7)),"x","")</f>
        <v/>
      </c>
      <c r="P436" s="51" t="str">
        <f>IF(AND($L436=$O$7,$B436&lt;'111'!$N$11),"x","")</f>
        <v/>
      </c>
      <c r="Q436" s="51" t="str">
        <f>IF(AND($M436=$O$7,$B436&lt;'111'!$N$11),"x","")</f>
        <v/>
      </c>
      <c r="R436" s="51" t="str">
        <f>IF(ISERROR(FIND('112'!$M$9,G436,1)),"",IF((AND(FIND('112'!$M$9,G436,1)&gt;=1,$B436&gt;='112'!$N$8,$B436&lt;='112'!$O$8,OR($L436='112'!$I$6,$M436='112'!$I$6))),"x",""))</f>
        <v/>
      </c>
      <c r="S436" s="51" t="str">
        <f>IF(ISERROR(FIND('112'!$M$9,G436,1)),"",IF((AND(LEFT(G436,2)=LEFT('112'!$M$9,2),B436&lt;'112'!$N$8,$L436='112'!$I$6)),"x",""))</f>
        <v/>
      </c>
      <c r="T436" s="51" t="str">
        <f>IF(ISERROR(FIND('112'!$M$9,G436,1)),"",IF((AND(RIGHT(G436,2)=RIGHT('112'!$M$9,2),B436&lt;'112'!$N$8,$M436='112'!$I$6)),"x",""))</f>
        <v/>
      </c>
      <c r="U436" s="51" t="str">
        <f>IF(AND(L436="154",'154'!$O$5&lt;=B436,'154'!$P$5&gt;=B436),"154",IF(AND(L436="632",'632'!$L$5&lt;=B436,'632'!$M$5&gt;=B436),"632",IF(AND(L436="642",'642'!$N$5&lt;=B436,'642'!$O$5&gt;=B436),"642",IF(AND(L436="641",'641'!$N$5&lt;=B436,'641'!$O$5&gt;=B436),"641",""))))</f>
        <v/>
      </c>
      <c r="V436" s="51" t="str">
        <f>IF(OR(TH!L436=TH!$V$7,M436=TH!$V$7),"x","")</f>
        <v>x</v>
      </c>
      <c r="W436" s="51" t="str">
        <f>IF(AND(B436&gt;='IN-NX'!$P$3,B436&lt;='IN-NX'!$Q$3,'IN-NX'!$D$7=D436,OR(LEFT(L436,2)="15",AND(LEFT(M436,2)&lt;&gt;"15",LEFT(M436,2)&lt;&gt;"33"))),"x","")</f>
        <v/>
      </c>
      <c r="X436" s="51" t="str">
        <f>IF(AND(OR(LEFT(TH!L436,2)="15",LEFT(TH!M436,2)="15"),'152-CT'!$J$8=TH!F436),"x","")</f>
        <v/>
      </c>
      <c r="Y436" s="51" t="str">
        <f>IF(AND(OR(LEFT(TH!L436,2)="15",LEFT(TH!M436,2)="15"),TK!$E$7=TH!F436),"x","")</f>
        <v/>
      </c>
      <c r="Z436" s="51" t="str">
        <f>IF(AND(B436&lt;=NKC!$N$8,B436&gt;=NKC!$M$8),"x","")</f>
        <v>x</v>
      </c>
      <c r="AA436" s="803"/>
      <c r="AB436" s="565"/>
      <c r="AD436" s="565"/>
      <c r="AE436" s="565"/>
    </row>
    <row r="437" spans="1:31" ht="15.75" customHeight="1">
      <c r="A437" s="804" t="str">
        <f>IF(B437&lt;&gt;"",IF(AND(B437&gt;=_TM1,B437&lt;=_TM2,OR(TH!L437="1111",TH!M437="1111")),TH!D437,""),"")</f>
        <v>T09</v>
      </c>
      <c r="B437" s="36">
        <f t="shared" si="28"/>
        <v>7</v>
      </c>
      <c r="C437" s="189">
        <f t="shared" si="29"/>
        <v>42206</v>
      </c>
      <c r="D437" s="189" t="s">
        <v>1347</v>
      </c>
      <c r="E437" s="189">
        <v>42206</v>
      </c>
      <c r="F437" s="926" t="s">
        <v>964</v>
      </c>
      <c r="G437" s="813" t="s">
        <v>1011</v>
      </c>
      <c r="H437" s="191" t="s">
        <v>975</v>
      </c>
      <c r="I437" s="243"/>
      <c r="J437" s="243"/>
      <c r="K437" s="573">
        <v>9500000</v>
      </c>
      <c r="L437" s="574" t="s">
        <v>47</v>
      </c>
      <c r="M437" s="574" t="s">
        <v>408</v>
      </c>
      <c r="N437" s="51" t="str">
        <f>IF(AND('331-CT'!$E$7=TH!H437,OR(L437="331",M437="331")),"331",IF(AND(OR(L437="131",M437="131"),H437='131-CT'!$E$7),"131",""))</f>
        <v/>
      </c>
      <c r="O437" s="51" t="str">
        <f>IF(AND($B437&gt;='111'!$N$11,$B437&lt;='111'!$O$11,OR($L437=$O$7,$M437=$O$7)),"x","")</f>
        <v/>
      </c>
      <c r="P437" s="51" t="str">
        <f>IF(AND($L437=$O$7,$B437&lt;'111'!$N$11),"x","")</f>
        <v>x</v>
      </c>
      <c r="Q437" s="51" t="str">
        <f>IF(AND($M437=$O$7,$B437&lt;'111'!$N$11),"x","")</f>
        <v/>
      </c>
      <c r="R437" s="51" t="str">
        <f>IF(ISERROR(FIND('112'!$M$9,G437,1)),"",IF((AND(FIND('112'!$M$9,G437,1)&gt;=1,$B437&gt;='112'!$N$8,$B437&lt;='112'!$O$8,OR($L437='112'!$I$6,$M437='112'!$I$6))),"x",""))</f>
        <v/>
      </c>
      <c r="S437" s="51" t="str">
        <f>IF(ISERROR(FIND('112'!$M$9,G437,1)),"",IF((AND(LEFT(G437,2)=LEFT('112'!$M$9,2),B437&lt;'112'!$N$8,$L437='112'!$I$6)),"x",""))</f>
        <v/>
      </c>
      <c r="T437" s="51" t="str">
        <f>IF(ISERROR(FIND('112'!$M$9,G437,1)),"",IF((AND(RIGHT(G437,2)=RIGHT('112'!$M$9,2),B437&lt;'112'!$N$8,$M437='112'!$I$6)),"x",""))</f>
        <v/>
      </c>
      <c r="U437" s="51" t="str">
        <f>IF(AND(L437="154",'154'!$O$5&lt;=B437,'154'!$P$5&gt;=B437),"154",IF(AND(L437="632",'632'!$L$5&lt;=B437,'632'!$M$5&gt;=B437),"632",IF(AND(L437="642",'642'!$N$5&lt;=B437,'642'!$O$5&gt;=B437),"642",IF(AND(L437="641",'641'!$N$5&lt;=B437,'641'!$O$5&gt;=B437),"641",""))))</f>
        <v/>
      </c>
      <c r="V437" s="51" t="str">
        <f>IF(OR(TH!L437=TH!$V$7,M437=TH!$V$7),"x","")</f>
        <v/>
      </c>
      <c r="W437" s="51" t="str">
        <f>IF(AND(B437&gt;='IN-NX'!$P$3,B437&lt;='IN-NX'!$Q$3,'IN-NX'!$D$7=D437,OR(LEFT(L437,2)="15",AND(LEFT(M437,2)&lt;&gt;"15",LEFT(M437,2)&lt;&gt;"33"))),"x","")</f>
        <v/>
      </c>
      <c r="X437" s="51" t="str">
        <f>IF(AND(OR(LEFT(TH!L437,2)="15",LEFT(TH!M437,2)="15"),'152-CT'!$J$8=TH!F437),"x","")</f>
        <v/>
      </c>
      <c r="Y437" s="51" t="str">
        <f>IF(AND(OR(LEFT(TH!L437,2)="15",LEFT(TH!M437,2)="15"),TK!$E$7=TH!F437),"x","")</f>
        <v/>
      </c>
      <c r="Z437" s="51" t="str">
        <f>IF(AND(B437&lt;=NKC!$N$8,B437&gt;=NKC!$M$8),"x","")</f>
        <v>x</v>
      </c>
      <c r="AA437" s="803"/>
      <c r="AB437" s="565"/>
    </row>
    <row r="438" spans="1:31" ht="15.75" customHeight="1">
      <c r="A438" s="804" t="str">
        <f>IF(B438&lt;&gt;"",IF(AND(B438&gt;=_TM1,B438&lt;=_TM2,OR(TH!L438="1111",TH!M438="1111")),TH!D438,""),"")</f>
        <v>T09</v>
      </c>
      <c r="B438" s="36">
        <f t="shared" si="28"/>
        <v>7</v>
      </c>
      <c r="C438" s="189">
        <f t="shared" si="29"/>
        <v>42206</v>
      </c>
      <c r="D438" s="189" t="s">
        <v>1347</v>
      </c>
      <c r="E438" s="189">
        <v>42206</v>
      </c>
      <c r="F438" s="922" t="s">
        <v>1110</v>
      </c>
      <c r="G438" s="813" t="s">
        <v>1011</v>
      </c>
      <c r="H438" s="191" t="s">
        <v>975</v>
      </c>
      <c r="I438" s="243"/>
      <c r="J438" s="243"/>
      <c r="K438" s="573">
        <v>950000</v>
      </c>
      <c r="L438" s="574" t="s">
        <v>47</v>
      </c>
      <c r="M438" s="574" t="s">
        <v>352</v>
      </c>
      <c r="N438" s="51" t="str">
        <f>IF(AND('331-CT'!$E$7=TH!H438,OR(L438="331",M438="331")),"331",IF(AND(OR(L438="131",M438="131"),H438='131-CT'!$E$7),"131",""))</f>
        <v/>
      </c>
      <c r="O438" s="51" t="str">
        <f>IF(AND($B438&gt;='111'!$N$11,$B438&lt;='111'!$O$11,OR($L438=$O$7,$M438=$O$7)),"x","")</f>
        <v/>
      </c>
      <c r="P438" s="51" t="str">
        <f>IF(AND($L438=$O$7,$B438&lt;'111'!$N$11),"x","")</f>
        <v>x</v>
      </c>
      <c r="Q438" s="51" t="str">
        <f>IF(AND($M438=$O$7,$B438&lt;'111'!$N$11),"x","")</f>
        <v/>
      </c>
      <c r="R438" s="51" t="str">
        <f>IF(ISERROR(FIND('112'!$M$9,G438,1)),"",IF((AND(FIND('112'!$M$9,G438,1)&gt;=1,$B438&gt;='112'!$N$8,$B438&lt;='112'!$O$8,OR($L438='112'!$I$6,$M438='112'!$I$6))),"x",""))</f>
        <v/>
      </c>
      <c r="S438" s="51" t="str">
        <f>IF(ISERROR(FIND('112'!$M$9,G438,1)),"",IF((AND(LEFT(G438,2)=LEFT('112'!$M$9,2),B438&lt;'112'!$N$8,$L438='112'!$I$6)),"x",""))</f>
        <v/>
      </c>
      <c r="T438" s="51" t="str">
        <f>IF(ISERROR(FIND('112'!$M$9,G438,1)),"",IF((AND(RIGHT(G438,2)=RIGHT('112'!$M$9,2),B438&lt;'112'!$N$8,$M438='112'!$I$6)),"x",""))</f>
        <v/>
      </c>
      <c r="U438" s="51" t="str">
        <f>IF(AND(L438="154",'154'!$O$5&lt;=B438,'154'!$P$5&gt;=B438),"154",IF(AND(L438="632",'632'!$L$5&lt;=B438,'632'!$M$5&gt;=B438),"632",IF(AND(L438="642",'642'!$N$5&lt;=B438,'642'!$O$5&gt;=B438),"642",IF(AND(L438="641",'641'!$N$5&lt;=B438,'641'!$O$5&gt;=B438),"641",""))))</f>
        <v/>
      </c>
      <c r="V438" s="51" t="str">
        <f>IF(OR(TH!L438=TH!$V$7,M438=TH!$V$7),"x","")</f>
        <v/>
      </c>
      <c r="W438" s="51" t="str">
        <f>IF(AND(B438&gt;='IN-NX'!$P$3,B438&lt;='IN-NX'!$Q$3,'IN-NX'!$D$7=D438,OR(LEFT(L438,2)="15",AND(LEFT(M438,2)&lt;&gt;"15",LEFT(M438,2)&lt;&gt;"33"))),"x","")</f>
        <v/>
      </c>
      <c r="X438" s="51" t="str">
        <f>IF(AND(OR(LEFT(TH!L438,2)="15",LEFT(TH!M438,2)="15"),'152-CT'!$J$8=TH!F438),"x","")</f>
        <v/>
      </c>
      <c r="Y438" s="51" t="str">
        <f>IF(AND(OR(LEFT(TH!L438,2)="15",LEFT(TH!M438,2)="15"),TK!$E$7=TH!F438),"x","")</f>
        <v/>
      </c>
      <c r="Z438" s="51" t="str">
        <f>IF(AND(B438&lt;=NKC!$N$8,B438&gt;=NKC!$M$8),"x","")</f>
        <v>x</v>
      </c>
      <c r="AA438" s="803"/>
      <c r="AB438" s="565"/>
    </row>
    <row r="439" spans="1:31" ht="15.75" customHeight="1">
      <c r="A439" s="804" t="str">
        <f>IF(B439&lt;&gt;"",IF(AND(B439&gt;=_TM1,B439&lt;=_TM2,OR(TH!L439="1111",TH!M439="1111")),TH!D439,""),"")</f>
        <v/>
      </c>
      <c r="B439" s="36">
        <f t="shared" si="28"/>
        <v>7</v>
      </c>
      <c r="C439" s="189">
        <f t="shared" si="29"/>
        <v>42207</v>
      </c>
      <c r="D439" s="189" t="s">
        <v>421</v>
      </c>
      <c r="E439" s="182">
        <v>42207</v>
      </c>
      <c r="F439" s="190" t="s">
        <v>423</v>
      </c>
      <c r="G439" s="811" t="s">
        <v>415</v>
      </c>
      <c r="H439" s="7" t="s">
        <v>441</v>
      </c>
      <c r="I439" s="243"/>
      <c r="J439" s="243"/>
      <c r="K439" s="38">
        <v>56671065</v>
      </c>
      <c r="L439" s="192" t="s">
        <v>24</v>
      </c>
      <c r="M439" s="192" t="s">
        <v>250</v>
      </c>
      <c r="N439" s="51" t="str">
        <f>IF(AND('331-CT'!$E$7=TH!H439,OR(L439="331",M439="331")),"331",IF(AND(OR(L439="131",M439="131"),H439='131-CT'!$E$7),"131",""))</f>
        <v/>
      </c>
      <c r="O439" s="51" t="str">
        <f>IF(AND($B439&gt;='111'!$N$11,$B439&lt;='111'!$O$11,OR($L439=$O$7,$M439=$O$7)),"x","")</f>
        <v/>
      </c>
      <c r="P439" s="51" t="str">
        <f>IF(AND($L439=$O$7,$B439&lt;'111'!$N$11),"x","")</f>
        <v/>
      </c>
      <c r="Q439" s="51" t="str">
        <f>IF(AND($M439=$O$7,$B439&lt;'111'!$N$11),"x","")</f>
        <v/>
      </c>
      <c r="R439" s="51" t="str">
        <f>IF(ISERROR(FIND('112'!$M$9,G439,1)),"",IF((AND(FIND('112'!$M$9,G439,1)&gt;=1,$B439&gt;='112'!$N$8,$B439&lt;='112'!$O$8,OR($L439='112'!$I$6,$M439='112'!$I$6))),"x",""))</f>
        <v/>
      </c>
      <c r="S439" s="51" t="str">
        <f>IF(ISERROR(FIND('112'!$M$9,G439,1)),"",IF((AND(LEFT(G439,2)=LEFT('112'!$M$9,2),B439&lt;'112'!$N$8,$L439='112'!$I$6)),"x",""))</f>
        <v/>
      </c>
      <c r="T439" s="51" t="str">
        <f>IF(ISERROR(FIND('112'!$M$9,G439,1)),"",IF((AND(RIGHT(G439,2)=RIGHT('112'!$M$9,2),B439&lt;'112'!$N$8,$M439='112'!$I$6)),"x",""))</f>
        <v/>
      </c>
      <c r="U439" s="51" t="str">
        <f>IF(AND(L439="154",'154'!$O$5&lt;=B439,'154'!$P$5&gt;=B439),"154",IF(AND(L439="632",'632'!$L$5&lt;=B439,'632'!$M$5&gt;=B439),"632",IF(AND(L439="642",'642'!$N$5&lt;=B439,'642'!$O$5&gt;=B439),"642",IF(AND(L439="641",'641'!$N$5&lt;=B439,'641'!$O$5&gt;=B439),"641",""))))</f>
        <v/>
      </c>
      <c r="V439" s="51" t="str">
        <f>IF(OR(TH!L439=TH!$V$7,M439=TH!$V$7),"x","")</f>
        <v/>
      </c>
      <c r="W439" s="51" t="str">
        <f>IF(AND(B439&gt;='IN-NX'!$P$3,B439&lt;='IN-NX'!$Q$3,'IN-NX'!$D$7=D439,OR(LEFT(L439,2)="15",AND(LEFT(M439,2)&lt;&gt;"15",LEFT(M439,2)&lt;&gt;"33"))),"x","")</f>
        <v/>
      </c>
      <c r="X439" s="51" t="str">
        <f>IF(AND(OR(LEFT(TH!L439,2)="15",LEFT(TH!M439,2)="15"),'152-CT'!$J$8=TH!F439),"x","")</f>
        <v/>
      </c>
      <c r="Y439" s="51" t="str">
        <f>IF(AND(OR(LEFT(TH!L439,2)="15",LEFT(TH!M439,2)="15"),TK!$E$7=TH!F439),"x","")</f>
        <v/>
      </c>
      <c r="Z439" s="51" t="str">
        <f>IF(AND(B439&lt;=NKC!$N$8,B439&gt;=NKC!$M$8),"x","")</f>
        <v>x</v>
      </c>
      <c r="AA439" s="803"/>
      <c r="AE439" s="565"/>
    </row>
    <row r="440" spans="1:31" ht="15.75" customHeight="1">
      <c r="A440" s="804" t="str">
        <f>IF(B440&lt;&gt;"",IF(AND(B440&gt;=_TM1,B440&lt;=_TM2,OR(TH!L440="1111",TH!M440="1111")),TH!D440,""),"")</f>
        <v>T10</v>
      </c>
      <c r="B440" s="36">
        <f t="shared" si="28"/>
        <v>7</v>
      </c>
      <c r="C440" s="189">
        <f t="shared" si="29"/>
        <v>42207</v>
      </c>
      <c r="D440" s="189" t="s">
        <v>1350</v>
      </c>
      <c r="E440" s="182">
        <v>42207</v>
      </c>
      <c r="F440" s="187" t="s">
        <v>427</v>
      </c>
      <c r="G440" s="811" t="s">
        <v>415</v>
      </c>
      <c r="H440" s="7" t="s">
        <v>437</v>
      </c>
      <c r="I440" s="243"/>
      <c r="J440" s="243"/>
      <c r="K440" s="573">
        <v>59000000</v>
      </c>
      <c r="L440" s="192" t="s">
        <v>47</v>
      </c>
      <c r="M440" s="192" t="s">
        <v>24</v>
      </c>
      <c r="N440" s="51" t="str">
        <f>IF(AND('331-CT'!$E$7=TH!H440,OR(L440="331",M440="331")),"331",IF(AND(OR(L440="131",M440="131"),H440='131-CT'!$E$7),"131",""))</f>
        <v/>
      </c>
      <c r="O440" s="51" t="str">
        <f>IF(AND($B440&gt;='111'!$N$11,$B440&lt;='111'!$O$11,OR($L440=$O$7,$M440=$O$7)),"x","")</f>
        <v/>
      </c>
      <c r="P440" s="51" t="str">
        <f>IF(AND($L440=$O$7,$B440&lt;'111'!$N$11),"x","")</f>
        <v>x</v>
      </c>
      <c r="Q440" s="51" t="str">
        <f>IF(AND($M440=$O$7,$B440&lt;'111'!$N$11),"x","")</f>
        <v/>
      </c>
      <c r="R440" s="51" t="str">
        <f>IF(ISERROR(FIND('112'!$M$9,G440,1)),"",IF((AND(FIND('112'!$M$9,G440,1)&gt;=1,$B440&gt;='112'!$N$8,$B440&lt;='112'!$O$8,OR($L440='112'!$I$6,$M440='112'!$I$6))),"x",""))</f>
        <v/>
      </c>
      <c r="S440" s="51" t="str">
        <f>IF(ISERROR(FIND('112'!$M$9,G440,1)),"",IF((AND(LEFT(G440,2)=LEFT('112'!$M$9,2),B440&lt;'112'!$N$8,$L440='112'!$I$6)),"x",""))</f>
        <v/>
      </c>
      <c r="T440" s="51" t="str">
        <f>IF(ISERROR(FIND('112'!$M$9,G440,1)),"",IF((AND(RIGHT(G440,2)=RIGHT('112'!$M$9,2),B440&lt;'112'!$N$8,$M440='112'!$I$6)),"x",""))</f>
        <v/>
      </c>
      <c r="U440" s="51" t="str">
        <f>IF(AND(L440="154",'154'!$O$5&lt;=B440,'154'!$P$5&gt;=B440),"154",IF(AND(L440="632",'632'!$L$5&lt;=B440,'632'!$M$5&gt;=B440),"632",IF(AND(L440="642",'642'!$N$5&lt;=B440,'642'!$O$5&gt;=B440),"642",IF(AND(L440="641",'641'!$N$5&lt;=B440,'641'!$O$5&gt;=B440),"641",""))))</f>
        <v/>
      </c>
      <c r="V440" s="51" t="str">
        <f>IF(OR(TH!L440=TH!$V$7,M440=TH!$V$7),"x","")</f>
        <v/>
      </c>
      <c r="W440" s="51" t="str">
        <f>IF(AND(B440&gt;='IN-NX'!$P$3,B440&lt;='IN-NX'!$Q$3,'IN-NX'!$D$7=D440,OR(LEFT(L440,2)="15",AND(LEFT(M440,2)&lt;&gt;"15",LEFT(M440,2)&lt;&gt;"33"))),"x","")</f>
        <v/>
      </c>
      <c r="X440" s="51" t="str">
        <f>IF(AND(OR(LEFT(TH!L440,2)="15",LEFT(TH!M440,2)="15"),'152-CT'!$J$8=TH!F440),"x","")</f>
        <v/>
      </c>
      <c r="Y440" s="51" t="str">
        <f>IF(AND(OR(LEFT(TH!L440,2)="15",LEFT(TH!M440,2)="15"),TK!$E$7=TH!F440),"x","")</f>
        <v/>
      </c>
      <c r="Z440" s="51" t="str">
        <f>IF(AND(B440&lt;=NKC!$N$8,B440&gt;=NKC!$M$8),"x","")</f>
        <v>x</v>
      </c>
      <c r="AA440" s="803"/>
      <c r="AD440" s="565"/>
      <c r="AE440" s="565"/>
    </row>
    <row r="441" spans="1:31" ht="15.75" customHeight="1">
      <c r="A441" s="804" t="str">
        <f>IF(B441&lt;&gt;"",IF(AND(B441&gt;=_TM1,B441&lt;=_TM2,OR(TH!L441="1111",TH!M441="1111")),TH!D441,""),"")</f>
        <v>T11</v>
      </c>
      <c r="B441" s="36">
        <f t="shared" si="28"/>
        <v>7</v>
      </c>
      <c r="C441" s="189">
        <f t="shared" si="29"/>
        <v>42208</v>
      </c>
      <c r="D441" s="189" t="s">
        <v>1352</v>
      </c>
      <c r="E441" s="182">
        <v>42208</v>
      </c>
      <c r="F441" s="187" t="s">
        <v>427</v>
      </c>
      <c r="G441" s="811" t="s">
        <v>415</v>
      </c>
      <c r="H441" s="7" t="s">
        <v>437</v>
      </c>
      <c r="I441" s="243"/>
      <c r="J441" s="243"/>
      <c r="K441" s="573">
        <v>30000000</v>
      </c>
      <c r="L441" s="192" t="s">
        <v>47</v>
      </c>
      <c r="M441" s="192" t="s">
        <v>24</v>
      </c>
      <c r="N441" s="51" t="str">
        <f>IF(AND('331-CT'!$E$7=TH!H441,OR(L441="331",M441="331")),"331",IF(AND(OR(L441="131",M441="131"),H441='131-CT'!$E$7),"131",""))</f>
        <v/>
      </c>
      <c r="O441" s="51" t="str">
        <f>IF(AND($B441&gt;='111'!$N$11,$B441&lt;='111'!$O$11,OR($L441=$O$7,$M441=$O$7)),"x","")</f>
        <v/>
      </c>
      <c r="P441" s="51" t="str">
        <f>IF(AND($L441=$O$7,$B441&lt;'111'!$N$11),"x","")</f>
        <v>x</v>
      </c>
      <c r="Q441" s="51" t="str">
        <f>IF(AND($M441=$O$7,$B441&lt;'111'!$N$11),"x","")</f>
        <v/>
      </c>
      <c r="R441" s="51" t="str">
        <f>IF(ISERROR(FIND('112'!$M$9,G441,1)),"",IF((AND(FIND('112'!$M$9,G441,1)&gt;=1,$B441&gt;='112'!$N$8,$B441&lt;='112'!$O$8,OR($L441='112'!$I$6,$M441='112'!$I$6))),"x",""))</f>
        <v/>
      </c>
      <c r="S441" s="51" t="str">
        <f>IF(ISERROR(FIND('112'!$M$9,G441,1)),"",IF((AND(LEFT(G441,2)=LEFT('112'!$M$9,2),B441&lt;'112'!$N$8,$L441='112'!$I$6)),"x",""))</f>
        <v/>
      </c>
      <c r="T441" s="51" t="str">
        <f>IF(ISERROR(FIND('112'!$M$9,G441,1)),"",IF((AND(RIGHT(G441,2)=RIGHT('112'!$M$9,2),B441&lt;'112'!$N$8,$M441='112'!$I$6)),"x",""))</f>
        <v/>
      </c>
      <c r="U441" s="51" t="str">
        <f>IF(AND(L441="154",'154'!$O$5&lt;=B441,'154'!$P$5&gt;=B441),"154",IF(AND(L441="632",'632'!$L$5&lt;=B441,'632'!$M$5&gt;=B441),"632",IF(AND(L441="642",'642'!$N$5&lt;=B441,'642'!$O$5&gt;=B441),"642",IF(AND(L441="641",'641'!$N$5&lt;=B441,'641'!$O$5&gt;=B441),"641",""))))</f>
        <v/>
      </c>
      <c r="V441" s="51" t="str">
        <f>IF(OR(TH!L441=TH!$V$7,M441=TH!$V$7),"x","")</f>
        <v/>
      </c>
      <c r="W441" s="51" t="str">
        <f>IF(AND(B441&gt;='IN-NX'!$P$3,B441&lt;='IN-NX'!$Q$3,'IN-NX'!$D$7=D441,OR(LEFT(L441,2)="15",AND(LEFT(M441,2)&lt;&gt;"15",LEFT(M441,2)&lt;&gt;"33"))),"x","")</f>
        <v/>
      </c>
      <c r="X441" s="51" t="str">
        <f>IF(AND(OR(LEFT(TH!L441,2)="15",LEFT(TH!M441,2)="15"),'152-CT'!$J$8=TH!F441),"x","")</f>
        <v/>
      </c>
      <c r="Y441" s="51" t="str">
        <f>IF(AND(OR(LEFT(TH!L441,2)="15",LEFT(TH!M441,2)="15"),TK!$E$7=TH!F441),"x","")</f>
        <v/>
      </c>
      <c r="Z441" s="51" t="str">
        <f>IF(AND(B441&lt;=NKC!$N$8,B441&gt;=NKC!$M$8),"x","")</f>
        <v>x</v>
      </c>
      <c r="AA441" s="803"/>
      <c r="AB441" s="565"/>
      <c r="AD441" s="565"/>
      <c r="AE441" s="565"/>
    </row>
    <row r="442" spans="1:31" ht="15.75" customHeight="1">
      <c r="A442" s="804" t="str">
        <f>IF(B442&lt;&gt;"",IF(AND(B442&gt;=_TM1,B442&lt;=_TM2,OR(TH!L442="1111",TH!M442="1111")),TH!D442,""),"")</f>
        <v/>
      </c>
      <c r="B442" s="36">
        <f t="shared" si="28"/>
        <v>7</v>
      </c>
      <c r="C442" s="189">
        <f t="shared" si="29"/>
        <v>42210</v>
      </c>
      <c r="D442" s="189" t="s">
        <v>421</v>
      </c>
      <c r="E442" s="182">
        <v>42210</v>
      </c>
      <c r="F442" s="190" t="s">
        <v>429</v>
      </c>
      <c r="G442" s="811" t="s">
        <v>415</v>
      </c>
      <c r="H442" s="7"/>
      <c r="I442" s="243"/>
      <c r="J442" s="243"/>
      <c r="K442" s="38">
        <v>83881</v>
      </c>
      <c r="L442" s="192" t="s">
        <v>24</v>
      </c>
      <c r="M442" s="192" t="s">
        <v>40</v>
      </c>
      <c r="N442" s="51" t="str">
        <f>IF(AND('331-CT'!$E$7=TH!H442,OR(L442="331",M442="331")),"331",IF(AND(OR(L442="131",M442="131"),H442='131-CT'!$E$7),"131",""))</f>
        <v/>
      </c>
      <c r="O442" s="51" t="str">
        <f>IF(AND($B442&gt;='111'!$N$11,$B442&lt;='111'!$O$11,OR($L442=$O$7,$M442=$O$7)),"x","")</f>
        <v/>
      </c>
      <c r="P442" s="51" t="str">
        <f>IF(AND($L442=$O$7,$B442&lt;'111'!$N$11),"x","")</f>
        <v/>
      </c>
      <c r="Q442" s="51" t="str">
        <f>IF(AND($M442=$O$7,$B442&lt;'111'!$N$11),"x","")</f>
        <v/>
      </c>
      <c r="R442" s="51" t="str">
        <f>IF(ISERROR(FIND('112'!$M$9,G442,1)),"",IF((AND(FIND('112'!$M$9,G442,1)&gt;=1,$B442&gt;='112'!$N$8,$B442&lt;='112'!$O$8,OR($L442='112'!$I$6,$M442='112'!$I$6))),"x",""))</f>
        <v/>
      </c>
      <c r="S442" s="51" t="str">
        <f>IF(ISERROR(FIND('112'!$M$9,G442,1)),"",IF((AND(LEFT(G442,2)=LEFT('112'!$M$9,2),B442&lt;'112'!$N$8,$L442='112'!$I$6)),"x",""))</f>
        <v/>
      </c>
      <c r="T442" s="51" t="str">
        <f>IF(ISERROR(FIND('112'!$M$9,G442,1)),"",IF((AND(RIGHT(G442,2)=RIGHT('112'!$M$9,2),B442&lt;'112'!$N$8,$M442='112'!$I$6)),"x",""))</f>
        <v/>
      </c>
      <c r="U442" s="51" t="str">
        <f>IF(AND(L442="154",'154'!$O$5&lt;=B442,'154'!$P$5&gt;=B442),"154",IF(AND(L442="632",'632'!$L$5&lt;=B442,'632'!$M$5&gt;=B442),"632",IF(AND(L442="642",'642'!$N$5&lt;=B442,'642'!$O$5&gt;=B442),"642",IF(AND(L442="641",'641'!$N$5&lt;=B442,'641'!$O$5&gt;=B442),"641",""))))</f>
        <v/>
      </c>
      <c r="V442" s="51" t="str">
        <f>IF(OR(TH!L442=TH!$V$7,M442=TH!$V$7),"x","")</f>
        <v/>
      </c>
      <c r="W442" s="51" t="str">
        <f>IF(AND(B442&gt;='IN-NX'!$P$3,B442&lt;='IN-NX'!$Q$3,'IN-NX'!$D$7=D442,OR(LEFT(L442,2)="15",AND(LEFT(M442,2)&lt;&gt;"15",LEFT(M442,2)&lt;&gt;"33"))),"x","")</f>
        <v/>
      </c>
      <c r="X442" s="51" t="str">
        <f>IF(AND(OR(LEFT(TH!L442,2)="15",LEFT(TH!M442,2)="15"),'152-CT'!$J$8=TH!F442),"x","")</f>
        <v/>
      </c>
      <c r="Y442" s="51" t="str">
        <f>IF(AND(OR(LEFT(TH!L442,2)="15",LEFT(TH!M442,2)="15"),TK!$E$7=TH!F442),"x","")</f>
        <v/>
      </c>
      <c r="Z442" s="51" t="str">
        <f>IF(AND(B442&lt;=NKC!$N$8,B442&gt;=NKC!$M$8),"x","")</f>
        <v>x</v>
      </c>
      <c r="AA442" s="803"/>
      <c r="AE442" s="565"/>
    </row>
    <row r="443" spans="1:31" ht="15.75" customHeight="1">
      <c r="A443" s="804" t="str">
        <f>IF(B443&lt;&gt;"",IF(AND(B443&gt;=_TM1,B443&lt;=_TM2,OR(TH!L443="1111",TH!M443="1111")),TH!D443,""),"")</f>
        <v/>
      </c>
      <c r="B443" s="36">
        <f t="shared" si="28"/>
        <v>7</v>
      </c>
      <c r="C443" s="189">
        <f t="shared" si="29"/>
        <v>42210</v>
      </c>
      <c r="D443" s="189" t="s">
        <v>422</v>
      </c>
      <c r="E443" s="182">
        <v>42210</v>
      </c>
      <c r="F443" s="187" t="s">
        <v>426</v>
      </c>
      <c r="G443" s="811" t="s">
        <v>415</v>
      </c>
      <c r="H443" s="7"/>
      <c r="I443" s="243"/>
      <c r="J443" s="243"/>
      <c r="K443" s="573">
        <v>11000</v>
      </c>
      <c r="L443" s="192" t="s">
        <v>83</v>
      </c>
      <c r="M443" s="192" t="s">
        <v>24</v>
      </c>
      <c r="N443" s="51" t="str">
        <f>IF(AND('331-CT'!$E$7=TH!H443,OR(L443="331",M443="331")),"331",IF(AND(OR(L443="131",M443="131"),H443='131-CT'!$E$7),"131",""))</f>
        <v/>
      </c>
      <c r="O443" s="51" t="str">
        <f>IF(AND($B443&gt;='111'!$N$11,$B443&lt;='111'!$O$11,OR($L443=$O$7,$M443=$O$7)),"x","")</f>
        <v/>
      </c>
      <c r="P443" s="51" t="str">
        <f>IF(AND($L443=$O$7,$B443&lt;'111'!$N$11),"x","")</f>
        <v/>
      </c>
      <c r="Q443" s="51" t="str">
        <f>IF(AND($M443=$O$7,$B443&lt;'111'!$N$11),"x","")</f>
        <v/>
      </c>
      <c r="R443" s="51" t="str">
        <f>IF(ISERROR(FIND('112'!$M$9,G443,1)),"",IF((AND(FIND('112'!$M$9,G443,1)&gt;=1,$B443&gt;='112'!$N$8,$B443&lt;='112'!$O$8,OR($L443='112'!$I$6,$M443='112'!$I$6))),"x",""))</f>
        <v/>
      </c>
      <c r="S443" s="51" t="str">
        <f>IF(ISERROR(FIND('112'!$M$9,G443,1)),"",IF((AND(LEFT(G443,2)=LEFT('112'!$M$9,2),B443&lt;'112'!$N$8,$L443='112'!$I$6)),"x",""))</f>
        <v/>
      </c>
      <c r="T443" s="51" t="str">
        <f>IF(ISERROR(FIND('112'!$M$9,G443,1)),"",IF((AND(RIGHT(G443,2)=RIGHT('112'!$M$9,2),B443&lt;'112'!$N$8,$M443='112'!$I$6)),"x",""))</f>
        <v/>
      </c>
      <c r="U443" s="51" t="str">
        <f>IF(AND(L443="154",'154'!$O$5&lt;=B443,'154'!$P$5&gt;=B443),"154",IF(AND(L443="632",'632'!$L$5&lt;=B443,'632'!$M$5&gt;=B443),"632",IF(AND(L443="642",'642'!$N$5&lt;=B443,'642'!$O$5&gt;=B443),"642",IF(AND(L443="641",'641'!$N$5&lt;=B443,'641'!$O$5&gt;=B443),"641",""))))</f>
        <v/>
      </c>
      <c r="V443" s="51" t="str">
        <f>IF(OR(TH!L443=TH!$V$7,M443=TH!$V$7),"x","")</f>
        <v>x</v>
      </c>
      <c r="W443" s="51" t="str">
        <f>IF(AND(B443&gt;='IN-NX'!$P$3,B443&lt;='IN-NX'!$Q$3,'IN-NX'!$D$7=D443,OR(LEFT(L443,2)="15",AND(LEFT(M443,2)&lt;&gt;"15",LEFT(M443,2)&lt;&gt;"33"))),"x","")</f>
        <v/>
      </c>
      <c r="X443" s="51" t="str">
        <f>IF(AND(OR(LEFT(TH!L443,2)="15",LEFT(TH!M443,2)="15"),'152-CT'!$J$8=TH!F443),"x","")</f>
        <v/>
      </c>
      <c r="Y443" s="51" t="str">
        <f>IF(AND(OR(LEFT(TH!L443,2)="15",LEFT(TH!M443,2)="15"),TK!$E$7=TH!F443),"x","")</f>
        <v/>
      </c>
      <c r="Z443" s="51" t="str">
        <f>IF(AND(B443&lt;=NKC!$N$8,B443&gt;=NKC!$M$8),"x","")</f>
        <v>x</v>
      </c>
      <c r="AA443" s="803"/>
      <c r="AB443" s="565"/>
      <c r="AC443" s="565"/>
      <c r="AD443" s="565"/>
      <c r="AE443" s="565"/>
    </row>
    <row r="444" spans="1:31" ht="15.75" customHeight="1">
      <c r="A444" s="804" t="str">
        <f>IF(B444&lt;&gt;"",IF(AND(B444&gt;=_TM1,B444&lt;=_TM2,OR(TH!L444="1111",TH!M444="1111")),TH!D444,""),"")</f>
        <v>C06</v>
      </c>
      <c r="B444" s="36">
        <f t="shared" si="28"/>
        <v>7</v>
      </c>
      <c r="C444" s="189">
        <f t="shared" si="29"/>
        <v>42210</v>
      </c>
      <c r="D444" s="189" t="s">
        <v>1348</v>
      </c>
      <c r="E444" s="189">
        <v>42210</v>
      </c>
      <c r="F444" s="926" t="s">
        <v>456</v>
      </c>
      <c r="G444" s="813" t="s">
        <v>613</v>
      </c>
      <c r="H444" s="191" t="s">
        <v>454</v>
      </c>
      <c r="I444" s="243"/>
      <c r="J444" s="243"/>
      <c r="K444" s="573">
        <v>817362</v>
      </c>
      <c r="L444" s="574" t="s">
        <v>251</v>
      </c>
      <c r="M444" s="574" t="s">
        <v>47</v>
      </c>
      <c r="N444" s="51" t="str">
        <f>IF(AND('331-CT'!$E$7=TH!H444,OR(L444="331",M444="331")),"331",IF(AND(OR(L444="131",M444="131"),H444='131-CT'!$E$7),"131",""))</f>
        <v/>
      </c>
      <c r="O444" s="51" t="str">
        <f>IF(AND($B444&gt;='111'!$N$11,$B444&lt;='111'!$O$11,OR($L444=$O$7,$M444=$O$7)),"x","")</f>
        <v/>
      </c>
      <c r="P444" s="51" t="str">
        <f>IF(AND($L444=$O$7,$B444&lt;'111'!$N$11),"x","")</f>
        <v/>
      </c>
      <c r="Q444" s="51" t="str">
        <f>IF(AND($M444=$O$7,$B444&lt;'111'!$N$11),"x","")</f>
        <v>x</v>
      </c>
      <c r="R444" s="51" t="str">
        <f>IF(ISERROR(FIND('112'!$M$9,G444,1)),"",IF((AND(FIND('112'!$M$9,G444,1)&gt;=1,$B444&gt;='112'!$N$8,$B444&lt;='112'!$O$8,OR($L444='112'!$I$6,$M444='112'!$I$6))),"x",""))</f>
        <v/>
      </c>
      <c r="S444" s="51" t="str">
        <f>IF(ISERROR(FIND('112'!$M$9,G444,1)),"",IF((AND(LEFT(G444,2)=LEFT('112'!$M$9,2),B444&lt;'112'!$N$8,$L444='112'!$I$6)),"x",""))</f>
        <v/>
      </c>
      <c r="T444" s="51" t="str">
        <f>IF(ISERROR(FIND('112'!$M$9,G444,1)),"",IF((AND(RIGHT(G444,2)=RIGHT('112'!$M$9,2),B444&lt;'112'!$N$8,$M444='112'!$I$6)),"x",""))</f>
        <v/>
      </c>
      <c r="U444" s="51" t="str">
        <f>IF(AND(L444="154",'154'!$O$5&lt;=B444,'154'!$P$5&gt;=B444),"154",IF(AND(L444="632",'632'!$L$5&lt;=B444,'632'!$M$5&gt;=B444),"632",IF(AND(L444="642",'642'!$N$5&lt;=B444,'642'!$O$5&gt;=B444),"642",IF(AND(L444="641",'641'!$N$5&lt;=B444,'641'!$O$5&gt;=B444),"641",""))))</f>
        <v>641</v>
      </c>
      <c r="V444" s="51" t="str">
        <f>IF(OR(TH!L444=TH!$V$7,M444=TH!$V$7),"x","")</f>
        <v/>
      </c>
      <c r="W444" s="51" t="str">
        <f>IF(AND(B444&gt;='IN-NX'!$P$3,B444&lt;='IN-NX'!$Q$3,'IN-NX'!$D$7=D444,OR(LEFT(L444,2)="15",AND(LEFT(M444,2)&lt;&gt;"15",LEFT(M444,2)&lt;&gt;"33"))),"x","")</f>
        <v/>
      </c>
      <c r="X444" s="51" t="str">
        <f>IF(AND(OR(LEFT(TH!L444,2)="15",LEFT(TH!M444,2)="15"),'152-CT'!$J$8=TH!F444),"x","")</f>
        <v/>
      </c>
      <c r="Y444" s="51" t="str">
        <f>IF(AND(OR(LEFT(TH!L444,2)="15",LEFT(TH!M444,2)="15"),TK!$E$7=TH!F444),"x","")</f>
        <v/>
      </c>
      <c r="Z444" s="51" t="str">
        <f>IF(AND(B444&lt;=NKC!$N$8,B444&gt;=NKC!$M$8),"x","")</f>
        <v>x</v>
      </c>
      <c r="AA444" s="803"/>
      <c r="AB444" s="565"/>
    </row>
    <row r="445" spans="1:31" ht="15.75" customHeight="1">
      <c r="A445" s="804" t="str">
        <f>IF(B445&lt;&gt;"",IF(AND(B445&gt;=_TM1,B445&lt;=_TM2,OR(TH!L445="1111",TH!M445="1111")),TH!D445,""),"")</f>
        <v>C06</v>
      </c>
      <c r="B445" s="36">
        <f t="shared" si="28"/>
        <v>7</v>
      </c>
      <c r="C445" s="189">
        <f t="shared" si="29"/>
        <v>42210</v>
      </c>
      <c r="D445" s="189" t="s">
        <v>1348</v>
      </c>
      <c r="E445" s="189">
        <v>42210</v>
      </c>
      <c r="F445" s="922" t="s">
        <v>457</v>
      </c>
      <c r="G445" s="813" t="s">
        <v>613</v>
      </c>
      <c r="H445" s="191" t="s">
        <v>454</v>
      </c>
      <c r="I445" s="243"/>
      <c r="J445" s="243"/>
      <c r="K445" s="573">
        <v>81738</v>
      </c>
      <c r="L445" s="574" t="s">
        <v>9</v>
      </c>
      <c r="M445" s="574" t="s">
        <v>47</v>
      </c>
      <c r="N445" s="51" t="str">
        <f>IF(AND('331-CT'!$E$7=TH!H445,OR(L445="331",M445="331")),"331",IF(AND(OR(L445="131",M445="131"),H445='131-CT'!$E$7),"131",""))</f>
        <v/>
      </c>
      <c r="O445" s="51" t="str">
        <f>IF(AND($B445&gt;='111'!$N$11,$B445&lt;='111'!$O$11,OR($L445=$O$7,$M445=$O$7)),"x","")</f>
        <v/>
      </c>
      <c r="P445" s="51" t="str">
        <f>IF(AND($L445=$O$7,$B445&lt;'111'!$N$11),"x","")</f>
        <v/>
      </c>
      <c r="Q445" s="51" t="str">
        <f>IF(AND($M445=$O$7,$B445&lt;'111'!$N$11),"x","")</f>
        <v>x</v>
      </c>
      <c r="R445" s="51" t="str">
        <f>IF(ISERROR(FIND('112'!$M$9,G445,1)),"",IF((AND(FIND('112'!$M$9,G445,1)&gt;=1,$B445&gt;='112'!$N$8,$B445&lt;='112'!$O$8,OR($L445='112'!$I$6,$M445='112'!$I$6))),"x",""))</f>
        <v/>
      </c>
      <c r="S445" s="51" t="str">
        <f>IF(ISERROR(FIND('112'!$M$9,G445,1)),"",IF((AND(LEFT(G445,2)=LEFT('112'!$M$9,2),B445&lt;'112'!$N$8,$L445='112'!$I$6)),"x",""))</f>
        <v/>
      </c>
      <c r="T445" s="51" t="str">
        <f>IF(ISERROR(FIND('112'!$M$9,G445,1)),"",IF((AND(RIGHT(G445,2)=RIGHT('112'!$M$9,2),B445&lt;'112'!$N$8,$M445='112'!$I$6)),"x",""))</f>
        <v/>
      </c>
      <c r="U445" s="51" t="str">
        <f>IF(AND(L445="154",'154'!$O$5&lt;=B445,'154'!$P$5&gt;=B445),"154",IF(AND(L445="632",'632'!$L$5&lt;=B445,'632'!$M$5&gt;=B445),"632",IF(AND(L445="642",'642'!$N$5&lt;=B445,'642'!$O$5&gt;=B445),"642",IF(AND(L445="641",'641'!$N$5&lt;=B445,'641'!$O$5&gt;=B445),"641",""))))</f>
        <v/>
      </c>
      <c r="V445" s="51" t="str">
        <f>IF(OR(TH!L445=TH!$V$7,M445=TH!$V$7),"x","")</f>
        <v/>
      </c>
      <c r="W445" s="51" t="str">
        <f>IF(AND(B445&gt;='IN-NX'!$P$3,B445&lt;='IN-NX'!$Q$3,'IN-NX'!$D$7=D445,OR(LEFT(L445,2)="15",AND(LEFT(M445,2)&lt;&gt;"15",LEFT(M445,2)&lt;&gt;"33"))),"x","")</f>
        <v/>
      </c>
      <c r="X445" s="51" t="str">
        <f>IF(AND(OR(LEFT(TH!L445,2)="15",LEFT(TH!M445,2)="15"),'152-CT'!$J$8=TH!F445),"x","")</f>
        <v/>
      </c>
      <c r="Y445" s="51" t="str">
        <f>IF(AND(OR(LEFT(TH!L445,2)="15",LEFT(TH!M445,2)="15"),TK!$E$7=TH!F445),"x","")</f>
        <v/>
      </c>
      <c r="Z445" s="51" t="str">
        <f>IF(AND(B445&lt;=NKC!$N$8,B445&gt;=NKC!$M$8),"x","")</f>
        <v>x</v>
      </c>
      <c r="AA445" s="803">
        <v>3</v>
      </c>
      <c r="AB445" s="565"/>
    </row>
    <row r="446" spans="1:31" ht="15.75" customHeight="1">
      <c r="A446" s="804" t="str">
        <f>IF(B446&lt;&gt;"",IF(AND(B446&gt;=_TM1,B446&lt;=_TM2,OR(TH!L446="1111",TH!M446="1111")),TH!D446,""),"")</f>
        <v>C07</v>
      </c>
      <c r="B446" s="36">
        <f t="shared" si="28"/>
        <v>7</v>
      </c>
      <c r="C446" s="189">
        <f t="shared" si="29"/>
        <v>42211</v>
      </c>
      <c r="D446" s="189" t="s">
        <v>1349</v>
      </c>
      <c r="E446" s="189">
        <v>42211</v>
      </c>
      <c r="F446" s="190" t="s">
        <v>490</v>
      </c>
      <c r="G446" s="813" t="s">
        <v>612</v>
      </c>
      <c r="H446" s="191" t="s">
        <v>540</v>
      </c>
      <c r="I446" s="243"/>
      <c r="J446" s="243"/>
      <c r="K446" s="573">
        <v>705000</v>
      </c>
      <c r="L446" s="574" t="s">
        <v>251</v>
      </c>
      <c r="M446" s="574" t="s">
        <v>47</v>
      </c>
      <c r="N446" s="51" t="str">
        <f>IF(AND('331-CT'!$E$7=TH!H446,OR(L446="331",M446="331")),"331",IF(AND(OR(L446="131",M446="131"),H446='131-CT'!$E$7),"131",""))</f>
        <v/>
      </c>
      <c r="O446" s="51" t="str">
        <f>IF(AND($B446&gt;='111'!$N$11,$B446&lt;='111'!$O$11,OR($L446=$O$7,$M446=$O$7)),"x","")</f>
        <v/>
      </c>
      <c r="P446" s="51" t="str">
        <f>IF(AND($L446=$O$7,$B446&lt;'111'!$N$11),"x","")</f>
        <v/>
      </c>
      <c r="Q446" s="51" t="str">
        <f>IF(AND($M446=$O$7,$B446&lt;'111'!$N$11),"x","")</f>
        <v>x</v>
      </c>
      <c r="R446" s="51" t="str">
        <f>IF(ISERROR(FIND('112'!$M$9,G446,1)),"",IF((AND(FIND('112'!$M$9,G446,1)&gt;=1,$B446&gt;='112'!$N$8,$B446&lt;='112'!$O$8,OR($L446='112'!$I$6,$M446='112'!$I$6))),"x",""))</f>
        <v/>
      </c>
      <c r="S446" s="51" t="str">
        <f>IF(ISERROR(FIND('112'!$M$9,G446,1)),"",IF((AND(LEFT(G446,2)=LEFT('112'!$M$9,2),B446&lt;'112'!$N$8,$L446='112'!$I$6)),"x",""))</f>
        <v/>
      </c>
      <c r="T446" s="51" t="str">
        <f>IF(ISERROR(FIND('112'!$M$9,G446,1)),"",IF((AND(RIGHT(G446,2)=RIGHT('112'!$M$9,2),B446&lt;'112'!$N$8,$M446='112'!$I$6)),"x",""))</f>
        <v/>
      </c>
      <c r="U446" s="51" t="str">
        <f>IF(AND(L446="154",'154'!$O$5&lt;=B446,'154'!$P$5&gt;=B446),"154",IF(AND(L446="632",'632'!$L$5&lt;=B446,'632'!$M$5&gt;=B446),"632",IF(AND(L446="642",'642'!$N$5&lt;=B446,'642'!$O$5&gt;=B446),"642",IF(AND(L446="641",'641'!$N$5&lt;=B446,'641'!$O$5&gt;=B446),"641",""))))</f>
        <v>641</v>
      </c>
      <c r="V446" s="51" t="str">
        <f>IF(OR(TH!L446=TH!$V$7,M446=TH!$V$7),"x","")</f>
        <v/>
      </c>
      <c r="W446" s="51" t="str">
        <f>IF(AND(B446&gt;='IN-NX'!$P$3,B446&lt;='IN-NX'!$Q$3,'IN-NX'!$D$7=D446,OR(LEFT(L446,2)="15",AND(LEFT(M446,2)&lt;&gt;"15",LEFT(M446,2)&lt;&gt;"33"))),"x","")</f>
        <v/>
      </c>
      <c r="X446" s="51" t="str">
        <f>IF(AND(OR(LEFT(TH!L446,2)="15",LEFT(TH!M446,2)="15"),'152-CT'!$J$8=TH!F446),"x","")</f>
        <v/>
      </c>
      <c r="Y446" s="51" t="str">
        <f>IF(AND(OR(LEFT(TH!L446,2)="15",LEFT(TH!M446,2)="15"),TK!$E$7=TH!F446),"x","")</f>
        <v/>
      </c>
      <c r="Z446" s="51" t="str">
        <f>IF(AND(B446&lt;=NKC!$N$8,B446&gt;=NKC!$M$8),"x","")</f>
        <v>x</v>
      </c>
      <c r="AA446" s="803"/>
      <c r="AB446" s="565"/>
    </row>
    <row r="447" spans="1:31" ht="15.75" customHeight="1">
      <c r="A447" s="804" t="str">
        <f>IF(B447&lt;&gt;"",IF(AND(B447&gt;=_TM1,B447&lt;=_TM2,OR(TH!L447="1111",TH!M447="1111")),TH!D447,""),"")</f>
        <v>C07</v>
      </c>
      <c r="B447" s="36">
        <f t="shared" si="28"/>
        <v>7</v>
      </c>
      <c r="C447" s="189">
        <f t="shared" si="29"/>
        <v>42211</v>
      </c>
      <c r="D447" s="189" t="s">
        <v>1349</v>
      </c>
      <c r="E447" s="189">
        <v>42211</v>
      </c>
      <c r="F447" s="926" t="s">
        <v>491</v>
      </c>
      <c r="G447" s="813" t="s">
        <v>612</v>
      </c>
      <c r="H447" s="191" t="s">
        <v>540</v>
      </c>
      <c r="I447" s="243"/>
      <c r="J447" s="243"/>
      <c r="K447" s="573">
        <v>70500</v>
      </c>
      <c r="L447" s="574" t="s">
        <v>9</v>
      </c>
      <c r="M447" s="574" t="s">
        <v>47</v>
      </c>
      <c r="N447" s="51" t="str">
        <f>IF(AND('331-CT'!$E$7=TH!H447,OR(L447="331",M447="331")),"331",IF(AND(OR(L447="131",M447="131"),H447='131-CT'!$E$7),"131",""))</f>
        <v/>
      </c>
      <c r="O447" s="51" t="str">
        <f>IF(AND($B447&gt;='111'!$N$11,$B447&lt;='111'!$O$11,OR($L447=$O$7,$M447=$O$7)),"x","")</f>
        <v/>
      </c>
      <c r="P447" s="51" t="str">
        <f>IF(AND($L447=$O$7,$B447&lt;'111'!$N$11),"x","")</f>
        <v/>
      </c>
      <c r="Q447" s="51" t="str">
        <f>IF(AND($M447=$O$7,$B447&lt;'111'!$N$11),"x","")</f>
        <v>x</v>
      </c>
      <c r="R447" s="51" t="str">
        <f>IF(ISERROR(FIND('112'!$M$9,G447,1)),"",IF((AND(FIND('112'!$M$9,G447,1)&gt;=1,$B447&gt;='112'!$N$8,$B447&lt;='112'!$O$8,OR($L447='112'!$I$6,$M447='112'!$I$6))),"x",""))</f>
        <v/>
      </c>
      <c r="S447" s="51" t="str">
        <f>IF(ISERROR(FIND('112'!$M$9,G447,1)),"",IF((AND(LEFT(G447,2)=LEFT('112'!$M$9,2),B447&lt;'112'!$N$8,$L447='112'!$I$6)),"x",""))</f>
        <v/>
      </c>
      <c r="T447" s="51" t="str">
        <f>IF(ISERROR(FIND('112'!$M$9,G447,1)),"",IF((AND(RIGHT(G447,2)=RIGHT('112'!$M$9,2),B447&lt;'112'!$N$8,$M447='112'!$I$6)),"x",""))</f>
        <v/>
      </c>
      <c r="U447" s="51" t="str">
        <f>IF(AND(L447="154",'154'!$O$5&lt;=B447,'154'!$P$5&gt;=B447),"154",IF(AND(L447="632",'632'!$L$5&lt;=B447,'632'!$M$5&gt;=B447),"632",IF(AND(L447="642",'642'!$N$5&lt;=B447,'642'!$O$5&gt;=B447),"642",IF(AND(L447="641",'641'!$N$5&lt;=B447,'641'!$O$5&gt;=B447),"641",""))))</f>
        <v/>
      </c>
      <c r="V447" s="51" t="str">
        <f>IF(OR(TH!L447=TH!$V$7,M447=TH!$V$7),"x","")</f>
        <v/>
      </c>
      <c r="W447" s="51" t="str">
        <f>IF(AND(B447&gt;='IN-NX'!$P$3,B447&lt;='IN-NX'!$Q$3,'IN-NX'!$D$7=D447,OR(LEFT(L447,2)="15",AND(LEFT(M447,2)&lt;&gt;"15",LEFT(M447,2)&lt;&gt;"33"))),"x","")</f>
        <v/>
      </c>
      <c r="X447" s="51" t="str">
        <f>IF(AND(OR(LEFT(TH!L447,2)="15",LEFT(TH!M447,2)="15"),'152-CT'!$J$8=TH!F447),"x","")</f>
        <v/>
      </c>
      <c r="Y447" s="51" t="str">
        <f>IF(AND(OR(LEFT(TH!L447,2)="15",LEFT(TH!M447,2)="15"),TK!$E$7=TH!F447),"x","")</f>
        <v/>
      </c>
      <c r="Z447" s="51" t="str">
        <f>IF(AND(B447&lt;=NKC!$N$8,B447&gt;=NKC!$M$8),"x","")</f>
        <v>x</v>
      </c>
      <c r="AA447" s="803">
        <v>3</v>
      </c>
      <c r="AB447" s="565"/>
    </row>
    <row r="448" spans="1:31" ht="15.75" customHeight="1">
      <c r="A448" s="804" t="str">
        <f>IF(B448&lt;&gt;"",IF(AND(B448&gt;=_TM1,B448&lt;=_TM2,OR(TH!L448="1111",TH!M448="1111")),TH!D448,""),"")</f>
        <v/>
      </c>
      <c r="B448" s="36">
        <f t="shared" si="28"/>
        <v>7</v>
      </c>
      <c r="C448" s="189">
        <f t="shared" si="29"/>
        <v>42212</v>
      </c>
      <c r="D448" s="189" t="s">
        <v>1334</v>
      </c>
      <c r="E448" s="189">
        <v>42212</v>
      </c>
      <c r="F448" s="926" t="s">
        <v>610</v>
      </c>
      <c r="G448" s="813" t="s">
        <v>609</v>
      </c>
      <c r="H448" s="191" t="s">
        <v>509</v>
      </c>
      <c r="I448" s="243">
        <v>500</v>
      </c>
      <c r="J448" s="243">
        <v>15721</v>
      </c>
      <c r="K448" s="573">
        <f>ROUND(I448*J448,0)</f>
        <v>7860500</v>
      </c>
      <c r="L448" s="574" t="s">
        <v>417</v>
      </c>
      <c r="M448" s="574" t="s">
        <v>8</v>
      </c>
      <c r="N448" s="51" t="str">
        <f>IF(AND('331-CT'!$E$7=TH!H448,OR(L448="331",M448="331")),"331",IF(AND(OR(L448="131",M448="131"),H448='131-CT'!$E$7),"131",""))</f>
        <v/>
      </c>
      <c r="O448" s="51" t="str">
        <f>IF(AND($B448&gt;='111'!$N$11,$B448&lt;='111'!$O$11,OR($L448=$O$7,$M448=$O$7)),"x","")</f>
        <v/>
      </c>
      <c r="P448" s="51" t="str">
        <f>IF(AND($L448=$O$7,$B448&lt;'111'!$N$11),"x","")</f>
        <v/>
      </c>
      <c r="Q448" s="51" t="str">
        <f>IF(AND($M448=$O$7,$B448&lt;'111'!$N$11),"x","")</f>
        <v/>
      </c>
      <c r="R448" s="51" t="str">
        <f>IF(ISERROR(FIND('112'!$M$9,G448,1)),"",IF((AND(FIND('112'!$M$9,G448,1)&gt;=1,$B448&gt;='112'!$N$8,$B448&lt;='112'!$O$8,OR($L448='112'!$I$6,$M448='112'!$I$6))),"x",""))</f>
        <v/>
      </c>
      <c r="S448" s="51" t="str">
        <f>IF(ISERROR(FIND('112'!$M$9,G448,1)),"",IF((AND(LEFT(G448,2)=LEFT('112'!$M$9,2),B448&lt;'112'!$N$8,$L448='112'!$I$6)),"x",""))</f>
        <v/>
      </c>
      <c r="T448" s="51" t="str">
        <f>IF(ISERROR(FIND('112'!$M$9,G448,1)),"",IF((AND(RIGHT(G448,2)=RIGHT('112'!$M$9,2),B448&lt;'112'!$N$8,$M448='112'!$I$6)),"x",""))</f>
        <v/>
      </c>
      <c r="U448" s="51" t="str">
        <f>IF(AND(L448="154",'154'!$O$5&lt;=B448,'154'!$P$5&gt;=B448),"154",IF(AND(L448="632",'632'!$L$5&lt;=B448,'632'!$M$5&gt;=B448),"632",IF(AND(L448="642",'642'!$N$5&lt;=B448,'642'!$O$5&gt;=B448),"642",IF(AND(L448="641",'641'!$N$5&lt;=B448,'641'!$O$5&gt;=B448),"641",""))))</f>
        <v/>
      </c>
      <c r="V448" s="51" t="str">
        <f>IF(OR(TH!L448=TH!$V$7,M448=TH!$V$7),"x","")</f>
        <v/>
      </c>
      <c r="W448" s="51" t="str">
        <f>IF(AND(B448&gt;='IN-NX'!$P$3,B448&lt;='IN-NX'!$Q$3,'IN-NX'!$D$7=D448,OR(LEFT(L448,2)="15",AND(LEFT(M448,2)&lt;&gt;"15",LEFT(M448,2)&lt;&gt;"33"))),"x","")</f>
        <v/>
      </c>
      <c r="X448" s="51" t="str">
        <f>IF(AND(OR(LEFT(TH!L448,2)="15",LEFT(TH!M448,2)="15"),'152-CT'!$J$8=TH!F448),"x","")</f>
        <v/>
      </c>
      <c r="Y448" s="51" t="str">
        <f>IF(AND(OR(LEFT(TH!L448,2)="15",LEFT(TH!M448,2)="15"),TK!$E$7=TH!F448),"x","")</f>
        <v/>
      </c>
      <c r="Z448" s="51" t="str">
        <f>IF(AND(B448&lt;=NKC!$N$8,B448&gt;=NKC!$M$8),"x","")</f>
        <v>x</v>
      </c>
      <c r="AA448" s="803"/>
      <c r="AB448" s="565"/>
    </row>
    <row r="449" spans="1:31" ht="15.75" customHeight="1">
      <c r="A449" s="804" t="str">
        <f>IF(B449&lt;&gt;"",IF(AND(B449&gt;=_TM1,B449&lt;=_TM2,OR(TH!L449="1111",TH!M449="1111")),TH!D449,""),"")</f>
        <v/>
      </c>
      <c r="B449" s="36">
        <f t="shared" si="28"/>
        <v>7</v>
      </c>
      <c r="C449" s="189">
        <f t="shared" si="29"/>
        <v>42212</v>
      </c>
      <c r="D449" s="189" t="s">
        <v>1334</v>
      </c>
      <c r="E449" s="189">
        <v>42212</v>
      </c>
      <c r="F449" s="926" t="s">
        <v>468</v>
      </c>
      <c r="G449" s="813" t="s">
        <v>609</v>
      </c>
      <c r="H449" s="191" t="s">
        <v>509</v>
      </c>
      <c r="I449" s="243"/>
      <c r="J449" s="243"/>
      <c r="K449" s="573">
        <v>786050</v>
      </c>
      <c r="L449" s="574" t="s">
        <v>9</v>
      </c>
      <c r="M449" s="574" t="s">
        <v>8</v>
      </c>
      <c r="N449" s="51" t="str">
        <f>IF(AND('331-CT'!$E$7=TH!H449,OR(L449="331",M449="331")),"331",IF(AND(OR(L449="131",M449="131"),H449='131-CT'!$E$7),"131",""))</f>
        <v/>
      </c>
      <c r="O449" s="51" t="str">
        <f>IF(AND($B449&gt;='111'!$N$11,$B449&lt;='111'!$O$11,OR($L449=$O$7,$M449=$O$7)),"x","")</f>
        <v/>
      </c>
      <c r="P449" s="51" t="str">
        <f>IF(AND($L449=$O$7,$B449&lt;'111'!$N$11),"x","")</f>
        <v/>
      </c>
      <c r="Q449" s="51" t="str">
        <f>IF(AND($M449=$O$7,$B449&lt;'111'!$N$11),"x","")</f>
        <v/>
      </c>
      <c r="R449" s="51" t="str">
        <f>IF(ISERROR(FIND('112'!$M$9,G449,1)),"",IF((AND(FIND('112'!$M$9,G449,1)&gt;=1,$B449&gt;='112'!$N$8,$B449&lt;='112'!$O$8,OR($L449='112'!$I$6,$M449='112'!$I$6))),"x",""))</f>
        <v/>
      </c>
      <c r="S449" s="51" t="str">
        <f>IF(ISERROR(FIND('112'!$M$9,G449,1)),"",IF((AND(LEFT(G449,2)=LEFT('112'!$M$9,2),B449&lt;'112'!$N$8,$L449='112'!$I$6)),"x",""))</f>
        <v/>
      </c>
      <c r="T449" s="51" t="str">
        <f>IF(ISERROR(FIND('112'!$M$9,G449,1)),"",IF((AND(RIGHT(G449,2)=RIGHT('112'!$M$9,2),B449&lt;'112'!$N$8,$M449='112'!$I$6)),"x",""))</f>
        <v/>
      </c>
      <c r="U449" s="51" t="str">
        <f>IF(AND(L449="154",'154'!$O$5&lt;=B449,'154'!$P$5&gt;=B449),"154",IF(AND(L449="632",'632'!$L$5&lt;=B449,'632'!$M$5&gt;=B449),"632",IF(AND(L449="642",'642'!$N$5&lt;=B449,'642'!$O$5&gt;=B449),"642",IF(AND(L449="641",'641'!$N$5&lt;=B449,'641'!$O$5&gt;=B449),"641",""))))</f>
        <v/>
      </c>
      <c r="V449" s="51" t="str">
        <f>IF(OR(TH!L449=TH!$V$7,M449=TH!$V$7),"x","")</f>
        <v/>
      </c>
      <c r="W449" s="51" t="str">
        <f>IF(AND(B449&gt;='IN-NX'!$P$3,B449&lt;='IN-NX'!$Q$3,'IN-NX'!$D$7=D449,OR(LEFT(L449,2)="15",AND(LEFT(M449,2)&lt;&gt;"15",LEFT(M449,2)&lt;&gt;"33"))),"x","")</f>
        <v/>
      </c>
      <c r="X449" s="51" t="str">
        <f>IF(AND(OR(LEFT(TH!L449,2)="15",LEFT(TH!M449,2)="15"),'152-CT'!$J$8=TH!F449),"x","")</f>
        <v/>
      </c>
      <c r="Y449" s="51" t="str">
        <f>IF(AND(OR(LEFT(TH!L449,2)="15",LEFT(TH!M449,2)="15"),TK!$E$7=TH!F449),"x","")</f>
        <v/>
      </c>
      <c r="Z449" s="51" t="str">
        <f>IF(AND(B449&lt;=NKC!$N$8,B449&gt;=NKC!$M$8),"x","")</f>
        <v>x</v>
      </c>
      <c r="AA449" s="803">
        <v>3</v>
      </c>
      <c r="AB449" s="565"/>
    </row>
    <row r="450" spans="1:31" ht="15.75" customHeight="1">
      <c r="A450" s="804" t="str">
        <f>IF(B450&lt;&gt;"",IF(AND(B450&gt;=_TM1,B450&lt;=_TM2,OR(TH!L450="1111",TH!M450="1111")),TH!D450,""),"")</f>
        <v>C08</v>
      </c>
      <c r="B450" s="36">
        <f t="shared" si="28"/>
        <v>7</v>
      </c>
      <c r="C450" s="189">
        <f t="shared" si="29"/>
        <v>42213</v>
      </c>
      <c r="D450" s="189" t="s">
        <v>1351</v>
      </c>
      <c r="E450" s="189">
        <v>42213</v>
      </c>
      <c r="F450" s="926" t="s">
        <v>460</v>
      </c>
      <c r="G450" s="813" t="s">
        <v>611</v>
      </c>
      <c r="H450" s="191" t="s">
        <v>492</v>
      </c>
      <c r="I450" s="243"/>
      <c r="J450" s="243"/>
      <c r="K450" s="573">
        <v>6363647</v>
      </c>
      <c r="L450" s="574" t="s">
        <v>83</v>
      </c>
      <c r="M450" s="574" t="s">
        <v>47</v>
      </c>
      <c r="N450" s="51" t="str">
        <f>IF(AND('331-CT'!$E$7=TH!H450,OR(L450="331",M450="331")),"331",IF(AND(OR(L450="131",M450="131"),H450='131-CT'!$E$7),"131",""))</f>
        <v/>
      </c>
      <c r="O450" s="51" t="str">
        <f>IF(AND($B450&gt;='111'!$N$11,$B450&lt;='111'!$O$11,OR($L450=$O$7,$M450=$O$7)),"x","")</f>
        <v/>
      </c>
      <c r="P450" s="51" t="str">
        <f>IF(AND($L450=$O$7,$B450&lt;'111'!$N$11),"x","")</f>
        <v/>
      </c>
      <c r="Q450" s="51" t="str">
        <f>IF(AND($M450=$O$7,$B450&lt;'111'!$N$11),"x","")</f>
        <v>x</v>
      </c>
      <c r="R450" s="51" t="str">
        <f>IF(ISERROR(FIND('112'!$M$9,G450,1)),"",IF((AND(FIND('112'!$M$9,G450,1)&gt;=1,$B450&gt;='112'!$N$8,$B450&lt;='112'!$O$8,OR($L450='112'!$I$6,$M450='112'!$I$6))),"x",""))</f>
        <v/>
      </c>
      <c r="S450" s="51" t="str">
        <f>IF(ISERROR(FIND('112'!$M$9,G450,1)),"",IF((AND(LEFT(G450,2)=LEFT('112'!$M$9,2),B450&lt;'112'!$N$8,$L450='112'!$I$6)),"x",""))</f>
        <v/>
      </c>
      <c r="T450" s="51" t="str">
        <f>IF(ISERROR(FIND('112'!$M$9,G450,1)),"",IF((AND(RIGHT(G450,2)=RIGHT('112'!$M$9,2),B450&lt;'112'!$N$8,$M450='112'!$I$6)),"x",""))</f>
        <v/>
      </c>
      <c r="U450" s="51" t="str">
        <f>IF(AND(L450="154",'154'!$O$5&lt;=B450,'154'!$P$5&gt;=B450),"154",IF(AND(L450="632",'632'!$L$5&lt;=B450,'632'!$M$5&gt;=B450),"632",IF(AND(L450="642",'642'!$N$5&lt;=B450,'642'!$O$5&gt;=B450),"642",IF(AND(L450="641",'641'!$N$5&lt;=B450,'641'!$O$5&gt;=B450),"641",""))))</f>
        <v/>
      </c>
      <c r="V450" s="51" t="str">
        <f>IF(OR(TH!L450=TH!$V$7,M450=TH!$V$7),"x","")</f>
        <v>x</v>
      </c>
      <c r="W450" s="51" t="str">
        <f>IF(AND(B450&gt;='IN-NX'!$P$3,B450&lt;='IN-NX'!$Q$3,'IN-NX'!$D$7=D450,OR(LEFT(L450,2)="15",AND(LEFT(M450,2)&lt;&gt;"15",LEFT(M450,2)&lt;&gt;"33"))),"x","")</f>
        <v/>
      </c>
      <c r="X450" s="51" t="str">
        <f>IF(AND(OR(LEFT(TH!L450,2)="15",LEFT(TH!M450,2)="15"),'152-CT'!$J$8=TH!F450),"x","")</f>
        <v/>
      </c>
      <c r="Y450" s="51" t="str">
        <f>IF(AND(OR(LEFT(TH!L450,2)="15",LEFT(TH!M450,2)="15"),TK!$E$7=TH!F450),"x","")</f>
        <v/>
      </c>
      <c r="Z450" s="51" t="str">
        <f>IF(AND(B450&lt;=NKC!$N$8,B450&gt;=NKC!$M$8),"x","")</f>
        <v>x</v>
      </c>
      <c r="AA450" s="803"/>
      <c r="AB450" s="565"/>
    </row>
    <row r="451" spans="1:31" ht="15.75" customHeight="1">
      <c r="A451" s="804" t="str">
        <f>IF(B451&lt;&gt;"",IF(AND(B451&gt;=_TM1,B451&lt;=_TM2,OR(TH!L451="1111",TH!M451="1111")),TH!D451,""),"")</f>
        <v>C08</v>
      </c>
      <c r="B451" s="36">
        <f t="shared" si="28"/>
        <v>7</v>
      </c>
      <c r="C451" s="189">
        <f t="shared" si="29"/>
        <v>42213</v>
      </c>
      <c r="D451" s="189" t="s">
        <v>1351</v>
      </c>
      <c r="E451" s="189">
        <v>42213</v>
      </c>
      <c r="F451" s="922" t="s">
        <v>461</v>
      </c>
      <c r="G451" s="813" t="s">
        <v>611</v>
      </c>
      <c r="H451" s="191" t="s">
        <v>492</v>
      </c>
      <c r="I451" s="243"/>
      <c r="J451" s="243"/>
      <c r="K451" s="573">
        <v>636364</v>
      </c>
      <c r="L451" s="574" t="s">
        <v>9</v>
      </c>
      <c r="M451" s="574" t="s">
        <v>47</v>
      </c>
      <c r="N451" s="51" t="str">
        <f>IF(AND('331-CT'!$E$7=TH!H451,OR(L451="331",M451="331")),"331",IF(AND(OR(L451="131",M451="131"),H451='131-CT'!$E$7),"131",""))</f>
        <v/>
      </c>
      <c r="O451" s="51" t="str">
        <f>IF(AND($B451&gt;='111'!$N$11,$B451&lt;='111'!$O$11,OR($L451=$O$7,$M451=$O$7)),"x","")</f>
        <v/>
      </c>
      <c r="P451" s="51" t="str">
        <f>IF(AND($L451=$O$7,$B451&lt;'111'!$N$11),"x","")</f>
        <v/>
      </c>
      <c r="Q451" s="51" t="str">
        <f>IF(AND($M451=$O$7,$B451&lt;'111'!$N$11),"x","")</f>
        <v>x</v>
      </c>
      <c r="R451" s="51" t="str">
        <f>IF(ISERROR(FIND('112'!$M$9,G451,1)),"",IF((AND(FIND('112'!$M$9,G451,1)&gt;=1,$B451&gt;='112'!$N$8,$B451&lt;='112'!$O$8,OR($L451='112'!$I$6,$M451='112'!$I$6))),"x",""))</f>
        <v/>
      </c>
      <c r="S451" s="51" t="str">
        <f>IF(ISERROR(FIND('112'!$M$9,G451,1)),"",IF((AND(LEFT(G451,2)=LEFT('112'!$M$9,2),B451&lt;'112'!$N$8,$L451='112'!$I$6)),"x",""))</f>
        <v/>
      </c>
      <c r="T451" s="51" t="str">
        <f>IF(ISERROR(FIND('112'!$M$9,G451,1)),"",IF((AND(RIGHT(G451,2)=RIGHT('112'!$M$9,2),B451&lt;'112'!$N$8,$M451='112'!$I$6)),"x",""))</f>
        <v/>
      </c>
      <c r="U451" s="51" t="str">
        <f>IF(AND(L451="154",'154'!$O$5&lt;=B451,'154'!$P$5&gt;=B451),"154",IF(AND(L451="632",'632'!$L$5&lt;=B451,'632'!$M$5&gt;=B451),"632",IF(AND(L451="642",'642'!$N$5&lt;=B451,'642'!$O$5&gt;=B451),"642",IF(AND(L451="641",'641'!$N$5&lt;=B451,'641'!$O$5&gt;=B451),"641",""))))</f>
        <v/>
      </c>
      <c r="V451" s="51" t="str">
        <f>IF(OR(TH!L451=TH!$V$7,M451=TH!$V$7),"x","")</f>
        <v/>
      </c>
      <c r="W451" s="51" t="str">
        <f>IF(AND(B451&gt;='IN-NX'!$P$3,B451&lt;='IN-NX'!$Q$3,'IN-NX'!$D$7=D451,OR(LEFT(L451,2)="15",AND(LEFT(M451,2)&lt;&gt;"15",LEFT(M451,2)&lt;&gt;"33"))),"x","")</f>
        <v/>
      </c>
      <c r="X451" s="51" t="str">
        <f>IF(AND(OR(LEFT(TH!L451,2)="15",LEFT(TH!M451,2)="15"),'152-CT'!$J$8=TH!F451),"x","")</f>
        <v/>
      </c>
      <c r="Y451" s="51" t="str">
        <f>IF(AND(OR(LEFT(TH!L451,2)="15",LEFT(TH!M451,2)="15"),TK!$E$7=TH!F451),"x","")</f>
        <v/>
      </c>
      <c r="Z451" s="51" t="str">
        <f>IF(AND(B451&lt;=NKC!$N$8,B451&gt;=NKC!$M$8),"x","")</f>
        <v>x</v>
      </c>
      <c r="AA451" s="803">
        <v>3</v>
      </c>
      <c r="AB451" s="565"/>
    </row>
    <row r="452" spans="1:31" ht="15.75" customHeight="1">
      <c r="A452" s="804" t="str">
        <f>IF(B452&lt;&gt;"",IF(AND(B452&gt;=_TM1,B452&lt;=_TM2,OR(TH!L452="1111",TH!M452="1111")),TH!D452,""),"")</f>
        <v/>
      </c>
      <c r="B452" s="820">
        <f t="shared" si="28"/>
        <v>7</v>
      </c>
      <c r="C452" s="821">
        <f t="shared" si="29"/>
        <v>42215</v>
      </c>
      <c r="D452" s="821" t="s">
        <v>421</v>
      </c>
      <c r="E452" s="848">
        <v>42215</v>
      </c>
      <c r="F452" s="918" t="s">
        <v>423</v>
      </c>
      <c r="G452" s="823" t="s">
        <v>415</v>
      </c>
      <c r="H452" s="824" t="s">
        <v>450</v>
      </c>
      <c r="I452" s="825"/>
      <c r="J452" s="825"/>
      <c r="K452" s="919">
        <v>19000000</v>
      </c>
      <c r="L452" s="920" t="s">
        <v>24</v>
      </c>
      <c r="M452" s="920" t="s">
        <v>250</v>
      </c>
      <c r="N452" s="51" t="str">
        <f>IF(AND('331-CT'!$E$7=TH!H452,OR(L452="331",M452="331")),"331",IF(AND(OR(L452="131",M452="131"),H452='131-CT'!$E$7),"131",""))</f>
        <v/>
      </c>
      <c r="O452" s="51" t="str">
        <f>IF(AND($B452&gt;='111'!$N$11,$B452&lt;='111'!$O$11,OR($L452=$O$7,$M452=$O$7)),"x","")</f>
        <v/>
      </c>
      <c r="P452" s="51" t="str">
        <f>IF(AND($L452=$O$7,$B452&lt;'111'!$N$11),"x","")</f>
        <v/>
      </c>
      <c r="Q452" s="51" t="str">
        <f>IF(AND($M452=$O$7,$B452&lt;'111'!$N$11),"x","")</f>
        <v/>
      </c>
      <c r="R452" s="51" t="str">
        <f>IF(ISERROR(FIND('112'!$M$9,G452,1)),"",IF((AND(FIND('112'!$M$9,G452,1)&gt;=1,$B452&gt;='112'!$N$8,$B452&lt;='112'!$O$8,OR($L452='112'!$I$6,$M452='112'!$I$6))),"x",""))</f>
        <v/>
      </c>
      <c r="S452" s="51" t="str">
        <f>IF(ISERROR(FIND('112'!$M$9,G452,1)),"",IF((AND(LEFT(G452,2)=LEFT('112'!$M$9,2),B452&lt;'112'!$N$8,$L452='112'!$I$6)),"x",""))</f>
        <v/>
      </c>
      <c r="T452" s="51" t="str">
        <f>IF(ISERROR(FIND('112'!$M$9,G452,1)),"",IF((AND(RIGHT(G452,2)=RIGHT('112'!$M$9,2),B452&lt;'112'!$N$8,$M452='112'!$I$6)),"x",""))</f>
        <v/>
      </c>
      <c r="U452" s="51" t="str">
        <f>IF(AND(L452="154",'154'!$O$5&lt;=B452,'154'!$P$5&gt;=B452),"154",IF(AND(L452="632",'632'!$L$5&lt;=B452,'632'!$M$5&gt;=B452),"632",IF(AND(L452="642",'642'!$N$5&lt;=B452,'642'!$O$5&gt;=B452),"642",IF(AND(L452="641",'641'!$N$5&lt;=B452,'641'!$O$5&gt;=B452),"641",""))))</f>
        <v/>
      </c>
      <c r="V452" s="51" t="str">
        <f>IF(OR(TH!L452=TH!$V$7,M452=TH!$V$7),"x","")</f>
        <v/>
      </c>
      <c r="W452" s="51" t="str">
        <f>IF(AND(B452&gt;='IN-NX'!$P$3,B452&lt;='IN-NX'!$Q$3,'IN-NX'!$D$7=D452,OR(LEFT(L452,2)="15",AND(LEFT(M452,2)&lt;&gt;"15",LEFT(M452,2)&lt;&gt;"33"))),"x","")</f>
        <v/>
      </c>
      <c r="X452" s="51" t="str">
        <f>IF(AND(OR(LEFT(TH!L452,2)="15",LEFT(TH!M452,2)="15"),'152-CT'!$J$8=TH!F452),"x","")</f>
        <v/>
      </c>
      <c r="Y452" s="51" t="str">
        <f>IF(AND(OR(LEFT(TH!L452,2)="15",LEFT(TH!M452,2)="15"),TK!$E$7=TH!F452),"x","")</f>
        <v/>
      </c>
      <c r="Z452" s="51" t="str">
        <f>IF(AND(B452&lt;=NKC!$N$8,B452&gt;=NKC!$M$8),"x","")</f>
        <v>x</v>
      </c>
      <c r="AA452" s="826"/>
      <c r="AB452" s="827"/>
      <c r="AC452" s="828"/>
      <c r="AD452" s="827"/>
      <c r="AE452" s="827"/>
    </row>
    <row r="453" spans="1:31" ht="15.75" customHeight="1">
      <c r="A453" s="804" t="str">
        <f>IF(B453&lt;&gt;"",IF(AND(B453&gt;=_TM1,B453&lt;=_TM2,OR(TH!L453="1111",TH!M453="1111")),TH!D453,""),"")</f>
        <v>T12</v>
      </c>
      <c r="B453" s="36">
        <f t="shared" si="28"/>
        <v>7</v>
      </c>
      <c r="C453" s="189">
        <f t="shared" si="29"/>
        <v>42215</v>
      </c>
      <c r="D453" s="189" t="s">
        <v>1358</v>
      </c>
      <c r="E453" s="182">
        <v>42215</v>
      </c>
      <c r="F453" s="187" t="s">
        <v>427</v>
      </c>
      <c r="G453" s="811" t="s">
        <v>415</v>
      </c>
      <c r="H453" s="7" t="s">
        <v>437</v>
      </c>
      <c r="I453" s="243"/>
      <c r="J453" s="243"/>
      <c r="K453" s="38">
        <v>15000000</v>
      </c>
      <c r="L453" s="192" t="s">
        <v>47</v>
      </c>
      <c r="M453" s="192" t="s">
        <v>24</v>
      </c>
      <c r="N453" s="51" t="str">
        <f>IF(AND('331-CT'!$E$7=TH!H453,OR(L453="331",M453="331")),"331",IF(AND(OR(L453="131",M453="131"),H453='131-CT'!$E$7),"131",""))</f>
        <v/>
      </c>
      <c r="O453" s="51" t="str">
        <f>IF(AND($B453&gt;='111'!$N$11,$B453&lt;='111'!$O$11,OR($L453=$O$7,$M453=$O$7)),"x","")</f>
        <v/>
      </c>
      <c r="P453" s="51" t="str">
        <f>IF(AND($L453=$O$7,$B453&lt;'111'!$N$11),"x","")</f>
        <v>x</v>
      </c>
      <c r="Q453" s="51" t="str">
        <f>IF(AND($M453=$O$7,$B453&lt;'111'!$N$11),"x","")</f>
        <v/>
      </c>
      <c r="R453" s="51" t="str">
        <f>IF(ISERROR(FIND('112'!$M$9,G453,1)),"",IF((AND(FIND('112'!$M$9,G453,1)&gt;=1,$B453&gt;='112'!$N$8,$B453&lt;='112'!$O$8,OR($L453='112'!$I$6,$M453='112'!$I$6))),"x",""))</f>
        <v/>
      </c>
      <c r="S453" s="51" t="str">
        <f>IF(ISERROR(FIND('112'!$M$9,G453,1)),"",IF((AND(LEFT(G453,2)=LEFT('112'!$M$9,2),B453&lt;'112'!$N$8,$L453='112'!$I$6)),"x",""))</f>
        <v/>
      </c>
      <c r="T453" s="51" t="str">
        <f>IF(ISERROR(FIND('112'!$M$9,G453,1)),"",IF((AND(RIGHT(G453,2)=RIGHT('112'!$M$9,2),B453&lt;'112'!$N$8,$M453='112'!$I$6)),"x",""))</f>
        <v/>
      </c>
      <c r="U453" s="51" t="str">
        <f>IF(AND(L453="154",'154'!$O$5&lt;=B453,'154'!$P$5&gt;=B453),"154",IF(AND(L453="632",'632'!$L$5&lt;=B453,'632'!$M$5&gt;=B453),"632",IF(AND(L453="642",'642'!$N$5&lt;=B453,'642'!$O$5&gt;=B453),"642",IF(AND(L453="641",'641'!$N$5&lt;=B453,'641'!$O$5&gt;=B453),"641",""))))</f>
        <v/>
      </c>
      <c r="V453" s="51" t="str">
        <f>IF(OR(TH!L453=TH!$V$7,M453=TH!$V$7),"x","")</f>
        <v/>
      </c>
      <c r="W453" s="51" t="str">
        <f>IF(AND(B453&gt;='IN-NX'!$P$3,B453&lt;='IN-NX'!$Q$3,'IN-NX'!$D$7=D453,OR(LEFT(L453,2)="15",AND(LEFT(M453,2)&lt;&gt;"15",LEFT(M453,2)&lt;&gt;"33"))),"x","")</f>
        <v/>
      </c>
      <c r="X453" s="51" t="str">
        <f>IF(AND(OR(LEFT(TH!L453,2)="15",LEFT(TH!M453,2)="15"),'152-CT'!$J$8=TH!F453),"x","")</f>
        <v/>
      </c>
      <c r="Y453" s="51" t="str">
        <f>IF(AND(OR(LEFT(TH!L453,2)="15",LEFT(TH!M453,2)="15"),TK!$E$7=TH!F453),"x","")</f>
        <v/>
      </c>
      <c r="Z453" s="51" t="str">
        <f>IF(AND(B453&lt;=NKC!$N$8,B453&gt;=NKC!$M$8),"x","")</f>
        <v>x</v>
      </c>
      <c r="AA453" s="803"/>
      <c r="AD453" s="565"/>
      <c r="AE453" s="565"/>
    </row>
    <row r="454" spans="1:31" ht="15.75" customHeight="1">
      <c r="A454" s="804" t="str">
        <f>IF(B454&lt;&gt;"",IF(AND(B454&gt;=_TM1,B454&lt;=_TM2,OR(TH!L454="1111",TH!M454="1111")),TH!D454,""),"")</f>
        <v/>
      </c>
      <c r="B454" s="36">
        <f t="shared" si="28"/>
        <v>7</v>
      </c>
      <c r="C454" s="853">
        <f t="shared" si="29"/>
        <v>42216</v>
      </c>
      <c r="D454" s="853" t="s">
        <v>319</v>
      </c>
      <c r="E454" s="853">
        <v>42216</v>
      </c>
      <c r="F454" s="854" t="s">
        <v>1262</v>
      </c>
      <c r="G454" s="855"/>
      <c r="H454" s="856"/>
      <c r="I454" s="857"/>
      <c r="J454" s="857"/>
      <c r="K454" s="858">
        <v>11760000</v>
      </c>
      <c r="L454" s="859" t="s">
        <v>83</v>
      </c>
      <c r="M454" s="859" t="s">
        <v>252</v>
      </c>
      <c r="N454" s="51" t="str">
        <f>IF(AND('331-CT'!$E$7=TH!H454,OR(L454="331",M454="331")),"331",IF(AND(OR(L454="131",M454="131"),H454='131-CT'!$E$7),"131",""))</f>
        <v/>
      </c>
      <c r="O454" s="51" t="str">
        <f>IF(AND($B454&gt;='111'!$N$11,$B454&lt;='111'!$O$11,OR($L454=$O$7,$M454=$O$7)),"x","")</f>
        <v/>
      </c>
      <c r="P454" s="51" t="str">
        <f>IF(AND($L454=$O$7,$B454&lt;'111'!$N$11),"x","")</f>
        <v/>
      </c>
      <c r="Q454" s="51" t="str">
        <f>IF(AND($M454=$O$7,$B454&lt;'111'!$N$11),"x","")</f>
        <v/>
      </c>
      <c r="R454" s="51" t="str">
        <f>IF(ISERROR(FIND('112'!$M$9,G454,1)),"",IF((AND(FIND('112'!$M$9,G454,1)&gt;=1,$B454&gt;='112'!$N$8,$B454&lt;='112'!$O$8,OR($L454='112'!$I$6,$M454='112'!$I$6))),"x",""))</f>
        <v/>
      </c>
      <c r="S454" s="51" t="str">
        <f>IF(ISERROR(FIND('112'!$M$9,G454,1)),"",IF((AND(LEFT(G454,2)=LEFT('112'!$M$9,2),B454&lt;'112'!$N$8,$L454='112'!$I$6)),"x",""))</f>
        <v/>
      </c>
      <c r="T454" s="51" t="str">
        <f>IF(ISERROR(FIND('112'!$M$9,G454,1)),"",IF((AND(RIGHT(G454,2)=RIGHT('112'!$M$9,2),B454&lt;'112'!$N$8,$M454='112'!$I$6)),"x",""))</f>
        <v/>
      </c>
      <c r="U454" s="51" t="str">
        <f>IF(AND(L454="154",'154'!$O$5&lt;=B454,'154'!$P$5&gt;=B454),"154",IF(AND(L454="632",'632'!$L$5&lt;=B454,'632'!$M$5&gt;=B454),"632",IF(AND(L454="642",'642'!$N$5&lt;=B454,'642'!$O$5&gt;=B454),"642",IF(AND(L454="641",'641'!$N$5&lt;=B454,'641'!$O$5&gt;=B454),"641",""))))</f>
        <v/>
      </c>
      <c r="V454" s="51" t="str">
        <f>IF(OR(TH!L454=TH!$V$7,M454=TH!$V$7),"x","")</f>
        <v>x</v>
      </c>
      <c r="W454" s="51" t="str">
        <f>IF(AND(B454&gt;='IN-NX'!$P$3,B454&lt;='IN-NX'!$Q$3,'IN-NX'!$D$7=D454,OR(LEFT(L454,2)="15",AND(LEFT(M454,2)&lt;&gt;"15",LEFT(M454,2)&lt;&gt;"33"))),"x","")</f>
        <v/>
      </c>
      <c r="X454" s="51" t="str">
        <f>IF(AND(OR(LEFT(TH!L454,2)="15",LEFT(TH!M454,2)="15"),'152-CT'!$J$8=TH!F454),"x","")</f>
        <v/>
      </c>
      <c r="Y454" s="51" t="str">
        <f>IF(AND(OR(LEFT(TH!L454,2)="15",LEFT(TH!M454,2)="15"),TK!$E$7=TH!F454),"x","")</f>
        <v/>
      </c>
      <c r="Z454" s="51" t="str">
        <f>IF(AND(B454&lt;=NKC!$N$8,B454&gt;=NKC!$M$8),"x","")</f>
        <v>x</v>
      </c>
      <c r="AA454" s="860"/>
      <c r="AB454" s="565"/>
      <c r="AE454" s="565"/>
    </row>
    <row r="455" spans="1:31" ht="15.75" customHeight="1">
      <c r="A455" s="804" t="str">
        <f>IF(B455&lt;&gt;"",IF(AND(B455&gt;=_TM1,B455&lt;=_TM2,OR(TH!L455="1111",TH!M455="1111")),TH!D455,""),"")</f>
        <v/>
      </c>
      <c r="B455" s="36">
        <f t="shared" si="28"/>
        <v>7</v>
      </c>
      <c r="C455" s="853">
        <f t="shared" si="29"/>
        <v>42216</v>
      </c>
      <c r="D455" s="853" t="s">
        <v>319</v>
      </c>
      <c r="E455" s="853">
        <v>42216</v>
      </c>
      <c r="F455" s="854" t="s">
        <v>1263</v>
      </c>
      <c r="G455" s="855"/>
      <c r="H455" s="856"/>
      <c r="I455" s="857"/>
      <c r="J455" s="857"/>
      <c r="K455" s="858">
        <v>3040000</v>
      </c>
      <c r="L455" s="859" t="s">
        <v>160</v>
      </c>
      <c r="M455" s="859" t="s">
        <v>252</v>
      </c>
      <c r="N455" s="51" t="str">
        <f>IF(AND('331-CT'!$E$7=TH!H455,OR(L455="331",M455="331")),"331",IF(AND(OR(L455="131",M455="131"),H455='131-CT'!$E$7),"131",""))</f>
        <v/>
      </c>
      <c r="O455" s="51" t="str">
        <f>IF(AND($B455&gt;='111'!$N$11,$B455&lt;='111'!$O$11,OR($L455=$O$7,$M455=$O$7)),"x","")</f>
        <v/>
      </c>
      <c r="P455" s="51" t="str">
        <f>IF(AND($L455=$O$7,$B455&lt;'111'!$N$11),"x","")</f>
        <v/>
      </c>
      <c r="Q455" s="51" t="str">
        <f>IF(AND($M455=$O$7,$B455&lt;'111'!$N$11),"x","")</f>
        <v/>
      </c>
      <c r="R455" s="51" t="str">
        <f>IF(ISERROR(FIND('112'!$M$9,G455,1)),"",IF((AND(FIND('112'!$M$9,G455,1)&gt;=1,$B455&gt;='112'!$N$8,$B455&lt;='112'!$O$8,OR($L455='112'!$I$6,$M455='112'!$I$6))),"x",""))</f>
        <v/>
      </c>
      <c r="S455" s="51" t="str">
        <f>IF(ISERROR(FIND('112'!$M$9,G455,1)),"",IF((AND(LEFT(G455,2)=LEFT('112'!$M$9,2),B455&lt;'112'!$N$8,$L455='112'!$I$6)),"x",""))</f>
        <v/>
      </c>
      <c r="T455" s="51" t="str">
        <f>IF(ISERROR(FIND('112'!$M$9,G455,1)),"",IF((AND(RIGHT(G455,2)=RIGHT('112'!$M$9,2),B455&lt;'112'!$N$8,$M455='112'!$I$6)),"x",""))</f>
        <v/>
      </c>
      <c r="U455" s="51" t="str">
        <f>IF(AND(L455="154",'154'!$O$5&lt;=B455,'154'!$P$5&gt;=B455),"154",IF(AND(L455="632",'632'!$L$5&lt;=B455,'632'!$M$5&gt;=B455),"632",IF(AND(L455="642",'642'!$N$5&lt;=B455,'642'!$O$5&gt;=B455),"642",IF(AND(L455="641",'641'!$N$5&lt;=B455,'641'!$O$5&gt;=B455),"641",""))))</f>
        <v/>
      </c>
      <c r="V455" s="51" t="str">
        <f>IF(OR(TH!L455=TH!$V$7,M455=TH!$V$7),"x","")</f>
        <v/>
      </c>
      <c r="W455" s="51" t="str">
        <f>IF(AND(B455&gt;='IN-NX'!$P$3,B455&lt;='IN-NX'!$Q$3,'IN-NX'!$D$7=D455,OR(LEFT(L455,2)="15",AND(LEFT(M455,2)&lt;&gt;"15",LEFT(M455,2)&lt;&gt;"33"))),"x","")</f>
        <v/>
      </c>
      <c r="X455" s="51" t="str">
        <f>IF(AND(OR(LEFT(TH!L455,2)="15",LEFT(TH!M455,2)="15"),'152-CT'!$J$8=TH!F455),"x","")</f>
        <v/>
      </c>
      <c r="Y455" s="51" t="str">
        <f>IF(AND(OR(LEFT(TH!L455,2)="15",LEFT(TH!M455,2)="15"),TK!$E$7=TH!F455),"x","")</f>
        <v/>
      </c>
      <c r="Z455" s="51" t="str">
        <f>IF(AND(B455&lt;=NKC!$N$8,B455&gt;=NKC!$M$8),"x","")</f>
        <v>x</v>
      </c>
      <c r="AA455" s="860"/>
      <c r="AB455" s="565"/>
      <c r="AE455" s="565"/>
    </row>
    <row r="456" spans="1:31" ht="15.75" customHeight="1">
      <c r="A456" s="804" t="str">
        <f>IF(B456&lt;&gt;"",IF(AND(B456&gt;=_TM1,B456&lt;=_TM2,OR(TH!L456="1111",TH!M456="1111")),TH!D456,""),"")</f>
        <v>C09</v>
      </c>
      <c r="B456" s="36">
        <f t="shared" si="28"/>
        <v>7</v>
      </c>
      <c r="C456" s="853">
        <f t="shared" si="29"/>
        <v>42216</v>
      </c>
      <c r="D456" s="861" t="s">
        <v>1354</v>
      </c>
      <c r="E456" s="853">
        <v>42216</v>
      </c>
      <c r="F456" s="854" t="s">
        <v>1271</v>
      </c>
      <c r="G456" s="855"/>
      <c r="H456" s="7" t="s">
        <v>437</v>
      </c>
      <c r="I456" s="857"/>
      <c r="J456" s="857"/>
      <c r="K456" s="858">
        <f>K454+K455</f>
        <v>14800000</v>
      </c>
      <c r="L456" s="859" t="s">
        <v>252</v>
      </c>
      <c r="M456" s="859" t="s">
        <v>47</v>
      </c>
      <c r="N456" s="51" t="str">
        <f>IF(AND('331-CT'!$E$7=TH!H456,OR(L456="331",M456="331")),"331",IF(AND(OR(L456="131",M456="131"),H456='131-CT'!$E$7),"131",""))</f>
        <v/>
      </c>
      <c r="O456" s="51" t="str">
        <f>IF(AND($B456&gt;='111'!$N$11,$B456&lt;='111'!$O$11,OR($L456=$O$7,$M456=$O$7)),"x","")</f>
        <v/>
      </c>
      <c r="P456" s="51" t="str">
        <f>IF(AND($L456=$O$7,$B456&lt;'111'!$N$11),"x","")</f>
        <v/>
      </c>
      <c r="Q456" s="51" t="str">
        <f>IF(AND($M456=$O$7,$B456&lt;'111'!$N$11),"x","")</f>
        <v>x</v>
      </c>
      <c r="R456" s="51" t="str">
        <f>IF(ISERROR(FIND('112'!$M$9,G456,1)),"",IF((AND(FIND('112'!$M$9,G456,1)&gt;=1,$B456&gt;='112'!$N$8,$B456&lt;='112'!$O$8,OR($L456='112'!$I$6,$M456='112'!$I$6))),"x",""))</f>
        <v/>
      </c>
      <c r="S456" s="51" t="str">
        <f>IF(ISERROR(FIND('112'!$M$9,G456,1)),"",IF((AND(LEFT(G456,2)=LEFT('112'!$M$9,2),B456&lt;'112'!$N$8,$L456='112'!$I$6)),"x",""))</f>
        <v/>
      </c>
      <c r="T456" s="51" t="str">
        <f>IF(ISERROR(FIND('112'!$M$9,G456,1)),"",IF((AND(RIGHT(G456,2)=RIGHT('112'!$M$9,2),B456&lt;'112'!$N$8,$M456='112'!$I$6)),"x",""))</f>
        <v/>
      </c>
      <c r="U456" s="51" t="str">
        <f>IF(AND(L456="154",'154'!$O$5&lt;=B456,'154'!$P$5&gt;=B456),"154",IF(AND(L456="632",'632'!$L$5&lt;=B456,'632'!$M$5&gt;=B456),"632",IF(AND(L456="642",'642'!$N$5&lt;=B456,'642'!$O$5&gt;=B456),"642",IF(AND(L456="641",'641'!$N$5&lt;=B456,'641'!$O$5&gt;=B456),"641",""))))</f>
        <v/>
      </c>
      <c r="V456" s="51" t="str">
        <f>IF(OR(TH!L456=TH!$V$7,M456=TH!$V$7),"x","")</f>
        <v/>
      </c>
      <c r="W456" s="51" t="str">
        <f>IF(AND(B456&gt;='IN-NX'!$P$3,B456&lt;='IN-NX'!$Q$3,'IN-NX'!$D$7=D456,OR(LEFT(L456,2)="15",AND(LEFT(M456,2)&lt;&gt;"15",LEFT(M456,2)&lt;&gt;"33"))),"x","")</f>
        <v/>
      </c>
      <c r="X456" s="51" t="str">
        <f>IF(AND(OR(LEFT(TH!L456,2)="15",LEFT(TH!M456,2)="15"),'152-CT'!$J$8=TH!F456),"x","")</f>
        <v/>
      </c>
      <c r="Y456" s="51" t="str">
        <f>IF(AND(OR(LEFT(TH!L456,2)="15",LEFT(TH!M456,2)="15"),TK!$E$7=TH!F456),"x","")</f>
        <v/>
      </c>
      <c r="Z456" s="51" t="str">
        <f>IF(AND(B456&lt;=NKC!$N$8,B456&gt;=NKC!$M$8),"x","")</f>
        <v>x</v>
      </c>
      <c r="AA456" s="860"/>
      <c r="AB456" s="565"/>
      <c r="AE456" s="565"/>
    </row>
    <row r="457" spans="1:31" ht="15.75" customHeight="1">
      <c r="A457" s="804" t="str">
        <f>IF(B457&lt;&gt;"",IF(AND(B457&gt;=_TM1,B457&lt;=_TM2,OR(TH!L457="1111",TH!M457="1111")),TH!D457,""),"")</f>
        <v>C10</v>
      </c>
      <c r="B457" s="36">
        <f t="shared" si="28"/>
        <v>7</v>
      </c>
      <c r="C457" s="189">
        <f t="shared" si="29"/>
        <v>42216</v>
      </c>
      <c r="D457" s="189" t="s">
        <v>1355</v>
      </c>
      <c r="E457" s="189">
        <v>42216</v>
      </c>
      <c r="F457" s="922" t="s">
        <v>451</v>
      </c>
      <c r="G457" s="813" t="s">
        <v>605</v>
      </c>
      <c r="H457" s="191" t="s">
        <v>523</v>
      </c>
      <c r="I457" s="243"/>
      <c r="J457" s="243"/>
      <c r="K457" s="573">
        <f>277743+197433</f>
        <v>475176</v>
      </c>
      <c r="L457" s="574" t="s">
        <v>83</v>
      </c>
      <c r="M457" s="574" t="s">
        <v>47</v>
      </c>
      <c r="N457" s="51" t="str">
        <f>IF(AND('331-CT'!$E$7=TH!H457,OR(L457="331",M457="331")),"331",IF(AND(OR(L457="131",M457="131"),H457='131-CT'!$E$7),"131",""))</f>
        <v/>
      </c>
      <c r="O457" s="51" t="str">
        <f>IF(AND($B457&gt;='111'!$N$11,$B457&lt;='111'!$O$11,OR($L457=$O$7,$M457=$O$7)),"x","")</f>
        <v/>
      </c>
      <c r="P457" s="51" t="str">
        <f>IF(AND($L457=$O$7,$B457&lt;'111'!$N$11),"x","")</f>
        <v/>
      </c>
      <c r="Q457" s="51" t="str">
        <f>IF(AND($M457=$O$7,$B457&lt;'111'!$N$11),"x","")</f>
        <v>x</v>
      </c>
      <c r="R457" s="51" t="str">
        <f>IF(ISERROR(FIND('112'!$M$9,G457,1)),"",IF((AND(FIND('112'!$M$9,G457,1)&gt;=1,$B457&gt;='112'!$N$8,$B457&lt;='112'!$O$8,OR($L457='112'!$I$6,$M457='112'!$I$6))),"x",""))</f>
        <v/>
      </c>
      <c r="S457" s="51" t="str">
        <f>IF(ISERROR(FIND('112'!$M$9,G457,1)),"",IF((AND(LEFT(G457,2)=LEFT('112'!$M$9,2),B457&lt;'112'!$N$8,$L457='112'!$I$6)),"x",""))</f>
        <v/>
      </c>
      <c r="T457" s="51" t="str">
        <f>IF(ISERROR(FIND('112'!$M$9,G457,1)),"",IF((AND(RIGHT(G457,2)=RIGHT('112'!$M$9,2),B457&lt;'112'!$N$8,$M457='112'!$I$6)),"x",""))</f>
        <v/>
      </c>
      <c r="U457" s="51" t="str">
        <f>IF(AND(L457="154",'154'!$O$5&lt;=B457,'154'!$P$5&gt;=B457),"154",IF(AND(L457="632",'632'!$L$5&lt;=B457,'632'!$M$5&gt;=B457),"632",IF(AND(L457="642",'642'!$N$5&lt;=B457,'642'!$O$5&gt;=B457),"642",IF(AND(L457="641",'641'!$N$5&lt;=B457,'641'!$O$5&gt;=B457),"641",""))))</f>
        <v/>
      </c>
      <c r="V457" s="51" t="str">
        <f>IF(OR(TH!L457=TH!$V$7,M457=TH!$V$7),"x","")</f>
        <v>x</v>
      </c>
      <c r="W457" s="51" t="str">
        <f>IF(AND(B457&gt;='IN-NX'!$P$3,B457&lt;='IN-NX'!$Q$3,'IN-NX'!$D$7=D457,OR(LEFT(L457,2)="15",AND(LEFT(M457,2)&lt;&gt;"15",LEFT(M457,2)&lt;&gt;"33"))),"x","")</f>
        <v/>
      </c>
      <c r="X457" s="51" t="str">
        <f>IF(AND(OR(LEFT(TH!L457,2)="15",LEFT(TH!M457,2)="15"),'152-CT'!$J$8=TH!F457),"x","")</f>
        <v/>
      </c>
      <c r="Y457" s="51" t="str">
        <f>IF(AND(OR(LEFT(TH!L457,2)="15",LEFT(TH!M457,2)="15"),TK!$E$7=TH!F457),"x","")</f>
        <v/>
      </c>
      <c r="Z457" s="51" t="str">
        <f>IF(AND(B457&lt;=NKC!$N$8,B457&gt;=NKC!$M$8),"x","")</f>
        <v>x</v>
      </c>
      <c r="AA457" s="803"/>
      <c r="AB457" s="565"/>
    </row>
    <row r="458" spans="1:31" ht="15.75" customHeight="1">
      <c r="A458" s="804" t="str">
        <f>IF(B458&lt;&gt;"",IF(AND(B458&gt;=_TM1,B458&lt;=_TM2,OR(TH!L458="1111",TH!M458="1111")),TH!D458,""),"")</f>
        <v>C10</v>
      </c>
      <c r="B458" s="36">
        <f t="shared" si="28"/>
        <v>7</v>
      </c>
      <c r="C458" s="189">
        <f t="shared" si="29"/>
        <v>42216</v>
      </c>
      <c r="D458" s="189" t="s">
        <v>1355</v>
      </c>
      <c r="E458" s="189">
        <v>42216</v>
      </c>
      <c r="F458" s="190" t="s">
        <v>453</v>
      </c>
      <c r="G458" s="813" t="s">
        <v>605</v>
      </c>
      <c r="H458" s="191" t="s">
        <v>523</v>
      </c>
      <c r="I458" s="243"/>
      <c r="J458" s="243"/>
      <c r="K458" s="573">
        <f>27774+19743</f>
        <v>47517</v>
      </c>
      <c r="L458" s="574" t="s">
        <v>9</v>
      </c>
      <c r="M458" s="574" t="s">
        <v>47</v>
      </c>
      <c r="N458" s="51" t="str">
        <f>IF(AND('331-CT'!$E$7=TH!H458,OR(L458="331",M458="331")),"331",IF(AND(OR(L458="131",M458="131"),H458='131-CT'!$E$7),"131",""))</f>
        <v/>
      </c>
      <c r="O458" s="51" t="str">
        <f>IF(AND($B458&gt;='111'!$N$11,$B458&lt;='111'!$O$11,OR($L458=$O$7,$M458=$O$7)),"x","")</f>
        <v/>
      </c>
      <c r="P458" s="51" t="str">
        <f>IF(AND($L458=$O$7,$B458&lt;'111'!$N$11),"x","")</f>
        <v/>
      </c>
      <c r="Q458" s="51" t="str">
        <f>IF(AND($M458=$O$7,$B458&lt;'111'!$N$11),"x","")</f>
        <v>x</v>
      </c>
      <c r="R458" s="51" t="str">
        <f>IF(ISERROR(FIND('112'!$M$9,G458,1)),"",IF((AND(FIND('112'!$M$9,G458,1)&gt;=1,$B458&gt;='112'!$N$8,$B458&lt;='112'!$O$8,OR($L458='112'!$I$6,$M458='112'!$I$6))),"x",""))</f>
        <v/>
      </c>
      <c r="S458" s="51" t="str">
        <f>IF(ISERROR(FIND('112'!$M$9,G458,1)),"",IF((AND(LEFT(G458,2)=LEFT('112'!$M$9,2),B458&lt;'112'!$N$8,$L458='112'!$I$6)),"x",""))</f>
        <v/>
      </c>
      <c r="T458" s="51" t="str">
        <f>IF(ISERROR(FIND('112'!$M$9,G458,1)),"",IF((AND(RIGHT(G458,2)=RIGHT('112'!$M$9,2),B458&lt;'112'!$N$8,$M458='112'!$I$6)),"x",""))</f>
        <v/>
      </c>
      <c r="U458" s="51" t="str">
        <f>IF(AND(L458="154",'154'!$O$5&lt;=B458,'154'!$P$5&gt;=B458),"154",IF(AND(L458="632",'632'!$L$5&lt;=B458,'632'!$M$5&gt;=B458),"632",IF(AND(L458="642",'642'!$N$5&lt;=B458,'642'!$O$5&gt;=B458),"642",IF(AND(L458="641",'641'!$N$5&lt;=B458,'641'!$O$5&gt;=B458),"641",""))))</f>
        <v/>
      </c>
      <c r="V458" s="51" t="str">
        <f>IF(OR(TH!L458=TH!$V$7,M458=TH!$V$7),"x","")</f>
        <v/>
      </c>
      <c r="W458" s="51" t="str">
        <f>IF(AND(B458&gt;='IN-NX'!$P$3,B458&lt;='IN-NX'!$Q$3,'IN-NX'!$D$7=D458,OR(LEFT(L458,2)="15",AND(LEFT(M458,2)&lt;&gt;"15",LEFT(M458,2)&lt;&gt;"33"))),"x","")</f>
        <v/>
      </c>
      <c r="X458" s="51" t="str">
        <f>IF(AND(OR(LEFT(TH!L458,2)="15",LEFT(TH!M458,2)="15"),'152-CT'!$J$8=TH!F458),"x","")</f>
        <v/>
      </c>
      <c r="Y458" s="51" t="str">
        <f>IF(AND(OR(LEFT(TH!L458,2)="15",LEFT(TH!M458,2)="15"),TK!$E$7=TH!F458),"x","")</f>
        <v/>
      </c>
      <c r="Z458" s="51" t="str">
        <f>IF(AND(B458&lt;=NKC!$N$8,B458&gt;=NKC!$M$8),"x","")</f>
        <v>x</v>
      </c>
      <c r="AA458" s="803">
        <v>3</v>
      </c>
      <c r="AB458" s="565"/>
    </row>
    <row r="459" spans="1:31" ht="15.75" customHeight="1">
      <c r="A459" s="804" t="str">
        <f>IF(B459&lt;&gt;"",IF(AND(B459&gt;=_TM1,B459&lt;=_TM2,OR(TH!L459="1111",TH!M459="1111")),TH!D459,""),"")</f>
        <v/>
      </c>
      <c r="B459" s="36">
        <f t="shared" si="28"/>
        <v>7</v>
      </c>
      <c r="C459" s="189">
        <f t="shared" si="29"/>
        <v>42216</v>
      </c>
      <c r="D459" s="189" t="s">
        <v>1336</v>
      </c>
      <c r="E459" s="189">
        <v>42216</v>
      </c>
      <c r="F459" s="926" t="s">
        <v>607</v>
      </c>
      <c r="G459" s="813" t="s">
        <v>606</v>
      </c>
      <c r="H459" s="191" t="s">
        <v>448</v>
      </c>
      <c r="I459" s="243">
        <v>250</v>
      </c>
      <c r="J459" s="243">
        <v>13500</v>
      </c>
      <c r="K459" s="573">
        <f>ROUND(I459*J459,0)</f>
        <v>3375000</v>
      </c>
      <c r="L459" s="574" t="s">
        <v>417</v>
      </c>
      <c r="M459" s="574" t="s">
        <v>8</v>
      </c>
      <c r="N459" s="51" t="str">
        <f>IF(AND('331-CT'!$E$7=TH!H459,OR(L459="331",M459="331")),"331",IF(AND(OR(L459="131",M459="131"),H459='131-CT'!$E$7),"131",""))</f>
        <v/>
      </c>
      <c r="O459" s="51" t="str">
        <f>IF(AND($B459&gt;='111'!$N$11,$B459&lt;='111'!$O$11,OR($L459=$O$7,$M459=$O$7)),"x","")</f>
        <v/>
      </c>
      <c r="P459" s="51" t="str">
        <f>IF(AND($L459=$O$7,$B459&lt;'111'!$N$11),"x","")</f>
        <v/>
      </c>
      <c r="Q459" s="51" t="str">
        <f>IF(AND($M459=$O$7,$B459&lt;'111'!$N$11),"x","")</f>
        <v/>
      </c>
      <c r="R459" s="51" t="str">
        <f>IF(ISERROR(FIND('112'!$M$9,G459,1)),"",IF((AND(FIND('112'!$M$9,G459,1)&gt;=1,$B459&gt;='112'!$N$8,$B459&lt;='112'!$O$8,OR($L459='112'!$I$6,$M459='112'!$I$6))),"x",""))</f>
        <v/>
      </c>
      <c r="S459" s="51" t="str">
        <f>IF(ISERROR(FIND('112'!$M$9,G459,1)),"",IF((AND(LEFT(G459,2)=LEFT('112'!$M$9,2),B459&lt;'112'!$N$8,$L459='112'!$I$6)),"x",""))</f>
        <v/>
      </c>
      <c r="T459" s="51" t="str">
        <f>IF(ISERROR(FIND('112'!$M$9,G459,1)),"",IF((AND(RIGHT(G459,2)=RIGHT('112'!$M$9,2),B459&lt;'112'!$N$8,$M459='112'!$I$6)),"x",""))</f>
        <v/>
      </c>
      <c r="U459" s="51" t="str">
        <f>IF(AND(L459="154",'154'!$O$5&lt;=B459,'154'!$P$5&gt;=B459),"154",IF(AND(L459="632",'632'!$L$5&lt;=B459,'632'!$M$5&gt;=B459),"632",IF(AND(L459="642",'642'!$N$5&lt;=B459,'642'!$O$5&gt;=B459),"642",IF(AND(L459="641",'641'!$N$5&lt;=B459,'641'!$O$5&gt;=B459),"641",""))))</f>
        <v/>
      </c>
      <c r="V459" s="51" t="str">
        <f>IF(OR(TH!L459=TH!$V$7,M459=TH!$V$7),"x","")</f>
        <v/>
      </c>
      <c r="W459" s="51" t="str">
        <f>IF(AND(B459&gt;='IN-NX'!$P$3,B459&lt;='IN-NX'!$Q$3,'IN-NX'!$D$7=D459,OR(LEFT(L459,2)="15",AND(LEFT(M459,2)&lt;&gt;"15",LEFT(M459,2)&lt;&gt;"33"))),"x","")</f>
        <v/>
      </c>
      <c r="X459" s="51" t="str">
        <f>IF(AND(OR(LEFT(TH!L459,2)="15",LEFT(TH!M459,2)="15"),'152-CT'!$J$8=TH!F459),"x","")</f>
        <v/>
      </c>
      <c r="Y459" s="51" t="str">
        <f>IF(AND(OR(LEFT(TH!L459,2)="15",LEFT(TH!M459,2)="15"),TK!$E$7=TH!F459),"x","")</f>
        <v/>
      </c>
      <c r="Z459" s="51" t="str">
        <f>IF(AND(B459&lt;=NKC!$N$8,B459&gt;=NKC!$M$8),"x","")</f>
        <v>x</v>
      </c>
      <c r="AA459" s="803"/>
      <c r="AB459" s="565"/>
    </row>
    <row r="460" spans="1:31" ht="15.75" customHeight="1">
      <c r="A460" s="804" t="str">
        <f>IF(B460&lt;&gt;"",IF(AND(B460&gt;=_TM1,B460&lt;=_TM2,OR(TH!L460="1111",TH!M460="1111")),TH!D460,""),"")</f>
        <v/>
      </c>
      <c r="B460" s="36">
        <f t="shared" si="28"/>
        <v>7</v>
      </c>
      <c r="C460" s="189">
        <f t="shared" si="29"/>
        <v>42216</v>
      </c>
      <c r="D460" s="189" t="s">
        <v>1336</v>
      </c>
      <c r="E460" s="189">
        <v>42216</v>
      </c>
      <c r="F460" s="922" t="s">
        <v>608</v>
      </c>
      <c r="G460" s="813" t="s">
        <v>606</v>
      </c>
      <c r="H460" s="191" t="s">
        <v>448</v>
      </c>
      <c r="I460" s="243">
        <v>1000</v>
      </c>
      <c r="J460" s="243">
        <v>32109</v>
      </c>
      <c r="K460" s="573">
        <f>ROUND(I460*J460,0)</f>
        <v>32109000</v>
      </c>
      <c r="L460" s="574" t="s">
        <v>417</v>
      </c>
      <c r="M460" s="574" t="s">
        <v>8</v>
      </c>
      <c r="N460" s="51" t="str">
        <f>IF(AND('331-CT'!$E$7=TH!H460,OR(L460="331",M460="331")),"331",IF(AND(OR(L460="131",M460="131"),H460='131-CT'!$E$7),"131",""))</f>
        <v/>
      </c>
      <c r="O460" s="51" t="str">
        <f>IF(AND($B460&gt;='111'!$N$11,$B460&lt;='111'!$O$11,OR($L460=$O$7,$M460=$O$7)),"x","")</f>
        <v/>
      </c>
      <c r="P460" s="51" t="str">
        <f>IF(AND($L460=$O$7,$B460&lt;'111'!$N$11),"x","")</f>
        <v/>
      </c>
      <c r="Q460" s="51" t="str">
        <f>IF(AND($M460=$O$7,$B460&lt;'111'!$N$11),"x","")</f>
        <v/>
      </c>
      <c r="R460" s="51" t="str">
        <f>IF(ISERROR(FIND('112'!$M$9,G460,1)),"",IF((AND(FIND('112'!$M$9,G460,1)&gt;=1,$B460&gt;='112'!$N$8,$B460&lt;='112'!$O$8,OR($L460='112'!$I$6,$M460='112'!$I$6))),"x",""))</f>
        <v/>
      </c>
      <c r="S460" s="51" t="str">
        <f>IF(ISERROR(FIND('112'!$M$9,G460,1)),"",IF((AND(LEFT(G460,2)=LEFT('112'!$M$9,2),B460&lt;'112'!$N$8,$L460='112'!$I$6)),"x",""))</f>
        <v/>
      </c>
      <c r="T460" s="51" t="str">
        <f>IF(ISERROR(FIND('112'!$M$9,G460,1)),"",IF((AND(RIGHT(G460,2)=RIGHT('112'!$M$9,2),B460&lt;'112'!$N$8,$M460='112'!$I$6)),"x",""))</f>
        <v/>
      </c>
      <c r="U460" s="51" t="str">
        <f>IF(AND(L460="154",'154'!$O$5&lt;=B460,'154'!$P$5&gt;=B460),"154",IF(AND(L460="632",'632'!$L$5&lt;=B460,'632'!$M$5&gt;=B460),"632",IF(AND(L460="642",'642'!$N$5&lt;=B460,'642'!$O$5&gt;=B460),"642",IF(AND(L460="641",'641'!$N$5&lt;=B460,'641'!$O$5&gt;=B460),"641",""))))</f>
        <v/>
      </c>
      <c r="V460" s="51" t="str">
        <f>IF(OR(TH!L460=TH!$V$7,M460=TH!$V$7),"x","")</f>
        <v/>
      </c>
      <c r="W460" s="51" t="str">
        <f>IF(AND(B460&gt;='IN-NX'!$P$3,B460&lt;='IN-NX'!$Q$3,'IN-NX'!$D$7=D460,OR(LEFT(L460,2)="15",AND(LEFT(M460,2)&lt;&gt;"15",LEFT(M460,2)&lt;&gt;"33"))),"x","")</f>
        <v/>
      </c>
      <c r="X460" s="51" t="str">
        <f>IF(AND(OR(LEFT(TH!L460,2)="15",LEFT(TH!M460,2)="15"),'152-CT'!$J$8=TH!F460),"x","")</f>
        <v/>
      </c>
      <c r="Y460" s="51" t="str">
        <f>IF(AND(OR(LEFT(TH!L460,2)="15",LEFT(TH!M460,2)="15"),TK!$E$7=TH!F460),"x","")</f>
        <v/>
      </c>
      <c r="Z460" s="51" t="str">
        <f>IF(AND(B460&lt;=NKC!$N$8,B460&gt;=NKC!$M$8),"x","")</f>
        <v>x</v>
      </c>
      <c r="AA460" s="803"/>
      <c r="AB460" s="565"/>
    </row>
    <row r="461" spans="1:31" ht="15.75" customHeight="1">
      <c r="A461" s="804" t="str">
        <f>IF(B461&lt;&gt;"",IF(AND(B461&gt;=_TM1,B461&lt;=_TM2,OR(TH!L461="1111",TH!M461="1111")),TH!D461,""),"")</f>
        <v/>
      </c>
      <c r="B461" s="36">
        <f t="shared" si="28"/>
        <v>7</v>
      </c>
      <c r="C461" s="189">
        <f t="shared" si="29"/>
        <v>42216</v>
      </c>
      <c r="D461" s="189" t="s">
        <v>1336</v>
      </c>
      <c r="E461" s="189">
        <v>42216</v>
      </c>
      <c r="F461" s="190" t="s">
        <v>468</v>
      </c>
      <c r="G461" s="813" t="s">
        <v>606</v>
      </c>
      <c r="H461" s="191" t="s">
        <v>448</v>
      </c>
      <c r="I461" s="243"/>
      <c r="J461" s="243"/>
      <c r="K461" s="573">
        <v>3548400</v>
      </c>
      <c r="L461" s="574" t="s">
        <v>9</v>
      </c>
      <c r="M461" s="574" t="s">
        <v>8</v>
      </c>
      <c r="N461" s="51" t="str">
        <f>IF(AND('331-CT'!$E$7=TH!H461,OR(L461="331",M461="331")),"331",IF(AND(OR(L461="131",M461="131"),H461='131-CT'!$E$7),"131",""))</f>
        <v/>
      </c>
      <c r="O461" s="51" t="str">
        <f>IF(AND($B461&gt;='111'!$N$11,$B461&lt;='111'!$O$11,OR($L461=$O$7,$M461=$O$7)),"x","")</f>
        <v/>
      </c>
      <c r="P461" s="51" t="str">
        <f>IF(AND($L461=$O$7,$B461&lt;'111'!$N$11),"x","")</f>
        <v/>
      </c>
      <c r="Q461" s="51" t="str">
        <f>IF(AND($M461=$O$7,$B461&lt;'111'!$N$11),"x","")</f>
        <v/>
      </c>
      <c r="R461" s="51" t="str">
        <f>IF(ISERROR(FIND('112'!$M$9,G461,1)),"",IF((AND(FIND('112'!$M$9,G461,1)&gt;=1,$B461&gt;='112'!$N$8,$B461&lt;='112'!$O$8,OR($L461='112'!$I$6,$M461='112'!$I$6))),"x",""))</f>
        <v/>
      </c>
      <c r="S461" s="51" t="str">
        <f>IF(ISERROR(FIND('112'!$M$9,G461,1)),"",IF((AND(LEFT(G461,2)=LEFT('112'!$M$9,2),B461&lt;'112'!$N$8,$L461='112'!$I$6)),"x",""))</f>
        <v/>
      </c>
      <c r="T461" s="51" t="str">
        <f>IF(ISERROR(FIND('112'!$M$9,G461,1)),"",IF((AND(RIGHT(G461,2)=RIGHT('112'!$M$9,2),B461&lt;'112'!$N$8,$M461='112'!$I$6)),"x",""))</f>
        <v/>
      </c>
      <c r="U461" s="51" t="str">
        <f>IF(AND(L461="154",'154'!$O$5&lt;=B461,'154'!$P$5&gt;=B461),"154",IF(AND(L461="632",'632'!$L$5&lt;=B461,'632'!$M$5&gt;=B461),"632",IF(AND(L461="642",'642'!$N$5&lt;=B461,'642'!$O$5&gt;=B461),"642",IF(AND(L461="641",'641'!$N$5&lt;=B461,'641'!$O$5&gt;=B461),"641",""))))</f>
        <v/>
      </c>
      <c r="V461" s="51" t="str">
        <f>IF(OR(TH!L461=TH!$V$7,M461=TH!$V$7),"x","")</f>
        <v/>
      </c>
      <c r="W461" s="51" t="str">
        <f>IF(AND(B461&gt;='IN-NX'!$P$3,B461&lt;='IN-NX'!$Q$3,'IN-NX'!$D$7=D461,OR(LEFT(L461,2)="15",AND(LEFT(M461,2)&lt;&gt;"15",LEFT(M461,2)&lt;&gt;"33"))),"x","")</f>
        <v/>
      </c>
      <c r="X461" s="51" t="str">
        <f>IF(AND(OR(LEFT(TH!L461,2)="15",LEFT(TH!M461,2)="15"),'152-CT'!$J$8=TH!F461),"x","")</f>
        <v/>
      </c>
      <c r="Y461" s="51" t="str">
        <f>IF(AND(OR(LEFT(TH!L461,2)="15",LEFT(TH!M461,2)="15"),TK!$E$7=TH!F461),"x","")</f>
        <v/>
      </c>
      <c r="Z461" s="51" t="str">
        <f>IF(AND(B461&lt;=NKC!$N$8,B461&gt;=NKC!$M$8),"x","")</f>
        <v>x</v>
      </c>
      <c r="AA461" s="803">
        <v>4</v>
      </c>
      <c r="AB461" s="565"/>
    </row>
    <row r="462" spans="1:31" ht="15.75" customHeight="1">
      <c r="A462" s="804" t="str">
        <f>IF(B462&lt;&gt;"",IF(AND(B462&gt;=_TM1,B462&lt;=_TM2,OR(TH!L462="1111",TH!M462="1111")),TH!D462,""),"")</f>
        <v>C11</v>
      </c>
      <c r="B462" s="661">
        <f t="shared" si="28"/>
        <v>7</v>
      </c>
      <c r="C462" s="830">
        <f t="shared" si="29"/>
        <v>42216</v>
      </c>
      <c r="D462" s="830" t="s">
        <v>1357</v>
      </c>
      <c r="E462" s="830">
        <v>42216</v>
      </c>
      <c r="F462" s="836" t="s">
        <v>1465</v>
      </c>
      <c r="G462" s="849"/>
      <c r="H462" s="914" t="s">
        <v>437</v>
      </c>
      <c r="I462" s="241"/>
      <c r="J462" s="241"/>
      <c r="K462" s="834">
        <v>5000000</v>
      </c>
      <c r="L462" s="851" t="s">
        <v>83</v>
      </c>
      <c r="M462" s="851" t="s">
        <v>47</v>
      </c>
      <c r="N462" s="51" t="str">
        <f>IF(AND('331-CT'!$E$7=TH!H462,OR(L462="331",M462="331")),"331",IF(AND(OR(L462="131",M462="131"),H462='131-CT'!$E$7),"131",""))</f>
        <v/>
      </c>
      <c r="O462" s="51" t="str">
        <f>IF(AND($B462&gt;='111'!$N$11,$B462&lt;='111'!$O$11,OR($L462=$O$7,$M462=$O$7)),"x","")</f>
        <v/>
      </c>
      <c r="P462" s="51" t="str">
        <f>IF(AND($L462=$O$7,$B462&lt;'111'!$N$11),"x","")</f>
        <v/>
      </c>
      <c r="Q462" s="51" t="str">
        <f>IF(AND($M462=$O$7,$B462&lt;'111'!$N$11),"x","")</f>
        <v>x</v>
      </c>
      <c r="R462" s="51" t="str">
        <f>IF(ISERROR(FIND('112'!$M$9,G462,1)),"",IF((AND(FIND('112'!$M$9,G462,1)&gt;=1,$B462&gt;='112'!$N$8,$B462&lt;='112'!$O$8,OR($L462='112'!$I$6,$M462='112'!$I$6))),"x",""))</f>
        <v/>
      </c>
      <c r="S462" s="51" t="str">
        <f>IF(ISERROR(FIND('112'!$M$9,G462,1)),"",IF((AND(LEFT(G462,2)=LEFT('112'!$M$9,2),B462&lt;'112'!$N$8,$L462='112'!$I$6)),"x",""))</f>
        <v/>
      </c>
      <c r="T462" s="51" t="str">
        <f>IF(ISERROR(FIND('112'!$M$9,G462,1)),"",IF((AND(RIGHT(G462,2)=RIGHT('112'!$M$9,2),B462&lt;'112'!$N$8,$M462='112'!$I$6)),"x",""))</f>
        <v/>
      </c>
      <c r="U462" s="51" t="str">
        <f>IF(AND(L462="154",'154'!$O$5&lt;=B462,'154'!$P$5&gt;=B462),"154",IF(AND(L462="632",'632'!$L$5&lt;=B462,'632'!$M$5&gt;=B462),"632",IF(AND(L462="642",'642'!$N$5&lt;=B462,'642'!$O$5&gt;=B462),"642",IF(AND(L462="641",'641'!$N$5&lt;=B462,'641'!$O$5&gt;=B462),"641",""))))</f>
        <v/>
      </c>
      <c r="V462" s="51" t="str">
        <f>IF(OR(TH!L462=TH!$V$7,M462=TH!$V$7),"x","")</f>
        <v>x</v>
      </c>
      <c r="W462" s="51" t="str">
        <f>IF(AND(B462&gt;='IN-NX'!$P$3,B462&lt;='IN-NX'!$Q$3,'IN-NX'!$D$7=D462,OR(LEFT(L462,2)="15",AND(LEFT(M462,2)&lt;&gt;"15",LEFT(M462,2)&lt;&gt;"33"))),"x","")</f>
        <v/>
      </c>
      <c r="X462" s="51" t="str">
        <f>IF(AND(OR(LEFT(TH!L462,2)="15",LEFT(TH!M462,2)="15"),'152-CT'!$J$8=TH!F462),"x","")</f>
        <v/>
      </c>
      <c r="Y462" s="51" t="str">
        <f>IF(AND(OR(LEFT(TH!L462,2)="15",LEFT(TH!M462,2)="15"),TK!$E$7=TH!F462),"x","")</f>
        <v/>
      </c>
      <c r="Z462" s="51" t="str">
        <f>IF(AND(B462&lt;=NKC!$N$8,B462&gt;=NKC!$M$8),"x","")</f>
        <v>x</v>
      </c>
      <c r="AA462" s="915"/>
      <c r="AB462" s="662"/>
      <c r="AC462" s="916"/>
      <c r="AD462" s="916"/>
      <c r="AE462" s="565"/>
    </row>
    <row r="463" spans="1:31" ht="15.75" customHeight="1">
      <c r="A463" s="804" t="str">
        <f>IF(B463&lt;&gt;"",IF(AND(B463&gt;=_TM1,B463&lt;=_TM2,OR(TH!L463="1111",TH!M463="1111")),TH!D463,""),"")</f>
        <v>T13</v>
      </c>
      <c r="B463" s="36">
        <f t="shared" si="28"/>
        <v>8</v>
      </c>
      <c r="C463" s="189">
        <f t="shared" si="29"/>
        <v>42219</v>
      </c>
      <c r="D463" s="189" t="s">
        <v>1359</v>
      </c>
      <c r="E463" s="182">
        <v>42219</v>
      </c>
      <c r="F463" s="187" t="s">
        <v>427</v>
      </c>
      <c r="G463" s="811" t="s">
        <v>415</v>
      </c>
      <c r="H463" s="7" t="s">
        <v>437</v>
      </c>
      <c r="I463" s="243"/>
      <c r="J463" s="243"/>
      <c r="K463" s="38">
        <v>7000000</v>
      </c>
      <c r="L463" s="192" t="s">
        <v>47</v>
      </c>
      <c r="M463" s="192" t="s">
        <v>24</v>
      </c>
      <c r="N463" s="51" t="str">
        <f>IF(AND('331-CT'!$E$7=TH!H463,OR(L463="331",M463="331")),"331",IF(AND(OR(L463="131",M463="131"),H463='131-CT'!$E$7),"131",""))</f>
        <v/>
      </c>
      <c r="O463" s="51" t="str">
        <f>IF(AND($B463&gt;='111'!$N$11,$B463&lt;='111'!$O$11,OR($L463=$O$7,$M463=$O$7)),"x","")</f>
        <v/>
      </c>
      <c r="P463" s="51" t="str">
        <f>IF(AND($L463=$O$7,$B463&lt;'111'!$N$11),"x","")</f>
        <v>x</v>
      </c>
      <c r="Q463" s="51" t="str">
        <f>IF(AND($M463=$O$7,$B463&lt;'111'!$N$11),"x","")</f>
        <v/>
      </c>
      <c r="R463" s="51" t="str">
        <f>IF(ISERROR(FIND('112'!$M$9,G463,1)),"",IF((AND(FIND('112'!$M$9,G463,1)&gt;=1,$B463&gt;='112'!$N$8,$B463&lt;='112'!$O$8,OR($L463='112'!$I$6,$M463='112'!$I$6))),"x",""))</f>
        <v/>
      </c>
      <c r="S463" s="51" t="str">
        <f>IF(ISERROR(FIND('112'!$M$9,G463,1)),"",IF((AND(LEFT(G463,2)=LEFT('112'!$M$9,2),B463&lt;'112'!$N$8,$L463='112'!$I$6)),"x",""))</f>
        <v/>
      </c>
      <c r="T463" s="51" t="str">
        <f>IF(ISERROR(FIND('112'!$M$9,G463,1)),"",IF((AND(RIGHT(G463,2)=RIGHT('112'!$M$9,2),B463&lt;'112'!$N$8,$M463='112'!$I$6)),"x",""))</f>
        <v/>
      </c>
      <c r="U463" s="51" t="str">
        <f>IF(AND(L463="154",'154'!$O$5&lt;=B463,'154'!$P$5&gt;=B463),"154",IF(AND(L463="632",'632'!$L$5&lt;=B463,'632'!$M$5&gt;=B463),"632",IF(AND(L463="642",'642'!$N$5&lt;=B463,'642'!$O$5&gt;=B463),"642",IF(AND(L463="641",'641'!$N$5&lt;=B463,'641'!$O$5&gt;=B463),"641",""))))</f>
        <v/>
      </c>
      <c r="V463" s="51" t="str">
        <f>IF(OR(TH!L463=TH!$V$7,M463=TH!$V$7),"x","")</f>
        <v/>
      </c>
      <c r="W463" s="51" t="str">
        <f>IF(AND(B463&gt;='IN-NX'!$P$3,B463&lt;='IN-NX'!$Q$3,'IN-NX'!$D$7=D463,OR(LEFT(L463,2)="15",AND(LEFT(M463,2)&lt;&gt;"15",LEFT(M463,2)&lt;&gt;"33"))),"x","")</f>
        <v/>
      </c>
      <c r="X463" s="51" t="str">
        <f>IF(AND(OR(LEFT(TH!L463,2)="15",LEFT(TH!M463,2)="15"),'152-CT'!$J$8=TH!F463),"x","")</f>
        <v/>
      </c>
      <c r="Y463" s="51" t="str">
        <f>IF(AND(OR(LEFT(TH!L463,2)="15",LEFT(TH!M463,2)="15"),TK!$E$7=TH!F463),"x","")</f>
        <v/>
      </c>
      <c r="Z463" s="51" t="str">
        <f>IF(AND(B463&lt;=NKC!$N$8,B463&gt;=NKC!$M$8),"x","")</f>
        <v>x</v>
      </c>
      <c r="AA463" s="803"/>
      <c r="AB463" s="565"/>
      <c r="AC463" s="565"/>
      <c r="AD463" s="565"/>
      <c r="AE463" s="565"/>
    </row>
    <row r="464" spans="1:31" ht="15.75" customHeight="1">
      <c r="A464" s="804" t="str">
        <f>IF(B464&lt;&gt;"",IF(AND(B464&gt;=_TM1,B464&lt;=_TM2,OR(TH!L464="1111",TH!M464="1111")),TH!D464,""),"")</f>
        <v/>
      </c>
      <c r="B464" s="36">
        <f t="shared" si="28"/>
        <v>8</v>
      </c>
      <c r="C464" s="189">
        <f t="shared" si="29"/>
        <v>42219</v>
      </c>
      <c r="D464" s="189" t="s">
        <v>1284</v>
      </c>
      <c r="E464" s="189">
        <v>42219</v>
      </c>
      <c r="F464" s="190" t="s">
        <v>697</v>
      </c>
      <c r="G464" s="813" t="s">
        <v>1012</v>
      </c>
      <c r="H464" s="191" t="s">
        <v>450</v>
      </c>
      <c r="I464" s="243">
        <v>2000</v>
      </c>
      <c r="J464" s="243">
        <v>22000</v>
      </c>
      <c r="K464" s="573">
        <f>ROUND(I464*J464,0)</f>
        <v>44000000</v>
      </c>
      <c r="L464" s="574" t="s">
        <v>250</v>
      </c>
      <c r="M464" s="574" t="s">
        <v>164</v>
      </c>
      <c r="N464" s="51" t="str">
        <f>IF(AND('331-CT'!$E$7=TH!H464,OR(L464="331",M464="331")),"331",IF(AND(OR(L464="131",M464="131"),H464='131-CT'!$E$7),"131",""))</f>
        <v/>
      </c>
      <c r="O464" s="51" t="str">
        <f>IF(AND($B464&gt;='111'!$N$11,$B464&lt;='111'!$O$11,OR($L464=$O$7,$M464=$O$7)),"x","")</f>
        <v/>
      </c>
      <c r="P464" s="51" t="str">
        <f>IF(AND($L464=$O$7,$B464&lt;'111'!$N$11),"x","")</f>
        <v/>
      </c>
      <c r="Q464" s="51" t="str">
        <f>IF(AND($M464=$O$7,$B464&lt;'111'!$N$11),"x","")</f>
        <v/>
      </c>
      <c r="R464" s="51" t="str">
        <f>IF(ISERROR(FIND('112'!$M$9,G464,1)),"",IF((AND(FIND('112'!$M$9,G464,1)&gt;=1,$B464&gt;='112'!$N$8,$B464&lt;='112'!$O$8,OR($L464='112'!$I$6,$M464='112'!$I$6))),"x",""))</f>
        <v/>
      </c>
      <c r="S464" s="51" t="str">
        <f>IF(ISERROR(FIND('112'!$M$9,G464,1)),"",IF((AND(LEFT(G464,2)=LEFT('112'!$M$9,2),B464&lt;'112'!$N$8,$L464='112'!$I$6)),"x",""))</f>
        <v/>
      </c>
      <c r="T464" s="51" t="str">
        <f>IF(ISERROR(FIND('112'!$M$9,G464,1)),"",IF((AND(RIGHT(G464,2)=RIGHT('112'!$M$9,2),B464&lt;'112'!$N$8,$M464='112'!$I$6)),"x",""))</f>
        <v/>
      </c>
      <c r="U464" s="51" t="str">
        <f>IF(AND(L464="154",'154'!$O$5&lt;=B464,'154'!$P$5&gt;=B464),"154",IF(AND(L464="632",'632'!$L$5&lt;=B464,'632'!$M$5&gt;=B464),"632",IF(AND(L464="642",'642'!$N$5&lt;=B464,'642'!$O$5&gt;=B464),"642",IF(AND(L464="641",'641'!$N$5&lt;=B464,'641'!$O$5&gt;=B464),"641",""))))</f>
        <v/>
      </c>
      <c r="V464" s="51" t="str">
        <f>IF(OR(TH!L464=TH!$V$7,M464=TH!$V$7),"x","")</f>
        <v/>
      </c>
      <c r="W464" s="51" t="str">
        <f>IF(AND(B464&gt;='IN-NX'!$P$3,B464&lt;='IN-NX'!$Q$3,'IN-NX'!$D$7=D464,OR(LEFT(L464,2)="15",AND(LEFT(M464,2)&lt;&gt;"15",LEFT(M464,2)&lt;&gt;"33"))),"x","")</f>
        <v/>
      </c>
      <c r="X464" s="51" t="str">
        <f>IF(AND(OR(LEFT(TH!L464,2)="15",LEFT(TH!M464,2)="15"),'152-CT'!$J$8=TH!F464),"x","")</f>
        <v/>
      </c>
      <c r="Y464" s="51" t="str">
        <f>IF(AND(OR(LEFT(TH!L464,2)="15",LEFT(TH!M464,2)="15"),TK!$E$7=TH!F464),"x","")</f>
        <v/>
      </c>
      <c r="Z464" s="51" t="str">
        <f>IF(AND(B464&lt;=NKC!$N$8,B464&gt;=NKC!$M$8),"x","")</f>
        <v>x</v>
      </c>
      <c r="AA464" s="803"/>
      <c r="AB464" s="565"/>
    </row>
    <row r="465" spans="1:31" ht="15.75" customHeight="1">
      <c r="A465" s="804" t="str">
        <f>IF(B465&lt;&gt;"",IF(AND(B465&gt;=_TM1,B465&lt;=_TM2,OR(TH!L465="1111",TH!M465="1111")),TH!D465,""),"")</f>
        <v/>
      </c>
      <c r="B465" s="36">
        <f t="shared" si="28"/>
        <v>8</v>
      </c>
      <c r="C465" s="189">
        <f t="shared" si="29"/>
        <v>42219</v>
      </c>
      <c r="D465" s="189" t="s">
        <v>1284</v>
      </c>
      <c r="E465" s="189">
        <v>42219</v>
      </c>
      <c r="F465" s="926" t="s">
        <v>962</v>
      </c>
      <c r="G465" s="813" t="s">
        <v>1012</v>
      </c>
      <c r="H465" s="191" t="s">
        <v>450</v>
      </c>
      <c r="I465" s="243"/>
      <c r="J465" s="243"/>
      <c r="K465" s="573">
        <v>4400000</v>
      </c>
      <c r="L465" s="574" t="s">
        <v>250</v>
      </c>
      <c r="M465" s="574" t="s">
        <v>352</v>
      </c>
      <c r="N465" s="51" t="str">
        <f>IF(AND('331-CT'!$E$7=TH!H465,OR(L465="331",M465="331")),"331",IF(AND(OR(L465="131",M465="131"),H465='131-CT'!$E$7),"131",""))</f>
        <v/>
      </c>
      <c r="O465" s="51" t="str">
        <f>IF(AND($B465&gt;='111'!$N$11,$B465&lt;='111'!$O$11,OR($L465=$O$7,$M465=$O$7)),"x","")</f>
        <v/>
      </c>
      <c r="P465" s="51" t="str">
        <f>IF(AND($L465=$O$7,$B465&lt;'111'!$N$11),"x","")</f>
        <v/>
      </c>
      <c r="Q465" s="51" t="str">
        <f>IF(AND($M465=$O$7,$B465&lt;'111'!$N$11),"x","")</f>
        <v/>
      </c>
      <c r="R465" s="51" t="str">
        <f>IF(ISERROR(FIND('112'!$M$9,G465,1)),"",IF((AND(FIND('112'!$M$9,G465,1)&gt;=1,$B465&gt;='112'!$N$8,$B465&lt;='112'!$O$8,OR($L465='112'!$I$6,$M465='112'!$I$6))),"x",""))</f>
        <v/>
      </c>
      <c r="S465" s="51" t="str">
        <f>IF(ISERROR(FIND('112'!$M$9,G465,1)),"",IF((AND(LEFT(G465,2)=LEFT('112'!$M$9,2),B465&lt;'112'!$N$8,$L465='112'!$I$6)),"x",""))</f>
        <v/>
      </c>
      <c r="T465" s="51" t="str">
        <f>IF(ISERROR(FIND('112'!$M$9,G465,1)),"",IF((AND(RIGHT(G465,2)=RIGHT('112'!$M$9,2),B465&lt;'112'!$N$8,$M465='112'!$I$6)),"x",""))</f>
        <v/>
      </c>
      <c r="U465" s="51" t="str">
        <f>IF(AND(L465="154",'154'!$O$5&lt;=B465,'154'!$P$5&gt;=B465),"154",IF(AND(L465="632",'632'!$L$5&lt;=B465,'632'!$M$5&gt;=B465),"632",IF(AND(L465="642",'642'!$N$5&lt;=B465,'642'!$O$5&gt;=B465),"642",IF(AND(L465="641",'641'!$N$5&lt;=B465,'641'!$O$5&gt;=B465),"641",""))))</f>
        <v/>
      </c>
      <c r="V465" s="51" t="str">
        <f>IF(OR(TH!L465=TH!$V$7,M465=TH!$V$7),"x","")</f>
        <v/>
      </c>
      <c r="W465" s="51" t="str">
        <f>IF(AND(B465&gt;='IN-NX'!$P$3,B465&lt;='IN-NX'!$Q$3,'IN-NX'!$D$7=D465,OR(LEFT(L465,2)="15",AND(LEFT(M465,2)&lt;&gt;"15",LEFT(M465,2)&lt;&gt;"33"))),"x","")</f>
        <v/>
      </c>
      <c r="X465" s="51" t="str">
        <f>IF(AND(OR(LEFT(TH!L465,2)="15",LEFT(TH!M465,2)="15"),'152-CT'!$J$8=TH!F465),"x","")</f>
        <v/>
      </c>
      <c r="Y465" s="51" t="str">
        <f>IF(AND(OR(LEFT(TH!L465,2)="15",LEFT(TH!M465,2)="15"),TK!$E$7=TH!F465),"x","")</f>
        <v/>
      </c>
      <c r="Z465" s="51" t="str">
        <f>IF(AND(B465&lt;=NKC!$N$8,B465&gt;=NKC!$M$8),"x","")</f>
        <v>x</v>
      </c>
      <c r="AA465" s="803"/>
      <c r="AB465" s="565"/>
    </row>
    <row r="466" spans="1:31" ht="15.75" customHeight="1">
      <c r="A466" s="804" t="str">
        <f>IF(B466&lt;&gt;"",IF(AND(B466&gt;=_TM1,B466&lt;=_TM2,OR(TH!L466="1111",TH!M466="1111")),TH!D466,""),"")</f>
        <v>T14</v>
      </c>
      <c r="B466" s="36">
        <f t="shared" si="28"/>
        <v>8</v>
      </c>
      <c r="C466" s="189">
        <f t="shared" si="29"/>
        <v>42220</v>
      </c>
      <c r="D466" s="189" t="s">
        <v>1368</v>
      </c>
      <c r="E466" s="182">
        <v>42220</v>
      </c>
      <c r="F466" s="187" t="s">
        <v>427</v>
      </c>
      <c r="G466" s="811" t="s">
        <v>415</v>
      </c>
      <c r="H466" s="7" t="s">
        <v>437</v>
      </c>
      <c r="I466" s="243"/>
      <c r="J466" s="243"/>
      <c r="K466" s="38">
        <v>55000000</v>
      </c>
      <c r="L466" s="192" t="s">
        <v>47</v>
      </c>
      <c r="M466" s="192" t="s">
        <v>24</v>
      </c>
      <c r="N466" s="51" t="str">
        <f>IF(AND('331-CT'!$E$7=TH!H466,OR(L466="331",M466="331")),"331",IF(AND(OR(L466="131",M466="131"),H466='131-CT'!$E$7),"131",""))</f>
        <v/>
      </c>
      <c r="O466" s="51" t="str">
        <f>IF(AND($B466&gt;='111'!$N$11,$B466&lt;='111'!$O$11,OR($L466=$O$7,$M466=$O$7)),"x","")</f>
        <v/>
      </c>
      <c r="P466" s="51" t="str">
        <f>IF(AND($L466=$O$7,$B466&lt;'111'!$N$11),"x","")</f>
        <v>x</v>
      </c>
      <c r="Q466" s="51" t="str">
        <f>IF(AND($M466=$O$7,$B466&lt;'111'!$N$11),"x","")</f>
        <v/>
      </c>
      <c r="R466" s="51" t="str">
        <f>IF(ISERROR(FIND('112'!$M$9,G466,1)),"",IF((AND(FIND('112'!$M$9,G466,1)&gt;=1,$B466&gt;='112'!$N$8,$B466&lt;='112'!$O$8,OR($L466='112'!$I$6,$M466='112'!$I$6))),"x",""))</f>
        <v/>
      </c>
      <c r="S466" s="51" t="str">
        <f>IF(ISERROR(FIND('112'!$M$9,G466,1)),"",IF((AND(LEFT(G466,2)=LEFT('112'!$M$9,2),B466&lt;'112'!$N$8,$L466='112'!$I$6)),"x",""))</f>
        <v/>
      </c>
      <c r="T466" s="51" t="str">
        <f>IF(ISERROR(FIND('112'!$M$9,G466,1)),"",IF((AND(RIGHT(G466,2)=RIGHT('112'!$M$9,2),B466&lt;'112'!$N$8,$M466='112'!$I$6)),"x",""))</f>
        <v/>
      </c>
      <c r="U466" s="51" t="str">
        <f>IF(AND(L466="154",'154'!$O$5&lt;=B466,'154'!$P$5&gt;=B466),"154",IF(AND(L466="632",'632'!$L$5&lt;=B466,'632'!$M$5&gt;=B466),"632",IF(AND(L466="642",'642'!$N$5&lt;=B466,'642'!$O$5&gt;=B466),"642",IF(AND(L466="641",'641'!$N$5&lt;=B466,'641'!$O$5&gt;=B466),"641",""))))</f>
        <v/>
      </c>
      <c r="V466" s="51" t="str">
        <f>IF(OR(TH!L466=TH!$V$7,M466=TH!$V$7),"x","")</f>
        <v/>
      </c>
      <c r="W466" s="51" t="str">
        <f>IF(AND(B466&gt;='IN-NX'!$P$3,B466&lt;='IN-NX'!$Q$3,'IN-NX'!$D$7=D466,OR(LEFT(L466,2)="15",AND(LEFT(M466,2)&lt;&gt;"15",LEFT(M466,2)&lt;&gt;"33"))),"x","")</f>
        <v/>
      </c>
      <c r="X466" s="51" t="str">
        <f>IF(AND(OR(LEFT(TH!L466,2)="15",LEFT(TH!M466,2)="15"),'152-CT'!$J$8=TH!F466),"x","")</f>
        <v/>
      </c>
      <c r="Y466" s="51" t="str">
        <f>IF(AND(OR(LEFT(TH!L466,2)="15",LEFT(TH!M466,2)="15"),TK!$E$7=TH!F466),"x","")</f>
        <v/>
      </c>
      <c r="Z466" s="51" t="str">
        <f>IF(AND(B466&lt;=NKC!$N$8,B466&gt;=NKC!$M$8),"x","")</f>
        <v>x</v>
      </c>
      <c r="AA466" s="803"/>
      <c r="AB466" s="565"/>
      <c r="AC466" s="565"/>
      <c r="AD466" s="565"/>
      <c r="AE466" s="565"/>
    </row>
    <row r="467" spans="1:31" ht="15.75" customHeight="1">
      <c r="A467" s="804" t="str">
        <f>IF(B467&lt;&gt;"",IF(AND(B467&gt;=_TM1,B467&lt;=_TM2,OR(TH!L467="1111",TH!M467="1111")),TH!D467,""),"")</f>
        <v>C12</v>
      </c>
      <c r="B467" s="36">
        <f t="shared" si="28"/>
        <v>8</v>
      </c>
      <c r="C467" s="189">
        <f t="shared" si="29"/>
        <v>42220</v>
      </c>
      <c r="D467" s="189" t="s">
        <v>1360</v>
      </c>
      <c r="E467" s="189">
        <v>42220</v>
      </c>
      <c r="F467" s="926" t="s">
        <v>456</v>
      </c>
      <c r="G467" s="813" t="s">
        <v>627</v>
      </c>
      <c r="H467" s="191" t="s">
        <v>614</v>
      </c>
      <c r="I467" s="243"/>
      <c r="J467" s="243"/>
      <c r="K467" s="573">
        <v>737182</v>
      </c>
      <c r="L467" s="574" t="s">
        <v>251</v>
      </c>
      <c r="M467" s="574" t="s">
        <v>47</v>
      </c>
      <c r="N467" s="51" t="str">
        <f>IF(AND('331-CT'!$E$7=TH!H467,OR(L467="331",M467="331")),"331",IF(AND(OR(L467="131",M467="131"),H467='131-CT'!$E$7),"131",""))</f>
        <v/>
      </c>
      <c r="O467" s="51" t="str">
        <f>IF(AND($B467&gt;='111'!$N$11,$B467&lt;='111'!$O$11,OR($L467=$O$7,$M467=$O$7)),"x","")</f>
        <v/>
      </c>
      <c r="P467" s="51" t="str">
        <f>IF(AND($L467=$O$7,$B467&lt;'111'!$N$11),"x","")</f>
        <v/>
      </c>
      <c r="Q467" s="51" t="str">
        <f>IF(AND($M467=$O$7,$B467&lt;'111'!$N$11),"x","")</f>
        <v>x</v>
      </c>
      <c r="R467" s="51" t="str">
        <f>IF(ISERROR(FIND('112'!$M$9,G467,1)),"",IF((AND(FIND('112'!$M$9,G467,1)&gt;=1,$B467&gt;='112'!$N$8,$B467&lt;='112'!$O$8,OR($L467='112'!$I$6,$M467='112'!$I$6))),"x",""))</f>
        <v/>
      </c>
      <c r="S467" s="51" t="str">
        <f>IF(ISERROR(FIND('112'!$M$9,G467,1)),"",IF((AND(LEFT(G467,2)=LEFT('112'!$M$9,2),B467&lt;'112'!$N$8,$L467='112'!$I$6)),"x",""))</f>
        <v/>
      </c>
      <c r="T467" s="51" t="str">
        <f>IF(ISERROR(FIND('112'!$M$9,G467,1)),"",IF((AND(RIGHT(G467,2)=RIGHT('112'!$M$9,2),B467&lt;'112'!$N$8,$M467='112'!$I$6)),"x",""))</f>
        <v/>
      </c>
      <c r="U467" s="51" t="str">
        <f>IF(AND(L467="154",'154'!$O$5&lt;=B467,'154'!$P$5&gt;=B467),"154",IF(AND(L467="632",'632'!$L$5&lt;=B467,'632'!$M$5&gt;=B467),"632",IF(AND(L467="642",'642'!$N$5&lt;=B467,'642'!$O$5&gt;=B467),"642",IF(AND(L467="641",'641'!$N$5&lt;=B467,'641'!$O$5&gt;=B467),"641",""))))</f>
        <v>641</v>
      </c>
      <c r="V467" s="51" t="str">
        <f>IF(OR(TH!L467=TH!$V$7,M467=TH!$V$7),"x","")</f>
        <v/>
      </c>
      <c r="W467" s="51" t="str">
        <f>IF(AND(B467&gt;='IN-NX'!$P$3,B467&lt;='IN-NX'!$Q$3,'IN-NX'!$D$7=D467,OR(LEFT(L467,2)="15",AND(LEFT(M467,2)&lt;&gt;"15",LEFT(M467,2)&lt;&gt;"33"))),"x","")</f>
        <v/>
      </c>
      <c r="X467" s="51" t="str">
        <f>IF(AND(OR(LEFT(TH!L467,2)="15",LEFT(TH!M467,2)="15"),'152-CT'!$J$8=TH!F467),"x","")</f>
        <v/>
      </c>
      <c r="Y467" s="51" t="str">
        <f>IF(AND(OR(LEFT(TH!L467,2)="15",LEFT(TH!M467,2)="15"),TK!$E$7=TH!F467),"x","")</f>
        <v/>
      </c>
      <c r="Z467" s="51" t="str">
        <f>IF(AND(B467&lt;=NKC!$N$8,B467&gt;=NKC!$M$8),"x","")</f>
        <v>x</v>
      </c>
      <c r="AA467" s="803"/>
      <c r="AB467" s="565"/>
    </row>
    <row r="468" spans="1:31" ht="15.75" customHeight="1">
      <c r="A468" s="804" t="str">
        <f>IF(B468&lt;&gt;"",IF(AND(B468&gt;=_TM1,B468&lt;=_TM2,OR(TH!L468="1111",TH!M468="1111")),TH!D468,""),"")</f>
        <v>C12</v>
      </c>
      <c r="B468" s="36">
        <f t="shared" si="28"/>
        <v>8</v>
      </c>
      <c r="C468" s="189">
        <f t="shared" si="29"/>
        <v>42220</v>
      </c>
      <c r="D468" s="189" t="s">
        <v>1360</v>
      </c>
      <c r="E468" s="189">
        <v>42220</v>
      </c>
      <c r="F468" s="922" t="s">
        <v>457</v>
      </c>
      <c r="G468" s="813" t="s">
        <v>627</v>
      </c>
      <c r="H468" s="191" t="s">
        <v>614</v>
      </c>
      <c r="I468" s="243"/>
      <c r="J468" s="243"/>
      <c r="K468" s="573">
        <v>73718</v>
      </c>
      <c r="L468" s="574" t="s">
        <v>9</v>
      </c>
      <c r="M468" s="574" t="s">
        <v>47</v>
      </c>
      <c r="N468" s="51" t="str">
        <f>IF(AND('331-CT'!$E$7=TH!H468,OR(L468="331",M468="331")),"331",IF(AND(OR(L468="131",M468="131"),H468='131-CT'!$E$7),"131",""))</f>
        <v/>
      </c>
      <c r="O468" s="51" t="str">
        <f>IF(AND($B468&gt;='111'!$N$11,$B468&lt;='111'!$O$11,OR($L468=$O$7,$M468=$O$7)),"x","")</f>
        <v/>
      </c>
      <c r="P468" s="51" t="str">
        <f>IF(AND($L468=$O$7,$B468&lt;'111'!$N$11),"x","")</f>
        <v/>
      </c>
      <c r="Q468" s="51" t="str">
        <f>IF(AND($M468=$O$7,$B468&lt;'111'!$N$11),"x","")</f>
        <v>x</v>
      </c>
      <c r="R468" s="51" t="str">
        <f>IF(ISERROR(FIND('112'!$M$9,G468,1)),"",IF((AND(FIND('112'!$M$9,G468,1)&gt;=1,$B468&gt;='112'!$N$8,$B468&lt;='112'!$O$8,OR($L468='112'!$I$6,$M468='112'!$I$6))),"x",""))</f>
        <v/>
      </c>
      <c r="S468" s="51" t="str">
        <f>IF(ISERROR(FIND('112'!$M$9,G468,1)),"",IF((AND(LEFT(G468,2)=LEFT('112'!$M$9,2),B468&lt;'112'!$N$8,$L468='112'!$I$6)),"x",""))</f>
        <v/>
      </c>
      <c r="T468" s="51" t="str">
        <f>IF(ISERROR(FIND('112'!$M$9,G468,1)),"",IF((AND(RIGHT(G468,2)=RIGHT('112'!$M$9,2),B468&lt;'112'!$N$8,$M468='112'!$I$6)),"x",""))</f>
        <v/>
      </c>
      <c r="U468" s="51" t="str">
        <f>IF(AND(L468="154",'154'!$O$5&lt;=B468,'154'!$P$5&gt;=B468),"154",IF(AND(L468="632",'632'!$L$5&lt;=B468,'632'!$M$5&gt;=B468),"632",IF(AND(L468="642",'642'!$N$5&lt;=B468,'642'!$O$5&gt;=B468),"642",IF(AND(L468="641",'641'!$N$5&lt;=B468,'641'!$O$5&gt;=B468),"641",""))))</f>
        <v/>
      </c>
      <c r="V468" s="51" t="str">
        <f>IF(OR(TH!L468=TH!$V$7,M468=TH!$V$7),"x","")</f>
        <v/>
      </c>
      <c r="W468" s="51" t="str">
        <f>IF(AND(B468&gt;='IN-NX'!$P$3,B468&lt;='IN-NX'!$Q$3,'IN-NX'!$D$7=D468,OR(LEFT(L468,2)="15",AND(LEFT(M468,2)&lt;&gt;"15",LEFT(M468,2)&lt;&gt;"33"))),"x","")</f>
        <v/>
      </c>
      <c r="X468" s="51" t="str">
        <f>IF(AND(OR(LEFT(TH!L468,2)="15",LEFT(TH!M468,2)="15"),'152-CT'!$J$8=TH!F468),"x","")</f>
        <v/>
      </c>
      <c r="Y468" s="51" t="str">
        <f>IF(AND(OR(LEFT(TH!L468,2)="15",LEFT(TH!M468,2)="15"),TK!$E$7=TH!F468),"x","")</f>
        <v/>
      </c>
      <c r="Z468" s="51" t="str">
        <f>IF(AND(B468&lt;=NKC!$N$8,B468&gt;=NKC!$M$8),"x","")</f>
        <v>x</v>
      </c>
      <c r="AA468" s="803">
        <v>3</v>
      </c>
      <c r="AB468" s="565"/>
    </row>
    <row r="469" spans="1:31" ht="15.75" customHeight="1">
      <c r="A469" s="804" t="str">
        <f>IF(B469&lt;&gt;"",IF(AND(B469&gt;=_TM1,B469&lt;=_TM2,OR(TH!L469="1111",TH!M469="1111")),TH!D469,""),"")</f>
        <v/>
      </c>
      <c r="B469" s="36">
        <f t="shared" si="28"/>
        <v>8</v>
      </c>
      <c r="C469" s="189">
        <f t="shared" si="29"/>
        <v>42221</v>
      </c>
      <c r="D469" s="189" t="s">
        <v>421</v>
      </c>
      <c r="E469" s="182">
        <v>42221</v>
      </c>
      <c r="F469" s="187" t="s">
        <v>423</v>
      </c>
      <c r="G469" s="811" t="s">
        <v>415</v>
      </c>
      <c r="H469" s="7" t="s">
        <v>441</v>
      </c>
      <c r="I469" s="243"/>
      <c r="J469" s="243"/>
      <c r="K469" s="38">
        <v>57787636</v>
      </c>
      <c r="L469" s="192" t="s">
        <v>24</v>
      </c>
      <c r="M469" s="192" t="s">
        <v>250</v>
      </c>
      <c r="N469" s="51" t="str">
        <f>IF(AND('331-CT'!$E$7=TH!H469,OR(L469="331",M469="331")),"331",IF(AND(OR(L469="131",M469="131"),H469='131-CT'!$E$7),"131",""))</f>
        <v/>
      </c>
      <c r="O469" s="51" t="str">
        <f>IF(AND($B469&gt;='111'!$N$11,$B469&lt;='111'!$O$11,OR($L469=$O$7,$M469=$O$7)),"x","")</f>
        <v/>
      </c>
      <c r="P469" s="51" t="str">
        <f>IF(AND($L469=$O$7,$B469&lt;'111'!$N$11),"x","")</f>
        <v/>
      </c>
      <c r="Q469" s="51" t="str">
        <f>IF(AND($M469=$O$7,$B469&lt;'111'!$N$11),"x","")</f>
        <v/>
      </c>
      <c r="R469" s="51" t="str">
        <f>IF(ISERROR(FIND('112'!$M$9,G469,1)),"",IF((AND(FIND('112'!$M$9,G469,1)&gt;=1,$B469&gt;='112'!$N$8,$B469&lt;='112'!$O$8,OR($L469='112'!$I$6,$M469='112'!$I$6))),"x",""))</f>
        <v/>
      </c>
      <c r="S469" s="51" t="str">
        <f>IF(ISERROR(FIND('112'!$M$9,G469,1)),"",IF((AND(LEFT(G469,2)=LEFT('112'!$M$9,2),B469&lt;'112'!$N$8,$L469='112'!$I$6)),"x",""))</f>
        <v/>
      </c>
      <c r="T469" s="51" t="str">
        <f>IF(ISERROR(FIND('112'!$M$9,G469,1)),"",IF((AND(RIGHT(G469,2)=RIGHT('112'!$M$9,2),B469&lt;'112'!$N$8,$M469='112'!$I$6)),"x",""))</f>
        <v/>
      </c>
      <c r="U469" s="51" t="str">
        <f>IF(AND(L469="154",'154'!$O$5&lt;=B469,'154'!$P$5&gt;=B469),"154",IF(AND(L469="632",'632'!$L$5&lt;=B469,'632'!$M$5&gt;=B469),"632",IF(AND(L469="642",'642'!$N$5&lt;=B469,'642'!$O$5&gt;=B469),"642",IF(AND(L469="641",'641'!$N$5&lt;=B469,'641'!$O$5&gt;=B469),"641",""))))</f>
        <v/>
      </c>
      <c r="V469" s="51" t="str">
        <f>IF(OR(TH!L469=TH!$V$7,M469=TH!$V$7),"x","")</f>
        <v/>
      </c>
      <c r="W469" s="51" t="str">
        <f>IF(AND(B469&gt;='IN-NX'!$P$3,B469&lt;='IN-NX'!$Q$3,'IN-NX'!$D$7=D469,OR(LEFT(L469,2)="15",AND(LEFT(M469,2)&lt;&gt;"15",LEFT(M469,2)&lt;&gt;"33"))),"x","")</f>
        <v/>
      </c>
      <c r="X469" s="51" t="str">
        <f>IF(AND(OR(LEFT(TH!L469,2)="15",LEFT(TH!M469,2)="15"),'152-CT'!$J$8=TH!F469),"x","")</f>
        <v/>
      </c>
      <c r="Y469" s="51" t="str">
        <f>IF(AND(OR(LEFT(TH!L469,2)="15",LEFT(TH!M469,2)="15"),TK!$E$7=TH!F469),"x","")</f>
        <v/>
      </c>
      <c r="Z469" s="51" t="str">
        <f>IF(AND(B469&lt;=NKC!$N$8,B469&gt;=NKC!$M$8),"x","")</f>
        <v>x</v>
      </c>
      <c r="AA469" s="803"/>
      <c r="AB469" s="565"/>
      <c r="AD469" s="565"/>
      <c r="AE469" s="565"/>
    </row>
    <row r="470" spans="1:31" ht="15.75" customHeight="1">
      <c r="A470" s="804" t="str">
        <f>IF(B470&lt;&gt;"",IF(AND(B470&gt;=_TM1,B470&lt;=_TM2,OR(TH!L470="1111",TH!M470="1111")),TH!D470,""),"")</f>
        <v>C13</v>
      </c>
      <c r="B470" s="36">
        <f t="shared" si="28"/>
        <v>8</v>
      </c>
      <c r="C470" s="189">
        <f t="shared" si="29"/>
        <v>42221</v>
      </c>
      <c r="D470" s="189" t="s">
        <v>1362</v>
      </c>
      <c r="E470" s="189">
        <v>42221</v>
      </c>
      <c r="F470" s="190" t="s">
        <v>558</v>
      </c>
      <c r="G470" s="813" t="s">
        <v>629</v>
      </c>
      <c r="H470" s="7" t="s">
        <v>559</v>
      </c>
      <c r="I470" s="243"/>
      <c r="J470" s="243"/>
      <c r="K470" s="573">
        <v>304545</v>
      </c>
      <c r="L470" s="574" t="s">
        <v>83</v>
      </c>
      <c r="M470" s="574" t="s">
        <v>47</v>
      </c>
      <c r="N470" s="51" t="str">
        <f>IF(AND('331-CT'!$E$7=TH!H470,OR(L470="331",M470="331")),"331",IF(AND(OR(L470="131",M470="131"),H470='131-CT'!$E$7),"131",""))</f>
        <v/>
      </c>
      <c r="O470" s="51" t="str">
        <f>IF(AND($B470&gt;='111'!$N$11,$B470&lt;='111'!$O$11,OR($L470=$O$7,$M470=$O$7)),"x","")</f>
        <v/>
      </c>
      <c r="P470" s="51" t="str">
        <f>IF(AND($L470=$O$7,$B470&lt;'111'!$N$11),"x","")</f>
        <v/>
      </c>
      <c r="Q470" s="51" t="str">
        <f>IF(AND($M470=$O$7,$B470&lt;'111'!$N$11),"x","")</f>
        <v>x</v>
      </c>
      <c r="R470" s="51" t="str">
        <f>IF(ISERROR(FIND('112'!$M$9,G470,1)),"",IF((AND(FIND('112'!$M$9,G470,1)&gt;=1,$B470&gt;='112'!$N$8,$B470&lt;='112'!$O$8,OR($L470='112'!$I$6,$M470='112'!$I$6))),"x",""))</f>
        <v/>
      </c>
      <c r="S470" s="51" t="str">
        <f>IF(ISERROR(FIND('112'!$M$9,G470,1)),"",IF((AND(LEFT(G470,2)=LEFT('112'!$M$9,2),B470&lt;'112'!$N$8,$L470='112'!$I$6)),"x",""))</f>
        <v/>
      </c>
      <c r="T470" s="51" t="str">
        <f>IF(ISERROR(FIND('112'!$M$9,G470,1)),"",IF((AND(RIGHT(G470,2)=RIGHT('112'!$M$9,2),B470&lt;'112'!$N$8,$M470='112'!$I$6)),"x",""))</f>
        <v/>
      </c>
      <c r="U470" s="51" t="str">
        <f>IF(AND(L470="154",'154'!$O$5&lt;=B470,'154'!$P$5&gt;=B470),"154",IF(AND(L470="632",'632'!$L$5&lt;=B470,'632'!$M$5&gt;=B470),"632",IF(AND(L470="642",'642'!$N$5&lt;=B470,'642'!$O$5&gt;=B470),"642",IF(AND(L470="641",'641'!$N$5&lt;=B470,'641'!$O$5&gt;=B470),"641",""))))</f>
        <v/>
      </c>
      <c r="V470" s="51" t="str">
        <f>IF(OR(TH!L470=TH!$V$7,M470=TH!$V$7),"x","")</f>
        <v>x</v>
      </c>
      <c r="W470" s="51" t="str">
        <f>IF(AND(B470&gt;='IN-NX'!$P$3,B470&lt;='IN-NX'!$Q$3,'IN-NX'!$D$7=D470,OR(LEFT(L470,2)="15",AND(LEFT(M470,2)&lt;&gt;"15",LEFT(M470,2)&lt;&gt;"33"))),"x","")</f>
        <v/>
      </c>
      <c r="X470" s="51" t="str">
        <f>IF(AND(OR(LEFT(TH!L470,2)="15",LEFT(TH!M470,2)="15"),'152-CT'!$J$8=TH!F470),"x","")</f>
        <v/>
      </c>
      <c r="Y470" s="51" t="str">
        <f>IF(AND(OR(LEFT(TH!L470,2)="15",LEFT(TH!M470,2)="15"),TK!$E$7=TH!F470),"x","")</f>
        <v/>
      </c>
      <c r="Z470" s="51" t="str">
        <f>IF(AND(B470&lt;=NKC!$N$8,B470&gt;=NKC!$M$8),"x","")</f>
        <v>x</v>
      </c>
      <c r="AA470" s="803"/>
      <c r="AB470" s="565"/>
      <c r="AD470" s="565"/>
    </row>
    <row r="471" spans="1:31" ht="15.75" customHeight="1">
      <c r="A471" s="804" t="str">
        <f>IF(B471&lt;&gt;"",IF(AND(B471&gt;=_TM1,B471&lt;=_TM2,OR(TH!L471="1111",TH!M471="1111")),TH!D471,""),"")</f>
        <v>C13</v>
      </c>
      <c r="B471" s="36">
        <f t="shared" si="28"/>
        <v>8</v>
      </c>
      <c r="C471" s="189">
        <f t="shared" si="29"/>
        <v>42221</v>
      </c>
      <c r="D471" s="189" t="s">
        <v>1362</v>
      </c>
      <c r="E471" s="189">
        <v>42221</v>
      </c>
      <c r="F471" s="190" t="s">
        <v>560</v>
      </c>
      <c r="G471" s="813" t="s">
        <v>629</v>
      </c>
      <c r="H471" s="7" t="s">
        <v>559</v>
      </c>
      <c r="I471" s="243"/>
      <c r="J471" s="243"/>
      <c r="K471" s="573">
        <v>30455</v>
      </c>
      <c r="L471" s="574" t="s">
        <v>9</v>
      </c>
      <c r="M471" s="574" t="s">
        <v>47</v>
      </c>
      <c r="N471" s="51" t="str">
        <f>IF(AND('331-CT'!$E$7=TH!H471,OR(L471="331",M471="331")),"331",IF(AND(OR(L471="131",M471="131"),H471='131-CT'!$E$7),"131",""))</f>
        <v/>
      </c>
      <c r="O471" s="51" t="str">
        <f>IF(AND($B471&gt;='111'!$N$11,$B471&lt;='111'!$O$11,OR($L471=$O$7,$M471=$O$7)),"x","")</f>
        <v/>
      </c>
      <c r="P471" s="51" t="str">
        <f>IF(AND($L471=$O$7,$B471&lt;'111'!$N$11),"x","")</f>
        <v/>
      </c>
      <c r="Q471" s="51" t="str">
        <f>IF(AND($M471=$O$7,$B471&lt;'111'!$N$11),"x","")</f>
        <v>x</v>
      </c>
      <c r="R471" s="51" t="str">
        <f>IF(ISERROR(FIND('112'!$M$9,G471,1)),"",IF((AND(FIND('112'!$M$9,G471,1)&gt;=1,$B471&gt;='112'!$N$8,$B471&lt;='112'!$O$8,OR($L471='112'!$I$6,$M471='112'!$I$6))),"x",""))</f>
        <v/>
      </c>
      <c r="S471" s="51" t="str">
        <f>IF(ISERROR(FIND('112'!$M$9,G471,1)),"",IF((AND(LEFT(G471,2)=LEFT('112'!$M$9,2),B471&lt;'112'!$N$8,$L471='112'!$I$6)),"x",""))</f>
        <v/>
      </c>
      <c r="T471" s="51" t="str">
        <f>IF(ISERROR(FIND('112'!$M$9,G471,1)),"",IF((AND(RIGHT(G471,2)=RIGHT('112'!$M$9,2),B471&lt;'112'!$N$8,$M471='112'!$I$6)),"x",""))</f>
        <v/>
      </c>
      <c r="U471" s="51" t="str">
        <f>IF(AND(L471="154",'154'!$O$5&lt;=B471,'154'!$P$5&gt;=B471),"154",IF(AND(L471="632",'632'!$L$5&lt;=B471,'632'!$M$5&gt;=B471),"632",IF(AND(L471="642",'642'!$N$5&lt;=B471,'642'!$O$5&gt;=B471),"642",IF(AND(L471="641",'641'!$N$5&lt;=B471,'641'!$O$5&gt;=B471),"641",""))))</f>
        <v/>
      </c>
      <c r="V471" s="51" t="str">
        <f>IF(OR(TH!L471=TH!$V$7,M471=TH!$V$7),"x","")</f>
        <v/>
      </c>
      <c r="W471" s="51" t="str">
        <f>IF(AND(B471&gt;='IN-NX'!$P$3,B471&lt;='IN-NX'!$Q$3,'IN-NX'!$D$7=D471,OR(LEFT(L471,2)="15",AND(LEFT(M471,2)&lt;&gt;"15",LEFT(M471,2)&lt;&gt;"33"))),"x","")</f>
        <v/>
      </c>
      <c r="X471" s="51" t="str">
        <f>IF(AND(OR(LEFT(TH!L471,2)="15",LEFT(TH!M471,2)="15"),'152-CT'!$J$8=TH!F471),"x","")</f>
        <v/>
      </c>
      <c r="Y471" s="51" t="str">
        <f>IF(AND(OR(LEFT(TH!L471,2)="15",LEFT(TH!M471,2)="15"),TK!$E$7=TH!F471),"x","")</f>
        <v/>
      </c>
      <c r="Z471" s="51" t="str">
        <f>IF(AND(B471&lt;=NKC!$N$8,B471&gt;=NKC!$M$8),"x","")</f>
        <v>x</v>
      </c>
      <c r="AA471" s="803">
        <v>3</v>
      </c>
      <c r="AB471" s="565"/>
    </row>
    <row r="472" spans="1:31" ht="15.75" customHeight="1">
      <c r="A472" s="804" t="str">
        <f>IF(B472&lt;&gt;"",IF(AND(B472&gt;=_TM1,B472&lt;=_TM2,OR(TH!L472="1111",TH!M472="1111")),TH!D472,""),"")</f>
        <v>T15</v>
      </c>
      <c r="B472" s="36">
        <f t="shared" si="28"/>
        <v>8</v>
      </c>
      <c r="C472" s="189">
        <f t="shared" si="29"/>
        <v>42222</v>
      </c>
      <c r="D472" s="189" t="s">
        <v>1369</v>
      </c>
      <c r="E472" s="182">
        <v>42222</v>
      </c>
      <c r="F472" s="187" t="s">
        <v>427</v>
      </c>
      <c r="G472" s="811" t="s">
        <v>415</v>
      </c>
      <c r="H472" s="7" t="s">
        <v>437</v>
      </c>
      <c r="I472" s="243"/>
      <c r="J472" s="243"/>
      <c r="K472" s="38">
        <v>7000000</v>
      </c>
      <c r="L472" s="192" t="s">
        <v>47</v>
      </c>
      <c r="M472" s="192" t="s">
        <v>24</v>
      </c>
      <c r="N472" s="51" t="str">
        <f>IF(AND('331-CT'!$E$7=TH!H472,OR(L472="331",M472="331")),"331",IF(AND(OR(L472="131",M472="131"),H472='131-CT'!$E$7),"131",""))</f>
        <v/>
      </c>
      <c r="O472" s="51" t="str">
        <f>IF(AND($B472&gt;='111'!$N$11,$B472&lt;='111'!$O$11,OR($L472=$O$7,$M472=$O$7)),"x","")</f>
        <v/>
      </c>
      <c r="P472" s="51" t="str">
        <f>IF(AND($L472=$O$7,$B472&lt;'111'!$N$11),"x","")</f>
        <v>x</v>
      </c>
      <c r="Q472" s="51" t="str">
        <f>IF(AND($M472=$O$7,$B472&lt;'111'!$N$11),"x","")</f>
        <v/>
      </c>
      <c r="R472" s="51" t="str">
        <f>IF(ISERROR(FIND('112'!$M$9,G472,1)),"",IF((AND(FIND('112'!$M$9,G472,1)&gt;=1,$B472&gt;='112'!$N$8,$B472&lt;='112'!$O$8,OR($L472='112'!$I$6,$M472='112'!$I$6))),"x",""))</f>
        <v/>
      </c>
      <c r="S472" s="51" t="str">
        <f>IF(ISERROR(FIND('112'!$M$9,G472,1)),"",IF((AND(LEFT(G472,2)=LEFT('112'!$M$9,2),B472&lt;'112'!$N$8,$L472='112'!$I$6)),"x",""))</f>
        <v/>
      </c>
      <c r="T472" s="51" t="str">
        <f>IF(ISERROR(FIND('112'!$M$9,G472,1)),"",IF((AND(RIGHT(G472,2)=RIGHT('112'!$M$9,2),B472&lt;'112'!$N$8,$M472='112'!$I$6)),"x",""))</f>
        <v/>
      </c>
      <c r="U472" s="51" t="str">
        <f>IF(AND(L472="154",'154'!$O$5&lt;=B472,'154'!$P$5&gt;=B472),"154",IF(AND(L472="632",'632'!$L$5&lt;=B472,'632'!$M$5&gt;=B472),"632",IF(AND(L472="642",'642'!$N$5&lt;=B472,'642'!$O$5&gt;=B472),"642",IF(AND(L472="641",'641'!$N$5&lt;=B472,'641'!$O$5&gt;=B472),"641",""))))</f>
        <v/>
      </c>
      <c r="V472" s="51" t="str">
        <f>IF(OR(TH!L472=TH!$V$7,M472=TH!$V$7),"x","")</f>
        <v/>
      </c>
      <c r="W472" s="51" t="str">
        <f>IF(AND(B472&gt;='IN-NX'!$P$3,B472&lt;='IN-NX'!$Q$3,'IN-NX'!$D$7=D472,OR(LEFT(L472,2)="15",AND(LEFT(M472,2)&lt;&gt;"15",LEFT(M472,2)&lt;&gt;"33"))),"x","")</f>
        <v/>
      </c>
      <c r="X472" s="51" t="str">
        <f>IF(AND(OR(LEFT(TH!L472,2)="15",LEFT(TH!M472,2)="15"),'152-CT'!$J$8=TH!F472),"x","")</f>
        <v/>
      </c>
      <c r="Y472" s="51" t="str">
        <f>IF(AND(OR(LEFT(TH!L472,2)="15",LEFT(TH!M472,2)="15"),TK!$E$7=TH!F472),"x","")</f>
        <v/>
      </c>
      <c r="Z472" s="51" t="str">
        <f>IF(AND(B472&lt;=NKC!$N$8,B472&gt;=NKC!$M$8),"x","")</f>
        <v>x</v>
      </c>
      <c r="AA472" s="803"/>
      <c r="AD472" s="565"/>
      <c r="AE472" s="565"/>
    </row>
    <row r="473" spans="1:31" ht="15.75" customHeight="1">
      <c r="A473" s="804" t="str">
        <f>IF(B473&lt;&gt;"",IF(AND(B473&gt;=_TM1,B473&lt;=_TM2,OR(TH!L473="1111",TH!M473="1111")),TH!D473,""),"")</f>
        <v/>
      </c>
      <c r="B473" s="36">
        <f t="shared" ref="B473:B537" si="30">IF(C473&lt;&gt;"",MONTH(C473),"")</f>
        <v>8</v>
      </c>
      <c r="C473" s="189">
        <f t="shared" ref="C473:C537" si="31">E473</f>
        <v>42223</v>
      </c>
      <c r="D473" s="189" t="s">
        <v>421</v>
      </c>
      <c r="E473" s="182">
        <v>42223</v>
      </c>
      <c r="F473" s="187" t="s">
        <v>423</v>
      </c>
      <c r="G473" s="811" t="s">
        <v>415</v>
      </c>
      <c r="H473" s="202" t="s">
        <v>424</v>
      </c>
      <c r="I473" s="243"/>
      <c r="J473" s="243"/>
      <c r="K473" s="38">
        <v>10186700</v>
      </c>
      <c r="L473" s="192" t="s">
        <v>24</v>
      </c>
      <c r="M473" s="192" t="s">
        <v>250</v>
      </c>
      <c r="N473" s="51" t="str">
        <f>IF(AND('331-CT'!$E$7=TH!H473,OR(L473="331",M473="331")),"331",IF(AND(OR(L473="131",M473="131"),H473='131-CT'!$E$7),"131",""))</f>
        <v/>
      </c>
      <c r="O473" s="51" t="str">
        <f>IF(AND($B473&gt;='111'!$N$11,$B473&lt;='111'!$O$11,OR($L473=$O$7,$M473=$O$7)),"x","")</f>
        <v/>
      </c>
      <c r="P473" s="51" t="str">
        <f>IF(AND($L473=$O$7,$B473&lt;'111'!$N$11),"x","")</f>
        <v/>
      </c>
      <c r="Q473" s="51" t="str">
        <f>IF(AND($M473=$O$7,$B473&lt;'111'!$N$11),"x","")</f>
        <v/>
      </c>
      <c r="R473" s="51" t="str">
        <f>IF(ISERROR(FIND('112'!$M$9,G473,1)),"",IF((AND(FIND('112'!$M$9,G473,1)&gt;=1,$B473&gt;='112'!$N$8,$B473&lt;='112'!$O$8,OR($L473='112'!$I$6,$M473='112'!$I$6))),"x",""))</f>
        <v/>
      </c>
      <c r="S473" s="51" t="str">
        <f>IF(ISERROR(FIND('112'!$M$9,G473,1)),"",IF((AND(LEFT(G473,2)=LEFT('112'!$M$9,2),B473&lt;'112'!$N$8,$L473='112'!$I$6)),"x",""))</f>
        <v/>
      </c>
      <c r="T473" s="51" t="str">
        <f>IF(ISERROR(FIND('112'!$M$9,G473,1)),"",IF((AND(RIGHT(G473,2)=RIGHT('112'!$M$9,2),B473&lt;'112'!$N$8,$M473='112'!$I$6)),"x",""))</f>
        <v/>
      </c>
      <c r="U473" s="51" t="str">
        <f>IF(AND(L473="154",'154'!$O$5&lt;=B473,'154'!$P$5&gt;=B473),"154",IF(AND(L473="632",'632'!$L$5&lt;=B473,'632'!$M$5&gt;=B473),"632",IF(AND(L473="642",'642'!$N$5&lt;=B473,'642'!$O$5&gt;=B473),"642",IF(AND(L473="641",'641'!$N$5&lt;=B473,'641'!$O$5&gt;=B473),"641",""))))</f>
        <v/>
      </c>
      <c r="V473" s="51" t="str">
        <f>IF(OR(TH!L473=TH!$V$7,M473=TH!$V$7),"x","")</f>
        <v/>
      </c>
      <c r="W473" s="51" t="str">
        <f>IF(AND(B473&gt;='IN-NX'!$P$3,B473&lt;='IN-NX'!$Q$3,'IN-NX'!$D$7=D473,OR(LEFT(L473,2)="15",AND(LEFT(M473,2)&lt;&gt;"15",LEFT(M473,2)&lt;&gt;"33"))),"x","")</f>
        <v/>
      </c>
      <c r="X473" s="51" t="str">
        <f>IF(AND(OR(LEFT(TH!L473,2)="15",LEFT(TH!M473,2)="15"),'152-CT'!$J$8=TH!F473),"x","")</f>
        <v/>
      </c>
      <c r="Y473" s="51" t="str">
        <f>IF(AND(OR(LEFT(TH!L473,2)="15",LEFT(TH!M473,2)="15"),TK!$E$7=TH!F473),"x","")</f>
        <v/>
      </c>
      <c r="Z473" s="51" t="str">
        <f>IF(AND(B473&lt;=NKC!$N$8,B473&gt;=NKC!$M$8),"x","")</f>
        <v>x</v>
      </c>
      <c r="AA473" s="803"/>
      <c r="AB473" s="565"/>
      <c r="AD473" s="565"/>
      <c r="AE473" s="565"/>
    </row>
    <row r="474" spans="1:31" ht="15.75" customHeight="1">
      <c r="A474" s="804" t="str">
        <f>IF(B474&lt;&gt;"",IF(AND(B474&gt;=_TM1,B474&lt;=_TM2,OR(TH!L474="1111",TH!M474="1111")),TH!D474,""),"")</f>
        <v>T16</v>
      </c>
      <c r="B474" s="36">
        <f t="shared" si="30"/>
        <v>8</v>
      </c>
      <c r="C474" s="189">
        <f t="shared" si="31"/>
        <v>42223</v>
      </c>
      <c r="D474" s="189" t="s">
        <v>1370</v>
      </c>
      <c r="E474" s="182">
        <v>42223</v>
      </c>
      <c r="F474" s="187" t="s">
        <v>427</v>
      </c>
      <c r="G474" s="811" t="s">
        <v>415</v>
      </c>
      <c r="H474" s="7" t="s">
        <v>437</v>
      </c>
      <c r="I474" s="243"/>
      <c r="J474" s="243"/>
      <c r="K474" s="573">
        <v>8500000</v>
      </c>
      <c r="L474" s="192" t="s">
        <v>47</v>
      </c>
      <c r="M474" s="192" t="s">
        <v>24</v>
      </c>
      <c r="N474" s="51" t="str">
        <f>IF(AND('331-CT'!$E$7=TH!H474,OR(L474="331",M474="331")),"331",IF(AND(OR(L474="131",M474="131"),H474='131-CT'!$E$7),"131",""))</f>
        <v/>
      </c>
      <c r="O474" s="51" t="str">
        <f>IF(AND($B474&gt;='111'!$N$11,$B474&lt;='111'!$O$11,OR($L474=$O$7,$M474=$O$7)),"x","")</f>
        <v/>
      </c>
      <c r="P474" s="51" t="str">
        <f>IF(AND($L474=$O$7,$B474&lt;'111'!$N$11),"x","")</f>
        <v>x</v>
      </c>
      <c r="Q474" s="51" t="str">
        <f>IF(AND($M474=$O$7,$B474&lt;'111'!$N$11),"x","")</f>
        <v/>
      </c>
      <c r="R474" s="51" t="str">
        <f>IF(ISERROR(FIND('112'!$M$9,G474,1)),"",IF((AND(FIND('112'!$M$9,G474,1)&gt;=1,$B474&gt;='112'!$N$8,$B474&lt;='112'!$O$8,OR($L474='112'!$I$6,$M474='112'!$I$6))),"x",""))</f>
        <v/>
      </c>
      <c r="S474" s="51" t="str">
        <f>IF(ISERROR(FIND('112'!$M$9,G474,1)),"",IF((AND(LEFT(G474,2)=LEFT('112'!$M$9,2),B474&lt;'112'!$N$8,$L474='112'!$I$6)),"x",""))</f>
        <v/>
      </c>
      <c r="T474" s="51" t="str">
        <f>IF(ISERROR(FIND('112'!$M$9,G474,1)),"",IF((AND(RIGHT(G474,2)=RIGHT('112'!$M$9,2),B474&lt;'112'!$N$8,$M474='112'!$I$6)),"x",""))</f>
        <v/>
      </c>
      <c r="U474" s="51" t="str">
        <f>IF(AND(L474="154",'154'!$O$5&lt;=B474,'154'!$P$5&gt;=B474),"154",IF(AND(L474="632",'632'!$L$5&lt;=B474,'632'!$M$5&gt;=B474),"632",IF(AND(L474="642",'642'!$N$5&lt;=B474,'642'!$O$5&gt;=B474),"642",IF(AND(L474="641",'641'!$N$5&lt;=B474,'641'!$O$5&gt;=B474),"641",""))))</f>
        <v/>
      </c>
      <c r="V474" s="51" t="str">
        <f>IF(OR(TH!L474=TH!$V$7,M474=TH!$V$7),"x","")</f>
        <v/>
      </c>
      <c r="W474" s="51" t="str">
        <f>IF(AND(B474&gt;='IN-NX'!$P$3,B474&lt;='IN-NX'!$Q$3,'IN-NX'!$D$7=D474,OR(LEFT(L474,2)="15",AND(LEFT(M474,2)&lt;&gt;"15",LEFT(M474,2)&lt;&gt;"33"))),"x","")</f>
        <v/>
      </c>
      <c r="X474" s="51" t="str">
        <f>IF(AND(OR(LEFT(TH!L474,2)="15",LEFT(TH!M474,2)="15"),'152-CT'!$J$8=TH!F474),"x","")</f>
        <v/>
      </c>
      <c r="Y474" s="51" t="str">
        <f>IF(AND(OR(LEFT(TH!L474,2)="15",LEFT(TH!M474,2)="15"),TK!$E$7=TH!F474),"x","")</f>
        <v/>
      </c>
      <c r="Z474" s="51" t="str">
        <f>IF(AND(B474&lt;=NKC!$N$8,B474&gt;=NKC!$M$8),"x","")</f>
        <v>x</v>
      </c>
      <c r="AA474" s="803"/>
      <c r="AB474" s="565"/>
      <c r="AD474" s="565"/>
      <c r="AE474" s="565"/>
    </row>
    <row r="475" spans="1:31" ht="15.75" customHeight="1">
      <c r="A475" s="804" t="str">
        <f>IF(B475&lt;&gt;"",IF(AND(B475&gt;=_TM1,B475&lt;=_TM2,OR(TH!L475="1111",TH!M475="1111")),TH!D475,""),"")</f>
        <v>C14</v>
      </c>
      <c r="B475" s="36">
        <f t="shared" si="30"/>
        <v>8</v>
      </c>
      <c r="C475" s="189">
        <f t="shared" si="31"/>
        <v>42223</v>
      </c>
      <c r="D475" s="189" t="s">
        <v>1363</v>
      </c>
      <c r="E475" s="189">
        <v>42223</v>
      </c>
      <c r="F475" s="190" t="s">
        <v>490</v>
      </c>
      <c r="G475" s="813" t="s">
        <v>619</v>
      </c>
      <c r="H475" s="191" t="s">
        <v>540</v>
      </c>
      <c r="I475" s="243"/>
      <c r="J475" s="243"/>
      <c r="K475" s="573">
        <v>1296000</v>
      </c>
      <c r="L475" s="574" t="s">
        <v>251</v>
      </c>
      <c r="M475" s="574" t="s">
        <v>47</v>
      </c>
      <c r="N475" s="51" t="str">
        <f>IF(AND('331-CT'!$E$7=TH!H475,OR(L475="331",M475="331")),"331",IF(AND(OR(L475="131",M475="131"),H475='131-CT'!$E$7),"131",""))</f>
        <v/>
      </c>
      <c r="O475" s="51" t="str">
        <f>IF(AND($B475&gt;='111'!$N$11,$B475&lt;='111'!$O$11,OR($L475=$O$7,$M475=$O$7)),"x","")</f>
        <v/>
      </c>
      <c r="P475" s="51" t="str">
        <f>IF(AND($L475=$O$7,$B475&lt;'111'!$N$11),"x","")</f>
        <v/>
      </c>
      <c r="Q475" s="51" t="str">
        <f>IF(AND($M475=$O$7,$B475&lt;'111'!$N$11),"x","")</f>
        <v>x</v>
      </c>
      <c r="R475" s="51" t="str">
        <f>IF(ISERROR(FIND('112'!$M$9,G475,1)),"",IF((AND(FIND('112'!$M$9,G475,1)&gt;=1,$B475&gt;='112'!$N$8,$B475&lt;='112'!$O$8,OR($L475='112'!$I$6,$M475='112'!$I$6))),"x",""))</f>
        <v/>
      </c>
      <c r="S475" s="51" t="str">
        <f>IF(ISERROR(FIND('112'!$M$9,G475,1)),"",IF((AND(LEFT(G475,2)=LEFT('112'!$M$9,2),B475&lt;'112'!$N$8,$L475='112'!$I$6)),"x",""))</f>
        <v/>
      </c>
      <c r="T475" s="51" t="str">
        <f>IF(ISERROR(FIND('112'!$M$9,G475,1)),"",IF((AND(RIGHT(G475,2)=RIGHT('112'!$M$9,2),B475&lt;'112'!$N$8,$M475='112'!$I$6)),"x",""))</f>
        <v/>
      </c>
      <c r="U475" s="51" t="str">
        <f>IF(AND(L475="154",'154'!$O$5&lt;=B475,'154'!$P$5&gt;=B475),"154",IF(AND(L475="632",'632'!$L$5&lt;=B475,'632'!$M$5&gt;=B475),"632",IF(AND(L475="642",'642'!$N$5&lt;=B475,'642'!$O$5&gt;=B475),"642",IF(AND(L475="641",'641'!$N$5&lt;=B475,'641'!$O$5&gt;=B475),"641",""))))</f>
        <v>641</v>
      </c>
      <c r="V475" s="51" t="str">
        <f>IF(OR(TH!L475=TH!$V$7,M475=TH!$V$7),"x","")</f>
        <v/>
      </c>
      <c r="W475" s="51" t="str">
        <f>IF(AND(B475&gt;='IN-NX'!$P$3,B475&lt;='IN-NX'!$Q$3,'IN-NX'!$D$7=D475,OR(LEFT(L475,2)="15",AND(LEFT(M475,2)&lt;&gt;"15",LEFT(M475,2)&lt;&gt;"33"))),"x","")</f>
        <v/>
      </c>
      <c r="X475" s="51" t="str">
        <f>IF(AND(OR(LEFT(TH!L475,2)="15",LEFT(TH!M475,2)="15"),'152-CT'!$J$8=TH!F475),"x","")</f>
        <v/>
      </c>
      <c r="Y475" s="51" t="str">
        <f>IF(AND(OR(LEFT(TH!L475,2)="15",LEFT(TH!M475,2)="15"),TK!$E$7=TH!F475),"x","")</f>
        <v/>
      </c>
      <c r="Z475" s="51" t="str">
        <f>IF(AND(B475&lt;=NKC!$N$8,B475&gt;=NKC!$M$8),"x","")</f>
        <v>x</v>
      </c>
      <c r="AA475" s="803"/>
      <c r="AB475" s="565"/>
    </row>
    <row r="476" spans="1:31" ht="15.75" customHeight="1">
      <c r="A476" s="804" t="str">
        <f>IF(B476&lt;&gt;"",IF(AND(B476&gt;=_TM1,B476&lt;=_TM2,OR(TH!L476="1111",TH!M476="1111")),TH!D476,""),"")</f>
        <v>C14</v>
      </c>
      <c r="B476" s="36">
        <f t="shared" si="30"/>
        <v>8</v>
      </c>
      <c r="C476" s="189">
        <f t="shared" si="31"/>
        <v>42223</v>
      </c>
      <c r="D476" s="189" t="s">
        <v>1363</v>
      </c>
      <c r="E476" s="189">
        <v>42223</v>
      </c>
      <c r="F476" s="190" t="s">
        <v>491</v>
      </c>
      <c r="G476" s="813" t="s">
        <v>619</v>
      </c>
      <c r="H476" s="191" t="s">
        <v>540</v>
      </c>
      <c r="I476" s="243"/>
      <c r="J476" s="243"/>
      <c r="K476" s="573">
        <v>129600</v>
      </c>
      <c r="L476" s="574" t="s">
        <v>9</v>
      </c>
      <c r="M476" s="574" t="s">
        <v>47</v>
      </c>
      <c r="N476" s="51" t="str">
        <f>IF(AND('331-CT'!$E$7=TH!H476,OR(L476="331",M476="331")),"331",IF(AND(OR(L476="131",M476="131"),H476='131-CT'!$E$7),"131",""))</f>
        <v/>
      </c>
      <c r="O476" s="51" t="str">
        <f>IF(AND($B476&gt;='111'!$N$11,$B476&lt;='111'!$O$11,OR($L476=$O$7,$M476=$O$7)),"x","")</f>
        <v/>
      </c>
      <c r="P476" s="51" t="str">
        <f>IF(AND($L476=$O$7,$B476&lt;'111'!$N$11),"x","")</f>
        <v/>
      </c>
      <c r="Q476" s="51" t="str">
        <f>IF(AND($M476=$O$7,$B476&lt;'111'!$N$11),"x","")</f>
        <v>x</v>
      </c>
      <c r="R476" s="51" t="str">
        <f>IF(ISERROR(FIND('112'!$M$9,G476,1)),"",IF((AND(FIND('112'!$M$9,G476,1)&gt;=1,$B476&gt;='112'!$N$8,$B476&lt;='112'!$O$8,OR($L476='112'!$I$6,$M476='112'!$I$6))),"x",""))</f>
        <v/>
      </c>
      <c r="S476" s="51" t="str">
        <f>IF(ISERROR(FIND('112'!$M$9,G476,1)),"",IF((AND(LEFT(G476,2)=LEFT('112'!$M$9,2),B476&lt;'112'!$N$8,$L476='112'!$I$6)),"x",""))</f>
        <v/>
      </c>
      <c r="T476" s="51" t="str">
        <f>IF(ISERROR(FIND('112'!$M$9,G476,1)),"",IF((AND(RIGHT(G476,2)=RIGHT('112'!$M$9,2),B476&lt;'112'!$N$8,$M476='112'!$I$6)),"x",""))</f>
        <v/>
      </c>
      <c r="U476" s="51" t="str">
        <f>IF(AND(L476="154",'154'!$O$5&lt;=B476,'154'!$P$5&gt;=B476),"154",IF(AND(L476="632",'632'!$L$5&lt;=B476,'632'!$M$5&gt;=B476),"632",IF(AND(L476="642",'642'!$N$5&lt;=B476,'642'!$O$5&gt;=B476),"642",IF(AND(L476="641",'641'!$N$5&lt;=B476,'641'!$O$5&gt;=B476),"641",""))))</f>
        <v/>
      </c>
      <c r="V476" s="51" t="str">
        <f>IF(OR(TH!L476=TH!$V$7,M476=TH!$V$7),"x","")</f>
        <v/>
      </c>
      <c r="W476" s="51" t="str">
        <f>IF(AND(B476&gt;='IN-NX'!$P$3,B476&lt;='IN-NX'!$Q$3,'IN-NX'!$D$7=D476,OR(LEFT(L476,2)="15",AND(LEFT(M476,2)&lt;&gt;"15",LEFT(M476,2)&lt;&gt;"33"))),"x","")</f>
        <v/>
      </c>
      <c r="X476" s="51" t="str">
        <f>IF(AND(OR(LEFT(TH!L476,2)="15",LEFT(TH!M476,2)="15"),'152-CT'!$J$8=TH!F476),"x","")</f>
        <v/>
      </c>
      <c r="Y476" s="51" t="str">
        <f>IF(AND(OR(LEFT(TH!L476,2)="15",LEFT(TH!M476,2)="15"),TK!$E$7=TH!F476),"x","")</f>
        <v/>
      </c>
      <c r="Z476" s="51" t="str">
        <f>IF(AND(B476&lt;=NKC!$N$8,B476&gt;=NKC!$M$8),"x","")</f>
        <v>x</v>
      </c>
      <c r="AA476" s="803">
        <v>3</v>
      </c>
      <c r="AB476" s="565"/>
    </row>
    <row r="477" spans="1:31" ht="15.75" customHeight="1">
      <c r="A477" s="804" t="str">
        <f>IF(B477&lt;&gt;"",IF(AND(B477&gt;=_TM1,B477&lt;=_TM2,OR(TH!L477="1111",TH!M477="1111")),TH!D477,""),"")</f>
        <v/>
      </c>
      <c r="B477" s="36">
        <f t="shared" si="30"/>
        <v>8</v>
      </c>
      <c r="C477" s="189">
        <f t="shared" si="31"/>
        <v>42224</v>
      </c>
      <c r="D477" s="189" t="s">
        <v>1340</v>
      </c>
      <c r="E477" s="189">
        <v>42224</v>
      </c>
      <c r="F477" s="190" t="s">
        <v>623</v>
      </c>
      <c r="G477" s="813" t="s">
        <v>622</v>
      </c>
      <c r="H477" s="191" t="s">
        <v>494</v>
      </c>
      <c r="I477" s="243">
        <v>500</v>
      </c>
      <c r="J477" s="243">
        <v>30875</v>
      </c>
      <c r="K477" s="573">
        <f t="shared" ref="K477:K484" si="32">ROUND(I477*J477,0)</f>
        <v>15437500</v>
      </c>
      <c r="L477" s="574" t="s">
        <v>417</v>
      </c>
      <c r="M477" s="574" t="s">
        <v>8</v>
      </c>
      <c r="N477" s="51" t="str">
        <f>IF(AND('331-CT'!$E$7=TH!H477,OR(L477="331",M477="331")),"331",IF(AND(OR(L477="131",M477="131"),H477='131-CT'!$E$7),"131",""))</f>
        <v/>
      </c>
      <c r="O477" s="51" t="str">
        <f>IF(AND($B477&gt;='111'!$N$11,$B477&lt;='111'!$O$11,OR($L477=$O$7,$M477=$O$7)),"x","")</f>
        <v/>
      </c>
      <c r="P477" s="51" t="str">
        <f>IF(AND($L477=$O$7,$B477&lt;'111'!$N$11),"x","")</f>
        <v/>
      </c>
      <c r="Q477" s="51" t="str">
        <f>IF(AND($M477=$O$7,$B477&lt;'111'!$N$11),"x","")</f>
        <v/>
      </c>
      <c r="R477" s="51" t="str">
        <f>IF(ISERROR(FIND('112'!$M$9,G477,1)),"",IF((AND(FIND('112'!$M$9,G477,1)&gt;=1,$B477&gt;='112'!$N$8,$B477&lt;='112'!$O$8,OR($L477='112'!$I$6,$M477='112'!$I$6))),"x",""))</f>
        <v/>
      </c>
      <c r="S477" s="51" t="str">
        <f>IF(ISERROR(FIND('112'!$M$9,G477,1)),"",IF((AND(LEFT(G477,2)=LEFT('112'!$M$9,2),B477&lt;'112'!$N$8,$L477='112'!$I$6)),"x",""))</f>
        <v/>
      </c>
      <c r="T477" s="51" t="str">
        <f>IF(ISERROR(FIND('112'!$M$9,G477,1)),"",IF((AND(RIGHT(G477,2)=RIGHT('112'!$M$9,2),B477&lt;'112'!$N$8,$M477='112'!$I$6)),"x",""))</f>
        <v/>
      </c>
      <c r="U477" s="51" t="str">
        <f>IF(AND(L477="154",'154'!$O$5&lt;=B477,'154'!$P$5&gt;=B477),"154",IF(AND(L477="632",'632'!$L$5&lt;=B477,'632'!$M$5&gt;=B477),"632",IF(AND(L477="642",'642'!$N$5&lt;=B477,'642'!$O$5&gt;=B477),"642",IF(AND(L477="641",'641'!$N$5&lt;=B477,'641'!$O$5&gt;=B477),"641",""))))</f>
        <v/>
      </c>
      <c r="V477" s="51" t="str">
        <f>IF(OR(TH!L477=TH!$V$7,M477=TH!$V$7),"x","")</f>
        <v/>
      </c>
      <c r="W477" s="51" t="str">
        <f>IF(AND(B477&gt;='IN-NX'!$P$3,B477&lt;='IN-NX'!$Q$3,'IN-NX'!$D$7=D477,OR(LEFT(L477,2)="15",AND(LEFT(M477,2)&lt;&gt;"15",LEFT(M477,2)&lt;&gt;"33"))),"x","")</f>
        <v/>
      </c>
      <c r="X477" s="51" t="str">
        <f>IF(AND(OR(LEFT(TH!L477,2)="15",LEFT(TH!M477,2)="15"),'152-CT'!$J$8=TH!F477),"x","")</f>
        <v/>
      </c>
      <c r="Y477" s="51" t="str">
        <f>IF(AND(OR(LEFT(TH!L477,2)="15",LEFT(TH!M477,2)="15"),TK!$E$7=TH!F477),"x","")</f>
        <v/>
      </c>
      <c r="Z477" s="51" t="str">
        <f>IF(AND(B477&lt;=NKC!$N$8,B477&gt;=NKC!$M$8),"x","")</f>
        <v>x</v>
      </c>
      <c r="AA477" s="803"/>
      <c r="AB477" s="565"/>
    </row>
    <row r="478" spans="1:31" ht="15.75" customHeight="1">
      <c r="A478" s="804" t="str">
        <f>IF(B478&lt;&gt;"",IF(AND(B478&gt;=_TM1,B478&lt;=_TM2,OR(TH!L478="1111",TH!M478="1111")),TH!D478,""),"")</f>
        <v/>
      </c>
      <c r="B478" s="36">
        <f t="shared" si="30"/>
        <v>8</v>
      </c>
      <c r="C478" s="189">
        <f t="shared" si="31"/>
        <v>42224</v>
      </c>
      <c r="D478" s="189" t="s">
        <v>1340</v>
      </c>
      <c r="E478" s="189">
        <v>42224</v>
      </c>
      <c r="F478" s="190" t="s">
        <v>624</v>
      </c>
      <c r="G478" s="813" t="s">
        <v>622</v>
      </c>
      <c r="H478" s="191" t="s">
        <v>494</v>
      </c>
      <c r="I478" s="243">
        <v>500</v>
      </c>
      <c r="J478" s="243">
        <v>31155</v>
      </c>
      <c r="K478" s="573">
        <f t="shared" si="32"/>
        <v>15577500</v>
      </c>
      <c r="L478" s="574" t="s">
        <v>417</v>
      </c>
      <c r="M478" s="574" t="s">
        <v>8</v>
      </c>
      <c r="N478" s="51" t="str">
        <f>IF(AND('331-CT'!$E$7=TH!H478,OR(L478="331",M478="331")),"331",IF(AND(OR(L478="131",M478="131"),H478='131-CT'!$E$7),"131",""))</f>
        <v/>
      </c>
      <c r="O478" s="51" t="str">
        <f>IF(AND($B478&gt;='111'!$N$11,$B478&lt;='111'!$O$11,OR($L478=$O$7,$M478=$O$7)),"x","")</f>
        <v/>
      </c>
      <c r="P478" s="51" t="str">
        <f>IF(AND($L478=$O$7,$B478&lt;'111'!$N$11),"x","")</f>
        <v/>
      </c>
      <c r="Q478" s="51" t="str">
        <f>IF(AND($M478=$O$7,$B478&lt;'111'!$N$11),"x","")</f>
        <v/>
      </c>
      <c r="R478" s="51" t="str">
        <f>IF(ISERROR(FIND('112'!$M$9,G478,1)),"",IF((AND(FIND('112'!$M$9,G478,1)&gt;=1,$B478&gt;='112'!$N$8,$B478&lt;='112'!$O$8,OR($L478='112'!$I$6,$M478='112'!$I$6))),"x",""))</f>
        <v/>
      </c>
      <c r="S478" s="51" t="str">
        <f>IF(ISERROR(FIND('112'!$M$9,G478,1)),"",IF((AND(LEFT(G478,2)=LEFT('112'!$M$9,2),B478&lt;'112'!$N$8,$L478='112'!$I$6)),"x",""))</f>
        <v/>
      </c>
      <c r="T478" s="51" t="str">
        <f>IF(ISERROR(FIND('112'!$M$9,G478,1)),"",IF((AND(RIGHT(G478,2)=RIGHT('112'!$M$9,2),B478&lt;'112'!$N$8,$M478='112'!$I$6)),"x",""))</f>
        <v/>
      </c>
      <c r="U478" s="51" t="str">
        <f>IF(AND(L478="154",'154'!$O$5&lt;=B478,'154'!$P$5&gt;=B478),"154",IF(AND(L478="632",'632'!$L$5&lt;=B478,'632'!$M$5&gt;=B478),"632",IF(AND(L478="642",'642'!$N$5&lt;=B478,'642'!$O$5&gt;=B478),"642",IF(AND(L478="641",'641'!$N$5&lt;=B478,'641'!$O$5&gt;=B478),"641",""))))</f>
        <v/>
      </c>
      <c r="V478" s="51" t="str">
        <f>IF(OR(TH!L478=TH!$V$7,M478=TH!$V$7),"x","")</f>
        <v/>
      </c>
      <c r="W478" s="51" t="str">
        <f>IF(AND(B478&gt;='IN-NX'!$P$3,B478&lt;='IN-NX'!$Q$3,'IN-NX'!$D$7=D478,OR(LEFT(L478,2)="15",AND(LEFT(M478,2)&lt;&gt;"15",LEFT(M478,2)&lt;&gt;"33"))),"x","")</f>
        <v/>
      </c>
      <c r="X478" s="51" t="str">
        <f>IF(AND(OR(LEFT(TH!L478,2)="15",LEFT(TH!M478,2)="15"),'152-CT'!$J$8=TH!F478),"x","")</f>
        <v/>
      </c>
      <c r="Y478" s="51" t="str">
        <f>IF(AND(OR(LEFT(TH!L478,2)="15",LEFT(TH!M478,2)="15"),TK!$E$7=TH!F478),"x","")</f>
        <v/>
      </c>
      <c r="Z478" s="51" t="str">
        <f>IF(AND(B478&lt;=NKC!$N$8,B478&gt;=NKC!$M$8),"x","")</f>
        <v>x</v>
      </c>
      <c r="AA478" s="803"/>
      <c r="AB478" s="565"/>
    </row>
    <row r="479" spans="1:31" ht="15.75" customHeight="1">
      <c r="A479" s="804" t="str">
        <f>IF(B479&lt;&gt;"",IF(AND(B479&gt;=_TM1,B479&lt;=_TM2,OR(TH!L479="1111",TH!M479="1111")),TH!D479,""),"")</f>
        <v/>
      </c>
      <c r="B479" s="36">
        <f t="shared" si="30"/>
        <v>8</v>
      </c>
      <c r="C479" s="189">
        <f t="shared" si="31"/>
        <v>42224</v>
      </c>
      <c r="D479" s="189" t="s">
        <v>1340</v>
      </c>
      <c r="E479" s="189">
        <v>42224</v>
      </c>
      <c r="F479" s="190" t="s">
        <v>620</v>
      </c>
      <c r="G479" s="813" t="s">
        <v>622</v>
      </c>
      <c r="H479" s="191" t="s">
        <v>494</v>
      </c>
      <c r="I479" s="243">
        <v>1000</v>
      </c>
      <c r="J479" s="243">
        <v>14250</v>
      </c>
      <c r="K479" s="573">
        <f t="shared" si="32"/>
        <v>14250000</v>
      </c>
      <c r="L479" s="574" t="s">
        <v>417</v>
      </c>
      <c r="M479" s="574" t="s">
        <v>8</v>
      </c>
      <c r="N479" s="51" t="str">
        <f>IF(AND('331-CT'!$E$7=TH!H479,OR(L479="331",M479="331")),"331",IF(AND(OR(L479="131",M479="131"),H479='131-CT'!$E$7),"131",""))</f>
        <v/>
      </c>
      <c r="O479" s="51" t="str">
        <f>IF(AND($B479&gt;='111'!$N$11,$B479&lt;='111'!$O$11,OR($L479=$O$7,$M479=$O$7)),"x","")</f>
        <v/>
      </c>
      <c r="P479" s="51" t="str">
        <f>IF(AND($L479=$O$7,$B479&lt;'111'!$N$11),"x","")</f>
        <v/>
      </c>
      <c r="Q479" s="51" t="str">
        <f>IF(AND($M479=$O$7,$B479&lt;'111'!$N$11),"x","")</f>
        <v/>
      </c>
      <c r="R479" s="51" t="str">
        <f>IF(ISERROR(FIND('112'!$M$9,G479,1)),"",IF((AND(FIND('112'!$M$9,G479,1)&gt;=1,$B479&gt;='112'!$N$8,$B479&lt;='112'!$O$8,OR($L479='112'!$I$6,$M479='112'!$I$6))),"x",""))</f>
        <v/>
      </c>
      <c r="S479" s="51" t="str">
        <f>IF(ISERROR(FIND('112'!$M$9,G479,1)),"",IF((AND(LEFT(G479,2)=LEFT('112'!$M$9,2),B479&lt;'112'!$N$8,$L479='112'!$I$6)),"x",""))</f>
        <v/>
      </c>
      <c r="T479" s="51" t="str">
        <f>IF(ISERROR(FIND('112'!$M$9,G479,1)),"",IF((AND(RIGHT(G479,2)=RIGHT('112'!$M$9,2),B479&lt;'112'!$N$8,$M479='112'!$I$6)),"x",""))</f>
        <v/>
      </c>
      <c r="U479" s="51" t="str">
        <f>IF(AND(L479="154",'154'!$O$5&lt;=B479,'154'!$P$5&gt;=B479),"154",IF(AND(L479="632",'632'!$L$5&lt;=B479,'632'!$M$5&gt;=B479),"632",IF(AND(L479="642",'642'!$N$5&lt;=B479,'642'!$O$5&gt;=B479),"642",IF(AND(L479="641",'641'!$N$5&lt;=B479,'641'!$O$5&gt;=B479),"641",""))))</f>
        <v/>
      </c>
      <c r="V479" s="51" t="str">
        <f>IF(OR(TH!L479=TH!$V$7,M479=TH!$V$7),"x","")</f>
        <v/>
      </c>
      <c r="W479" s="51" t="str">
        <f>IF(AND(B479&gt;='IN-NX'!$P$3,B479&lt;='IN-NX'!$Q$3,'IN-NX'!$D$7=D479,OR(LEFT(L479,2)="15",AND(LEFT(M479,2)&lt;&gt;"15",LEFT(M479,2)&lt;&gt;"33"))),"x","")</f>
        <v/>
      </c>
      <c r="X479" s="51" t="str">
        <f>IF(AND(OR(LEFT(TH!L479,2)="15",LEFT(TH!M479,2)="15"),'152-CT'!$J$8=TH!F479),"x","")</f>
        <v/>
      </c>
      <c r="Y479" s="51" t="str">
        <f>IF(AND(OR(LEFT(TH!L479,2)="15",LEFT(TH!M479,2)="15"),TK!$E$7=TH!F479),"x","")</f>
        <v/>
      </c>
      <c r="Z479" s="51" t="str">
        <f>IF(AND(B479&lt;=NKC!$N$8,B479&gt;=NKC!$M$8),"x","")</f>
        <v>x</v>
      </c>
      <c r="AA479" s="803"/>
      <c r="AB479" s="565"/>
    </row>
    <row r="480" spans="1:31" ht="15.75" customHeight="1">
      <c r="A480" s="804" t="str">
        <f>IF(B480&lt;&gt;"",IF(AND(B480&gt;=_TM1,B480&lt;=_TM2,OR(TH!L480="1111",TH!M480="1111")),TH!D480,""),"")</f>
        <v/>
      </c>
      <c r="B480" s="36">
        <f t="shared" si="30"/>
        <v>8</v>
      </c>
      <c r="C480" s="189">
        <f t="shared" si="31"/>
        <v>42224</v>
      </c>
      <c r="D480" s="189" t="s">
        <v>1340</v>
      </c>
      <c r="E480" s="189">
        <v>42224</v>
      </c>
      <c r="F480" s="190" t="s">
        <v>621</v>
      </c>
      <c r="G480" s="813" t="s">
        <v>622</v>
      </c>
      <c r="H480" s="191" t="s">
        <v>494</v>
      </c>
      <c r="I480" s="243">
        <v>1500</v>
      </c>
      <c r="J480" s="243">
        <v>15675</v>
      </c>
      <c r="K480" s="573">
        <f t="shared" si="32"/>
        <v>23512500</v>
      </c>
      <c r="L480" s="574" t="s">
        <v>417</v>
      </c>
      <c r="M480" s="574" t="s">
        <v>8</v>
      </c>
      <c r="N480" s="51" t="str">
        <f>IF(AND('331-CT'!$E$7=TH!H480,OR(L480="331",M480="331")),"331",IF(AND(OR(L480="131",M480="131"),H480='131-CT'!$E$7),"131",""))</f>
        <v/>
      </c>
      <c r="O480" s="51" t="str">
        <f>IF(AND($B480&gt;='111'!$N$11,$B480&lt;='111'!$O$11,OR($L480=$O$7,$M480=$O$7)),"x","")</f>
        <v/>
      </c>
      <c r="P480" s="51" t="str">
        <f>IF(AND($L480=$O$7,$B480&lt;'111'!$N$11),"x","")</f>
        <v/>
      </c>
      <c r="Q480" s="51" t="str">
        <f>IF(AND($M480=$O$7,$B480&lt;'111'!$N$11),"x","")</f>
        <v/>
      </c>
      <c r="R480" s="51" t="str">
        <f>IF(ISERROR(FIND('112'!$M$9,G480,1)),"",IF((AND(FIND('112'!$M$9,G480,1)&gt;=1,$B480&gt;='112'!$N$8,$B480&lt;='112'!$O$8,OR($L480='112'!$I$6,$M480='112'!$I$6))),"x",""))</f>
        <v/>
      </c>
      <c r="S480" s="51" t="str">
        <f>IF(ISERROR(FIND('112'!$M$9,G480,1)),"",IF((AND(LEFT(G480,2)=LEFT('112'!$M$9,2),B480&lt;'112'!$N$8,$L480='112'!$I$6)),"x",""))</f>
        <v/>
      </c>
      <c r="T480" s="51" t="str">
        <f>IF(ISERROR(FIND('112'!$M$9,G480,1)),"",IF((AND(RIGHT(G480,2)=RIGHT('112'!$M$9,2),B480&lt;'112'!$N$8,$M480='112'!$I$6)),"x",""))</f>
        <v/>
      </c>
      <c r="U480" s="51" t="str">
        <f>IF(AND(L480="154",'154'!$O$5&lt;=B480,'154'!$P$5&gt;=B480),"154",IF(AND(L480="632",'632'!$L$5&lt;=B480,'632'!$M$5&gt;=B480),"632",IF(AND(L480="642",'642'!$N$5&lt;=B480,'642'!$O$5&gt;=B480),"642",IF(AND(L480="641",'641'!$N$5&lt;=B480,'641'!$O$5&gt;=B480),"641",""))))</f>
        <v/>
      </c>
      <c r="V480" s="51" t="str">
        <f>IF(OR(TH!L480=TH!$V$7,M480=TH!$V$7),"x","")</f>
        <v/>
      </c>
      <c r="W480" s="51" t="str">
        <f>IF(AND(B480&gt;='IN-NX'!$P$3,B480&lt;='IN-NX'!$Q$3,'IN-NX'!$D$7=D480,OR(LEFT(L480,2)="15",AND(LEFT(M480,2)&lt;&gt;"15",LEFT(M480,2)&lt;&gt;"33"))),"x","")</f>
        <v/>
      </c>
      <c r="X480" s="51" t="str">
        <f>IF(AND(OR(LEFT(TH!L480,2)="15",LEFT(TH!M480,2)="15"),'152-CT'!$J$8=TH!F480),"x","")</f>
        <v/>
      </c>
      <c r="Y480" s="51" t="str">
        <f>IF(AND(OR(LEFT(TH!L480,2)="15",LEFT(TH!M480,2)="15"),TK!$E$7=TH!F480),"x","")</f>
        <v/>
      </c>
      <c r="Z480" s="51" t="str">
        <f>IF(AND(B480&lt;=NKC!$N$8,B480&gt;=NKC!$M$8),"x","")</f>
        <v>x</v>
      </c>
      <c r="AA480" s="803"/>
      <c r="AB480" s="565"/>
    </row>
    <row r="481" spans="1:31" ht="15.75" customHeight="1">
      <c r="A481" s="804" t="str">
        <f>IF(B481&lt;&gt;"",IF(AND(B481&gt;=_TM1,B481&lt;=_TM2,OR(TH!L481="1111",TH!M481="1111")),TH!D481,""),"")</f>
        <v/>
      </c>
      <c r="B481" s="36">
        <f t="shared" si="30"/>
        <v>8</v>
      </c>
      <c r="C481" s="189">
        <f t="shared" si="31"/>
        <v>42224</v>
      </c>
      <c r="D481" s="189" t="s">
        <v>1340</v>
      </c>
      <c r="E481" s="189">
        <v>42224</v>
      </c>
      <c r="F481" s="190" t="s">
        <v>1203</v>
      </c>
      <c r="G481" s="813" t="s">
        <v>622</v>
      </c>
      <c r="H481" s="191" t="s">
        <v>494</v>
      </c>
      <c r="I481" s="243">
        <v>100</v>
      </c>
      <c r="J481" s="243">
        <v>10930</v>
      </c>
      <c r="K481" s="573">
        <f t="shared" si="32"/>
        <v>1093000</v>
      </c>
      <c r="L481" s="574" t="s">
        <v>417</v>
      </c>
      <c r="M481" s="574" t="s">
        <v>8</v>
      </c>
      <c r="N481" s="51" t="str">
        <f>IF(AND('331-CT'!$E$7=TH!H481,OR(L481="331",M481="331")),"331",IF(AND(OR(L481="131",M481="131"),H481='131-CT'!$E$7),"131",""))</f>
        <v/>
      </c>
      <c r="O481" s="51" t="str">
        <f>IF(AND($B481&gt;='111'!$N$11,$B481&lt;='111'!$O$11,OR($L481=$O$7,$M481=$O$7)),"x","")</f>
        <v/>
      </c>
      <c r="P481" s="51" t="str">
        <f>IF(AND($L481=$O$7,$B481&lt;'111'!$N$11),"x","")</f>
        <v/>
      </c>
      <c r="Q481" s="51" t="str">
        <f>IF(AND($M481=$O$7,$B481&lt;'111'!$N$11),"x","")</f>
        <v/>
      </c>
      <c r="R481" s="51" t="str">
        <f>IF(ISERROR(FIND('112'!$M$9,G481,1)),"",IF((AND(FIND('112'!$M$9,G481,1)&gt;=1,$B481&gt;='112'!$N$8,$B481&lt;='112'!$O$8,OR($L481='112'!$I$6,$M481='112'!$I$6))),"x",""))</f>
        <v/>
      </c>
      <c r="S481" s="51" t="str">
        <f>IF(ISERROR(FIND('112'!$M$9,G481,1)),"",IF((AND(LEFT(G481,2)=LEFT('112'!$M$9,2),B481&lt;'112'!$N$8,$L481='112'!$I$6)),"x",""))</f>
        <v/>
      </c>
      <c r="T481" s="51" t="str">
        <f>IF(ISERROR(FIND('112'!$M$9,G481,1)),"",IF((AND(RIGHT(G481,2)=RIGHT('112'!$M$9,2),B481&lt;'112'!$N$8,$M481='112'!$I$6)),"x",""))</f>
        <v/>
      </c>
      <c r="U481" s="51" t="str">
        <f>IF(AND(L481="154",'154'!$O$5&lt;=B481,'154'!$P$5&gt;=B481),"154",IF(AND(L481="632",'632'!$L$5&lt;=B481,'632'!$M$5&gt;=B481),"632",IF(AND(L481="642",'642'!$N$5&lt;=B481,'642'!$O$5&gt;=B481),"642",IF(AND(L481="641",'641'!$N$5&lt;=B481,'641'!$O$5&gt;=B481),"641",""))))</f>
        <v/>
      </c>
      <c r="V481" s="51" t="str">
        <f>IF(OR(TH!L481=TH!$V$7,M481=TH!$V$7),"x","")</f>
        <v/>
      </c>
      <c r="W481" s="51" t="str">
        <f>IF(AND(B481&gt;='IN-NX'!$P$3,B481&lt;='IN-NX'!$Q$3,'IN-NX'!$D$7=D481,OR(LEFT(L481,2)="15",AND(LEFT(M481,2)&lt;&gt;"15",LEFT(M481,2)&lt;&gt;"33"))),"x","")</f>
        <v/>
      </c>
      <c r="X481" s="51" t="str">
        <f>IF(AND(OR(LEFT(TH!L481,2)="15",LEFT(TH!M481,2)="15"),'152-CT'!$J$8=TH!F481),"x","")</f>
        <v/>
      </c>
      <c r="Y481" s="51" t="str">
        <f>IF(AND(OR(LEFT(TH!L481,2)="15",LEFT(TH!M481,2)="15"),TK!$E$7=TH!F481),"x","")</f>
        <v/>
      </c>
      <c r="Z481" s="51" t="str">
        <f>IF(AND(B481&lt;=NKC!$N$8,B481&gt;=NKC!$M$8),"x","")</f>
        <v>x</v>
      </c>
      <c r="AA481" s="803"/>
      <c r="AB481" s="565"/>
    </row>
    <row r="482" spans="1:31" ht="15.75" customHeight="1">
      <c r="A482" s="804" t="str">
        <f>IF(B482&lt;&gt;"",IF(AND(B482&gt;=_TM1,B482&lt;=_TM2,OR(TH!L482="1111",TH!M482="1111")),TH!D482,""),"")</f>
        <v/>
      </c>
      <c r="B482" s="36">
        <f t="shared" si="30"/>
        <v>8</v>
      </c>
      <c r="C482" s="189">
        <f t="shared" si="31"/>
        <v>42224</v>
      </c>
      <c r="D482" s="189" t="s">
        <v>1340</v>
      </c>
      <c r="E482" s="189">
        <v>42224</v>
      </c>
      <c r="F482" s="926" t="s">
        <v>1204</v>
      </c>
      <c r="G482" s="813" t="s">
        <v>622</v>
      </c>
      <c r="H482" s="191" t="s">
        <v>494</v>
      </c>
      <c r="I482" s="243">
        <v>500</v>
      </c>
      <c r="J482" s="243">
        <v>16670</v>
      </c>
      <c r="K482" s="573">
        <f t="shared" si="32"/>
        <v>8335000</v>
      </c>
      <c r="L482" s="574" t="s">
        <v>417</v>
      </c>
      <c r="M482" s="574" t="s">
        <v>8</v>
      </c>
      <c r="N482" s="51" t="str">
        <f>IF(AND('331-CT'!$E$7=TH!H482,OR(L482="331",M482="331")),"331",IF(AND(OR(L482="131",M482="131"),H482='131-CT'!$E$7),"131",""))</f>
        <v/>
      </c>
      <c r="O482" s="51" t="str">
        <f>IF(AND($B482&gt;='111'!$N$11,$B482&lt;='111'!$O$11,OR($L482=$O$7,$M482=$O$7)),"x","")</f>
        <v/>
      </c>
      <c r="P482" s="51" t="str">
        <f>IF(AND($L482=$O$7,$B482&lt;'111'!$N$11),"x","")</f>
        <v/>
      </c>
      <c r="Q482" s="51" t="str">
        <f>IF(AND($M482=$O$7,$B482&lt;'111'!$N$11),"x","")</f>
        <v/>
      </c>
      <c r="R482" s="51" t="str">
        <f>IF(ISERROR(FIND('112'!$M$9,G482,1)),"",IF((AND(FIND('112'!$M$9,G482,1)&gt;=1,$B482&gt;='112'!$N$8,$B482&lt;='112'!$O$8,OR($L482='112'!$I$6,$M482='112'!$I$6))),"x",""))</f>
        <v/>
      </c>
      <c r="S482" s="51" t="str">
        <f>IF(ISERROR(FIND('112'!$M$9,G482,1)),"",IF((AND(LEFT(G482,2)=LEFT('112'!$M$9,2),B482&lt;'112'!$N$8,$L482='112'!$I$6)),"x",""))</f>
        <v/>
      </c>
      <c r="T482" s="51" t="str">
        <f>IF(ISERROR(FIND('112'!$M$9,G482,1)),"",IF((AND(RIGHT(G482,2)=RIGHT('112'!$M$9,2),B482&lt;'112'!$N$8,$M482='112'!$I$6)),"x",""))</f>
        <v/>
      </c>
      <c r="U482" s="51" t="str">
        <f>IF(AND(L482="154",'154'!$O$5&lt;=B482,'154'!$P$5&gt;=B482),"154",IF(AND(L482="632",'632'!$L$5&lt;=B482,'632'!$M$5&gt;=B482),"632",IF(AND(L482="642",'642'!$N$5&lt;=B482,'642'!$O$5&gt;=B482),"642",IF(AND(L482="641",'641'!$N$5&lt;=B482,'641'!$O$5&gt;=B482),"641",""))))</f>
        <v/>
      </c>
      <c r="V482" s="51" t="str">
        <f>IF(OR(TH!L482=TH!$V$7,M482=TH!$V$7),"x","")</f>
        <v/>
      </c>
      <c r="W482" s="51" t="str">
        <f>IF(AND(B482&gt;='IN-NX'!$P$3,B482&lt;='IN-NX'!$Q$3,'IN-NX'!$D$7=D482,OR(LEFT(L482,2)="15",AND(LEFT(M482,2)&lt;&gt;"15",LEFT(M482,2)&lt;&gt;"33"))),"x","")</f>
        <v/>
      </c>
      <c r="X482" s="51" t="str">
        <f>IF(AND(OR(LEFT(TH!L482,2)="15",LEFT(TH!M482,2)="15"),'152-CT'!$J$8=TH!F482),"x","")</f>
        <v/>
      </c>
      <c r="Y482" s="51" t="str">
        <f>IF(AND(OR(LEFT(TH!L482,2)="15",LEFT(TH!M482,2)="15"),TK!$E$7=TH!F482),"x","")</f>
        <v/>
      </c>
      <c r="Z482" s="51" t="str">
        <f>IF(AND(B482&lt;=NKC!$N$8,B482&gt;=NKC!$M$8),"x","")</f>
        <v>x</v>
      </c>
      <c r="AA482" s="803"/>
      <c r="AB482" s="565"/>
    </row>
    <row r="483" spans="1:31" ht="15.75" customHeight="1">
      <c r="A483" s="804" t="str">
        <f>IF(B483&lt;&gt;"",IF(AND(B483&gt;=_TM1,B483&lt;=_TM2,OR(TH!L483="1111",TH!M483="1111")),TH!D483,""),"")</f>
        <v/>
      </c>
      <c r="B483" s="36">
        <f t="shared" si="30"/>
        <v>8</v>
      </c>
      <c r="C483" s="189">
        <f t="shared" si="31"/>
        <v>42224</v>
      </c>
      <c r="D483" s="189" t="s">
        <v>1340</v>
      </c>
      <c r="E483" s="189">
        <v>42224</v>
      </c>
      <c r="F483" s="922" t="s">
        <v>1205</v>
      </c>
      <c r="G483" s="813" t="s">
        <v>622</v>
      </c>
      <c r="H483" s="191" t="s">
        <v>494</v>
      </c>
      <c r="I483" s="243">
        <v>100</v>
      </c>
      <c r="J483" s="243">
        <v>19644</v>
      </c>
      <c r="K483" s="573">
        <f t="shared" si="32"/>
        <v>1964400</v>
      </c>
      <c r="L483" s="574" t="s">
        <v>417</v>
      </c>
      <c r="M483" s="574" t="s">
        <v>8</v>
      </c>
      <c r="N483" s="51" t="str">
        <f>IF(AND('331-CT'!$E$7=TH!H483,OR(L483="331",M483="331")),"331",IF(AND(OR(L483="131",M483="131"),H483='131-CT'!$E$7),"131",""))</f>
        <v/>
      </c>
      <c r="O483" s="51" t="str">
        <f>IF(AND($B483&gt;='111'!$N$11,$B483&lt;='111'!$O$11,OR($L483=$O$7,$M483=$O$7)),"x","")</f>
        <v/>
      </c>
      <c r="P483" s="51" t="str">
        <f>IF(AND($L483=$O$7,$B483&lt;'111'!$N$11),"x","")</f>
        <v/>
      </c>
      <c r="Q483" s="51" t="str">
        <f>IF(AND($M483=$O$7,$B483&lt;'111'!$N$11),"x","")</f>
        <v/>
      </c>
      <c r="R483" s="51" t="str">
        <f>IF(ISERROR(FIND('112'!$M$9,G483,1)),"",IF((AND(FIND('112'!$M$9,G483,1)&gt;=1,$B483&gt;='112'!$N$8,$B483&lt;='112'!$O$8,OR($L483='112'!$I$6,$M483='112'!$I$6))),"x",""))</f>
        <v/>
      </c>
      <c r="S483" s="51" t="str">
        <f>IF(ISERROR(FIND('112'!$M$9,G483,1)),"",IF((AND(LEFT(G483,2)=LEFT('112'!$M$9,2),B483&lt;'112'!$N$8,$L483='112'!$I$6)),"x",""))</f>
        <v/>
      </c>
      <c r="T483" s="51" t="str">
        <f>IF(ISERROR(FIND('112'!$M$9,G483,1)),"",IF((AND(RIGHT(G483,2)=RIGHT('112'!$M$9,2),B483&lt;'112'!$N$8,$M483='112'!$I$6)),"x",""))</f>
        <v/>
      </c>
      <c r="U483" s="51" t="str">
        <f>IF(AND(L483="154",'154'!$O$5&lt;=B483,'154'!$P$5&gt;=B483),"154",IF(AND(L483="632",'632'!$L$5&lt;=B483,'632'!$M$5&gt;=B483),"632",IF(AND(L483="642",'642'!$N$5&lt;=B483,'642'!$O$5&gt;=B483),"642",IF(AND(L483="641",'641'!$N$5&lt;=B483,'641'!$O$5&gt;=B483),"641",""))))</f>
        <v/>
      </c>
      <c r="V483" s="51" t="str">
        <f>IF(OR(TH!L483=TH!$V$7,M483=TH!$V$7),"x","")</f>
        <v/>
      </c>
      <c r="W483" s="51" t="str">
        <f>IF(AND(B483&gt;='IN-NX'!$P$3,B483&lt;='IN-NX'!$Q$3,'IN-NX'!$D$7=D483,OR(LEFT(L483,2)="15",AND(LEFT(M483,2)&lt;&gt;"15",LEFT(M483,2)&lt;&gt;"33"))),"x","")</f>
        <v/>
      </c>
      <c r="X483" s="51" t="str">
        <f>IF(AND(OR(LEFT(TH!L483,2)="15",LEFT(TH!M483,2)="15"),'152-CT'!$J$8=TH!F483),"x","")</f>
        <v/>
      </c>
      <c r="Y483" s="51" t="str">
        <f>IF(AND(OR(LEFT(TH!L483,2)="15",LEFT(TH!M483,2)="15"),TK!$E$7=TH!F483),"x","")</f>
        <v/>
      </c>
      <c r="Z483" s="51" t="str">
        <f>IF(AND(B483&lt;=NKC!$N$8,B483&gt;=NKC!$M$8),"x","")</f>
        <v>x</v>
      </c>
      <c r="AA483" s="803"/>
      <c r="AB483" s="565"/>
    </row>
    <row r="484" spans="1:31" ht="15.75" customHeight="1">
      <c r="A484" s="804" t="str">
        <f>IF(B484&lt;&gt;"",IF(AND(B484&gt;=_TM1,B484&lt;=_TM2,OR(TH!L484="1111",TH!M484="1111")),TH!D484,""),"")</f>
        <v/>
      </c>
      <c r="B484" s="36">
        <f t="shared" si="30"/>
        <v>8</v>
      </c>
      <c r="C484" s="189">
        <f t="shared" si="31"/>
        <v>42224</v>
      </c>
      <c r="D484" s="189" t="s">
        <v>1340</v>
      </c>
      <c r="E484" s="189">
        <v>42224</v>
      </c>
      <c r="F484" s="190" t="s">
        <v>625</v>
      </c>
      <c r="G484" s="813" t="s">
        <v>622</v>
      </c>
      <c r="H484" s="191" t="s">
        <v>494</v>
      </c>
      <c r="I484" s="243">
        <v>100</v>
      </c>
      <c r="J484" s="243">
        <v>24700</v>
      </c>
      <c r="K484" s="573">
        <f t="shared" si="32"/>
        <v>2470000</v>
      </c>
      <c r="L484" s="574" t="s">
        <v>417</v>
      </c>
      <c r="M484" s="574" t="s">
        <v>8</v>
      </c>
      <c r="N484" s="51" t="str">
        <f>IF(AND('331-CT'!$E$7=TH!H484,OR(L484="331",M484="331")),"331",IF(AND(OR(L484="131",M484="131"),H484='131-CT'!$E$7),"131",""))</f>
        <v/>
      </c>
      <c r="O484" s="51" t="str">
        <f>IF(AND($B484&gt;='111'!$N$11,$B484&lt;='111'!$O$11,OR($L484=$O$7,$M484=$O$7)),"x","")</f>
        <v/>
      </c>
      <c r="P484" s="51" t="str">
        <f>IF(AND($L484=$O$7,$B484&lt;'111'!$N$11),"x","")</f>
        <v/>
      </c>
      <c r="Q484" s="51" t="str">
        <f>IF(AND($M484=$O$7,$B484&lt;'111'!$N$11),"x","")</f>
        <v/>
      </c>
      <c r="R484" s="51" t="str">
        <f>IF(ISERROR(FIND('112'!$M$9,G484,1)),"",IF((AND(FIND('112'!$M$9,G484,1)&gt;=1,$B484&gt;='112'!$N$8,$B484&lt;='112'!$O$8,OR($L484='112'!$I$6,$M484='112'!$I$6))),"x",""))</f>
        <v/>
      </c>
      <c r="S484" s="51" t="str">
        <f>IF(ISERROR(FIND('112'!$M$9,G484,1)),"",IF((AND(LEFT(G484,2)=LEFT('112'!$M$9,2),B484&lt;'112'!$N$8,$L484='112'!$I$6)),"x",""))</f>
        <v/>
      </c>
      <c r="T484" s="51" t="str">
        <f>IF(ISERROR(FIND('112'!$M$9,G484,1)),"",IF((AND(RIGHT(G484,2)=RIGHT('112'!$M$9,2),B484&lt;'112'!$N$8,$M484='112'!$I$6)),"x",""))</f>
        <v/>
      </c>
      <c r="U484" s="51" t="str">
        <f>IF(AND(L484="154",'154'!$O$5&lt;=B484,'154'!$P$5&gt;=B484),"154",IF(AND(L484="632",'632'!$L$5&lt;=B484,'632'!$M$5&gt;=B484),"632",IF(AND(L484="642",'642'!$N$5&lt;=B484,'642'!$O$5&gt;=B484),"642",IF(AND(L484="641",'641'!$N$5&lt;=B484,'641'!$O$5&gt;=B484),"641",""))))</f>
        <v/>
      </c>
      <c r="V484" s="51" t="str">
        <f>IF(OR(TH!L484=TH!$V$7,M484=TH!$V$7),"x","")</f>
        <v/>
      </c>
      <c r="W484" s="51" t="str">
        <f>IF(AND(B484&gt;='IN-NX'!$P$3,B484&lt;='IN-NX'!$Q$3,'IN-NX'!$D$7=D484,OR(LEFT(L484,2)="15",AND(LEFT(M484,2)&lt;&gt;"15",LEFT(M484,2)&lt;&gt;"33"))),"x","")</f>
        <v/>
      </c>
      <c r="X484" s="51" t="str">
        <f>IF(AND(OR(LEFT(TH!L484,2)="15",LEFT(TH!M484,2)="15"),'152-CT'!$J$8=TH!F484),"x","")</f>
        <v/>
      </c>
      <c r="Y484" s="51" t="str">
        <f>IF(AND(OR(LEFT(TH!L484,2)="15",LEFT(TH!M484,2)="15"),TK!$E$7=TH!F484),"x","")</f>
        <v/>
      </c>
      <c r="Z484" s="51" t="str">
        <f>IF(AND(B484&lt;=NKC!$N$8,B484&gt;=NKC!$M$8),"x","")</f>
        <v>x</v>
      </c>
      <c r="AA484" s="803"/>
      <c r="AB484" s="565"/>
    </row>
    <row r="485" spans="1:31" ht="15.75" customHeight="1">
      <c r="A485" s="804" t="str">
        <f>IF(B485&lt;&gt;"",IF(AND(B485&gt;=_TM1,B485&lt;=_TM2,OR(TH!L485="1111",TH!M485="1111")),TH!D485,""),"")</f>
        <v/>
      </c>
      <c r="B485" s="36">
        <f t="shared" si="30"/>
        <v>8</v>
      </c>
      <c r="C485" s="189">
        <f t="shared" si="31"/>
        <v>42224</v>
      </c>
      <c r="D485" s="189" t="s">
        <v>1340</v>
      </c>
      <c r="E485" s="189">
        <v>42224</v>
      </c>
      <c r="F485" s="190" t="s">
        <v>468</v>
      </c>
      <c r="G485" s="813" t="s">
        <v>622</v>
      </c>
      <c r="H485" s="191" t="s">
        <v>494</v>
      </c>
      <c r="I485" s="243"/>
      <c r="J485" s="243"/>
      <c r="K485" s="573">
        <v>8263990</v>
      </c>
      <c r="L485" s="574" t="s">
        <v>9</v>
      </c>
      <c r="M485" s="574" t="s">
        <v>8</v>
      </c>
      <c r="N485" s="51" t="str">
        <f>IF(AND('331-CT'!$E$7=TH!H485,OR(L485="331",M485="331")),"331",IF(AND(OR(L485="131",M485="131"),H485='131-CT'!$E$7),"131",""))</f>
        <v/>
      </c>
      <c r="O485" s="51" t="str">
        <f>IF(AND($B485&gt;='111'!$N$11,$B485&lt;='111'!$O$11,OR($L485=$O$7,$M485=$O$7)),"x","")</f>
        <v/>
      </c>
      <c r="P485" s="51" t="str">
        <f>IF(AND($L485=$O$7,$B485&lt;'111'!$N$11),"x","")</f>
        <v/>
      </c>
      <c r="Q485" s="51" t="str">
        <f>IF(AND($M485=$O$7,$B485&lt;'111'!$N$11),"x","")</f>
        <v/>
      </c>
      <c r="R485" s="51" t="str">
        <f>IF(ISERROR(FIND('112'!$M$9,G485,1)),"",IF((AND(FIND('112'!$M$9,G485,1)&gt;=1,$B485&gt;='112'!$N$8,$B485&lt;='112'!$O$8,OR($L485='112'!$I$6,$M485='112'!$I$6))),"x",""))</f>
        <v/>
      </c>
      <c r="S485" s="51" t="str">
        <f>IF(ISERROR(FIND('112'!$M$9,G485,1)),"",IF((AND(LEFT(G485,2)=LEFT('112'!$M$9,2),B485&lt;'112'!$N$8,$L485='112'!$I$6)),"x",""))</f>
        <v/>
      </c>
      <c r="T485" s="51" t="str">
        <f>IF(ISERROR(FIND('112'!$M$9,G485,1)),"",IF((AND(RIGHT(G485,2)=RIGHT('112'!$M$9,2),B485&lt;'112'!$N$8,$M485='112'!$I$6)),"x",""))</f>
        <v/>
      </c>
      <c r="U485" s="51" t="str">
        <f>IF(AND(L485="154",'154'!$O$5&lt;=B485,'154'!$P$5&gt;=B485),"154",IF(AND(L485="632",'632'!$L$5&lt;=B485,'632'!$M$5&gt;=B485),"632",IF(AND(L485="642",'642'!$N$5&lt;=B485,'642'!$O$5&gt;=B485),"642",IF(AND(L485="641",'641'!$N$5&lt;=B485,'641'!$O$5&gt;=B485),"641",""))))</f>
        <v/>
      </c>
      <c r="V485" s="51" t="str">
        <f>IF(OR(TH!L485=TH!$V$7,M485=TH!$V$7),"x","")</f>
        <v/>
      </c>
      <c r="W485" s="51" t="str">
        <f>IF(AND(B485&gt;='IN-NX'!$P$3,B485&lt;='IN-NX'!$Q$3,'IN-NX'!$D$7=D485,OR(LEFT(L485,2)="15",AND(LEFT(M485,2)&lt;&gt;"15",LEFT(M485,2)&lt;&gt;"33"))),"x","")</f>
        <v/>
      </c>
      <c r="X485" s="51" t="str">
        <f>IF(AND(OR(LEFT(TH!L485,2)="15",LEFT(TH!M485,2)="15"),'152-CT'!$J$8=TH!F485),"x","")</f>
        <v/>
      </c>
      <c r="Y485" s="51" t="str">
        <f>IF(AND(OR(LEFT(TH!L485,2)="15",LEFT(TH!M485,2)="15"),TK!$E$7=TH!F485),"x","")</f>
        <v/>
      </c>
      <c r="Z485" s="51" t="str">
        <f>IF(AND(B485&lt;=NKC!$N$8,B485&gt;=NKC!$M$8),"x","")</f>
        <v>x</v>
      </c>
      <c r="AA485" s="803">
        <v>3</v>
      </c>
      <c r="AB485" s="565"/>
    </row>
    <row r="486" spans="1:31" ht="15.75" customHeight="1">
      <c r="A486" s="804" t="str">
        <f>IF(B486&lt;&gt;"",IF(AND(B486&gt;=_TM1,B486&lt;=_TM2,OR(TH!L486="1111",TH!M486="1111")),TH!D486,""),"")</f>
        <v/>
      </c>
      <c r="B486" s="36">
        <f t="shared" si="30"/>
        <v>8</v>
      </c>
      <c r="C486" s="189">
        <f t="shared" si="31"/>
        <v>42224</v>
      </c>
      <c r="D486" s="189" t="s">
        <v>1290</v>
      </c>
      <c r="E486" s="189">
        <v>42224</v>
      </c>
      <c r="F486" s="926" t="s">
        <v>845</v>
      </c>
      <c r="G486" s="813" t="s">
        <v>1013</v>
      </c>
      <c r="H486" s="191" t="s">
        <v>1014</v>
      </c>
      <c r="I486" s="243">
        <v>300</v>
      </c>
      <c r="J486" s="243">
        <v>17500</v>
      </c>
      <c r="K486" s="573">
        <f>ROUND(I486*J486,0)</f>
        <v>5250000</v>
      </c>
      <c r="L486" s="574" t="s">
        <v>250</v>
      </c>
      <c r="M486" s="574" t="s">
        <v>164</v>
      </c>
      <c r="N486" s="51" t="str">
        <f>IF(AND('331-CT'!$E$7=TH!H486,OR(L486="331",M486="331")),"331",IF(AND(OR(L486="131",M486="131"),H486='131-CT'!$E$7),"131",""))</f>
        <v/>
      </c>
      <c r="O486" s="51" t="str">
        <f>IF(AND($B486&gt;='111'!$N$11,$B486&lt;='111'!$O$11,OR($L486=$O$7,$M486=$O$7)),"x","")</f>
        <v/>
      </c>
      <c r="P486" s="51" t="str">
        <f>IF(AND($L486=$O$7,$B486&lt;'111'!$N$11),"x","")</f>
        <v/>
      </c>
      <c r="Q486" s="51" t="str">
        <f>IF(AND($M486=$O$7,$B486&lt;'111'!$N$11),"x","")</f>
        <v/>
      </c>
      <c r="R486" s="51" t="str">
        <f>IF(ISERROR(FIND('112'!$M$9,G486,1)),"",IF((AND(FIND('112'!$M$9,G486,1)&gt;=1,$B486&gt;='112'!$N$8,$B486&lt;='112'!$O$8,OR($L486='112'!$I$6,$M486='112'!$I$6))),"x",""))</f>
        <v/>
      </c>
      <c r="S486" s="51" t="str">
        <f>IF(ISERROR(FIND('112'!$M$9,G486,1)),"",IF((AND(LEFT(G486,2)=LEFT('112'!$M$9,2),B486&lt;'112'!$N$8,$L486='112'!$I$6)),"x",""))</f>
        <v/>
      </c>
      <c r="T486" s="51" t="str">
        <f>IF(ISERROR(FIND('112'!$M$9,G486,1)),"",IF((AND(RIGHT(G486,2)=RIGHT('112'!$M$9,2),B486&lt;'112'!$N$8,$M486='112'!$I$6)),"x",""))</f>
        <v/>
      </c>
      <c r="U486" s="51" t="str">
        <f>IF(AND(L486="154",'154'!$O$5&lt;=B486,'154'!$P$5&gt;=B486),"154",IF(AND(L486="632",'632'!$L$5&lt;=B486,'632'!$M$5&gt;=B486),"632",IF(AND(L486="642",'642'!$N$5&lt;=B486,'642'!$O$5&gt;=B486),"642",IF(AND(L486="641",'641'!$N$5&lt;=B486,'641'!$O$5&gt;=B486),"641",""))))</f>
        <v/>
      </c>
      <c r="V486" s="51" t="str">
        <f>IF(OR(TH!L486=TH!$V$7,M486=TH!$V$7),"x","")</f>
        <v/>
      </c>
      <c r="W486" s="51" t="str">
        <f>IF(AND(B486&gt;='IN-NX'!$P$3,B486&lt;='IN-NX'!$Q$3,'IN-NX'!$D$7=D486,OR(LEFT(L486,2)="15",AND(LEFT(M486,2)&lt;&gt;"15",LEFT(M486,2)&lt;&gt;"33"))),"x","")</f>
        <v/>
      </c>
      <c r="X486" s="51" t="str">
        <f>IF(AND(OR(LEFT(TH!L486,2)="15",LEFT(TH!M486,2)="15"),'152-CT'!$J$8=TH!F486),"x","")</f>
        <v/>
      </c>
      <c r="Y486" s="51" t="str">
        <f>IF(AND(OR(LEFT(TH!L486,2)="15",LEFT(TH!M486,2)="15"),TK!$E$7=TH!F486),"x","")</f>
        <v/>
      </c>
      <c r="Z486" s="51" t="str">
        <f>IF(AND(B486&lt;=NKC!$N$8,B486&gt;=NKC!$M$8),"x","")</f>
        <v>x</v>
      </c>
      <c r="AA486" s="803"/>
      <c r="AB486" s="565"/>
    </row>
    <row r="487" spans="1:31" ht="15.75" customHeight="1">
      <c r="A487" s="804" t="str">
        <f>IF(B487&lt;&gt;"",IF(AND(B487&gt;=_TM1,B487&lt;=_TM2,OR(TH!L487="1111",TH!M487="1111")),TH!D487,""),"")</f>
        <v/>
      </c>
      <c r="B487" s="36">
        <f t="shared" si="30"/>
        <v>8</v>
      </c>
      <c r="C487" s="189">
        <f t="shared" si="31"/>
        <v>42224</v>
      </c>
      <c r="D487" s="189" t="s">
        <v>1290</v>
      </c>
      <c r="E487" s="189">
        <v>42224</v>
      </c>
      <c r="F487" s="922" t="s">
        <v>962</v>
      </c>
      <c r="G487" s="813" t="s">
        <v>1013</v>
      </c>
      <c r="H487" s="191" t="s">
        <v>1014</v>
      </c>
      <c r="I487" s="243"/>
      <c r="J487" s="243"/>
      <c r="K487" s="573">
        <v>525000</v>
      </c>
      <c r="L487" s="574" t="s">
        <v>250</v>
      </c>
      <c r="M487" s="574" t="s">
        <v>352</v>
      </c>
      <c r="N487" s="51" t="str">
        <f>IF(AND('331-CT'!$E$7=TH!H487,OR(L487="331",M487="331")),"331",IF(AND(OR(L487="131",M487="131"),H487='131-CT'!$E$7),"131",""))</f>
        <v/>
      </c>
      <c r="O487" s="51" t="str">
        <f>IF(AND($B487&gt;='111'!$N$11,$B487&lt;='111'!$O$11,OR($L487=$O$7,$M487=$O$7)),"x","")</f>
        <v/>
      </c>
      <c r="P487" s="51" t="str">
        <f>IF(AND($L487=$O$7,$B487&lt;'111'!$N$11),"x","")</f>
        <v/>
      </c>
      <c r="Q487" s="51" t="str">
        <f>IF(AND($M487=$O$7,$B487&lt;'111'!$N$11),"x","")</f>
        <v/>
      </c>
      <c r="R487" s="51" t="str">
        <f>IF(ISERROR(FIND('112'!$M$9,G487,1)),"",IF((AND(FIND('112'!$M$9,G487,1)&gt;=1,$B487&gt;='112'!$N$8,$B487&lt;='112'!$O$8,OR($L487='112'!$I$6,$M487='112'!$I$6))),"x",""))</f>
        <v/>
      </c>
      <c r="S487" s="51" t="str">
        <f>IF(ISERROR(FIND('112'!$M$9,G487,1)),"",IF((AND(LEFT(G487,2)=LEFT('112'!$M$9,2),B487&lt;'112'!$N$8,$L487='112'!$I$6)),"x",""))</f>
        <v/>
      </c>
      <c r="T487" s="51" t="str">
        <f>IF(ISERROR(FIND('112'!$M$9,G487,1)),"",IF((AND(RIGHT(G487,2)=RIGHT('112'!$M$9,2),B487&lt;'112'!$N$8,$M487='112'!$I$6)),"x",""))</f>
        <v/>
      </c>
      <c r="U487" s="51" t="str">
        <f>IF(AND(L487="154",'154'!$O$5&lt;=B487,'154'!$P$5&gt;=B487),"154",IF(AND(L487="632",'632'!$L$5&lt;=B487,'632'!$M$5&gt;=B487),"632",IF(AND(L487="642",'642'!$N$5&lt;=B487,'642'!$O$5&gt;=B487),"642",IF(AND(L487="641",'641'!$N$5&lt;=B487,'641'!$O$5&gt;=B487),"641",""))))</f>
        <v/>
      </c>
      <c r="V487" s="51" t="str">
        <f>IF(OR(TH!L487=TH!$V$7,M487=TH!$V$7),"x","")</f>
        <v/>
      </c>
      <c r="W487" s="51" t="str">
        <f>IF(AND(B487&gt;='IN-NX'!$P$3,B487&lt;='IN-NX'!$Q$3,'IN-NX'!$D$7=D487,OR(LEFT(L487,2)="15",AND(LEFT(M487,2)&lt;&gt;"15",LEFT(M487,2)&lt;&gt;"33"))),"x","")</f>
        <v/>
      </c>
      <c r="X487" s="51" t="str">
        <f>IF(AND(OR(LEFT(TH!L487,2)="15",LEFT(TH!M487,2)="15"),'152-CT'!$J$8=TH!F487),"x","")</f>
        <v/>
      </c>
      <c r="Y487" s="51" t="str">
        <f>IF(AND(OR(LEFT(TH!L487,2)="15",LEFT(TH!M487,2)="15"),TK!$E$7=TH!F487),"x","")</f>
        <v/>
      </c>
      <c r="Z487" s="51" t="str">
        <f>IF(AND(B487&lt;=NKC!$N$8,B487&gt;=NKC!$M$8),"x","")</f>
        <v>x</v>
      </c>
      <c r="AA487" s="803"/>
      <c r="AB487" s="565"/>
      <c r="AC487" s="630"/>
      <c r="AD487" s="630"/>
    </row>
    <row r="488" spans="1:31" ht="15.75" customHeight="1">
      <c r="A488" s="804" t="str">
        <f>IF(B488&lt;&gt;"",IF(AND(B488&gt;=_TM1,B488&lt;=_TM2,OR(TH!L488="1111",TH!M488="1111")),TH!D488,""),"")</f>
        <v>T17</v>
      </c>
      <c r="B488" s="36">
        <f t="shared" si="30"/>
        <v>8</v>
      </c>
      <c r="C488" s="189">
        <f t="shared" si="31"/>
        <v>42224</v>
      </c>
      <c r="D488" s="189" t="s">
        <v>1371</v>
      </c>
      <c r="E488" s="189">
        <v>42224</v>
      </c>
      <c r="F488" s="190" t="s">
        <v>423</v>
      </c>
      <c r="G488" s="813" t="s">
        <v>1013</v>
      </c>
      <c r="H488" s="191" t="s">
        <v>1014</v>
      </c>
      <c r="I488" s="243"/>
      <c r="J488" s="243"/>
      <c r="K488" s="573">
        <v>5775000</v>
      </c>
      <c r="L488" s="574" t="s">
        <v>47</v>
      </c>
      <c r="M488" s="574" t="s">
        <v>250</v>
      </c>
      <c r="N488" s="51" t="str">
        <f>IF(AND('331-CT'!$E$7=TH!H488,OR(L488="331",M488="331")),"331",IF(AND(OR(L488="131",M488="131"),H488='131-CT'!$E$7),"131",""))</f>
        <v/>
      </c>
      <c r="O488" s="51" t="str">
        <f>IF(AND($B488&gt;='111'!$N$11,$B488&lt;='111'!$O$11,OR($L488=$O$7,$M488=$O$7)),"x","")</f>
        <v/>
      </c>
      <c r="P488" s="51" t="str">
        <f>IF(AND($L488=$O$7,$B488&lt;'111'!$N$11),"x","")</f>
        <v>x</v>
      </c>
      <c r="Q488" s="51" t="str">
        <f>IF(AND($M488=$O$7,$B488&lt;'111'!$N$11),"x","")</f>
        <v/>
      </c>
      <c r="R488" s="51" t="str">
        <f>IF(ISERROR(FIND('112'!$M$9,G488,1)),"",IF((AND(FIND('112'!$M$9,G488,1)&gt;=1,$B488&gt;='112'!$N$8,$B488&lt;='112'!$O$8,OR($L488='112'!$I$6,$M488='112'!$I$6))),"x",""))</f>
        <v/>
      </c>
      <c r="S488" s="51" t="str">
        <f>IF(ISERROR(FIND('112'!$M$9,G488,1)),"",IF((AND(LEFT(G488,2)=LEFT('112'!$M$9,2),B488&lt;'112'!$N$8,$L488='112'!$I$6)),"x",""))</f>
        <v/>
      </c>
      <c r="T488" s="51" t="str">
        <f>IF(ISERROR(FIND('112'!$M$9,G488,1)),"",IF((AND(RIGHT(G488,2)=RIGHT('112'!$M$9,2),B488&lt;'112'!$N$8,$M488='112'!$I$6)),"x",""))</f>
        <v/>
      </c>
      <c r="U488" s="51" t="str">
        <f>IF(AND(L488="154",'154'!$O$5&lt;=B488,'154'!$P$5&gt;=B488),"154",IF(AND(L488="632",'632'!$L$5&lt;=B488,'632'!$M$5&gt;=B488),"632",IF(AND(L488="642",'642'!$N$5&lt;=B488,'642'!$O$5&gt;=B488),"642",IF(AND(L488="641",'641'!$N$5&lt;=B488,'641'!$O$5&gt;=B488),"641",""))))</f>
        <v/>
      </c>
      <c r="V488" s="51" t="str">
        <f>IF(OR(TH!L488=TH!$V$7,M488=TH!$V$7),"x","")</f>
        <v/>
      </c>
      <c r="W488" s="51" t="str">
        <f>IF(AND(B488&gt;='IN-NX'!$P$3,B488&lt;='IN-NX'!$Q$3,'IN-NX'!$D$7=D488,OR(LEFT(L488,2)="15",AND(LEFT(M488,2)&lt;&gt;"15",LEFT(M488,2)&lt;&gt;"33"))),"x","")</f>
        <v/>
      </c>
      <c r="X488" s="51" t="str">
        <f>IF(AND(OR(LEFT(TH!L488,2)="15",LEFT(TH!M488,2)="15"),'152-CT'!$J$8=TH!F488),"x","")</f>
        <v/>
      </c>
      <c r="Y488" s="51" t="str">
        <f>IF(AND(OR(LEFT(TH!L488,2)="15",LEFT(TH!M488,2)="15"),TK!$E$7=TH!F488),"x","")</f>
        <v/>
      </c>
      <c r="Z488" s="51" t="str">
        <f>IF(AND(B488&lt;=NKC!$N$8,B488&gt;=NKC!$M$8),"x","")</f>
        <v>x</v>
      </c>
      <c r="AA488" s="803"/>
      <c r="AB488" s="565"/>
      <c r="AC488" s="630"/>
      <c r="AD488" s="630"/>
    </row>
    <row r="489" spans="1:31" ht="15.75" customHeight="1">
      <c r="A489" s="804" t="str">
        <f>IF(B489&lt;&gt;"",IF(AND(B489&gt;=_TM1,B489&lt;=_TM2,OR(TH!L489="1111",TH!M489="1111")),TH!D489,""),"")</f>
        <v>T18</v>
      </c>
      <c r="B489" s="36">
        <f t="shared" si="30"/>
        <v>8</v>
      </c>
      <c r="C489" s="189">
        <f t="shared" si="31"/>
        <v>42226</v>
      </c>
      <c r="D489" s="189" t="s">
        <v>1372</v>
      </c>
      <c r="E489" s="182">
        <v>42226</v>
      </c>
      <c r="F489" s="187" t="s">
        <v>427</v>
      </c>
      <c r="G489" s="811" t="s">
        <v>415</v>
      </c>
      <c r="H489" s="7" t="s">
        <v>437</v>
      </c>
      <c r="I489" s="243"/>
      <c r="J489" s="243"/>
      <c r="K489" s="573">
        <v>2600000</v>
      </c>
      <c r="L489" s="192" t="s">
        <v>47</v>
      </c>
      <c r="M489" s="192" t="s">
        <v>24</v>
      </c>
      <c r="N489" s="51" t="str">
        <f>IF(AND('331-CT'!$E$7=TH!H489,OR(L489="331",M489="331")),"331",IF(AND(OR(L489="131",M489="131"),H489='131-CT'!$E$7),"131",""))</f>
        <v/>
      </c>
      <c r="O489" s="51" t="str">
        <f>IF(AND($B489&gt;='111'!$N$11,$B489&lt;='111'!$O$11,OR($L489=$O$7,$M489=$O$7)),"x","")</f>
        <v/>
      </c>
      <c r="P489" s="51" t="str">
        <f>IF(AND($L489=$O$7,$B489&lt;'111'!$N$11),"x","")</f>
        <v>x</v>
      </c>
      <c r="Q489" s="51" t="str">
        <f>IF(AND($M489=$O$7,$B489&lt;'111'!$N$11),"x","")</f>
        <v/>
      </c>
      <c r="R489" s="51" t="str">
        <f>IF(ISERROR(FIND('112'!$M$9,G489,1)),"",IF((AND(FIND('112'!$M$9,G489,1)&gt;=1,$B489&gt;='112'!$N$8,$B489&lt;='112'!$O$8,OR($L489='112'!$I$6,$M489='112'!$I$6))),"x",""))</f>
        <v/>
      </c>
      <c r="S489" s="51" t="str">
        <f>IF(ISERROR(FIND('112'!$M$9,G489,1)),"",IF((AND(LEFT(G489,2)=LEFT('112'!$M$9,2),B489&lt;'112'!$N$8,$L489='112'!$I$6)),"x",""))</f>
        <v/>
      </c>
      <c r="T489" s="51" t="str">
        <f>IF(ISERROR(FIND('112'!$M$9,G489,1)),"",IF((AND(RIGHT(G489,2)=RIGHT('112'!$M$9,2),B489&lt;'112'!$N$8,$M489='112'!$I$6)),"x",""))</f>
        <v/>
      </c>
      <c r="U489" s="51" t="str">
        <f>IF(AND(L489="154",'154'!$O$5&lt;=B489,'154'!$P$5&gt;=B489),"154",IF(AND(L489="632",'632'!$L$5&lt;=B489,'632'!$M$5&gt;=B489),"632",IF(AND(L489="642",'642'!$N$5&lt;=B489,'642'!$O$5&gt;=B489),"642",IF(AND(L489="641",'641'!$N$5&lt;=B489,'641'!$O$5&gt;=B489),"641",""))))</f>
        <v/>
      </c>
      <c r="V489" s="51" t="str">
        <f>IF(OR(TH!L489=TH!$V$7,M489=TH!$V$7),"x","")</f>
        <v/>
      </c>
      <c r="W489" s="51" t="str">
        <f>IF(AND(B489&gt;='IN-NX'!$P$3,B489&lt;='IN-NX'!$Q$3,'IN-NX'!$D$7=D489,OR(LEFT(L489,2)="15",AND(LEFT(M489,2)&lt;&gt;"15",LEFT(M489,2)&lt;&gt;"33"))),"x","")</f>
        <v/>
      </c>
      <c r="X489" s="51" t="str">
        <f>IF(AND(OR(LEFT(TH!L489,2)="15",LEFT(TH!M489,2)="15"),'152-CT'!$J$8=TH!F489),"x","")</f>
        <v/>
      </c>
      <c r="Y489" s="51" t="str">
        <f>IF(AND(OR(LEFT(TH!L489,2)="15",LEFT(TH!M489,2)="15"),TK!$E$7=TH!F489),"x","")</f>
        <v/>
      </c>
      <c r="Z489" s="51" t="str">
        <f>IF(AND(B489&lt;=NKC!$N$8,B489&gt;=NKC!$M$8),"x","")</f>
        <v>x</v>
      </c>
      <c r="AA489" s="803"/>
      <c r="AB489" s="565"/>
      <c r="AD489" s="565"/>
      <c r="AE489" s="565"/>
    </row>
    <row r="490" spans="1:31" ht="15.75" customHeight="1">
      <c r="A490" s="804" t="str">
        <f>IF(B490&lt;&gt;"",IF(AND(B490&gt;=_TM1,B490&lt;=_TM2,OR(TH!L490="1111",TH!M490="1111")),TH!D490,""),"")</f>
        <v/>
      </c>
      <c r="B490" s="36">
        <f t="shared" si="30"/>
        <v>8</v>
      </c>
      <c r="C490" s="189">
        <f t="shared" si="31"/>
        <v>42226</v>
      </c>
      <c r="D490" s="189" t="s">
        <v>1291</v>
      </c>
      <c r="E490" s="189">
        <v>42226</v>
      </c>
      <c r="F490" s="926" t="s">
        <v>623</v>
      </c>
      <c r="G490" s="813" t="s">
        <v>1015</v>
      </c>
      <c r="H490" s="191" t="s">
        <v>413</v>
      </c>
      <c r="I490" s="243">
        <v>500</v>
      </c>
      <c r="J490" s="243">
        <v>32500</v>
      </c>
      <c r="K490" s="573">
        <f>ROUND(I490*J490,0)</f>
        <v>16250000</v>
      </c>
      <c r="L490" s="574" t="s">
        <v>250</v>
      </c>
      <c r="M490" s="574" t="s">
        <v>164</v>
      </c>
      <c r="N490" s="51" t="str">
        <f>IF(AND('331-CT'!$E$7=TH!H490,OR(L490="331",M490="331")),"331",IF(AND(OR(L490="131",M490="131"),H490='131-CT'!$E$7),"131",""))</f>
        <v/>
      </c>
      <c r="O490" s="51" t="str">
        <f>IF(AND($B490&gt;='111'!$N$11,$B490&lt;='111'!$O$11,OR($L490=$O$7,$M490=$O$7)),"x","")</f>
        <v/>
      </c>
      <c r="P490" s="51" t="str">
        <f>IF(AND($L490=$O$7,$B490&lt;'111'!$N$11),"x","")</f>
        <v/>
      </c>
      <c r="Q490" s="51" t="str">
        <f>IF(AND($M490=$O$7,$B490&lt;'111'!$N$11),"x","")</f>
        <v/>
      </c>
      <c r="R490" s="51" t="str">
        <f>IF(ISERROR(FIND('112'!$M$9,G490,1)),"",IF((AND(FIND('112'!$M$9,G490,1)&gt;=1,$B490&gt;='112'!$N$8,$B490&lt;='112'!$O$8,OR($L490='112'!$I$6,$M490='112'!$I$6))),"x",""))</f>
        <v/>
      </c>
      <c r="S490" s="51" t="str">
        <f>IF(ISERROR(FIND('112'!$M$9,G490,1)),"",IF((AND(LEFT(G490,2)=LEFT('112'!$M$9,2),B490&lt;'112'!$N$8,$L490='112'!$I$6)),"x",""))</f>
        <v/>
      </c>
      <c r="T490" s="51" t="str">
        <f>IF(ISERROR(FIND('112'!$M$9,G490,1)),"",IF((AND(RIGHT(G490,2)=RIGHT('112'!$M$9,2),B490&lt;'112'!$N$8,$M490='112'!$I$6)),"x",""))</f>
        <v/>
      </c>
      <c r="U490" s="51" t="str">
        <f>IF(AND(L490="154",'154'!$O$5&lt;=B490,'154'!$P$5&gt;=B490),"154",IF(AND(L490="632",'632'!$L$5&lt;=B490,'632'!$M$5&gt;=B490),"632",IF(AND(L490="642",'642'!$N$5&lt;=B490,'642'!$O$5&gt;=B490),"642",IF(AND(L490="641",'641'!$N$5&lt;=B490,'641'!$O$5&gt;=B490),"641",""))))</f>
        <v/>
      </c>
      <c r="V490" s="51" t="str">
        <f>IF(OR(TH!L490=TH!$V$7,M490=TH!$V$7),"x","")</f>
        <v/>
      </c>
      <c r="W490" s="51" t="str">
        <f>IF(AND(B490&gt;='IN-NX'!$P$3,B490&lt;='IN-NX'!$Q$3,'IN-NX'!$D$7=D490,OR(LEFT(L490,2)="15",AND(LEFT(M490,2)&lt;&gt;"15",LEFT(M490,2)&lt;&gt;"33"))),"x","")</f>
        <v/>
      </c>
      <c r="X490" s="51" t="str">
        <f>IF(AND(OR(LEFT(TH!L490,2)="15",LEFT(TH!M490,2)="15"),'152-CT'!$J$8=TH!F490),"x","")</f>
        <v/>
      </c>
      <c r="Y490" s="51" t="str">
        <f>IF(AND(OR(LEFT(TH!L490,2)="15",LEFT(TH!M490,2)="15"),TK!$E$7=TH!F490),"x","")</f>
        <v/>
      </c>
      <c r="Z490" s="51" t="str">
        <f>IF(AND(B490&lt;=NKC!$N$8,B490&gt;=NKC!$M$8),"x","")</f>
        <v>x</v>
      </c>
      <c r="AA490" s="803"/>
      <c r="AB490" s="565"/>
    </row>
    <row r="491" spans="1:31" ht="15.75" customHeight="1">
      <c r="A491" s="804" t="str">
        <f>IF(B491&lt;&gt;"",IF(AND(B491&gt;=_TM1,B491&lt;=_TM2,OR(TH!L491="1111",TH!M491="1111")),TH!D491,""),"")</f>
        <v/>
      </c>
      <c r="B491" s="36">
        <f t="shared" si="30"/>
        <v>8</v>
      </c>
      <c r="C491" s="189">
        <f t="shared" si="31"/>
        <v>42226</v>
      </c>
      <c r="D491" s="189" t="s">
        <v>1291</v>
      </c>
      <c r="E491" s="189">
        <v>42226</v>
      </c>
      <c r="F491" s="926" t="s">
        <v>962</v>
      </c>
      <c r="G491" s="813" t="s">
        <v>1015</v>
      </c>
      <c r="H491" s="191" t="s">
        <v>413</v>
      </c>
      <c r="I491" s="243"/>
      <c r="J491" s="243"/>
      <c r="K491" s="573">
        <v>1625000</v>
      </c>
      <c r="L491" s="574" t="s">
        <v>250</v>
      </c>
      <c r="M491" s="574" t="s">
        <v>352</v>
      </c>
      <c r="N491" s="51" t="str">
        <f>IF(AND('331-CT'!$E$7=TH!H491,OR(L491="331",M491="331")),"331",IF(AND(OR(L491="131",M491="131"),H491='131-CT'!$E$7),"131",""))</f>
        <v/>
      </c>
      <c r="O491" s="51" t="str">
        <f>IF(AND($B491&gt;='111'!$N$11,$B491&lt;='111'!$O$11,OR($L491=$O$7,$M491=$O$7)),"x","")</f>
        <v/>
      </c>
      <c r="P491" s="51" t="str">
        <f>IF(AND($L491=$O$7,$B491&lt;'111'!$N$11),"x","")</f>
        <v/>
      </c>
      <c r="Q491" s="51" t="str">
        <f>IF(AND($M491=$O$7,$B491&lt;'111'!$N$11),"x","")</f>
        <v/>
      </c>
      <c r="R491" s="51" t="str">
        <f>IF(ISERROR(FIND('112'!$M$9,G491,1)),"",IF((AND(FIND('112'!$M$9,G491,1)&gt;=1,$B491&gt;='112'!$N$8,$B491&lt;='112'!$O$8,OR($L491='112'!$I$6,$M491='112'!$I$6))),"x",""))</f>
        <v/>
      </c>
      <c r="S491" s="51" t="str">
        <f>IF(ISERROR(FIND('112'!$M$9,G491,1)),"",IF((AND(LEFT(G491,2)=LEFT('112'!$M$9,2),B491&lt;'112'!$N$8,$L491='112'!$I$6)),"x",""))</f>
        <v/>
      </c>
      <c r="T491" s="51" t="str">
        <f>IF(ISERROR(FIND('112'!$M$9,G491,1)),"",IF((AND(RIGHT(G491,2)=RIGHT('112'!$M$9,2),B491&lt;'112'!$N$8,$M491='112'!$I$6)),"x",""))</f>
        <v/>
      </c>
      <c r="U491" s="51" t="str">
        <f>IF(AND(L491="154",'154'!$O$5&lt;=B491,'154'!$P$5&gt;=B491),"154",IF(AND(L491="632",'632'!$L$5&lt;=B491,'632'!$M$5&gt;=B491),"632",IF(AND(L491="642",'642'!$N$5&lt;=B491,'642'!$O$5&gt;=B491),"642",IF(AND(L491="641",'641'!$N$5&lt;=B491,'641'!$O$5&gt;=B491),"641",""))))</f>
        <v/>
      </c>
      <c r="V491" s="51" t="str">
        <f>IF(OR(TH!L491=TH!$V$7,M491=TH!$V$7),"x","")</f>
        <v/>
      </c>
      <c r="W491" s="51" t="str">
        <f>IF(AND(B491&gt;='IN-NX'!$P$3,B491&lt;='IN-NX'!$Q$3,'IN-NX'!$D$7=D491,OR(LEFT(L491,2)="15",AND(LEFT(M491,2)&lt;&gt;"15",LEFT(M491,2)&lt;&gt;"33"))),"x","")</f>
        <v/>
      </c>
      <c r="X491" s="51" t="str">
        <f>IF(AND(OR(LEFT(TH!L491,2)="15",LEFT(TH!M491,2)="15"),'152-CT'!$J$8=TH!F491),"x","")</f>
        <v/>
      </c>
      <c r="Y491" s="51" t="str">
        <f>IF(AND(OR(LEFT(TH!L491,2)="15",LEFT(TH!M491,2)="15"),TK!$E$7=TH!F491),"x","")</f>
        <v/>
      </c>
      <c r="Z491" s="51" t="str">
        <f>IF(AND(B491&lt;=NKC!$N$8,B491&gt;=NKC!$M$8),"x","")</f>
        <v>x</v>
      </c>
      <c r="AA491" s="803"/>
      <c r="AB491" s="565"/>
      <c r="AC491" s="565"/>
    </row>
    <row r="492" spans="1:31" ht="15.75" customHeight="1">
      <c r="A492" s="804" t="str">
        <f>IF(B492&lt;&gt;"",IF(AND(B492&gt;=_TM1,B492&lt;=_TM2,OR(TH!L492="1111",TH!M492="1111")),TH!D492,""),"")</f>
        <v>T19</v>
      </c>
      <c r="B492" s="36">
        <f t="shared" si="30"/>
        <v>8</v>
      </c>
      <c r="C492" s="189">
        <f t="shared" si="31"/>
        <v>42226</v>
      </c>
      <c r="D492" s="189" t="s">
        <v>1375</v>
      </c>
      <c r="E492" s="189">
        <v>42226</v>
      </c>
      <c r="F492" s="926" t="s">
        <v>423</v>
      </c>
      <c r="G492" s="813" t="s">
        <v>1015</v>
      </c>
      <c r="H492" s="191" t="s">
        <v>413</v>
      </c>
      <c r="I492" s="243"/>
      <c r="J492" s="243"/>
      <c r="K492" s="573">
        <v>17875000</v>
      </c>
      <c r="L492" s="574" t="s">
        <v>47</v>
      </c>
      <c r="M492" s="574" t="s">
        <v>250</v>
      </c>
      <c r="N492" s="51" t="str">
        <f>IF(AND('331-CT'!$E$7=TH!H492,OR(L492="331",M492="331")),"331",IF(AND(OR(L492="131",M492="131"),H492='131-CT'!$E$7),"131",""))</f>
        <v/>
      </c>
      <c r="O492" s="51" t="str">
        <f>IF(AND($B492&gt;='111'!$N$11,$B492&lt;='111'!$O$11,OR($L492=$O$7,$M492=$O$7)),"x","")</f>
        <v/>
      </c>
      <c r="P492" s="51" t="str">
        <f>IF(AND($L492=$O$7,$B492&lt;'111'!$N$11),"x","")</f>
        <v>x</v>
      </c>
      <c r="Q492" s="51" t="str">
        <f>IF(AND($M492=$O$7,$B492&lt;'111'!$N$11),"x","")</f>
        <v/>
      </c>
      <c r="R492" s="51" t="str">
        <f>IF(ISERROR(FIND('112'!$M$9,G492,1)),"",IF((AND(FIND('112'!$M$9,G492,1)&gt;=1,$B492&gt;='112'!$N$8,$B492&lt;='112'!$O$8,OR($L492='112'!$I$6,$M492='112'!$I$6))),"x",""))</f>
        <v/>
      </c>
      <c r="S492" s="51" t="str">
        <f>IF(ISERROR(FIND('112'!$M$9,G492,1)),"",IF((AND(LEFT(G492,2)=LEFT('112'!$M$9,2),B492&lt;'112'!$N$8,$L492='112'!$I$6)),"x",""))</f>
        <v/>
      </c>
      <c r="T492" s="51" t="str">
        <f>IF(ISERROR(FIND('112'!$M$9,G492,1)),"",IF((AND(RIGHT(G492,2)=RIGHT('112'!$M$9,2),B492&lt;'112'!$N$8,$M492='112'!$I$6)),"x",""))</f>
        <v/>
      </c>
      <c r="U492" s="51" t="str">
        <f>IF(AND(L492="154",'154'!$O$5&lt;=B492,'154'!$P$5&gt;=B492),"154",IF(AND(L492="632",'632'!$L$5&lt;=B492,'632'!$M$5&gt;=B492),"632",IF(AND(L492="642",'642'!$N$5&lt;=B492,'642'!$O$5&gt;=B492),"642",IF(AND(L492="641",'641'!$N$5&lt;=B492,'641'!$O$5&gt;=B492),"641",""))))</f>
        <v/>
      </c>
      <c r="V492" s="51" t="str">
        <f>IF(OR(TH!L492=TH!$V$7,M492=TH!$V$7),"x","")</f>
        <v/>
      </c>
      <c r="W492" s="51" t="str">
        <f>IF(AND(B492&gt;='IN-NX'!$P$3,B492&lt;='IN-NX'!$Q$3,'IN-NX'!$D$7=D492,OR(LEFT(L492,2)="15",AND(LEFT(M492,2)&lt;&gt;"15",LEFT(M492,2)&lt;&gt;"33"))),"x","")</f>
        <v/>
      </c>
      <c r="X492" s="51" t="str">
        <f>IF(AND(OR(LEFT(TH!L492,2)="15",LEFT(TH!M492,2)="15"),'152-CT'!$J$8=TH!F492),"x","")</f>
        <v/>
      </c>
      <c r="Y492" s="51" t="str">
        <f>IF(AND(OR(LEFT(TH!L492,2)="15",LEFT(TH!M492,2)="15"),TK!$E$7=TH!F492),"x","")</f>
        <v/>
      </c>
      <c r="Z492" s="51" t="str">
        <f>IF(AND(B492&lt;=NKC!$N$8,B492&gt;=NKC!$M$8),"x","")</f>
        <v>x</v>
      </c>
      <c r="AA492" s="803"/>
      <c r="AB492" s="565"/>
      <c r="AC492" s="565"/>
    </row>
    <row r="493" spans="1:31" ht="15.75" customHeight="1">
      <c r="A493" s="804" t="str">
        <f>IF(B493&lt;&gt;"",IF(AND(B493&gt;=_TM1,B493&lt;=_TM2,OR(TH!L493="1111",TH!M493="1111")),TH!D493,""),"")</f>
        <v/>
      </c>
      <c r="B493" s="36">
        <f t="shared" si="30"/>
        <v>8</v>
      </c>
      <c r="C493" s="189">
        <f t="shared" si="31"/>
        <v>42228</v>
      </c>
      <c r="D493" s="189" t="s">
        <v>422</v>
      </c>
      <c r="E493" s="182">
        <v>42228</v>
      </c>
      <c r="F493" s="187" t="s">
        <v>438</v>
      </c>
      <c r="G493" s="811" t="s">
        <v>415</v>
      </c>
      <c r="H493" s="7" t="s">
        <v>509</v>
      </c>
      <c r="I493" s="243"/>
      <c r="J493" s="243"/>
      <c r="K493" s="38">
        <v>8646550</v>
      </c>
      <c r="L493" s="192" t="s">
        <v>8</v>
      </c>
      <c r="M493" s="192" t="s">
        <v>24</v>
      </c>
      <c r="N493" s="51" t="str">
        <f>IF(AND('331-CT'!$E$7=TH!H493,OR(L493="331",M493="331")),"331",IF(AND(OR(L493="131",M493="131"),H493='131-CT'!$E$7),"131",""))</f>
        <v/>
      </c>
      <c r="O493" s="51" t="str">
        <f>IF(AND($B493&gt;='111'!$N$11,$B493&lt;='111'!$O$11,OR($L493=$O$7,$M493=$O$7)),"x","")</f>
        <v/>
      </c>
      <c r="P493" s="51" t="str">
        <f>IF(AND($L493=$O$7,$B493&lt;'111'!$N$11),"x","")</f>
        <v/>
      </c>
      <c r="Q493" s="51" t="str">
        <f>IF(AND($M493=$O$7,$B493&lt;'111'!$N$11),"x","")</f>
        <v/>
      </c>
      <c r="R493" s="51" t="str">
        <f>IF(ISERROR(FIND('112'!$M$9,G493,1)),"",IF((AND(FIND('112'!$M$9,G493,1)&gt;=1,$B493&gt;='112'!$N$8,$B493&lt;='112'!$O$8,OR($L493='112'!$I$6,$M493='112'!$I$6))),"x",""))</f>
        <v/>
      </c>
      <c r="S493" s="51" t="str">
        <f>IF(ISERROR(FIND('112'!$M$9,G493,1)),"",IF((AND(LEFT(G493,2)=LEFT('112'!$M$9,2),B493&lt;'112'!$N$8,$L493='112'!$I$6)),"x",""))</f>
        <v/>
      </c>
      <c r="T493" s="51" t="str">
        <f>IF(ISERROR(FIND('112'!$M$9,G493,1)),"",IF((AND(RIGHT(G493,2)=RIGHT('112'!$M$9,2),B493&lt;'112'!$N$8,$M493='112'!$I$6)),"x",""))</f>
        <v/>
      </c>
      <c r="U493" s="51" t="str">
        <f>IF(AND(L493="154",'154'!$O$5&lt;=B493,'154'!$P$5&gt;=B493),"154",IF(AND(L493="632",'632'!$L$5&lt;=B493,'632'!$M$5&gt;=B493),"632",IF(AND(L493="642",'642'!$N$5&lt;=B493,'642'!$O$5&gt;=B493),"642",IF(AND(L493="641",'641'!$N$5&lt;=B493,'641'!$O$5&gt;=B493),"641",""))))</f>
        <v/>
      </c>
      <c r="V493" s="51" t="str">
        <f>IF(OR(TH!L493=TH!$V$7,M493=TH!$V$7),"x","")</f>
        <v/>
      </c>
      <c r="W493" s="51" t="str">
        <f>IF(AND(B493&gt;='IN-NX'!$P$3,B493&lt;='IN-NX'!$Q$3,'IN-NX'!$D$7=D493,OR(LEFT(L493,2)="15",AND(LEFT(M493,2)&lt;&gt;"15",LEFT(M493,2)&lt;&gt;"33"))),"x","")</f>
        <v/>
      </c>
      <c r="X493" s="51" t="str">
        <f>IF(AND(OR(LEFT(TH!L493,2)="15",LEFT(TH!M493,2)="15"),'152-CT'!$J$8=TH!F493),"x","")</f>
        <v/>
      </c>
      <c r="Y493" s="51" t="str">
        <f>IF(AND(OR(LEFT(TH!L493,2)="15",LEFT(TH!M493,2)="15"),TK!$E$7=TH!F493),"x","")</f>
        <v/>
      </c>
      <c r="Z493" s="51" t="str">
        <f>IF(AND(B493&lt;=NKC!$N$8,B493&gt;=NKC!$M$8),"x","")</f>
        <v>x</v>
      </c>
      <c r="AA493" s="803"/>
      <c r="AB493" s="565"/>
      <c r="AD493" s="565"/>
      <c r="AE493" s="565"/>
    </row>
    <row r="494" spans="1:31" ht="15.75" customHeight="1">
      <c r="A494" s="804" t="str">
        <f>IF(B494&lt;&gt;"",IF(AND(B494&gt;=_TM1,B494&lt;=_TM2,OR(TH!L494="1111",TH!M494="1111")),TH!D494,""),"")</f>
        <v/>
      </c>
      <c r="B494" s="36">
        <f t="shared" ref="B494" si="33">IF(C494&lt;&gt;"",MONTH(C494),"")</f>
        <v>8</v>
      </c>
      <c r="C494" s="189">
        <f t="shared" ref="C494" si="34">E494</f>
        <v>42228</v>
      </c>
      <c r="D494" s="189" t="s">
        <v>422</v>
      </c>
      <c r="E494" s="182">
        <v>42228</v>
      </c>
      <c r="F494" s="187" t="s">
        <v>443</v>
      </c>
      <c r="G494" s="811" t="s">
        <v>415</v>
      </c>
      <c r="H494" s="7" t="s">
        <v>509</v>
      </c>
      <c r="I494" s="243"/>
      <c r="J494" s="243"/>
      <c r="K494" s="38">
        <v>11000</v>
      </c>
      <c r="L494" s="192" t="s">
        <v>83</v>
      </c>
      <c r="M494" s="192" t="s">
        <v>24</v>
      </c>
      <c r="N494" s="51" t="str">
        <f>IF(AND('331-CT'!$E$7=TH!H494,OR(L494="331",M494="331")),"331",IF(AND(OR(L494="131",M494="131"),H494='131-CT'!$E$7),"131",""))</f>
        <v/>
      </c>
      <c r="O494" s="51" t="str">
        <f>IF(AND($B494&gt;='111'!$N$11,$B494&lt;='111'!$O$11,OR($L494=$O$7,$M494=$O$7)),"x","")</f>
        <v/>
      </c>
      <c r="P494" s="51" t="str">
        <f>IF(AND($L494=$O$7,$B494&lt;'111'!$N$11),"x","")</f>
        <v/>
      </c>
      <c r="Q494" s="51" t="str">
        <f>IF(AND($M494=$O$7,$B494&lt;'111'!$N$11),"x","")</f>
        <v/>
      </c>
      <c r="R494" s="51" t="str">
        <f>IF(ISERROR(FIND('112'!$M$9,G494,1)),"",IF((AND(FIND('112'!$M$9,G494,1)&gt;=1,$B494&gt;='112'!$N$8,$B494&lt;='112'!$O$8,OR($L494='112'!$I$6,$M494='112'!$I$6))),"x",""))</f>
        <v/>
      </c>
      <c r="S494" s="51" t="str">
        <f>IF(ISERROR(FIND('112'!$M$9,G494,1)),"",IF((AND(LEFT(G494,2)=LEFT('112'!$M$9,2),B494&lt;'112'!$N$8,$L494='112'!$I$6)),"x",""))</f>
        <v/>
      </c>
      <c r="T494" s="51" t="str">
        <f>IF(ISERROR(FIND('112'!$M$9,G494,1)),"",IF((AND(RIGHT(G494,2)=RIGHT('112'!$M$9,2),B494&lt;'112'!$N$8,$M494='112'!$I$6)),"x",""))</f>
        <v/>
      </c>
      <c r="U494" s="51" t="str">
        <f>IF(AND(L494="154",'154'!$O$5&lt;=B494,'154'!$P$5&gt;=B494),"154",IF(AND(L494="632",'632'!$L$5&lt;=B494,'632'!$M$5&gt;=B494),"632",IF(AND(L494="642",'642'!$N$5&lt;=B494,'642'!$O$5&gt;=B494),"642",IF(AND(L494="641",'641'!$N$5&lt;=B494,'641'!$O$5&gt;=B494),"641",""))))</f>
        <v/>
      </c>
      <c r="V494" s="51" t="str">
        <f>IF(OR(TH!L494=TH!$V$7,M494=TH!$V$7),"x","")</f>
        <v>x</v>
      </c>
      <c r="W494" s="51" t="str">
        <f>IF(AND(B494&gt;='IN-NX'!$P$3,B494&lt;='IN-NX'!$Q$3,'IN-NX'!$D$7=D494,OR(LEFT(L494,2)="15",AND(LEFT(M494,2)&lt;&gt;"15",LEFT(M494,2)&lt;&gt;"33"))),"x","")</f>
        <v/>
      </c>
      <c r="X494" s="51" t="str">
        <f>IF(AND(OR(LEFT(TH!L494,2)="15",LEFT(TH!M494,2)="15"),'152-CT'!$J$8=TH!F494),"x","")</f>
        <v/>
      </c>
      <c r="Y494" s="51" t="str">
        <f>IF(AND(OR(LEFT(TH!L494,2)="15",LEFT(TH!M494,2)="15"),TK!$E$7=TH!F494),"x","")</f>
        <v/>
      </c>
      <c r="Z494" s="51" t="str">
        <f>IF(AND(B494&lt;=NKC!$N$8,B494&gt;=NKC!$M$8),"x","")</f>
        <v>x</v>
      </c>
      <c r="AA494" s="803"/>
      <c r="AB494" s="565"/>
      <c r="AD494" s="565"/>
      <c r="AE494" s="565"/>
    </row>
    <row r="495" spans="1:31" ht="15.75" customHeight="1">
      <c r="A495" s="804" t="str">
        <f>IF(B495&lt;&gt;"",IF(AND(B495&gt;=_TM1,B495&lt;=_TM2,OR(TH!L495="1111",TH!M495="1111")),TH!D495,""),"")</f>
        <v/>
      </c>
      <c r="B495" s="36">
        <f t="shared" si="30"/>
        <v>8</v>
      </c>
      <c r="C495" s="189">
        <f t="shared" si="31"/>
        <v>42228</v>
      </c>
      <c r="D495" s="189" t="s">
        <v>1292</v>
      </c>
      <c r="E495" s="189">
        <v>42228</v>
      </c>
      <c r="F495" s="190" t="s">
        <v>624</v>
      </c>
      <c r="G495" s="813" t="s">
        <v>1016</v>
      </c>
      <c r="H495" s="191" t="s">
        <v>413</v>
      </c>
      <c r="I495" s="243">
        <v>500</v>
      </c>
      <c r="J495" s="243">
        <v>31700</v>
      </c>
      <c r="K495" s="573">
        <f>ROUND(I495*J495,0)</f>
        <v>15850000</v>
      </c>
      <c r="L495" s="574" t="s">
        <v>250</v>
      </c>
      <c r="M495" s="574" t="s">
        <v>164</v>
      </c>
      <c r="N495" s="51" t="str">
        <f>IF(AND('331-CT'!$E$7=TH!H495,OR(L495="331",M495="331")),"331",IF(AND(OR(L495="131",M495="131"),H495='131-CT'!$E$7),"131",""))</f>
        <v/>
      </c>
      <c r="O495" s="51" t="str">
        <f>IF(AND($B495&gt;='111'!$N$11,$B495&lt;='111'!$O$11,OR($L495=$O$7,$M495=$O$7)),"x","")</f>
        <v/>
      </c>
      <c r="P495" s="51" t="str">
        <f>IF(AND($L495=$O$7,$B495&lt;'111'!$N$11),"x","")</f>
        <v/>
      </c>
      <c r="Q495" s="51" t="str">
        <f>IF(AND($M495=$O$7,$B495&lt;'111'!$N$11),"x","")</f>
        <v/>
      </c>
      <c r="R495" s="51" t="str">
        <f>IF(ISERROR(FIND('112'!$M$9,G495,1)),"",IF((AND(FIND('112'!$M$9,G495,1)&gt;=1,$B495&gt;='112'!$N$8,$B495&lt;='112'!$O$8,OR($L495='112'!$I$6,$M495='112'!$I$6))),"x",""))</f>
        <v/>
      </c>
      <c r="S495" s="51" t="str">
        <f>IF(ISERROR(FIND('112'!$M$9,G495,1)),"",IF((AND(LEFT(G495,2)=LEFT('112'!$M$9,2),B495&lt;'112'!$N$8,$L495='112'!$I$6)),"x",""))</f>
        <v/>
      </c>
      <c r="T495" s="51" t="str">
        <f>IF(ISERROR(FIND('112'!$M$9,G495,1)),"",IF((AND(RIGHT(G495,2)=RIGHT('112'!$M$9,2),B495&lt;'112'!$N$8,$M495='112'!$I$6)),"x",""))</f>
        <v/>
      </c>
      <c r="U495" s="51" t="str">
        <f>IF(AND(L495="154",'154'!$O$5&lt;=B495,'154'!$P$5&gt;=B495),"154",IF(AND(L495="632",'632'!$L$5&lt;=B495,'632'!$M$5&gt;=B495),"632",IF(AND(L495="642",'642'!$N$5&lt;=B495,'642'!$O$5&gt;=B495),"642",IF(AND(L495="641",'641'!$N$5&lt;=B495,'641'!$O$5&gt;=B495),"641",""))))</f>
        <v/>
      </c>
      <c r="V495" s="51" t="str">
        <f>IF(OR(TH!L495=TH!$V$7,M495=TH!$V$7),"x","")</f>
        <v/>
      </c>
      <c r="W495" s="51" t="str">
        <f>IF(AND(B495&gt;='IN-NX'!$P$3,B495&lt;='IN-NX'!$Q$3,'IN-NX'!$D$7=D495,OR(LEFT(L495,2)="15",AND(LEFT(M495,2)&lt;&gt;"15",LEFT(M495,2)&lt;&gt;"33"))),"x","")</f>
        <v/>
      </c>
      <c r="X495" s="51" t="str">
        <f>IF(AND(OR(LEFT(TH!L495,2)="15",LEFT(TH!M495,2)="15"),'152-CT'!$J$8=TH!F495),"x","")</f>
        <v/>
      </c>
      <c r="Y495" s="51" t="str">
        <f>IF(AND(OR(LEFT(TH!L495,2)="15",LEFT(TH!M495,2)="15"),TK!$E$7=TH!F495),"x","")</f>
        <v/>
      </c>
      <c r="Z495" s="51" t="str">
        <f>IF(AND(B495&lt;=NKC!$N$8,B495&gt;=NKC!$M$8),"x","")</f>
        <v>x</v>
      </c>
      <c r="AA495" s="803"/>
      <c r="AB495" s="565"/>
    </row>
    <row r="496" spans="1:31" ht="15.75" customHeight="1">
      <c r="A496" s="804" t="str">
        <f>IF(B496&lt;&gt;"",IF(AND(B496&gt;=_TM1,B496&lt;=_TM2,OR(TH!L496="1111",TH!M496="1111")),TH!D496,""),"")</f>
        <v/>
      </c>
      <c r="B496" s="36">
        <f t="shared" si="30"/>
        <v>8</v>
      </c>
      <c r="C496" s="189">
        <f t="shared" si="31"/>
        <v>42228</v>
      </c>
      <c r="D496" s="189" t="s">
        <v>1292</v>
      </c>
      <c r="E496" s="189">
        <v>42228</v>
      </c>
      <c r="F496" s="190" t="s">
        <v>962</v>
      </c>
      <c r="G496" s="813" t="s">
        <v>1016</v>
      </c>
      <c r="H496" s="191" t="s">
        <v>413</v>
      </c>
      <c r="I496" s="243"/>
      <c r="J496" s="243"/>
      <c r="K496" s="573">
        <v>1585000</v>
      </c>
      <c r="L496" s="574" t="s">
        <v>250</v>
      </c>
      <c r="M496" s="574" t="s">
        <v>352</v>
      </c>
      <c r="N496" s="51" t="str">
        <f>IF(AND('331-CT'!$E$7=TH!H496,OR(L496="331",M496="331")),"331",IF(AND(OR(L496="131",M496="131"),H496='131-CT'!$E$7),"131",""))</f>
        <v/>
      </c>
      <c r="O496" s="51" t="str">
        <f>IF(AND($B496&gt;='111'!$N$11,$B496&lt;='111'!$O$11,OR($L496=$O$7,$M496=$O$7)),"x","")</f>
        <v/>
      </c>
      <c r="P496" s="51" t="str">
        <f>IF(AND($L496=$O$7,$B496&lt;'111'!$N$11),"x","")</f>
        <v/>
      </c>
      <c r="Q496" s="51" t="str">
        <f>IF(AND($M496=$O$7,$B496&lt;'111'!$N$11),"x","")</f>
        <v/>
      </c>
      <c r="R496" s="51" t="str">
        <f>IF(ISERROR(FIND('112'!$M$9,G496,1)),"",IF((AND(FIND('112'!$M$9,G496,1)&gt;=1,$B496&gt;='112'!$N$8,$B496&lt;='112'!$O$8,OR($L496='112'!$I$6,$M496='112'!$I$6))),"x",""))</f>
        <v/>
      </c>
      <c r="S496" s="51" t="str">
        <f>IF(ISERROR(FIND('112'!$M$9,G496,1)),"",IF((AND(LEFT(G496,2)=LEFT('112'!$M$9,2),B496&lt;'112'!$N$8,$L496='112'!$I$6)),"x",""))</f>
        <v/>
      </c>
      <c r="T496" s="51" t="str">
        <f>IF(ISERROR(FIND('112'!$M$9,G496,1)),"",IF((AND(RIGHT(G496,2)=RIGHT('112'!$M$9,2),B496&lt;'112'!$N$8,$M496='112'!$I$6)),"x",""))</f>
        <v/>
      </c>
      <c r="U496" s="51" t="str">
        <f>IF(AND(L496="154",'154'!$O$5&lt;=B496,'154'!$P$5&gt;=B496),"154",IF(AND(L496="632",'632'!$L$5&lt;=B496,'632'!$M$5&gt;=B496),"632",IF(AND(L496="642",'642'!$N$5&lt;=B496,'642'!$O$5&gt;=B496),"642",IF(AND(L496="641",'641'!$N$5&lt;=B496,'641'!$O$5&gt;=B496),"641",""))))</f>
        <v/>
      </c>
      <c r="V496" s="51" t="str">
        <f>IF(OR(TH!L496=TH!$V$7,M496=TH!$V$7),"x","")</f>
        <v/>
      </c>
      <c r="W496" s="51" t="str">
        <f>IF(AND(B496&gt;='IN-NX'!$P$3,B496&lt;='IN-NX'!$Q$3,'IN-NX'!$D$7=D496,OR(LEFT(L496,2)="15",AND(LEFT(M496,2)&lt;&gt;"15",LEFT(M496,2)&lt;&gt;"33"))),"x","")</f>
        <v/>
      </c>
      <c r="X496" s="51" t="str">
        <f>IF(AND(OR(LEFT(TH!L496,2)="15",LEFT(TH!M496,2)="15"),'152-CT'!$J$8=TH!F496),"x","")</f>
        <v/>
      </c>
      <c r="Y496" s="51" t="str">
        <f>IF(AND(OR(LEFT(TH!L496,2)="15",LEFT(TH!M496,2)="15"),TK!$E$7=TH!F496),"x","")</f>
        <v/>
      </c>
      <c r="Z496" s="51" t="str">
        <f>IF(AND(B496&lt;=NKC!$N$8,B496&gt;=NKC!$M$8),"x","")</f>
        <v>x</v>
      </c>
      <c r="AA496" s="803"/>
      <c r="AB496" s="565"/>
    </row>
    <row r="497" spans="1:31" ht="15.75" customHeight="1">
      <c r="A497" s="804" t="str">
        <f>IF(B497&lt;&gt;"",IF(AND(B497&gt;=_TM1,B497&lt;=_TM2,OR(TH!L497="1111",TH!M497="1111")),TH!D497,""),"")</f>
        <v>T20</v>
      </c>
      <c r="B497" s="36">
        <f t="shared" si="30"/>
        <v>8</v>
      </c>
      <c r="C497" s="189">
        <f t="shared" si="31"/>
        <v>42228</v>
      </c>
      <c r="D497" s="189" t="s">
        <v>1376</v>
      </c>
      <c r="E497" s="189">
        <v>42228</v>
      </c>
      <c r="F497" s="926" t="s">
        <v>423</v>
      </c>
      <c r="G497" s="813" t="s">
        <v>1016</v>
      </c>
      <c r="H497" s="191" t="s">
        <v>413</v>
      </c>
      <c r="I497" s="243"/>
      <c r="J497" s="243"/>
      <c r="K497" s="573">
        <v>17435000</v>
      </c>
      <c r="L497" s="574" t="s">
        <v>47</v>
      </c>
      <c r="M497" s="574" t="s">
        <v>250</v>
      </c>
      <c r="N497" s="51" t="str">
        <f>IF(AND('331-CT'!$E$7=TH!H497,OR(L497="331",M497="331")),"331",IF(AND(OR(L497="131",M497="131"),H497='131-CT'!$E$7),"131",""))</f>
        <v/>
      </c>
      <c r="O497" s="51" t="str">
        <f>IF(AND($B497&gt;='111'!$N$11,$B497&lt;='111'!$O$11,OR($L497=$O$7,$M497=$O$7)),"x","")</f>
        <v/>
      </c>
      <c r="P497" s="51" t="str">
        <f>IF(AND($L497=$O$7,$B497&lt;'111'!$N$11),"x","")</f>
        <v>x</v>
      </c>
      <c r="Q497" s="51" t="str">
        <f>IF(AND($M497=$O$7,$B497&lt;'111'!$N$11),"x","")</f>
        <v/>
      </c>
      <c r="R497" s="51" t="str">
        <f>IF(ISERROR(FIND('112'!$M$9,G497,1)),"",IF((AND(FIND('112'!$M$9,G497,1)&gt;=1,$B497&gt;='112'!$N$8,$B497&lt;='112'!$O$8,OR($L497='112'!$I$6,$M497='112'!$I$6))),"x",""))</f>
        <v/>
      </c>
      <c r="S497" s="51" t="str">
        <f>IF(ISERROR(FIND('112'!$M$9,G497,1)),"",IF((AND(LEFT(G497,2)=LEFT('112'!$M$9,2),B497&lt;'112'!$N$8,$L497='112'!$I$6)),"x",""))</f>
        <v/>
      </c>
      <c r="T497" s="51" t="str">
        <f>IF(ISERROR(FIND('112'!$M$9,G497,1)),"",IF((AND(RIGHT(G497,2)=RIGHT('112'!$M$9,2),B497&lt;'112'!$N$8,$M497='112'!$I$6)),"x",""))</f>
        <v/>
      </c>
      <c r="U497" s="51" t="str">
        <f>IF(AND(L497="154",'154'!$O$5&lt;=B497,'154'!$P$5&gt;=B497),"154",IF(AND(L497="632",'632'!$L$5&lt;=B497,'632'!$M$5&gt;=B497),"632",IF(AND(L497="642",'642'!$N$5&lt;=B497,'642'!$O$5&gt;=B497),"642",IF(AND(L497="641",'641'!$N$5&lt;=B497,'641'!$O$5&gt;=B497),"641",""))))</f>
        <v/>
      </c>
      <c r="V497" s="51" t="str">
        <f>IF(OR(TH!L497=TH!$V$7,M497=TH!$V$7),"x","")</f>
        <v/>
      </c>
      <c r="W497" s="51" t="str">
        <f>IF(AND(B497&gt;='IN-NX'!$P$3,B497&lt;='IN-NX'!$Q$3,'IN-NX'!$D$7=D497,OR(LEFT(L497,2)="15",AND(LEFT(M497,2)&lt;&gt;"15",LEFT(M497,2)&lt;&gt;"33"))),"x","")</f>
        <v/>
      </c>
      <c r="X497" s="51" t="str">
        <f>IF(AND(OR(LEFT(TH!L497,2)="15",LEFT(TH!M497,2)="15"),'152-CT'!$J$8=TH!F497),"x","")</f>
        <v/>
      </c>
      <c r="Y497" s="51" t="str">
        <f>IF(AND(OR(LEFT(TH!L497,2)="15",LEFT(TH!M497,2)="15"),TK!$E$7=TH!F497),"x","")</f>
        <v/>
      </c>
      <c r="Z497" s="51" t="str">
        <f>IF(AND(B497&lt;=NKC!$N$8,B497&gt;=NKC!$M$8),"x","")</f>
        <v>x</v>
      </c>
      <c r="AA497" s="803"/>
      <c r="AB497" s="565"/>
    </row>
    <row r="498" spans="1:31" ht="15.75" customHeight="1">
      <c r="A498" s="804" t="str">
        <f>IF(B498&lt;&gt;"",IF(AND(B498&gt;=_TM1,B498&lt;=_TM2,OR(TH!L498="1111",TH!M498="1111")),TH!D498,""),"")</f>
        <v>T21</v>
      </c>
      <c r="B498" s="36">
        <f t="shared" si="30"/>
        <v>8</v>
      </c>
      <c r="C498" s="189">
        <f t="shared" si="31"/>
        <v>42229</v>
      </c>
      <c r="D498" s="189" t="s">
        <v>1377</v>
      </c>
      <c r="E498" s="182">
        <v>42229</v>
      </c>
      <c r="F498" s="187" t="s">
        <v>427</v>
      </c>
      <c r="G498" s="811" t="s">
        <v>415</v>
      </c>
      <c r="H498" s="7" t="s">
        <v>437</v>
      </c>
      <c r="I498" s="243"/>
      <c r="J498" s="243"/>
      <c r="K498" s="573">
        <v>2000000</v>
      </c>
      <c r="L498" s="192" t="s">
        <v>47</v>
      </c>
      <c r="M498" s="192" t="s">
        <v>24</v>
      </c>
      <c r="N498" s="51" t="str">
        <f>IF(AND('331-CT'!$E$7=TH!H498,OR(L498="331",M498="331")),"331",IF(AND(OR(L498="131",M498="131"),H498='131-CT'!$E$7),"131",""))</f>
        <v/>
      </c>
      <c r="O498" s="51" t="str">
        <f>IF(AND($B498&gt;='111'!$N$11,$B498&lt;='111'!$O$11,OR($L498=$O$7,$M498=$O$7)),"x","")</f>
        <v/>
      </c>
      <c r="P498" s="51" t="str">
        <f>IF(AND($L498=$O$7,$B498&lt;'111'!$N$11),"x","")</f>
        <v>x</v>
      </c>
      <c r="Q498" s="51" t="str">
        <f>IF(AND($M498=$O$7,$B498&lt;'111'!$N$11),"x","")</f>
        <v/>
      </c>
      <c r="R498" s="51" t="str">
        <f>IF(ISERROR(FIND('112'!$M$9,G498,1)),"",IF((AND(FIND('112'!$M$9,G498,1)&gt;=1,$B498&gt;='112'!$N$8,$B498&lt;='112'!$O$8,OR($L498='112'!$I$6,$M498='112'!$I$6))),"x",""))</f>
        <v/>
      </c>
      <c r="S498" s="51" t="str">
        <f>IF(ISERROR(FIND('112'!$M$9,G498,1)),"",IF((AND(LEFT(G498,2)=LEFT('112'!$M$9,2),B498&lt;'112'!$N$8,$L498='112'!$I$6)),"x",""))</f>
        <v/>
      </c>
      <c r="T498" s="51" t="str">
        <f>IF(ISERROR(FIND('112'!$M$9,G498,1)),"",IF((AND(RIGHT(G498,2)=RIGHT('112'!$M$9,2),B498&lt;'112'!$N$8,$M498='112'!$I$6)),"x",""))</f>
        <v/>
      </c>
      <c r="U498" s="51" t="str">
        <f>IF(AND(L498="154",'154'!$O$5&lt;=B498,'154'!$P$5&gt;=B498),"154",IF(AND(L498="632",'632'!$L$5&lt;=B498,'632'!$M$5&gt;=B498),"632",IF(AND(L498="642",'642'!$N$5&lt;=B498,'642'!$O$5&gt;=B498),"642",IF(AND(L498="641",'641'!$N$5&lt;=B498,'641'!$O$5&gt;=B498),"641",""))))</f>
        <v/>
      </c>
      <c r="V498" s="51" t="str">
        <f>IF(OR(TH!L498=TH!$V$7,M498=TH!$V$7),"x","")</f>
        <v/>
      </c>
      <c r="W498" s="51" t="str">
        <f>IF(AND(B498&gt;='IN-NX'!$P$3,B498&lt;='IN-NX'!$Q$3,'IN-NX'!$D$7=D498,OR(LEFT(L498,2)="15",AND(LEFT(M498,2)&lt;&gt;"15",LEFT(M498,2)&lt;&gt;"33"))),"x","")</f>
        <v/>
      </c>
      <c r="X498" s="51" t="str">
        <f>IF(AND(OR(LEFT(TH!L498,2)="15",LEFT(TH!M498,2)="15"),'152-CT'!$J$8=TH!F498),"x","")</f>
        <v/>
      </c>
      <c r="Y498" s="51" t="str">
        <f>IF(AND(OR(LEFT(TH!L498,2)="15",LEFT(TH!M498,2)="15"),TK!$E$7=TH!F498),"x","")</f>
        <v/>
      </c>
      <c r="Z498" s="51" t="str">
        <f>IF(AND(B498&lt;=NKC!$N$8,B498&gt;=NKC!$M$8),"x","")</f>
        <v>x</v>
      </c>
      <c r="AA498" s="803"/>
      <c r="AB498" s="565"/>
      <c r="AD498" s="565"/>
      <c r="AE498" s="565"/>
    </row>
    <row r="499" spans="1:31" ht="15.75" customHeight="1">
      <c r="A499" s="804" t="str">
        <f>IF(B499&lt;&gt;"",IF(AND(B499&gt;=_TM1,B499&lt;=_TM2,OR(TH!L499="1111",TH!M499="1111")),TH!D499,""),"")</f>
        <v/>
      </c>
      <c r="B499" s="36">
        <f t="shared" si="30"/>
        <v>8</v>
      </c>
      <c r="C499" s="189">
        <f t="shared" si="31"/>
        <v>42230</v>
      </c>
      <c r="D499" s="189" t="s">
        <v>422</v>
      </c>
      <c r="E499" s="182">
        <v>42230</v>
      </c>
      <c r="F499" s="187" t="s">
        <v>438</v>
      </c>
      <c r="G499" s="811" t="s">
        <v>415</v>
      </c>
      <c r="H499" s="191" t="s">
        <v>448</v>
      </c>
      <c r="I499" s="243"/>
      <c r="J499" s="243"/>
      <c r="K499" s="573">
        <v>30027500</v>
      </c>
      <c r="L499" s="192" t="s">
        <v>8</v>
      </c>
      <c r="M499" s="192" t="s">
        <v>24</v>
      </c>
      <c r="N499" s="51" t="str">
        <f>IF(AND('331-CT'!$E$7=TH!H499,OR(L499="331",M499="331")),"331",IF(AND(OR(L499="131",M499="131"),H499='131-CT'!$E$7),"131",""))</f>
        <v/>
      </c>
      <c r="O499" s="51" t="str">
        <f>IF(AND($B499&gt;='111'!$N$11,$B499&lt;='111'!$O$11,OR($L499=$O$7,$M499=$O$7)),"x","")</f>
        <v/>
      </c>
      <c r="P499" s="51" t="str">
        <f>IF(AND($L499=$O$7,$B499&lt;'111'!$N$11),"x","")</f>
        <v/>
      </c>
      <c r="Q499" s="51" t="str">
        <f>IF(AND($M499=$O$7,$B499&lt;'111'!$N$11),"x","")</f>
        <v/>
      </c>
      <c r="R499" s="51" t="str">
        <f>IF(ISERROR(FIND('112'!$M$9,G499,1)),"",IF((AND(FIND('112'!$M$9,G499,1)&gt;=1,$B499&gt;='112'!$N$8,$B499&lt;='112'!$O$8,OR($L499='112'!$I$6,$M499='112'!$I$6))),"x",""))</f>
        <v/>
      </c>
      <c r="S499" s="51" t="str">
        <f>IF(ISERROR(FIND('112'!$M$9,G499,1)),"",IF((AND(LEFT(G499,2)=LEFT('112'!$M$9,2),B499&lt;'112'!$N$8,$L499='112'!$I$6)),"x",""))</f>
        <v/>
      </c>
      <c r="T499" s="51" t="str">
        <f>IF(ISERROR(FIND('112'!$M$9,G499,1)),"",IF((AND(RIGHT(G499,2)=RIGHT('112'!$M$9,2),B499&lt;'112'!$N$8,$M499='112'!$I$6)),"x",""))</f>
        <v/>
      </c>
      <c r="U499" s="51" t="str">
        <f>IF(AND(L499="154",'154'!$O$5&lt;=B499,'154'!$P$5&gt;=B499),"154",IF(AND(L499="632",'632'!$L$5&lt;=B499,'632'!$M$5&gt;=B499),"632",IF(AND(L499="642",'642'!$N$5&lt;=B499,'642'!$O$5&gt;=B499),"642",IF(AND(L499="641",'641'!$N$5&lt;=B499,'641'!$O$5&gt;=B499),"641",""))))</f>
        <v/>
      </c>
      <c r="V499" s="51" t="str">
        <f>IF(OR(TH!L499=TH!$V$7,M499=TH!$V$7),"x","")</f>
        <v/>
      </c>
      <c r="W499" s="51" t="str">
        <f>IF(AND(B499&gt;='IN-NX'!$P$3,B499&lt;='IN-NX'!$Q$3,'IN-NX'!$D$7=D499,OR(LEFT(L499,2)="15",AND(LEFT(M499,2)&lt;&gt;"15",LEFT(M499,2)&lt;&gt;"33"))),"x","")</f>
        <v/>
      </c>
      <c r="X499" s="51" t="str">
        <f>IF(AND(OR(LEFT(TH!L499,2)="15",LEFT(TH!M499,2)="15"),'152-CT'!$J$8=TH!F499),"x","")</f>
        <v/>
      </c>
      <c r="Y499" s="51" t="str">
        <f>IF(AND(OR(LEFT(TH!L499,2)="15",LEFT(TH!M499,2)="15"),TK!$E$7=TH!F499),"x","")</f>
        <v/>
      </c>
      <c r="Z499" s="51" t="str">
        <f>IF(AND(B499&lt;=NKC!$N$8,B499&gt;=NKC!$M$8),"x","")</f>
        <v>x</v>
      </c>
      <c r="AA499" s="803"/>
      <c r="AB499" s="565"/>
      <c r="AC499" s="565"/>
      <c r="AD499" s="565"/>
      <c r="AE499" s="565"/>
    </row>
    <row r="500" spans="1:31" ht="15.75" customHeight="1">
      <c r="A500" s="804" t="str">
        <f>IF(B500&lt;&gt;"",IF(AND(B500&gt;=_TM1,B500&lt;=_TM2,OR(TH!L500="1111",TH!M500="1111")),TH!D500,""),"")</f>
        <v/>
      </c>
      <c r="B500" s="36">
        <f t="shared" si="30"/>
        <v>8</v>
      </c>
      <c r="C500" s="189">
        <f t="shared" si="31"/>
        <v>42231</v>
      </c>
      <c r="D500" s="189" t="s">
        <v>422</v>
      </c>
      <c r="E500" s="182">
        <v>42231</v>
      </c>
      <c r="F500" s="187" t="s">
        <v>425</v>
      </c>
      <c r="G500" s="811" t="s">
        <v>415</v>
      </c>
      <c r="H500" s="7"/>
      <c r="I500" s="243"/>
      <c r="J500" s="243"/>
      <c r="K500" s="573">
        <v>55000</v>
      </c>
      <c r="L500" s="192" t="s">
        <v>83</v>
      </c>
      <c r="M500" s="192" t="s">
        <v>24</v>
      </c>
      <c r="N500" s="51" t="str">
        <f>IF(AND('331-CT'!$E$7=TH!H500,OR(L500="331",M500="331")),"331",IF(AND(OR(L500="131",M500="131"),H500='131-CT'!$E$7),"131",""))</f>
        <v/>
      </c>
      <c r="O500" s="51" t="str">
        <f>IF(AND($B500&gt;='111'!$N$11,$B500&lt;='111'!$O$11,OR($L500=$O$7,$M500=$O$7)),"x","")</f>
        <v/>
      </c>
      <c r="P500" s="51" t="str">
        <f>IF(AND($L500=$O$7,$B500&lt;'111'!$N$11),"x","")</f>
        <v/>
      </c>
      <c r="Q500" s="51" t="str">
        <f>IF(AND($M500=$O$7,$B500&lt;'111'!$N$11),"x","")</f>
        <v/>
      </c>
      <c r="R500" s="51" t="str">
        <f>IF(ISERROR(FIND('112'!$M$9,G500,1)),"",IF((AND(FIND('112'!$M$9,G500,1)&gt;=1,$B500&gt;='112'!$N$8,$B500&lt;='112'!$O$8,OR($L500='112'!$I$6,$M500='112'!$I$6))),"x",""))</f>
        <v/>
      </c>
      <c r="S500" s="51" t="str">
        <f>IF(ISERROR(FIND('112'!$M$9,G500,1)),"",IF((AND(LEFT(G500,2)=LEFT('112'!$M$9,2),B500&lt;'112'!$N$8,$L500='112'!$I$6)),"x",""))</f>
        <v/>
      </c>
      <c r="T500" s="51" t="str">
        <f>IF(ISERROR(FIND('112'!$M$9,G500,1)),"",IF((AND(RIGHT(G500,2)=RIGHT('112'!$M$9,2),B500&lt;'112'!$N$8,$M500='112'!$I$6)),"x",""))</f>
        <v/>
      </c>
      <c r="U500" s="51" t="str">
        <f>IF(AND(L500="154",'154'!$O$5&lt;=B500,'154'!$P$5&gt;=B500),"154",IF(AND(L500="632",'632'!$L$5&lt;=B500,'632'!$M$5&gt;=B500),"632",IF(AND(L500="642",'642'!$N$5&lt;=B500,'642'!$O$5&gt;=B500),"642",IF(AND(L500="641",'641'!$N$5&lt;=B500,'641'!$O$5&gt;=B500),"641",""))))</f>
        <v/>
      </c>
      <c r="V500" s="51" t="str">
        <f>IF(OR(TH!L500=TH!$V$7,M500=TH!$V$7),"x","")</f>
        <v>x</v>
      </c>
      <c r="W500" s="51" t="str">
        <f>IF(AND(B500&gt;='IN-NX'!$P$3,B500&lt;='IN-NX'!$Q$3,'IN-NX'!$D$7=D500,OR(LEFT(L500,2)="15",AND(LEFT(M500,2)&lt;&gt;"15",LEFT(M500,2)&lt;&gt;"33"))),"x","")</f>
        <v/>
      </c>
      <c r="X500" s="51" t="str">
        <f>IF(AND(OR(LEFT(TH!L500,2)="15",LEFT(TH!M500,2)="15"),'152-CT'!$J$8=TH!F500),"x","")</f>
        <v/>
      </c>
      <c r="Y500" s="51" t="str">
        <f>IF(AND(OR(LEFT(TH!L500,2)="15",LEFT(TH!M500,2)="15"),TK!$E$7=TH!F500),"x","")</f>
        <v/>
      </c>
      <c r="Z500" s="51" t="str">
        <f>IF(AND(B500&lt;=NKC!$N$8,B500&gt;=NKC!$M$8),"x","")</f>
        <v>x</v>
      </c>
      <c r="AA500" s="803"/>
      <c r="AB500" s="565"/>
      <c r="AC500" s="565"/>
      <c r="AD500" s="565"/>
      <c r="AE500" s="565"/>
    </row>
    <row r="501" spans="1:31" ht="15.75" customHeight="1">
      <c r="A501" s="804" t="str">
        <f>IF(B501&lt;&gt;"",IF(AND(B501&gt;=_TM1,B501&lt;=_TM2,OR(TH!L501="1111",TH!M501="1111")),TH!D501,""),"")</f>
        <v/>
      </c>
      <c r="B501" s="36">
        <f t="shared" si="30"/>
        <v>8</v>
      </c>
      <c r="C501" s="189">
        <f t="shared" si="31"/>
        <v>42231</v>
      </c>
      <c r="D501" s="189" t="s">
        <v>1292</v>
      </c>
      <c r="E501" s="189">
        <v>42231</v>
      </c>
      <c r="F501" s="190" t="s">
        <v>620</v>
      </c>
      <c r="G501" s="813" t="s">
        <v>1017</v>
      </c>
      <c r="H501" s="191" t="s">
        <v>413</v>
      </c>
      <c r="I501" s="243">
        <v>1000</v>
      </c>
      <c r="J501" s="243">
        <v>15000</v>
      </c>
      <c r="K501" s="573">
        <f>ROUND(I501*J501,0)</f>
        <v>15000000</v>
      </c>
      <c r="L501" s="574" t="s">
        <v>250</v>
      </c>
      <c r="M501" s="574" t="s">
        <v>164</v>
      </c>
      <c r="N501" s="51" t="str">
        <f>IF(AND('331-CT'!$E$7=TH!H501,OR(L501="331",M501="331")),"331",IF(AND(OR(L501="131",M501="131"),H501='131-CT'!$E$7),"131",""))</f>
        <v/>
      </c>
      <c r="O501" s="51" t="str">
        <f>IF(AND($B501&gt;='111'!$N$11,$B501&lt;='111'!$O$11,OR($L501=$O$7,$M501=$O$7)),"x","")</f>
        <v/>
      </c>
      <c r="P501" s="51" t="str">
        <f>IF(AND($L501=$O$7,$B501&lt;'111'!$N$11),"x","")</f>
        <v/>
      </c>
      <c r="Q501" s="51" t="str">
        <f>IF(AND($M501=$O$7,$B501&lt;'111'!$N$11),"x","")</f>
        <v/>
      </c>
      <c r="R501" s="51" t="str">
        <f>IF(ISERROR(FIND('112'!$M$9,G501,1)),"",IF((AND(FIND('112'!$M$9,G501,1)&gt;=1,$B501&gt;='112'!$N$8,$B501&lt;='112'!$O$8,OR($L501='112'!$I$6,$M501='112'!$I$6))),"x",""))</f>
        <v/>
      </c>
      <c r="S501" s="51" t="str">
        <f>IF(ISERROR(FIND('112'!$M$9,G501,1)),"",IF((AND(LEFT(G501,2)=LEFT('112'!$M$9,2),B501&lt;'112'!$N$8,$L501='112'!$I$6)),"x",""))</f>
        <v/>
      </c>
      <c r="T501" s="51" t="str">
        <f>IF(ISERROR(FIND('112'!$M$9,G501,1)),"",IF((AND(RIGHT(G501,2)=RIGHT('112'!$M$9,2),B501&lt;'112'!$N$8,$M501='112'!$I$6)),"x",""))</f>
        <v/>
      </c>
      <c r="U501" s="51" t="str">
        <f>IF(AND(L501="154",'154'!$O$5&lt;=B501,'154'!$P$5&gt;=B501),"154",IF(AND(L501="632",'632'!$L$5&lt;=B501,'632'!$M$5&gt;=B501),"632",IF(AND(L501="642",'642'!$N$5&lt;=B501,'642'!$O$5&gt;=B501),"642",IF(AND(L501="641",'641'!$N$5&lt;=B501,'641'!$O$5&gt;=B501),"641",""))))</f>
        <v/>
      </c>
      <c r="V501" s="51" t="str">
        <f>IF(OR(TH!L501=TH!$V$7,M501=TH!$V$7),"x","")</f>
        <v/>
      </c>
      <c r="W501" s="51" t="str">
        <f>IF(AND(B501&gt;='IN-NX'!$P$3,B501&lt;='IN-NX'!$Q$3,'IN-NX'!$D$7=D501,OR(LEFT(L501,2)="15",AND(LEFT(M501,2)&lt;&gt;"15",LEFT(M501,2)&lt;&gt;"33"))),"x","")</f>
        <v/>
      </c>
      <c r="X501" s="51" t="str">
        <f>IF(AND(OR(LEFT(TH!L501,2)="15",LEFT(TH!M501,2)="15"),'152-CT'!$J$8=TH!F501),"x","")</f>
        <v/>
      </c>
      <c r="Y501" s="51" t="str">
        <f>IF(AND(OR(LEFT(TH!L501,2)="15",LEFT(TH!M501,2)="15"),TK!$E$7=TH!F501),"x","")</f>
        <v/>
      </c>
      <c r="Z501" s="51" t="str">
        <f>IF(AND(B501&lt;=NKC!$N$8,B501&gt;=NKC!$M$8),"x","")</f>
        <v>x</v>
      </c>
      <c r="AA501" s="803"/>
      <c r="AB501" s="565"/>
    </row>
    <row r="502" spans="1:31" ht="15.75" customHeight="1">
      <c r="A502" s="804" t="str">
        <f>IF(B502&lt;&gt;"",IF(AND(B502&gt;=_TM1,B502&lt;=_TM2,OR(TH!L502="1111",TH!M502="1111")),TH!D502,""),"")</f>
        <v/>
      </c>
      <c r="B502" s="36">
        <f t="shared" si="30"/>
        <v>8</v>
      </c>
      <c r="C502" s="189">
        <f t="shared" si="31"/>
        <v>42231</v>
      </c>
      <c r="D502" s="189" t="s">
        <v>1292</v>
      </c>
      <c r="E502" s="189">
        <v>42231</v>
      </c>
      <c r="F502" s="190" t="s">
        <v>705</v>
      </c>
      <c r="G502" s="813" t="s">
        <v>1017</v>
      </c>
      <c r="H502" s="191" t="s">
        <v>413</v>
      </c>
      <c r="I502" s="243"/>
      <c r="J502" s="243"/>
      <c r="K502" s="573">
        <v>1500000</v>
      </c>
      <c r="L502" s="574" t="s">
        <v>250</v>
      </c>
      <c r="M502" s="574" t="s">
        <v>352</v>
      </c>
      <c r="N502" s="51" t="str">
        <f>IF(AND('331-CT'!$E$7=TH!H502,OR(L502="331",M502="331")),"331",IF(AND(OR(L502="131",M502="131"),H502='131-CT'!$E$7),"131",""))</f>
        <v/>
      </c>
      <c r="O502" s="51" t="str">
        <f>IF(AND($B502&gt;='111'!$N$11,$B502&lt;='111'!$O$11,OR($L502=$O$7,$M502=$O$7)),"x","")</f>
        <v/>
      </c>
      <c r="P502" s="51" t="str">
        <f>IF(AND($L502=$O$7,$B502&lt;'111'!$N$11),"x","")</f>
        <v/>
      </c>
      <c r="Q502" s="51" t="str">
        <f>IF(AND($M502=$O$7,$B502&lt;'111'!$N$11),"x","")</f>
        <v/>
      </c>
      <c r="R502" s="51" t="str">
        <f>IF(ISERROR(FIND('112'!$M$9,G502,1)),"",IF((AND(FIND('112'!$M$9,G502,1)&gt;=1,$B502&gt;='112'!$N$8,$B502&lt;='112'!$O$8,OR($L502='112'!$I$6,$M502='112'!$I$6))),"x",""))</f>
        <v/>
      </c>
      <c r="S502" s="51" t="str">
        <f>IF(ISERROR(FIND('112'!$M$9,G502,1)),"",IF((AND(LEFT(G502,2)=LEFT('112'!$M$9,2),B502&lt;'112'!$N$8,$L502='112'!$I$6)),"x",""))</f>
        <v/>
      </c>
      <c r="T502" s="51" t="str">
        <f>IF(ISERROR(FIND('112'!$M$9,G502,1)),"",IF((AND(RIGHT(G502,2)=RIGHT('112'!$M$9,2),B502&lt;'112'!$N$8,$M502='112'!$I$6)),"x",""))</f>
        <v/>
      </c>
      <c r="U502" s="51" t="str">
        <f>IF(AND(L502="154",'154'!$O$5&lt;=B502,'154'!$P$5&gt;=B502),"154",IF(AND(L502="632",'632'!$L$5&lt;=B502,'632'!$M$5&gt;=B502),"632",IF(AND(L502="642",'642'!$N$5&lt;=B502,'642'!$O$5&gt;=B502),"642",IF(AND(L502="641",'641'!$N$5&lt;=B502,'641'!$O$5&gt;=B502),"641",""))))</f>
        <v/>
      </c>
      <c r="V502" s="51" t="str">
        <f>IF(OR(TH!L502=TH!$V$7,M502=TH!$V$7),"x","")</f>
        <v/>
      </c>
      <c r="W502" s="51" t="str">
        <f>IF(AND(B502&gt;='IN-NX'!$P$3,B502&lt;='IN-NX'!$Q$3,'IN-NX'!$D$7=D502,OR(LEFT(L502,2)="15",AND(LEFT(M502,2)&lt;&gt;"15",LEFT(M502,2)&lt;&gt;"33"))),"x","")</f>
        <v/>
      </c>
      <c r="X502" s="51" t="str">
        <f>IF(AND(OR(LEFT(TH!L502,2)="15",LEFT(TH!M502,2)="15"),'152-CT'!$J$8=TH!F502),"x","")</f>
        <v/>
      </c>
      <c r="Y502" s="51" t="str">
        <f>IF(AND(OR(LEFT(TH!L502,2)="15",LEFT(TH!M502,2)="15"),TK!$E$7=TH!F502),"x","")</f>
        <v/>
      </c>
      <c r="Z502" s="51" t="str">
        <f>IF(AND(B502&lt;=NKC!$N$8,B502&gt;=NKC!$M$8),"x","")</f>
        <v>x</v>
      </c>
      <c r="AA502" s="803"/>
      <c r="AB502" s="565"/>
    </row>
    <row r="503" spans="1:31" ht="15.75" customHeight="1">
      <c r="A503" s="804" t="str">
        <f>IF(B503&lt;&gt;"",IF(AND(B503&gt;=_TM1,B503&lt;=_TM2,OR(TH!L503="1111",TH!M503="1111")),TH!D503,""),"")</f>
        <v>T22</v>
      </c>
      <c r="B503" s="36">
        <f t="shared" si="30"/>
        <v>8</v>
      </c>
      <c r="C503" s="189">
        <f t="shared" si="31"/>
        <v>42231</v>
      </c>
      <c r="D503" s="189" t="s">
        <v>1378</v>
      </c>
      <c r="E503" s="189">
        <v>42231</v>
      </c>
      <c r="F503" s="190" t="s">
        <v>423</v>
      </c>
      <c r="G503" s="813" t="s">
        <v>1017</v>
      </c>
      <c r="H503" s="191" t="s">
        <v>413</v>
      </c>
      <c r="I503" s="243"/>
      <c r="J503" s="243"/>
      <c r="K503" s="573">
        <v>16500000</v>
      </c>
      <c r="L503" s="574" t="s">
        <v>47</v>
      </c>
      <c r="M503" s="574" t="s">
        <v>250</v>
      </c>
      <c r="N503" s="51" t="str">
        <f>IF(AND('331-CT'!$E$7=TH!H503,OR(L503="331",M503="331")),"331",IF(AND(OR(L503="131",M503="131"),H503='131-CT'!$E$7),"131",""))</f>
        <v/>
      </c>
      <c r="O503" s="51" t="str">
        <f>IF(AND($B503&gt;='111'!$N$11,$B503&lt;='111'!$O$11,OR($L503=$O$7,$M503=$O$7)),"x","")</f>
        <v/>
      </c>
      <c r="P503" s="51" t="str">
        <f>IF(AND($L503=$O$7,$B503&lt;'111'!$N$11),"x","")</f>
        <v>x</v>
      </c>
      <c r="Q503" s="51" t="str">
        <f>IF(AND($M503=$O$7,$B503&lt;'111'!$N$11),"x","")</f>
        <v/>
      </c>
      <c r="R503" s="51" t="str">
        <f>IF(ISERROR(FIND('112'!$M$9,G503,1)),"",IF((AND(FIND('112'!$M$9,G503,1)&gt;=1,$B503&gt;='112'!$N$8,$B503&lt;='112'!$O$8,OR($L503='112'!$I$6,$M503='112'!$I$6))),"x",""))</f>
        <v/>
      </c>
      <c r="S503" s="51" t="str">
        <f>IF(ISERROR(FIND('112'!$M$9,G503,1)),"",IF((AND(LEFT(G503,2)=LEFT('112'!$M$9,2),B503&lt;'112'!$N$8,$L503='112'!$I$6)),"x",""))</f>
        <v/>
      </c>
      <c r="T503" s="51" t="str">
        <f>IF(ISERROR(FIND('112'!$M$9,G503,1)),"",IF((AND(RIGHT(G503,2)=RIGHT('112'!$M$9,2),B503&lt;'112'!$N$8,$M503='112'!$I$6)),"x",""))</f>
        <v/>
      </c>
      <c r="U503" s="51" t="str">
        <f>IF(AND(L503="154",'154'!$O$5&lt;=B503,'154'!$P$5&gt;=B503),"154",IF(AND(L503="632",'632'!$L$5&lt;=B503,'632'!$M$5&gt;=B503),"632",IF(AND(L503="642",'642'!$N$5&lt;=B503,'642'!$O$5&gt;=B503),"642",IF(AND(L503="641",'641'!$N$5&lt;=B503,'641'!$O$5&gt;=B503),"641",""))))</f>
        <v/>
      </c>
      <c r="V503" s="51" t="str">
        <f>IF(OR(TH!L503=TH!$V$7,M503=TH!$V$7),"x","")</f>
        <v/>
      </c>
      <c r="W503" s="51" t="str">
        <f>IF(AND(B503&gt;='IN-NX'!$P$3,B503&lt;='IN-NX'!$Q$3,'IN-NX'!$D$7=D503,OR(LEFT(L503,2)="15",AND(LEFT(M503,2)&lt;&gt;"15",LEFT(M503,2)&lt;&gt;"33"))),"x","")</f>
        <v/>
      </c>
      <c r="X503" s="51" t="str">
        <f>IF(AND(OR(LEFT(TH!L503,2)="15",LEFT(TH!M503,2)="15"),'152-CT'!$J$8=TH!F503),"x","")</f>
        <v/>
      </c>
      <c r="Y503" s="51" t="str">
        <f>IF(AND(OR(LEFT(TH!L503,2)="15",LEFT(TH!M503,2)="15"),TK!$E$7=TH!F503),"x","")</f>
        <v/>
      </c>
      <c r="Z503" s="51" t="str">
        <f>IF(AND(B503&lt;=NKC!$N$8,B503&gt;=NKC!$M$8),"x","")</f>
        <v>x</v>
      </c>
      <c r="AA503" s="803"/>
      <c r="AB503" s="565"/>
    </row>
    <row r="504" spans="1:31" ht="15.75" customHeight="1">
      <c r="A504" s="804" t="str">
        <f>IF(B504&lt;&gt;"",IF(AND(B504&gt;=_TM1,B504&lt;=_TM2,OR(TH!L504="1111",TH!M504="1111")),TH!D504,""),"")</f>
        <v>T23</v>
      </c>
      <c r="B504" s="36">
        <f t="shared" si="30"/>
        <v>8</v>
      </c>
      <c r="C504" s="189">
        <f t="shared" si="31"/>
        <v>42233</v>
      </c>
      <c r="D504" s="189" t="s">
        <v>1382</v>
      </c>
      <c r="E504" s="182">
        <v>42233</v>
      </c>
      <c r="F504" s="187" t="s">
        <v>427</v>
      </c>
      <c r="G504" s="811" t="s">
        <v>415</v>
      </c>
      <c r="H504" s="7" t="s">
        <v>437</v>
      </c>
      <c r="I504" s="243"/>
      <c r="J504" s="243"/>
      <c r="K504" s="573">
        <v>7000000</v>
      </c>
      <c r="L504" s="192" t="s">
        <v>47</v>
      </c>
      <c r="M504" s="192" t="s">
        <v>24</v>
      </c>
      <c r="N504" s="51" t="str">
        <f>IF(AND('331-CT'!$E$7=TH!H504,OR(L504="331",M504="331")),"331",IF(AND(OR(L504="131",M504="131"),H504='131-CT'!$E$7),"131",""))</f>
        <v/>
      </c>
      <c r="O504" s="51" t="str">
        <f>IF(AND($B504&gt;='111'!$N$11,$B504&lt;='111'!$O$11,OR($L504=$O$7,$M504=$O$7)),"x","")</f>
        <v/>
      </c>
      <c r="P504" s="51" t="str">
        <f>IF(AND($L504=$O$7,$B504&lt;'111'!$N$11),"x","")</f>
        <v>x</v>
      </c>
      <c r="Q504" s="51" t="str">
        <f>IF(AND($M504=$O$7,$B504&lt;'111'!$N$11),"x","")</f>
        <v/>
      </c>
      <c r="R504" s="51" t="str">
        <f>IF(ISERROR(FIND('112'!$M$9,G504,1)),"",IF((AND(FIND('112'!$M$9,G504,1)&gt;=1,$B504&gt;='112'!$N$8,$B504&lt;='112'!$O$8,OR($L504='112'!$I$6,$M504='112'!$I$6))),"x",""))</f>
        <v/>
      </c>
      <c r="S504" s="51" t="str">
        <f>IF(ISERROR(FIND('112'!$M$9,G504,1)),"",IF((AND(LEFT(G504,2)=LEFT('112'!$M$9,2),B504&lt;'112'!$N$8,$L504='112'!$I$6)),"x",""))</f>
        <v/>
      </c>
      <c r="T504" s="51" t="str">
        <f>IF(ISERROR(FIND('112'!$M$9,G504,1)),"",IF((AND(RIGHT(G504,2)=RIGHT('112'!$M$9,2),B504&lt;'112'!$N$8,$M504='112'!$I$6)),"x",""))</f>
        <v/>
      </c>
      <c r="U504" s="51" t="str">
        <f>IF(AND(L504="154",'154'!$O$5&lt;=B504,'154'!$P$5&gt;=B504),"154",IF(AND(L504="632",'632'!$L$5&lt;=B504,'632'!$M$5&gt;=B504),"632",IF(AND(L504="642",'642'!$N$5&lt;=B504,'642'!$O$5&gt;=B504),"642",IF(AND(L504="641",'641'!$N$5&lt;=B504,'641'!$O$5&gt;=B504),"641",""))))</f>
        <v/>
      </c>
      <c r="V504" s="51" t="str">
        <f>IF(OR(TH!L504=TH!$V$7,M504=TH!$V$7),"x","")</f>
        <v/>
      </c>
      <c r="W504" s="51" t="str">
        <f>IF(AND(B504&gt;='IN-NX'!$P$3,B504&lt;='IN-NX'!$Q$3,'IN-NX'!$D$7=D504,OR(LEFT(L504,2)="15",AND(LEFT(M504,2)&lt;&gt;"15",LEFT(M504,2)&lt;&gt;"33"))),"x","")</f>
        <v/>
      </c>
      <c r="X504" s="51" t="str">
        <f>IF(AND(OR(LEFT(TH!L504,2)="15",LEFT(TH!M504,2)="15"),'152-CT'!$J$8=TH!F504),"x","")</f>
        <v/>
      </c>
      <c r="Y504" s="51" t="str">
        <f>IF(AND(OR(LEFT(TH!L504,2)="15",LEFT(TH!M504,2)="15"),TK!$E$7=TH!F504),"x","")</f>
        <v/>
      </c>
      <c r="Z504" s="51" t="str">
        <f>IF(AND(B504&lt;=NKC!$N$8,B504&gt;=NKC!$M$8),"x","")</f>
        <v>x</v>
      </c>
      <c r="AA504" s="803"/>
      <c r="AB504" s="565"/>
      <c r="AD504" s="565"/>
      <c r="AE504" s="565"/>
    </row>
    <row r="505" spans="1:31" ht="15.75" customHeight="1">
      <c r="A505" s="804" t="str">
        <f>IF(B505&lt;&gt;"",IF(AND(B505&gt;=_TM1,B505&lt;=_TM2,OR(TH!L505="1111",TH!M505="1111")),TH!D505,""),"")</f>
        <v>C15</v>
      </c>
      <c r="B505" s="36">
        <f t="shared" si="30"/>
        <v>8</v>
      </c>
      <c r="C505" s="189">
        <f t="shared" si="31"/>
        <v>42233</v>
      </c>
      <c r="D505" s="189" t="s">
        <v>1366</v>
      </c>
      <c r="E505" s="189">
        <v>42233</v>
      </c>
      <c r="F505" s="926" t="s">
        <v>558</v>
      </c>
      <c r="G505" s="813" t="s">
        <v>628</v>
      </c>
      <c r="H505" s="7" t="s">
        <v>559</v>
      </c>
      <c r="I505" s="243"/>
      <c r="J505" s="243"/>
      <c r="K505" s="573">
        <v>108182</v>
      </c>
      <c r="L505" s="574" t="s">
        <v>83</v>
      </c>
      <c r="M505" s="574" t="s">
        <v>47</v>
      </c>
      <c r="N505" s="51" t="str">
        <f>IF(AND('331-CT'!$E$7=TH!H505,OR(L505="331",M505="331")),"331",IF(AND(OR(L505="131",M505="131"),H505='131-CT'!$E$7),"131",""))</f>
        <v/>
      </c>
      <c r="O505" s="51" t="str">
        <f>IF(AND($B505&gt;='111'!$N$11,$B505&lt;='111'!$O$11,OR($L505=$O$7,$M505=$O$7)),"x","")</f>
        <v/>
      </c>
      <c r="P505" s="51" t="str">
        <f>IF(AND($L505=$O$7,$B505&lt;'111'!$N$11),"x","")</f>
        <v/>
      </c>
      <c r="Q505" s="51" t="str">
        <f>IF(AND($M505=$O$7,$B505&lt;'111'!$N$11),"x","")</f>
        <v>x</v>
      </c>
      <c r="R505" s="51" t="str">
        <f>IF(ISERROR(FIND('112'!$M$9,G505,1)),"",IF((AND(FIND('112'!$M$9,G505,1)&gt;=1,$B505&gt;='112'!$N$8,$B505&lt;='112'!$O$8,OR($L505='112'!$I$6,$M505='112'!$I$6))),"x",""))</f>
        <v/>
      </c>
      <c r="S505" s="51" t="str">
        <f>IF(ISERROR(FIND('112'!$M$9,G505,1)),"",IF((AND(LEFT(G505,2)=LEFT('112'!$M$9,2),B505&lt;'112'!$N$8,$L505='112'!$I$6)),"x",""))</f>
        <v/>
      </c>
      <c r="T505" s="51" t="str">
        <f>IF(ISERROR(FIND('112'!$M$9,G505,1)),"",IF((AND(RIGHT(G505,2)=RIGHT('112'!$M$9,2),B505&lt;'112'!$N$8,$M505='112'!$I$6)),"x",""))</f>
        <v/>
      </c>
      <c r="U505" s="51" t="str">
        <f>IF(AND(L505="154",'154'!$O$5&lt;=B505,'154'!$P$5&gt;=B505),"154",IF(AND(L505="632",'632'!$L$5&lt;=B505,'632'!$M$5&gt;=B505),"632",IF(AND(L505="642",'642'!$N$5&lt;=B505,'642'!$O$5&gt;=B505),"642",IF(AND(L505="641",'641'!$N$5&lt;=B505,'641'!$O$5&gt;=B505),"641",""))))</f>
        <v/>
      </c>
      <c r="V505" s="51" t="str">
        <f>IF(OR(TH!L505=TH!$V$7,M505=TH!$V$7),"x","")</f>
        <v>x</v>
      </c>
      <c r="W505" s="51" t="str">
        <f>IF(AND(B505&gt;='IN-NX'!$P$3,B505&lt;='IN-NX'!$Q$3,'IN-NX'!$D$7=D505,OR(LEFT(L505,2)="15",AND(LEFT(M505,2)&lt;&gt;"15",LEFT(M505,2)&lt;&gt;"33"))),"x","")</f>
        <v/>
      </c>
      <c r="X505" s="51" t="str">
        <f>IF(AND(OR(LEFT(TH!L505,2)="15",LEFT(TH!M505,2)="15"),'152-CT'!$J$8=TH!F505),"x","")</f>
        <v/>
      </c>
      <c r="Y505" s="51" t="str">
        <f>IF(AND(OR(LEFT(TH!L505,2)="15",LEFT(TH!M505,2)="15"),TK!$E$7=TH!F505),"x","")</f>
        <v/>
      </c>
      <c r="Z505" s="51" t="str">
        <f>IF(AND(B505&lt;=NKC!$N$8,B505&gt;=NKC!$M$8),"x","")</f>
        <v>x</v>
      </c>
      <c r="AA505" s="803"/>
      <c r="AB505" s="565"/>
    </row>
    <row r="506" spans="1:31" ht="15.75" customHeight="1">
      <c r="A506" s="804" t="str">
        <f>IF(B506&lt;&gt;"",IF(AND(B506&gt;=_TM1,B506&lt;=_TM2,OR(TH!L506="1111",TH!M506="1111")),TH!D506,""),"")</f>
        <v>C15</v>
      </c>
      <c r="B506" s="36">
        <f t="shared" si="30"/>
        <v>8</v>
      </c>
      <c r="C506" s="189">
        <f t="shared" si="31"/>
        <v>42233</v>
      </c>
      <c r="D506" s="189" t="s">
        <v>1366</v>
      </c>
      <c r="E506" s="189">
        <v>42233</v>
      </c>
      <c r="F506" s="926" t="s">
        <v>560</v>
      </c>
      <c r="G506" s="813" t="s">
        <v>628</v>
      </c>
      <c r="H506" s="7" t="s">
        <v>559</v>
      </c>
      <c r="I506" s="243"/>
      <c r="J506" s="243"/>
      <c r="K506" s="573">
        <v>10818</v>
      </c>
      <c r="L506" s="574" t="s">
        <v>9</v>
      </c>
      <c r="M506" s="574" t="s">
        <v>47</v>
      </c>
      <c r="N506" s="51" t="str">
        <f>IF(AND('331-CT'!$E$7=TH!H506,OR(L506="331",M506="331")),"331",IF(AND(OR(L506="131",M506="131"),H506='131-CT'!$E$7),"131",""))</f>
        <v/>
      </c>
      <c r="O506" s="51" t="str">
        <f>IF(AND($B506&gt;='111'!$N$11,$B506&lt;='111'!$O$11,OR($L506=$O$7,$M506=$O$7)),"x","")</f>
        <v/>
      </c>
      <c r="P506" s="51" t="str">
        <f>IF(AND($L506=$O$7,$B506&lt;'111'!$N$11),"x","")</f>
        <v/>
      </c>
      <c r="Q506" s="51" t="str">
        <f>IF(AND($M506=$O$7,$B506&lt;'111'!$N$11),"x","")</f>
        <v>x</v>
      </c>
      <c r="R506" s="51" t="str">
        <f>IF(ISERROR(FIND('112'!$M$9,G506,1)),"",IF((AND(FIND('112'!$M$9,G506,1)&gt;=1,$B506&gt;='112'!$N$8,$B506&lt;='112'!$O$8,OR($L506='112'!$I$6,$M506='112'!$I$6))),"x",""))</f>
        <v/>
      </c>
      <c r="S506" s="51" t="str">
        <f>IF(ISERROR(FIND('112'!$M$9,G506,1)),"",IF((AND(LEFT(G506,2)=LEFT('112'!$M$9,2),B506&lt;'112'!$N$8,$L506='112'!$I$6)),"x",""))</f>
        <v/>
      </c>
      <c r="T506" s="51" t="str">
        <f>IF(ISERROR(FIND('112'!$M$9,G506,1)),"",IF((AND(RIGHT(G506,2)=RIGHT('112'!$M$9,2),B506&lt;'112'!$N$8,$M506='112'!$I$6)),"x",""))</f>
        <v/>
      </c>
      <c r="U506" s="51" t="str">
        <f>IF(AND(L506="154",'154'!$O$5&lt;=B506,'154'!$P$5&gt;=B506),"154",IF(AND(L506="632",'632'!$L$5&lt;=B506,'632'!$M$5&gt;=B506),"632",IF(AND(L506="642",'642'!$N$5&lt;=B506,'642'!$O$5&gt;=B506),"642",IF(AND(L506="641",'641'!$N$5&lt;=B506,'641'!$O$5&gt;=B506),"641",""))))</f>
        <v/>
      </c>
      <c r="V506" s="51" t="str">
        <f>IF(OR(TH!L506=TH!$V$7,M506=TH!$V$7),"x","")</f>
        <v/>
      </c>
      <c r="W506" s="51" t="str">
        <f>IF(AND(B506&gt;='IN-NX'!$P$3,B506&lt;='IN-NX'!$Q$3,'IN-NX'!$D$7=D506,OR(LEFT(L506,2)="15",AND(LEFT(M506,2)&lt;&gt;"15",LEFT(M506,2)&lt;&gt;"33"))),"x","")</f>
        <v/>
      </c>
      <c r="X506" s="51" t="str">
        <f>IF(AND(OR(LEFT(TH!L506,2)="15",LEFT(TH!M506,2)="15"),'152-CT'!$J$8=TH!F506),"x","")</f>
        <v/>
      </c>
      <c r="Y506" s="51" t="str">
        <f>IF(AND(OR(LEFT(TH!L506,2)="15",LEFT(TH!M506,2)="15"),TK!$E$7=TH!F506),"x","")</f>
        <v/>
      </c>
      <c r="Z506" s="51" t="str">
        <f>IF(AND(B506&lt;=NKC!$N$8,B506&gt;=NKC!$M$8),"x","")</f>
        <v>x</v>
      </c>
      <c r="AA506" s="803">
        <v>3</v>
      </c>
      <c r="AB506" s="565"/>
    </row>
    <row r="507" spans="1:31" ht="15.75" customHeight="1">
      <c r="A507" s="804" t="str">
        <f>IF(B507&lt;&gt;"",IF(AND(B507&gt;=_TM1,B507&lt;=_TM2,OR(TH!L507="1111",TH!M507="1111")),TH!D507,""),"")</f>
        <v/>
      </c>
      <c r="B507" s="36">
        <f t="shared" si="30"/>
        <v>8</v>
      </c>
      <c r="C507" s="189">
        <f t="shared" si="31"/>
        <v>42233</v>
      </c>
      <c r="D507" s="189" t="s">
        <v>1293</v>
      </c>
      <c r="E507" s="189">
        <v>42233</v>
      </c>
      <c r="F507" s="926" t="s">
        <v>621</v>
      </c>
      <c r="G507" s="813" t="s">
        <v>1018</v>
      </c>
      <c r="H507" s="191" t="s">
        <v>413</v>
      </c>
      <c r="I507" s="243">
        <v>1000</v>
      </c>
      <c r="J507" s="243">
        <v>16500</v>
      </c>
      <c r="K507" s="573">
        <f>ROUND(I507*J507,0)</f>
        <v>16500000</v>
      </c>
      <c r="L507" s="574" t="s">
        <v>250</v>
      </c>
      <c r="M507" s="574" t="s">
        <v>164</v>
      </c>
      <c r="N507" s="51" t="str">
        <f>IF(AND('331-CT'!$E$7=TH!H507,OR(L507="331",M507="331")),"331",IF(AND(OR(L507="131",M507="131"),H507='131-CT'!$E$7),"131",""))</f>
        <v/>
      </c>
      <c r="O507" s="51" t="str">
        <f>IF(AND($B507&gt;='111'!$N$11,$B507&lt;='111'!$O$11,OR($L507=$O$7,$M507=$O$7)),"x","")</f>
        <v/>
      </c>
      <c r="P507" s="51" t="str">
        <f>IF(AND($L507=$O$7,$B507&lt;'111'!$N$11),"x","")</f>
        <v/>
      </c>
      <c r="Q507" s="51" t="str">
        <f>IF(AND($M507=$O$7,$B507&lt;'111'!$N$11),"x","")</f>
        <v/>
      </c>
      <c r="R507" s="51" t="str">
        <f>IF(ISERROR(FIND('112'!$M$9,G507,1)),"",IF((AND(FIND('112'!$M$9,G507,1)&gt;=1,$B507&gt;='112'!$N$8,$B507&lt;='112'!$O$8,OR($L507='112'!$I$6,$M507='112'!$I$6))),"x",""))</f>
        <v/>
      </c>
      <c r="S507" s="51" t="str">
        <f>IF(ISERROR(FIND('112'!$M$9,G507,1)),"",IF((AND(LEFT(G507,2)=LEFT('112'!$M$9,2),B507&lt;'112'!$N$8,$L507='112'!$I$6)),"x",""))</f>
        <v/>
      </c>
      <c r="T507" s="51" t="str">
        <f>IF(ISERROR(FIND('112'!$M$9,G507,1)),"",IF((AND(RIGHT(G507,2)=RIGHT('112'!$M$9,2),B507&lt;'112'!$N$8,$M507='112'!$I$6)),"x",""))</f>
        <v/>
      </c>
      <c r="U507" s="51" t="str">
        <f>IF(AND(L507="154",'154'!$O$5&lt;=B507,'154'!$P$5&gt;=B507),"154",IF(AND(L507="632",'632'!$L$5&lt;=B507,'632'!$M$5&gt;=B507),"632",IF(AND(L507="642",'642'!$N$5&lt;=B507,'642'!$O$5&gt;=B507),"642",IF(AND(L507="641",'641'!$N$5&lt;=B507,'641'!$O$5&gt;=B507),"641",""))))</f>
        <v/>
      </c>
      <c r="V507" s="51" t="str">
        <f>IF(OR(TH!L507=TH!$V$7,M507=TH!$V$7),"x","")</f>
        <v/>
      </c>
      <c r="W507" s="51" t="str">
        <f>IF(AND(B507&gt;='IN-NX'!$P$3,B507&lt;='IN-NX'!$Q$3,'IN-NX'!$D$7=D507,OR(LEFT(L507,2)="15",AND(LEFT(M507,2)&lt;&gt;"15",LEFT(M507,2)&lt;&gt;"33"))),"x","")</f>
        <v/>
      </c>
      <c r="X507" s="51" t="str">
        <f>IF(AND(OR(LEFT(TH!L507,2)="15",LEFT(TH!M507,2)="15"),'152-CT'!$J$8=TH!F507),"x","")</f>
        <v/>
      </c>
      <c r="Y507" s="51" t="str">
        <f>IF(AND(OR(LEFT(TH!L507,2)="15",LEFT(TH!M507,2)="15"),TK!$E$7=TH!F507),"x","")</f>
        <v/>
      </c>
      <c r="Z507" s="51" t="str">
        <f>IF(AND(B507&lt;=NKC!$N$8,B507&gt;=NKC!$M$8),"x","")</f>
        <v>x</v>
      </c>
      <c r="AA507" s="803"/>
      <c r="AB507" s="565"/>
    </row>
    <row r="508" spans="1:31" ht="15.75" customHeight="1">
      <c r="A508" s="804" t="str">
        <f>IF(B508&lt;&gt;"",IF(AND(B508&gt;=_TM1,B508&lt;=_TM2,OR(TH!L508="1111",TH!M508="1111")),TH!D508,""),"")</f>
        <v/>
      </c>
      <c r="B508" s="36">
        <f t="shared" si="30"/>
        <v>8</v>
      </c>
      <c r="C508" s="189">
        <f t="shared" si="31"/>
        <v>42233</v>
      </c>
      <c r="D508" s="189" t="s">
        <v>1293</v>
      </c>
      <c r="E508" s="189">
        <v>42233</v>
      </c>
      <c r="F508" s="922" t="s">
        <v>705</v>
      </c>
      <c r="G508" s="813" t="s">
        <v>1018</v>
      </c>
      <c r="H508" s="191" t="s">
        <v>413</v>
      </c>
      <c r="I508" s="243"/>
      <c r="J508" s="243"/>
      <c r="K508" s="573">
        <v>1650000</v>
      </c>
      <c r="L508" s="574" t="s">
        <v>250</v>
      </c>
      <c r="M508" s="574" t="s">
        <v>352</v>
      </c>
      <c r="N508" s="51" t="str">
        <f>IF(AND('331-CT'!$E$7=TH!H508,OR(L508="331",M508="331")),"331",IF(AND(OR(L508="131",M508="131"),H508='131-CT'!$E$7),"131",""))</f>
        <v/>
      </c>
      <c r="O508" s="51" t="str">
        <f>IF(AND($B508&gt;='111'!$N$11,$B508&lt;='111'!$O$11,OR($L508=$O$7,$M508=$O$7)),"x","")</f>
        <v/>
      </c>
      <c r="P508" s="51" t="str">
        <f>IF(AND($L508=$O$7,$B508&lt;'111'!$N$11),"x","")</f>
        <v/>
      </c>
      <c r="Q508" s="51" t="str">
        <f>IF(AND($M508=$O$7,$B508&lt;'111'!$N$11),"x","")</f>
        <v/>
      </c>
      <c r="R508" s="51" t="str">
        <f>IF(ISERROR(FIND('112'!$M$9,G508,1)),"",IF((AND(FIND('112'!$M$9,G508,1)&gt;=1,$B508&gt;='112'!$N$8,$B508&lt;='112'!$O$8,OR($L508='112'!$I$6,$M508='112'!$I$6))),"x",""))</f>
        <v/>
      </c>
      <c r="S508" s="51" t="str">
        <f>IF(ISERROR(FIND('112'!$M$9,G508,1)),"",IF((AND(LEFT(G508,2)=LEFT('112'!$M$9,2),B508&lt;'112'!$N$8,$L508='112'!$I$6)),"x",""))</f>
        <v/>
      </c>
      <c r="T508" s="51" t="str">
        <f>IF(ISERROR(FIND('112'!$M$9,G508,1)),"",IF((AND(RIGHT(G508,2)=RIGHT('112'!$M$9,2),B508&lt;'112'!$N$8,$M508='112'!$I$6)),"x",""))</f>
        <v/>
      </c>
      <c r="U508" s="51" t="str">
        <f>IF(AND(L508="154",'154'!$O$5&lt;=B508,'154'!$P$5&gt;=B508),"154",IF(AND(L508="632",'632'!$L$5&lt;=B508,'632'!$M$5&gt;=B508),"632",IF(AND(L508="642",'642'!$N$5&lt;=B508,'642'!$O$5&gt;=B508),"642",IF(AND(L508="641",'641'!$N$5&lt;=B508,'641'!$O$5&gt;=B508),"641",""))))</f>
        <v/>
      </c>
      <c r="V508" s="51" t="str">
        <f>IF(OR(TH!L508=TH!$V$7,M508=TH!$V$7),"x","")</f>
        <v/>
      </c>
      <c r="W508" s="51" t="str">
        <f>IF(AND(B508&gt;='IN-NX'!$P$3,B508&lt;='IN-NX'!$Q$3,'IN-NX'!$D$7=D508,OR(LEFT(L508,2)="15",AND(LEFT(M508,2)&lt;&gt;"15",LEFT(M508,2)&lt;&gt;"33"))),"x","")</f>
        <v/>
      </c>
      <c r="X508" s="51" t="str">
        <f>IF(AND(OR(LEFT(TH!L508,2)="15",LEFT(TH!M508,2)="15"),'152-CT'!$J$8=TH!F508),"x","")</f>
        <v/>
      </c>
      <c r="Y508" s="51" t="str">
        <f>IF(AND(OR(LEFT(TH!L508,2)="15",LEFT(TH!M508,2)="15"),TK!$E$7=TH!F508),"x","")</f>
        <v/>
      </c>
      <c r="Z508" s="51" t="str">
        <f>IF(AND(B508&lt;=NKC!$N$8,B508&gt;=NKC!$M$8),"x","")</f>
        <v>x</v>
      </c>
      <c r="AA508" s="803"/>
      <c r="AB508" s="565"/>
    </row>
    <row r="509" spans="1:31" ht="15.75" customHeight="1">
      <c r="A509" s="804" t="str">
        <f>IF(B509&lt;&gt;"",IF(AND(B509&gt;=_TM1,B509&lt;=_TM2,OR(TH!L509="1111",TH!M509="1111")),TH!D509,""),"")</f>
        <v>T24</v>
      </c>
      <c r="B509" s="36">
        <f t="shared" si="30"/>
        <v>8</v>
      </c>
      <c r="C509" s="189">
        <f t="shared" si="31"/>
        <v>42233</v>
      </c>
      <c r="D509" s="189" t="s">
        <v>1383</v>
      </c>
      <c r="E509" s="189">
        <v>42233</v>
      </c>
      <c r="F509" s="190" t="s">
        <v>423</v>
      </c>
      <c r="G509" s="813" t="s">
        <v>1018</v>
      </c>
      <c r="H509" s="191" t="s">
        <v>413</v>
      </c>
      <c r="I509" s="243"/>
      <c r="J509" s="243"/>
      <c r="K509" s="573">
        <v>18150000</v>
      </c>
      <c r="L509" s="574" t="s">
        <v>47</v>
      </c>
      <c r="M509" s="574" t="s">
        <v>250</v>
      </c>
      <c r="N509" s="51" t="str">
        <f>IF(AND('331-CT'!$E$7=TH!H509,OR(L509="331",M509="331")),"331",IF(AND(OR(L509="131",M509="131"),H509='131-CT'!$E$7),"131",""))</f>
        <v/>
      </c>
      <c r="O509" s="51" t="str">
        <f>IF(AND($B509&gt;='111'!$N$11,$B509&lt;='111'!$O$11,OR($L509=$O$7,$M509=$O$7)),"x","")</f>
        <v/>
      </c>
      <c r="P509" s="51" t="str">
        <f>IF(AND($L509=$O$7,$B509&lt;'111'!$N$11),"x","")</f>
        <v>x</v>
      </c>
      <c r="Q509" s="51" t="str">
        <f>IF(AND($M509=$O$7,$B509&lt;'111'!$N$11),"x","")</f>
        <v/>
      </c>
      <c r="R509" s="51" t="str">
        <f>IF(ISERROR(FIND('112'!$M$9,G509,1)),"",IF((AND(FIND('112'!$M$9,G509,1)&gt;=1,$B509&gt;='112'!$N$8,$B509&lt;='112'!$O$8,OR($L509='112'!$I$6,$M509='112'!$I$6))),"x",""))</f>
        <v/>
      </c>
      <c r="S509" s="51" t="str">
        <f>IF(ISERROR(FIND('112'!$M$9,G509,1)),"",IF((AND(LEFT(G509,2)=LEFT('112'!$M$9,2),B509&lt;'112'!$N$8,$L509='112'!$I$6)),"x",""))</f>
        <v/>
      </c>
      <c r="T509" s="51" t="str">
        <f>IF(ISERROR(FIND('112'!$M$9,G509,1)),"",IF((AND(RIGHT(G509,2)=RIGHT('112'!$M$9,2),B509&lt;'112'!$N$8,$M509='112'!$I$6)),"x",""))</f>
        <v/>
      </c>
      <c r="U509" s="51" t="str">
        <f>IF(AND(L509="154",'154'!$O$5&lt;=B509,'154'!$P$5&gt;=B509),"154",IF(AND(L509="632",'632'!$L$5&lt;=B509,'632'!$M$5&gt;=B509),"632",IF(AND(L509="642",'642'!$N$5&lt;=B509,'642'!$O$5&gt;=B509),"642",IF(AND(L509="641",'641'!$N$5&lt;=B509,'641'!$O$5&gt;=B509),"641",""))))</f>
        <v/>
      </c>
      <c r="V509" s="51" t="str">
        <f>IF(OR(TH!L509=TH!$V$7,M509=TH!$V$7),"x","")</f>
        <v/>
      </c>
      <c r="W509" s="51" t="str">
        <f>IF(AND(B509&gt;='IN-NX'!$P$3,B509&lt;='IN-NX'!$Q$3,'IN-NX'!$D$7=D509,OR(LEFT(L509,2)="15",AND(LEFT(M509,2)&lt;&gt;"15",LEFT(M509,2)&lt;&gt;"33"))),"x","")</f>
        <v/>
      </c>
      <c r="X509" s="51" t="str">
        <f>IF(AND(OR(LEFT(TH!L509,2)="15",LEFT(TH!M509,2)="15"),'152-CT'!$J$8=TH!F509),"x","")</f>
        <v/>
      </c>
      <c r="Y509" s="51" t="str">
        <f>IF(AND(OR(LEFT(TH!L509,2)="15",LEFT(TH!M509,2)="15"),TK!$E$7=TH!F509),"x","")</f>
        <v/>
      </c>
      <c r="Z509" s="51" t="str">
        <f>IF(AND(B509&lt;=NKC!$N$8,B509&gt;=NKC!$M$8),"x","")</f>
        <v>x</v>
      </c>
      <c r="AA509" s="803"/>
      <c r="AB509" s="565"/>
    </row>
    <row r="510" spans="1:31" ht="15.75" customHeight="1">
      <c r="A510" s="804" t="str">
        <f>IF(B510&lt;&gt;"",IF(AND(B510&gt;=_TM1,B510&lt;=_TM2,OR(TH!L510="1111",TH!M510="1111")),TH!D510,""),"")</f>
        <v>T25</v>
      </c>
      <c r="B510" s="36">
        <f t="shared" si="30"/>
        <v>8</v>
      </c>
      <c r="C510" s="189">
        <f t="shared" si="31"/>
        <v>42234</v>
      </c>
      <c r="D510" s="189" t="s">
        <v>1385</v>
      </c>
      <c r="E510" s="189">
        <v>42234</v>
      </c>
      <c r="F510" s="190" t="s">
        <v>964</v>
      </c>
      <c r="G510" s="813" t="s">
        <v>1019</v>
      </c>
      <c r="H510" s="191" t="s">
        <v>413</v>
      </c>
      <c r="I510" s="243"/>
      <c r="J510" s="243"/>
      <c r="K510" s="573">
        <v>18000000</v>
      </c>
      <c r="L510" s="574" t="s">
        <v>47</v>
      </c>
      <c r="M510" s="574" t="s">
        <v>408</v>
      </c>
      <c r="N510" s="51" t="str">
        <f>IF(AND('331-CT'!$E$7=TH!H510,OR(L510="331",M510="331")),"331",IF(AND(OR(L510="131",M510="131"),H510='131-CT'!$E$7),"131",""))</f>
        <v/>
      </c>
      <c r="O510" s="51" t="str">
        <f>IF(AND($B510&gt;='111'!$N$11,$B510&lt;='111'!$O$11,OR($L510=$O$7,$M510=$O$7)),"x","")</f>
        <v/>
      </c>
      <c r="P510" s="51" t="str">
        <f>IF(AND($L510=$O$7,$B510&lt;'111'!$N$11),"x","")</f>
        <v>x</v>
      </c>
      <c r="Q510" s="51" t="str">
        <f>IF(AND($M510=$O$7,$B510&lt;'111'!$N$11),"x","")</f>
        <v/>
      </c>
      <c r="R510" s="51" t="str">
        <f>IF(ISERROR(FIND('112'!$M$9,G510,1)),"",IF((AND(FIND('112'!$M$9,G510,1)&gt;=1,$B510&gt;='112'!$N$8,$B510&lt;='112'!$O$8,OR($L510='112'!$I$6,$M510='112'!$I$6))),"x",""))</f>
        <v/>
      </c>
      <c r="S510" s="51" t="str">
        <f>IF(ISERROR(FIND('112'!$M$9,G510,1)),"",IF((AND(LEFT(G510,2)=LEFT('112'!$M$9,2),B510&lt;'112'!$N$8,$L510='112'!$I$6)),"x",""))</f>
        <v/>
      </c>
      <c r="T510" s="51" t="str">
        <f>IF(ISERROR(FIND('112'!$M$9,G510,1)),"",IF((AND(RIGHT(G510,2)=RIGHT('112'!$M$9,2),B510&lt;'112'!$N$8,$M510='112'!$I$6)),"x",""))</f>
        <v/>
      </c>
      <c r="U510" s="51" t="str">
        <f>IF(AND(L510="154",'154'!$O$5&lt;=B510,'154'!$P$5&gt;=B510),"154",IF(AND(L510="632",'632'!$L$5&lt;=B510,'632'!$M$5&gt;=B510),"632",IF(AND(L510="642",'642'!$N$5&lt;=B510,'642'!$O$5&gt;=B510),"642",IF(AND(L510="641",'641'!$N$5&lt;=B510,'641'!$O$5&gt;=B510),"641",""))))</f>
        <v/>
      </c>
      <c r="V510" s="51" t="str">
        <f>IF(OR(TH!L510=TH!$V$7,M510=TH!$V$7),"x","")</f>
        <v/>
      </c>
      <c r="W510" s="51" t="str">
        <f>IF(AND(B510&gt;='IN-NX'!$P$3,B510&lt;='IN-NX'!$Q$3,'IN-NX'!$D$7=D510,OR(LEFT(L510,2)="15",AND(LEFT(M510,2)&lt;&gt;"15",LEFT(M510,2)&lt;&gt;"33"))),"x","")</f>
        <v/>
      </c>
      <c r="X510" s="51" t="str">
        <f>IF(AND(OR(LEFT(TH!L510,2)="15",LEFT(TH!M510,2)="15"),'152-CT'!$J$8=TH!F510),"x","")</f>
        <v/>
      </c>
      <c r="Y510" s="51" t="str">
        <f>IF(AND(OR(LEFT(TH!L510,2)="15",LEFT(TH!M510,2)="15"),TK!$E$7=TH!F510),"x","")</f>
        <v/>
      </c>
      <c r="Z510" s="51" t="str">
        <f>IF(AND(B510&lt;=NKC!$N$8,B510&gt;=NKC!$M$8),"x","")</f>
        <v>x</v>
      </c>
      <c r="AA510" s="803"/>
      <c r="AB510" s="565"/>
    </row>
    <row r="511" spans="1:31" ht="15.75" customHeight="1">
      <c r="A511" s="804" t="str">
        <f>IF(B511&lt;&gt;"",IF(AND(B511&gt;=_TM1,B511&lt;=_TM2,OR(TH!L511="1111",TH!M511="1111")),TH!D511,""),"")</f>
        <v>T25</v>
      </c>
      <c r="B511" s="36">
        <f t="shared" si="30"/>
        <v>8</v>
      </c>
      <c r="C511" s="189">
        <f t="shared" si="31"/>
        <v>42234</v>
      </c>
      <c r="D511" s="189" t="s">
        <v>1385</v>
      </c>
      <c r="E511" s="189">
        <v>42234</v>
      </c>
      <c r="F511" s="190" t="s">
        <v>1110</v>
      </c>
      <c r="G511" s="813" t="s">
        <v>1019</v>
      </c>
      <c r="H511" s="191" t="s">
        <v>413</v>
      </c>
      <c r="I511" s="243"/>
      <c r="J511" s="243"/>
      <c r="K511" s="573">
        <v>1800000</v>
      </c>
      <c r="L511" s="574" t="s">
        <v>47</v>
      </c>
      <c r="M511" s="574" t="s">
        <v>352</v>
      </c>
      <c r="N511" s="51" t="str">
        <f>IF(AND('331-CT'!$E$7=TH!H511,OR(L511="331",M511="331")),"331",IF(AND(OR(L511="131",M511="131"),H511='131-CT'!$E$7),"131",""))</f>
        <v/>
      </c>
      <c r="O511" s="51" t="str">
        <f>IF(AND($B511&gt;='111'!$N$11,$B511&lt;='111'!$O$11,OR($L511=$O$7,$M511=$O$7)),"x","")</f>
        <v/>
      </c>
      <c r="P511" s="51" t="str">
        <f>IF(AND($L511=$O$7,$B511&lt;'111'!$N$11),"x","")</f>
        <v>x</v>
      </c>
      <c r="Q511" s="51" t="str">
        <f>IF(AND($M511=$O$7,$B511&lt;'111'!$N$11),"x","")</f>
        <v/>
      </c>
      <c r="R511" s="51" t="str">
        <f>IF(ISERROR(FIND('112'!$M$9,G511,1)),"",IF((AND(FIND('112'!$M$9,G511,1)&gt;=1,$B511&gt;='112'!$N$8,$B511&lt;='112'!$O$8,OR($L511='112'!$I$6,$M511='112'!$I$6))),"x",""))</f>
        <v/>
      </c>
      <c r="S511" s="51" t="str">
        <f>IF(ISERROR(FIND('112'!$M$9,G511,1)),"",IF((AND(LEFT(G511,2)=LEFT('112'!$M$9,2),B511&lt;'112'!$N$8,$L511='112'!$I$6)),"x",""))</f>
        <v/>
      </c>
      <c r="T511" s="51" t="str">
        <f>IF(ISERROR(FIND('112'!$M$9,G511,1)),"",IF((AND(RIGHT(G511,2)=RIGHT('112'!$M$9,2),B511&lt;'112'!$N$8,$M511='112'!$I$6)),"x",""))</f>
        <v/>
      </c>
      <c r="U511" s="51" t="str">
        <f>IF(AND(L511="154",'154'!$O$5&lt;=B511,'154'!$P$5&gt;=B511),"154",IF(AND(L511="632",'632'!$L$5&lt;=B511,'632'!$M$5&gt;=B511),"632",IF(AND(L511="642",'642'!$N$5&lt;=B511,'642'!$O$5&gt;=B511),"642",IF(AND(L511="641",'641'!$N$5&lt;=B511,'641'!$O$5&gt;=B511),"641",""))))</f>
        <v/>
      </c>
      <c r="V511" s="51" t="str">
        <f>IF(OR(TH!L511=TH!$V$7,M511=TH!$V$7),"x","")</f>
        <v/>
      </c>
      <c r="W511" s="51" t="str">
        <f>IF(AND(B511&gt;='IN-NX'!$P$3,B511&lt;='IN-NX'!$Q$3,'IN-NX'!$D$7=D511,OR(LEFT(L511,2)="15",AND(LEFT(M511,2)&lt;&gt;"15",LEFT(M511,2)&lt;&gt;"33"))),"x","")</f>
        <v/>
      </c>
      <c r="X511" s="51" t="str">
        <f>IF(AND(OR(LEFT(TH!L511,2)="15",LEFT(TH!M511,2)="15"),'152-CT'!$J$8=TH!F511),"x","")</f>
        <v/>
      </c>
      <c r="Y511" s="51" t="str">
        <f>IF(AND(OR(LEFT(TH!L511,2)="15",LEFT(TH!M511,2)="15"),TK!$E$7=TH!F511),"x","")</f>
        <v/>
      </c>
      <c r="Z511" s="51" t="str">
        <f>IF(AND(B511&lt;=NKC!$N$8,B511&gt;=NKC!$M$8),"x","")</f>
        <v>x</v>
      </c>
      <c r="AA511" s="803"/>
      <c r="AB511" s="565"/>
    </row>
    <row r="512" spans="1:31" ht="15.75" customHeight="1">
      <c r="A512" s="804" t="str">
        <f>IF(B512&lt;&gt;"",IF(AND(B512&gt;=_TM1,B512&lt;=_TM2,OR(TH!L512="1111",TH!M512="1111")),TH!D512,""),"")</f>
        <v>T26</v>
      </c>
      <c r="B512" s="36">
        <f t="shared" si="30"/>
        <v>8</v>
      </c>
      <c r="C512" s="189">
        <f t="shared" si="31"/>
        <v>42235</v>
      </c>
      <c r="D512" s="189" t="s">
        <v>1387</v>
      </c>
      <c r="E512" s="182">
        <v>42235</v>
      </c>
      <c r="F512" s="187" t="s">
        <v>427</v>
      </c>
      <c r="G512" s="811" t="s">
        <v>415</v>
      </c>
      <c r="H512" s="7" t="s">
        <v>437</v>
      </c>
      <c r="I512" s="243"/>
      <c r="J512" s="243"/>
      <c r="K512" s="573">
        <v>2300000</v>
      </c>
      <c r="L512" s="192" t="s">
        <v>47</v>
      </c>
      <c r="M512" s="192" t="s">
        <v>24</v>
      </c>
      <c r="N512" s="51" t="str">
        <f>IF(AND('331-CT'!$E$7=TH!H512,OR(L512="331",M512="331")),"331",IF(AND(OR(L512="131",M512="131"),H512='131-CT'!$E$7),"131",""))</f>
        <v/>
      </c>
      <c r="O512" s="51" t="str">
        <f>IF(AND($B512&gt;='111'!$N$11,$B512&lt;='111'!$O$11,OR($L512=$O$7,$M512=$O$7)),"x","")</f>
        <v/>
      </c>
      <c r="P512" s="51" t="str">
        <f>IF(AND($L512=$O$7,$B512&lt;'111'!$N$11),"x","")</f>
        <v>x</v>
      </c>
      <c r="Q512" s="51" t="str">
        <f>IF(AND($M512=$O$7,$B512&lt;'111'!$N$11),"x","")</f>
        <v/>
      </c>
      <c r="R512" s="51" t="str">
        <f>IF(ISERROR(FIND('112'!$M$9,G512,1)),"",IF((AND(FIND('112'!$M$9,G512,1)&gt;=1,$B512&gt;='112'!$N$8,$B512&lt;='112'!$O$8,OR($L512='112'!$I$6,$M512='112'!$I$6))),"x",""))</f>
        <v/>
      </c>
      <c r="S512" s="51" t="str">
        <f>IF(ISERROR(FIND('112'!$M$9,G512,1)),"",IF((AND(LEFT(G512,2)=LEFT('112'!$M$9,2),B512&lt;'112'!$N$8,$L512='112'!$I$6)),"x",""))</f>
        <v/>
      </c>
      <c r="T512" s="51" t="str">
        <f>IF(ISERROR(FIND('112'!$M$9,G512,1)),"",IF((AND(RIGHT(G512,2)=RIGHT('112'!$M$9,2),B512&lt;'112'!$N$8,$M512='112'!$I$6)),"x",""))</f>
        <v/>
      </c>
      <c r="U512" s="51" t="str">
        <f>IF(AND(L512="154",'154'!$O$5&lt;=B512,'154'!$P$5&gt;=B512),"154",IF(AND(L512="632",'632'!$L$5&lt;=B512,'632'!$M$5&gt;=B512),"632",IF(AND(L512="642",'642'!$N$5&lt;=B512,'642'!$O$5&gt;=B512),"642",IF(AND(L512="641",'641'!$N$5&lt;=B512,'641'!$O$5&gt;=B512),"641",""))))</f>
        <v/>
      </c>
      <c r="V512" s="51" t="str">
        <f>IF(OR(TH!L512=TH!$V$7,M512=TH!$V$7),"x","")</f>
        <v/>
      </c>
      <c r="W512" s="51" t="str">
        <f>IF(AND(B512&gt;='IN-NX'!$P$3,B512&lt;='IN-NX'!$Q$3,'IN-NX'!$D$7=D512,OR(LEFT(L512,2)="15",AND(LEFT(M512,2)&lt;&gt;"15",LEFT(M512,2)&lt;&gt;"33"))),"x","")</f>
        <v/>
      </c>
      <c r="X512" s="51" t="str">
        <f>IF(AND(OR(LEFT(TH!L512,2)="15",LEFT(TH!M512,2)="15"),'152-CT'!$J$8=TH!F512),"x","")</f>
        <v/>
      </c>
      <c r="Y512" s="51" t="str">
        <f>IF(AND(OR(LEFT(TH!L512,2)="15",LEFT(TH!M512,2)="15"),TK!$E$7=TH!F512),"x","")</f>
        <v/>
      </c>
      <c r="Z512" s="51" t="str">
        <f>IF(AND(B512&lt;=NKC!$N$8,B512&gt;=NKC!$M$8),"x","")</f>
        <v>x</v>
      </c>
      <c r="AA512" s="803"/>
      <c r="AB512" s="565"/>
      <c r="AD512" s="565"/>
      <c r="AE512" s="565"/>
    </row>
    <row r="513" spans="1:31" ht="15.75" customHeight="1">
      <c r="A513" s="804" t="str">
        <f>IF(B513&lt;&gt;"",IF(AND(B513&gt;=_TM1,B513&lt;=_TM2,OR(TH!L513="1111",TH!M513="1111")),TH!D513,""),"")</f>
        <v/>
      </c>
      <c r="B513" s="36">
        <f t="shared" si="30"/>
        <v>8</v>
      </c>
      <c r="C513" s="189">
        <f t="shared" si="31"/>
        <v>42237</v>
      </c>
      <c r="D513" s="189" t="s">
        <v>421</v>
      </c>
      <c r="E513" s="182">
        <v>42237</v>
      </c>
      <c r="F513" s="187" t="s">
        <v>423</v>
      </c>
      <c r="G513" s="811" t="s">
        <v>415</v>
      </c>
      <c r="H513" s="202" t="s">
        <v>424</v>
      </c>
      <c r="I513" s="243"/>
      <c r="J513" s="243"/>
      <c r="K513" s="38">
        <v>14972500</v>
      </c>
      <c r="L513" s="192" t="s">
        <v>24</v>
      </c>
      <c r="M513" s="192" t="s">
        <v>250</v>
      </c>
      <c r="N513" s="51" t="str">
        <f>IF(AND('331-CT'!$E$7=TH!H513,OR(L513="331",M513="331")),"331",IF(AND(OR(L513="131",M513="131"),H513='131-CT'!$E$7),"131",""))</f>
        <v/>
      </c>
      <c r="O513" s="51" t="str">
        <f>IF(AND($B513&gt;='111'!$N$11,$B513&lt;='111'!$O$11,OR($L513=$O$7,$M513=$O$7)),"x","")</f>
        <v/>
      </c>
      <c r="P513" s="51" t="str">
        <f>IF(AND($L513=$O$7,$B513&lt;'111'!$N$11),"x","")</f>
        <v/>
      </c>
      <c r="Q513" s="51" t="str">
        <f>IF(AND($M513=$O$7,$B513&lt;'111'!$N$11),"x","")</f>
        <v/>
      </c>
      <c r="R513" s="51" t="str">
        <f>IF(ISERROR(FIND('112'!$M$9,G513,1)),"",IF((AND(FIND('112'!$M$9,G513,1)&gt;=1,$B513&gt;='112'!$N$8,$B513&lt;='112'!$O$8,OR($L513='112'!$I$6,$M513='112'!$I$6))),"x",""))</f>
        <v/>
      </c>
      <c r="S513" s="51" t="str">
        <f>IF(ISERROR(FIND('112'!$M$9,G513,1)),"",IF((AND(LEFT(G513,2)=LEFT('112'!$M$9,2),B513&lt;'112'!$N$8,$L513='112'!$I$6)),"x",""))</f>
        <v/>
      </c>
      <c r="T513" s="51" t="str">
        <f>IF(ISERROR(FIND('112'!$M$9,G513,1)),"",IF((AND(RIGHT(G513,2)=RIGHT('112'!$M$9,2),B513&lt;'112'!$N$8,$M513='112'!$I$6)),"x",""))</f>
        <v/>
      </c>
      <c r="U513" s="51" t="str">
        <f>IF(AND(L513="154",'154'!$O$5&lt;=B513,'154'!$P$5&gt;=B513),"154",IF(AND(L513="632",'632'!$L$5&lt;=B513,'632'!$M$5&gt;=B513),"632",IF(AND(L513="642",'642'!$N$5&lt;=B513,'642'!$O$5&gt;=B513),"642",IF(AND(L513="641",'641'!$N$5&lt;=B513,'641'!$O$5&gt;=B513),"641",""))))</f>
        <v/>
      </c>
      <c r="V513" s="51" t="str">
        <f>IF(OR(TH!L513=TH!$V$7,M513=TH!$V$7),"x","")</f>
        <v/>
      </c>
      <c r="W513" s="51" t="str">
        <f>IF(AND(B513&gt;='IN-NX'!$P$3,B513&lt;='IN-NX'!$Q$3,'IN-NX'!$D$7=D513,OR(LEFT(L513,2)="15",AND(LEFT(M513,2)&lt;&gt;"15",LEFT(M513,2)&lt;&gt;"33"))),"x","")</f>
        <v/>
      </c>
      <c r="X513" s="51" t="str">
        <f>IF(AND(OR(LEFT(TH!L513,2)="15",LEFT(TH!M513,2)="15"),'152-CT'!$J$8=TH!F513),"x","")</f>
        <v/>
      </c>
      <c r="Y513" s="51" t="str">
        <f>IF(AND(OR(LEFT(TH!L513,2)="15",LEFT(TH!M513,2)="15"),TK!$E$7=TH!F513),"x","")</f>
        <v/>
      </c>
      <c r="Z513" s="51" t="str">
        <f>IF(AND(B513&lt;=NKC!$N$8,B513&gt;=NKC!$M$8),"x","")</f>
        <v>x</v>
      </c>
      <c r="AA513" s="803"/>
      <c r="AB513" s="565"/>
      <c r="AD513" s="565"/>
      <c r="AE513" s="565"/>
    </row>
    <row r="514" spans="1:31" ht="15.75" customHeight="1">
      <c r="A514" s="804" t="str">
        <f>IF(B514&lt;&gt;"",IF(AND(B514&gt;=_TM1,B514&lt;=_TM2,OR(TH!L514="1111",TH!M514="1111")),TH!D514,""),"")</f>
        <v>T27</v>
      </c>
      <c r="B514" s="36">
        <f t="shared" si="30"/>
        <v>8</v>
      </c>
      <c r="C514" s="189">
        <f t="shared" si="31"/>
        <v>42237</v>
      </c>
      <c r="D514" s="189" t="s">
        <v>1390</v>
      </c>
      <c r="E514" s="182">
        <v>42237</v>
      </c>
      <c r="F514" s="187" t="s">
        <v>427</v>
      </c>
      <c r="G514" s="811" t="s">
        <v>415</v>
      </c>
      <c r="H514" s="7" t="s">
        <v>437</v>
      </c>
      <c r="I514" s="243"/>
      <c r="J514" s="243"/>
      <c r="K514" s="573">
        <v>15000000</v>
      </c>
      <c r="L514" s="192" t="s">
        <v>47</v>
      </c>
      <c r="M514" s="192" t="s">
        <v>24</v>
      </c>
      <c r="N514" s="51" t="str">
        <f>IF(AND('331-CT'!$E$7=TH!H514,OR(L514="331",M514="331")),"331",IF(AND(OR(L514="131",M514="131"),H514='131-CT'!$E$7),"131",""))</f>
        <v/>
      </c>
      <c r="O514" s="51" t="str">
        <f>IF(AND($B514&gt;='111'!$N$11,$B514&lt;='111'!$O$11,OR($L514=$O$7,$M514=$O$7)),"x","")</f>
        <v/>
      </c>
      <c r="P514" s="51" t="str">
        <f>IF(AND($L514=$O$7,$B514&lt;'111'!$N$11),"x","")</f>
        <v>x</v>
      </c>
      <c r="Q514" s="51" t="str">
        <f>IF(AND($M514=$O$7,$B514&lt;'111'!$N$11),"x","")</f>
        <v/>
      </c>
      <c r="R514" s="51" t="str">
        <f>IF(ISERROR(FIND('112'!$M$9,G514,1)),"",IF((AND(FIND('112'!$M$9,G514,1)&gt;=1,$B514&gt;='112'!$N$8,$B514&lt;='112'!$O$8,OR($L514='112'!$I$6,$M514='112'!$I$6))),"x",""))</f>
        <v/>
      </c>
      <c r="S514" s="51" t="str">
        <f>IF(ISERROR(FIND('112'!$M$9,G514,1)),"",IF((AND(LEFT(G514,2)=LEFT('112'!$M$9,2),B514&lt;'112'!$N$8,$L514='112'!$I$6)),"x",""))</f>
        <v/>
      </c>
      <c r="T514" s="51" t="str">
        <f>IF(ISERROR(FIND('112'!$M$9,G514,1)),"",IF((AND(RIGHT(G514,2)=RIGHT('112'!$M$9,2),B514&lt;'112'!$N$8,$M514='112'!$I$6)),"x",""))</f>
        <v/>
      </c>
      <c r="U514" s="51" t="str">
        <f>IF(AND(L514="154",'154'!$O$5&lt;=B514,'154'!$P$5&gt;=B514),"154",IF(AND(L514="632",'632'!$L$5&lt;=B514,'632'!$M$5&gt;=B514),"632",IF(AND(L514="642",'642'!$N$5&lt;=B514,'642'!$O$5&gt;=B514),"642",IF(AND(L514="641",'641'!$N$5&lt;=B514,'641'!$O$5&gt;=B514),"641",""))))</f>
        <v/>
      </c>
      <c r="V514" s="51" t="str">
        <f>IF(OR(TH!L514=TH!$V$7,M514=TH!$V$7),"x","")</f>
        <v/>
      </c>
      <c r="W514" s="51" t="str">
        <f>IF(AND(B514&gt;='IN-NX'!$P$3,B514&lt;='IN-NX'!$Q$3,'IN-NX'!$D$7=D514,OR(LEFT(L514,2)="15",AND(LEFT(M514,2)&lt;&gt;"15",LEFT(M514,2)&lt;&gt;"33"))),"x","")</f>
        <v/>
      </c>
      <c r="X514" s="51" t="str">
        <f>IF(AND(OR(LEFT(TH!L514,2)="15",LEFT(TH!M514,2)="15"),'152-CT'!$J$8=TH!F514),"x","")</f>
        <v/>
      </c>
      <c r="Y514" s="51" t="str">
        <f>IF(AND(OR(LEFT(TH!L514,2)="15",LEFT(TH!M514,2)="15"),TK!$E$7=TH!F514),"x","")</f>
        <v/>
      </c>
      <c r="Z514" s="51" t="str">
        <f>IF(AND(B514&lt;=NKC!$N$8,B514&gt;=NKC!$M$8),"x","")</f>
        <v>x</v>
      </c>
      <c r="AA514" s="803"/>
      <c r="AB514" s="565"/>
      <c r="AC514" s="565"/>
      <c r="AD514" s="565"/>
      <c r="AE514" s="565"/>
    </row>
    <row r="515" spans="1:31" ht="15.75" customHeight="1">
      <c r="A515" s="804" t="str">
        <f>IF(B515&lt;&gt;"",IF(AND(B515&gt;=_TM1,B515&lt;=_TM2,OR(TH!L515="1111",TH!M515="1111")),TH!D515,""),"")</f>
        <v/>
      </c>
      <c r="B515" s="36">
        <f t="shared" si="30"/>
        <v>8</v>
      </c>
      <c r="C515" s="189">
        <f t="shared" si="31"/>
        <v>42237</v>
      </c>
      <c r="D515" s="189" t="s">
        <v>1294</v>
      </c>
      <c r="E515" s="189">
        <v>42237</v>
      </c>
      <c r="F515" s="190" t="s">
        <v>621</v>
      </c>
      <c r="G515" s="813" t="s">
        <v>1020</v>
      </c>
      <c r="H515" s="191" t="s">
        <v>413</v>
      </c>
      <c r="I515" s="243">
        <v>500</v>
      </c>
      <c r="J515" s="243">
        <v>16500</v>
      </c>
      <c r="K515" s="573">
        <f>ROUND(I515*J515,0)</f>
        <v>8250000</v>
      </c>
      <c r="L515" s="574" t="s">
        <v>250</v>
      </c>
      <c r="M515" s="574" t="s">
        <v>164</v>
      </c>
      <c r="N515" s="51" t="str">
        <f>IF(AND('331-CT'!$E$7=TH!H515,OR(L515="331",M515="331")),"331",IF(AND(OR(L515="131",M515="131"),H515='131-CT'!$E$7),"131",""))</f>
        <v/>
      </c>
      <c r="O515" s="51" t="str">
        <f>IF(AND($B515&gt;='111'!$N$11,$B515&lt;='111'!$O$11,OR($L515=$O$7,$M515=$O$7)),"x","")</f>
        <v/>
      </c>
      <c r="P515" s="51" t="str">
        <f>IF(AND($L515=$O$7,$B515&lt;'111'!$N$11),"x","")</f>
        <v/>
      </c>
      <c r="Q515" s="51" t="str">
        <f>IF(AND($M515=$O$7,$B515&lt;'111'!$N$11),"x","")</f>
        <v/>
      </c>
      <c r="R515" s="51" t="str">
        <f>IF(ISERROR(FIND('112'!$M$9,G515,1)),"",IF((AND(FIND('112'!$M$9,G515,1)&gt;=1,$B515&gt;='112'!$N$8,$B515&lt;='112'!$O$8,OR($L515='112'!$I$6,$M515='112'!$I$6))),"x",""))</f>
        <v/>
      </c>
      <c r="S515" s="51" t="str">
        <f>IF(ISERROR(FIND('112'!$M$9,G515,1)),"",IF((AND(LEFT(G515,2)=LEFT('112'!$M$9,2),B515&lt;'112'!$N$8,$L515='112'!$I$6)),"x",""))</f>
        <v/>
      </c>
      <c r="T515" s="51" t="str">
        <f>IF(ISERROR(FIND('112'!$M$9,G515,1)),"",IF((AND(RIGHT(G515,2)=RIGHT('112'!$M$9,2),B515&lt;'112'!$N$8,$M515='112'!$I$6)),"x",""))</f>
        <v/>
      </c>
      <c r="U515" s="51" t="str">
        <f>IF(AND(L515="154",'154'!$O$5&lt;=B515,'154'!$P$5&gt;=B515),"154",IF(AND(L515="632",'632'!$L$5&lt;=B515,'632'!$M$5&gt;=B515),"632",IF(AND(L515="642",'642'!$N$5&lt;=B515,'642'!$O$5&gt;=B515),"642",IF(AND(L515="641",'641'!$N$5&lt;=B515,'641'!$O$5&gt;=B515),"641",""))))</f>
        <v/>
      </c>
      <c r="V515" s="51" t="str">
        <f>IF(OR(TH!L515=TH!$V$7,M515=TH!$V$7),"x","")</f>
        <v/>
      </c>
      <c r="W515" s="51" t="str">
        <f>IF(AND(B515&gt;='IN-NX'!$P$3,B515&lt;='IN-NX'!$Q$3,'IN-NX'!$D$7=D515,OR(LEFT(L515,2)="15",AND(LEFT(M515,2)&lt;&gt;"15",LEFT(M515,2)&lt;&gt;"33"))),"x","")</f>
        <v/>
      </c>
      <c r="X515" s="51" t="str">
        <f>IF(AND(OR(LEFT(TH!L515,2)="15",LEFT(TH!M515,2)="15"),'152-CT'!$J$8=TH!F515),"x","")</f>
        <v/>
      </c>
      <c r="Y515" s="51" t="str">
        <f>IF(AND(OR(LEFT(TH!L515,2)="15",LEFT(TH!M515,2)="15"),TK!$E$7=TH!F515),"x","")</f>
        <v/>
      </c>
      <c r="Z515" s="51" t="str">
        <f>IF(AND(B515&lt;=NKC!$N$8,B515&gt;=NKC!$M$8),"x","")</f>
        <v>x</v>
      </c>
      <c r="AA515" s="803"/>
      <c r="AB515" s="565"/>
    </row>
    <row r="516" spans="1:31" ht="15.75" customHeight="1">
      <c r="A516" s="804" t="str">
        <f>IF(B516&lt;&gt;"",IF(AND(B516&gt;=_TM1,B516&lt;=_TM2,OR(TH!L516="1111",TH!M516="1111")),TH!D516,""),"")</f>
        <v/>
      </c>
      <c r="B516" s="36">
        <f t="shared" si="30"/>
        <v>8</v>
      </c>
      <c r="C516" s="189">
        <f t="shared" si="31"/>
        <v>42237</v>
      </c>
      <c r="D516" s="189" t="s">
        <v>1294</v>
      </c>
      <c r="E516" s="189">
        <v>42237</v>
      </c>
      <c r="F516" s="190" t="s">
        <v>705</v>
      </c>
      <c r="G516" s="813" t="s">
        <v>1020</v>
      </c>
      <c r="H516" s="191" t="s">
        <v>413</v>
      </c>
      <c r="I516" s="243"/>
      <c r="J516" s="243"/>
      <c r="K516" s="573">
        <v>825000</v>
      </c>
      <c r="L516" s="574" t="s">
        <v>250</v>
      </c>
      <c r="M516" s="574" t="s">
        <v>352</v>
      </c>
      <c r="N516" s="51" t="str">
        <f>IF(AND('331-CT'!$E$7=TH!H516,OR(L516="331",M516="331")),"331",IF(AND(OR(L516="131",M516="131"),H516='131-CT'!$E$7),"131",""))</f>
        <v/>
      </c>
      <c r="O516" s="51" t="str">
        <f>IF(AND($B516&gt;='111'!$N$11,$B516&lt;='111'!$O$11,OR($L516=$O$7,$M516=$O$7)),"x","")</f>
        <v/>
      </c>
      <c r="P516" s="51" t="str">
        <f>IF(AND($L516=$O$7,$B516&lt;'111'!$N$11),"x","")</f>
        <v/>
      </c>
      <c r="Q516" s="51" t="str">
        <f>IF(AND($M516=$O$7,$B516&lt;'111'!$N$11),"x","")</f>
        <v/>
      </c>
      <c r="R516" s="51" t="str">
        <f>IF(ISERROR(FIND('112'!$M$9,G516,1)),"",IF((AND(FIND('112'!$M$9,G516,1)&gt;=1,$B516&gt;='112'!$N$8,$B516&lt;='112'!$O$8,OR($L516='112'!$I$6,$M516='112'!$I$6))),"x",""))</f>
        <v/>
      </c>
      <c r="S516" s="51" t="str">
        <f>IF(ISERROR(FIND('112'!$M$9,G516,1)),"",IF((AND(LEFT(G516,2)=LEFT('112'!$M$9,2),B516&lt;'112'!$N$8,$L516='112'!$I$6)),"x",""))</f>
        <v/>
      </c>
      <c r="T516" s="51" t="str">
        <f>IF(ISERROR(FIND('112'!$M$9,G516,1)),"",IF((AND(RIGHT(G516,2)=RIGHT('112'!$M$9,2),B516&lt;'112'!$N$8,$M516='112'!$I$6)),"x",""))</f>
        <v/>
      </c>
      <c r="U516" s="51" t="str">
        <f>IF(AND(L516="154",'154'!$O$5&lt;=B516,'154'!$P$5&gt;=B516),"154",IF(AND(L516="632",'632'!$L$5&lt;=B516,'632'!$M$5&gt;=B516),"632",IF(AND(L516="642",'642'!$N$5&lt;=B516,'642'!$O$5&gt;=B516),"642",IF(AND(L516="641",'641'!$N$5&lt;=B516,'641'!$O$5&gt;=B516),"641",""))))</f>
        <v/>
      </c>
      <c r="V516" s="51" t="str">
        <f>IF(OR(TH!L516=TH!$V$7,M516=TH!$V$7),"x","")</f>
        <v/>
      </c>
      <c r="W516" s="51" t="str">
        <f>IF(AND(B516&gt;='IN-NX'!$P$3,B516&lt;='IN-NX'!$Q$3,'IN-NX'!$D$7=D516,OR(LEFT(L516,2)="15",AND(LEFT(M516,2)&lt;&gt;"15",LEFT(M516,2)&lt;&gt;"33"))),"x","")</f>
        <v/>
      </c>
      <c r="X516" s="51" t="str">
        <f>IF(AND(OR(LEFT(TH!L516,2)="15",LEFT(TH!M516,2)="15"),'152-CT'!$J$8=TH!F516),"x","")</f>
        <v/>
      </c>
      <c r="Y516" s="51" t="str">
        <f>IF(AND(OR(LEFT(TH!L516,2)="15",LEFT(TH!M516,2)="15"),TK!$E$7=TH!F516),"x","")</f>
        <v/>
      </c>
      <c r="Z516" s="51" t="str">
        <f>IF(AND(B516&lt;=NKC!$N$8,B516&gt;=NKC!$M$8),"x","")</f>
        <v>x</v>
      </c>
      <c r="AA516" s="803"/>
      <c r="AB516" s="565"/>
    </row>
    <row r="517" spans="1:31" ht="15.75" customHeight="1">
      <c r="A517" s="804" t="str">
        <f>IF(B517&lt;&gt;"",IF(AND(B517&gt;=_TM1,B517&lt;=_TM2,OR(TH!L517="1111",TH!M517="1111")),TH!D517,""),"")</f>
        <v>T28</v>
      </c>
      <c r="B517" s="36">
        <f t="shared" si="30"/>
        <v>8</v>
      </c>
      <c r="C517" s="189">
        <f t="shared" si="31"/>
        <v>42237</v>
      </c>
      <c r="D517" s="189" t="s">
        <v>1391</v>
      </c>
      <c r="E517" s="189">
        <v>42237</v>
      </c>
      <c r="F517" s="190" t="s">
        <v>423</v>
      </c>
      <c r="G517" s="813" t="s">
        <v>1020</v>
      </c>
      <c r="H517" s="191" t="s">
        <v>413</v>
      </c>
      <c r="I517" s="243"/>
      <c r="J517" s="243"/>
      <c r="K517" s="573">
        <v>9075000</v>
      </c>
      <c r="L517" s="574" t="s">
        <v>47</v>
      </c>
      <c r="M517" s="574" t="s">
        <v>250</v>
      </c>
      <c r="N517" s="51" t="str">
        <f>IF(AND('331-CT'!$E$7=TH!H517,OR(L517="331",M517="331")),"331",IF(AND(OR(L517="131",M517="131"),H517='131-CT'!$E$7),"131",""))</f>
        <v/>
      </c>
      <c r="O517" s="51" t="str">
        <f>IF(AND($B517&gt;='111'!$N$11,$B517&lt;='111'!$O$11,OR($L517=$O$7,$M517=$O$7)),"x","")</f>
        <v/>
      </c>
      <c r="P517" s="51" t="str">
        <f>IF(AND($L517=$O$7,$B517&lt;'111'!$N$11),"x","")</f>
        <v>x</v>
      </c>
      <c r="Q517" s="51" t="str">
        <f>IF(AND($M517=$O$7,$B517&lt;'111'!$N$11),"x","")</f>
        <v/>
      </c>
      <c r="R517" s="51" t="str">
        <f>IF(ISERROR(FIND('112'!$M$9,G517,1)),"",IF((AND(FIND('112'!$M$9,G517,1)&gt;=1,$B517&gt;='112'!$N$8,$B517&lt;='112'!$O$8,OR($L517='112'!$I$6,$M517='112'!$I$6))),"x",""))</f>
        <v/>
      </c>
      <c r="S517" s="51" t="str">
        <f>IF(ISERROR(FIND('112'!$M$9,G517,1)),"",IF((AND(LEFT(G517,2)=LEFT('112'!$M$9,2),B517&lt;'112'!$N$8,$L517='112'!$I$6)),"x",""))</f>
        <v/>
      </c>
      <c r="T517" s="51" t="str">
        <f>IF(ISERROR(FIND('112'!$M$9,G517,1)),"",IF((AND(RIGHT(G517,2)=RIGHT('112'!$M$9,2),B517&lt;'112'!$N$8,$M517='112'!$I$6)),"x",""))</f>
        <v/>
      </c>
      <c r="U517" s="51" t="str">
        <f>IF(AND(L517="154",'154'!$O$5&lt;=B517,'154'!$P$5&gt;=B517),"154",IF(AND(L517="632",'632'!$L$5&lt;=B517,'632'!$M$5&gt;=B517),"632",IF(AND(L517="642",'642'!$N$5&lt;=B517,'642'!$O$5&gt;=B517),"642",IF(AND(L517="641",'641'!$N$5&lt;=B517,'641'!$O$5&gt;=B517),"641",""))))</f>
        <v/>
      </c>
      <c r="V517" s="51" t="str">
        <f>IF(OR(TH!L517=TH!$V$7,M517=TH!$V$7),"x","")</f>
        <v/>
      </c>
      <c r="W517" s="51" t="str">
        <f>IF(AND(B517&gt;='IN-NX'!$P$3,B517&lt;='IN-NX'!$Q$3,'IN-NX'!$D$7=D517,OR(LEFT(L517,2)="15",AND(LEFT(M517,2)&lt;&gt;"15",LEFT(M517,2)&lt;&gt;"33"))),"x","")</f>
        <v/>
      </c>
      <c r="X517" s="51" t="str">
        <f>IF(AND(OR(LEFT(TH!L517,2)="15",LEFT(TH!M517,2)="15"),'152-CT'!$J$8=TH!F517),"x","")</f>
        <v/>
      </c>
      <c r="Y517" s="51" t="str">
        <f>IF(AND(OR(LEFT(TH!L517,2)="15",LEFT(TH!M517,2)="15"),TK!$E$7=TH!F517),"x","")</f>
        <v/>
      </c>
      <c r="Z517" s="51" t="str">
        <f>IF(AND(B517&lt;=NKC!$N$8,B517&gt;=NKC!$M$8),"x","")</f>
        <v>x</v>
      </c>
      <c r="AA517" s="803"/>
      <c r="AB517" s="565"/>
    </row>
    <row r="518" spans="1:31" ht="15.75" customHeight="1">
      <c r="A518" s="804" t="str">
        <f>IF(B518&lt;&gt;"",IF(AND(B518&gt;=_TM1,B518&lt;=_TM2,OR(TH!L518="1111",TH!M518="1111")),TH!D518,""),"")</f>
        <v>T29</v>
      </c>
      <c r="B518" s="36">
        <f t="shared" si="30"/>
        <v>8</v>
      </c>
      <c r="C518" s="189">
        <f t="shared" si="31"/>
        <v>42239</v>
      </c>
      <c r="D518" s="189" t="s">
        <v>1392</v>
      </c>
      <c r="E518" s="189">
        <v>42239</v>
      </c>
      <c r="F518" s="190" t="s">
        <v>964</v>
      </c>
      <c r="G518" s="813" t="s">
        <v>1021</v>
      </c>
      <c r="H518" s="191" t="s">
        <v>413</v>
      </c>
      <c r="I518" s="243"/>
      <c r="J518" s="243"/>
      <c r="K518" s="573">
        <v>17500000</v>
      </c>
      <c r="L518" s="574" t="s">
        <v>47</v>
      </c>
      <c r="M518" s="574" t="s">
        <v>408</v>
      </c>
      <c r="N518" s="51" t="str">
        <f>IF(AND('331-CT'!$E$7=TH!H518,OR(L518="331",M518="331")),"331",IF(AND(OR(L518="131",M518="131"),H518='131-CT'!$E$7),"131",""))</f>
        <v/>
      </c>
      <c r="O518" s="51" t="str">
        <f>IF(AND($B518&gt;='111'!$N$11,$B518&lt;='111'!$O$11,OR($L518=$O$7,$M518=$O$7)),"x","")</f>
        <v/>
      </c>
      <c r="P518" s="51" t="str">
        <f>IF(AND($L518=$O$7,$B518&lt;'111'!$N$11),"x","")</f>
        <v>x</v>
      </c>
      <c r="Q518" s="51" t="str">
        <f>IF(AND($M518=$O$7,$B518&lt;'111'!$N$11),"x","")</f>
        <v/>
      </c>
      <c r="R518" s="51" t="str">
        <f>IF(ISERROR(FIND('112'!$M$9,G518,1)),"",IF((AND(FIND('112'!$M$9,G518,1)&gt;=1,$B518&gt;='112'!$N$8,$B518&lt;='112'!$O$8,OR($L518='112'!$I$6,$M518='112'!$I$6))),"x",""))</f>
        <v/>
      </c>
      <c r="S518" s="51" t="str">
        <f>IF(ISERROR(FIND('112'!$M$9,G518,1)),"",IF((AND(LEFT(G518,2)=LEFT('112'!$M$9,2),B518&lt;'112'!$N$8,$L518='112'!$I$6)),"x",""))</f>
        <v/>
      </c>
      <c r="T518" s="51" t="str">
        <f>IF(ISERROR(FIND('112'!$M$9,G518,1)),"",IF((AND(RIGHT(G518,2)=RIGHT('112'!$M$9,2),B518&lt;'112'!$N$8,$M518='112'!$I$6)),"x",""))</f>
        <v/>
      </c>
      <c r="U518" s="51" t="str">
        <f>IF(AND(L518="154",'154'!$O$5&lt;=B518,'154'!$P$5&gt;=B518),"154",IF(AND(L518="632",'632'!$L$5&lt;=B518,'632'!$M$5&gt;=B518),"632",IF(AND(L518="642",'642'!$N$5&lt;=B518,'642'!$O$5&gt;=B518),"642",IF(AND(L518="641",'641'!$N$5&lt;=B518,'641'!$O$5&gt;=B518),"641",""))))</f>
        <v/>
      </c>
      <c r="V518" s="51" t="str">
        <f>IF(OR(TH!L518=TH!$V$7,M518=TH!$V$7),"x","")</f>
        <v/>
      </c>
      <c r="W518" s="51" t="str">
        <f>IF(AND(B518&gt;='IN-NX'!$P$3,B518&lt;='IN-NX'!$Q$3,'IN-NX'!$D$7=D518,OR(LEFT(L518,2)="15",AND(LEFT(M518,2)&lt;&gt;"15",LEFT(M518,2)&lt;&gt;"33"))),"x","")</f>
        <v/>
      </c>
      <c r="X518" s="51" t="str">
        <f>IF(AND(OR(LEFT(TH!L518,2)="15",LEFT(TH!M518,2)="15"),'152-CT'!$J$8=TH!F518),"x","")</f>
        <v/>
      </c>
      <c r="Y518" s="51" t="str">
        <f>IF(AND(OR(LEFT(TH!L518,2)="15",LEFT(TH!M518,2)="15"),TK!$E$7=TH!F518),"x","")</f>
        <v/>
      </c>
      <c r="Z518" s="51" t="str">
        <f>IF(AND(B518&lt;=NKC!$N$8,B518&gt;=NKC!$M$8),"x","")</f>
        <v>x</v>
      </c>
      <c r="AA518" s="803"/>
      <c r="AB518" s="565"/>
    </row>
    <row r="519" spans="1:31" ht="15.75" customHeight="1">
      <c r="A519" s="804" t="str">
        <f>IF(B519&lt;&gt;"",IF(AND(B519&gt;=_TM1,B519&lt;=_TM2,OR(TH!L519="1111",TH!M519="1111")),TH!D519,""),"")</f>
        <v>T29</v>
      </c>
      <c r="B519" s="36">
        <f t="shared" si="30"/>
        <v>8</v>
      </c>
      <c r="C519" s="189">
        <f t="shared" si="31"/>
        <v>42239</v>
      </c>
      <c r="D519" s="189" t="s">
        <v>1392</v>
      </c>
      <c r="E519" s="189">
        <v>42239</v>
      </c>
      <c r="F519" s="926" t="s">
        <v>1110</v>
      </c>
      <c r="G519" s="813" t="s">
        <v>1021</v>
      </c>
      <c r="H519" s="191" t="s">
        <v>413</v>
      </c>
      <c r="I519" s="243"/>
      <c r="J519" s="243"/>
      <c r="K519" s="573">
        <v>1750000</v>
      </c>
      <c r="L519" s="574" t="s">
        <v>47</v>
      </c>
      <c r="M519" s="574" t="s">
        <v>352</v>
      </c>
      <c r="N519" s="51" t="str">
        <f>IF(AND('331-CT'!$E$7=TH!H519,OR(L519="331",M519="331")),"331",IF(AND(OR(L519="131",M519="131"),H519='131-CT'!$E$7),"131",""))</f>
        <v/>
      </c>
      <c r="O519" s="51" t="str">
        <f>IF(AND($B519&gt;='111'!$N$11,$B519&lt;='111'!$O$11,OR($L519=$O$7,$M519=$O$7)),"x","")</f>
        <v/>
      </c>
      <c r="P519" s="51" t="str">
        <f>IF(AND($L519=$O$7,$B519&lt;'111'!$N$11),"x","")</f>
        <v>x</v>
      </c>
      <c r="Q519" s="51" t="str">
        <f>IF(AND($M519=$O$7,$B519&lt;'111'!$N$11),"x","")</f>
        <v/>
      </c>
      <c r="R519" s="51" t="str">
        <f>IF(ISERROR(FIND('112'!$M$9,G519,1)),"",IF((AND(FIND('112'!$M$9,G519,1)&gt;=1,$B519&gt;='112'!$N$8,$B519&lt;='112'!$O$8,OR($L519='112'!$I$6,$M519='112'!$I$6))),"x",""))</f>
        <v/>
      </c>
      <c r="S519" s="51" t="str">
        <f>IF(ISERROR(FIND('112'!$M$9,G519,1)),"",IF((AND(LEFT(G519,2)=LEFT('112'!$M$9,2),B519&lt;'112'!$N$8,$L519='112'!$I$6)),"x",""))</f>
        <v/>
      </c>
      <c r="T519" s="51" t="str">
        <f>IF(ISERROR(FIND('112'!$M$9,G519,1)),"",IF((AND(RIGHT(G519,2)=RIGHT('112'!$M$9,2),B519&lt;'112'!$N$8,$M519='112'!$I$6)),"x",""))</f>
        <v/>
      </c>
      <c r="U519" s="51" t="str">
        <f>IF(AND(L519="154",'154'!$O$5&lt;=B519,'154'!$P$5&gt;=B519),"154",IF(AND(L519="632",'632'!$L$5&lt;=B519,'632'!$M$5&gt;=B519),"632",IF(AND(L519="642",'642'!$N$5&lt;=B519,'642'!$O$5&gt;=B519),"642",IF(AND(L519="641",'641'!$N$5&lt;=B519,'641'!$O$5&gt;=B519),"641",""))))</f>
        <v/>
      </c>
      <c r="V519" s="51" t="str">
        <f>IF(OR(TH!L519=TH!$V$7,M519=TH!$V$7),"x","")</f>
        <v/>
      </c>
      <c r="W519" s="51" t="str">
        <f>IF(AND(B519&gt;='IN-NX'!$P$3,B519&lt;='IN-NX'!$Q$3,'IN-NX'!$D$7=D519,OR(LEFT(L519,2)="15",AND(LEFT(M519,2)&lt;&gt;"15",LEFT(M519,2)&lt;&gt;"33"))),"x","")</f>
        <v/>
      </c>
      <c r="X519" s="51" t="str">
        <f>IF(AND(OR(LEFT(TH!L519,2)="15",LEFT(TH!M519,2)="15"),'152-CT'!$J$8=TH!F519),"x","")</f>
        <v/>
      </c>
      <c r="Y519" s="51" t="str">
        <f>IF(AND(OR(LEFT(TH!L519,2)="15",LEFT(TH!M519,2)="15"),TK!$E$7=TH!F519),"x","")</f>
        <v/>
      </c>
      <c r="Z519" s="51" t="str">
        <f>IF(AND(B519&lt;=NKC!$N$8,B519&gt;=NKC!$M$8),"x","")</f>
        <v>x</v>
      </c>
      <c r="AA519" s="803"/>
      <c r="AB519" s="565"/>
    </row>
    <row r="520" spans="1:31" ht="15.75" customHeight="1">
      <c r="A520" s="804" t="str">
        <f>IF(B520&lt;&gt;"",IF(AND(B520&gt;=_TM1,B520&lt;=_TM2,OR(TH!L520="1111",TH!M520="1111")),TH!D520,""),"")</f>
        <v/>
      </c>
      <c r="B520" s="36">
        <f t="shared" si="30"/>
        <v>8</v>
      </c>
      <c r="C520" s="189">
        <f t="shared" si="31"/>
        <v>42240</v>
      </c>
      <c r="D520" s="189" t="s">
        <v>1295</v>
      </c>
      <c r="E520" s="189">
        <v>42240</v>
      </c>
      <c r="F520" s="926" t="s">
        <v>1203</v>
      </c>
      <c r="G520" s="813" t="s">
        <v>1022</v>
      </c>
      <c r="H520" s="191" t="s">
        <v>1023</v>
      </c>
      <c r="I520" s="243">
        <v>100</v>
      </c>
      <c r="J520" s="243">
        <v>11330</v>
      </c>
      <c r="K520" s="573">
        <f>ROUND(I520*J520,0)</f>
        <v>1133000</v>
      </c>
      <c r="L520" s="574" t="s">
        <v>250</v>
      </c>
      <c r="M520" s="574" t="s">
        <v>164</v>
      </c>
      <c r="N520" s="51" t="str">
        <f>IF(AND('331-CT'!$E$7=TH!H520,OR(L520="331",M520="331")),"331",IF(AND(OR(L520="131",M520="131"),H520='131-CT'!$E$7),"131",""))</f>
        <v/>
      </c>
      <c r="O520" s="51" t="str">
        <f>IF(AND($B520&gt;='111'!$N$11,$B520&lt;='111'!$O$11,OR($L520=$O$7,$M520=$O$7)),"x","")</f>
        <v/>
      </c>
      <c r="P520" s="51" t="str">
        <f>IF(AND($L520=$O$7,$B520&lt;'111'!$N$11),"x","")</f>
        <v/>
      </c>
      <c r="Q520" s="51" t="str">
        <f>IF(AND($M520=$O$7,$B520&lt;'111'!$N$11),"x","")</f>
        <v/>
      </c>
      <c r="R520" s="51" t="str">
        <f>IF(ISERROR(FIND('112'!$M$9,G520,1)),"",IF((AND(FIND('112'!$M$9,G520,1)&gt;=1,$B520&gt;='112'!$N$8,$B520&lt;='112'!$O$8,OR($L520='112'!$I$6,$M520='112'!$I$6))),"x",""))</f>
        <v/>
      </c>
      <c r="S520" s="51" t="str">
        <f>IF(ISERROR(FIND('112'!$M$9,G520,1)),"",IF((AND(LEFT(G520,2)=LEFT('112'!$M$9,2),B520&lt;'112'!$N$8,$L520='112'!$I$6)),"x",""))</f>
        <v/>
      </c>
      <c r="T520" s="51" t="str">
        <f>IF(ISERROR(FIND('112'!$M$9,G520,1)),"",IF((AND(RIGHT(G520,2)=RIGHT('112'!$M$9,2),B520&lt;'112'!$N$8,$M520='112'!$I$6)),"x",""))</f>
        <v/>
      </c>
      <c r="U520" s="51" t="str">
        <f>IF(AND(L520="154",'154'!$O$5&lt;=B520,'154'!$P$5&gt;=B520),"154",IF(AND(L520="632",'632'!$L$5&lt;=B520,'632'!$M$5&gt;=B520),"632",IF(AND(L520="642",'642'!$N$5&lt;=B520,'642'!$O$5&gt;=B520),"642",IF(AND(L520="641",'641'!$N$5&lt;=B520,'641'!$O$5&gt;=B520),"641",""))))</f>
        <v/>
      </c>
      <c r="V520" s="51" t="str">
        <f>IF(OR(TH!L520=TH!$V$7,M520=TH!$V$7),"x","")</f>
        <v/>
      </c>
      <c r="W520" s="51" t="str">
        <f>IF(AND(B520&gt;='IN-NX'!$P$3,B520&lt;='IN-NX'!$Q$3,'IN-NX'!$D$7=D520,OR(LEFT(L520,2)="15",AND(LEFT(M520,2)&lt;&gt;"15",LEFT(M520,2)&lt;&gt;"33"))),"x","")</f>
        <v/>
      </c>
      <c r="X520" s="51" t="str">
        <f>IF(AND(OR(LEFT(TH!L520,2)="15",LEFT(TH!M520,2)="15"),'152-CT'!$J$8=TH!F520),"x","")</f>
        <v/>
      </c>
      <c r="Y520" s="51" t="str">
        <f>IF(AND(OR(LEFT(TH!L520,2)="15",LEFT(TH!M520,2)="15"),TK!$E$7=TH!F520),"x","")</f>
        <v/>
      </c>
      <c r="Z520" s="51" t="str">
        <f>IF(AND(B520&lt;=NKC!$N$8,B520&gt;=NKC!$M$8),"x","")</f>
        <v>x</v>
      </c>
      <c r="AA520" s="803"/>
      <c r="AB520" s="565"/>
    </row>
    <row r="521" spans="1:31" ht="15.75" customHeight="1">
      <c r="A521" s="804" t="str">
        <f>IF(B521&lt;&gt;"",IF(AND(B521&gt;=_TM1,B521&lt;=_TM2,OR(TH!L521="1111",TH!M521="1111")),TH!D521,""),"")</f>
        <v/>
      </c>
      <c r="B521" s="36">
        <f t="shared" si="30"/>
        <v>8</v>
      </c>
      <c r="C521" s="189">
        <f t="shared" si="31"/>
        <v>42240</v>
      </c>
      <c r="D521" s="189" t="s">
        <v>1295</v>
      </c>
      <c r="E521" s="189">
        <v>42240</v>
      </c>
      <c r="F521" s="926" t="s">
        <v>1204</v>
      </c>
      <c r="G521" s="813" t="s">
        <v>1022</v>
      </c>
      <c r="H521" s="191" t="s">
        <v>1023</v>
      </c>
      <c r="I521" s="243">
        <v>500</v>
      </c>
      <c r="J521" s="243">
        <v>17270</v>
      </c>
      <c r="K521" s="573">
        <f>ROUND(I521*J521,0)</f>
        <v>8635000</v>
      </c>
      <c r="L521" s="574" t="s">
        <v>250</v>
      </c>
      <c r="M521" s="574" t="s">
        <v>164</v>
      </c>
      <c r="N521" s="51" t="str">
        <f>IF(AND('331-CT'!$E$7=TH!H521,OR(L521="331",M521="331")),"331",IF(AND(OR(L521="131",M521="131"),H521='131-CT'!$E$7),"131",""))</f>
        <v/>
      </c>
      <c r="O521" s="51" t="str">
        <f>IF(AND($B521&gt;='111'!$N$11,$B521&lt;='111'!$O$11,OR($L521=$O$7,$M521=$O$7)),"x","")</f>
        <v/>
      </c>
      <c r="P521" s="51" t="str">
        <f>IF(AND($L521=$O$7,$B521&lt;'111'!$N$11),"x","")</f>
        <v/>
      </c>
      <c r="Q521" s="51" t="str">
        <f>IF(AND($M521=$O$7,$B521&lt;'111'!$N$11),"x","")</f>
        <v/>
      </c>
      <c r="R521" s="51" t="str">
        <f>IF(ISERROR(FIND('112'!$M$9,G521,1)),"",IF((AND(FIND('112'!$M$9,G521,1)&gt;=1,$B521&gt;='112'!$N$8,$B521&lt;='112'!$O$8,OR($L521='112'!$I$6,$M521='112'!$I$6))),"x",""))</f>
        <v/>
      </c>
      <c r="S521" s="51" t="str">
        <f>IF(ISERROR(FIND('112'!$M$9,G521,1)),"",IF((AND(LEFT(G521,2)=LEFT('112'!$M$9,2),B521&lt;'112'!$N$8,$L521='112'!$I$6)),"x",""))</f>
        <v/>
      </c>
      <c r="T521" s="51" t="str">
        <f>IF(ISERROR(FIND('112'!$M$9,G521,1)),"",IF((AND(RIGHT(G521,2)=RIGHT('112'!$M$9,2),B521&lt;'112'!$N$8,$M521='112'!$I$6)),"x",""))</f>
        <v/>
      </c>
      <c r="U521" s="51" t="str">
        <f>IF(AND(L521="154",'154'!$O$5&lt;=B521,'154'!$P$5&gt;=B521),"154",IF(AND(L521="632",'632'!$L$5&lt;=B521,'632'!$M$5&gt;=B521),"632",IF(AND(L521="642",'642'!$N$5&lt;=B521,'642'!$O$5&gt;=B521),"642",IF(AND(L521="641",'641'!$N$5&lt;=B521,'641'!$O$5&gt;=B521),"641",""))))</f>
        <v/>
      </c>
      <c r="V521" s="51" t="str">
        <f>IF(OR(TH!L521=TH!$V$7,M521=TH!$V$7),"x","")</f>
        <v/>
      </c>
      <c r="W521" s="51" t="str">
        <f>IF(AND(B521&gt;='IN-NX'!$P$3,B521&lt;='IN-NX'!$Q$3,'IN-NX'!$D$7=D521,OR(LEFT(L521,2)="15",AND(LEFT(M521,2)&lt;&gt;"15",LEFT(M521,2)&lt;&gt;"33"))),"x","")</f>
        <v/>
      </c>
      <c r="X521" s="51" t="str">
        <f>IF(AND(OR(LEFT(TH!L521,2)="15",LEFT(TH!M521,2)="15"),'152-CT'!$J$8=TH!F521),"x","")</f>
        <v/>
      </c>
      <c r="Y521" s="51" t="str">
        <f>IF(AND(OR(LEFT(TH!L521,2)="15",LEFT(TH!M521,2)="15"),TK!$E$7=TH!F521),"x","")</f>
        <v/>
      </c>
      <c r="Z521" s="51" t="str">
        <f>IF(AND(B521&lt;=NKC!$N$8,B521&gt;=NKC!$M$8),"x","")</f>
        <v>x</v>
      </c>
      <c r="AA521" s="803"/>
      <c r="AB521" s="565"/>
    </row>
    <row r="522" spans="1:31" ht="15.75" customHeight="1">
      <c r="A522" s="804" t="str">
        <f>IF(B522&lt;&gt;"",IF(AND(B522&gt;=_TM1,B522&lt;=_TM2,OR(TH!L522="1111",TH!M522="1111")),TH!D522,""),"")</f>
        <v/>
      </c>
      <c r="B522" s="36">
        <f t="shared" si="30"/>
        <v>8</v>
      </c>
      <c r="C522" s="189">
        <f t="shared" si="31"/>
        <v>42240</v>
      </c>
      <c r="D522" s="189" t="s">
        <v>1295</v>
      </c>
      <c r="E522" s="189">
        <v>42240</v>
      </c>
      <c r="F522" s="922" t="s">
        <v>1205</v>
      </c>
      <c r="G522" s="813" t="s">
        <v>1022</v>
      </c>
      <c r="H522" s="191" t="s">
        <v>1023</v>
      </c>
      <c r="I522" s="243">
        <v>100</v>
      </c>
      <c r="J522" s="243">
        <v>20120</v>
      </c>
      <c r="K522" s="573">
        <f>ROUND(I522*J522,0)</f>
        <v>2012000</v>
      </c>
      <c r="L522" s="574" t="s">
        <v>250</v>
      </c>
      <c r="M522" s="574" t="s">
        <v>164</v>
      </c>
      <c r="N522" s="51" t="str">
        <f>IF(AND('331-CT'!$E$7=TH!H522,OR(L522="331",M522="331")),"331",IF(AND(OR(L522="131",M522="131"),H522='131-CT'!$E$7),"131",""))</f>
        <v/>
      </c>
      <c r="O522" s="51" t="str">
        <f>IF(AND($B522&gt;='111'!$N$11,$B522&lt;='111'!$O$11,OR($L522=$O$7,$M522=$O$7)),"x","")</f>
        <v/>
      </c>
      <c r="P522" s="51" t="str">
        <f>IF(AND($L522=$O$7,$B522&lt;'111'!$N$11),"x","")</f>
        <v/>
      </c>
      <c r="Q522" s="51" t="str">
        <f>IF(AND($M522=$O$7,$B522&lt;'111'!$N$11),"x","")</f>
        <v/>
      </c>
      <c r="R522" s="51" t="str">
        <f>IF(ISERROR(FIND('112'!$M$9,G522,1)),"",IF((AND(FIND('112'!$M$9,G522,1)&gt;=1,$B522&gt;='112'!$N$8,$B522&lt;='112'!$O$8,OR($L522='112'!$I$6,$M522='112'!$I$6))),"x",""))</f>
        <v/>
      </c>
      <c r="S522" s="51" t="str">
        <f>IF(ISERROR(FIND('112'!$M$9,G522,1)),"",IF((AND(LEFT(G522,2)=LEFT('112'!$M$9,2),B522&lt;'112'!$N$8,$L522='112'!$I$6)),"x",""))</f>
        <v/>
      </c>
      <c r="T522" s="51" t="str">
        <f>IF(ISERROR(FIND('112'!$M$9,G522,1)),"",IF((AND(RIGHT(G522,2)=RIGHT('112'!$M$9,2),B522&lt;'112'!$N$8,$M522='112'!$I$6)),"x",""))</f>
        <v/>
      </c>
      <c r="U522" s="51" t="str">
        <f>IF(AND(L522="154",'154'!$O$5&lt;=B522,'154'!$P$5&gt;=B522),"154",IF(AND(L522="632",'632'!$L$5&lt;=B522,'632'!$M$5&gt;=B522),"632",IF(AND(L522="642",'642'!$N$5&lt;=B522,'642'!$O$5&gt;=B522),"642",IF(AND(L522="641",'641'!$N$5&lt;=B522,'641'!$O$5&gt;=B522),"641",""))))</f>
        <v/>
      </c>
      <c r="V522" s="51" t="str">
        <f>IF(OR(TH!L522=TH!$V$7,M522=TH!$V$7),"x","")</f>
        <v/>
      </c>
      <c r="W522" s="51" t="str">
        <f>IF(AND(B522&gt;='IN-NX'!$P$3,B522&lt;='IN-NX'!$Q$3,'IN-NX'!$D$7=D522,OR(LEFT(L522,2)="15",AND(LEFT(M522,2)&lt;&gt;"15",LEFT(M522,2)&lt;&gt;"33"))),"x","")</f>
        <v/>
      </c>
      <c r="X522" s="51" t="str">
        <f>IF(AND(OR(LEFT(TH!L522,2)="15",LEFT(TH!M522,2)="15"),'152-CT'!$J$8=TH!F522),"x","")</f>
        <v/>
      </c>
      <c r="Y522" s="51" t="str">
        <f>IF(AND(OR(LEFT(TH!L522,2)="15",LEFT(TH!M522,2)="15"),TK!$E$7=TH!F522),"x","")</f>
        <v/>
      </c>
      <c r="Z522" s="51" t="str">
        <f>IF(AND(B522&lt;=NKC!$N$8,B522&gt;=NKC!$M$8),"x","")</f>
        <v>x</v>
      </c>
      <c r="AA522" s="803"/>
      <c r="AB522" s="565"/>
    </row>
    <row r="523" spans="1:31" ht="15.75" customHeight="1">
      <c r="A523" s="804" t="str">
        <f>IF(B523&lt;&gt;"",IF(AND(B523&gt;=_TM1,B523&lt;=_TM2,OR(TH!L523="1111",TH!M523="1111")),TH!D523,""),"")</f>
        <v/>
      </c>
      <c r="B523" s="36">
        <f t="shared" si="30"/>
        <v>8</v>
      </c>
      <c r="C523" s="189">
        <f t="shared" si="31"/>
        <v>42240</v>
      </c>
      <c r="D523" s="189" t="s">
        <v>1295</v>
      </c>
      <c r="E523" s="189">
        <v>42240</v>
      </c>
      <c r="F523" s="190" t="s">
        <v>625</v>
      </c>
      <c r="G523" s="813" t="s">
        <v>1022</v>
      </c>
      <c r="H523" s="191" t="s">
        <v>1023</v>
      </c>
      <c r="I523" s="243">
        <v>100</v>
      </c>
      <c r="J523" s="243">
        <v>25300</v>
      </c>
      <c r="K523" s="573">
        <f>ROUND(I523*J523,0)</f>
        <v>2530000</v>
      </c>
      <c r="L523" s="574" t="s">
        <v>250</v>
      </c>
      <c r="M523" s="574" t="s">
        <v>164</v>
      </c>
      <c r="N523" s="51" t="str">
        <f>IF(AND('331-CT'!$E$7=TH!H523,OR(L523="331",M523="331")),"331",IF(AND(OR(L523="131",M523="131"),H523='131-CT'!$E$7),"131",""))</f>
        <v/>
      </c>
      <c r="O523" s="51" t="str">
        <f>IF(AND($B523&gt;='111'!$N$11,$B523&lt;='111'!$O$11,OR($L523=$O$7,$M523=$O$7)),"x","")</f>
        <v/>
      </c>
      <c r="P523" s="51" t="str">
        <f>IF(AND($L523=$O$7,$B523&lt;'111'!$N$11),"x","")</f>
        <v/>
      </c>
      <c r="Q523" s="51" t="str">
        <f>IF(AND($M523=$O$7,$B523&lt;'111'!$N$11),"x","")</f>
        <v/>
      </c>
      <c r="R523" s="51" t="str">
        <f>IF(ISERROR(FIND('112'!$M$9,G523,1)),"",IF((AND(FIND('112'!$M$9,G523,1)&gt;=1,$B523&gt;='112'!$N$8,$B523&lt;='112'!$O$8,OR($L523='112'!$I$6,$M523='112'!$I$6))),"x",""))</f>
        <v/>
      </c>
      <c r="S523" s="51" t="str">
        <f>IF(ISERROR(FIND('112'!$M$9,G523,1)),"",IF((AND(LEFT(G523,2)=LEFT('112'!$M$9,2),B523&lt;'112'!$N$8,$L523='112'!$I$6)),"x",""))</f>
        <v/>
      </c>
      <c r="T523" s="51" t="str">
        <f>IF(ISERROR(FIND('112'!$M$9,G523,1)),"",IF((AND(RIGHT(G523,2)=RIGHT('112'!$M$9,2),B523&lt;'112'!$N$8,$M523='112'!$I$6)),"x",""))</f>
        <v/>
      </c>
      <c r="U523" s="51" t="str">
        <f>IF(AND(L523="154",'154'!$O$5&lt;=B523,'154'!$P$5&gt;=B523),"154",IF(AND(L523="632",'632'!$L$5&lt;=B523,'632'!$M$5&gt;=B523),"632",IF(AND(L523="642",'642'!$N$5&lt;=B523,'642'!$O$5&gt;=B523),"642",IF(AND(L523="641",'641'!$N$5&lt;=B523,'641'!$O$5&gt;=B523),"641",""))))</f>
        <v/>
      </c>
      <c r="V523" s="51" t="str">
        <f>IF(OR(TH!L523=TH!$V$7,M523=TH!$V$7),"x","")</f>
        <v/>
      </c>
      <c r="W523" s="51" t="str">
        <f>IF(AND(B523&gt;='IN-NX'!$P$3,B523&lt;='IN-NX'!$Q$3,'IN-NX'!$D$7=D523,OR(LEFT(L523,2)="15",AND(LEFT(M523,2)&lt;&gt;"15",LEFT(M523,2)&lt;&gt;"33"))),"x","")</f>
        <v/>
      </c>
      <c r="X523" s="51" t="str">
        <f>IF(AND(OR(LEFT(TH!L523,2)="15",LEFT(TH!M523,2)="15"),'152-CT'!$J$8=TH!F523),"x","")</f>
        <v/>
      </c>
      <c r="Y523" s="51" t="str">
        <f>IF(AND(OR(LEFT(TH!L523,2)="15",LEFT(TH!M523,2)="15"),TK!$E$7=TH!F523),"x","")</f>
        <v/>
      </c>
      <c r="Z523" s="51" t="str">
        <f>IF(AND(B523&lt;=NKC!$N$8,B523&gt;=NKC!$M$8),"x","")</f>
        <v>x</v>
      </c>
      <c r="AA523" s="803"/>
      <c r="AB523" s="565"/>
    </row>
    <row r="524" spans="1:31" ht="15.75" customHeight="1">
      <c r="A524" s="804" t="str">
        <f>IF(B524&lt;&gt;"",IF(AND(B524&gt;=_TM1,B524&lt;=_TM2,OR(TH!L524="1111",TH!M524="1111")),TH!D524,""),"")</f>
        <v/>
      </c>
      <c r="B524" s="36">
        <f t="shared" si="30"/>
        <v>8</v>
      </c>
      <c r="C524" s="189">
        <f t="shared" si="31"/>
        <v>42240</v>
      </c>
      <c r="D524" s="189" t="s">
        <v>1295</v>
      </c>
      <c r="E524" s="189">
        <v>42240</v>
      </c>
      <c r="F524" s="190" t="s">
        <v>705</v>
      </c>
      <c r="G524" s="813" t="s">
        <v>1022</v>
      </c>
      <c r="H524" s="191" t="s">
        <v>1023</v>
      </c>
      <c r="I524" s="243"/>
      <c r="J524" s="243"/>
      <c r="K524" s="573">
        <v>1431000</v>
      </c>
      <c r="L524" s="574" t="s">
        <v>250</v>
      </c>
      <c r="M524" s="574" t="s">
        <v>352</v>
      </c>
      <c r="N524" s="51" t="str">
        <f>IF(AND('331-CT'!$E$7=TH!H524,OR(L524="331",M524="331")),"331",IF(AND(OR(L524="131",M524="131"),H524='131-CT'!$E$7),"131",""))</f>
        <v/>
      </c>
      <c r="O524" s="51" t="str">
        <f>IF(AND($B524&gt;='111'!$N$11,$B524&lt;='111'!$O$11,OR($L524=$O$7,$M524=$O$7)),"x","")</f>
        <v/>
      </c>
      <c r="P524" s="51" t="str">
        <f>IF(AND($L524=$O$7,$B524&lt;'111'!$N$11),"x","")</f>
        <v/>
      </c>
      <c r="Q524" s="51" t="str">
        <f>IF(AND($M524=$O$7,$B524&lt;'111'!$N$11),"x","")</f>
        <v/>
      </c>
      <c r="R524" s="51" t="str">
        <f>IF(ISERROR(FIND('112'!$M$9,G524,1)),"",IF((AND(FIND('112'!$M$9,G524,1)&gt;=1,$B524&gt;='112'!$N$8,$B524&lt;='112'!$O$8,OR($L524='112'!$I$6,$M524='112'!$I$6))),"x",""))</f>
        <v/>
      </c>
      <c r="S524" s="51" t="str">
        <f>IF(ISERROR(FIND('112'!$M$9,G524,1)),"",IF((AND(LEFT(G524,2)=LEFT('112'!$M$9,2),B524&lt;'112'!$N$8,$L524='112'!$I$6)),"x",""))</f>
        <v/>
      </c>
      <c r="T524" s="51" t="str">
        <f>IF(ISERROR(FIND('112'!$M$9,G524,1)),"",IF((AND(RIGHT(G524,2)=RIGHT('112'!$M$9,2),B524&lt;'112'!$N$8,$M524='112'!$I$6)),"x",""))</f>
        <v/>
      </c>
      <c r="U524" s="51" t="str">
        <f>IF(AND(L524="154",'154'!$O$5&lt;=B524,'154'!$P$5&gt;=B524),"154",IF(AND(L524="632",'632'!$L$5&lt;=B524,'632'!$M$5&gt;=B524),"632",IF(AND(L524="642",'642'!$N$5&lt;=B524,'642'!$O$5&gt;=B524),"642",IF(AND(L524="641",'641'!$N$5&lt;=B524,'641'!$O$5&gt;=B524),"641",""))))</f>
        <v/>
      </c>
      <c r="V524" s="51" t="str">
        <f>IF(OR(TH!L524=TH!$V$7,M524=TH!$V$7),"x","")</f>
        <v/>
      </c>
      <c r="W524" s="51" t="str">
        <f>IF(AND(B524&gt;='IN-NX'!$P$3,B524&lt;='IN-NX'!$Q$3,'IN-NX'!$D$7=D524,OR(LEFT(L524,2)="15",AND(LEFT(M524,2)&lt;&gt;"15",LEFT(M524,2)&lt;&gt;"33"))),"x","")</f>
        <v/>
      </c>
      <c r="X524" s="51" t="str">
        <f>IF(AND(OR(LEFT(TH!L524,2)="15",LEFT(TH!M524,2)="15"),'152-CT'!$J$8=TH!F524),"x","")</f>
        <v/>
      </c>
      <c r="Y524" s="51" t="str">
        <f>IF(AND(OR(LEFT(TH!L524,2)="15",LEFT(TH!M524,2)="15"),TK!$E$7=TH!F524),"x","")</f>
        <v/>
      </c>
      <c r="Z524" s="51" t="str">
        <f>IF(AND(B524&lt;=NKC!$N$8,B524&gt;=NKC!$M$8),"x","")</f>
        <v>x</v>
      </c>
      <c r="AA524" s="803"/>
      <c r="AB524" s="565"/>
    </row>
    <row r="525" spans="1:31" ht="15.75" customHeight="1">
      <c r="A525" s="804" t="str">
        <f>IF(B525&lt;&gt;"",IF(AND(B525&gt;=_TM1,B525&lt;=_TM2,OR(TH!L525="1111",TH!M525="1111")),TH!D525,""),"")</f>
        <v>T30</v>
      </c>
      <c r="B525" s="36">
        <f t="shared" si="30"/>
        <v>8</v>
      </c>
      <c r="C525" s="189">
        <f t="shared" si="31"/>
        <v>42240</v>
      </c>
      <c r="D525" s="189" t="s">
        <v>1393</v>
      </c>
      <c r="E525" s="189">
        <v>42240</v>
      </c>
      <c r="F525" s="190" t="s">
        <v>423</v>
      </c>
      <c r="G525" s="813" t="s">
        <v>1022</v>
      </c>
      <c r="H525" s="191" t="s">
        <v>1023</v>
      </c>
      <c r="I525" s="243"/>
      <c r="J525" s="243"/>
      <c r="K525" s="573">
        <v>15741000</v>
      </c>
      <c r="L525" s="574" t="s">
        <v>47</v>
      </c>
      <c r="M525" s="574" t="s">
        <v>250</v>
      </c>
      <c r="N525" s="51" t="str">
        <f>IF(AND('331-CT'!$E$7=TH!H525,OR(L525="331",M525="331")),"331",IF(AND(OR(L525="131",M525="131"),H525='131-CT'!$E$7),"131",""))</f>
        <v/>
      </c>
      <c r="O525" s="51" t="str">
        <f>IF(AND($B525&gt;='111'!$N$11,$B525&lt;='111'!$O$11,OR($L525=$O$7,$M525=$O$7)),"x","")</f>
        <v/>
      </c>
      <c r="P525" s="51" t="str">
        <f>IF(AND($L525=$O$7,$B525&lt;'111'!$N$11),"x","")</f>
        <v>x</v>
      </c>
      <c r="Q525" s="51" t="str">
        <f>IF(AND($M525=$O$7,$B525&lt;'111'!$N$11),"x","")</f>
        <v/>
      </c>
      <c r="R525" s="51" t="str">
        <f>IF(ISERROR(FIND('112'!$M$9,G525,1)),"",IF((AND(FIND('112'!$M$9,G525,1)&gt;=1,$B525&gt;='112'!$N$8,$B525&lt;='112'!$O$8,OR($L525='112'!$I$6,$M525='112'!$I$6))),"x",""))</f>
        <v/>
      </c>
      <c r="S525" s="51" t="str">
        <f>IF(ISERROR(FIND('112'!$M$9,G525,1)),"",IF((AND(LEFT(G525,2)=LEFT('112'!$M$9,2),B525&lt;'112'!$N$8,$L525='112'!$I$6)),"x",""))</f>
        <v/>
      </c>
      <c r="T525" s="51" t="str">
        <f>IF(ISERROR(FIND('112'!$M$9,G525,1)),"",IF((AND(RIGHT(G525,2)=RIGHT('112'!$M$9,2),B525&lt;'112'!$N$8,$M525='112'!$I$6)),"x",""))</f>
        <v/>
      </c>
      <c r="U525" s="51" t="str">
        <f>IF(AND(L525="154",'154'!$O$5&lt;=B525,'154'!$P$5&gt;=B525),"154",IF(AND(L525="632",'632'!$L$5&lt;=B525,'632'!$M$5&gt;=B525),"632",IF(AND(L525="642",'642'!$N$5&lt;=B525,'642'!$O$5&gt;=B525),"642",IF(AND(L525="641",'641'!$N$5&lt;=B525,'641'!$O$5&gt;=B525),"641",""))))</f>
        <v/>
      </c>
      <c r="V525" s="51" t="str">
        <f>IF(OR(TH!L525=TH!$V$7,M525=TH!$V$7),"x","")</f>
        <v/>
      </c>
      <c r="W525" s="51" t="str">
        <f>IF(AND(B525&gt;='IN-NX'!$P$3,B525&lt;='IN-NX'!$Q$3,'IN-NX'!$D$7=D525,OR(LEFT(L525,2)="15",AND(LEFT(M525,2)&lt;&gt;"15",LEFT(M525,2)&lt;&gt;"33"))),"x","")</f>
        <v/>
      </c>
      <c r="X525" s="51" t="str">
        <f>IF(AND(OR(LEFT(TH!L525,2)="15",LEFT(TH!M525,2)="15"),'152-CT'!$J$8=TH!F525),"x","")</f>
        <v/>
      </c>
      <c r="Y525" s="51" t="str">
        <f>IF(AND(OR(LEFT(TH!L525,2)="15",LEFT(TH!M525,2)="15"),TK!$E$7=TH!F525),"x","")</f>
        <v/>
      </c>
      <c r="Z525" s="51" t="str">
        <f>IF(AND(B525&lt;=NKC!$N$8,B525&gt;=NKC!$M$8),"x","")</f>
        <v>x</v>
      </c>
      <c r="AA525" s="803"/>
      <c r="AB525" s="565"/>
    </row>
    <row r="526" spans="1:31" ht="15.75" customHeight="1">
      <c r="A526" s="804" t="str">
        <f>IF(B526&lt;&gt;"",IF(AND(B526&gt;=_TM1,B526&lt;=_TM2,OR(TH!L526="1111",TH!M526="1111")),TH!D526,""),"")</f>
        <v/>
      </c>
      <c r="B526" s="36">
        <f t="shared" si="30"/>
        <v>8</v>
      </c>
      <c r="C526" s="189">
        <f t="shared" si="31"/>
        <v>42241</v>
      </c>
      <c r="D526" s="189" t="s">
        <v>421</v>
      </c>
      <c r="E526" s="182">
        <v>42241</v>
      </c>
      <c r="F526" s="187" t="s">
        <v>429</v>
      </c>
      <c r="G526" s="811" t="s">
        <v>415</v>
      </c>
      <c r="H526" s="202"/>
      <c r="I526" s="243"/>
      <c r="J526" s="243"/>
      <c r="K526" s="38">
        <v>24947</v>
      </c>
      <c r="L526" s="192" t="s">
        <v>24</v>
      </c>
      <c r="M526" s="192" t="s">
        <v>40</v>
      </c>
      <c r="N526" s="51" t="str">
        <f>IF(AND('331-CT'!$E$7=TH!H526,OR(L526="331",M526="331")),"331",IF(AND(OR(L526="131",M526="131"),H526='131-CT'!$E$7),"131",""))</f>
        <v/>
      </c>
      <c r="O526" s="51" t="str">
        <f>IF(AND($B526&gt;='111'!$N$11,$B526&lt;='111'!$O$11,OR($L526=$O$7,$M526=$O$7)),"x","")</f>
        <v/>
      </c>
      <c r="P526" s="51" t="str">
        <f>IF(AND($L526=$O$7,$B526&lt;'111'!$N$11),"x","")</f>
        <v/>
      </c>
      <c r="Q526" s="51" t="str">
        <f>IF(AND($M526=$O$7,$B526&lt;'111'!$N$11),"x","")</f>
        <v/>
      </c>
      <c r="R526" s="51" t="str">
        <f>IF(ISERROR(FIND('112'!$M$9,G526,1)),"",IF((AND(FIND('112'!$M$9,G526,1)&gt;=1,$B526&gt;='112'!$N$8,$B526&lt;='112'!$O$8,OR($L526='112'!$I$6,$M526='112'!$I$6))),"x",""))</f>
        <v/>
      </c>
      <c r="S526" s="51" t="str">
        <f>IF(ISERROR(FIND('112'!$M$9,G526,1)),"",IF((AND(LEFT(G526,2)=LEFT('112'!$M$9,2),B526&lt;'112'!$N$8,$L526='112'!$I$6)),"x",""))</f>
        <v/>
      </c>
      <c r="T526" s="51" t="str">
        <f>IF(ISERROR(FIND('112'!$M$9,G526,1)),"",IF((AND(RIGHT(G526,2)=RIGHT('112'!$M$9,2),B526&lt;'112'!$N$8,$M526='112'!$I$6)),"x",""))</f>
        <v/>
      </c>
      <c r="U526" s="51" t="str">
        <f>IF(AND(L526="154",'154'!$O$5&lt;=B526,'154'!$P$5&gt;=B526),"154",IF(AND(L526="632",'632'!$L$5&lt;=B526,'632'!$M$5&gt;=B526),"632",IF(AND(L526="642",'642'!$N$5&lt;=B526,'642'!$O$5&gt;=B526),"642",IF(AND(L526="641",'641'!$N$5&lt;=B526,'641'!$O$5&gt;=B526),"641",""))))</f>
        <v/>
      </c>
      <c r="V526" s="51" t="str">
        <f>IF(OR(TH!L526=TH!$V$7,M526=TH!$V$7),"x","")</f>
        <v/>
      </c>
      <c r="W526" s="51" t="str">
        <f>IF(AND(B526&gt;='IN-NX'!$P$3,B526&lt;='IN-NX'!$Q$3,'IN-NX'!$D$7=D526,OR(LEFT(L526,2)="15",AND(LEFT(M526,2)&lt;&gt;"15",LEFT(M526,2)&lt;&gt;"33"))),"x","")</f>
        <v/>
      </c>
      <c r="X526" s="51" t="str">
        <f>IF(AND(OR(LEFT(TH!L526,2)="15",LEFT(TH!M526,2)="15"),'152-CT'!$J$8=TH!F526),"x","")</f>
        <v/>
      </c>
      <c r="Y526" s="51" t="str">
        <f>IF(AND(OR(LEFT(TH!L526,2)="15",LEFT(TH!M526,2)="15"),TK!$E$7=TH!F526),"x","")</f>
        <v/>
      </c>
      <c r="Z526" s="51" t="str">
        <f>IF(AND(B526&lt;=NKC!$N$8,B526&gt;=NKC!$M$8),"x","")</f>
        <v>x</v>
      </c>
      <c r="AA526" s="803"/>
      <c r="AB526" s="565"/>
      <c r="AC526" s="565"/>
      <c r="AD526" s="565"/>
      <c r="AE526" s="565"/>
    </row>
    <row r="527" spans="1:31" ht="15.75" customHeight="1">
      <c r="A527" s="804" t="str">
        <f>IF(B527&lt;&gt;"",IF(AND(B527&gt;=_TM1,B527&lt;=_TM2,OR(TH!L527="1111",TH!M527="1111")),TH!D527,""),"")</f>
        <v/>
      </c>
      <c r="B527" s="36">
        <f t="shared" si="30"/>
        <v>8</v>
      </c>
      <c r="C527" s="189">
        <f t="shared" si="31"/>
        <v>42241</v>
      </c>
      <c r="D527" s="189" t="s">
        <v>421</v>
      </c>
      <c r="E527" s="182">
        <v>42241</v>
      </c>
      <c r="F527" s="187" t="s">
        <v>423</v>
      </c>
      <c r="G527" s="811" t="s">
        <v>415</v>
      </c>
      <c r="H527" s="7" t="s">
        <v>441</v>
      </c>
      <c r="I527" s="243"/>
      <c r="J527" s="243"/>
      <c r="K527" s="38">
        <v>18225350</v>
      </c>
      <c r="L527" s="192" t="s">
        <v>24</v>
      </c>
      <c r="M527" s="192" t="s">
        <v>250</v>
      </c>
      <c r="N527" s="51" t="str">
        <f>IF(AND('331-CT'!$E$7=TH!H527,OR(L527="331",M527="331")),"331",IF(AND(OR(L527="131",M527="131"),H527='131-CT'!$E$7),"131",""))</f>
        <v/>
      </c>
      <c r="O527" s="51" t="str">
        <f>IF(AND($B527&gt;='111'!$N$11,$B527&lt;='111'!$O$11,OR($L527=$O$7,$M527=$O$7)),"x","")</f>
        <v/>
      </c>
      <c r="P527" s="51" t="str">
        <f>IF(AND($L527=$O$7,$B527&lt;'111'!$N$11),"x","")</f>
        <v/>
      </c>
      <c r="Q527" s="51" t="str">
        <f>IF(AND($M527=$O$7,$B527&lt;'111'!$N$11),"x","")</f>
        <v/>
      </c>
      <c r="R527" s="51" t="str">
        <f>IF(ISERROR(FIND('112'!$M$9,G527,1)),"",IF((AND(FIND('112'!$M$9,G527,1)&gt;=1,$B527&gt;='112'!$N$8,$B527&lt;='112'!$O$8,OR($L527='112'!$I$6,$M527='112'!$I$6))),"x",""))</f>
        <v/>
      </c>
      <c r="S527" s="51" t="str">
        <f>IF(ISERROR(FIND('112'!$M$9,G527,1)),"",IF((AND(LEFT(G527,2)=LEFT('112'!$M$9,2),B527&lt;'112'!$N$8,$L527='112'!$I$6)),"x",""))</f>
        <v/>
      </c>
      <c r="T527" s="51" t="str">
        <f>IF(ISERROR(FIND('112'!$M$9,G527,1)),"",IF((AND(RIGHT(G527,2)=RIGHT('112'!$M$9,2),B527&lt;'112'!$N$8,$M527='112'!$I$6)),"x",""))</f>
        <v/>
      </c>
      <c r="U527" s="51" t="str">
        <f>IF(AND(L527="154",'154'!$O$5&lt;=B527,'154'!$P$5&gt;=B527),"154",IF(AND(L527="632",'632'!$L$5&lt;=B527,'632'!$M$5&gt;=B527),"632",IF(AND(L527="642",'642'!$N$5&lt;=B527,'642'!$O$5&gt;=B527),"642",IF(AND(L527="641",'641'!$N$5&lt;=B527,'641'!$O$5&gt;=B527),"641",""))))</f>
        <v/>
      </c>
      <c r="V527" s="51" t="str">
        <f>IF(OR(TH!L527=TH!$V$7,M527=TH!$V$7),"x","")</f>
        <v/>
      </c>
      <c r="W527" s="51" t="str">
        <f>IF(AND(B527&gt;='IN-NX'!$P$3,B527&lt;='IN-NX'!$Q$3,'IN-NX'!$D$7=D527,OR(LEFT(L527,2)="15",AND(LEFT(M527,2)&lt;&gt;"15",LEFT(M527,2)&lt;&gt;"33"))),"x","")</f>
        <v/>
      </c>
      <c r="X527" s="51" t="str">
        <f>IF(AND(OR(LEFT(TH!L527,2)="15",LEFT(TH!M527,2)="15"),'152-CT'!$J$8=TH!F527),"x","")</f>
        <v/>
      </c>
      <c r="Y527" s="51" t="str">
        <f>IF(AND(OR(LEFT(TH!L527,2)="15",LEFT(TH!M527,2)="15"),TK!$E$7=TH!F527),"x","")</f>
        <v/>
      </c>
      <c r="Z527" s="51" t="str">
        <f>IF(AND(B527&lt;=NKC!$N$8,B527&gt;=NKC!$M$8),"x","")</f>
        <v>x</v>
      </c>
      <c r="AA527" s="803"/>
      <c r="AB527" s="565"/>
      <c r="AD527" s="565"/>
      <c r="AE527" s="565"/>
    </row>
    <row r="528" spans="1:31" ht="15.75" customHeight="1">
      <c r="A528" s="804" t="str">
        <f>IF(B528&lt;&gt;"",IF(AND(B528&gt;=_TM1,B528&lt;=_TM2,OR(TH!L528="1111",TH!M528="1111")),TH!D528,""),"")</f>
        <v/>
      </c>
      <c r="B528" s="36">
        <f t="shared" si="30"/>
        <v>8</v>
      </c>
      <c r="C528" s="189">
        <f t="shared" si="31"/>
        <v>42241</v>
      </c>
      <c r="D528" s="189" t="s">
        <v>422</v>
      </c>
      <c r="E528" s="182">
        <v>42241</v>
      </c>
      <c r="F528" s="187" t="s">
        <v>426</v>
      </c>
      <c r="G528" s="811" t="s">
        <v>415</v>
      </c>
      <c r="H528" s="7"/>
      <c r="I528" s="243"/>
      <c r="J528" s="243"/>
      <c r="K528" s="573">
        <v>11000</v>
      </c>
      <c r="L528" s="192" t="s">
        <v>83</v>
      </c>
      <c r="M528" s="192" t="s">
        <v>24</v>
      </c>
      <c r="N528" s="51" t="str">
        <f>IF(AND('331-CT'!$E$7=TH!H528,OR(L528="331",M528="331")),"331",IF(AND(OR(L528="131",M528="131"),H528='131-CT'!$E$7),"131",""))</f>
        <v/>
      </c>
      <c r="O528" s="51" t="str">
        <f>IF(AND($B528&gt;='111'!$N$11,$B528&lt;='111'!$O$11,OR($L528=$O$7,$M528=$O$7)),"x","")</f>
        <v/>
      </c>
      <c r="P528" s="51" t="str">
        <f>IF(AND($L528=$O$7,$B528&lt;'111'!$N$11),"x","")</f>
        <v/>
      </c>
      <c r="Q528" s="51" t="str">
        <f>IF(AND($M528=$O$7,$B528&lt;'111'!$N$11),"x","")</f>
        <v/>
      </c>
      <c r="R528" s="51" t="str">
        <f>IF(ISERROR(FIND('112'!$M$9,G528,1)),"",IF((AND(FIND('112'!$M$9,G528,1)&gt;=1,$B528&gt;='112'!$N$8,$B528&lt;='112'!$O$8,OR($L528='112'!$I$6,$M528='112'!$I$6))),"x",""))</f>
        <v/>
      </c>
      <c r="S528" s="51" t="str">
        <f>IF(ISERROR(FIND('112'!$M$9,G528,1)),"",IF((AND(LEFT(G528,2)=LEFT('112'!$M$9,2),B528&lt;'112'!$N$8,$L528='112'!$I$6)),"x",""))</f>
        <v/>
      </c>
      <c r="T528" s="51" t="str">
        <f>IF(ISERROR(FIND('112'!$M$9,G528,1)),"",IF((AND(RIGHT(G528,2)=RIGHT('112'!$M$9,2),B528&lt;'112'!$N$8,$M528='112'!$I$6)),"x",""))</f>
        <v/>
      </c>
      <c r="U528" s="51" t="str">
        <f>IF(AND(L528="154",'154'!$O$5&lt;=B528,'154'!$P$5&gt;=B528),"154",IF(AND(L528="632",'632'!$L$5&lt;=B528,'632'!$M$5&gt;=B528),"632",IF(AND(L528="642",'642'!$N$5&lt;=B528,'642'!$O$5&gt;=B528),"642",IF(AND(L528="641",'641'!$N$5&lt;=B528,'641'!$O$5&gt;=B528),"641",""))))</f>
        <v/>
      </c>
      <c r="V528" s="51" t="str">
        <f>IF(OR(TH!L528=TH!$V$7,M528=TH!$V$7),"x","")</f>
        <v>x</v>
      </c>
      <c r="W528" s="51" t="str">
        <f>IF(AND(B528&gt;='IN-NX'!$P$3,B528&lt;='IN-NX'!$Q$3,'IN-NX'!$D$7=D528,OR(LEFT(L528,2)="15",AND(LEFT(M528,2)&lt;&gt;"15",LEFT(M528,2)&lt;&gt;"33"))),"x","")</f>
        <v/>
      </c>
      <c r="X528" s="51" t="str">
        <f>IF(AND(OR(LEFT(TH!L528,2)="15",LEFT(TH!M528,2)="15"),'152-CT'!$J$8=TH!F528),"x","")</f>
        <v/>
      </c>
      <c r="Y528" s="51" t="str">
        <f>IF(AND(OR(LEFT(TH!L528,2)="15",LEFT(TH!M528,2)="15"),TK!$E$7=TH!F528),"x","")</f>
        <v/>
      </c>
      <c r="Z528" s="51" t="str">
        <f>IF(AND(B528&lt;=NKC!$N$8,B528&gt;=NKC!$M$8),"x","")</f>
        <v>x</v>
      </c>
      <c r="AA528" s="803"/>
      <c r="AB528" s="565"/>
      <c r="AC528" s="565"/>
      <c r="AD528" s="565"/>
      <c r="AE528" s="565"/>
    </row>
    <row r="529" spans="1:31" ht="15.75" customHeight="1">
      <c r="A529" s="804" t="str">
        <f>IF(B529&lt;&gt;"",IF(AND(B529&gt;=_TM1,B529&lt;=_TM2,OR(TH!L529="1111",TH!M529="1111")),TH!D529,""),"")</f>
        <v>T31</v>
      </c>
      <c r="B529" s="36">
        <f t="shared" si="30"/>
        <v>8</v>
      </c>
      <c r="C529" s="189">
        <f t="shared" si="31"/>
        <v>42241</v>
      </c>
      <c r="D529" s="189" t="s">
        <v>1394</v>
      </c>
      <c r="E529" s="189">
        <v>42241</v>
      </c>
      <c r="F529" s="926" t="s">
        <v>964</v>
      </c>
      <c r="G529" s="813" t="s">
        <v>1024</v>
      </c>
      <c r="H529" s="191" t="s">
        <v>413</v>
      </c>
      <c r="I529" s="243"/>
      <c r="J529" s="243"/>
      <c r="K529" s="573">
        <v>18050000</v>
      </c>
      <c r="L529" s="574" t="s">
        <v>47</v>
      </c>
      <c r="M529" s="574" t="s">
        <v>408</v>
      </c>
      <c r="N529" s="51" t="str">
        <f>IF(AND('331-CT'!$E$7=TH!H529,OR(L529="331",M529="331")),"331",IF(AND(OR(L529="131",M529="131"),H529='131-CT'!$E$7),"131",""))</f>
        <v/>
      </c>
      <c r="O529" s="51" t="str">
        <f>IF(AND($B529&gt;='111'!$N$11,$B529&lt;='111'!$O$11,OR($L529=$O$7,$M529=$O$7)),"x","")</f>
        <v/>
      </c>
      <c r="P529" s="51" t="str">
        <f>IF(AND($L529=$O$7,$B529&lt;'111'!$N$11),"x","")</f>
        <v>x</v>
      </c>
      <c r="Q529" s="51" t="str">
        <f>IF(AND($M529=$O$7,$B529&lt;'111'!$N$11),"x","")</f>
        <v/>
      </c>
      <c r="R529" s="51" t="str">
        <f>IF(ISERROR(FIND('112'!$M$9,G529,1)),"",IF((AND(FIND('112'!$M$9,G529,1)&gt;=1,$B529&gt;='112'!$N$8,$B529&lt;='112'!$O$8,OR($L529='112'!$I$6,$M529='112'!$I$6))),"x",""))</f>
        <v/>
      </c>
      <c r="S529" s="51" t="str">
        <f>IF(ISERROR(FIND('112'!$M$9,G529,1)),"",IF((AND(LEFT(G529,2)=LEFT('112'!$M$9,2),B529&lt;'112'!$N$8,$L529='112'!$I$6)),"x",""))</f>
        <v/>
      </c>
      <c r="T529" s="51" t="str">
        <f>IF(ISERROR(FIND('112'!$M$9,G529,1)),"",IF((AND(RIGHT(G529,2)=RIGHT('112'!$M$9,2),B529&lt;'112'!$N$8,$M529='112'!$I$6)),"x",""))</f>
        <v/>
      </c>
      <c r="U529" s="51" t="str">
        <f>IF(AND(L529="154",'154'!$O$5&lt;=B529,'154'!$P$5&gt;=B529),"154",IF(AND(L529="632",'632'!$L$5&lt;=B529,'632'!$M$5&gt;=B529),"632",IF(AND(L529="642",'642'!$N$5&lt;=B529,'642'!$O$5&gt;=B529),"642",IF(AND(L529="641",'641'!$N$5&lt;=B529,'641'!$O$5&gt;=B529),"641",""))))</f>
        <v/>
      </c>
      <c r="V529" s="51" t="str">
        <f>IF(OR(TH!L529=TH!$V$7,M529=TH!$V$7),"x","")</f>
        <v/>
      </c>
      <c r="W529" s="51" t="str">
        <f>IF(AND(B529&gt;='IN-NX'!$P$3,B529&lt;='IN-NX'!$Q$3,'IN-NX'!$D$7=D529,OR(LEFT(L529,2)="15",AND(LEFT(M529,2)&lt;&gt;"15",LEFT(M529,2)&lt;&gt;"33"))),"x","")</f>
        <v/>
      </c>
      <c r="X529" s="51" t="str">
        <f>IF(AND(OR(LEFT(TH!L529,2)="15",LEFT(TH!M529,2)="15"),'152-CT'!$J$8=TH!F529),"x","")</f>
        <v/>
      </c>
      <c r="Y529" s="51" t="str">
        <f>IF(AND(OR(LEFT(TH!L529,2)="15",LEFT(TH!M529,2)="15"),TK!$E$7=TH!F529),"x","")</f>
        <v/>
      </c>
      <c r="Z529" s="51" t="str">
        <f>IF(AND(B529&lt;=NKC!$N$8,B529&gt;=NKC!$M$8),"x","")</f>
        <v>x</v>
      </c>
      <c r="AA529" s="803"/>
      <c r="AB529" s="565"/>
      <c r="AC529" s="565"/>
    </row>
    <row r="530" spans="1:31" ht="15.75" customHeight="1">
      <c r="A530" s="804" t="str">
        <f>IF(B530&lt;&gt;"",IF(AND(B530&gt;=_TM1,B530&lt;=_TM2,OR(TH!L530="1111",TH!M530="1111")),TH!D530,""),"")</f>
        <v>T31</v>
      </c>
      <c r="B530" s="36">
        <f t="shared" si="30"/>
        <v>8</v>
      </c>
      <c r="C530" s="189">
        <f t="shared" si="31"/>
        <v>42241</v>
      </c>
      <c r="D530" s="189" t="s">
        <v>1394</v>
      </c>
      <c r="E530" s="189">
        <v>42241</v>
      </c>
      <c r="F530" s="926" t="s">
        <v>1110</v>
      </c>
      <c r="G530" s="813" t="s">
        <v>1024</v>
      </c>
      <c r="H530" s="191" t="s">
        <v>413</v>
      </c>
      <c r="I530" s="243"/>
      <c r="J530" s="243"/>
      <c r="K530" s="573">
        <v>1805000</v>
      </c>
      <c r="L530" s="574" t="s">
        <v>47</v>
      </c>
      <c r="M530" s="574" t="s">
        <v>352</v>
      </c>
      <c r="N530" s="51" t="str">
        <f>IF(AND('331-CT'!$E$7=TH!H530,OR(L530="331",M530="331")),"331",IF(AND(OR(L530="131",M530="131"),H530='131-CT'!$E$7),"131",""))</f>
        <v/>
      </c>
      <c r="O530" s="51" t="str">
        <f>IF(AND($B530&gt;='111'!$N$11,$B530&lt;='111'!$O$11,OR($L530=$O$7,$M530=$O$7)),"x","")</f>
        <v/>
      </c>
      <c r="P530" s="51" t="str">
        <f>IF(AND($L530=$O$7,$B530&lt;'111'!$N$11),"x","")</f>
        <v>x</v>
      </c>
      <c r="Q530" s="51" t="str">
        <f>IF(AND($M530=$O$7,$B530&lt;'111'!$N$11),"x","")</f>
        <v/>
      </c>
      <c r="R530" s="51" t="str">
        <f>IF(ISERROR(FIND('112'!$M$9,G530,1)),"",IF((AND(FIND('112'!$M$9,G530,1)&gt;=1,$B530&gt;='112'!$N$8,$B530&lt;='112'!$O$8,OR($L530='112'!$I$6,$M530='112'!$I$6))),"x",""))</f>
        <v/>
      </c>
      <c r="S530" s="51" t="str">
        <f>IF(ISERROR(FIND('112'!$M$9,G530,1)),"",IF((AND(LEFT(G530,2)=LEFT('112'!$M$9,2),B530&lt;'112'!$N$8,$L530='112'!$I$6)),"x",""))</f>
        <v/>
      </c>
      <c r="T530" s="51" t="str">
        <f>IF(ISERROR(FIND('112'!$M$9,G530,1)),"",IF((AND(RIGHT(G530,2)=RIGHT('112'!$M$9,2),B530&lt;'112'!$N$8,$M530='112'!$I$6)),"x",""))</f>
        <v/>
      </c>
      <c r="U530" s="51" t="str">
        <f>IF(AND(L530="154",'154'!$O$5&lt;=B530,'154'!$P$5&gt;=B530),"154",IF(AND(L530="632",'632'!$L$5&lt;=B530,'632'!$M$5&gt;=B530),"632",IF(AND(L530="642",'642'!$N$5&lt;=B530,'642'!$O$5&gt;=B530),"642",IF(AND(L530="641",'641'!$N$5&lt;=B530,'641'!$O$5&gt;=B530),"641",""))))</f>
        <v/>
      </c>
      <c r="V530" s="51" t="str">
        <f>IF(OR(TH!L530=TH!$V$7,M530=TH!$V$7),"x","")</f>
        <v/>
      </c>
      <c r="W530" s="51" t="str">
        <f>IF(AND(B530&gt;='IN-NX'!$P$3,B530&lt;='IN-NX'!$Q$3,'IN-NX'!$D$7=D530,OR(LEFT(L530,2)="15",AND(LEFT(M530,2)&lt;&gt;"15",LEFT(M530,2)&lt;&gt;"33"))),"x","")</f>
        <v/>
      </c>
      <c r="X530" s="51" t="str">
        <f>IF(AND(OR(LEFT(TH!L530,2)="15",LEFT(TH!M530,2)="15"),'152-CT'!$J$8=TH!F530),"x","")</f>
        <v/>
      </c>
      <c r="Y530" s="51" t="str">
        <f>IF(AND(OR(LEFT(TH!L530,2)="15",LEFT(TH!M530,2)="15"),TK!$E$7=TH!F530),"x","")</f>
        <v/>
      </c>
      <c r="Z530" s="51" t="str">
        <f>IF(AND(B530&lt;=NKC!$N$8,B530&gt;=NKC!$M$8),"x","")</f>
        <v>x</v>
      </c>
      <c r="AA530" s="803"/>
      <c r="AB530" s="565"/>
    </row>
    <row r="531" spans="1:31" ht="15.75" customHeight="1">
      <c r="A531" s="804" t="str">
        <f>IF(B531&lt;&gt;"",IF(AND(B531&gt;=_TM1,B531&lt;=_TM2,OR(TH!L531="1111",TH!M531="1111")),TH!D531,""),"")</f>
        <v>T32</v>
      </c>
      <c r="B531" s="36">
        <f t="shared" si="30"/>
        <v>8</v>
      </c>
      <c r="C531" s="189">
        <f t="shared" si="31"/>
        <v>42241</v>
      </c>
      <c r="D531" s="189" t="s">
        <v>1395</v>
      </c>
      <c r="E531" s="189">
        <v>42241</v>
      </c>
      <c r="F531" s="926" t="s">
        <v>964</v>
      </c>
      <c r="G531" s="813" t="s">
        <v>1025</v>
      </c>
      <c r="H531" s="191" t="s">
        <v>975</v>
      </c>
      <c r="I531" s="243"/>
      <c r="J531" s="243"/>
      <c r="K531" s="573">
        <v>11800000</v>
      </c>
      <c r="L531" s="574" t="s">
        <v>47</v>
      </c>
      <c r="M531" s="574" t="s">
        <v>408</v>
      </c>
      <c r="N531" s="51" t="str">
        <f>IF(AND('331-CT'!$E$7=TH!H531,OR(L531="331",M531="331")),"331",IF(AND(OR(L531="131",M531="131"),H531='131-CT'!$E$7),"131",""))</f>
        <v/>
      </c>
      <c r="O531" s="51" t="str">
        <f>IF(AND($B531&gt;='111'!$N$11,$B531&lt;='111'!$O$11,OR($L531=$O$7,$M531=$O$7)),"x","")</f>
        <v/>
      </c>
      <c r="P531" s="51" t="str">
        <f>IF(AND($L531=$O$7,$B531&lt;'111'!$N$11),"x","")</f>
        <v>x</v>
      </c>
      <c r="Q531" s="51" t="str">
        <f>IF(AND($M531=$O$7,$B531&lt;'111'!$N$11),"x","")</f>
        <v/>
      </c>
      <c r="R531" s="51" t="str">
        <f>IF(ISERROR(FIND('112'!$M$9,G531,1)),"",IF((AND(FIND('112'!$M$9,G531,1)&gt;=1,$B531&gt;='112'!$N$8,$B531&lt;='112'!$O$8,OR($L531='112'!$I$6,$M531='112'!$I$6))),"x",""))</f>
        <v/>
      </c>
      <c r="S531" s="51" t="str">
        <f>IF(ISERROR(FIND('112'!$M$9,G531,1)),"",IF((AND(LEFT(G531,2)=LEFT('112'!$M$9,2),B531&lt;'112'!$N$8,$L531='112'!$I$6)),"x",""))</f>
        <v/>
      </c>
      <c r="T531" s="51" t="str">
        <f>IF(ISERROR(FIND('112'!$M$9,G531,1)),"",IF((AND(RIGHT(G531,2)=RIGHT('112'!$M$9,2),B531&lt;'112'!$N$8,$M531='112'!$I$6)),"x",""))</f>
        <v/>
      </c>
      <c r="U531" s="51" t="str">
        <f>IF(AND(L531="154",'154'!$O$5&lt;=B531,'154'!$P$5&gt;=B531),"154",IF(AND(L531="632",'632'!$L$5&lt;=B531,'632'!$M$5&gt;=B531),"632",IF(AND(L531="642",'642'!$N$5&lt;=B531,'642'!$O$5&gt;=B531),"642",IF(AND(L531="641",'641'!$N$5&lt;=B531,'641'!$O$5&gt;=B531),"641",""))))</f>
        <v/>
      </c>
      <c r="V531" s="51" t="str">
        <f>IF(OR(TH!L531=TH!$V$7,M531=TH!$V$7),"x","")</f>
        <v/>
      </c>
      <c r="W531" s="51" t="str">
        <f>IF(AND(B531&gt;='IN-NX'!$P$3,B531&lt;='IN-NX'!$Q$3,'IN-NX'!$D$7=D531,OR(LEFT(L531,2)="15",AND(LEFT(M531,2)&lt;&gt;"15",LEFT(M531,2)&lt;&gt;"33"))),"x","")</f>
        <v/>
      </c>
      <c r="X531" s="51" t="str">
        <f>IF(AND(OR(LEFT(TH!L531,2)="15",LEFT(TH!M531,2)="15"),'152-CT'!$J$8=TH!F531),"x","")</f>
        <v/>
      </c>
      <c r="Y531" s="51" t="str">
        <f>IF(AND(OR(LEFT(TH!L531,2)="15",LEFT(TH!M531,2)="15"),TK!$E$7=TH!F531),"x","")</f>
        <v/>
      </c>
      <c r="Z531" s="51" t="str">
        <f>IF(AND(B531&lt;=NKC!$N$8,B531&gt;=NKC!$M$8),"x","")</f>
        <v>x</v>
      </c>
      <c r="AA531" s="803"/>
      <c r="AB531" s="565"/>
    </row>
    <row r="532" spans="1:31" ht="15.75" customHeight="1">
      <c r="A532" s="804" t="str">
        <f>IF(B532&lt;&gt;"",IF(AND(B532&gt;=_TM1,B532&lt;=_TM2,OR(TH!L532="1111",TH!M532="1111")),TH!D532,""),"")</f>
        <v>T32</v>
      </c>
      <c r="B532" s="36">
        <f t="shared" si="30"/>
        <v>8</v>
      </c>
      <c r="C532" s="189">
        <f t="shared" si="31"/>
        <v>42241</v>
      </c>
      <c r="D532" s="189" t="s">
        <v>1395</v>
      </c>
      <c r="E532" s="189">
        <v>42241</v>
      </c>
      <c r="F532" s="922" t="s">
        <v>1110</v>
      </c>
      <c r="G532" s="813" t="s">
        <v>1025</v>
      </c>
      <c r="H532" s="191" t="s">
        <v>975</v>
      </c>
      <c r="I532" s="243"/>
      <c r="J532" s="243"/>
      <c r="K532" s="573">
        <v>1180000</v>
      </c>
      <c r="L532" s="574" t="s">
        <v>47</v>
      </c>
      <c r="M532" s="574" t="s">
        <v>352</v>
      </c>
      <c r="N532" s="51" t="str">
        <f>IF(AND('331-CT'!$E$7=TH!H532,OR(L532="331",M532="331")),"331",IF(AND(OR(L532="131",M532="131"),H532='131-CT'!$E$7),"131",""))</f>
        <v/>
      </c>
      <c r="O532" s="51" t="str">
        <f>IF(AND($B532&gt;='111'!$N$11,$B532&lt;='111'!$O$11,OR($L532=$O$7,$M532=$O$7)),"x","")</f>
        <v/>
      </c>
      <c r="P532" s="51" t="str">
        <f>IF(AND($L532=$O$7,$B532&lt;'111'!$N$11),"x","")</f>
        <v>x</v>
      </c>
      <c r="Q532" s="51" t="str">
        <f>IF(AND($M532=$O$7,$B532&lt;'111'!$N$11),"x","")</f>
        <v/>
      </c>
      <c r="R532" s="51" t="str">
        <f>IF(ISERROR(FIND('112'!$M$9,G532,1)),"",IF((AND(FIND('112'!$M$9,G532,1)&gt;=1,$B532&gt;='112'!$N$8,$B532&lt;='112'!$O$8,OR($L532='112'!$I$6,$M532='112'!$I$6))),"x",""))</f>
        <v/>
      </c>
      <c r="S532" s="51" t="str">
        <f>IF(ISERROR(FIND('112'!$M$9,G532,1)),"",IF((AND(LEFT(G532,2)=LEFT('112'!$M$9,2),B532&lt;'112'!$N$8,$L532='112'!$I$6)),"x",""))</f>
        <v/>
      </c>
      <c r="T532" s="51" t="str">
        <f>IF(ISERROR(FIND('112'!$M$9,G532,1)),"",IF((AND(RIGHT(G532,2)=RIGHT('112'!$M$9,2),B532&lt;'112'!$N$8,$M532='112'!$I$6)),"x",""))</f>
        <v/>
      </c>
      <c r="U532" s="51" t="str">
        <f>IF(AND(L532="154",'154'!$O$5&lt;=B532,'154'!$P$5&gt;=B532),"154",IF(AND(L532="632",'632'!$L$5&lt;=B532,'632'!$M$5&gt;=B532),"632",IF(AND(L532="642",'642'!$N$5&lt;=B532,'642'!$O$5&gt;=B532),"642",IF(AND(L532="641",'641'!$N$5&lt;=B532,'641'!$O$5&gt;=B532),"641",""))))</f>
        <v/>
      </c>
      <c r="V532" s="51" t="str">
        <f>IF(OR(TH!L532=TH!$V$7,M532=TH!$V$7),"x","")</f>
        <v/>
      </c>
      <c r="W532" s="51" t="str">
        <f>IF(AND(B532&gt;='IN-NX'!$P$3,B532&lt;='IN-NX'!$Q$3,'IN-NX'!$D$7=D532,OR(LEFT(L532,2)="15",AND(LEFT(M532,2)&lt;&gt;"15",LEFT(M532,2)&lt;&gt;"33"))),"x","")</f>
        <v/>
      </c>
      <c r="X532" s="51" t="str">
        <f>IF(AND(OR(LEFT(TH!L532,2)="15",LEFT(TH!M532,2)="15"),'152-CT'!$J$8=TH!F532),"x","")</f>
        <v/>
      </c>
      <c r="Y532" s="51" t="str">
        <f>IF(AND(OR(LEFT(TH!L532,2)="15",LEFT(TH!M532,2)="15"),TK!$E$7=TH!F532),"x","")</f>
        <v/>
      </c>
      <c r="Z532" s="51" t="str">
        <f>IF(AND(B532&lt;=NKC!$N$8,B532&gt;=NKC!$M$8),"x","")</f>
        <v>x</v>
      </c>
      <c r="AA532" s="803"/>
      <c r="AB532" s="565"/>
    </row>
    <row r="533" spans="1:31" ht="15.75" customHeight="1">
      <c r="A533" s="804" t="str">
        <f>IF(B533&lt;&gt;"",IF(AND(B533&gt;=_TM1,B533&lt;=_TM2,OR(TH!L533="1111",TH!M533="1111")),TH!D533,""),"")</f>
        <v>T33</v>
      </c>
      <c r="B533" s="36">
        <f t="shared" si="30"/>
        <v>8</v>
      </c>
      <c r="C533" s="189">
        <f t="shared" si="31"/>
        <v>42242</v>
      </c>
      <c r="D533" s="189" t="s">
        <v>1396</v>
      </c>
      <c r="E533" s="182">
        <v>42242</v>
      </c>
      <c r="F533" s="187" t="s">
        <v>427</v>
      </c>
      <c r="G533" s="811" t="s">
        <v>415</v>
      </c>
      <c r="H533" s="7" t="s">
        <v>437</v>
      </c>
      <c r="I533" s="243"/>
      <c r="J533" s="243"/>
      <c r="K533" s="573">
        <v>7000000</v>
      </c>
      <c r="L533" s="192" t="s">
        <v>47</v>
      </c>
      <c r="M533" s="192" t="s">
        <v>24</v>
      </c>
      <c r="N533" s="51" t="str">
        <f>IF(AND('331-CT'!$E$7=TH!H533,OR(L533="331",M533="331")),"331",IF(AND(OR(L533="131",M533="131"),H533='131-CT'!$E$7),"131",""))</f>
        <v/>
      </c>
      <c r="O533" s="51" t="str">
        <f>IF(AND($B533&gt;='111'!$N$11,$B533&lt;='111'!$O$11,OR($L533=$O$7,$M533=$O$7)),"x","")</f>
        <v/>
      </c>
      <c r="P533" s="51" t="str">
        <f>IF(AND($L533=$O$7,$B533&lt;'111'!$N$11),"x","")</f>
        <v>x</v>
      </c>
      <c r="Q533" s="51" t="str">
        <f>IF(AND($M533=$O$7,$B533&lt;'111'!$N$11),"x","")</f>
        <v/>
      </c>
      <c r="R533" s="51" t="str">
        <f>IF(ISERROR(FIND('112'!$M$9,G533,1)),"",IF((AND(FIND('112'!$M$9,G533,1)&gt;=1,$B533&gt;='112'!$N$8,$B533&lt;='112'!$O$8,OR($L533='112'!$I$6,$M533='112'!$I$6))),"x",""))</f>
        <v/>
      </c>
      <c r="S533" s="51" t="str">
        <f>IF(ISERROR(FIND('112'!$M$9,G533,1)),"",IF((AND(LEFT(G533,2)=LEFT('112'!$M$9,2),B533&lt;'112'!$N$8,$L533='112'!$I$6)),"x",""))</f>
        <v/>
      </c>
      <c r="T533" s="51" t="str">
        <f>IF(ISERROR(FIND('112'!$M$9,G533,1)),"",IF((AND(RIGHT(G533,2)=RIGHT('112'!$M$9,2),B533&lt;'112'!$N$8,$M533='112'!$I$6)),"x",""))</f>
        <v/>
      </c>
      <c r="U533" s="51" t="str">
        <f>IF(AND(L533="154",'154'!$O$5&lt;=B533,'154'!$P$5&gt;=B533),"154",IF(AND(L533="632",'632'!$L$5&lt;=B533,'632'!$M$5&gt;=B533),"632",IF(AND(L533="642",'642'!$N$5&lt;=B533,'642'!$O$5&gt;=B533),"642",IF(AND(L533="641",'641'!$N$5&lt;=B533,'641'!$O$5&gt;=B533),"641",""))))</f>
        <v/>
      </c>
      <c r="V533" s="51" t="str">
        <f>IF(OR(TH!L533=TH!$V$7,M533=TH!$V$7),"x","")</f>
        <v/>
      </c>
      <c r="W533" s="51" t="str">
        <f>IF(AND(B533&gt;='IN-NX'!$P$3,B533&lt;='IN-NX'!$Q$3,'IN-NX'!$D$7=D533,OR(LEFT(L533,2)="15",AND(LEFT(M533,2)&lt;&gt;"15",LEFT(M533,2)&lt;&gt;"33"))),"x","")</f>
        <v/>
      </c>
      <c r="X533" s="51" t="str">
        <f>IF(AND(OR(LEFT(TH!L533,2)="15",LEFT(TH!M533,2)="15"),'152-CT'!$J$8=TH!F533),"x","")</f>
        <v/>
      </c>
      <c r="Y533" s="51" t="str">
        <f>IF(AND(OR(LEFT(TH!L533,2)="15",LEFT(TH!M533,2)="15"),TK!$E$7=TH!F533),"x","")</f>
        <v/>
      </c>
      <c r="Z533" s="51" t="str">
        <f>IF(AND(B533&lt;=NKC!$N$8,B533&gt;=NKC!$M$8),"x","")</f>
        <v>x</v>
      </c>
      <c r="AA533" s="803"/>
      <c r="AB533" s="565"/>
      <c r="AC533" s="565"/>
      <c r="AD533" s="565"/>
      <c r="AE533" s="565"/>
    </row>
    <row r="534" spans="1:31" ht="15.75" customHeight="1">
      <c r="A534" s="804" t="str">
        <f>IF(B534&lt;&gt;"",IF(AND(B534&gt;=_TM1,B534&lt;=_TM2,OR(TH!L534="1111",TH!M534="1111")),TH!D534,""),"")</f>
        <v>T34</v>
      </c>
      <c r="B534" s="36">
        <f t="shared" si="30"/>
        <v>8</v>
      </c>
      <c r="C534" s="189">
        <f t="shared" si="31"/>
        <v>42244</v>
      </c>
      <c r="D534" s="189" t="s">
        <v>1397</v>
      </c>
      <c r="E534" s="182">
        <v>42244</v>
      </c>
      <c r="F534" s="187" t="s">
        <v>427</v>
      </c>
      <c r="G534" s="811" t="s">
        <v>415</v>
      </c>
      <c r="H534" s="7" t="s">
        <v>437</v>
      </c>
      <c r="I534" s="243"/>
      <c r="J534" s="243"/>
      <c r="K534" s="573">
        <v>11200000</v>
      </c>
      <c r="L534" s="192" t="s">
        <v>47</v>
      </c>
      <c r="M534" s="192" t="s">
        <v>24</v>
      </c>
      <c r="N534" s="51" t="str">
        <f>IF(AND('331-CT'!$E$7=TH!H534,OR(L534="331",M534="331")),"331",IF(AND(OR(L534="131",M534="131"),H534='131-CT'!$E$7),"131",""))</f>
        <v/>
      </c>
      <c r="O534" s="51" t="str">
        <f>IF(AND($B534&gt;='111'!$N$11,$B534&lt;='111'!$O$11,OR($L534=$O$7,$M534=$O$7)),"x","")</f>
        <v/>
      </c>
      <c r="P534" s="51" t="str">
        <f>IF(AND($L534=$O$7,$B534&lt;'111'!$N$11),"x","")</f>
        <v>x</v>
      </c>
      <c r="Q534" s="51" t="str">
        <f>IF(AND($M534=$O$7,$B534&lt;'111'!$N$11),"x","")</f>
        <v/>
      </c>
      <c r="R534" s="51" t="str">
        <f>IF(ISERROR(FIND('112'!$M$9,G534,1)),"",IF((AND(FIND('112'!$M$9,G534,1)&gt;=1,$B534&gt;='112'!$N$8,$B534&lt;='112'!$O$8,OR($L534='112'!$I$6,$M534='112'!$I$6))),"x",""))</f>
        <v/>
      </c>
      <c r="S534" s="51" t="str">
        <f>IF(ISERROR(FIND('112'!$M$9,G534,1)),"",IF((AND(LEFT(G534,2)=LEFT('112'!$M$9,2),B534&lt;'112'!$N$8,$L534='112'!$I$6)),"x",""))</f>
        <v/>
      </c>
      <c r="T534" s="51" t="str">
        <f>IF(ISERROR(FIND('112'!$M$9,G534,1)),"",IF((AND(RIGHT(G534,2)=RIGHT('112'!$M$9,2),B534&lt;'112'!$N$8,$M534='112'!$I$6)),"x",""))</f>
        <v/>
      </c>
      <c r="U534" s="51" t="str">
        <f>IF(AND(L534="154",'154'!$O$5&lt;=B534,'154'!$P$5&gt;=B534),"154",IF(AND(L534="632",'632'!$L$5&lt;=B534,'632'!$M$5&gt;=B534),"632",IF(AND(L534="642",'642'!$N$5&lt;=B534,'642'!$O$5&gt;=B534),"642",IF(AND(L534="641",'641'!$N$5&lt;=B534,'641'!$O$5&gt;=B534),"641",""))))</f>
        <v/>
      </c>
      <c r="V534" s="51" t="str">
        <f>IF(OR(TH!L534=TH!$V$7,M534=TH!$V$7),"x","")</f>
        <v/>
      </c>
      <c r="W534" s="51" t="str">
        <f>IF(AND(B534&gt;='IN-NX'!$P$3,B534&lt;='IN-NX'!$Q$3,'IN-NX'!$D$7=D534,OR(LEFT(L534,2)="15",AND(LEFT(M534,2)&lt;&gt;"15",LEFT(M534,2)&lt;&gt;"33"))),"x","")</f>
        <v/>
      </c>
      <c r="X534" s="51" t="str">
        <f>IF(AND(OR(LEFT(TH!L534,2)="15",LEFT(TH!M534,2)="15"),'152-CT'!$J$8=TH!F534),"x","")</f>
        <v/>
      </c>
      <c r="Y534" s="51" t="str">
        <f>IF(AND(OR(LEFT(TH!L534,2)="15",LEFT(TH!M534,2)="15"),TK!$E$7=TH!F534),"x","")</f>
        <v/>
      </c>
      <c r="Z534" s="51" t="str">
        <f>IF(AND(B534&lt;=NKC!$N$8,B534&gt;=NKC!$M$8),"x","")</f>
        <v>x</v>
      </c>
      <c r="AA534" s="803"/>
      <c r="AB534" s="565"/>
      <c r="AC534" s="565"/>
      <c r="AD534" s="565"/>
      <c r="AE534" s="565"/>
    </row>
    <row r="535" spans="1:31" ht="15.75" customHeight="1">
      <c r="A535" s="804" t="str">
        <f>IF(B535&lt;&gt;"",IF(AND(B535&gt;=_TM1,B535&lt;=_TM2,OR(TH!L535="1111",TH!M535="1111")),TH!D535,""),"")</f>
        <v>C16</v>
      </c>
      <c r="B535" s="36">
        <f t="shared" si="30"/>
        <v>8</v>
      </c>
      <c r="C535" s="189">
        <f t="shared" si="31"/>
        <v>42247</v>
      </c>
      <c r="D535" s="189" t="s">
        <v>1367</v>
      </c>
      <c r="E535" s="182">
        <v>42247</v>
      </c>
      <c r="F535" s="187" t="s">
        <v>433</v>
      </c>
      <c r="G535" s="811" t="s">
        <v>415</v>
      </c>
      <c r="H535" s="7" t="s">
        <v>437</v>
      </c>
      <c r="I535" s="243"/>
      <c r="J535" s="243"/>
      <c r="K535" s="38">
        <v>9000000</v>
      </c>
      <c r="L535" s="192" t="s">
        <v>24</v>
      </c>
      <c r="M535" s="192" t="s">
        <v>47</v>
      </c>
      <c r="N535" s="51" t="str">
        <f>IF(AND('331-CT'!$E$7=TH!H535,OR(L535="331",M535="331")),"331",IF(AND(OR(L535="131",M535="131"),H535='131-CT'!$E$7),"131",""))</f>
        <v/>
      </c>
      <c r="O535" s="51" t="str">
        <f>IF(AND($B535&gt;='111'!$N$11,$B535&lt;='111'!$O$11,OR($L535=$O$7,$M535=$O$7)),"x","")</f>
        <v/>
      </c>
      <c r="P535" s="51" t="str">
        <f>IF(AND($L535=$O$7,$B535&lt;'111'!$N$11),"x","")</f>
        <v/>
      </c>
      <c r="Q535" s="51" t="str">
        <f>IF(AND($M535=$O$7,$B535&lt;'111'!$N$11),"x","")</f>
        <v>x</v>
      </c>
      <c r="R535" s="51" t="str">
        <f>IF(ISERROR(FIND('112'!$M$9,G535,1)),"",IF((AND(FIND('112'!$M$9,G535,1)&gt;=1,$B535&gt;='112'!$N$8,$B535&lt;='112'!$O$8,OR($L535='112'!$I$6,$M535='112'!$I$6))),"x",""))</f>
        <v/>
      </c>
      <c r="S535" s="51" t="str">
        <f>IF(ISERROR(FIND('112'!$M$9,G535,1)),"",IF((AND(LEFT(G535,2)=LEFT('112'!$M$9,2),B535&lt;'112'!$N$8,$L535='112'!$I$6)),"x",""))</f>
        <v/>
      </c>
      <c r="T535" s="51" t="str">
        <f>IF(ISERROR(FIND('112'!$M$9,G535,1)),"",IF((AND(RIGHT(G535,2)=RIGHT('112'!$M$9,2),B535&lt;'112'!$N$8,$M535='112'!$I$6)),"x",""))</f>
        <v/>
      </c>
      <c r="U535" s="51" t="str">
        <f>IF(AND(L535="154",'154'!$O$5&lt;=B535,'154'!$P$5&gt;=B535),"154",IF(AND(L535="632",'632'!$L$5&lt;=B535,'632'!$M$5&gt;=B535),"632",IF(AND(L535="642",'642'!$N$5&lt;=B535,'642'!$O$5&gt;=B535),"642",IF(AND(L535="641",'641'!$N$5&lt;=B535,'641'!$O$5&gt;=B535),"641",""))))</f>
        <v/>
      </c>
      <c r="V535" s="51" t="str">
        <f>IF(OR(TH!L535=TH!$V$7,M535=TH!$V$7),"x","")</f>
        <v/>
      </c>
      <c r="W535" s="51" t="str">
        <f>IF(AND(B535&gt;='IN-NX'!$P$3,B535&lt;='IN-NX'!$Q$3,'IN-NX'!$D$7=D535,OR(LEFT(L535,2)="15",AND(LEFT(M535,2)&lt;&gt;"15",LEFT(M535,2)&lt;&gt;"33"))),"x","")</f>
        <v/>
      </c>
      <c r="X535" s="51" t="str">
        <f>IF(AND(OR(LEFT(TH!L535,2)="15",LEFT(TH!M535,2)="15"),'152-CT'!$J$8=TH!F535),"x","")</f>
        <v/>
      </c>
      <c r="Y535" s="51" t="str">
        <f>IF(AND(OR(LEFT(TH!L535,2)="15",LEFT(TH!M535,2)="15"),TK!$E$7=TH!F535),"x","")</f>
        <v/>
      </c>
      <c r="Z535" s="51" t="str">
        <f>IF(AND(B535&lt;=NKC!$N$8,B535&gt;=NKC!$M$8),"x","")</f>
        <v>x</v>
      </c>
      <c r="AA535" s="803"/>
      <c r="AB535" s="565"/>
      <c r="AE535" s="565"/>
    </row>
    <row r="536" spans="1:31" ht="15.75" customHeight="1">
      <c r="A536" s="804" t="str">
        <f>IF(B536&lt;&gt;"",IF(AND(B536&gt;=_TM1,B536&lt;=_TM2,OR(TH!L536="1111",TH!M536="1111")),TH!D536,""),"")</f>
        <v/>
      </c>
      <c r="B536" s="36">
        <f t="shared" si="30"/>
        <v>8</v>
      </c>
      <c r="C536" s="853">
        <f t="shared" si="31"/>
        <v>42247</v>
      </c>
      <c r="D536" s="853" t="s">
        <v>319</v>
      </c>
      <c r="E536" s="853">
        <v>42247</v>
      </c>
      <c r="F536" s="854" t="s">
        <v>1262</v>
      </c>
      <c r="G536" s="855"/>
      <c r="H536" s="856"/>
      <c r="I536" s="857"/>
      <c r="J536" s="857"/>
      <c r="K536" s="858">
        <v>11680000</v>
      </c>
      <c r="L536" s="859" t="s">
        <v>83</v>
      </c>
      <c r="M536" s="859" t="s">
        <v>252</v>
      </c>
      <c r="N536" s="51" t="str">
        <f>IF(AND('331-CT'!$E$7=TH!H536,OR(L536="331",M536="331")),"331",IF(AND(OR(L536="131",M536="131"),H536='131-CT'!$E$7),"131",""))</f>
        <v/>
      </c>
      <c r="O536" s="51" t="str">
        <f>IF(AND($B536&gt;='111'!$N$11,$B536&lt;='111'!$O$11,OR($L536=$O$7,$M536=$O$7)),"x","")</f>
        <v/>
      </c>
      <c r="P536" s="51" t="str">
        <f>IF(AND($L536=$O$7,$B536&lt;'111'!$N$11),"x","")</f>
        <v/>
      </c>
      <c r="Q536" s="51" t="str">
        <f>IF(AND($M536=$O$7,$B536&lt;'111'!$N$11),"x","")</f>
        <v/>
      </c>
      <c r="R536" s="51" t="str">
        <f>IF(ISERROR(FIND('112'!$M$9,G536,1)),"",IF((AND(FIND('112'!$M$9,G536,1)&gt;=1,$B536&gt;='112'!$N$8,$B536&lt;='112'!$O$8,OR($L536='112'!$I$6,$M536='112'!$I$6))),"x",""))</f>
        <v/>
      </c>
      <c r="S536" s="51" t="str">
        <f>IF(ISERROR(FIND('112'!$M$9,G536,1)),"",IF((AND(LEFT(G536,2)=LEFT('112'!$M$9,2),B536&lt;'112'!$N$8,$L536='112'!$I$6)),"x",""))</f>
        <v/>
      </c>
      <c r="T536" s="51" t="str">
        <f>IF(ISERROR(FIND('112'!$M$9,G536,1)),"",IF((AND(RIGHT(G536,2)=RIGHT('112'!$M$9,2),B536&lt;'112'!$N$8,$M536='112'!$I$6)),"x",""))</f>
        <v/>
      </c>
      <c r="U536" s="51" t="str">
        <f>IF(AND(L536="154",'154'!$O$5&lt;=B536,'154'!$P$5&gt;=B536),"154",IF(AND(L536="632",'632'!$L$5&lt;=B536,'632'!$M$5&gt;=B536),"632",IF(AND(L536="642",'642'!$N$5&lt;=B536,'642'!$O$5&gt;=B536),"642",IF(AND(L536="641",'641'!$N$5&lt;=B536,'641'!$O$5&gt;=B536),"641",""))))</f>
        <v/>
      </c>
      <c r="V536" s="51" t="str">
        <f>IF(OR(TH!L536=TH!$V$7,M536=TH!$V$7),"x","")</f>
        <v>x</v>
      </c>
      <c r="W536" s="51" t="str">
        <f>IF(AND(B536&gt;='IN-NX'!$P$3,B536&lt;='IN-NX'!$Q$3,'IN-NX'!$D$7=D536,OR(LEFT(L536,2)="15",AND(LEFT(M536,2)&lt;&gt;"15",LEFT(M536,2)&lt;&gt;"33"))),"x","")</f>
        <v/>
      </c>
      <c r="X536" s="51" t="str">
        <f>IF(AND(OR(LEFT(TH!L536,2)="15",LEFT(TH!M536,2)="15"),'152-CT'!$J$8=TH!F536),"x","")</f>
        <v/>
      </c>
      <c r="Y536" s="51" t="str">
        <f>IF(AND(OR(LEFT(TH!L536,2)="15",LEFT(TH!M536,2)="15"),TK!$E$7=TH!F536),"x","")</f>
        <v/>
      </c>
      <c r="Z536" s="51" t="str">
        <f>IF(AND(B536&lt;=NKC!$N$8,B536&gt;=NKC!$M$8),"x","")</f>
        <v>x</v>
      </c>
      <c r="AA536" s="860"/>
      <c r="AB536" s="565"/>
      <c r="AE536" s="565"/>
    </row>
    <row r="537" spans="1:31" s="828" customFormat="1" ht="15.75" customHeight="1">
      <c r="A537" s="804" t="str">
        <f>IF(B537&lt;&gt;"",IF(AND(B537&gt;=_TM1,B537&lt;=_TM2,OR(TH!L537="1111",TH!M537="1111")),TH!D537,""),"")</f>
        <v/>
      </c>
      <c r="B537" s="36">
        <f t="shared" si="30"/>
        <v>8</v>
      </c>
      <c r="C537" s="853">
        <f t="shared" si="31"/>
        <v>42247</v>
      </c>
      <c r="D537" s="853" t="s">
        <v>319</v>
      </c>
      <c r="E537" s="853">
        <v>42247</v>
      </c>
      <c r="F537" s="854" t="s">
        <v>1263</v>
      </c>
      <c r="G537" s="855"/>
      <c r="H537" s="856"/>
      <c r="I537" s="857"/>
      <c r="J537" s="857"/>
      <c r="K537" s="858">
        <v>3020000</v>
      </c>
      <c r="L537" s="859" t="s">
        <v>160</v>
      </c>
      <c r="M537" s="859" t="s">
        <v>252</v>
      </c>
      <c r="N537" s="51" t="str">
        <f>IF(AND('331-CT'!$E$7=TH!H537,OR(L537="331",M537="331")),"331",IF(AND(OR(L537="131",M537="131"),H537='131-CT'!$E$7),"131",""))</f>
        <v/>
      </c>
      <c r="O537" s="51" t="str">
        <f>IF(AND($B537&gt;='111'!$N$11,$B537&lt;='111'!$O$11,OR($L537=$O$7,$M537=$O$7)),"x","")</f>
        <v/>
      </c>
      <c r="P537" s="51" t="str">
        <f>IF(AND($L537=$O$7,$B537&lt;'111'!$N$11),"x","")</f>
        <v/>
      </c>
      <c r="Q537" s="51" t="str">
        <f>IF(AND($M537=$O$7,$B537&lt;'111'!$N$11),"x","")</f>
        <v/>
      </c>
      <c r="R537" s="51" t="str">
        <f>IF(ISERROR(FIND('112'!$M$9,G537,1)),"",IF((AND(FIND('112'!$M$9,G537,1)&gt;=1,$B537&gt;='112'!$N$8,$B537&lt;='112'!$O$8,OR($L537='112'!$I$6,$M537='112'!$I$6))),"x",""))</f>
        <v/>
      </c>
      <c r="S537" s="51" t="str">
        <f>IF(ISERROR(FIND('112'!$M$9,G537,1)),"",IF((AND(LEFT(G537,2)=LEFT('112'!$M$9,2),B537&lt;'112'!$N$8,$L537='112'!$I$6)),"x",""))</f>
        <v/>
      </c>
      <c r="T537" s="51" t="str">
        <f>IF(ISERROR(FIND('112'!$M$9,G537,1)),"",IF((AND(RIGHT(G537,2)=RIGHT('112'!$M$9,2),B537&lt;'112'!$N$8,$M537='112'!$I$6)),"x",""))</f>
        <v/>
      </c>
      <c r="U537" s="51" t="str">
        <f>IF(AND(L537="154",'154'!$O$5&lt;=B537,'154'!$P$5&gt;=B537),"154",IF(AND(L537="632",'632'!$L$5&lt;=B537,'632'!$M$5&gt;=B537),"632",IF(AND(L537="642",'642'!$N$5&lt;=B537,'642'!$O$5&gt;=B537),"642",IF(AND(L537="641",'641'!$N$5&lt;=B537,'641'!$O$5&gt;=B537),"641",""))))</f>
        <v/>
      </c>
      <c r="V537" s="51" t="str">
        <f>IF(OR(TH!L537=TH!$V$7,M537=TH!$V$7),"x","")</f>
        <v/>
      </c>
      <c r="W537" s="51" t="str">
        <f>IF(AND(B537&gt;='IN-NX'!$P$3,B537&lt;='IN-NX'!$Q$3,'IN-NX'!$D$7=D537,OR(LEFT(L537,2)="15",AND(LEFT(M537,2)&lt;&gt;"15",LEFT(M537,2)&lt;&gt;"33"))),"x","")</f>
        <v/>
      </c>
      <c r="X537" s="51" t="str">
        <f>IF(AND(OR(LEFT(TH!L537,2)="15",LEFT(TH!M537,2)="15"),'152-CT'!$J$8=TH!F537),"x","")</f>
        <v/>
      </c>
      <c r="Y537" s="51" t="str">
        <f>IF(AND(OR(LEFT(TH!L537,2)="15",LEFT(TH!M537,2)="15"),TK!$E$7=TH!F537),"x","")</f>
        <v/>
      </c>
      <c r="Z537" s="51" t="str">
        <f>IF(AND(B537&lt;=NKC!$N$8,B537&gt;=NKC!$M$8),"x","")</f>
        <v>x</v>
      </c>
      <c r="AA537" s="860"/>
      <c r="AB537" s="565"/>
      <c r="AC537" s="203"/>
      <c r="AD537" s="203"/>
      <c r="AE537" s="565"/>
    </row>
    <row r="538" spans="1:31" ht="15.75" customHeight="1">
      <c r="A538" s="804" t="str">
        <f>IF(B538&lt;&gt;"",IF(AND(B538&gt;=_TM1,B538&lt;=_TM2,OR(TH!L538="1111",TH!M538="1111")),TH!D538,""),"")</f>
        <v>C17</v>
      </c>
      <c r="B538" s="36">
        <f t="shared" ref="B538:B601" si="35">IF(C538&lt;&gt;"",MONTH(C538),"")</f>
        <v>8</v>
      </c>
      <c r="C538" s="853">
        <f t="shared" ref="C538:C601" si="36">E538</f>
        <v>42247</v>
      </c>
      <c r="D538" s="861" t="s">
        <v>1373</v>
      </c>
      <c r="E538" s="853">
        <v>42247</v>
      </c>
      <c r="F538" s="854" t="s">
        <v>1270</v>
      </c>
      <c r="G538" s="855"/>
      <c r="H538" s="7" t="s">
        <v>437</v>
      </c>
      <c r="I538" s="857"/>
      <c r="J538" s="857"/>
      <c r="K538" s="858">
        <f>K536+K537</f>
        <v>14700000</v>
      </c>
      <c r="L538" s="859" t="s">
        <v>252</v>
      </c>
      <c r="M538" s="859" t="s">
        <v>47</v>
      </c>
      <c r="N538" s="51" t="str">
        <f>IF(AND('331-CT'!$E$7=TH!H538,OR(L538="331",M538="331")),"331",IF(AND(OR(L538="131",M538="131"),H538='131-CT'!$E$7),"131",""))</f>
        <v/>
      </c>
      <c r="O538" s="51" t="str">
        <f>IF(AND($B538&gt;='111'!$N$11,$B538&lt;='111'!$O$11,OR($L538=$O$7,$M538=$O$7)),"x","")</f>
        <v/>
      </c>
      <c r="P538" s="51" t="str">
        <f>IF(AND($L538=$O$7,$B538&lt;'111'!$N$11),"x","")</f>
        <v/>
      </c>
      <c r="Q538" s="51" t="str">
        <f>IF(AND($M538=$O$7,$B538&lt;'111'!$N$11),"x","")</f>
        <v>x</v>
      </c>
      <c r="R538" s="51" t="str">
        <f>IF(ISERROR(FIND('112'!$M$9,G538,1)),"",IF((AND(FIND('112'!$M$9,G538,1)&gt;=1,$B538&gt;='112'!$N$8,$B538&lt;='112'!$O$8,OR($L538='112'!$I$6,$M538='112'!$I$6))),"x",""))</f>
        <v/>
      </c>
      <c r="S538" s="51" t="str">
        <f>IF(ISERROR(FIND('112'!$M$9,G538,1)),"",IF((AND(LEFT(G538,2)=LEFT('112'!$M$9,2),B538&lt;'112'!$N$8,$L538='112'!$I$6)),"x",""))</f>
        <v/>
      </c>
      <c r="T538" s="51" t="str">
        <f>IF(ISERROR(FIND('112'!$M$9,G538,1)),"",IF((AND(RIGHT(G538,2)=RIGHT('112'!$M$9,2),B538&lt;'112'!$N$8,$M538='112'!$I$6)),"x",""))</f>
        <v/>
      </c>
      <c r="U538" s="51" t="str">
        <f>IF(AND(L538="154",'154'!$O$5&lt;=B538,'154'!$P$5&gt;=B538),"154",IF(AND(L538="632",'632'!$L$5&lt;=B538,'632'!$M$5&gt;=B538),"632",IF(AND(L538="642",'642'!$N$5&lt;=B538,'642'!$O$5&gt;=B538),"642",IF(AND(L538="641",'641'!$N$5&lt;=B538,'641'!$O$5&gt;=B538),"641",""))))</f>
        <v/>
      </c>
      <c r="V538" s="51" t="str">
        <f>IF(OR(TH!L538=TH!$V$7,M538=TH!$V$7),"x","")</f>
        <v/>
      </c>
      <c r="W538" s="51" t="str">
        <f>IF(AND(B538&gt;='IN-NX'!$P$3,B538&lt;='IN-NX'!$Q$3,'IN-NX'!$D$7=D538,OR(LEFT(L538,2)="15",AND(LEFT(M538,2)&lt;&gt;"15",LEFT(M538,2)&lt;&gt;"33"))),"x","")</f>
        <v/>
      </c>
      <c r="X538" s="51" t="str">
        <f>IF(AND(OR(LEFT(TH!L538,2)="15",LEFT(TH!M538,2)="15"),'152-CT'!$J$8=TH!F538),"x","")</f>
        <v/>
      </c>
      <c r="Y538" s="51" t="str">
        <f>IF(AND(OR(LEFT(TH!L538,2)="15",LEFT(TH!M538,2)="15"),TK!$E$7=TH!F538),"x","")</f>
        <v/>
      </c>
      <c r="Z538" s="51" t="str">
        <f>IF(AND(B538&lt;=NKC!$N$8,B538&gt;=NKC!$M$8),"x","")</f>
        <v>x</v>
      </c>
      <c r="AA538" s="860"/>
      <c r="AB538" s="565"/>
      <c r="AE538" s="565"/>
    </row>
    <row r="539" spans="1:31" ht="15.75" customHeight="1">
      <c r="A539" s="804" t="str">
        <f>IF(B539&lt;&gt;"",IF(AND(B539&gt;=_TM1,B539&lt;=_TM2,OR(TH!L539="1111",TH!M539="1111")),TH!D539,""),"")</f>
        <v>C18</v>
      </c>
      <c r="B539" s="36">
        <f t="shared" si="35"/>
        <v>8</v>
      </c>
      <c r="C539" s="189">
        <f t="shared" si="36"/>
        <v>42247</v>
      </c>
      <c r="D539" s="189" t="s">
        <v>1374</v>
      </c>
      <c r="E539" s="189">
        <v>42247</v>
      </c>
      <c r="F539" s="926" t="s">
        <v>451</v>
      </c>
      <c r="G539" s="813" t="s">
        <v>618</v>
      </c>
      <c r="H539" s="191" t="s">
        <v>523</v>
      </c>
      <c r="I539" s="243"/>
      <c r="J539" s="243"/>
      <c r="K539" s="573">
        <f>174096+212856+399528</f>
        <v>786480</v>
      </c>
      <c r="L539" s="574" t="s">
        <v>83</v>
      </c>
      <c r="M539" s="574" t="s">
        <v>47</v>
      </c>
      <c r="N539" s="51" t="str">
        <f>IF(AND('331-CT'!$E$7=TH!H539,OR(L539="331",M539="331")),"331",IF(AND(OR(L539="131",M539="131"),H539='131-CT'!$E$7),"131",""))</f>
        <v/>
      </c>
      <c r="O539" s="51" t="str">
        <f>IF(AND($B539&gt;='111'!$N$11,$B539&lt;='111'!$O$11,OR($L539=$O$7,$M539=$O$7)),"x","")</f>
        <v/>
      </c>
      <c r="P539" s="51" t="str">
        <f>IF(AND($L539=$O$7,$B539&lt;'111'!$N$11),"x","")</f>
        <v/>
      </c>
      <c r="Q539" s="51" t="str">
        <f>IF(AND($M539=$O$7,$B539&lt;'111'!$N$11),"x","")</f>
        <v>x</v>
      </c>
      <c r="R539" s="51" t="str">
        <f>IF(ISERROR(FIND('112'!$M$9,G539,1)),"",IF((AND(FIND('112'!$M$9,G539,1)&gt;=1,$B539&gt;='112'!$N$8,$B539&lt;='112'!$O$8,OR($L539='112'!$I$6,$M539='112'!$I$6))),"x",""))</f>
        <v/>
      </c>
      <c r="S539" s="51" t="str">
        <f>IF(ISERROR(FIND('112'!$M$9,G539,1)),"",IF((AND(LEFT(G539,2)=LEFT('112'!$M$9,2),B539&lt;'112'!$N$8,$L539='112'!$I$6)),"x",""))</f>
        <v/>
      </c>
      <c r="T539" s="51" t="str">
        <f>IF(ISERROR(FIND('112'!$M$9,G539,1)),"",IF((AND(RIGHT(G539,2)=RIGHT('112'!$M$9,2),B539&lt;'112'!$N$8,$M539='112'!$I$6)),"x",""))</f>
        <v/>
      </c>
      <c r="U539" s="51" t="str">
        <f>IF(AND(L539="154",'154'!$O$5&lt;=B539,'154'!$P$5&gt;=B539),"154",IF(AND(L539="632",'632'!$L$5&lt;=B539,'632'!$M$5&gt;=B539),"632",IF(AND(L539="642",'642'!$N$5&lt;=B539,'642'!$O$5&gt;=B539),"642",IF(AND(L539="641",'641'!$N$5&lt;=B539,'641'!$O$5&gt;=B539),"641",""))))</f>
        <v/>
      </c>
      <c r="V539" s="51" t="str">
        <f>IF(OR(TH!L539=TH!$V$7,M539=TH!$V$7),"x","")</f>
        <v>x</v>
      </c>
      <c r="W539" s="51" t="str">
        <f>IF(AND(B539&gt;='IN-NX'!$P$3,B539&lt;='IN-NX'!$Q$3,'IN-NX'!$D$7=D539,OR(LEFT(L539,2)="15",AND(LEFT(M539,2)&lt;&gt;"15",LEFT(M539,2)&lt;&gt;"33"))),"x","")</f>
        <v/>
      </c>
      <c r="X539" s="51" t="str">
        <f>IF(AND(OR(LEFT(TH!L539,2)="15",LEFT(TH!M539,2)="15"),'152-CT'!$J$8=TH!F539),"x","")</f>
        <v/>
      </c>
      <c r="Y539" s="51" t="str">
        <f>IF(AND(OR(LEFT(TH!L539,2)="15",LEFT(TH!M539,2)="15"),TK!$E$7=TH!F539),"x","")</f>
        <v/>
      </c>
      <c r="Z539" s="51" t="str">
        <f>IF(AND(B539&lt;=NKC!$N$8,B539&gt;=NKC!$M$8),"x","")</f>
        <v>x</v>
      </c>
      <c r="AA539" s="803"/>
      <c r="AB539" s="565"/>
    </row>
    <row r="540" spans="1:31" ht="15.75" customHeight="1">
      <c r="A540" s="804" t="str">
        <f>IF(B540&lt;&gt;"",IF(AND(B540&gt;=_TM1,B540&lt;=_TM2,OR(TH!L540="1111",TH!M540="1111")),TH!D540,""),"")</f>
        <v>C18</v>
      </c>
      <c r="B540" s="36">
        <f t="shared" si="35"/>
        <v>8</v>
      </c>
      <c r="C540" s="189">
        <f t="shared" si="36"/>
        <v>42247</v>
      </c>
      <c r="D540" s="189" t="s">
        <v>1374</v>
      </c>
      <c r="E540" s="189">
        <v>42247</v>
      </c>
      <c r="F540" s="926" t="s">
        <v>453</v>
      </c>
      <c r="G540" s="813" t="s">
        <v>618</v>
      </c>
      <c r="H540" s="191" t="s">
        <v>523</v>
      </c>
      <c r="I540" s="243"/>
      <c r="J540" s="243"/>
      <c r="K540" s="573">
        <f>17410+21286+39953</f>
        <v>78649</v>
      </c>
      <c r="L540" s="574" t="s">
        <v>9</v>
      </c>
      <c r="M540" s="574" t="s">
        <v>47</v>
      </c>
      <c r="N540" s="51" t="str">
        <f>IF(AND('331-CT'!$E$7=TH!H540,OR(L540="331",M540="331")),"331",IF(AND(OR(L540="131",M540="131"),H540='131-CT'!$E$7),"131",""))</f>
        <v/>
      </c>
      <c r="O540" s="51" t="str">
        <f>IF(AND($B540&gt;='111'!$N$11,$B540&lt;='111'!$O$11,OR($L540=$O$7,$M540=$O$7)),"x","")</f>
        <v/>
      </c>
      <c r="P540" s="51" t="str">
        <f>IF(AND($L540=$O$7,$B540&lt;'111'!$N$11),"x","")</f>
        <v/>
      </c>
      <c r="Q540" s="51" t="str">
        <f>IF(AND($M540=$O$7,$B540&lt;'111'!$N$11),"x","")</f>
        <v>x</v>
      </c>
      <c r="R540" s="51" t="str">
        <f>IF(ISERROR(FIND('112'!$M$9,G540,1)),"",IF((AND(FIND('112'!$M$9,G540,1)&gt;=1,$B540&gt;='112'!$N$8,$B540&lt;='112'!$O$8,OR($L540='112'!$I$6,$M540='112'!$I$6))),"x",""))</f>
        <v/>
      </c>
      <c r="S540" s="51" t="str">
        <f>IF(ISERROR(FIND('112'!$M$9,G540,1)),"",IF((AND(LEFT(G540,2)=LEFT('112'!$M$9,2),B540&lt;'112'!$N$8,$L540='112'!$I$6)),"x",""))</f>
        <v/>
      </c>
      <c r="T540" s="51" t="str">
        <f>IF(ISERROR(FIND('112'!$M$9,G540,1)),"",IF((AND(RIGHT(G540,2)=RIGHT('112'!$M$9,2),B540&lt;'112'!$N$8,$M540='112'!$I$6)),"x",""))</f>
        <v/>
      </c>
      <c r="U540" s="51" t="str">
        <f>IF(AND(L540="154",'154'!$O$5&lt;=B540,'154'!$P$5&gt;=B540),"154",IF(AND(L540="632",'632'!$L$5&lt;=B540,'632'!$M$5&gt;=B540),"632",IF(AND(L540="642",'642'!$N$5&lt;=B540,'642'!$O$5&gt;=B540),"642",IF(AND(L540="641",'641'!$N$5&lt;=B540,'641'!$O$5&gt;=B540),"641",""))))</f>
        <v/>
      </c>
      <c r="V540" s="51" t="str">
        <f>IF(OR(TH!L540=TH!$V$7,M540=TH!$V$7),"x","")</f>
        <v/>
      </c>
      <c r="W540" s="51" t="str">
        <f>IF(AND(B540&gt;='IN-NX'!$P$3,B540&lt;='IN-NX'!$Q$3,'IN-NX'!$D$7=D540,OR(LEFT(L540,2)="15",AND(LEFT(M540,2)&lt;&gt;"15",LEFT(M540,2)&lt;&gt;"33"))),"x","")</f>
        <v/>
      </c>
      <c r="X540" s="51" t="str">
        <f>IF(AND(OR(LEFT(TH!L540,2)="15",LEFT(TH!M540,2)="15"),'152-CT'!$J$8=TH!F540),"x","")</f>
        <v/>
      </c>
      <c r="Y540" s="51" t="str">
        <f>IF(AND(OR(LEFT(TH!L540,2)="15",LEFT(TH!M540,2)="15"),TK!$E$7=TH!F540),"x","")</f>
        <v/>
      </c>
      <c r="Z540" s="51" t="str">
        <f>IF(AND(B540&lt;=NKC!$N$8,B540&gt;=NKC!$M$8),"x","")</f>
        <v>x</v>
      </c>
      <c r="AA540" s="803">
        <v>3</v>
      </c>
      <c r="AB540" s="565"/>
    </row>
    <row r="541" spans="1:31" ht="15.75" customHeight="1">
      <c r="A541" s="804" t="str">
        <f>IF(B541&lt;&gt;"",IF(AND(B541&gt;=_TM1,B541&lt;=_TM2,OR(TH!L541="1111",TH!M541="1111")),TH!D541,""),"")</f>
        <v>C19</v>
      </c>
      <c r="B541" s="36">
        <f t="shared" si="35"/>
        <v>8</v>
      </c>
      <c r="C541" s="189">
        <f t="shared" si="36"/>
        <v>42247</v>
      </c>
      <c r="D541" s="189" t="s">
        <v>1379</v>
      </c>
      <c r="E541" s="189">
        <v>42247</v>
      </c>
      <c r="F541" s="922" t="s">
        <v>460</v>
      </c>
      <c r="G541" s="813" t="s">
        <v>626</v>
      </c>
      <c r="H541" s="191" t="s">
        <v>492</v>
      </c>
      <c r="I541" s="243"/>
      <c r="J541" s="243"/>
      <c r="K541" s="573">
        <v>7273030</v>
      </c>
      <c r="L541" s="574" t="s">
        <v>83</v>
      </c>
      <c r="M541" s="574" t="s">
        <v>47</v>
      </c>
      <c r="N541" s="51" t="str">
        <f>IF(AND('331-CT'!$E$7=TH!H541,OR(L541="331",M541="331")),"331",IF(AND(OR(L541="131",M541="131"),H541='131-CT'!$E$7),"131",""))</f>
        <v/>
      </c>
      <c r="O541" s="51" t="str">
        <f>IF(AND($B541&gt;='111'!$N$11,$B541&lt;='111'!$O$11,OR($L541=$O$7,$M541=$O$7)),"x","")</f>
        <v/>
      </c>
      <c r="P541" s="51" t="str">
        <f>IF(AND($L541=$O$7,$B541&lt;'111'!$N$11),"x","")</f>
        <v/>
      </c>
      <c r="Q541" s="51" t="str">
        <f>IF(AND($M541=$O$7,$B541&lt;'111'!$N$11),"x","")</f>
        <v>x</v>
      </c>
      <c r="R541" s="51" t="str">
        <f>IF(ISERROR(FIND('112'!$M$9,G541,1)),"",IF((AND(FIND('112'!$M$9,G541,1)&gt;=1,$B541&gt;='112'!$N$8,$B541&lt;='112'!$O$8,OR($L541='112'!$I$6,$M541='112'!$I$6))),"x",""))</f>
        <v/>
      </c>
      <c r="S541" s="51" t="str">
        <f>IF(ISERROR(FIND('112'!$M$9,G541,1)),"",IF((AND(LEFT(G541,2)=LEFT('112'!$M$9,2),B541&lt;'112'!$N$8,$L541='112'!$I$6)),"x",""))</f>
        <v/>
      </c>
      <c r="T541" s="51" t="str">
        <f>IF(ISERROR(FIND('112'!$M$9,G541,1)),"",IF((AND(RIGHT(G541,2)=RIGHT('112'!$M$9,2),B541&lt;'112'!$N$8,$M541='112'!$I$6)),"x",""))</f>
        <v/>
      </c>
      <c r="U541" s="51" t="str">
        <f>IF(AND(L541="154",'154'!$O$5&lt;=B541,'154'!$P$5&gt;=B541),"154",IF(AND(L541="632",'632'!$L$5&lt;=B541,'632'!$M$5&gt;=B541),"632",IF(AND(L541="642",'642'!$N$5&lt;=B541,'642'!$O$5&gt;=B541),"642",IF(AND(L541="641",'641'!$N$5&lt;=B541,'641'!$O$5&gt;=B541),"641",""))))</f>
        <v/>
      </c>
      <c r="V541" s="51" t="str">
        <f>IF(OR(TH!L541=TH!$V$7,M541=TH!$V$7),"x","")</f>
        <v>x</v>
      </c>
      <c r="W541" s="51" t="str">
        <f>IF(AND(B541&gt;='IN-NX'!$P$3,B541&lt;='IN-NX'!$Q$3,'IN-NX'!$D$7=D541,OR(LEFT(L541,2)="15",AND(LEFT(M541,2)&lt;&gt;"15",LEFT(M541,2)&lt;&gt;"33"))),"x","")</f>
        <v/>
      </c>
      <c r="X541" s="51" t="str">
        <f>IF(AND(OR(LEFT(TH!L541,2)="15",LEFT(TH!M541,2)="15"),'152-CT'!$J$8=TH!F541),"x","")</f>
        <v/>
      </c>
      <c r="Y541" s="51" t="str">
        <f>IF(AND(OR(LEFT(TH!L541,2)="15",LEFT(TH!M541,2)="15"),TK!$E$7=TH!F541),"x","")</f>
        <v/>
      </c>
      <c r="Z541" s="51" t="str">
        <f>IF(AND(B541&lt;=NKC!$N$8,B541&gt;=NKC!$M$8),"x","")</f>
        <v>x</v>
      </c>
      <c r="AA541" s="803"/>
      <c r="AB541" s="565"/>
    </row>
    <row r="542" spans="1:31" ht="15.75" customHeight="1">
      <c r="A542" s="804" t="str">
        <f>IF(B542&lt;&gt;"",IF(AND(B542&gt;=_TM1,B542&lt;=_TM2,OR(TH!L542="1111",TH!M542="1111")),TH!D542,""),"")</f>
        <v>C19</v>
      </c>
      <c r="B542" s="36">
        <f t="shared" si="35"/>
        <v>8</v>
      </c>
      <c r="C542" s="189">
        <f t="shared" si="36"/>
        <v>42247</v>
      </c>
      <c r="D542" s="189" t="s">
        <v>1379</v>
      </c>
      <c r="E542" s="189">
        <v>42247</v>
      </c>
      <c r="F542" s="190" t="s">
        <v>461</v>
      </c>
      <c r="G542" s="813" t="s">
        <v>626</v>
      </c>
      <c r="H542" s="191" t="s">
        <v>492</v>
      </c>
      <c r="I542" s="243"/>
      <c r="J542" s="243"/>
      <c r="K542" s="573">
        <v>727303</v>
      </c>
      <c r="L542" s="574" t="s">
        <v>9</v>
      </c>
      <c r="M542" s="574" t="s">
        <v>47</v>
      </c>
      <c r="N542" s="51" t="str">
        <f>IF(AND('331-CT'!$E$7=TH!H542,OR(L542="331",M542="331")),"331",IF(AND(OR(L542="131",M542="131"),H542='131-CT'!$E$7),"131",""))</f>
        <v/>
      </c>
      <c r="O542" s="51" t="str">
        <f>IF(AND($B542&gt;='111'!$N$11,$B542&lt;='111'!$O$11,OR($L542=$O$7,$M542=$O$7)),"x","")</f>
        <v/>
      </c>
      <c r="P542" s="51" t="str">
        <f>IF(AND($L542=$O$7,$B542&lt;'111'!$N$11),"x","")</f>
        <v/>
      </c>
      <c r="Q542" s="51" t="str">
        <f>IF(AND($M542=$O$7,$B542&lt;'111'!$N$11),"x","")</f>
        <v>x</v>
      </c>
      <c r="R542" s="51" t="str">
        <f>IF(ISERROR(FIND('112'!$M$9,G542,1)),"",IF((AND(FIND('112'!$M$9,G542,1)&gt;=1,$B542&gt;='112'!$N$8,$B542&lt;='112'!$O$8,OR($L542='112'!$I$6,$M542='112'!$I$6))),"x",""))</f>
        <v/>
      </c>
      <c r="S542" s="51" t="str">
        <f>IF(ISERROR(FIND('112'!$M$9,G542,1)),"",IF((AND(LEFT(G542,2)=LEFT('112'!$M$9,2),B542&lt;'112'!$N$8,$L542='112'!$I$6)),"x",""))</f>
        <v/>
      </c>
      <c r="T542" s="51" t="str">
        <f>IF(ISERROR(FIND('112'!$M$9,G542,1)),"",IF((AND(RIGHT(G542,2)=RIGHT('112'!$M$9,2),B542&lt;'112'!$N$8,$M542='112'!$I$6)),"x",""))</f>
        <v/>
      </c>
      <c r="U542" s="51" t="str">
        <f>IF(AND(L542="154",'154'!$O$5&lt;=B542,'154'!$P$5&gt;=B542),"154",IF(AND(L542="632",'632'!$L$5&lt;=B542,'632'!$M$5&gt;=B542),"632",IF(AND(L542="642",'642'!$N$5&lt;=B542,'642'!$O$5&gt;=B542),"642",IF(AND(L542="641",'641'!$N$5&lt;=B542,'641'!$O$5&gt;=B542),"641",""))))</f>
        <v/>
      </c>
      <c r="V542" s="51" t="str">
        <f>IF(OR(TH!L542=TH!$V$7,M542=TH!$V$7),"x","")</f>
        <v/>
      </c>
      <c r="W542" s="51" t="str">
        <f>IF(AND(B542&gt;='IN-NX'!$P$3,B542&lt;='IN-NX'!$Q$3,'IN-NX'!$D$7=D542,OR(LEFT(L542,2)="15",AND(LEFT(M542,2)&lt;&gt;"15",LEFT(M542,2)&lt;&gt;"33"))),"x","")</f>
        <v/>
      </c>
      <c r="X542" s="51" t="str">
        <f>IF(AND(OR(LEFT(TH!L542,2)="15",LEFT(TH!M542,2)="15"),'152-CT'!$J$8=TH!F542),"x","")</f>
        <v/>
      </c>
      <c r="Y542" s="51" t="str">
        <f>IF(AND(OR(LEFT(TH!L542,2)="15",LEFT(TH!M542,2)="15"),TK!$E$7=TH!F542),"x","")</f>
        <v/>
      </c>
      <c r="Z542" s="51" t="str">
        <f>IF(AND(B542&lt;=NKC!$N$8,B542&gt;=NKC!$M$8),"x","")</f>
        <v>x</v>
      </c>
      <c r="AA542" s="803">
        <v>3</v>
      </c>
      <c r="AB542" s="565"/>
    </row>
    <row r="543" spans="1:31" ht="15.75" customHeight="1">
      <c r="A543" s="804" t="str">
        <f>IF(B543&lt;&gt;"",IF(AND(B543&gt;=_TM1,B543&lt;=_TM2,OR(TH!L543="1111",TH!M543="1111")),TH!D543,""),"")</f>
        <v>C20</v>
      </c>
      <c r="B543" s="661">
        <f t="shared" si="35"/>
        <v>8</v>
      </c>
      <c r="C543" s="830">
        <f t="shared" si="36"/>
        <v>42247</v>
      </c>
      <c r="D543" s="189" t="s">
        <v>1380</v>
      </c>
      <c r="E543" s="830">
        <v>42247</v>
      </c>
      <c r="F543" s="836" t="s">
        <v>1466</v>
      </c>
      <c r="G543" s="849"/>
      <c r="H543" s="914" t="s">
        <v>437</v>
      </c>
      <c r="I543" s="241"/>
      <c r="J543" s="241"/>
      <c r="K543" s="834">
        <v>5000000</v>
      </c>
      <c r="L543" s="851" t="s">
        <v>83</v>
      </c>
      <c r="M543" s="851" t="s">
        <v>47</v>
      </c>
      <c r="N543" s="51" t="str">
        <f>IF(AND('331-CT'!$E$7=TH!H543,OR(L543="331",M543="331")),"331",IF(AND(OR(L543="131",M543="131"),H543='131-CT'!$E$7),"131",""))</f>
        <v/>
      </c>
      <c r="O543" s="51" t="str">
        <f>IF(AND($B543&gt;='111'!$N$11,$B543&lt;='111'!$O$11,OR($L543=$O$7,$M543=$O$7)),"x","")</f>
        <v/>
      </c>
      <c r="P543" s="51" t="str">
        <f>IF(AND($L543=$O$7,$B543&lt;'111'!$N$11),"x","")</f>
        <v/>
      </c>
      <c r="Q543" s="51" t="str">
        <f>IF(AND($M543=$O$7,$B543&lt;'111'!$N$11),"x","")</f>
        <v>x</v>
      </c>
      <c r="R543" s="51" t="str">
        <f>IF(ISERROR(FIND('112'!$M$9,G543,1)),"",IF((AND(FIND('112'!$M$9,G543,1)&gt;=1,$B543&gt;='112'!$N$8,$B543&lt;='112'!$O$8,OR($L543='112'!$I$6,$M543='112'!$I$6))),"x",""))</f>
        <v/>
      </c>
      <c r="S543" s="51" t="str">
        <f>IF(ISERROR(FIND('112'!$M$9,G543,1)),"",IF((AND(LEFT(G543,2)=LEFT('112'!$M$9,2),B543&lt;'112'!$N$8,$L543='112'!$I$6)),"x",""))</f>
        <v/>
      </c>
      <c r="T543" s="51" t="str">
        <f>IF(ISERROR(FIND('112'!$M$9,G543,1)),"",IF((AND(RIGHT(G543,2)=RIGHT('112'!$M$9,2),B543&lt;'112'!$N$8,$M543='112'!$I$6)),"x",""))</f>
        <v/>
      </c>
      <c r="U543" s="51" t="str">
        <f>IF(AND(L543="154",'154'!$O$5&lt;=B543,'154'!$P$5&gt;=B543),"154",IF(AND(L543="632",'632'!$L$5&lt;=B543,'632'!$M$5&gt;=B543),"632",IF(AND(L543="642",'642'!$N$5&lt;=B543,'642'!$O$5&gt;=B543),"642",IF(AND(L543="641",'641'!$N$5&lt;=B543,'641'!$O$5&gt;=B543),"641",""))))</f>
        <v/>
      </c>
      <c r="V543" s="51" t="str">
        <f>IF(OR(TH!L543=TH!$V$7,M543=TH!$V$7),"x","")</f>
        <v>x</v>
      </c>
      <c r="W543" s="51" t="str">
        <f>IF(AND(B543&gt;='IN-NX'!$P$3,B543&lt;='IN-NX'!$Q$3,'IN-NX'!$D$7=D543,OR(LEFT(L543,2)="15",AND(LEFT(M543,2)&lt;&gt;"15",LEFT(M543,2)&lt;&gt;"33"))),"x","")</f>
        <v/>
      </c>
      <c r="X543" s="51" t="str">
        <f>IF(AND(OR(LEFT(TH!L543,2)="15",LEFT(TH!M543,2)="15"),'152-CT'!$J$8=TH!F543),"x","")</f>
        <v/>
      </c>
      <c r="Y543" s="51" t="str">
        <f>IF(AND(OR(LEFT(TH!L543,2)="15",LEFT(TH!M543,2)="15"),TK!$E$7=TH!F543),"x","")</f>
        <v/>
      </c>
      <c r="Z543" s="51" t="str">
        <f>IF(AND(B543&lt;=NKC!$N$8,B543&gt;=NKC!$M$8),"x","")</f>
        <v>x</v>
      </c>
      <c r="AA543" s="915"/>
      <c r="AB543" s="662"/>
      <c r="AC543" s="916"/>
      <c r="AD543" s="916"/>
      <c r="AE543" s="565"/>
    </row>
    <row r="544" spans="1:31" ht="15.75" customHeight="1">
      <c r="A544" s="804" t="str">
        <f>IF(B544&lt;&gt;"",IF(AND(B544&gt;=_TM1,B544&lt;=_TM2,OR(TH!L544="1111",TH!M544="1111")),TH!D544,""),"")</f>
        <v>C21</v>
      </c>
      <c r="B544" s="36">
        <f t="shared" si="35"/>
        <v>9</v>
      </c>
      <c r="C544" s="189">
        <f t="shared" si="36"/>
        <v>42248</v>
      </c>
      <c r="D544" s="189" t="s">
        <v>345</v>
      </c>
      <c r="E544" s="182">
        <v>42248</v>
      </c>
      <c r="F544" s="187" t="s">
        <v>433</v>
      </c>
      <c r="G544" s="811" t="s">
        <v>415</v>
      </c>
      <c r="H544" s="7" t="s">
        <v>437</v>
      </c>
      <c r="I544" s="243"/>
      <c r="J544" s="243"/>
      <c r="K544" s="573">
        <v>200000</v>
      </c>
      <c r="L544" s="192" t="s">
        <v>24</v>
      </c>
      <c r="M544" s="192" t="s">
        <v>47</v>
      </c>
      <c r="N544" s="51" t="str">
        <f>IF(AND('331-CT'!$E$7=TH!H544,OR(L544="331",M544="331")),"331",IF(AND(OR(L544="131",M544="131"),H544='131-CT'!$E$7),"131",""))</f>
        <v/>
      </c>
      <c r="O544" s="51" t="str">
        <f>IF(AND($B544&gt;='111'!$N$11,$B544&lt;='111'!$O$11,OR($L544=$O$7,$M544=$O$7)),"x","")</f>
        <v/>
      </c>
      <c r="P544" s="51" t="str">
        <f>IF(AND($L544=$O$7,$B544&lt;'111'!$N$11),"x","")</f>
        <v/>
      </c>
      <c r="Q544" s="51" t="str">
        <f>IF(AND($M544=$O$7,$B544&lt;'111'!$N$11),"x","")</f>
        <v>x</v>
      </c>
      <c r="R544" s="51" t="str">
        <f>IF(ISERROR(FIND('112'!$M$9,G544,1)),"",IF((AND(FIND('112'!$M$9,G544,1)&gt;=1,$B544&gt;='112'!$N$8,$B544&lt;='112'!$O$8,OR($L544='112'!$I$6,$M544='112'!$I$6))),"x",""))</f>
        <v/>
      </c>
      <c r="S544" s="51" t="str">
        <f>IF(ISERROR(FIND('112'!$M$9,G544,1)),"",IF((AND(LEFT(G544,2)=LEFT('112'!$M$9,2),B544&lt;'112'!$N$8,$L544='112'!$I$6)),"x",""))</f>
        <v/>
      </c>
      <c r="T544" s="51" t="str">
        <f>IF(ISERROR(FIND('112'!$M$9,G544,1)),"",IF((AND(RIGHT(G544,2)=RIGHT('112'!$M$9,2),B544&lt;'112'!$N$8,$M544='112'!$I$6)),"x",""))</f>
        <v/>
      </c>
      <c r="U544" s="51" t="str">
        <f>IF(AND(L544="154",'154'!$O$5&lt;=B544,'154'!$P$5&gt;=B544),"154",IF(AND(L544="632",'632'!$L$5&lt;=B544,'632'!$M$5&gt;=B544),"632",IF(AND(L544="642",'642'!$N$5&lt;=B544,'642'!$O$5&gt;=B544),"642",IF(AND(L544="641",'641'!$N$5&lt;=B544,'641'!$O$5&gt;=B544),"641",""))))</f>
        <v/>
      </c>
      <c r="V544" s="51" t="str">
        <f>IF(OR(TH!L544=TH!$V$7,M544=TH!$V$7),"x","")</f>
        <v/>
      </c>
      <c r="W544" s="51" t="str">
        <f>IF(AND(B544&gt;='IN-NX'!$P$3,B544&lt;='IN-NX'!$Q$3,'IN-NX'!$D$7=D544,OR(LEFT(L544,2)="15",AND(LEFT(M544,2)&lt;&gt;"15",LEFT(M544,2)&lt;&gt;"33"))),"x","")</f>
        <v/>
      </c>
      <c r="X544" s="51" t="str">
        <f>IF(AND(OR(LEFT(TH!L544,2)="15",LEFT(TH!M544,2)="15"),'152-CT'!$J$8=TH!F544),"x","")</f>
        <v/>
      </c>
      <c r="Y544" s="51" t="str">
        <f>IF(AND(OR(LEFT(TH!L544,2)="15",LEFT(TH!M544,2)="15"),TK!$E$7=TH!F544),"x","")</f>
        <v/>
      </c>
      <c r="Z544" s="51" t="str">
        <f>IF(AND(B544&lt;=NKC!$N$8,B544&gt;=NKC!$M$8),"x","")</f>
        <v>x</v>
      </c>
      <c r="AA544" s="803"/>
      <c r="AB544" s="565"/>
      <c r="AE544" s="565"/>
    </row>
    <row r="545" spans="1:31" ht="15.75" customHeight="1">
      <c r="A545" s="804" t="str">
        <f>IF(B545&lt;&gt;"",IF(AND(B545&gt;=_TM1,B545&lt;=_TM2,OR(TH!L545="1111",TH!M545="1111")),TH!D545,""),"")</f>
        <v/>
      </c>
      <c r="B545" s="36">
        <f t="shared" si="35"/>
        <v>9</v>
      </c>
      <c r="C545" s="189">
        <f t="shared" si="36"/>
        <v>42248</v>
      </c>
      <c r="D545" s="189" t="s">
        <v>422</v>
      </c>
      <c r="E545" s="182">
        <v>42248</v>
      </c>
      <c r="F545" s="187" t="s">
        <v>438</v>
      </c>
      <c r="G545" s="811" t="s">
        <v>415</v>
      </c>
      <c r="H545" s="191" t="s">
        <v>448</v>
      </c>
      <c r="I545" s="243"/>
      <c r="J545" s="243"/>
      <c r="K545" s="573">
        <v>9065400</v>
      </c>
      <c r="L545" s="574" t="s">
        <v>8</v>
      </c>
      <c r="M545" s="192" t="s">
        <v>24</v>
      </c>
      <c r="N545" s="51" t="str">
        <f>IF(AND('331-CT'!$E$7=TH!H545,OR(L545="331",M545="331")),"331",IF(AND(OR(L545="131",M545="131"),H545='131-CT'!$E$7),"131",""))</f>
        <v/>
      </c>
      <c r="O545" s="51" t="str">
        <f>IF(AND($B545&gt;='111'!$N$11,$B545&lt;='111'!$O$11,OR($L545=$O$7,$M545=$O$7)),"x","")</f>
        <v/>
      </c>
      <c r="P545" s="51" t="str">
        <f>IF(AND($L545=$O$7,$B545&lt;'111'!$N$11),"x","")</f>
        <v/>
      </c>
      <c r="Q545" s="51" t="str">
        <f>IF(AND($M545=$O$7,$B545&lt;'111'!$N$11),"x","")</f>
        <v/>
      </c>
      <c r="R545" s="51" t="str">
        <f>IF(ISERROR(FIND('112'!$M$9,G545,1)),"",IF((AND(FIND('112'!$M$9,G545,1)&gt;=1,$B545&gt;='112'!$N$8,$B545&lt;='112'!$O$8,OR($L545='112'!$I$6,$M545='112'!$I$6))),"x",""))</f>
        <v/>
      </c>
      <c r="S545" s="51" t="str">
        <f>IF(ISERROR(FIND('112'!$M$9,G545,1)),"",IF((AND(LEFT(G545,2)=LEFT('112'!$M$9,2),B545&lt;'112'!$N$8,$L545='112'!$I$6)),"x",""))</f>
        <v/>
      </c>
      <c r="T545" s="51" t="str">
        <f>IF(ISERROR(FIND('112'!$M$9,G545,1)),"",IF((AND(RIGHT(G545,2)=RIGHT('112'!$M$9,2),B545&lt;'112'!$N$8,$M545='112'!$I$6)),"x",""))</f>
        <v/>
      </c>
      <c r="U545" s="51" t="str">
        <f>IF(AND(L545="154",'154'!$O$5&lt;=B545,'154'!$P$5&gt;=B545),"154",IF(AND(L545="632",'632'!$L$5&lt;=B545,'632'!$M$5&gt;=B545),"632",IF(AND(L545="642",'642'!$N$5&lt;=B545,'642'!$O$5&gt;=B545),"642",IF(AND(L545="641",'641'!$N$5&lt;=B545,'641'!$O$5&gt;=B545),"641",""))))</f>
        <v/>
      </c>
      <c r="V545" s="51" t="str">
        <f>IF(OR(TH!L545=TH!$V$7,M545=TH!$V$7),"x","")</f>
        <v/>
      </c>
      <c r="W545" s="51" t="str">
        <f>IF(AND(B545&gt;='IN-NX'!$P$3,B545&lt;='IN-NX'!$Q$3,'IN-NX'!$D$7=D545,OR(LEFT(L545,2)="15",AND(LEFT(M545,2)&lt;&gt;"15",LEFT(M545,2)&lt;&gt;"33"))),"x","")</f>
        <v/>
      </c>
      <c r="X545" s="51" t="str">
        <f>IF(AND(OR(LEFT(TH!L545,2)="15",LEFT(TH!M545,2)="15"),'152-CT'!$J$8=TH!F545),"x","")</f>
        <v/>
      </c>
      <c r="Y545" s="51" t="str">
        <f>IF(AND(OR(LEFT(TH!L545,2)="15",LEFT(TH!M545,2)="15"),TK!$E$7=TH!F545),"x","")</f>
        <v/>
      </c>
      <c r="Z545" s="51" t="str">
        <f>IF(AND(B545&lt;=NKC!$N$8,B545&gt;=NKC!$M$8),"x","")</f>
        <v>x</v>
      </c>
      <c r="AA545" s="803"/>
      <c r="AB545" s="565"/>
      <c r="AC545" s="565"/>
      <c r="AD545" s="565"/>
      <c r="AE545" s="565"/>
    </row>
    <row r="546" spans="1:31" ht="15.75" customHeight="1">
      <c r="A546" s="804" t="str">
        <f>IF(B546&lt;&gt;"",IF(AND(B546&gt;=_TM1,B546&lt;=_TM2,OR(TH!L546="1111",TH!M546="1111")),TH!D546,""),"")</f>
        <v/>
      </c>
      <c r="B546" s="36">
        <f t="shared" si="35"/>
        <v>9</v>
      </c>
      <c r="C546" s="189">
        <f t="shared" si="36"/>
        <v>42248</v>
      </c>
      <c r="D546" s="189" t="s">
        <v>1343</v>
      </c>
      <c r="E546" s="189">
        <v>42248</v>
      </c>
      <c r="F546" s="190" t="s">
        <v>623</v>
      </c>
      <c r="G546" s="813" t="s">
        <v>690</v>
      </c>
      <c r="H546" s="191" t="s">
        <v>494</v>
      </c>
      <c r="I546" s="243">
        <v>588</v>
      </c>
      <c r="J546" s="243">
        <v>30875</v>
      </c>
      <c r="K546" s="573">
        <f>ROUND(I546*J546,0)</f>
        <v>18154500</v>
      </c>
      <c r="L546" s="574" t="s">
        <v>417</v>
      </c>
      <c r="M546" s="574" t="s">
        <v>8</v>
      </c>
      <c r="N546" s="51" t="str">
        <f>IF(AND('331-CT'!$E$7=TH!H546,OR(L546="331",M546="331")),"331",IF(AND(OR(L546="131",M546="131"),H546='131-CT'!$E$7),"131",""))</f>
        <v/>
      </c>
      <c r="O546" s="51" t="str">
        <f>IF(AND($B546&gt;='111'!$N$11,$B546&lt;='111'!$O$11,OR($L546=$O$7,$M546=$O$7)),"x","")</f>
        <v/>
      </c>
      <c r="P546" s="51" t="str">
        <f>IF(AND($L546=$O$7,$B546&lt;'111'!$N$11),"x","")</f>
        <v/>
      </c>
      <c r="Q546" s="51" t="str">
        <f>IF(AND($M546=$O$7,$B546&lt;'111'!$N$11),"x","")</f>
        <v/>
      </c>
      <c r="R546" s="51" t="str">
        <f>IF(ISERROR(FIND('112'!$M$9,G546,1)),"",IF((AND(FIND('112'!$M$9,G546,1)&gt;=1,$B546&gt;='112'!$N$8,$B546&lt;='112'!$O$8,OR($L546='112'!$I$6,$M546='112'!$I$6))),"x",""))</f>
        <v/>
      </c>
      <c r="S546" s="51" t="str">
        <f>IF(ISERROR(FIND('112'!$M$9,G546,1)),"",IF((AND(LEFT(G546,2)=LEFT('112'!$M$9,2),B546&lt;'112'!$N$8,$L546='112'!$I$6)),"x",""))</f>
        <v/>
      </c>
      <c r="T546" s="51" t="str">
        <f>IF(ISERROR(FIND('112'!$M$9,G546,1)),"",IF((AND(RIGHT(G546,2)=RIGHT('112'!$M$9,2),B546&lt;'112'!$N$8,$M546='112'!$I$6)),"x",""))</f>
        <v/>
      </c>
      <c r="U546" s="51" t="str">
        <f>IF(AND(L546="154",'154'!$O$5&lt;=B546,'154'!$P$5&gt;=B546),"154",IF(AND(L546="632",'632'!$L$5&lt;=B546,'632'!$M$5&gt;=B546),"632",IF(AND(L546="642",'642'!$N$5&lt;=B546,'642'!$O$5&gt;=B546),"642",IF(AND(L546="641",'641'!$N$5&lt;=B546,'641'!$O$5&gt;=B546),"641",""))))</f>
        <v/>
      </c>
      <c r="V546" s="51" t="str">
        <f>IF(OR(TH!L546=TH!$V$7,M546=TH!$V$7),"x","")</f>
        <v/>
      </c>
      <c r="W546" s="51" t="str">
        <f>IF(AND(B546&gt;='IN-NX'!$P$3,B546&lt;='IN-NX'!$Q$3,'IN-NX'!$D$7=D546,OR(LEFT(L546,2)="15",AND(LEFT(M546,2)&lt;&gt;"15",LEFT(M546,2)&lt;&gt;"33"))),"x","")</f>
        <v/>
      </c>
      <c r="X546" s="51" t="str">
        <f>IF(AND(OR(LEFT(TH!L546,2)="15",LEFT(TH!M546,2)="15"),'152-CT'!$J$8=TH!F546),"x","")</f>
        <v/>
      </c>
      <c r="Y546" s="51" t="str">
        <f>IF(AND(OR(LEFT(TH!L546,2)="15",LEFT(TH!M546,2)="15"),TK!$E$7=TH!F546),"x","")</f>
        <v/>
      </c>
      <c r="Z546" s="51" t="str">
        <f>IF(AND(B546&lt;=NKC!$N$8,B546&gt;=NKC!$M$8),"x","")</f>
        <v>x</v>
      </c>
      <c r="AA546" s="803"/>
      <c r="AB546" s="565"/>
    </row>
    <row r="547" spans="1:31" ht="15.75" customHeight="1">
      <c r="A547" s="804" t="str">
        <f>IF(B547&lt;&gt;"",IF(AND(B547&gt;=_TM1,B547&lt;=_TM2,OR(TH!L547="1111",TH!M547="1111")),TH!D547,""),"")</f>
        <v/>
      </c>
      <c r="B547" s="820">
        <f t="shared" si="35"/>
        <v>9</v>
      </c>
      <c r="C547" s="821">
        <f t="shared" si="36"/>
        <v>42248</v>
      </c>
      <c r="D547" s="189" t="s">
        <v>1343</v>
      </c>
      <c r="E547" s="821">
        <v>42248</v>
      </c>
      <c r="F547" s="822" t="s">
        <v>496</v>
      </c>
      <c r="G547" s="829" t="s">
        <v>690</v>
      </c>
      <c r="H547" s="824" t="s">
        <v>494</v>
      </c>
      <c r="I547" s="825"/>
      <c r="J547" s="825"/>
      <c r="K547" s="818">
        <v>1815450</v>
      </c>
      <c r="L547" s="819" t="s">
        <v>83</v>
      </c>
      <c r="M547" s="819" t="s">
        <v>8</v>
      </c>
      <c r="N547" s="51" t="str">
        <f>IF(AND('331-CT'!$E$7=TH!H547,OR(L547="331",M547="331")),"331",IF(AND(OR(L547="131",M547="131"),H547='131-CT'!$E$7),"131",""))</f>
        <v/>
      </c>
      <c r="O547" s="51" t="str">
        <f>IF(AND($B547&gt;='111'!$N$11,$B547&lt;='111'!$O$11,OR($L547=$O$7,$M547=$O$7)),"x","")</f>
        <v/>
      </c>
      <c r="P547" s="51" t="str">
        <f>IF(AND($L547=$O$7,$B547&lt;'111'!$N$11),"x","")</f>
        <v/>
      </c>
      <c r="Q547" s="51" t="str">
        <f>IF(AND($M547=$O$7,$B547&lt;'111'!$N$11),"x","")</f>
        <v/>
      </c>
      <c r="R547" s="51" t="str">
        <f>IF(ISERROR(FIND('112'!$M$9,G547,1)),"",IF((AND(FIND('112'!$M$9,G547,1)&gt;=1,$B547&gt;='112'!$N$8,$B547&lt;='112'!$O$8,OR($L547='112'!$I$6,$M547='112'!$I$6))),"x",""))</f>
        <v/>
      </c>
      <c r="S547" s="51" t="str">
        <f>IF(ISERROR(FIND('112'!$M$9,G547,1)),"",IF((AND(LEFT(G547,2)=LEFT('112'!$M$9,2),B547&lt;'112'!$N$8,$L547='112'!$I$6)),"x",""))</f>
        <v/>
      </c>
      <c r="T547" s="51" t="str">
        <f>IF(ISERROR(FIND('112'!$M$9,G547,1)),"",IF((AND(RIGHT(G547,2)=RIGHT('112'!$M$9,2),B547&lt;'112'!$N$8,$M547='112'!$I$6)),"x",""))</f>
        <v/>
      </c>
      <c r="U547" s="51" t="str">
        <f>IF(AND(L547="154",'154'!$O$5&lt;=B547,'154'!$P$5&gt;=B547),"154",IF(AND(L547="632",'632'!$L$5&lt;=B547,'632'!$M$5&gt;=B547),"632",IF(AND(L547="642",'642'!$N$5&lt;=B547,'642'!$O$5&gt;=B547),"642",IF(AND(L547="641",'641'!$N$5&lt;=B547,'641'!$O$5&gt;=B547),"641",""))))</f>
        <v/>
      </c>
      <c r="V547" s="51" t="str">
        <f>IF(OR(TH!L547=TH!$V$7,M547=TH!$V$7),"x","")</f>
        <v>x</v>
      </c>
      <c r="W547" s="51" t="str">
        <f>IF(AND(B547&gt;='IN-NX'!$P$3,B547&lt;='IN-NX'!$Q$3,'IN-NX'!$D$7=D547,OR(LEFT(L547,2)="15",AND(LEFT(M547,2)&lt;&gt;"15",LEFT(M547,2)&lt;&gt;"33"))),"x","")</f>
        <v/>
      </c>
      <c r="X547" s="51" t="str">
        <f>IF(AND(OR(LEFT(TH!L547,2)="15",LEFT(TH!M547,2)="15"),'152-CT'!$J$8=TH!F547),"x","")</f>
        <v/>
      </c>
      <c r="Y547" s="51" t="str">
        <f>IF(AND(OR(LEFT(TH!L547,2)="15",LEFT(TH!M547,2)="15"),TK!$E$7=TH!F547),"x","")</f>
        <v/>
      </c>
      <c r="Z547" s="51" t="str">
        <f>IF(AND(B547&lt;=NKC!$N$8,B547&gt;=NKC!$M$8),"x","")</f>
        <v>x</v>
      </c>
      <c r="AA547" s="826"/>
      <c r="AB547" s="827"/>
      <c r="AC547" s="828"/>
      <c r="AD547" s="828"/>
      <c r="AE547" s="828"/>
    </row>
    <row r="548" spans="1:31" ht="15.75" customHeight="1">
      <c r="A548" s="804" t="str">
        <f>IF(B548&lt;&gt;"",IF(AND(B548&gt;=_TM1,B548&lt;=_TM2,OR(TH!L548="1111",TH!M548="1111")),TH!D548,""),"")</f>
        <v>C22</v>
      </c>
      <c r="B548" s="36">
        <f t="shared" si="35"/>
        <v>9</v>
      </c>
      <c r="C548" s="189">
        <f t="shared" si="36"/>
        <v>42248</v>
      </c>
      <c r="D548" s="189" t="s">
        <v>1381</v>
      </c>
      <c r="E548" s="189">
        <v>42248</v>
      </c>
      <c r="F548" s="187" t="s">
        <v>438</v>
      </c>
      <c r="G548" s="813" t="s">
        <v>690</v>
      </c>
      <c r="H548" s="191" t="s">
        <v>494</v>
      </c>
      <c r="I548" s="243"/>
      <c r="J548" s="243"/>
      <c r="K548" s="573">
        <v>19969950</v>
      </c>
      <c r="L548" s="574" t="s">
        <v>8</v>
      </c>
      <c r="M548" s="574" t="s">
        <v>47</v>
      </c>
      <c r="N548" s="51" t="str">
        <f>IF(AND('331-CT'!$E$7=TH!H548,OR(L548="331",M548="331")),"331",IF(AND(OR(L548="131",M548="131"),H548='131-CT'!$E$7),"131",""))</f>
        <v/>
      </c>
      <c r="O548" s="51" t="str">
        <f>IF(AND($B548&gt;='111'!$N$11,$B548&lt;='111'!$O$11,OR($L548=$O$7,$M548=$O$7)),"x","")</f>
        <v/>
      </c>
      <c r="P548" s="51" t="str">
        <f>IF(AND($L548=$O$7,$B548&lt;'111'!$N$11),"x","")</f>
        <v/>
      </c>
      <c r="Q548" s="51" t="str">
        <f>IF(AND($M548=$O$7,$B548&lt;'111'!$N$11),"x","")</f>
        <v>x</v>
      </c>
      <c r="R548" s="51" t="str">
        <f>IF(ISERROR(FIND('112'!$M$9,G548,1)),"",IF((AND(FIND('112'!$M$9,G548,1)&gt;=1,$B548&gt;='112'!$N$8,$B548&lt;='112'!$O$8,OR($L548='112'!$I$6,$M548='112'!$I$6))),"x",""))</f>
        <v/>
      </c>
      <c r="S548" s="51" t="str">
        <f>IF(ISERROR(FIND('112'!$M$9,G548,1)),"",IF((AND(LEFT(G548,2)=LEFT('112'!$M$9,2),B548&lt;'112'!$N$8,$L548='112'!$I$6)),"x",""))</f>
        <v/>
      </c>
      <c r="T548" s="51" t="str">
        <f>IF(ISERROR(FIND('112'!$M$9,G548,1)),"",IF((AND(RIGHT(G548,2)=RIGHT('112'!$M$9,2),B548&lt;'112'!$N$8,$M548='112'!$I$6)),"x",""))</f>
        <v/>
      </c>
      <c r="U548" s="51" t="str">
        <f>IF(AND(L548="154",'154'!$O$5&lt;=B548,'154'!$P$5&gt;=B548),"154",IF(AND(L548="632",'632'!$L$5&lt;=B548,'632'!$M$5&gt;=B548),"632",IF(AND(L548="642",'642'!$N$5&lt;=B548,'642'!$O$5&gt;=B548),"642",IF(AND(L548="641",'641'!$N$5&lt;=B548,'641'!$O$5&gt;=B548),"641",""))))</f>
        <v/>
      </c>
      <c r="V548" s="51" t="str">
        <f>IF(OR(TH!L548=TH!$V$7,M548=TH!$V$7),"x","")</f>
        <v/>
      </c>
      <c r="W548" s="51" t="str">
        <f>IF(AND(B548&gt;='IN-NX'!$P$3,B548&lt;='IN-NX'!$Q$3,'IN-NX'!$D$7=D548,OR(LEFT(L548,2)="15",AND(LEFT(M548,2)&lt;&gt;"15",LEFT(M548,2)&lt;&gt;"33"))),"x","")</f>
        <v/>
      </c>
      <c r="X548" s="51" t="str">
        <f>IF(AND(OR(LEFT(TH!L548,2)="15",LEFT(TH!M548,2)="15"),'152-CT'!$J$8=TH!F548),"x","")</f>
        <v/>
      </c>
      <c r="Y548" s="51" t="str">
        <f>IF(AND(OR(LEFT(TH!L548,2)="15",LEFT(TH!M548,2)="15"),TK!$E$7=TH!F548),"x","")</f>
        <v/>
      </c>
      <c r="Z548" s="51" t="str">
        <f>IF(AND(B548&lt;=NKC!$N$8,B548&gt;=NKC!$M$8),"x","")</f>
        <v>x</v>
      </c>
      <c r="AA548" s="803"/>
      <c r="AB548" s="565"/>
    </row>
    <row r="549" spans="1:31" ht="15.75" customHeight="1">
      <c r="A549" s="804" t="str">
        <f>IF(B549&lt;&gt;"",IF(AND(B549&gt;=_TM1,B549&lt;=_TM2,OR(TH!L549="1111",TH!M549="1111")),TH!D549,""),"")</f>
        <v/>
      </c>
      <c r="B549" s="36">
        <f t="shared" si="35"/>
        <v>9</v>
      </c>
      <c r="C549" s="189">
        <f t="shared" si="36"/>
        <v>42248</v>
      </c>
      <c r="D549" s="189" t="s">
        <v>1296</v>
      </c>
      <c r="E549" s="189">
        <v>42248</v>
      </c>
      <c r="F549" s="190" t="s">
        <v>692</v>
      </c>
      <c r="G549" s="813" t="s">
        <v>1026</v>
      </c>
      <c r="H549" s="191" t="s">
        <v>1027</v>
      </c>
      <c r="I549" s="243">
        <v>100</v>
      </c>
      <c r="J549" s="243">
        <v>13300</v>
      </c>
      <c r="K549" s="573">
        <f>ROUND(I549*J549,0)</f>
        <v>1330000</v>
      </c>
      <c r="L549" s="574" t="s">
        <v>250</v>
      </c>
      <c r="M549" s="574" t="s">
        <v>164</v>
      </c>
      <c r="N549" s="51" t="str">
        <f>IF(AND('331-CT'!$E$7=TH!H549,OR(L549="331",M549="331")),"331",IF(AND(OR(L549="131",M549="131"),H549='131-CT'!$E$7),"131",""))</f>
        <v>131</v>
      </c>
      <c r="O549" s="51" t="str">
        <f>IF(AND($B549&gt;='111'!$N$11,$B549&lt;='111'!$O$11,OR($L549=$O$7,$M549=$O$7)),"x","")</f>
        <v/>
      </c>
      <c r="P549" s="51" t="str">
        <f>IF(AND($L549=$O$7,$B549&lt;'111'!$N$11),"x","")</f>
        <v/>
      </c>
      <c r="Q549" s="51" t="str">
        <f>IF(AND($M549=$O$7,$B549&lt;'111'!$N$11),"x","")</f>
        <v/>
      </c>
      <c r="R549" s="51" t="str">
        <f>IF(ISERROR(FIND('112'!$M$9,G549,1)),"",IF((AND(FIND('112'!$M$9,G549,1)&gt;=1,$B549&gt;='112'!$N$8,$B549&lt;='112'!$O$8,OR($L549='112'!$I$6,$M549='112'!$I$6))),"x",""))</f>
        <v/>
      </c>
      <c r="S549" s="51" t="str">
        <f>IF(ISERROR(FIND('112'!$M$9,G549,1)),"",IF((AND(LEFT(G549,2)=LEFT('112'!$M$9,2),B549&lt;'112'!$N$8,$L549='112'!$I$6)),"x",""))</f>
        <v/>
      </c>
      <c r="T549" s="51" t="str">
        <f>IF(ISERROR(FIND('112'!$M$9,G549,1)),"",IF((AND(RIGHT(G549,2)=RIGHT('112'!$M$9,2),B549&lt;'112'!$N$8,$M549='112'!$I$6)),"x",""))</f>
        <v/>
      </c>
      <c r="U549" s="51" t="str">
        <f>IF(AND(L549="154",'154'!$O$5&lt;=B549,'154'!$P$5&gt;=B549),"154",IF(AND(L549="632",'632'!$L$5&lt;=B549,'632'!$M$5&gt;=B549),"632",IF(AND(L549="642",'642'!$N$5&lt;=B549,'642'!$O$5&gt;=B549),"642",IF(AND(L549="641",'641'!$N$5&lt;=B549,'641'!$O$5&gt;=B549),"641",""))))</f>
        <v/>
      </c>
      <c r="V549" s="51" t="str">
        <f>IF(OR(TH!L549=TH!$V$7,M549=TH!$V$7),"x","")</f>
        <v/>
      </c>
      <c r="W549" s="51" t="str">
        <f>IF(AND(B549&gt;='IN-NX'!$P$3,B549&lt;='IN-NX'!$Q$3,'IN-NX'!$D$7=D549,OR(LEFT(L549,2)="15",AND(LEFT(M549,2)&lt;&gt;"15",LEFT(M549,2)&lt;&gt;"33"))),"x","")</f>
        <v/>
      </c>
      <c r="X549" s="51" t="str">
        <f>IF(AND(OR(LEFT(TH!L549,2)="15",LEFT(TH!M549,2)="15"),'152-CT'!$J$8=TH!F549),"x","")</f>
        <v/>
      </c>
      <c r="Y549" s="51" t="str">
        <f>IF(AND(OR(LEFT(TH!L549,2)="15",LEFT(TH!M549,2)="15"),TK!$E$7=TH!F549),"x","")</f>
        <v/>
      </c>
      <c r="Z549" s="51" t="str">
        <f>IF(AND(B549&lt;=NKC!$N$8,B549&gt;=NKC!$M$8),"x","")</f>
        <v>x</v>
      </c>
      <c r="AA549" s="803"/>
      <c r="AB549" s="565"/>
    </row>
    <row r="550" spans="1:31" ht="15.75" customHeight="1">
      <c r="A550" s="804" t="str">
        <f>IF(B550&lt;&gt;"",IF(AND(B550&gt;=_TM1,B550&lt;=_TM2,OR(TH!L550="1111",TH!M550="1111")),TH!D550,""),"")</f>
        <v/>
      </c>
      <c r="B550" s="36">
        <f t="shared" si="35"/>
        <v>9</v>
      </c>
      <c r="C550" s="189">
        <f t="shared" si="36"/>
        <v>42248</v>
      </c>
      <c r="D550" s="189" t="s">
        <v>1296</v>
      </c>
      <c r="E550" s="189">
        <v>42248</v>
      </c>
      <c r="F550" s="190" t="s">
        <v>962</v>
      </c>
      <c r="G550" s="813" t="s">
        <v>1026</v>
      </c>
      <c r="H550" s="191" t="s">
        <v>1027</v>
      </c>
      <c r="I550" s="243"/>
      <c r="J550" s="243"/>
      <c r="K550" s="573">
        <v>133000</v>
      </c>
      <c r="L550" s="574" t="s">
        <v>250</v>
      </c>
      <c r="M550" s="574" t="s">
        <v>352</v>
      </c>
      <c r="N550" s="51" t="str">
        <f>IF(AND('331-CT'!$E$7=TH!H550,OR(L550="331",M550="331")),"331",IF(AND(OR(L550="131",M550="131"),H550='131-CT'!$E$7),"131",""))</f>
        <v>131</v>
      </c>
      <c r="O550" s="51" t="str">
        <f>IF(AND($B550&gt;='111'!$N$11,$B550&lt;='111'!$O$11,OR($L550=$O$7,$M550=$O$7)),"x","")</f>
        <v/>
      </c>
      <c r="P550" s="51" t="str">
        <f>IF(AND($L550=$O$7,$B550&lt;'111'!$N$11),"x","")</f>
        <v/>
      </c>
      <c r="Q550" s="51" t="str">
        <f>IF(AND($M550=$O$7,$B550&lt;'111'!$N$11),"x","")</f>
        <v/>
      </c>
      <c r="R550" s="51" t="str">
        <f>IF(ISERROR(FIND('112'!$M$9,G550,1)),"",IF((AND(FIND('112'!$M$9,G550,1)&gt;=1,$B550&gt;='112'!$N$8,$B550&lt;='112'!$O$8,OR($L550='112'!$I$6,$M550='112'!$I$6))),"x",""))</f>
        <v/>
      </c>
      <c r="S550" s="51" t="str">
        <f>IF(ISERROR(FIND('112'!$M$9,G550,1)),"",IF((AND(LEFT(G550,2)=LEFT('112'!$M$9,2),B550&lt;'112'!$N$8,$L550='112'!$I$6)),"x",""))</f>
        <v/>
      </c>
      <c r="T550" s="51" t="str">
        <f>IF(ISERROR(FIND('112'!$M$9,G550,1)),"",IF((AND(RIGHT(G550,2)=RIGHT('112'!$M$9,2),B550&lt;'112'!$N$8,$M550='112'!$I$6)),"x",""))</f>
        <v/>
      </c>
      <c r="U550" s="51" t="str">
        <f>IF(AND(L550="154",'154'!$O$5&lt;=B550,'154'!$P$5&gt;=B550),"154",IF(AND(L550="632",'632'!$L$5&lt;=B550,'632'!$M$5&gt;=B550),"632",IF(AND(L550="642",'642'!$N$5&lt;=B550,'642'!$O$5&gt;=B550),"642",IF(AND(L550="641",'641'!$N$5&lt;=B550,'641'!$O$5&gt;=B550),"641",""))))</f>
        <v/>
      </c>
      <c r="V550" s="51" t="str">
        <f>IF(OR(TH!L550=TH!$V$7,M550=TH!$V$7),"x","")</f>
        <v/>
      </c>
      <c r="W550" s="51" t="str">
        <f>IF(AND(B550&gt;='IN-NX'!$P$3,B550&lt;='IN-NX'!$Q$3,'IN-NX'!$D$7=D550,OR(LEFT(L550,2)="15",AND(LEFT(M550,2)&lt;&gt;"15",LEFT(M550,2)&lt;&gt;"33"))),"x","")</f>
        <v/>
      </c>
      <c r="X550" s="51" t="str">
        <f>IF(AND(OR(LEFT(TH!L550,2)="15",LEFT(TH!M550,2)="15"),'152-CT'!$J$8=TH!F550),"x","")</f>
        <v/>
      </c>
      <c r="Y550" s="51" t="str">
        <f>IF(AND(OR(LEFT(TH!L550,2)="15",LEFT(TH!M550,2)="15"),TK!$E$7=TH!F550),"x","")</f>
        <v/>
      </c>
      <c r="Z550" s="51" t="str">
        <f>IF(AND(B550&lt;=NKC!$N$8,B550&gt;=NKC!$M$8),"x","")</f>
        <v>x</v>
      </c>
      <c r="AA550" s="803"/>
      <c r="AB550" s="565"/>
    </row>
    <row r="551" spans="1:31" ht="15.75" customHeight="1">
      <c r="A551" s="804" t="str">
        <f>IF(B551&lt;&gt;"",IF(AND(B551&gt;=_TM1,B551&lt;=_TM2,OR(TH!L551="1111",TH!M551="1111")),TH!D551,""),"")</f>
        <v>T35</v>
      </c>
      <c r="B551" s="36">
        <f t="shared" si="35"/>
        <v>9</v>
      </c>
      <c r="C551" s="189">
        <f t="shared" si="36"/>
        <v>42248</v>
      </c>
      <c r="D551" s="189" t="s">
        <v>1398</v>
      </c>
      <c r="E551" s="189">
        <v>42248</v>
      </c>
      <c r="F551" s="190" t="s">
        <v>423</v>
      </c>
      <c r="G551" s="813" t="s">
        <v>1026</v>
      </c>
      <c r="H551" s="191" t="s">
        <v>1027</v>
      </c>
      <c r="I551" s="243"/>
      <c r="J551" s="243"/>
      <c r="K551" s="573">
        <v>1463000</v>
      </c>
      <c r="L551" s="574" t="s">
        <v>47</v>
      </c>
      <c r="M551" s="574" t="s">
        <v>250</v>
      </c>
      <c r="N551" s="51" t="str">
        <f>IF(AND('331-CT'!$E$7=TH!H551,OR(L551="331",M551="331")),"331",IF(AND(OR(L551="131",M551="131"),H551='131-CT'!$E$7),"131",""))</f>
        <v>131</v>
      </c>
      <c r="O551" s="51" t="str">
        <f>IF(AND($B551&gt;='111'!$N$11,$B551&lt;='111'!$O$11,OR($L551=$O$7,$M551=$O$7)),"x","")</f>
        <v/>
      </c>
      <c r="P551" s="51" t="str">
        <f>IF(AND($L551=$O$7,$B551&lt;'111'!$N$11),"x","")</f>
        <v>x</v>
      </c>
      <c r="Q551" s="51" t="str">
        <f>IF(AND($M551=$O$7,$B551&lt;'111'!$N$11),"x","")</f>
        <v/>
      </c>
      <c r="R551" s="51" t="str">
        <f>IF(ISERROR(FIND('112'!$M$9,G551,1)),"",IF((AND(FIND('112'!$M$9,G551,1)&gt;=1,$B551&gt;='112'!$N$8,$B551&lt;='112'!$O$8,OR($L551='112'!$I$6,$M551='112'!$I$6))),"x",""))</f>
        <v/>
      </c>
      <c r="S551" s="51" t="str">
        <f>IF(ISERROR(FIND('112'!$M$9,G551,1)),"",IF((AND(LEFT(G551,2)=LEFT('112'!$M$9,2),B551&lt;'112'!$N$8,$L551='112'!$I$6)),"x",""))</f>
        <v/>
      </c>
      <c r="T551" s="51" t="str">
        <f>IF(ISERROR(FIND('112'!$M$9,G551,1)),"",IF((AND(RIGHT(G551,2)=RIGHT('112'!$M$9,2),B551&lt;'112'!$N$8,$M551='112'!$I$6)),"x",""))</f>
        <v/>
      </c>
      <c r="U551" s="51" t="str">
        <f>IF(AND(L551="154",'154'!$O$5&lt;=B551,'154'!$P$5&gt;=B551),"154",IF(AND(L551="632",'632'!$L$5&lt;=B551,'632'!$M$5&gt;=B551),"632",IF(AND(L551="642",'642'!$N$5&lt;=B551,'642'!$O$5&gt;=B551),"642",IF(AND(L551="641",'641'!$N$5&lt;=B551,'641'!$O$5&gt;=B551),"641",""))))</f>
        <v/>
      </c>
      <c r="V551" s="51" t="str">
        <f>IF(OR(TH!L551=TH!$V$7,M551=TH!$V$7),"x","")</f>
        <v/>
      </c>
      <c r="W551" s="51" t="str">
        <f>IF(AND(B551&gt;='IN-NX'!$P$3,B551&lt;='IN-NX'!$Q$3,'IN-NX'!$D$7=D551,OR(LEFT(L551,2)="15",AND(LEFT(M551,2)&lt;&gt;"15",LEFT(M551,2)&lt;&gt;"33"))),"x","")</f>
        <v/>
      </c>
      <c r="X551" s="51" t="str">
        <f>IF(AND(OR(LEFT(TH!L551,2)="15",LEFT(TH!M551,2)="15"),'152-CT'!$J$8=TH!F551),"x","")</f>
        <v/>
      </c>
      <c r="Y551" s="51" t="str">
        <f>IF(AND(OR(LEFT(TH!L551,2)="15",LEFT(TH!M551,2)="15"),TK!$E$7=TH!F551),"x","")</f>
        <v/>
      </c>
      <c r="Z551" s="51" t="str">
        <f>IF(AND(B551&lt;=NKC!$N$8,B551&gt;=NKC!$M$8),"x","")</f>
        <v>x</v>
      </c>
      <c r="AA551" s="803"/>
      <c r="AB551" s="565"/>
    </row>
    <row r="552" spans="1:31" ht="15.75" customHeight="1">
      <c r="A552" s="804" t="str">
        <f>IF(B552&lt;&gt;"",IF(AND(B552&gt;=_TM1,B552&lt;=_TM2,OR(TH!L552="1111",TH!M552="1111")),TH!D552,""),"")</f>
        <v/>
      </c>
      <c r="B552" s="36">
        <f t="shared" si="35"/>
        <v>9</v>
      </c>
      <c r="C552" s="189">
        <f t="shared" si="36"/>
        <v>42250</v>
      </c>
      <c r="D552" s="189" t="s">
        <v>1353</v>
      </c>
      <c r="E552" s="189">
        <v>42250</v>
      </c>
      <c r="F552" s="190" t="s">
        <v>692</v>
      </c>
      <c r="G552" s="813" t="s">
        <v>691</v>
      </c>
      <c r="H552" s="191" t="s">
        <v>494</v>
      </c>
      <c r="I552" s="243">
        <v>100</v>
      </c>
      <c r="J552" s="243">
        <v>12768</v>
      </c>
      <c r="K552" s="573">
        <f t="shared" ref="K552:K565" si="37">ROUND(I552*J552,0)</f>
        <v>1276800</v>
      </c>
      <c r="L552" s="574" t="s">
        <v>417</v>
      </c>
      <c r="M552" s="574" t="s">
        <v>8</v>
      </c>
      <c r="N552" s="51" t="str">
        <f>IF(AND('331-CT'!$E$7=TH!H552,OR(L552="331",M552="331")),"331",IF(AND(OR(L552="131",M552="131"),H552='131-CT'!$E$7),"131",""))</f>
        <v/>
      </c>
      <c r="O552" s="51" t="str">
        <f>IF(AND($B552&gt;='111'!$N$11,$B552&lt;='111'!$O$11,OR($L552=$O$7,$M552=$O$7)),"x","")</f>
        <v/>
      </c>
      <c r="P552" s="51" t="str">
        <f>IF(AND($L552=$O$7,$B552&lt;'111'!$N$11),"x","")</f>
        <v/>
      </c>
      <c r="Q552" s="51" t="str">
        <f>IF(AND($M552=$O$7,$B552&lt;'111'!$N$11),"x","")</f>
        <v/>
      </c>
      <c r="R552" s="51" t="str">
        <f>IF(ISERROR(FIND('112'!$M$9,G552,1)),"",IF((AND(FIND('112'!$M$9,G552,1)&gt;=1,$B552&gt;='112'!$N$8,$B552&lt;='112'!$O$8,OR($L552='112'!$I$6,$M552='112'!$I$6))),"x",""))</f>
        <v/>
      </c>
      <c r="S552" s="51" t="str">
        <f>IF(ISERROR(FIND('112'!$M$9,G552,1)),"",IF((AND(LEFT(G552,2)=LEFT('112'!$M$9,2),B552&lt;'112'!$N$8,$L552='112'!$I$6)),"x",""))</f>
        <v/>
      </c>
      <c r="T552" s="51" t="str">
        <f>IF(ISERROR(FIND('112'!$M$9,G552,1)),"",IF((AND(RIGHT(G552,2)=RIGHT('112'!$M$9,2),B552&lt;'112'!$N$8,$M552='112'!$I$6)),"x",""))</f>
        <v/>
      </c>
      <c r="U552" s="51" t="str">
        <f>IF(AND(L552="154",'154'!$O$5&lt;=B552,'154'!$P$5&gt;=B552),"154",IF(AND(L552="632",'632'!$L$5&lt;=B552,'632'!$M$5&gt;=B552),"632",IF(AND(L552="642",'642'!$N$5&lt;=B552,'642'!$O$5&gt;=B552),"642",IF(AND(L552="641",'641'!$N$5&lt;=B552,'641'!$O$5&gt;=B552),"641",""))))</f>
        <v/>
      </c>
      <c r="V552" s="51" t="str">
        <f>IF(OR(TH!L552=TH!$V$7,M552=TH!$V$7),"x","")</f>
        <v/>
      </c>
      <c r="W552" s="51" t="str">
        <f>IF(AND(B552&gt;='IN-NX'!$P$3,B552&lt;='IN-NX'!$Q$3,'IN-NX'!$D$7=D552,OR(LEFT(L552,2)="15",AND(LEFT(M552,2)&lt;&gt;"15",LEFT(M552,2)&lt;&gt;"33"))),"x","")</f>
        <v/>
      </c>
      <c r="X552" s="51" t="str">
        <f>IF(AND(OR(LEFT(TH!L552,2)="15",LEFT(TH!M552,2)="15"),'152-CT'!$J$8=TH!F552),"x","")</f>
        <v/>
      </c>
      <c r="Y552" s="51" t="str">
        <f>IF(AND(OR(LEFT(TH!L552,2)="15",LEFT(TH!M552,2)="15"),TK!$E$7=TH!F552),"x","")</f>
        <v/>
      </c>
      <c r="Z552" s="51" t="str">
        <f>IF(AND(B552&lt;=NKC!$N$8,B552&gt;=NKC!$M$8),"x","")</f>
        <v>x</v>
      </c>
      <c r="AA552" s="803"/>
      <c r="AB552" s="565"/>
    </row>
    <row r="553" spans="1:31" ht="15.75" customHeight="1">
      <c r="A553" s="804" t="str">
        <f>IF(B553&lt;&gt;"",IF(AND(B553&gt;=_TM1,B553&lt;=_TM2,OR(TH!L553="1111",TH!M553="1111")),TH!D553,""),"")</f>
        <v/>
      </c>
      <c r="B553" s="36">
        <f t="shared" si="35"/>
        <v>9</v>
      </c>
      <c r="C553" s="189">
        <f t="shared" si="36"/>
        <v>42250</v>
      </c>
      <c r="D553" s="189" t="s">
        <v>1353</v>
      </c>
      <c r="E553" s="189">
        <v>42250</v>
      </c>
      <c r="F553" s="190" t="s">
        <v>693</v>
      </c>
      <c r="G553" s="813" t="s">
        <v>691</v>
      </c>
      <c r="H553" s="191" t="s">
        <v>494</v>
      </c>
      <c r="I553" s="243">
        <v>200</v>
      </c>
      <c r="J553" s="243">
        <v>5760</v>
      </c>
      <c r="K553" s="573">
        <f t="shared" si="37"/>
        <v>1152000</v>
      </c>
      <c r="L553" s="574" t="s">
        <v>417</v>
      </c>
      <c r="M553" s="574" t="s">
        <v>8</v>
      </c>
      <c r="N553" s="51" t="str">
        <f>IF(AND('331-CT'!$E$7=TH!H553,OR(L553="331",M553="331")),"331",IF(AND(OR(L553="131",M553="131"),H553='131-CT'!$E$7),"131",""))</f>
        <v/>
      </c>
      <c r="O553" s="51" t="str">
        <f>IF(AND($B553&gt;='111'!$N$11,$B553&lt;='111'!$O$11,OR($L553=$O$7,$M553=$O$7)),"x","")</f>
        <v/>
      </c>
      <c r="P553" s="51" t="str">
        <f>IF(AND($L553=$O$7,$B553&lt;'111'!$N$11),"x","")</f>
        <v/>
      </c>
      <c r="Q553" s="51" t="str">
        <f>IF(AND($M553=$O$7,$B553&lt;'111'!$N$11),"x","")</f>
        <v/>
      </c>
      <c r="R553" s="51" t="str">
        <f>IF(ISERROR(FIND('112'!$M$9,G553,1)),"",IF((AND(FIND('112'!$M$9,G553,1)&gt;=1,$B553&gt;='112'!$N$8,$B553&lt;='112'!$O$8,OR($L553='112'!$I$6,$M553='112'!$I$6))),"x",""))</f>
        <v/>
      </c>
      <c r="S553" s="51" t="str">
        <f>IF(ISERROR(FIND('112'!$M$9,G553,1)),"",IF((AND(LEFT(G553,2)=LEFT('112'!$M$9,2),B553&lt;'112'!$N$8,$L553='112'!$I$6)),"x",""))</f>
        <v/>
      </c>
      <c r="T553" s="51" t="str">
        <f>IF(ISERROR(FIND('112'!$M$9,G553,1)),"",IF((AND(RIGHT(G553,2)=RIGHT('112'!$M$9,2),B553&lt;'112'!$N$8,$M553='112'!$I$6)),"x",""))</f>
        <v/>
      </c>
      <c r="U553" s="51" t="str">
        <f>IF(AND(L553="154",'154'!$O$5&lt;=B553,'154'!$P$5&gt;=B553),"154",IF(AND(L553="632",'632'!$L$5&lt;=B553,'632'!$M$5&gt;=B553),"632",IF(AND(L553="642",'642'!$N$5&lt;=B553,'642'!$O$5&gt;=B553),"642",IF(AND(L553="641",'641'!$N$5&lt;=B553,'641'!$O$5&gt;=B553),"641",""))))</f>
        <v/>
      </c>
      <c r="V553" s="51" t="str">
        <f>IF(OR(TH!L553=TH!$V$7,M553=TH!$V$7),"x","")</f>
        <v/>
      </c>
      <c r="W553" s="51" t="str">
        <f>IF(AND(B553&gt;='IN-NX'!$P$3,B553&lt;='IN-NX'!$Q$3,'IN-NX'!$D$7=D553,OR(LEFT(L553,2)="15",AND(LEFT(M553,2)&lt;&gt;"15",LEFT(M553,2)&lt;&gt;"33"))),"x","")</f>
        <v/>
      </c>
      <c r="X553" s="51" t="str">
        <f>IF(AND(OR(LEFT(TH!L553,2)="15",LEFT(TH!M553,2)="15"),'152-CT'!$J$8=TH!F553),"x","")</f>
        <v/>
      </c>
      <c r="Y553" s="51" t="str">
        <f>IF(AND(OR(LEFT(TH!L553,2)="15",LEFT(TH!M553,2)="15"),TK!$E$7=TH!F553),"x","")</f>
        <v/>
      </c>
      <c r="Z553" s="51" t="str">
        <f>IF(AND(B553&lt;=NKC!$N$8,B553&gt;=NKC!$M$8),"x","")</f>
        <v>x</v>
      </c>
      <c r="AA553" s="803"/>
      <c r="AB553" s="565"/>
    </row>
    <row r="554" spans="1:31" ht="15.75" customHeight="1">
      <c r="A554" s="804" t="str">
        <f>IF(B554&lt;&gt;"",IF(AND(B554&gt;=_TM1,B554&lt;=_TM2,OR(TH!L554="1111",TH!M554="1111")),TH!D554,""),"")</f>
        <v/>
      </c>
      <c r="B554" s="36">
        <f t="shared" si="35"/>
        <v>9</v>
      </c>
      <c r="C554" s="189">
        <f t="shared" si="36"/>
        <v>42250</v>
      </c>
      <c r="D554" s="189" t="s">
        <v>1353</v>
      </c>
      <c r="E554" s="189">
        <v>42250</v>
      </c>
      <c r="F554" s="190" t="s">
        <v>692</v>
      </c>
      <c r="G554" s="813" t="s">
        <v>691</v>
      </c>
      <c r="H554" s="191" t="s">
        <v>494</v>
      </c>
      <c r="I554" s="243">
        <v>100</v>
      </c>
      <c r="J554" s="243">
        <v>12568</v>
      </c>
      <c r="K554" s="573">
        <f t="shared" si="37"/>
        <v>1256800</v>
      </c>
      <c r="L554" s="574" t="s">
        <v>417</v>
      </c>
      <c r="M554" s="574" t="s">
        <v>8</v>
      </c>
      <c r="N554" s="51" t="str">
        <f>IF(AND('331-CT'!$E$7=TH!H554,OR(L554="331",M554="331")),"331",IF(AND(OR(L554="131",M554="131"),H554='131-CT'!$E$7),"131",""))</f>
        <v/>
      </c>
      <c r="O554" s="51" t="str">
        <f>IF(AND($B554&gt;='111'!$N$11,$B554&lt;='111'!$O$11,OR($L554=$O$7,$M554=$O$7)),"x","")</f>
        <v/>
      </c>
      <c r="P554" s="51" t="str">
        <f>IF(AND($L554=$O$7,$B554&lt;'111'!$N$11),"x","")</f>
        <v/>
      </c>
      <c r="Q554" s="51" t="str">
        <f>IF(AND($M554=$O$7,$B554&lt;'111'!$N$11),"x","")</f>
        <v/>
      </c>
      <c r="R554" s="51" t="str">
        <f>IF(ISERROR(FIND('112'!$M$9,G554,1)),"",IF((AND(FIND('112'!$M$9,G554,1)&gt;=1,$B554&gt;='112'!$N$8,$B554&lt;='112'!$O$8,OR($L554='112'!$I$6,$M554='112'!$I$6))),"x",""))</f>
        <v/>
      </c>
      <c r="S554" s="51" t="str">
        <f>IF(ISERROR(FIND('112'!$M$9,G554,1)),"",IF((AND(LEFT(G554,2)=LEFT('112'!$M$9,2),B554&lt;'112'!$N$8,$L554='112'!$I$6)),"x",""))</f>
        <v/>
      </c>
      <c r="T554" s="51" t="str">
        <f>IF(ISERROR(FIND('112'!$M$9,G554,1)),"",IF((AND(RIGHT(G554,2)=RIGHT('112'!$M$9,2),B554&lt;'112'!$N$8,$M554='112'!$I$6)),"x",""))</f>
        <v/>
      </c>
      <c r="U554" s="51" t="str">
        <f>IF(AND(L554="154",'154'!$O$5&lt;=B554,'154'!$P$5&gt;=B554),"154",IF(AND(L554="632",'632'!$L$5&lt;=B554,'632'!$M$5&gt;=B554),"632",IF(AND(L554="642",'642'!$N$5&lt;=B554,'642'!$O$5&gt;=B554),"642",IF(AND(L554="641",'641'!$N$5&lt;=B554,'641'!$O$5&gt;=B554),"641",""))))</f>
        <v/>
      </c>
      <c r="V554" s="51" t="str">
        <f>IF(OR(TH!L554=TH!$V$7,M554=TH!$V$7),"x","")</f>
        <v/>
      </c>
      <c r="W554" s="51" t="str">
        <f>IF(AND(B554&gt;='IN-NX'!$P$3,B554&lt;='IN-NX'!$Q$3,'IN-NX'!$D$7=D554,OR(LEFT(L554,2)="15",AND(LEFT(M554,2)&lt;&gt;"15",LEFT(M554,2)&lt;&gt;"33"))),"x","")</f>
        <v/>
      </c>
      <c r="X554" s="51" t="str">
        <f>IF(AND(OR(LEFT(TH!L554,2)="15",LEFT(TH!M554,2)="15"),'152-CT'!$J$8=TH!F554),"x","")</f>
        <v/>
      </c>
      <c r="Y554" s="51" t="str">
        <f>IF(AND(OR(LEFT(TH!L554,2)="15",LEFT(TH!M554,2)="15"),TK!$E$7=TH!F554),"x","")</f>
        <v/>
      </c>
      <c r="Z554" s="51" t="str">
        <f>IF(AND(B554&lt;=NKC!$N$8,B554&gt;=NKC!$M$8),"x","")</f>
        <v>x</v>
      </c>
      <c r="AA554" s="803"/>
      <c r="AB554" s="565"/>
    </row>
    <row r="555" spans="1:31" ht="15.75" customHeight="1">
      <c r="A555" s="804" t="str">
        <f>IF(B555&lt;&gt;"",IF(AND(B555&gt;=_TM1,B555&lt;=_TM2,OR(TH!L555="1111",TH!M555="1111")),TH!D555,""),"")</f>
        <v/>
      </c>
      <c r="B555" s="36">
        <f t="shared" si="35"/>
        <v>9</v>
      </c>
      <c r="C555" s="189">
        <f t="shared" si="36"/>
        <v>42250</v>
      </c>
      <c r="D555" s="189" t="s">
        <v>1353</v>
      </c>
      <c r="E555" s="189">
        <v>42250</v>
      </c>
      <c r="F555" s="190" t="s">
        <v>694</v>
      </c>
      <c r="G555" s="813" t="s">
        <v>691</v>
      </c>
      <c r="H555" s="191" t="s">
        <v>494</v>
      </c>
      <c r="I555" s="243">
        <v>106</v>
      </c>
      <c r="J555" s="243">
        <v>86178</v>
      </c>
      <c r="K555" s="573">
        <f t="shared" si="37"/>
        <v>9134868</v>
      </c>
      <c r="L555" s="574" t="s">
        <v>417</v>
      </c>
      <c r="M555" s="574" t="s">
        <v>8</v>
      </c>
      <c r="N555" s="51" t="str">
        <f>IF(AND('331-CT'!$E$7=TH!H555,OR(L555="331",M555="331")),"331",IF(AND(OR(L555="131",M555="131"),H555='131-CT'!$E$7),"131",""))</f>
        <v/>
      </c>
      <c r="O555" s="51" t="str">
        <f>IF(AND($B555&gt;='111'!$N$11,$B555&lt;='111'!$O$11,OR($L555=$O$7,$M555=$O$7)),"x","")</f>
        <v/>
      </c>
      <c r="P555" s="51" t="str">
        <f>IF(AND($L555=$O$7,$B555&lt;'111'!$N$11),"x","")</f>
        <v/>
      </c>
      <c r="Q555" s="51" t="str">
        <f>IF(AND($M555=$O$7,$B555&lt;'111'!$N$11),"x","")</f>
        <v/>
      </c>
      <c r="R555" s="51" t="str">
        <f>IF(ISERROR(FIND('112'!$M$9,G555,1)),"",IF((AND(FIND('112'!$M$9,G555,1)&gt;=1,$B555&gt;='112'!$N$8,$B555&lt;='112'!$O$8,OR($L555='112'!$I$6,$M555='112'!$I$6))),"x",""))</f>
        <v/>
      </c>
      <c r="S555" s="51" t="str">
        <f>IF(ISERROR(FIND('112'!$M$9,G555,1)),"",IF((AND(LEFT(G555,2)=LEFT('112'!$M$9,2),B555&lt;'112'!$N$8,$L555='112'!$I$6)),"x",""))</f>
        <v/>
      </c>
      <c r="T555" s="51" t="str">
        <f>IF(ISERROR(FIND('112'!$M$9,G555,1)),"",IF((AND(RIGHT(G555,2)=RIGHT('112'!$M$9,2),B555&lt;'112'!$N$8,$M555='112'!$I$6)),"x",""))</f>
        <v/>
      </c>
      <c r="U555" s="51" t="str">
        <f>IF(AND(L555="154",'154'!$O$5&lt;=B555,'154'!$P$5&gt;=B555),"154",IF(AND(L555="632",'632'!$L$5&lt;=B555,'632'!$M$5&gt;=B555),"632",IF(AND(L555="642",'642'!$N$5&lt;=B555,'642'!$O$5&gt;=B555),"642",IF(AND(L555="641",'641'!$N$5&lt;=B555,'641'!$O$5&gt;=B555),"641",""))))</f>
        <v/>
      </c>
      <c r="V555" s="51" t="str">
        <f>IF(OR(TH!L555=TH!$V$7,M555=TH!$V$7),"x","")</f>
        <v/>
      </c>
      <c r="W555" s="51" t="str">
        <f>IF(AND(B555&gt;='IN-NX'!$P$3,B555&lt;='IN-NX'!$Q$3,'IN-NX'!$D$7=D555,OR(LEFT(L555,2)="15",AND(LEFT(M555,2)&lt;&gt;"15",LEFT(M555,2)&lt;&gt;"33"))),"x","")</f>
        <v/>
      </c>
      <c r="X555" s="51" t="str">
        <f>IF(AND(OR(LEFT(TH!L555,2)="15",LEFT(TH!M555,2)="15"),'152-CT'!$J$8=TH!F555),"x","")</f>
        <v/>
      </c>
      <c r="Y555" s="51" t="str">
        <f>IF(AND(OR(LEFT(TH!L555,2)="15",LEFT(TH!M555,2)="15"),TK!$E$7=TH!F555),"x","")</f>
        <v/>
      </c>
      <c r="Z555" s="51" t="str">
        <f>IF(AND(B555&lt;=NKC!$N$8,B555&gt;=NKC!$M$8),"x","")</f>
        <v>x</v>
      </c>
      <c r="AA555" s="803"/>
      <c r="AB555" s="565"/>
    </row>
    <row r="556" spans="1:31" ht="15.75" customHeight="1">
      <c r="A556" s="804" t="str">
        <f>IF(B556&lt;&gt;"",IF(AND(B556&gt;=_TM1,B556&lt;=_TM2,OR(TH!L556="1111",TH!M556="1111")),TH!D556,""),"")</f>
        <v/>
      </c>
      <c r="B556" s="36">
        <f t="shared" si="35"/>
        <v>9</v>
      </c>
      <c r="C556" s="189">
        <f t="shared" si="36"/>
        <v>42250</v>
      </c>
      <c r="D556" s="189" t="s">
        <v>1353</v>
      </c>
      <c r="E556" s="189">
        <v>42250</v>
      </c>
      <c r="F556" s="190" t="s">
        <v>695</v>
      </c>
      <c r="G556" s="813" t="s">
        <v>691</v>
      </c>
      <c r="H556" s="191" t="s">
        <v>494</v>
      </c>
      <c r="I556" s="243">
        <v>101</v>
      </c>
      <c r="J556" s="243">
        <v>122700</v>
      </c>
      <c r="K556" s="573">
        <f t="shared" si="37"/>
        <v>12392700</v>
      </c>
      <c r="L556" s="574" t="s">
        <v>417</v>
      </c>
      <c r="M556" s="574" t="s">
        <v>8</v>
      </c>
      <c r="N556" s="51" t="str">
        <f>IF(AND('331-CT'!$E$7=TH!H556,OR(L556="331",M556="331")),"331",IF(AND(OR(L556="131",M556="131"),H556='131-CT'!$E$7),"131",""))</f>
        <v/>
      </c>
      <c r="O556" s="51" t="str">
        <f>IF(AND($B556&gt;='111'!$N$11,$B556&lt;='111'!$O$11,OR($L556=$O$7,$M556=$O$7)),"x","")</f>
        <v/>
      </c>
      <c r="P556" s="51" t="str">
        <f>IF(AND($L556=$O$7,$B556&lt;'111'!$N$11),"x","")</f>
        <v/>
      </c>
      <c r="Q556" s="51" t="str">
        <f>IF(AND($M556=$O$7,$B556&lt;'111'!$N$11),"x","")</f>
        <v/>
      </c>
      <c r="R556" s="51" t="str">
        <f>IF(ISERROR(FIND('112'!$M$9,G556,1)),"",IF((AND(FIND('112'!$M$9,G556,1)&gt;=1,$B556&gt;='112'!$N$8,$B556&lt;='112'!$O$8,OR($L556='112'!$I$6,$M556='112'!$I$6))),"x",""))</f>
        <v/>
      </c>
      <c r="S556" s="51" t="str">
        <f>IF(ISERROR(FIND('112'!$M$9,G556,1)),"",IF((AND(LEFT(G556,2)=LEFT('112'!$M$9,2),B556&lt;'112'!$N$8,$L556='112'!$I$6)),"x",""))</f>
        <v/>
      </c>
      <c r="T556" s="51" t="str">
        <f>IF(ISERROR(FIND('112'!$M$9,G556,1)),"",IF((AND(RIGHT(G556,2)=RIGHT('112'!$M$9,2),B556&lt;'112'!$N$8,$M556='112'!$I$6)),"x",""))</f>
        <v/>
      </c>
      <c r="U556" s="51" t="str">
        <f>IF(AND(L556="154",'154'!$O$5&lt;=B556,'154'!$P$5&gt;=B556),"154",IF(AND(L556="632",'632'!$L$5&lt;=B556,'632'!$M$5&gt;=B556),"632",IF(AND(L556="642",'642'!$N$5&lt;=B556,'642'!$O$5&gt;=B556),"642",IF(AND(L556="641",'641'!$N$5&lt;=B556,'641'!$O$5&gt;=B556),"641",""))))</f>
        <v/>
      </c>
      <c r="V556" s="51" t="str">
        <f>IF(OR(TH!L556=TH!$V$7,M556=TH!$V$7),"x","")</f>
        <v/>
      </c>
      <c r="W556" s="51" t="str">
        <f>IF(AND(B556&gt;='IN-NX'!$P$3,B556&lt;='IN-NX'!$Q$3,'IN-NX'!$D$7=D556,OR(LEFT(L556,2)="15",AND(LEFT(M556,2)&lt;&gt;"15",LEFT(M556,2)&lt;&gt;"33"))),"x","")</f>
        <v/>
      </c>
      <c r="X556" s="51" t="str">
        <f>IF(AND(OR(LEFT(TH!L556,2)="15",LEFT(TH!M556,2)="15"),'152-CT'!$J$8=TH!F556),"x","")</f>
        <v/>
      </c>
      <c r="Y556" s="51" t="str">
        <f>IF(AND(OR(LEFT(TH!L556,2)="15",LEFT(TH!M556,2)="15"),TK!$E$7=TH!F556),"x","")</f>
        <v/>
      </c>
      <c r="Z556" s="51" t="str">
        <f>IF(AND(B556&lt;=NKC!$N$8,B556&gt;=NKC!$M$8),"x","")</f>
        <v>x</v>
      </c>
      <c r="AA556" s="803"/>
      <c r="AB556" s="565"/>
    </row>
    <row r="557" spans="1:31" ht="15.75" customHeight="1">
      <c r="A557" s="804" t="str">
        <f>IF(B557&lt;&gt;"",IF(AND(B557&gt;=_TM1,B557&lt;=_TM2,OR(TH!L557="1111",TH!M557="1111")),TH!D557,""),"")</f>
        <v/>
      </c>
      <c r="B557" s="36">
        <f t="shared" si="35"/>
        <v>9</v>
      </c>
      <c r="C557" s="189">
        <f t="shared" si="36"/>
        <v>42250</v>
      </c>
      <c r="D557" s="189" t="s">
        <v>1353</v>
      </c>
      <c r="E557" s="189">
        <v>42250</v>
      </c>
      <c r="F557" s="922" t="s">
        <v>696</v>
      </c>
      <c r="G557" s="813" t="s">
        <v>691</v>
      </c>
      <c r="H557" s="191" t="s">
        <v>494</v>
      </c>
      <c r="I557" s="243">
        <v>151</v>
      </c>
      <c r="J557" s="243">
        <v>25056</v>
      </c>
      <c r="K557" s="573">
        <f t="shared" si="37"/>
        <v>3783456</v>
      </c>
      <c r="L557" s="574" t="s">
        <v>417</v>
      </c>
      <c r="M557" s="574" t="s">
        <v>8</v>
      </c>
      <c r="N557" s="51" t="str">
        <f>IF(AND('331-CT'!$E$7=TH!H557,OR(L557="331",M557="331")),"331",IF(AND(OR(L557="131",M557="131"),H557='131-CT'!$E$7),"131",""))</f>
        <v/>
      </c>
      <c r="O557" s="51" t="str">
        <f>IF(AND($B557&gt;='111'!$N$11,$B557&lt;='111'!$O$11,OR($L557=$O$7,$M557=$O$7)),"x","")</f>
        <v/>
      </c>
      <c r="P557" s="51" t="str">
        <f>IF(AND($L557=$O$7,$B557&lt;'111'!$N$11),"x","")</f>
        <v/>
      </c>
      <c r="Q557" s="51" t="str">
        <f>IF(AND($M557=$O$7,$B557&lt;'111'!$N$11),"x","")</f>
        <v/>
      </c>
      <c r="R557" s="51" t="str">
        <f>IF(ISERROR(FIND('112'!$M$9,G557,1)),"",IF((AND(FIND('112'!$M$9,G557,1)&gt;=1,$B557&gt;='112'!$N$8,$B557&lt;='112'!$O$8,OR($L557='112'!$I$6,$M557='112'!$I$6))),"x",""))</f>
        <v/>
      </c>
      <c r="S557" s="51" t="str">
        <f>IF(ISERROR(FIND('112'!$M$9,G557,1)),"",IF((AND(LEFT(G557,2)=LEFT('112'!$M$9,2),B557&lt;'112'!$N$8,$L557='112'!$I$6)),"x",""))</f>
        <v/>
      </c>
      <c r="T557" s="51" t="str">
        <f>IF(ISERROR(FIND('112'!$M$9,G557,1)),"",IF((AND(RIGHT(G557,2)=RIGHT('112'!$M$9,2),B557&lt;'112'!$N$8,$M557='112'!$I$6)),"x",""))</f>
        <v/>
      </c>
      <c r="U557" s="51" t="str">
        <f>IF(AND(L557="154",'154'!$O$5&lt;=B557,'154'!$P$5&gt;=B557),"154",IF(AND(L557="632",'632'!$L$5&lt;=B557,'632'!$M$5&gt;=B557),"632",IF(AND(L557="642",'642'!$N$5&lt;=B557,'642'!$O$5&gt;=B557),"642",IF(AND(L557="641",'641'!$N$5&lt;=B557,'641'!$O$5&gt;=B557),"641",""))))</f>
        <v/>
      </c>
      <c r="V557" s="51" t="str">
        <f>IF(OR(TH!L557=TH!$V$7,M557=TH!$V$7),"x","")</f>
        <v/>
      </c>
      <c r="W557" s="51" t="str">
        <f>IF(AND(B557&gt;='IN-NX'!$P$3,B557&lt;='IN-NX'!$Q$3,'IN-NX'!$D$7=D557,OR(LEFT(L557,2)="15",AND(LEFT(M557,2)&lt;&gt;"15",LEFT(M557,2)&lt;&gt;"33"))),"x","")</f>
        <v/>
      </c>
      <c r="X557" s="51" t="str">
        <f>IF(AND(OR(LEFT(TH!L557,2)="15",LEFT(TH!M557,2)="15"),'152-CT'!$J$8=TH!F557),"x","")</f>
        <v/>
      </c>
      <c r="Y557" s="51" t="str">
        <f>IF(AND(OR(LEFT(TH!L557,2)="15",LEFT(TH!M557,2)="15"),TK!$E$7=TH!F557),"x","")</f>
        <v/>
      </c>
      <c r="Z557" s="51" t="str">
        <f>IF(AND(B557&lt;=NKC!$N$8,B557&gt;=NKC!$M$8),"x","")</f>
        <v>x</v>
      </c>
      <c r="AA557" s="803"/>
      <c r="AB557" s="565"/>
    </row>
    <row r="558" spans="1:31" ht="15.75" customHeight="1">
      <c r="A558" s="804" t="str">
        <f>IF(B558&lt;&gt;"",IF(AND(B558&gt;=_TM1,B558&lt;=_TM2,OR(TH!L558="1111",TH!M558="1111")),TH!D558,""),"")</f>
        <v/>
      </c>
      <c r="B558" s="36">
        <f t="shared" si="35"/>
        <v>9</v>
      </c>
      <c r="C558" s="189">
        <f t="shared" si="36"/>
        <v>42250</v>
      </c>
      <c r="D558" s="189" t="s">
        <v>1353</v>
      </c>
      <c r="E558" s="189">
        <v>42250</v>
      </c>
      <c r="F558" s="190" t="s">
        <v>1208</v>
      </c>
      <c r="G558" s="813" t="s">
        <v>691</v>
      </c>
      <c r="H558" s="191" t="s">
        <v>494</v>
      </c>
      <c r="I558" s="243">
        <v>1548</v>
      </c>
      <c r="J558" s="243">
        <v>576</v>
      </c>
      <c r="K558" s="573">
        <f t="shared" si="37"/>
        <v>891648</v>
      </c>
      <c r="L558" s="574" t="s">
        <v>417</v>
      </c>
      <c r="M558" s="574" t="s">
        <v>8</v>
      </c>
      <c r="N558" s="51" t="str">
        <f>IF(AND('331-CT'!$E$7=TH!H558,OR(L558="331",M558="331")),"331",IF(AND(OR(L558="131",M558="131"),H558='131-CT'!$E$7),"131",""))</f>
        <v/>
      </c>
      <c r="O558" s="51" t="str">
        <f>IF(AND($B558&gt;='111'!$N$11,$B558&lt;='111'!$O$11,OR($L558=$O$7,$M558=$O$7)),"x","")</f>
        <v/>
      </c>
      <c r="P558" s="51" t="str">
        <f>IF(AND($L558=$O$7,$B558&lt;'111'!$N$11),"x","")</f>
        <v/>
      </c>
      <c r="Q558" s="51" t="str">
        <f>IF(AND($M558=$O$7,$B558&lt;'111'!$N$11),"x","")</f>
        <v/>
      </c>
      <c r="R558" s="51" t="str">
        <f>IF(ISERROR(FIND('112'!$M$9,G558,1)),"",IF((AND(FIND('112'!$M$9,G558,1)&gt;=1,$B558&gt;='112'!$N$8,$B558&lt;='112'!$O$8,OR($L558='112'!$I$6,$M558='112'!$I$6))),"x",""))</f>
        <v/>
      </c>
      <c r="S558" s="51" t="str">
        <f>IF(ISERROR(FIND('112'!$M$9,G558,1)),"",IF((AND(LEFT(G558,2)=LEFT('112'!$M$9,2),B558&lt;'112'!$N$8,$L558='112'!$I$6)),"x",""))</f>
        <v/>
      </c>
      <c r="T558" s="51" t="str">
        <f>IF(ISERROR(FIND('112'!$M$9,G558,1)),"",IF((AND(RIGHT(G558,2)=RIGHT('112'!$M$9,2),B558&lt;'112'!$N$8,$M558='112'!$I$6)),"x",""))</f>
        <v/>
      </c>
      <c r="U558" s="51" t="str">
        <f>IF(AND(L558="154",'154'!$O$5&lt;=B558,'154'!$P$5&gt;=B558),"154",IF(AND(L558="632",'632'!$L$5&lt;=B558,'632'!$M$5&gt;=B558),"632",IF(AND(L558="642",'642'!$N$5&lt;=B558,'642'!$O$5&gt;=B558),"642",IF(AND(L558="641",'641'!$N$5&lt;=B558,'641'!$O$5&gt;=B558),"641",""))))</f>
        <v/>
      </c>
      <c r="V558" s="51" t="str">
        <f>IF(OR(TH!L558=TH!$V$7,M558=TH!$V$7),"x","")</f>
        <v/>
      </c>
      <c r="W558" s="51" t="str">
        <f>IF(AND(B558&gt;='IN-NX'!$P$3,B558&lt;='IN-NX'!$Q$3,'IN-NX'!$D$7=D558,OR(LEFT(L558,2)="15",AND(LEFT(M558,2)&lt;&gt;"15",LEFT(M558,2)&lt;&gt;"33"))),"x","")</f>
        <v/>
      </c>
      <c r="X558" s="51" t="str">
        <f>IF(AND(OR(LEFT(TH!L558,2)="15",LEFT(TH!M558,2)="15"),'152-CT'!$J$8=TH!F558),"x","")</f>
        <v/>
      </c>
      <c r="Y558" s="51" t="str">
        <f>IF(AND(OR(LEFT(TH!L558,2)="15",LEFT(TH!M558,2)="15"),TK!$E$7=TH!F558),"x","")</f>
        <v/>
      </c>
      <c r="Z558" s="51" t="str">
        <f>IF(AND(B558&lt;=NKC!$N$8,B558&gt;=NKC!$M$8),"x","")</f>
        <v>x</v>
      </c>
      <c r="AA558" s="803"/>
      <c r="AB558" s="565"/>
    </row>
    <row r="559" spans="1:31" ht="15.75" customHeight="1">
      <c r="A559" s="804" t="str">
        <f>IF(B559&lt;&gt;"",IF(AND(B559&gt;=_TM1,B559&lt;=_TM2,OR(TH!L559="1111",TH!M559="1111")),TH!D559,""),"")</f>
        <v/>
      </c>
      <c r="B559" s="36">
        <f t="shared" si="35"/>
        <v>9</v>
      </c>
      <c r="C559" s="189">
        <f t="shared" si="36"/>
        <v>42250</v>
      </c>
      <c r="D559" s="189" t="s">
        <v>1353</v>
      </c>
      <c r="E559" s="189">
        <v>42250</v>
      </c>
      <c r="F559" s="190" t="s">
        <v>697</v>
      </c>
      <c r="G559" s="813" t="s">
        <v>691</v>
      </c>
      <c r="H559" s="191" t="s">
        <v>494</v>
      </c>
      <c r="I559" s="243">
        <v>1500</v>
      </c>
      <c r="J559" s="243">
        <v>21600</v>
      </c>
      <c r="K559" s="573">
        <f t="shared" si="37"/>
        <v>32400000</v>
      </c>
      <c r="L559" s="574" t="s">
        <v>417</v>
      </c>
      <c r="M559" s="574" t="s">
        <v>8</v>
      </c>
      <c r="N559" s="51" t="str">
        <f>IF(AND('331-CT'!$E$7=TH!H559,OR(L559="331",M559="331")),"331",IF(AND(OR(L559="131",M559="131"),H559='131-CT'!$E$7),"131",""))</f>
        <v/>
      </c>
      <c r="O559" s="51" t="str">
        <f>IF(AND($B559&gt;='111'!$N$11,$B559&lt;='111'!$O$11,OR($L559=$O$7,$M559=$O$7)),"x","")</f>
        <v/>
      </c>
      <c r="P559" s="51" t="str">
        <f>IF(AND($L559=$O$7,$B559&lt;'111'!$N$11),"x","")</f>
        <v/>
      </c>
      <c r="Q559" s="51" t="str">
        <f>IF(AND($M559=$O$7,$B559&lt;'111'!$N$11),"x","")</f>
        <v/>
      </c>
      <c r="R559" s="51" t="str">
        <f>IF(ISERROR(FIND('112'!$M$9,G559,1)),"",IF((AND(FIND('112'!$M$9,G559,1)&gt;=1,$B559&gt;='112'!$N$8,$B559&lt;='112'!$O$8,OR($L559='112'!$I$6,$M559='112'!$I$6))),"x",""))</f>
        <v/>
      </c>
      <c r="S559" s="51" t="str">
        <f>IF(ISERROR(FIND('112'!$M$9,G559,1)),"",IF((AND(LEFT(G559,2)=LEFT('112'!$M$9,2),B559&lt;'112'!$N$8,$L559='112'!$I$6)),"x",""))</f>
        <v/>
      </c>
      <c r="T559" s="51" t="str">
        <f>IF(ISERROR(FIND('112'!$M$9,G559,1)),"",IF((AND(RIGHT(G559,2)=RIGHT('112'!$M$9,2),B559&lt;'112'!$N$8,$M559='112'!$I$6)),"x",""))</f>
        <v/>
      </c>
      <c r="U559" s="51" t="str">
        <f>IF(AND(L559="154",'154'!$O$5&lt;=B559,'154'!$P$5&gt;=B559),"154",IF(AND(L559="632",'632'!$L$5&lt;=B559,'632'!$M$5&gt;=B559),"632",IF(AND(L559="642",'642'!$N$5&lt;=B559,'642'!$O$5&gt;=B559),"642",IF(AND(L559="641",'641'!$N$5&lt;=B559,'641'!$O$5&gt;=B559),"641",""))))</f>
        <v/>
      </c>
      <c r="V559" s="51" t="str">
        <f>IF(OR(TH!L559=TH!$V$7,M559=TH!$V$7),"x","")</f>
        <v/>
      </c>
      <c r="W559" s="51" t="str">
        <f>IF(AND(B559&gt;='IN-NX'!$P$3,B559&lt;='IN-NX'!$Q$3,'IN-NX'!$D$7=D559,OR(LEFT(L559,2)="15",AND(LEFT(M559,2)&lt;&gt;"15",LEFT(M559,2)&lt;&gt;"33"))),"x","")</f>
        <v/>
      </c>
      <c r="X559" s="51" t="str">
        <f>IF(AND(OR(LEFT(TH!L559,2)="15",LEFT(TH!M559,2)="15"),'152-CT'!$J$8=TH!F559),"x","")</f>
        <v/>
      </c>
      <c r="Y559" s="51" t="str">
        <f>IF(AND(OR(LEFT(TH!L559,2)="15",LEFT(TH!M559,2)="15"),TK!$E$7=TH!F559),"x","")</f>
        <v/>
      </c>
      <c r="Z559" s="51" t="str">
        <f>IF(AND(B559&lt;=NKC!$N$8,B559&gt;=NKC!$M$8),"x","")</f>
        <v>x</v>
      </c>
      <c r="AA559" s="803"/>
      <c r="AB559" s="565"/>
    </row>
    <row r="560" spans="1:31" ht="15.75" customHeight="1">
      <c r="A560" s="804" t="str">
        <f>IF(B560&lt;&gt;"",IF(AND(B560&gt;=_TM1,B560&lt;=_TM2,OR(TH!L560="1111",TH!M560="1111")),TH!D560,""),"")</f>
        <v/>
      </c>
      <c r="B560" s="36">
        <f t="shared" si="35"/>
        <v>9</v>
      </c>
      <c r="C560" s="189">
        <f t="shared" si="36"/>
        <v>42250</v>
      </c>
      <c r="D560" s="189" t="s">
        <v>1353</v>
      </c>
      <c r="E560" s="189">
        <v>42250</v>
      </c>
      <c r="F560" s="922" t="s">
        <v>698</v>
      </c>
      <c r="G560" s="813" t="s">
        <v>691</v>
      </c>
      <c r="H560" s="191" t="s">
        <v>494</v>
      </c>
      <c r="I560" s="243">
        <v>100</v>
      </c>
      <c r="J560" s="243">
        <v>91123</v>
      </c>
      <c r="K560" s="573">
        <f t="shared" si="37"/>
        <v>9112300</v>
      </c>
      <c r="L560" s="574" t="s">
        <v>417</v>
      </c>
      <c r="M560" s="574" t="s">
        <v>8</v>
      </c>
      <c r="N560" s="51" t="str">
        <f>IF(AND('331-CT'!$E$7=TH!H560,OR(L560="331",M560="331")),"331",IF(AND(OR(L560="131",M560="131"),H560='131-CT'!$E$7),"131",""))</f>
        <v/>
      </c>
      <c r="O560" s="51" t="str">
        <f>IF(AND($B560&gt;='111'!$N$11,$B560&lt;='111'!$O$11,OR($L560=$O$7,$M560=$O$7)),"x","")</f>
        <v/>
      </c>
      <c r="P560" s="51" t="str">
        <f>IF(AND($L560=$O$7,$B560&lt;'111'!$N$11),"x","")</f>
        <v/>
      </c>
      <c r="Q560" s="51" t="str">
        <f>IF(AND($M560=$O$7,$B560&lt;'111'!$N$11),"x","")</f>
        <v/>
      </c>
      <c r="R560" s="51" t="str">
        <f>IF(ISERROR(FIND('112'!$M$9,G560,1)),"",IF((AND(FIND('112'!$M$9,G560,1)&gt;=1,$B560&gt;='112'!$N$8,$B560&lt;='112'!$O$8,OR($L560='112'!$I$6,$M560='112'!$I$6))),"x",""))</f>
        <v/>
      </c>
      <c r="S560" s="51" t="str">
        <f>IF(ISERROR(FIND('112'!$M$9,G560,1)),"",IF((AND(LEFT(G560,2)=LEFT('112'!$M$9,2),B560&lt;'112'!$N$8,$L560='112'!$I$6)),"x",""))</f>
        <v/>
      </c>
      <c r="T560" s="51" t="str">
        <f>IF(ISERROR(FIND('112'!$M$9,G560,1)),"",IF((AND(RIGHT(G560,2)=RIGHT('112'!$M$9,2),B560&lt;'112'!$N$8,$M560='112'!$I$6)),"x",""))</f>
        <v/>
      </c>
      <c r="U560" s="51" t="str">
        <f>IF(AND(L560="154",'154'!$O$5&lt;=B560,'154'!$P$5&gt;=B560),"154",IF(AND(L560="632",'632'!$L$5&lt;=B560,'632'!$M$5&gt;=B560),"632",IF(AND(L560="642",'642'!$N$5&lt;=B560,'642'!$O$5&gt;=B560),"642",IF(AND(L560="641",'641'!$N$5&lt;=B560,'641'!$O$5&gt;=B560),"641",""))))</f>
        <v/>
      </c>
      <c r="V560" s="51" t="str">
        <f>IF(OR(TH!L560=TH!$V$7,M560=TH!$V$7),"x","")</f>
        <v/>
      </c>
      <c r="W560" s="51" t="str">
        <f>IF(AND(B560&gt;='IN-NX'!$P$3,B560&lt;='IN-NX'!$Q$3,'IN-NX'!$D$7=D560,OR(LEFT(L560,2)="15",AND(LEFT(M560,2)&lt;&gt;"15",LEFT(M560,2)&lt;&gt;"33"))),"x","")</f>
        <v/>
      </c>
      <c r="X560" s="51" t="str">
        <f>IF(AND(OR(LEFT(TH!L560,2)="15",LEFT(TH!M560,2)="15"),'152-CT'!$J$8=TH!F560),"x","")</f>
        <v/>
      </c>
      <c r="Y560" s="51" t="str">
        <f>IF(AND(OR(LEFT(TH!L560,2)="15",LEFT(TH!M560,2)="15"),TK!$E$7=TH!F560),"x","")</f>
        <v/>
      </c>
      <c r="Z560" s="51" t="str">
        <f>IF(AND(B560&lt;=NKC!$N$8,B560&gt;=NKC!$M$8),"x","")</f>
        <v>x</v>
      </c>
      <c r="AA560" s="803"/>
      <c r="AB560" s="565"/>
    </row>
    <row r="561" spans="1:28" ht="15.75" customHeight="1">
      <c r="A561" s="804" t="str">
        <f>IF(B561&lt;&gt;"",IF(AND(B561&gt;=_TM1,B561&lt;=_TM2,OR(TH!L561="1111",TH!M561="1111")),TH!D561,""),"")</f>
        <v/>
      </c>
      <c r="B561" s="36">
        <f t="shared" si="35"/>
        <v>9</v>
      </c>
      <c r="C561" s="189">
        <f t="shared" si="36"/>
        <v>42250</v>
      </c>
      <c r="D561" s="189" t="s">
        <v>1353</v>
      </c>
      <c r="E561" s="189">
        <v>42250</v>
      </c>
      <c r="F561" s="190" t="s">
        <v>699</v>
      </c>
      <c r="G561" s="813" t="s">
        <v>691</v>
      </c>
      <c r="H561" s="191" t="s">
        <v>494</v>
      </c>
      <c r="I561" s="243">
        <v>100</v>
      </c>
      <c r="J561" s="243">
        <v>51293</v>
      </c>
      <c r="K561" s="573">
        <f t="shared" si="37"/>
        <v>5129300</v>
      </c>
      <c r="L561" s="574" t="s">
        <v>417</v>
      </c>
      <c r="M561" s="574" t="s">
        <v>8</v>
      </c>
      <c r="N561" s="51" t="str">
        <f>IF(AND('331-CT'!$E$7=TH!H561,OR(L561="331",M561="331")),"331",IF(AND(OR(L561="131",M561="131"),H561='131-CT'!$E$7),"131",""))</f>
        <v/>
      </c>
      <c r="O561" s="51" t="str">
        <f>IF(AND($B561&gt;='111'!$N$11,$B561&lt;='111'!$O$11,OR($L561=$O$7,$M561=$O$7)),"x","")</f>
        <v/>
      </c>
      <c r="P561" s="51" t="str">
        <f>IF(AND($L561=$O$7,$B561&lt;'111'!$N$11),"x","")</f>
        <v/>
      </c>
      <c r="Q561" s="51" t="str">
        <f>IF(AND($M561=$O$7,$B561&lt;'111'!$N$11),"x","")</f>
        <v/>
      </c>
      <c r="R561" s="51" t="str">
        <f>IF(ISERROR(FIND('112'!$M$9,G561,1)),"",IF((AND(FIND('112'!$M$9,G561,1)&gt;=1,$B561&gt;='112'!$N$8,$B561&lt;='112'!$O$8,OR($L561='112'!$I$6,$M561='112'!$I$6))),"x",""))</f>
        <v/>
      </c>
      <c r="S561" s="51" t="str">
        <f>IF(ISERROR(FIND('112'!$M$9,G561,1)),"",IF((AND(LEFT(G561,2)=LEFT('112'!$M$9,2),B561&lt;'112'!$N$8,$L561='112'!$I$6)),"x",""))</f>
        <v/>
      </c>
      <c r="T561" s="51" t="str">
        <f>IF(ISERROR(FIND('112'!$M$9,G561,1)),"",IF((AND(RIGHT(G561,2)=RIGHT('112'!$M$9,2),B561&lt;'112'!$N$8,$M561='112'!$I$6)),"x",""))</f>
        <v/>
      </c>
      <c r="U561" s="51" t="str">
        <f>IF(AND(L561="154",'154'!$O$5&lt;=B561,'154'!$P$5&gt;=B561),"154",IF(AND(L561="632",'632'!$L$5&lt;=B561,'632'!$M$5&gt;=B561),"632",IF(AND(L561="642",'642'!$N$5&lt;=B561,'642'!$O$5&gt;=B561),"642",IF(AND(L561="641",'641'!$N$5&lt;=B561,'641'!$O$5&gt;=B561),"641",""))))</f>
        <v/>
      </c>
      <c r="V561" s="51" t="str">
        <f>IF(OR(TH!L561=TH!$V$7,M561=TH!$V$7),"x","")</f>
        <v/>
      </c>
      <c r="W561" s="51" t="str">
        <f>IF(AND(B561&gt;='IN-NX'!$P$3,B561&lt;='IN-NX'!$Q$3,'IN-NX'!$D$7=D561,OR(LEFT(L561,2)="15",AND(LEFT(M561,2)&lt;&gt;"15",LEFT(M561,2)&lt;&gt;"33"))),"x","")</f>
        <v/>
      </c>
      <c r="X561" s="51" t="str">
        <f>IF(AND(OR(LEFT(TH!L561,2)="15",LEFT(TH!M561,2)="15"),'152-CT'!$J$8=TH!F561),"x","")</f>
        <v/>
      </c>
      <c r="Y561" s="51" t="str">
        <f>IF(AND(OR(LEFT(TH!L561,2)="15",LEFT(TH!M561,2)="15"),TK!$E$7=TH!F561),"x","")</f>
        <v/>
      </c>
      <c r="Z561" s="51" t="str">
        <f>IF(AND(B561&lt;=NKC!$N$8,B561&gt;=NKC!$M$8),"x","")</f>
        <v>x</v>
      </c>
      <c r="AA561" s="803"/>
      <c r="AB561" s="565"/>
    </row>
    <row r="562" spans="1:28" ht="15.75" customHeight="1">
      <c r="A562" s="804" t="str">
        <f>IF(B562&lt;&gt;"",IF(AND(B562&gt;=_TM1,B562&lt;=_TM2,OR(TH!L562="1111",TH!M562="1111")),TH!D562,""),"")</f>
        <v/>
      </c>
      <c r="B562" s="36">
        <f t="shared" si="35"/>
        <v>9</v>
      </c>
      <c r="C562" s="189">
        <f t="shared" si="36"/>
        <v>42250</v>
      </c>
      <c r="D562" s="189" t="s">
        <v>1353</v>
      </c>
      <c r="E562" s="189">
        <v>42250</v>
      </c>
      <c r="F562" s="926" t="s">
        <v>1208</v>
      </c>
      <c r="G562" s="813" t="s">
        <v>691</v>
      </c>
      <c r="H562" s="191" t="s">
        <v>494</v>
      </c>
      <c r="I562" s="243">
        <v>320</v>
      </c>
      <c r="J562" s="243">
        <v>576</v>
      </c>
      <c r="K562" s="573">
        <f t="shared" si="37"/>
        <v>184320</v>
      </c>
      <c r="L562" s="574" t="s">
        <v>417</v>
      </c>
      <c r="M562" s="574" t="s">
        <v>8</v>
      </c>
      <c r="N562" s="51" t="str">
        <f>IF(AND('331-CT'!$E$7=TH!H562,OR(L562="331",M562="331")),"331",IF(AND(OR(L562="131",M562="131"),H562='131-CT'!$E$7),"131",""))</f>
        <v/>
      </c>
      <c r="O562" s="51" t="str">
        <f>IF(AND($B562&gt;='111'!$N$11,$B562&lt;='111'!$O$11,OR($L562=$O$7,$M562=$O$7)),"x","")</f>
        <v/>
      </c>
      <c r="P562" s="51" t="str">
        <f>IF(AND($L562=$O$7,$B562&lt;'111'!$N$11),"x","")</f>
        <v/>
      </c>
      <c r="Q562" s="51" t="str">
        <f>IF(AND($M562=$O$7,$B562&lt;'111'!$N$11),"x","")</f>
        <v/>
      </c>
      <c r="R562" s="51" t="str">
        <f>IF(ISERROR(FIND('112'!$M$9,G562,1)),"",IF((AND(FIND('112'!$M$9,G562,1)&gt;=1,$B562&gt;='112'!$N$8,$B562&lt;='112'!$O$8,OR($L562='112'!$I$6,$M562='112'!$I$6))),"x",""))</f>
        <v/>
      </c>
      <c r="S562" s="51" t="str">
        <f>IF(ISERROR(FIND('112'!$M$9,G562,1)),"",IF((AND(LEFT(G562,2)=LEFT('112'!$M$9,2),B562&lt;'112'!$N$8,$L562='112'!$I$6)),"x",""))</f>
        <v/>
      </c>
      <c r="T562" s="51" t="str">
        <f>IF(ISERROR(FIND('112'!$M$9,G562,1)),"",IF((AND(RIGHT(G562,2)=RIGHT('112'!$M$9,2),B562&lt;'112'!$N$8,$M562='112'!$I$6)),"x",""))</f>
        <v/>
      </c>
      <c r="U562" s="51" t="str">
        <f>IF(AND(L562="154",'154'!$O$5&lt;=B562,'154'!$P$5&gt;=B562),"154",IF(AND(L562="632",'632'!$L$5&lt;=B562,'632'!$M$5&gt;=B562),"632",IF(AND(L562="642",'642'!$N$5&lt;=B562,'642'!$O$5&gt;=B562),"642",IF(AND(L562="641",'641'!$N$5&lt;=B562,'641'!$O$5&gt;=B562),"641",""))))</f>
        <v/>
      </c>
      <c r="V562" s="51" t="str">
        <f>IF(OR(TH!L562=TH!$V$7,M562=TH!$V$7),"x","")</f>
        <v/>
      </c>
      <c r="W562" s="51" t="str">
        <f>IF(AND(B562&gt;='IN-NX'!$P$3,B562&lt;='IN-NX'!$Q$3,'IN-NX'!$D$7=D562,OR(LEFT(L562,2)="15",AND(LEFT(M562,2)&lt;&gt;"15",LEFT(M562,2)&lt;&gt;"33"))),"x","")</f>
        <v/>
      </c>
      <c r="X562" s="51" t="str">
        <f>IF(AND(OR(LEFT(TH!L562,2)="15",LEFT(TH!M562,2)="15"),'152-CT'!$J$8=TH!F562),"x","")</f>
        <v/>
      </c>
      <c r="Y562" s="51" t="str">
        <f>IF(AND(OR(LEFT(TH!L562,2)="15",LEFT(TH!M562,2)="15"),TK!$E$7=TH!F562),"x","")</f>
        <v/>
      </c>
      <c r="Z562" s="51" t="str">
        <f>IF(AND(B562&lt;=NKC!$N$8,B562&gt;=NKC!$M$8),"x","")</f>
        <v>x</v>
      </c>
      <c r="AA562" s="803"/>
      <c r="AB562" s="565"/>
    </row>
    <row r="563" spans="1:28" ht="15.75" customHeight="1">
      <c r="A563" s="804" t="str">
        <f>IF(B563&lt;&gt;"",IF(AND(B563&gt;=_TM1,B563&lt;=_TM2,OR(TH!L563="1111",TH!M563="1111")),TH!D563,""),"")</f>
        <v/>
      </c>
      <c r="B563" s="36">
        <f t="shared" si="35"/>
        <v>9</v>
      </c>
      <c r="C563" s="189">
        <f t="shared" si="36"/>
        <v>42250</v>
      </c>
      <c r="D563" s="189" t="s">
        <v>1356</v>
      </c>
      <c r="E563" s="189">
        <v>42250</v>
      </c>
      <c r="F563" s="922" t="s">
        <v>1207</v>
      </c>
      <c r="G563" s="813" t="s">
        <v>691</v>
      </c>
      <c r="H563" s="191" t="s">
        <v>494</v>
      </c>
      <c r="I563" s="243">
        <v>177</v>
      </c>
      <c r="J563" s="243">
        <v>1152</v>
      </c>
      <c r="K563" s="573">
        <f t="shared" si="37"/>
        <v>203904</v>
      </c>
      <c r="L563" s="574" t="s">
        <v>417</v>
      </c>
      <c r="M563" s="574" t="s">
        <v>8</v>
      </c>
      <c r="N563" s="51" t="str">
        <f>IF(AND('331-CT'!$E$7=TH!H563,OR(L563="331",M563="331")),"331",IF(AND(OR(L563="131",M563="131"),H563='131-CT'!$E$7),"131",""))</f>
        <v/>
      </c>
      <c r="O563" s="51" t="str">
        <f>IF(AND($B563&gt;='111'!$N$11,$B563&lt;='111'!$O$11,OR($L563=$O$7,$M563=$O$7)),"x","")</f>
        <v/>
      </c>
      <c r="P563" s="51" t="str">
        <f>IF(AND($L563=$O$7,$B563&lt;'111'!$N$11),"x","")</f>
        <v/>
      </c>
      <c r="Q563" s="51" t="str">
        <f>IF(AND($M563=$O$7,$B563&lt;'111'!$N$11),"x","")</f>
        <v/>
      </c>
      <c r="R563" s="51" t="str">
        <f>IF(ISERROR(FIND('112'!$M$9,G563,1)),"",IF((AND(FIND('112'!$M$9,G563,1)&gt;=1,$B563&gt;='112'!$N$8,$B563&lt;='112'!$O$8,OR($L563='112'!$I$6,$M563='112'!$I$6))),"x",""))</f>
        <v/>
      </c>
      <c r="S563" s="51" t="str">
        <f>IF(ISERROR(FIND('112'!$M$9,G563,1)),"",IF((AND(LEFT(G563,2)=LEFT('112'!$M$9,2),B563&lt;'112'!$N$8,$L563='112'!$I$6)),"x",""))</f>
        <v/>
      </c>
      <c r="T563" s="51" t="str">
        <f>IF(ISERROR(FIND('112'!$M$9,G563,1)),"",IF((AND(RIGHT(G563,2)=RIGHT('112'!$M$9,2),B563&lt;'112'!$N$8,$M563='112'!$I$6)),"x",""))</f>
        <v/>
      </c>
      <c r="U563" s="51" t="str">
        <f>IF(AND(L563="154",'154'!$O$5&lt;=B563,'154'!$P$5&gt;=B563),"154",IF(AND(L563="632",'632'!$L$5&lt;=B563,'632'!$M$5&gt;=B563),"632",IF(AND(L563="642",'642'!$N$5&lt;=B563,'642'!$O$5&gt;=B563),"642",IF(AND(L563="641",'641'!$N$5&lt;=B563,'641'!$O$5&gt;=B563),"641",""))))</f>
        <v/>
      </c>
      <c r="V563" s="51" t="str">
        <f>IF(OR(TH!L563=TH!$V$7,M563=TH!$V$7),"x","")</f>
        <v/>
      </c>
      <c r="W563" s="51" t="str">
        <f>IF(AND(B563&gt;='IN-NX'!$P$3,B563&lt;='IN-NX'!$Q$3,'IN-NX'!$D$7=D563,OR(LEFT(L563,2)="15",AND(LEFT(M563,2)&lt;&gt;"15",LEFT(M563,2)&lt;&gt;"33"))),"x","")</f>
        <v/>
      </c>
      <c r="X563" s="51" t="str">
        <f>IF(AND(OR(LEFT(TH!L563,2)="15",LEFT(TH!M563,2)="15"),'152-CT'!$J$8=TH!F563),"x","")</f>
        <v/>
      </c>
      <c r="Y563" s="51" t="str">
        <f>IF(AND(OR(LEFT(TH!L563,2)="15",LEFT(TH!M563,2)="15"),TK!$E$7=TH!F563),"x","")</f>
        <v/>
      </c>
      <c r="Z563" s="51" t="str">
        <f>IF(AND(B563&lt;=NKC!$N$8,B563&gt;=NKC!$M$8),"x","")</f>
        <v>x</v>
      </c>
      <c r="AA563" s="803"/>
      <c r="AB563" s="565"/>
    </row>
    <row r="564" spans="1:28" ht="15.75" customHeight="1">
      <c r="A564" s="804" t="str">
        <f>IF(B564&lt;&gt;"",IF(AND(B564&gt;=_TM1,B564&lt;=_TM2,OR(TH!L564="1111",TH!M564="1111")),TH!D564,""),"")</f>
        <v/>
      </c>
      <c r="B564" s="36">
        <f t="shared" si="35"/>
        <v>9</v>
      </c>
      <c r="C564" s="189">
        <f t="shared" si="36"/>
        <v>42250</v>
      </c>
      <c r="D564" s="189" t="s">
        <v>1356</v>
      </c>
      <c r="E564" s="189">
        <v>42250</v>
      </c>
      <c r="F564" s="922" t="s">
        <v>1144</v>
      </c>
      <c r="G564" s="813" t="s">
        <v>691</v>
      </c>
      <c r="H564" s="191" t="s">
        <v>494</v>
      </c>
      <c r="I564" s="243">
        <v>160</v>
      </c>
      <c r="J564" s="243">
        <v>5760</v>
      </c>
      <c r="K564" s="573">
        <f t="shared" si="37"/>
        <v>921600</v>
      </c>
      <c r="L564" s="574" t="s">
        <v>417</v>
      </c>
      <c r="M564" s="574" t="s">
        <v>8</v>
      </c>
      <c r="N564" s="51" t="str">
        <f>IF(AND('331-CT'!$E$7=TH!H564,OR(L564="331",M564="331")),"331",IF(AND(OR(L564="131",M564="131"),H564='131-CT'!$E$7),"131",""))</f>
        <v/>
      </c>
      <c r="O564" s="51" t="str">
        <f>IF(AND($B564&gt;='111'!$N$11,$B564&lt;='111'!$O$11,OR($L564=$O$7,$M564=$O$7)),"x","")</f>
        <v/>
      </c>
      <c r="P564" s="51" t="str">
        <f>IF(AND($L564=$O$7,$B564&lt;'111'!$N$11),"x","")</f>
        <v/>
      </c>
      <c r="Q564" s="51" t="str">
        <f>IF(AND($M564=$O$7,$B564&lt;'111'!$N$11),"x","")</f>
        <v/>
      </c>
      <c r="R564" s="51" t="str">
        <f>IF(ISERROR(FIND('112'!$M$9,G564,1)),"",IF((AND(FIND('112'!$M$9,G564,1)&gt;=1,$B564&gt;='112'!$N$8,$B564&lt;='112'!$O$8,OR($L564='112'!$I$6,$M564='112'!$I$6))),"x",""))</f>
        <v/>
      </c>
      <c r="S564" s="51" t="str">
        <f>IF(ISERROR(FIND('112'!$M$9,G564,1)),"",IF((AND(LEFT(G564,2)=LEFT('112'!$M$9,2),B564&lt;'112'!$N$8,$L564='112'!$I$6)),"x",""))</f>
        <v/>
      </c>
      <c r="T564" s="51" t="str">
        <f>IF(ISERROR(FIND('112'!$M$9,G564,1)),"",IF((AND(RIGHT(G564,2)=RIGHT('112'!$M$9,2),B564&lt;'112'!$N$8,$M564='112'!$I$6)),"x",""))</f>
        <v/>
      </c>
      <c r="U564" s="51" t="str">
        <f>IF(AND(L564="154",'154'!$O$5&lt;=B564,'154'!$P$5&gt;=B564),"154",IF(AND(L564="632",'632'!$L$5&lt;=B564,'632'!$M$5&gt;=B564),"632",IF(AND(L564="642",'642'!$N$5&lt;=B564,'642'!$O$5&gt;=B564),"642",IF(AND(L564="641",'641'!$N$5&lt;=B564,'641'!$O$5&gt;=B564),"641",""))))</f>
        <v/>
      </c>
      <c r="V564" s="51" t="str">
        <f>IF(OR(TH!L564=TH!$V$7,M564=TH!$V$7),"x","")</f>
        <v/>
      </c>
      <c r="W564" s="51" t="str">
        <f>IF(AND(B564&gt;='IN-NX'!$P$3,B564&lt;='IN-NX'!$Q$3,'IN-NX'!$D$7=D564,OR(LEFT(L564,2)="15",AND(LEFT(M564,2)&lt;&gt;"15",LEFT(M564,2)&lt;&gt;"33"))),"x","")</f>
        <v/>
      </c>
      <c r="X564" s="51" t="str">
        <f>IF(AND(OR(LEFT(TH!L564,2)="15",LEFT(TH!M564,2)="15"),'152-CT'!$J$8=TH!F564),"x","")</f>
        <v/>
      </c>
      <c r="Y564" s="51" t="str">
        <f>IF(AND(OR(LEFT(TH!L564,2)="15",LEFT(TH!M564,2)="15"),TK!$E$7=TH!F564),"x","")</f>
        <v/>
      </c>
      <c r="Z564" s="51" t="str">
        <f>IF(AND(B564&lt;=NKC!$N$8,B564&gt;=NKC!$M$8),"x","")</f>
        <v>x</v>
      </c>
      <c r="AA564" s="803"/>
      <c r="AB564" s="565"/>
    </row>
    <row r="565" spans="1:28" ht="15.75" customHeight="1">
      <c r="A565" s="804" t="str">
        <f>IF(B565&lt;&gt;"",IF(AND(B565&gt;=_TM1,B565&lt;=_TM2,OR(TH!L565="1111",TH!M565="1111")),TH!D565,""),"")</f>
        <v/>
      </c>
      <c r="B565" s="36">
        <f t="shared" si="35"/>
        <v>9</v>
      </c>
      <c r="C565" s="189">
        <f t="shared" si="36"/>
        <v>42250</v>
      </c>
      <c r="D565" s="189" t="s">
        <v>1356</v>
      </c>
      <c r="E565" s="189">
        <v>42250</v>
      </c>
      <c r="F565" s="190" t="s">
        <v>621</v>
      </c>
      <c r="G565" s="813" t="s">
        <v>691</v>
      </c>
      <c r="H565" s="191" t="s">
        <v>494</v>
      </c>
      <c r="I565" s="243">
        <v>2295</v>
      </c>
      <c r="J565" s="243">
        <v>14517.559912854031</v>
      </c>
      <c r="K565" s="573">
        <f t="shared" si="37"/>
        <v>33317800</v>
      </c>
      <c r="L565" s="574" t="s">
        <v>417</v>
      </c>
      <c r="M565" s="574" t="s">
        <v>8</v>
      </c>
      <c r="N565" s="51" t="str">
        <f>IF(AND('331-CT'!$E$7=TH!H565,OR(L565="331",M565="331")),"331",IF(AND(OR(L565="131",M565="131"),H565='131-CT'!$E$7),"131",""))</f>
        <v/>
      </c>
      <c r="O565" s="51" t="str">
        <f>IF(AND($B565&gt;='111'!$N$11,$B565&lt;='111'!$O$11,OR($L565=$O$7,$M565=$O$7)),"x","")</f>
        <v/>
      </c>
      <c r="P565" s="51" t="str">
        <f>IF(AND($L565=$O$7,$B565&lt;'111'!$N$11),"x","")</f>
        <v/>
      </c>
      <c r="Q565" s="51" t="str">
        <f>IF(AND($M565=$O$7,$B565&lt;'111'!$N$11),"x","")</f>
        <v/>
      </c>
      <c r="R565" s="51" t="str">
        <f>IF(ISERROR(FIND('112'!$M$9,G565,1)),"",IF((AND(FIND('112'!$M$9,G565,1)&gt;=1,$B565&gt;='112'!$N$8,$B565&lt;='112'!$O$8,OR($L565='112'!$I$6,$M565='112'!$I$6))),"x",""))</f>
        <v/>
      </c>
      <c r="S565" s="51" t="str">
        <f>IF(ISERROR(FIND('112'!$M$9,G565,1)),"",IF((AND(LEFT(G565,2)=LEFT('112'!$M$9,2),B565&lt;'112'!$N$8,$L565='112'!$I$6)),"x",""))</f>
        <v/>
      </c>
      <c r="T565" s="51" t="str">
        <f>IF(ISERROR(FIND('112'!$M$9,G565,1)),"",IF((AND(RIGHT(G565,2)=RIGHT('112'!$M$9,2),B565&lt;'112'!$N$8,$M565='112'!$I$6)),"x",""))</f>
        <v/>
      </c>
      <c r="U565" s="51" t="str">
        <f>IF(AND(L565="154",'154'!$O$5&lt;=B565,'154'!$P$5&gt;=B565),"154",IF(AND(L565="632",'632'!$L$5&lt;=B565,'632'!$M$5&gt;=B565),"632",IF(AND(L565="642",'642'!$N$5&lt;=B565,'642'!$O$5&gt;=B565),"642",IF(AND(L565="641",'641'!$N$5&lt;=B565,'641'!$O$5&gt;=B565),"641",""))))</f>
        <v/>
      </c>
      <c r="V565" s="51" t="str">
        <f>IF(OR(TH!L565=TH!$V$7,M565=TH!$V$7),"x","")</f>
        <v/>
      </c>
      <c r="W565" s="51" t="str">
        <f>IF(AND(B565&gt;='IN-NX'!$P$3,B565&lt;='IN-NX'!$Q$3,'IN-NX'!$D$7=D565,OR(LEFT(L565,2)="15",AND(LEFT(M565,2)&lt;&gt;"15",LEFT(M565,2)&lt;&gt;"33"))),"x","")</f>
        <v/>
      </c>
      <c r="X565" s="51" t="str">
        <f>IF(AND(OR(LEFT(TH!L565,2)="15",LEFT(TH!M565,2)="15"),'152-CT'!$J$8=TH!F565),"x","")</f>
        <v/>
      </c>
      <c r="Y565" s="51" t="str">
        <f>IF(AND(OR(LEFT(TH!L565,2)="15",LEFT(TH!M565,2)="15"),TK!$E$7=TH!F565),"x","")</f>
        <v/>
      </c>
      <c r="Z565" s="51" t="str">
        <f>IF(AND(B565&lt;=NKC!$N$8,B565&gt;=NKC!$M$8),"x","")</f>
        <v>x</v>
      </c>
      <c r="AA565" s="803"/>
      <c r="AB565" s="565"/>
    </row>
    <row r="566" spans="1:28" ht="15.75" customHeight="1">
      <c r="A566" s="804" t="str">
        <f>IF(B566&lt;&gt;"",IF(AND(B566&gt;=_TM1,B566&lt;=_TM2,OR(TH!L566="1111",TH!M566="1111")),TH!D566,""),"")</f>
        <v/>
      </c>
      <c r="B566" s="36">
        <f t="shared" si="35"/>
        <v>9</v>
      </c>
      <c r="C566" s="189">
        <f t="shared" si="36"/>
        <v>42250</v>
      </c>
      <c r="D566" s="189" t="s">
        <v>1356</v>
      </c>
      <c r="E566" s="189">
        <v>42250</v>
      </c>
      <c r="F566" s="190" t="s">
        <v>496</v>
      </c>
      <c r="G566" s="813" t="s">
        <v>691</v>
      </c>
      <c r="H566" s="191" t="s">
        <v>494</v>
      </c>
      <c r="I566" s="243"/>
      <c r="J566" s="243"/>
      <c r="K566" s="573">
        <v>11115750</v>
      </c>
      <c r="L566" s="574" t="s">
        <v>9</v>
      </c>
      <c r="M566" s="574" t="s">
        <v>8</v>
      </c>
      <c r="N566" s="51" t="str">
        <f>IF(AND('331-CT'!$E$7=TH!H566,OR(L566="331",M566="331")),"331",IF(AND(OR(L566="131",M566="131"),H566='131-CT'!$E$7),"131",""))</f>
        <v/>
      </c>
      <c r="O566" s="51" t="str">
        <f>IF(AND($B566&gt;='111'!$N$11,$B566&lt;='111'!$O$11,OR($L566=$O$7,$M566=$O$7)),"x","")</f>
        <v/>
      </c>
      <c r="P566" s="51" t="str">
        <f>IF(AND($L566=$O$7,$B566&lt;'111'!$N$11),"x","")</f>
        <v/>
      </c>
      <c r="Q566" s="51" t="str">
        <f>IF(AND($M566=$O$7,$B566&lt;'111'!$N$11),"x","")</f>
        <v/>
      </c>
      <c r="R566" s="51" t="str">
        <f>IF(ISERROR(FIND('112'!$M$9,G566,1)),"",IF((AND(FIND('112'!$M$9,G566,1)&gt;=1,$B566&gt;='112'!$N$8,$B566&lt;='112'!$O$8,OR($L566='112'!$I$6,$M566='112'!$I$6))),"x",""))</f>
        <v/>
      </c>
      <c r="S566" s="51" t="str">
        <f>IF(ISERROR(FIND('112'!$M$9,G566,1)),"",IF((AND(LEFT(G566,2)=LEFT('112'!$M$9,2),B566&lt;'112'!$N$8,$L566='112'!$I$6)),"x",""))</f>
        <v/>
      </c>
      <c r="T566" s="51" t="str">
        <f>IF(ISERROR(FIND('112'!$M$9,G566,1)),"",IF((AND(RIGHT(G566,2)=RIGHT('112'!$M$9,2),B566&lt;'112'!$N$8,$M566='112'!$I$6)),"x",""))</f>
        <v/>
      </c>
      <c r="U566" s="51" t="str">
        <f>IF(AND(L566="154",'154'!$O$5&lt;=B566,'154'!$P$5&gt;=B566),"154",IF(AND(L566="632",'632'!$L$5&lt;=B566,'632'!$M$5&gt;=B566),"632",IF(AND(L566="642",'642'!$N$5&lt;=B566,'642'!$O$5&gt;=B566),"642",IF(AND(L566="641",'641'!$N$5&lt;=B566,'641'!$O$5&gt;=B566),"641",""))))</f>
        <v/>
      </c>
      <c r="V566" s="51" t="str">
        <f>IF(OR(TH!L566=TH!$V$7,M566=TH!$V$7),"x","")</f>
        <v/>
      </c>
      <c r="W566" s="51" t="str">
        <f>IF(AND(B566&gt;='IN-NX'!$P$3,B566&lt;='IN-NX'!$Q$3,'IN-NX'!$D$7=D566,OR(LEFT(L566,2)="15",AND(LEFT(M566,2)&lt;&gt;"15",LEFT(M566,2)&lt;&gt;"33"))),"x","")</f>
        <v/>
      </c>
      <c r="X566" s="51" t="str">
        <f>IF(AND(OR(LEFT(TH!L566,2)="15",LEFT(TH!M566,2)="15"),'152-CT'!$J$8=TH!F566),"x","")</f>
        <v/>
      </c>
      <c r="Y566" s="51" t="str">
        <f>IF(AND(OR(LEFT(TH!L566,2)="15",LEFT(TH!M566,2)="15"),TK!$E$7=TH!F566),"x","")</f>
        <v/>
      </c>
      <c r="Z566" s="51" t="str">
        <f>IF(AND(B566&lt;=NKC!$N$8,B566&gt;=NKC!$M$8),"x","")</f>
        <v>x</v>
      </c>
      <c r="AA566" s="803">
        <v>3</v>
      </c>
      <c r="AB566" s="565"/>
    </row>
    <row r="567" spans="1:28" ht="15.75" customHeight="1">
      <c r="A567" s="804" t="str">
        <f>IF(B567&lt;&gt;"",IF(AND(B567&gt;=_TM1,B567&lt;=_TM2,OR(TH!L567="1111",TH!M567="1111")),TH!D567,""),"")</f>
        <v/>
      </c>
      <c r="B567" s="36">
        <f t="shared" si="35"/>
        <v>9</v>
      </c>
      <c r="C567" s="189">
        <f t="shared" si="36"/>
        <v>42255</v>
      </c>
      <c r="D567" s="189" t="s">
        <v>1361</v>
      </c>
      <c r="E567" s="189">
        <v>42255</v>
      </c>
      <c r="F567" s="922" t="s">
        <v>623</v>
      </c>
      <c r="G567" s="813" t="s">
        <v>700</v>
      </c>
      <c r="H567" s="191" t="s">
        <v>494</v>
      </c>
      <c r="I567" s="243">
        <v>62</v>
      </c>
      <c r="J567" s="243">
        <v>30875</v>
      </c>
      <c r="K567" s="573">
        <f>ROUND(I567*J567,0)</f>
        <v>1914250</v>
      </c>
      <c r="L567" s="574" t="s">
        <v>417</v>
      </c>
      <c r="M567" s="574" t="s">
        <v>8</v>
      </c>
      <c r="N567" s="51" t="str">
        <f>IF(AND('331-CT'!$E$7=TH!H567,OR(L567="331",M567="331")),"331",IF(AND(OR(L567="131",M567="131"),H567='131-CT'!$E$7),"131",""))</f>
        <v/>
      </c>
      <c r="O567" s="51" t="str">
        <f>IF(AND($B567&gt;='111'!$N$11,$B567&lt;='111'!$O$11,OR($L567=$O$7,$M567=$O$7)),"x","")</f>
        <v/>
      </c>
      <c r="P567" s="51" t="str">
        <f>IF(AND($L567=$O$7,$B567&lt;'111'!$N$11),"x","")</f>
        <v/>
      </c>
      <c r="Q567" s="51" t="str">
        <f>IF(AND($M567=$O$7,$B567&lt;'111'!$N$11),"x","")</f>
        <v/>
      </c>
      <c r="R567" s="51" t="str">
        <f>IF(ISERROR(FIND('112'!$M$9,G567,1)),"",IF((AND(FIND('112'!$M$9,G567,1)&gt;=1,$B567&gt;='112'!$N$8,$B567&lt;='112'!$O$8,OR($L567='112'!$I$6,$M567='112'!$I$6))),"x",""))</f>
        <v/>
      </c>
      <c r="S567" s="51" t="str">
        <f>IF(ISERROR(FIND('112'!$M$9,G567,1)),"",IF((AND(LEFT(G567,2)=LEFT('112'!$M$9,2),B567&lt;'112'!$N$8,$L567='112'!$I$6)),"x",""))</f>
        <v/>
      </c>
      <c r="T567" s="51" t="str">
        <f>IF(ISERROR(FIND('112'!$M$9,G567,1)),"",IF((AND(RIGHT(G567,2)=RIGHT('112'!$M$9,2),B567&lt;'112'!$N$8,$M567='112'!$I$6)),"x",""))</f>
        <v/>
      </c>
      <c r="U567" s="51" t="str">
        <f>IF(AND(L567="154",'154'!$O$5&lt;=B567,'154'!$P$5&gt;=B567),"154",IF(AND(L567="632",'632'!$L$5&lt;=B567,'632'!$M$5&gt;=B567),"632",IF(AND(L567="642",'642'!$N$5&lt;=B567,'642'!$O$5&gt;=B567),"642",IF(AND(L567="641",'641'!$N$5&lt;=B567,'641'!$O$5&gt;=B567),"641",""))))</f>
        <v/>
      </c>
      <c r="V567" s="51" t="str">
        <f>IF(OR(TH!L567=TH!$V$7,M567=TH!$V$7),"x","")</f>
        <v/>
      </c>
      <c r="W567" s="51" t="str">
        <f>IF(AND(B567&gt;='IN-NX'!$P$3,B567&lt;='IN-NX'!$Q$3,'IN-NX'!$D$7=D567,OR(LEFT(L567,2)="15",AND(LEFT(M567,2)&lt;&gt;"15",LEFT(M567,2)&lt;&gt;"33"))),"x","")</f>
        <v/>
      </c>
      <c r="X567" s="51" t="str">
        <f>IF(AND(OR(LEFT(TH!L567,2)="15",LEFT(TH!M567,2)="15"),'152-CT'!$J$8=TH!F567),"x","")</f>
        <v/>
      </c>
      <c r="Y567" s="51" t="str">
        <f>IF(AND(OR(LEFT(TH!L567,2)="15",LEFT(TH!M567,2)="15"),TK!$E$7=TH!F567),"x","")</f>
        <v/>
      </c>
      <c r="Z567" s="51" t="str">
        <f>IF(AND(B567&lt;=NKC!$N$8,B567&gt;=NKC!$M$8),"x","")</f>
        <v>x</v>
      </c>
      <c r="AA567" s="803"/>
      <c r="AB567" s="565"/>
    </row>
    <row r="568" spans="1:28" ht="15.75" customHeight="1">
      <c r="A568" s="804" t="str">
        <f>IF(B568&lt;&gt;"",IF(AND(B568&gt;=_TM1,B568&lt;=_TM2,OR(TH!L568="1111",TH!M568="1111")),TH!D568,""),"")</f>
        <v/>
      </c>
      <c r="B568" s="36">
        <f t="shared" si="35"/>
        <v>9</v>
      </c>
      <c r="C568" s="189">
        <f t="shared" si="36"/>
        <v>42255</v>
      </c>
      <c r="D568" s="189" t="s">
        <v>1361</v>
      </c>
      <c r="E568" s="189">
        <v>42255</v>
      </c>
      <c r="F568" s="190" t="s">
        <v>624</v>
      </c>
      <c r="G568" s="813" t="s">
        <v>700</v>
      </c>
      <c r="H568" s="191" t="s">
        <v>494</v>
      </c>
      <c r="I568" s="243">
        <v>522</v>
      </c>
      <c r="J568" s="243">
        <v>31155</v>
      </c>
      <c r="K568" s="573">
        <f>ROUND(I568*J568,0)</f>
        <v>16262910</v>
      </c>
      <c r="L568" s="574" t="s">
        <v>417</v>
      </c>
      <c r="M568" s="574" t="s">
        <v>8</v>
      </c>
      <c r="N568" s="51" t="str">
        <f>IF(AND('331-CT'!$E$7=TH!H568,OR(L568="331",M568="331")),"331",IF(AND(OR(L568="131",M568="131"),H568='131-CT'!$E$7),"131",""))</f>
        <v/>
      </c>
      <c r="O568" s="51" t="str">
        <f>IF(AND($B568&gt;='111'!$N$11,$B568&lt;='111'!$O$11,OR($L568=$O$7,$M568=$O$7)),"x","")</f>
        <v/>
      </c>
      <c r="P568" s="51" t="str">
        <f>IF(AND($L568=$O$7,$B568&lt;'111'!$N$11),"x","")</f>
        <v/>
      </c>
      <c r="Q568" s="51" t="str">
        <f>IF(AND($M568=$O$7,$B568&lt;'111'!$N$11),"x","")</f>
        <v/>
      </c>
      <c r="R568" s="51" t="str">
        <f>IF(ISERROR(FIND('112'!$M$9,G568,1)),"",IF((AND(FIND('112'!$M$9,G568,1)&gt;=1,$B568&gt;='112'!$N$8,$B568&lt;='112'!$O$8,OR($L568='112'!$I$6,$M568='112'!$I$6))),"x",""))</f>
        <v/>
      </c>
      <c r="S568" s="51" t="str">
        <f>IF(ISERROR(FIND('112'!$M$9,G568,1)),"",IF((AND(LEFT(G568,2)=LEFT('112'!$M$9,2),B568&lt;'112'!$N$8,$L568='112'!$I$6)),"x",""))</f>
        <v/>
      </c>
      <c r="T568" s="51" t="str">
        <f>IF(ISERROR(FIND('112'!$M$9,G568,1)),"",IF((AND(RIGHT(G568,2)=RIGHT('112'!$M$9,2),B568&lt;'112'!$N$8,$M568='112'!$I$6)),"x",""))</f>
        <v/>
      </c>
      <c r="U568" s="51" t="str">
        <f>IF(AND(L568="154",'154'!$O$5&lt;=B568,'154'!$P$5&gt;=B568),"154",IF(AND(L568="632",'632'!$L$5&lt;=B568,'632'!$M$5&gt;=B568),"632",IF(AND(L568="642",'642'!$N$5&lt;=B568,'642'!$O$5&gt;=B568),"642",IF(AND(L568="641",'641'!$N$5&lt;=B568,'641'!$O$5&gt;=B568),"641",""))))</f>
        <v/>
      </c>
      <c r="V568" s="51" t="str">
        <f>IF(OR(TH!L568=TH!$V$7,M568=TH!$V$7),"x","")</f>
        <v/>
      </c>
      <c r="W568" s="51" t="str">
        <f>IF(AND(B568&gt;='IN-NX'!$P$3,B568&lt;='IN-NX'!$Q$3,'IN-NX'!$D$7=D568,OR(LEFT(L568,2)="15",AND(LEFT(M568,2)&lt;&gt;"15",LEFT(M568,2)&lt;&gt;"33"))),"x","")</f>
        <v/>
      </c>
      <c r="X568" s="51" t="str">
        <f>IF(AND(OR(LEFT(TH!L568,2)="15",LEFT(TH!M568,2)="15"),'152-CT'!$J$8=TH!F568),"x","")</f>
        <v/>
      </c>
      <c r="Y568" s="51" t="str">
        <f>IF(AND(OR(LEFT(TH!L568,2)="15",LEFT(TH!M568,2)="15"),TK!$E$7=TH!F568),"x","")</f>
        <v/>
      </c>
      <c r="Z568" s="51" t="str">
        <f>IF(AND(B568&lt;=NKC!$N$8,B568&gt;=NKC!$M$8),"x","")</f>
        <v>x</v>
      </c>
      <c r="AA568" s="803"/>
      <c r="AB568" s="565"/>
    </row>
    <row r="569" spans="1:28" ht="15.75" customHeight="1">
      <c r="A569" s="804" t="str">
        <f>IF(B569&lt;&gt;"",IF(AND(B569&gt;=_TM1,B569&lt;=_TM2,OR(TH!L569="1111",TH!M569="1111")),TH!D569,""),"")</f>
        <v/>
      </c>
      <c r="B569" s="36">
        <f t="shared" si="35"/>
        <v>9</v>
      </c>
      <c r="C569" s="189">
        <f t="shared" si="36"/>
        <v>42255</v>
      </c>
      <c r="D569" s="189" t="s">
        <v>1361</v>
      </c>
      <c r="E569" s="189">
        <v>42255</v>
      </c>
      <c r="F569" s="926" t="s">
        <v>496</v>
      </c>
      <c r="G569" s="813" t="s">
        <v>700</v>
      </c>
      <c r="H569" s="191" t="s">
        <v>494</v>
      </c>
      <c r="I569" s="243"/>
      <c r="J569" s="243"/>
      <c r="K569" s="573">
        <v>1817716</v>
      </c>
      <c r="L569" s="574" t="s">
        <v>9</v>
      </c>
      <c r="M569" s="574" t="s">
        <v>8</v>
      </c>
      <c r="N569" s="51" t="str">
        <f>IF(AND('331-CT'!$E$7=TH!H569,OR(L569="331",M569="331")),"331",IF(AND(OR(L569="131",M569="131"),H569='131-CT'!$E$7),"131",""))</f>
        <v/>
      </c>
      <c r="O569" s="51" t="str">
        <f>IF(AND($B569&gt;='111'!$N$11,$B569&lt;='111'!$O$11,OR($L569=$O$7,$M569=$O$7)),"x","")</f>
        <v/>
      </c>
      <c r="P569" s="51" t="str">
        <f>IF(AND($L569=$O$7,$B569&lt;'111'!$N$11),"x","")</f>
        <v/>
      </c>
      <c r="Q569" s="51" t="str">
        <f>IF(AND($M569=$O$7,$B569&lt;'111'!$N$11),"x","")</f>
        <v/>
      </c>
      <c r="R569" s="51" t="str">
        <f>IF(ISERROR(FIND('112'!$M$9,G569,1)),"",IF((AND(FIND('112'!$M$9,G569,1)&gt;=1,$B569&gt;='112'!$N$8,$B569&lt;='112'!$O$8,OR($L569='112'!$I$6,$M569='112'!$I$6))),"x",""))</f>
        <v/>
      </c>
      <c r="S569" s="51" t="str">
        <f>IF(ISERROR(FIND('112'!$M$9,G569,1)),"",IF((AND(LEFT(G569,2)=LEFT('112'!$M$9,2),B569&lt;'112'!$N$8,$L569='112'!$I$6)),"x",""))</f>
        <v/>
      </c>
      <c r="T569" s="51" t="str">
        <f>IF(ISERROR(FIND('112'!$M$9,G569,1)),"",IF((AND(RIGHT(G569,2)=RIGHT('112'!$M$9,2),B569&lt;'112'!$N$8,$M569='112'!$I$6)),"x",""))</f>
        <v/>
      </c>
      <c r="U569" s="51" t="str">
        <f>IF(AND(L569="154",'154'!$O$5&lt;=B569,'154'!$P$5&gt;=B569),"154",IF(AND(L569="632",'632'!$L$5&lt;=B569,'632'!$M$5&gt;=B569),"632",IF(AND(L569="642",'642'!$N$5&lt;=B569,'642'!$O$5&gt;=B569),"642",IF(AND(L569="641",'641'!$N$5&lt;=B569,'641'!$O$5&gt;=B569),"641",""))))</f>
        <v/>
      </c>
      <c r="V569" s="51" t="str">
        <f>IF(OR(TH!L569=TH!$V$7,M569=TH!$V$7),"x","")</f>
        <v/>
      </c>
      <c r="W569" s="51" t="str">
        <f>IF(AND(B569&gt;='IN-NX'!$P$3,B569&lt;='IN-NX'!$Q$3,'IN-NX'!$D$7=D569,OR(LEFT(L569,2)="15",AND(LEFT(M569,2)&lt;&gt;"15",LEFT(M569,2)&lt;&gt;"33"))),"x","")</f>
        <v/>
      </c>
      <c r="X569" s="51" t="str">
        <f>IF(AND(OR(LEFT(TH!L569,2)="15",LEFT(TH!M569,2)="15"),'152-CT'!$J$8=TH!F569),"x","")</f>
        <v/>
      </c>
      <c r="Y569" s="51" t="str">
        <f>IF(AND(OR(LEFT(TH!L569,2)="15",LEFT(TH!M569,2)="15"),TK!$E$7=TH!F569),"x","")</f>
        <v/>
      </c>
      <c r="Z569" s="51" t="str">
        <f>IF(AND(B569&lt;=NKC!$N$8,B569&gt;=NKC!$M$8),"x","")</f>
        <v>x</v>
      </c>
      <c r="AA569" s="803">
        <v>3</v>
      </c>
      <c r="AB569" s="565"/>
    </row>
    <row r="570" spans="1:28" ht="15.75" customHeight="1">
      <c r="A570" s="804" t="str">
        <f>IF(B570&lt;&gt;"",IF(AND(B570&gt;=_TM1,B570&lt;=_TM2,OR(TH!L570="1111",TH!M570="1111")),TH!D570,""),"")</f>
        <v>C23</v>
      </c>
      <c r="B570" s="36">
        <f t="shared" si="35"/>
        <v>9</v>
      </c>
      <c r="C570" s="189">
        <f t="shared" si="36"/>
        <v>42255</v>
      </c>
      <c r="D570" s="189" t="s">
        <v>1384</v>
      </c>
      <c r="E570" s="189">
        <v>42255</v>
      </c>
      <c r="F570" s="187" t="s">
        <v>438</v>
      </c>
      <c r="G570" s="813" t="s">
        <v>700</v>
      </c>
      <c r="H570" s="191" t="s">
        <v>494</v>
      </c>
      <c r="I570" s="243"/>
      <c r="J570" s="243"/>
      <c r="K570" s="573">
        <v>19994876</v>
      </c>
      <c r="L570" s="574" t="s">
        <v>8</v>
      </c>
      <c r="M570" s="574" t="s">
        <v>47</v>
      </c>
      <c r="N570" s="51" t="str">
        <f>IF(AND('331-CT'!$E$7=TH!H570,OR(L570="331",M570="331")),"331",IF(AND(OR(L570="131",M570="131"),H570='131-CT'!$E$7),"131",""))</f>
        <v/>
      </c>
      <c r="O570" s="51" t="str">
        <f>IF(AND($B570&gt;='111'!$N$11,$B570&lt;='111'!$O$11,OR($L570=$O$7,$M570=$O$7)),"x","")</f>
        <v/>
      </c>
      <c r="P570" s="51" t="str">
        <f>IF(AND($L570=$O$7,$B570&lt;'111'!$N$11),"x","")</f>
        <v/>
      </c>
      <c r="Q570" s="51" t="str">
        <f>IF(AND($M570=$O$7,$B570&lt;'111'!$N$11),"x","")</f>
        <v>x</v>
      </c>
      <c r="R570" s="51" t="str">
        <f>IF(ISERROR(FIND('112'!$M$9,G570,1)),"",IF((AND(FIND('112'!$M$9,G570,1)&gt;=1,$B570&gt;='112'!$N$8,$B570&lt;='112'!$O$8,OR($L570='112'!$I$6,$M570='112'!$I$6))),"x",""))</f>
        <v/>
      </c>
      <c r="S570" s="51" t="str">
        <f>IF(ISERROR(FIND('112'!$M$9,G570,1)),"",IF((AND(LEFT(G570,2)=LEFT('112'!$M$9,2),B570&lt;'112'!$N$8,$L570='112'!$I$6)),"x",""))</f>
        <v/>
      </c>
      <c r="T570" s="51" t="str">
        <f>IF(ISERROR(FIND('112'!$M$9,G570,1)),"",IF((AND(RIGHT(G570,2)=RIGHT('112'!$M$9,2),B570&lt;'112'!$N$8,$M570='112'!$I$6)),"x",""))</f>
        <v/>
      </c>
      <c r="U570" s="51" t="str">
        <f>IF(AND(L570="154",'154'!$O$5&lt;=B570,'154'!$P$5&gt;=B570),"154",IF(AND(L570="632",'632'!$L$5&lt;=B570,'632'!$M$5&gt;=B570),"632",IF(AND(L570="642",'642'!$N$5&lt;=B570,'642'!$O$5&gt;=B570),"642",IF(AND(L570="641",'641'!$N$5&lt;=B570,'641'!$O$5&gt;=B570),"641",""))))</f>
        <v/>
      </c>
      <c r="V570" s="51" t="str">
        <f>IF(OR(TH!L570=TH!$V$7,M570=TH!$V$7),"x","")</f>
        <v/>
      </c>
      <c r="W570" s="51" t="str">
        <f>IF(AND(B570&gt;='IN-NX'!$P$3,B570&lt;='IN-NX'!$Q$3,'IN-NX'!$D$7=D570,OR(LEFT(L570,2)="15",AND(LEFT(M570,2)&lt;&gt;"15",LEFT(M570,2)&lt;&gt;"33"))),"x","")</f>
        <v/>
      </c>
      <c r="X570" s="51" t="str">
        <f>IF(AND(OR(LEFT(TH!L570,2)="15",LEFT(TH!M570,2)="15"),'152-CT'!$J$8=TH!F570),"x","")</f>
        <v/>
      </c>
      <c r="Y570" s="51" t="str">
        <f>IF(AND(OR(LEFT(TH!L570,2)="15",LEFT(TH!M570,2)="15"),TK!$E$7=TH!F570),"x","")</f>
        <v/>
      </c>
      <c r="Z570" s="51" t="str">
        <f>IF(AND(B570&lt;=NKC!$N$8,B570&gt;=NKC!$M$8),"x","")</f>
        <v>x</v>
      </c>
      <c r="AA570" s="803"/>
      <c r="AB570" s="565"/>
    </row>
    <row r="571" spans="1:28" ht="15.75" customHeight="1">
      <c r="A571" s="804" t="str">
        <f>IF(B571&lt;&gt;"",IF(AND(B571&gt;=_TM1,B571&lt;=_TM2,OR(TH!L571="1111",TH!M571="1111")),TH!D571,""),"")</f>
        <v/>
      </c>
      <c r="B571" s="36">
        <f t="shared" si="35"/>
        <v>9</v>
      </c>
      <c r="C571" s="189">
        <f t="shared" si="36"/>
        <v>42256</v>
      </c>
      <c r="D571" s="189" t="s">
        <v>1364</v>
      </c>
      <c r="E571" s="189">
        <v>42256</v>
      </c>
      <c r="F571" s="190" t="s">
        <v>668</v>
      </c>
      <c r="G571" s="813" t="s">
        <v>667</v>
      </c>
      <c r="H571" s="191" t="s">
        <v>448</v>
      </c>
      <c r="I571" s="243">
        <v>86</v>
      </c>
      <c r="J571" s="243">
        <v>33640</v>
      </c>
      <c r="K571" s="573">
        <f>ROUND(I571*J571,0)</f>
        <v>2893040</v>
      </c>
      <c r="L571" s="574" t="s">
        <v>417</v>
      </c>
      <c r="M571" s="574" t="s">
        <v>8</v>
      </c>
      <c r="N571" s="51" t="str">
        <f>IF(AND('331-CT'!$E$7=TH!H571,OR(L571="331",M571="331")),"331",IF(AND(OR(L571="131",M571="131"),H571='131-CT'!$E$7),"131",""))</f>
        <v/>
      </c>
      <c r="O571" s="51" t="str">
        <f>IF(AND($B571&gt;='111'!$N$11,$B571&lt;='111'!$O$11,OR($L571=$O$7,$M571=$O$7)),"x","")</f>
        <v/>
      </c>
      <c r="P571" s="51" t="str">
        <f>IF(AND($L571=$O$7,$B571&lt;'111'!$N$11),"x","")</f>
        <v/>
      </c>
      <c r="Q571" s="51" t="str">
        <f>IF(AND($M571=$O$7,$B571&lt;'111'!$N$11),"x","")</f>
        <v/>
      </c>
      <c r="R571" s="51" t="str">
        <f>IF(ISERROR(FIND('112'!$M$9,G571,1)),"",IF((AND(FIND('112'!$M$9,G571,1)&gt;=1,$B571&gt;='112'!$N$8,$B571&lt;='112'!$O$8,OR($L571='112'!$I$6,$M571='112'!$I$6))),"x",""))</f>
        <v/>
      </c>
      <c r="S571" s="51" t="str">
        <f>IF(ISERROR(FIND('112'!$M$9,G571,1)),"",IF((AND(LEFT(G571,2)=LEFT('112'!$M$9,2),B571&lt;'112'!$N$8,$L571='112'!$I$6)),"x",""))</f>
        <v/>
      </c>
      <c r="T571" s="51" t="str">
        <f>IF(ISERROR(FIND('112'!$M$9,G571,1)),"",IF((AND(RIGHT(G571,2)=RIGHT('112'!$M$9,2),B571&lt;'112'!$N$8,$M571='112'!$I$6)),"x",""))</f>
        <v/>
      </c>
      <c r="U571" s="51" t="str">
        <f>IF(AND(L571="154",'154'!$O$5&lt;=B571,'154'!$P$5&gt;=B571),"154",IF(AND(L571="632",'632'!$L$5&lt;=B571,'632'!$M$5&gt;=B571),"632",IF(AND(L571="642",'642'!$N$5&lt;=B571,'642'!$O$5&gt;=B571),"642",IF(AND(L571="641",'641'!$N$5&lt;=B571,'641'!$O$5&gt;=B571),"641",""))))</f>
        <v/>
      </c>
      <c r="V571" s="51" t="str">
        <f>IF(OR(TH!L571=TH!$V$7,M571=TH!$V$7),"x","")</f>
        <v/>
      </c>
      <c r="W571" s="51" t="str">
        <f>IF(AND(B571&gt;='IN-NX'!$P$3,B571&lt;='IN-NX'!$Q$3,'IN-NX'!$D$7=D571,OR(LEFT(L571,2)="15",AND(LEFT(M571,2)&lt;&gt;"15",LEFT(M571,2)&lt;&gt;"33"))),"x","")</f>
        <v/>
      </c>
      <c r="X571" s="51" t="str">
        <f>IF(AND(OR(LEFT(TH!L571,2)="15",LEFT(TH!M571,2)="15"),'152-CT'!$J$8=TH!F571),"x","")</f>
        <v/>
      </c>
      <c r="Y571" s="51" t="str">
        <f>IF(AND(OR(LEFT(TH!L571,2)="15",LEFT(TH!M571,2)="15"),TK!$E$7=TH!F571),"x","")</f>
        <v/>
      </c>
      <c r="Z571" s="51" t="str">
        <f>IF(AND(B571&lt;=NKC!$N$8,B571&gt;=NKC!$M$8),"x","")</f>
        <v>x</v>
      </c>
      <c r="AA571" s="803"/>
      <c r="AB571" s="565"/>
    </row>
    <row r="572" spans="1:28" ht="15.75" customHeight="1">
      <c r="A572" s="804" t="str">
        <f>IF(B572&lt;&gt;"",IF(AND(B572&gt;=_TM1,B572&lt;=_TM2,OR(TH!L572="1111",TH!M572="1111")),TH!D572,""),"")</f>
        <v/>
      </c>
      <c r="B572" s="36">
        <f t="shared" si="35"/>
        <v>9</v>
      </c>
      <c r="C572" s="189">
        <f t="shared" si="36"/>
        <v>42256</v>
      </c>
      <c r="D572" s="189" t="s">
        <v>1364</v>
      </c>
      <c r="E572" s="189">
        <v>42256</v>
      </c>
      <c r="F572" s="190" t="s">
        <v>669</v>
      </c>
      <c r="G572" s="813" t="s">
        <v>667</v>
      </c>
      <c r="H572" s="191" t="s">
        <v>448</v>
      </c>
      <c r="I572" s="243">
        <v>500</v>
      </c>
      <c r="J572" s="243">
        <v>12238</v>
      </c>
      <c r="K572" s="573">
        <f>ROUND(I572*J572,0)</f>
        <v>6119000</v>
      </c>
      <c r="L572" s="574" t="s">
        <v>417</v>
      </c>
      <c r="M572" s="574" t="s">
        <v>8</v>
      </c>
      <c r="N572" s="51" t="str">
        <f>IF(AND('331-CT'!$E$7=TH!H572,OR(L572="331",M572="331")),"331",IF(AND(OR(L572="131",M572="131"),H572='131-CT'!$E$7),"131",""))</f>
        <v/>
      </c>
      <c r="O572" s="51" t="str">
        <f>IF(AND($B572&gt;='111'!$N$11,$B572&lt;='111'!$O$11,OR($L572=$O$7,$M572=$O$7)),"x","")</f>
        <v/>
      </c>
      <c r="P572" s="51" t="str">
        <f>IF(AND($L572=$O$7,$B572&lt;'111'!$N$11),"x","")</f>
        <v/>
      </c>
      <c r="Q572" s="51" t="str">
        <f>IF(AND($M572=$O$7,$B572&lt;'111'!$N$11),"x","")</f>
        <v/>
      </c>
      <c r="R572" s="51" t="str">
        <f>IF(ISERROR(FIND('112'!$M$9,G572,1)),"",IF((AND(FIND('112'!$M$9,G572,1)&gt;=1,$B572&gt;='112'!$N$8,$B572&lt;='112'!$O$8,OR($L572='112'!$I$6,$M572='112'!$I$6))),"x",""))</f>
        <v/>
      </c>
      <c r="S572" s="51" t="str">
        <f>IF(ISERROR(FIND('112'!$M$9,G572,1)),"",IF((AND(LEFT(G572,2)=LEFT('112'!$M$9,2),B572&lt;'112'!$N$8,$L572='112'!$I$6)),"x",""))</f>
        <v/>
      </c>
      <c r="T572" s="51" t="str">
        <f>IF(ISERROR(FIND('112'!$M$9,G572,1)),"",IF((AND(RIGHT(G572,2)=RIGHT('112'!$M$9,2),B572&lt;'112'!$N$8,$M572='112'!$I$6)),"x",""))</f>
        <v/>
      </c>
      <c r="U572" s="51" t="str">
        <f>IF(AND(L572="154",'154'!$O$5&lt;=B572,'154'!$P$5&gt;=B572),"154",IF(AND(L572="632",'632'!$L$5&lt;=B572,'632'!$M$5&gt;=B572),"632",IF(AND(L572="642",'642'!$N$5&lt;=B572,'642'!$O$5&gt;=B572),"642",IF(AND(L572="641",'641'!$N$5&lt;=B572,'641'!$O$5&gt;=B572),"641",""))))</f>
        <v/>
      </c>
      <c r="V572" s="51" t="str">
        <f>IF(OR(TH!L572=TH!$V$7,M572=TH!$V$7),"x","")</f>
        <v/>
      </c>
      <c r="W572" s="51" t="str">
        <f>IF(AND(B572&gt;='IN-NX'!$P$3,B572&lt;='IN-NX'!$Q$3,'IN-NX'!$D$7=D572,OR(LEFT(L572,2)="15",AND(LEFT(M572,2)&lt;&gt;"15",LEFT(M572,2)&lt;&gt;"33"))),"x","")</f>
        <v/>
      </c>
      <c r="X572" s="51" t="str">
        <f>IF(AND(OR(LEFT(TH!L572,2)="15",LEFT(TH!M572,2)="15"),'152-CT'!$J$8=TH!F572),"x","")</f>
        <v/>
      </c>
      <c r="Y572" s="51" t="str">
        <f>IF(AND(OR(LEFT(TH!L572,2)="15",LEFT(TH!M572,2)="15"),TK!$E$7=TH!F572),"x","")</f>
        <v/>
      </c>
      <c r="Z572" s="51" t="str">
        <f>IF(AND(B572&lt;=NKC!$N$8,B572&gt;=NKC!$M$8),"x","")</f>
        <v>x</v>
      </c>
      <c r="AA572" s="803"/>
      <c r="AB572" s="565"/>
    </row>
    <row r="573" spans="1:28" ht="15.75" customHeight="1">
      <c r="A573" s="804" t="str">
        <f>IF(B573&lt;&gt;"",IF(AND(B573&gt;=_TM1,B573&lt;=_TM2,OR(TH!L573="1111",TH!M573="1111")),TH!D573,""),"")</f>
        <v/>
      </c>
      <c r="B573" s="36">
        <f t="shared" si="35"/>
        <v>9</v>
      </c>
      <c r="C573" s="189">
        <f t="shared" si="36"/>
        <v>42256</v>
      </c>
      <c r="D573" s="189" t="s">
        <v>1364</v>
      </c>
      <c r="E573" s="189">
        <v>42256</v>
      </c>
      <c r="F573" s="922" t="s">
        <v>670</v>
      </c>
      <c r="G573" s="813" t="s">
        <v>667</v>
      </c>
      <c r="H573" s="191" t="s">
        <v>448</v>
      </c>
      <c r="I573" s="243">
        <v>350</v>
      </c>
      <c r="J573" s="243">
        <v>12546</v>
      </c>
      <c r="K573" s="573">
        <f>ROUND(I573*J573,0)</f>
        <v>4391100</v>
      </c>
      <c r="L573" s="574" t="s">
        <v>417</v>
      </c>
      <c r="M573" s="574" t="s">
        <v>8</v>
      </c>
      <c r="N573" s="51" t="str">
        <f>IF(AND('331-CT'!$E$7=TH!H573,OR(L573="331",M573="331")),"331",IF(AND(OR(L573="131",M573="131"),H573='131-CT'!$E$7),"131",""))</f>
        <v/>
      </c>
      <c r="O573" s="51" t="str">
        <f>IF(AND($B573&gt;='111'!$N$11,$B573&lt;='111'!$O$11,OR($L573=$O$7,$M573=$O$7)),"x","")</f>
        <v/>
      </c>
      <c r="P573" s="51" t="str">
        <f>IF(AND($L573=$O$7,$B573&lt;'111'!$N$11),"x","")</f>
        <v/>
      </c>
      <c r="Q573" s="51" t="str">
        <f>IF(AND($M573=$O$7,$B573&lt;'111'!$N$11),"x","")</f>
        <v/>
      </c>
      <c r="R573" s="51" t="str">
        <f>IF(ISERROR(FIND('112'!$M$9,G573,1)),"",IF((AND(FIND('112'!$M$9,G573,1)&gt;=1,$B573&gt;='112'!$N$8,$B573&lt;='112'!$O$8,OR($L573='112'!$I$6,$M573='112'!$I$6))),"x",""))</f>
        <v/>
      </c>
      <c r="S573" s="51" t="str">
        <f>IF(ISERROR(FIND('112'!$M$9,G573,1)),"",IF((AND(LEFT(G573,2)=LEFT('112'!$M$9,2),B573&lt;'112'!$N$8,$L573='112'!$I$6)),"x",""))</f>
        <v/>
      </c>
      <c r="T573" s="51" t="str">
        <f>IF(ISERROR(FIND('112'!$M$9,G573,1)),"",IF((AND(RIGHT(G573,2)=RIGHT('112'!$M$9,2),B573&lt;'112'!$N$8,$M573='112'!$I$6)),"x",""))</f>
        <v/>
      </c>
      <c r="U573" s="51" t="str">
        <f>IF(AND(L573="154",'154'!$O$5&lt;=B573,'154'!$P$5&gt;=B573),"154",IF(AND(L573="632",'632'!$L$5&lt;=B573,'632'!$M$5&gt;=B573),"632",IF(AND(L573="642",'642'!$N$5&lt;=B573,'642'!$O$5&gt;=B573),"642",IF(AND(L573="641",'641'!$N$5&lt;=B573,'641'!$O$5&gt;=B573),"641",""))))</f>
        <v/>
      </c>
      <c r="V573" s="51" t="str">
        <f>IF(OR(TH!L573=TH!$V$7,M573=TH!$V$7),"x","")</f>
        <v/>
      </c>
      <c r="W573" s="51" t="str">
        <f>IF(AND(B573&gt;='IN-NX'!$P$3,B573&lt;='IN-NX'!$Q$3,'IN-NX'!$D$7=D573,OR(LEFT(L573,2)="15",AND(LEFT(M573,2)&lt;&gt;"15",LEFT(M573,2)&lt;&gt;"33"))),"x","")</f>
        <v/>
      </c>
      <c r="X573" s="51" t="str">
        <f>IF(AND(OR(LEFT(TH!L573,2)="15",LEFT(TH!M573,2)="15"),'152-CT'!$J$8=TH!F573),"x","")</f>
        <v/>
      </c>
      <c r="Y573" s="51" t="str">
        <f>IF(AND(OR(LEFT(TH!L573,2)="15",LEFT(TH!M573,2)="15"),TK!$E$7=TH!F573),"x","")</f>
        <v/>
      </c>
      <c r="Z573" s="51" t="str">
        <f>IF(AND(B573&lt;=NKC!$N$8,B573&gt;=NKC!$M$8),"x","")</f>
        <v>x</v>
      </c>
      <c r="AA573" s="803"/>
      <c r="AB573" s="565"/>
    </row>
    <row r="574" spans="1:28" ht="15.75" customHeight="1">
      <c r="A574" s="804" t="str">
        <f>IF(B574&lt;&gt;"",IF(AND(B574&gt;=_TM1,B574&lt;=_TM2,OR(TH!L574="1111",TH!M574="1111")),TH!D574,""),"")</f>
        <v/>
      </c>
      <c r="B574" s="36">
        <f t="shared" si="35"/>
        <v>9</v>
      </c>
      <c r="C574" s="189">
        <f t="shared" si="36"/>
        <v>42256</v>
      </c>
      <c r="D574" s="189" t="s">
        <v>1364</v>
      </c>
      <c r="E574" s="189">
        <v>42256</v>
      </c>
      <c r="F574" s="190" t="s">
        <v>468</v>
      </c>
      <c r="G574" s="813" t="s">
        <v>667</v>
      </c>
      <c r="H574" s="191" t="s">
        <v>448</v>
      </c>
      <c r="I574" s="243"/>
      <c r="J574" s="243"/>
      <c r="K574" s="573">
        <v>1340314</v>
      </c>
      <c r="L574" s="574" t="s">
        <v>9</v>
      </c>
      <c r="M574" s="574" t="s">
        <v>8</v>
      </c>
      <c r="N574" s="51" t="str">
        <f>IF(AND('331-CT'!$E$7=TH!H574,OR(L574="331",M574="331")),"331",IF(AND(OR(L574="131",M574="131"),H574='131-CT'!$E$7),"131",""))</f>
        <v/>
      </c>
      <c r="O574" s="51" t="str">
        <f>IF(AND($B574&gt;='111'!$N$11,$B574&lt;='111'!$O$11,OR($L574=$O$7,$M574=$O$7)),"x","")</f>
        <v/>
      </c>
      <c r="P574" s="51" t="str">
        <f>IF(AND($L574=$O$7,$B574&lt;'111'!$N$11),"x","")</f>
        <v/>
      </c>
      <c r="Q574" s="51" t="str">
        <f>IF(AND($M574=$O$7,$B574&lt;'111'!$N$11),"x","")</f>
        <v/>
      </c>
      <c r="R574" s="51" t="str">
        <f>IF(ISERROR(FIND('112'!$M$9,G574,1)),"",IF((AND(FIND('112'!$M$9,G574,1)&gt;=1,$B574&gt;='112'!$N$8,$B574&lt;='112'!$O$8,OR($L574='112'!$I$6,$M574='112'!$I$6))),"x",""))</f>
        <v/>
      </c>
      <c r="S574" s="51" t="str">
        <f>IF(ISERROR(FIND('112'!$M$9,G574,1)),"",IF((AND(LEFT(G574,2)=LEFT('112'!$M$9,2),B574&lt;'112'!$N$8,$L574='112'!$I$6)),"x",""))</f>
        <v/>
      </c>
      <c r="T574" s="51" t="str">
        <f>IF(ISERROR(FIND('112'!$M$9,G574,1)),"",IF((AND(RIGHT(G574,2)=RIGHT('112'!$M$9,2),B574&lt;'112'!$N$8,$M574='112'!$I$6)),"x",""))</f>
        <v/>
      </c>
      <c r="U574" s="51" t="str">
        <f>IF(AND(L574="154",'154'!$O$5&lt;=B574,'154'!$P$5&gt;=B574),"154",IF(AND(L574="632",'632'!$L$5&lt;=B574,'632'!$M$5&gt;=B574),"632",IF(AND(L574="642",'642'!$N$5&lt;=B574,'642'!$O$5&gt;=B574),"642",IF(AND(L574="641",'641'!$N$5&lt;=B574,'641'!$O$5&gt;=B574),"641",""))))</f>
        <v/>
      </c>
      <c r="V574" s="51" t="str">
        <f>IF(OR(TH!L574=TH!$V$7,M574=TH!$V$7),"x","")</f>
        <v/>
      </c>
      <c r="W574" s="51" t="str">
        <f>IF(AND(B574&gt;='IN-NX'!$P$3,B574&lt;='IN-NX'!$Q$3,'IN-NX'!$D$7=D574,OR(LEFT(L574,2)="15",AND(LEFT(M574,2)&lt;&gt;"15",LEFT(M574,2)&lt;&gt;"33"))),"x","")</f>
        <v/>
      </c>
      <c r="X574" s="51" t="str">
        <f>IF(AND(OR(LEFT(TH!L574,2)="15",LEFT(TH!M574,2)="15"),'152-CT'!$J$8=TH!F574),"x","")</f>
        <v/>
      </c>
      <c r="Y574" s="51" t="str">
        <f>IF(AND(OR(LEFT(TH!L574,2)="15",LEFT(TH!M574,2)="15"),TK!$E$7=TH!F574),"x","")</f>
        <v/>
      </c>
      <c r="Z574" s="51" t="str">
        <f>IF(AND(B574&lt;=NKC!$N$8,B574&gt;=NKC!$M$8),"x","")</f>
        <v>x</v>
      </c>
      <c r="AA574" s="803">
        <v>3</v>
      </c>
      <c r="AB574" s="565"/>
    </row>
    <row r="575" spans="1:28" ht="15.75" customHeight="1">
      <c r="A575" s="804" t="str">
        <f>IF(B575&lt;&gt;"",IF(AND(B575&gt;=_TM1,B575&lt;=_TM2,OR(TH!L575="1111",TH!M575="1111")),TH!D575,""),"")</f>
        <v/>
      </c>
      <c r="B575" s="36">
        <f t="shared" si="35"/>
        <v>9</v>
      </c>
      <c r="C575" s="189">
        <f t="shared" si="36"/>
        <v>42257</v>
      </c>
      <c r="D575" s="189" t="s">
        <v>1365</v>
      </c>
      <c r="E575" s="189">
        <v>42257</v>
      </c>
      <c r="F575" s="190" t="s">
        <v>701</v>
      </c>
      <c r="G575" s="813" t="s">
        <v>702</v>
      </c>
      <c r="H575" s="191" t="s">
        <v>494</v>
      </c>
      <c r="I575" s="243">
        <v>50</v>
      </c>
      <c r="J575" s="243">
        <v>285200</v>
      </c>
      <c r="K575" s="573">
        <f>ROUND(I575*J575,0)</f>
        <v>14260000</v>
      </c>
      <c r="L575" s="574" t="s">
        <v>417</v>
      </c>
      <c r="M575" s="574" t="s">
        <v>8</v>
      </c>
      <c r="N575" s="51" t="str">
        <f>IF(AND('331-CT'!$E$7=TH!H575,OR(L575="331",M575="331")),"331",IF(AND(OR(L575="131",M575="131"),H575='131-CT'!$E$7),"131",""))</f>
        <v/>
      </c>
      <c r="O575" s="51" t="str">
        <f>IF(AND($B575&gt;='111'!$N$11,$B575&lt;='111'!$O$11,OR($L575=$O$7,$M575=$O$7)),"x","")</f>
        <v/>
      </c>
      <c r="P575" s="51" t="str">
        <f>IF(AND($L575=$O$7,$B575&lt;'111'!$N$11),"x","")</f>
        <v/>
      </c>
      <c r="Q575" s="51" t="str">
        <f>IF(AND($M575=$O$7,$B575&lt;'111'!$N$11),"x","")</f>
        <v/>
      </c>
      <c r="R575" s="51" t="str">
        <f>IF(ISERROR(FIND('112'!$M$9,G575,1)),"",IF((AND(FIND('112'!$M$9,G575,1)&gt;=1,$B575&gt;='112'!$N$8,$B575&lt;='112'!$O$8,OR($L575='112'!$I$6,$M575='112'!$I$6))),"x",""))</f>
        <v/>
      </c>
      <c r="S575" s="51" t="str">
        <f>IF(ISERROR(FIND('112'!$M$9,G575,1)),"",IF((AND(LEFT(G575,2)=LEFT('112'!$M$9,2),B575&lt;'112'!$N$8,$L575='112'!$I$6)),"x",""))</f>
        <v/>
      </c>
      <c r="T575" s="51" t="str">
        <f>IF(ISERROR(FIND('112'!$M$9,G575,1)),"",IF((AND(RIGHT(G575,2)=RIGHT('112'!$M$9,2),B575&lt;'112'!$N$8,$M575='112'!$I$6)),"x",""))</f>
        <v/>
      </c>
      <c r="U575" s="51" t="str">
        <f>IF(AND(L575="154",'154'!$O$5&lt;=B575,'154'!$P$5&gt;=B575),"154",IF(AND(L575="632",'632'!$L$5&lt;=B575,'632'!$M$5&gt;=B575),"632",IF(AND(L575="642",'642'!$N$5&lt;=B575,'642'!$O$5&gt;=B575),"642",IF(AND(L575="641",'641'!$N$5&lt;=B575,'641'!$O$5&gt;=B575),"641",""))))</f>
        <v/>
      </c>
      <c r="V575" s="51" t="str">
        <f>IF(OR(TH!L575=TH!$V$7,M575=TH!$V$7),"x","")</f>
        <v/>
      </c>
      <c r="W575" s="51" t="str">
        <f>IF(AND(B575&gt;='IN-NX'!$P$3,B575&lt;='IN-NX'!$Q$3,'IN-NX'!$D$7=D575,OR(LEFT(L575,2)="15",AND(LEFT(M575,2)&lt;&gt;"15",LEFT(M575,2)&lt;&gt;"33"))),"x","")</f>
        <v/>
      </c>
      <c r="X575" s="51" t="str">
        <f>IF(AND(OR(LEFT(TH!L575,2)="15",LEFT(TH!M575,2)="15"),'152-CT'!$J$8=TH!F575),"x","")</f>
        <v/>
      </c>
      <c r="Y575" s="51" t="str">
        <f>IF(AND(OR(LEFT(TH!L575,2)="15",LEFT(TH!M575,2)="15"),TK!$E$7=TH!F575),"x","")</f>
        <v/>
      </c>
      <c r="Z575" s="51" t="str">
        <f>IF(AND(B575&lt;=NKC!$N$8,B575&gt;=NKC!$M$8),"x","")</f>
        <v>x</v>
      </c>
      <c r="AA575" s="803"/>
      <c r="AB575" s="565"/>
    </row>
    <row r="576" spans="1:28" ht="15.75" customHeight="1">
      <c r="A576" s="804" t="str">
        <f>IF(B576&lt;&gt;"",IF(AND(B576&gt;=_TM1,B576&lt;=_TM2,OR(TH!L576="1111",TH!M576="1111")),TH!D576,""),"")</f>
        <v/>
      </c>
      <c r="B576" s="36">
        <f t="shared" si="35"/>
        <v>9</v>
      </c>
      <c r="C576" s="189">
        <f t="shared" si="36"/>
        <v>42257</v>
      </c>
      <c r="D576" s="189" t="s">
        <v>1365</v>
      </c>
      <c r="E576" s="189">
        <v>42257</v>
      </c>
      <c r="F576" s="190" t="s">
        <v>496</v>
      </c>
      <c r="G576" s="813" t="s">
        <v>702</v>
      </c>
      <c r="H576" s="191" t="s">
        <v>494</v>
      </c>
      <c r="I576" s="243"/>
      <c r="J576" s="243"/>
      <c r="K576" s="573">
        <v>1426000</v>
      </c>
      <c r="L576" s="574" t="s">
        <v>9</v>
      </c>
      <c r="M576" s="574" t="s">
        <v>8</v>
      </c>
      <c r="N576" s="51" t="str">
        <f>IF(AND('331-CT'!$E$7=TH!H576,OR(L576="331",M576="331")),"331",IF(AND(OR(L576="131",M576="131"),H576='131-CT'!$E$7),"131",""))</f>
        <v/>
      </c>
      <c r="O576" s="51" t="str">
        <f>IF(AND($B576&gt;='111'!$N$11,$B576&lt;='111'!$O$11,OR($L576=$O$7,$M576=$O$7)),"x","")</f>
        <v/>
      </c>
      <c r="P576" s="51" t="str">
        <f>IF(AND($L576=$O$7,$B576&lt;'111'!$N$11),"x","")</f>
        <v/>
      </c>
      <c r="Q576" s="51" t="str">
        <f>IF(AND($M576=$O$7,$B576&lt;'111'!$N$11),"x","")</f>
        <v/>
      </c>
      <c r="R576" s="51" t="str">
        <f>IF(ISERROR(FIND('112'!$M$9,G576,1)),"",IF((AND(FIND('112'!$M$9,G576,1)&gt;=1,$B576&gt;='112'!$N$8,$B576&lt;='112'!$O$8,OR($L576='112'!$I$6,$M576='112'!$I$6))),"x",""))</f>
        <v/>
      </c>
      <c r="S576" s="51" t="str">
        <f>IF(ISERROR(FIND('112'!$M$9,G576,1)),"",IF((AND(LEFT(G576,2)=LEFT('112'!$M$9,2),B576&lt;'112'!$N$8,$L576='112'!$I$6)),"x",""))</f>
        <v/>
      </c>
      <c r="T576" s="51" t="str">
        <f>IF(ISERROR(FIND('112'!$M$9,G576,1)),"",IF((AND(RIGHT(G576,2)=RIGHT('112'!$M$9,2),B576&lt;'112'!$N$8,$M576='112'!$I$6)),"x",""))</f>
        <v/>
      </c>
      <c r="U576" s="51" t="str">
        <f>IF(AND(L576="154",'154'!$O$5&lt;=B576,'154'!$P$5&gt;=B576),"154",IF(AND(L576="632",'632'!$L$5&lt;=B576,'632'!$M$5&gt;=B576),"632",IF(AND(L576="642",'642'!$N$5&lt;=B576,'642'!$O$5&gt;=B576),"642",IF(AND(L576="641",'641'!$N$5&lt;=B576,'641'!$O$5&gt;=B576),"641",""))))</f>
        <v/>
      </c>
      <c r="V576" s="51" t="str">
        <f>IF(OR(TH!L576=TH!$V$7,M576=TH!$V$7),"x","")</f>
        <v/>
      </c>
      <c r="W576" s="51" t="str">
        <f>IF(AND(B576&gt;='IN-NX'!$P$3,B576&lt;='IN-NX'!$Q$3,'IN-NX'!$D$7=D576,OR(LEFT(L576,2)="15",AND(LEFT(M576,2)&lt;&gt;"15",LEFT(M576,2)&lt;&gt;"33"))),"x","")</f>
        <v/>
      </c>
      <c r="X576" s="51" t="str">
        <f>IF(AND(OR(LEFT(TH!L576,2)="15",LEFT(TH!M576,2)="15"),'152-CT'!$J$8=TH!F576),"x","")</f>
        <v/>
      </c>
      <c r="Y576" s="51" t="str">
        <f>IF(AND(OR(LEFT(TH!L576,2)="15",LEFT(TH!M576,2)="15"),TK!$E$7=TH!F576),"x","")</f>
        <v/>
      </c>
      <c r="Z576" s="51" t="str">
        <f>IF(AND(B576&lt;=NKC!$N$8,B576&gt;=NKC!$M$8),"x","")</f>
        <v>x</v>
      </c>
      <c r="AA576" s="803">
        <v>3</v>
      </c>
      <c r="AB576" s="565"/>
    </row>
    <row r="577" spans="1:30" ht="15.75" customHeight="1">
      <c r="A577" s="804" t="str">
        <f>IF(B577&lt;&gt;"",IF(AND(B577&gt;=_TM1,B577&lt;=_TM2,OR(TH!L577="1111",TH!M577="1111")),TH!D577,""),"")</f>
        <v>C24</v>
      </c>
      <c r="B577" s="36">
        <f t="shared" si="35"/>
        <v>9</v>
      </c>
      <c r="C577" s="189">
        <f t="shared" si="36"/>
        <v>42257</v>
      </c>
      <c r="D577" s="189" t="s">
        <v>346</v>
      </c>
      <c r="E577" s="189">
        <v>42257</v>
      </c>
      <c r="F577" s="187" t="s">
        <v>438</v>
      </c>
      <c r="G577" s="813" t="s">
        <v>702</v>
      </c>
      <c r="H577" s="191" t="s">
        <v>494</v>
      </c>
      <c r="I577" s="243"/>
      <c r="J577" s="243"/>
      <c r="K577" s="573">
        <v>15686000</v>
      </c>
      <c r="L577" s="574" t="s">
        <v>8</v>
      </c>
      <c r="M577" s="574" t="s">
        <v>47</v>
      </c>
      <c r="N577" s="51" t="str">
        <f>IF(AND('331-CT'!$E$7=TH!H577,OR(L577="331",M577="331")),"331",IF(AND(OR(L577="131",M577="131"),H577='131-CT'!$E$7),"131",""))</f>
        <v/>
      </c>
      <c r="O577" s="51" t="str">
        <f>IF(AND($B577&gt;='111'!$N$11,$B577&lt;='111'!$O$11,OR($L577=$O$7,$M577=$O$7)),"x","")</f>
        <v/>
      </c>
      <c r="P577" s="51" t="str">
        <f>IF(AND($L577=$O$7,$B577&lt;'111'!$N$11),"x","")</f>
        <v/>
      </c>
      <c r="Q577" s="51" t="str">
        <f>IF(AND($M577=$O$7,$B577&lt;'111'!$N$11),"x","")</f>
        <v>x</v>
      </c>
      <c r="R577" s="51" t="str">
        <f>IF(ISERROR(FIND('112'!$M$9,G577,1)),"",IF((AND(FIND('112'!$M$9,G577,1)&gt;=1,$B577&gt;='112'!$N$8,$B577&lt;='112'!$O$8,OR($L577='112'!$I$6,$M577='112'!$I$6))),"x",""))</f>
        <v/>
      </c>
      <c r="S577" s="51" t="str">
        <f>IF(ISERROR(FIND('112'!$M$9,G577,1)),"",IF((AND(LEFT(G577,2)=LEFT('112'!$M$9,2),B577&lt;'112'!$N$8,$L577='112'!$I$6)),"x",""))</f>
        <v/>
      </c>
      <c r="T577" s="51" t="str">
        <f>IF(ISERROR(FIND('112'!$M$9,G577,1)),"",IF((AND(RIGHT(G577,2)=RIGHT('112'!$M$9,2),B577&lt;'112'!$N$8,$M577='112'!$I$6)),"x",""))</f>
        <v/>
      </c>
      <c r="U577" s="51" t="str">
        <f>IF(AND(L577="154",'154'!$O$5&lt;=B577,'154'!$P$5&gt;=B577),"154",IF(AND(L577="632",'632'!$L$5&lt;=B577,'632'!$M$5&gt;=B577),"632",IF(AND(L577="642",'642'!$N$5&lt;=B577,'642'!$O$5&gt;=B577),"642",IF(AND(L577="641",'641'!$N$5&lt;=B577,'641'!$O$5&gt;=B577),"641",""))))</f>
        <v/>
      </c>
      <c r="V577" s="51" t="str">
        <f>IF(OR(TH!L577=TH!$V$7,M577=TH!$V$7),"x","")</f>
        <v/>
      </c>
      <c r="W577" s="51" t="str">
        <f>IF(AND(B577&gt;='IN-NX'!$P$3,B577&lt;='IN-NX'!$Q$3,'IN-NX'!$D$7=D577,OR(LEFT(L577,2)="15",AND(LEFT(M577,2)&lt;&gt;"15",LEFT(M577,2)&lt;&gt;"33"))),"x","")</f>
        <v/>
      </c>
      <c r="X577" s="51" t="str">
        <f>IF(AND(OR(LEFT(TH!L577,2)="15",LEFT(TH!M577,2)="15"),'152-CT'!$J$8=TH!F577),"x","")</f>
        <v/>
      </c>
      <c r="Y577" s="51" t="str">
        <f>IF(AND(OR(LEFT(TH!L577,2)="15",LEFT(TH!M577,2)="15"),TK!$E$7=TH!F577),"x","")</f>
        <v/>
      </c>
      <c r="Z577" s="51" t="str">
        <f>IF(AND(B577&lt;=NKC!$N$8,B577&gt;=NKC!$M$8),"x","")</f>
        <v>x</v>
      </c>
      <c r="AA577" s="803"/>
      <c r="AB577" s="565"/>
    </row>
    <row r="578" spans="1:30" ht="15.75" customHeight="1">
      <c r="A578" s="804" t="str">
        <f>IF(B578&lt;&gt;"",IF(AND(B578&gt;=_TM1,B578&lt;=_TM2,OR(TH!L578="1111",TH!M578="1111")),TH!D578,""),"")</f>
        <v/>
      </c>
      <c r="B578" s="36">
        <f t="shared" si="35"/>
        <v>9</v>
      </c>
      <c r="C578" s="189">
        <f t="shared" si="36"/>
        <v>42259</v>
      </c>
      <c r="D578" s="189" t="s">
        <v>1297</v>
      </c>
      <c r="E578" s="189">
        <v>42259</v>
      </c>
      <c r="F578" s="190" t="s">
        <v>693</v>
      </c>
      <c r="G578" s="813" t="s">
        <v>1028</v>
      </c>
      <c r="H578" s="191" t="s">
        <v>1029</v>
      </c>
      <c r="I578" s="243">
        <v>200</v>
      </c>
      <c r="J578" s="243">
        <v>6000</v>
      </c>
      <c r="K578" s="573">
        <f>ROUND(I578*J578,0)</f>
        <v>1200000</v>
      </c>
      <c r="L578" s="574" t="s">
        <v>250</v>
      </c>
      <c r="M578" s="574" t="s">
        <v>164</v>
      </c>
      <c r="N578" s="51" t="str">
        <f>IF(AND('331-CT'!$E$7=TH!H578,OR(L578="331",M578="331")),"331",IF(AND(OR(L578="131",M578="131"),H578='131-CT'!$E$7),"131",""))</f>
        <v/>
      </c>
      <c r="O578" s="51" t="str">
        <f>IF(AND($B578&gt;='111'!$N$11,$B578&lt;='111'!$O$11,OR($L578=$O$7,$M578=$O$7)),"x","")</f>
        <v/>
      </c>
      <c r="P578" s="51" t="str">
        <f>IF(AND($L578=$O$7,$B578&lt;'111'!$N$11),"x","")</f>
        <v/>
      </c>
      <c r="Q578" s="51" t="str">
        <f>IF(AND($M578=$O$7,$B578&lt;'111'!$N$11),"x","")</f>
        <v/>
      </c>
      <c r="R578" s="51" t="str">
        <f>IF(ISERROR(FIND('112'!$M$9,G578,1)),"",IF((AND(FIND('112'!$M$9,G578,1)&gt;=1,$B578&gt;='112'!$N$8,$B578&lt;='112'!$O$8,OR($L578='112'!$I$6,$M578='112'!$I$6))),"x",""))</f>
        <v/>
      </c>
      <c r="S578" s="51" t="str">
        <f>IF(ISERROR(FIND('112'!$M$9,G578,1)),"",IF((AND(LEFT(G578,2)=LEFT('112'!$M$9,2),B578&lt;'112'!$N$8,$L578='112'!$I$6)),"x",""))</f>
        <v/>
      </c>
      <c r="T578" s="51" t="str">
        <f>IF(ISERROR(FIND('112'!$M$9,G578,1)),"",IF((AND(RIGHT(G578,2)=RIGHT('112'!$M$9,2),B578&lt;'112'!$N$8,$M578='112'!$I$6)),"x",""))</f>
        <v/>
      </c>
      <c r="U578" s="51" t="str">
        <f>IF(AND(L578="154",'154'!$O$5&lt;=B578,'154'!$P$5&gt;=B578),"154",IF(AND(L578="632",'632'!$L$5&lt;=B578,'632'!$M$5&gt;=B578),"632",IF(AND(L578="642",'642'!$N$5&lt;=B578,'642'!$O$5&gt;=B578),"642",IF(AND(L578="641",'641'!$N$5&lt;=B578,'641'!$O$5&gt;=B578),"641",""))))</f>
        <v/>
      </c>
      <c r="V578" s="51" t="str">
        <f>IF(OR(TH!L578=TH!$V$7,M578=TH!$V$7),"x","")</f>
        <v/>
      </c>
      <c r="W578" s="51" t="str">
        <f>IF(AND(B578&gt;='IN-NX'!$P$3,B578&lt;='IN-NX'!$Q$3,'IN-NX'!$D$7=D578,OR(LEFT(L578,2)="15",AND(LEFT(M578,2)&lt;&gt;"15",LEFT(M578,2)&lt;&gt;"33"))),"x","")</f>
        <v/>
      </c>
      <c r="X578" s="51" t="str">
        <f>IF(AND(OR(LEFT(TH!L578,2)="15",LEFT(TH!M578,2)="15"),'152-CT'!$J$8=TH!F578),"x","")</f>
        <v/>
      </c>
      <c r="Y578" s="51" t="str">
        <f>IF(AND(OR(LEFT(TH!L578,2)="15",LEFT(TH!M578,2)="15"),TK!$E$7=TH!F578),"x","")</f>
        <v/>
      </c>
      <c r="Z578" s="51" t="str">
        <f>IF(AND(B578&lt;=NKC!$N$8,B578&gt;=NKC!$M$8),"x","")</f>
        <v>x</v>
      </c>
      <c r="AA578" s="803"/>
      <c r="AB578" s="565"/>
    </row>
    <row r="579" spans="1:30" ht="15.75" customHeight="1">
      <c r="A579" s="804" t="str">
        <f>IF(B579&lt;&gt;"",IF(AND(B579&gt;=_TM1,B579&lt;=_TM2,OR(TH!L579="1111",TH!M579="1111")),TH!D579,""),"")</f>
        <v/>
      </c>
      <c r="B579" s="36">
        <f t="shared" si="35"/>
        <v>9</v>
      </c>
      <c r="C579" s="189">
        <f t="shared" si="36"/>
        <v>42259</v>
      </c>
      <c r="D579" s="189" t="s">
        <v>1297</v>
      </c>
      <c r="E579" s="189">
        <v>42259</v>
      </c>
      <c r="F579" s="926" t="s">
        <v>962</v>
      </c>
      <c r="G579" s="813" t="s">
        <v>1028</v>
      </c>
      <c r="H579" s="191" t="s">
        <v>1029</v>
      </c>
      <c r="I579" s="243"/>
      <c r="J579" s="243"/>
      <c r="K579" s="573">
        <v>120000</v>
      </c>
      <c r="L579" s="574" t="s">
        <v>250</v>
      </c>
      <c r="M579" s="574" t="s">
        <v>352</v>
      </c>
      <c r="N579" s="51" t="str">
        <f>IF(AND('331-CT'!$E$7=TH!H579,OR(L579="331",M579="331")),"331",IF(AND(OR(L579="131",M579="131"),H579='131-CT'!$E$7),"131",""))</f>
        <v/>
      </c>
      <c r="O579" s="51" t="str">
        <f>IF(AND($B579&gt;='111'!$N$11,$B579&lt;='111'!$O$11,OR($L579=$O$7,$M579=$O$7)),"x","")</f>
        <v/>
      </c>
      <c r="P579" s="51" t="str">
        <f>IF(AND($L579=$O$7,$B579&lt;'111'!$N$11),"x","")</f>
        <v/>
      </c>
      <c r="Q579" s="51" t="str">
        <f>IF(AND($M579=$O$7,$B579&lt;'111'!$N$11),"x","")</f>
        <v/>
      </c>
      <c r="R579" s="51" t="str">
        <f>IF(ISERROR(FIND('112'!$M$9,G579,1)),"",IF((AND(FIND('112'!$M$9,G579,1)&gt;=1,$B579&gt;='112'!$N$8,$B579&lt;='112'!$O$8,OR($L579='112'!$I$6,$M579='112'!$I$6))),"x",""))</f>
        <v/>
      </c>
      <c r="S579" s="51" t="str">
        <f>IF(ISERROR(FIND('112'!$M$9,G579,1)),"",IF((AND(LEFT(G579,2)=LEFT('112'!$M$9,2),B579&lt;'112'!$N$8,$L579='112'!$I$6)),"x",""))</f>
        <v/>
      </c>
      <c r="T579" s="51" t="str">
        <f>IF(ISERROR(FIND('112'!$M$9,G579,1)),"",IF((AND(RIGHT(G579,2)=RIGHT('112'!$M$9,2),B579&lt;'112'!$N$8,$M579='112'!$I$6)),"x",""))</f>
        <v/>
      </c>
      <c r="U579" s="51" t="str">
        <f>IF(AND(L579="154",'154'!$O$5&lt;=B579,'154'!$P$5&gt;=B579),"154",IF(AND(L579="632",'632'!$L$5&lt;=B579,'632'!$M$5&gt;=B579),"632",IF(AND(L579="642",'642'!$N$5&lt;=B579,'642'!$O$5&gt;=B579),"642",IF(AND(L579="641",'641'!$N$5&lt;=B579,'641'!$O$5&gt;=B579),"641",""))))</f>
        <v/>
      </c>
      <c r="V579" s="51" t="str">
        <f>IF(OR(TH!L579=TH!$V$7,M579=TH!$V$7),"x","")</f>
        <v/>
      </c>
      <c r="W579" s="51" t="str">
        <f>IF(AND(B579&gt;='IN-NX'!$P$3,B579&lt;='IN-NX'!$Q$3,'IN-NX'!$D$7=D579,OR(LEFT(L579,2)="15",AND(LEFT(M579,2)&lt;&gt;"15",LEFT(M579,2)&lt;&gt;"33"))),"x","")</f>
        <v/>
      </c>
      <c r="X579" s="51" t="str">
        <f>IF(AND(OR(LEFT(TH!L579,2)="15",LEFT(TH!M579,2)="15"),'152-CT'!$J$8=TH!F579),"x","")</f>
        <v/>
      </c>
      <c r="Y579" s="51" t="str">
        <f>IF(AND(OR(LEFT(TH!L579,2)="15",LEFT(TH!M579,2)="15"),TK!$E$7=TH!F579),"x","")</f>
        <v/>
      </c>
      <c r="Z579" s="51" t="str">
        <f>IF(AND(B579&lt;=NKC!$N$8,B579&gt;=NKC!$M$8),"x","")</f>
        <v>x</v>
      </c>
      <c r="AA579" s="803"/>
      <c r="AB579" s="565"/>
    </row>
    <row r="580" spans="1:30" ht="15.75" customHeight="1">
      <c r="A580" s="804" t="str">
        <f>IF(B580&lt;&gt;"",IF(AND(B580&gt;=_TM1,B580&lt;=_TM2,OR(TH!L580="1111",TH!M580="1111")),TH!D580,""),"")</f>
        <v>T36</v>
      </c>
      <c r="B580" s="36">
        <f t="shared" si="35"/>
        <v>9</v>
      </c>
      <c r="C580" s="189">
        <f t="shared" si="36"/>
        <v>42259</v>
      </c>
      <c r="D580" s="189" t="s">
        <v>1399</v>
      </c>
      <c r="E580" s="189">
        <v>42259</v>
      </c>
      <c r="F580" s="922" t="s">
        <v>423</v>
      </c>
      <c r="G580" s="813" t="s">
        <v>1028</v>
      </c>
      <c r="H580" s="191" t="s">
        <v>1029</v>
      </c>
      <c r="I580" s="243"/>
      <c r="J580" s="243"/>
      <c r="K580" s="573">
        <f>K578+K579</f>
        <v>1320000</v>
      </c>
      <c r="L580" s="574" t="s">
        <v>47</v>
      </c>
      <c r="M580" s="574" t="s">
        <v>250</v>
      </c>
      <c r="N580" s="51" t="str">
        <f>IF(AND('331-CT'!$E$7=TH!H580,OR(L580="331",M580="331")),"331",IF(AND(OR(L580="131",M580="131"),H580='131-CT'!$E$7),"131",""))</f>
        <v/>
      </c>
      <c r="O580" s="51" t="str">
        <f>IF(AND($B580&gt;='111'!$N$11,$B580&lt;='111'!$O$11,OR($L580=$O$7,$M580=$O$7)),"x","")</f>
        <v/>
      </c>
      <c r="P580" s="51" t="str">
        <f>IF(AND($L580=$O$7,$B580&lt;'111'!$N$11),"x","")</f>
        <v>x</v>
      </c>
      <c r="Q580" s="51" t="str">
        <f>IF(AND($M580=$O$7,$B580&lt;'111'!$N$11),"x","")</f>
        <v/>
      </c>
      <c r="R580" s="51" t="str">
        <f>IF(ISERROR(FIND('112'!$M$9,G580,1)),"",IF((AND(FIND('112'!$M$9,G580,1)&gt;=1,$B580&gt;='112'!$N$8,$B580&lt;='112'!$O$8,OR($L580='112'!$I$6,$M580='112'!$I$6))),"x",""))</f>
        <v/>
      </c>
      <c r="S580" s="51" t="str">
        <f>IF(ISERROR(FIND('112'!$M$9,G580,1)),"",IF((AND(LEFT(G580,2)=LEFT('112'!$M$9,2),B580&lt;'112'!$N$8,$L580='112'!$I$6)),"x",""))</f>
        <v/>
      </c>
      <c r="T580" s="51" t="str">
        <f>IF(ISERROR(FIND('112'!$M$9,G580,1)),"",IF((AND(RIGHT(G580,2)=RIGHT('112'!$M$9,2),B580&lt;'112'!$N$8,$M580='112'!$I$6)),"x",""))</f>
        <v/>
      </c>
      <c r="U580" s="51" t="str">
        <f>IF(AND(L580="154",'154'!$O$5&lt;=B580,'154'!$P$5&gt;=B580),"154",IF(AND(L580="632",'632'!$L$5&lt;=B580,'632'!$M$5&gt;=B580),"632",IF(AND(L580="642",'642'!$N$5&lt;=B580,'642'!$O$5&gt;=B580),"642",IF(AND(L580="641",'641'!$N$5&lt;=B580,'641'!$O$5&gt;=B580),"641",""))))</f>
        <v/>
      </c>
      <c r="V580" s="51" t="str">
        <f>IF(OR(TH!L580=TH!$V$7,M580=TH!$V$7),"x","")</f>
        <v/>
      </c>
      <c r="W580" s="51" t="str">
        <f>IF(AND(B580&gt;='IN-NX'!$P$3,B580&lt;='IN-NX'!$Q$3,'IN-NX'!$D$7=D580,OR(LEFT(L580,2)="15",AND(LEFT(M580,2)&lt;&gt;"15",LEFT(M580,2)&lt;&gt;"33"))),"x","")</f>
        <v/>
      </c>
      <c r="X580" s="51" t="str">
        <f>IF(AND(OR(LEFT(TH!L580,2)="15",LEFT(TH!M580,2)="15"),'152-CT'!$J$8=TH!F580),"x","")</f>
        <v/>
      </c>
      <c r="Y580" s="51" t="str">
        <f>IF(AND(OR(LEFT(TH!L580,2)="15",LEFT(TH!M580,2)="15"),TK!$E$7=TH!F580),"x","")</f>
        <v/>
      </c>
      <c r="Z580" s="51" t="str">
        <f>IF(AND(B580&lt;=NKC!$N$8,B580&gt;=NKC!$M$8),"x","")</f>
        <v>x</v>
      </c>
      <c r="AA580" s="803"/>
      <c r="AB580" s="565"/>
    </row>
    <row r="581" spans="1:30" ht="15.75" customHeight="1">
      <c r="A581" s="804" t="str">
        <f>IF(B581&lt;&gt;"",IF(AND(B581&gt;=_TM1,B581&lt;=_TM2,OR(TH!L581="1111",TH!M581="1111")),TH!D581,""),"")</f>
        <v/>
      </c>
      <c r="B581" s="36">
        <f t="shared" si="35"/>
        <v>9</v>
      </c>
      <c r="C581" s="189">
        <f t="shared" si="36"/>
        <v>42259</v>
      </c>
      <c r="D581" s="189" t="s">
        <v>1298</v>
      </c>
      <c r="E581" s="189">
        <v>42259</v>
      </c>
      <c r="F581" s="190" t="s">
        <v>620</v>
      </c>
      <c r="G581" s="813" t="s">
        <v>1030</v>
      </c>
      <c r="H581" s="191" t="s">
        <v>413</v>
      </c>
      <c r="I581" s="243">
        <v>400</v>
      </c>
      <c r="J581" s="243">
        <v>15000</v>
      </c>
      <c r="K581" s="573">
        <f>ROUND(I581*J581,0)</f>
        <v>6000000</v>
      </c>
      <c r="L581" s="574" t="s">
        <v>250</v>
      </c>
      <c r="M581" s="574" t="s">
        <v>164</v>
      </c>
      <c r="N581" s="51" t="str">
        <f>IF(AND('331-CT'!$E$7=TH!H581,OR(L581="331",M581="331")),"331",IF(AND(OR(L581="131",M581="131"),H581='131-CT'!$E$7),"131",""))</f>
        <v/>
      </c>
      <c r="O581" s="51" t="str">
        <f>IF(AND($B581&gt;='111'!$N$11,$B581&lt;='111'!$O$11,OR($L581=$O$7,$M581=$O$7)),"x","")</f>
        <v/>
      </c>
      <c r="P581" s="51" t="str">
        <f>IF(AND($L581=$O$7,$B581&lt;'111'!$N$11),"x","")</f>
        <v/>
      </c>
      <c r="Q581" s="51" t="str">
        <f>IF(AND($M581=$O$7,$B581&lt;'111'!$N$11),"x","")</f>
        <v/>
      </c>
      <c r="R581" s="51" t="str">
        <f>IF(ISERROR(FIND('112'!$M$9,G581,1)),"",IF((AND(FIND('112'!$M$9,G581,1)&gt;=1,$B581&gt;='112'!$N$8,$B581&lt;='112'!$O$8,OR($L581='112'!$I$6,$M581='112'!$I$6))),"x",""))</f>
        <v/>
      </c>
      <c r="S581" s="51" t="str">
        <f>IF(ISERROR(FIND('112'!$M$9,G581,1)),"",IF((AND(LEFT(G581,2)=LEFT('112'!$M$9,2),B581&lt;'112'!$N$8,$L581='112'!$I$6)),"x",""))</f>
        <v/>
      </c>
      <c r="T581" s="51" t="str">
        <f>IF(ISERROR(FIND('112'!$M$9,G581,1)),"",IF((AND(RIGHT(G581,2)=RIGHT('112'!$M$9,2),B581&lt;'112'!$N$8,$M581='112'!$I$6)),"x",""))</f>
        <v/>
      </c>
      <c r="U581" s="51" t="str">
        <f>IF(AND(L581="154",'154'!$O$5&lt;=B581,'154'!$P$5&gt;=B581),"154",IF(AND(L581="632",'632'!$L$5&lt;=B581,'632'!$M$5&gt;=B581),"632",IF(AND(L581="642",'642'!$N$5&lt;=B581,'642'!$O$5&gt;=B581),"642",IF(AND(L581="641",'641'!$N$5&lt;=B581,'641'!$O$5&gt;=B581),"641",""))))</f>
        <v/>
      </c>
      <c r="V581" s="51" t="str">
        <f>IF(OR(TH!L581=TH!$V$7,M581=TH!$V$7),"x","")</f>
        <v/>
      </c>
      <c r="W581" s="51" t="str">
        <f>IF(AND(B581&gt;='IN-NX'!$P$3,B581&lt;='IN-NX'!$Q$3,'IN-NX'!$D$7=D581,OR(LEFT(L581,2)="15",AND(LEFT(M581,2)&lt;&gt;"15",LEFT(M581,2)&lt;&gt;"33"))),"x","")</f>
        <v/>
      </c>
      <c r="X581" s="51" t="str">
        <f>IF(AND(OR(LEFT(TH!L581,2)="15",LEFT(TH!M581,2)="15"),'152-CT'!$J$8=TH!F581),"x","")</f>
        <v/>
      </c>
      <c r="Y581" s="51" t="str">
        <f>IF(AND(OR(LEFT(TH!L581,2)="15",LEFT(TH!M581,2)="15"),TK!$E$7=TH!F581),"x","")</f>
        <v/>
      </c>
      <c r="Z581" s="51" t="str">
        <f>IF(AND(B581&lt;=NKC!$N$8,B581&gt;=NKC!$M$8),"x","")</f>
        <v>x</v>
      </c>
      <c r="AA581" s="803"/>
      <c r="AB581" s="565"/>
    </row>
    <row r="582" spans="1:30" ht="15.75" customHeight="1">
      <c r="A582" s="804" t="str">
        <f>IF(B582&lt;&gt;"",IF(AND(B582&gt;=_TM1,B582&lt;=_TM2,OR(TH!L582="1111",TH!M582="1111")),TH!D582,""),"")</f>
        <v/>
      </c>
      <c r="B582" s="36">
        <f t="shared" si="35"/>
        <v>9</v>
      </c>
      <c r="C582" s="189">
        <f t="shared" si="36"/>
        <v>42259</v>
      </c>
      <c r="D582" s="189" t="s">
        <v>1298</v>
      </c>
      <c r="E582" s="189">
        <v>42259</v>
      </c>
      <c r="F582" s="190" t="s">
        <v>624</v>
      </c>
      <c r="G582" s="813" t="s">
        <v>1030</v>
      </c>
      <c r="H582" s="191" t="s">
        <v>413</v>
      </c>
      <c r="I582" s="243">
        <v>200</v>
      </c>
      <c r="J582" s="243">
        <v>31700</v>
      </c>
      <c r="K582" s="573">
        <f>ROUND(I582*J582,0)</f>
        <v>6340000</v>
      </c>
      <c r="L582" s="574" t="s">
        <v>250</v>
      </c>
      <c r="M582" s="574" t="s">
        <v>164</v>
      </c>
      <c r="N582" s="51" t="str">
        <f>IF(AND('331-CT'!$E$7=TH!H582,OR(L582="331",M582="331")),"331",IF(AND(OR(L582="131",M582="131"),H582='131-CT'!$E$7),"131",""))</f>
        <v/>
      </c>
      <c r="O582" s="51" t="str">
        <f>IF(AND($B582&gt;='111'!$N$11,$B582&lt;='111'!$O$11,OR($L582=$O$7,$M582=$O$7)),"x","")</f>
        <v/>
      </c>
      <c r="P582" s="51" t="str">
        <f>IF(AND($L582=$O$7,$B582&lt;'111'!$N$11),"x","")</f>
        <v/>
      </c>
      <c r="Q582" s="51" t="str">
        <f>IF(AND($M582=$O$7,$B582&lt;'111'!$N$11),"x","")</f>
        <v/>
      </c>
      <c r="R582" s="51" t="str">
        <f>IF(ISERROR(FIND('112'!$M$9,G582,1)),"",IF((AND(FIND('112'!$M$9,G582,1)&gt;=1,$B582&gt;='112'!$N$8,$B582&lt;='112'!$O$8,OR($L582='112'!$I$6,$M582='112'!$I$6))),"x",""))</f>
        <v/>
      </c>
      <c r="S582" s="51" t="str">
        <f>IF(ISERROR(FIND('112'!$M$9,G582,1)),"",IF((AND(LEFT(G582,2)=LEFT('112'!$M$9,2),B582&lt;'112'!$N$8,$L582='112'!$I$6)),"x",""))</f>
        <v/>
      </c>
      <c r="T582" s="51" t="str">
        <f>IF(ISERROR(FIND('112'!$M$9,G582,1)),"",IF((AND(RIGHT(G582,2)=RIGHT('112'!$M$9,2),B582&lt;'112'!$N$8,$M582='112'!$I$6)),"x",""))</f>
        <v/>
      </c>
      <c r="U582" s="51" t="str">
        <f>IF(AND(L582="154",'154'!$O$5&lt;=B582,'154'!$P$5&gt;=B582),"154",IF(AND(L582="632",'632'!$L$5&lt;=B582,'632'!$M$5&gt;=B582),"632",IF(AND(L582="642",'642'!$N$5&lt;=B582,'642'!$O$5&gt;=B582),"642",IF(AND(L582="641",'641'!$N$5&lt;=B582,'641'!$O$5&gt;=B582),"641",""))))</f>
        <v/>
      </c>
      <c r="V582" s="51" t="str">
        <f>IF(OR(TH!L582=TH!$V$7,M582=TH!$V$7),"x","")</f>
        <v/>
      </c>
      <c r="W582" s="51" t="str">
        <f>IF(AND(B582&gt;='IN-NX'!$P$3,B582&lt;='IN-NX'!$Q$3,'IN-NX'!$D$7=D582,OR(LEFT(L582,2)="15",AND(LEFT(M582,2)&lt;&gt;"15",LEFT(M582,2)&lt;&gt;"33"))),"x","")</f>
        <v/>
      </c>
      <c r="X582" s="51" t="str">
        <f>IF(AND(OR(LEFT(TH!L582,2)="15",LEFT(TH!M582,2)="15"),'152-CT'!$J$8=TH!F582),"x","")</f>
        <v/>
      </c>
      <c r="Y582" s="51" t="str">
        <f>IF(AND(OR(LEFT(TH!L582,2)="15",LEFT(TH!M582,2)="15"),TK!$E$7=TH!F582),"x","")</f>
        <v/>
      </c>
      <c r="Z582" s="51" t="str">
        <f>IF(AND(B582&lt;=NKC!$N$8,B582&gt;=NKC!$M$8),"x","")</f>
        <v>x</v>
      </c>
      <c r="AA582" s="803"/>
      <c r="AB582" s="565"/>
    </row>
    <row r="583" spans="1:30" ht="15.75" customHeight="1">
      <c r="A583" s="804" t="str">
        <f>IF(B583&lt;&gt;"",IF(AND(B583&gt;=_TM1,B583&lt;=_TM2,OR(TH!L583="1111",TH!M583="1111")),TH!D583,""),"")</f>
        <v/>
      </c>
      <c r="B583" s="36">
        <f t="shared" si="35"/>
        <v>9</v>
      </c>
      <c r="C583" s="189">
        <f t="shared" si="36"/>
        <v>42259</v>
      </c>
      <c r="D583" s="189" t="s">
        <v>1298</v>
      </c>
      <c r="E583" s="189">
        <v>42259</v>
      </c>
      <c r="F583" s="190" t="s">
        <v>962</v>
      </c>
      <c r="G583" s="813" t="s">
        <v>1030</v>
      </c>
      <c r="H583" s="191" t="s">
        <v>413</v>
      </c>
      <c r="I583" s="243"/>
      <c r="J583" s="243"/>
      <c r="K583" s="573">
        <v>1234000</v>
      </c>
      <c r="L583" s="574" t="s">
        <v>250</v>
      </c>
      <c r="M583" s="574" t="s">
        <v>352</v>
      </c>
      <c r="N583" s="51" t="str">
        <f>IF(AND('331-CT'!$E$7=TH!H583,OR(L583="331",M583="331")),"331",IF(AND(OR(L583="131",M583="131"),H583='131-CT'!$E$7),"131",""))</f>
        <v/>
      </c>
      <c r="O583" s="51" t="str">
        <f>IF(AND($B583&gt;='111'!$N$11,$B583&lt;='111'!$O$11,OR($L583=$O$7,$M583=$O$7)),"x","")</f>
        <v/>
      </c>
      <c r="P583" s="51" t="str">
        <f>IF(AND($L583=$O$7,$B583&lt;'111'!$N$11),"x","")</f>
        <v/>
      </c>
      <c r="Q583" s="51" t="str">
        <f>IF(AND($M583=$O$7,$B583&lt;'111'!$N$11),"x","")</f>
        <v/>
      </c>
      <c r="R583" s="51" t="str">
        <f>IF(ISERROR(FIND('112'!$M$9,G583,1)),"",IF((AND(FIND('112'!$M$9,G583,1)&gt;=1,$B583&gt;='112'!$N$8,$B583&lt;='112'!$O$8,OR($L583='112'!$I$6,$M583='112'!$I$6))),"x",""))</f>
        <v/>
      </c>
      <c r="S583" s="51" t="str">
        <f>IF(ISERROR(FIND('112'!$M$9,G583,1)),"",IF((AND(LEFT(G583,2)=LEFT('112'!$M$9,2),B583&lt;'112'!$N$8,$L583='112'!$I$6)),"x",""))</f>
        <v/>
      </c>
      <c r="T583" s="51" t="str">
        <f>IF(ISERROR(FIND('112'!$M$9,G583,1)),"",IF((AND(RIGHT(G583,2)=RIGHT('112'!$M$9,2),B583&lt;'112'!$N$8,$M583='112'!$I$6)),"x",""))</f>
        <v/>
      </c>
      <c r="U583" s="51" t="str">
        <f>IF(AND(L583="154",'154'!$O$5&lt;=B583,'154'!$P$5&gt;=B583),"154",IF(AND(L583="632",'632'!$L$5&lt;=B583,'632'!$M$5&gt;=B583),"632",IF(AND(L583="642",'642'!$N$5&lt;=B583,'642'!$O$5&gt;=B583),"642",IF(AND(L583="641",'641'!$N$5&lt;=B583,'641'!$O$5&gt;=B583),"641",""))))</f>
        <v/>
      </c>
      <c r="V583" s="51" t="str">
        <f>IF(OR(TH!L583=TH!$V$7,M583=TH!$V$7),"x","")</f>
        <v/>
      </c>
      <c r="W583" s="51" t="str">
        <f>IF(AND(B583&gt;='IN-NX'!$P$3,B583&lt;='IN-NX'!$Q$3,'IN-NX'!$D$7=D583,OR(LEFT(L583,2)="15",AND(LEFT(M583,2)&lt;&gt;"15",LEFT(M583,2)&lt;&gt;"33"))),"x","")</f>
        <v/>
      </c>
      <c r="X583" s="51" t="str">
        <f>IF(AND(OR(LEFT(TH!L583,2)="15",LEFT(TH!M583,2)="15"),'152-CT'!$J$8=TH!F583),"x","")</f>
        <v/>
      </c>
      <c r="Y583" s="51" t="str">
        <f>IF(AND(OR(LEFT(TH!L583,2)="15",LEFT(TH!M583,2)="15"),TK!$E$7=TH!F583),"x","")</f>
        <v/>
      </c>
      <c r="Z583" s="51" t="str">
        <f>IF(AND(B583&lt;=NKC!$N$8,B583&gt;=NKC!$M$8),"x","")</f>
        <v>x</v>
      </c>
      <c r="AA583" s="803"/>
      <c r="AB583" s="565"/>
      <c r="AD583" s="565"/>
    </row>
    <row r="584" spans="1:30" ht="15.75" customHeight="1">
      <c r="A584" s="804" t="str">
        <f>IF(B584&lt;&gt;"",IF(AND(B584&gt;=_TM1,B584&lt;=_TM2,OR(TH!L584="1111",TH!M584="1111")),TH!D584,""),"")</f>
        <v/>
      </c>
      <c r="B584" s="36">
        <f t="shared" si="35"/>
        <v>9</v>
      </c>
      <c r="C584" s="189">
        <f t="shared" si="36"/>
        <v>42260</v>
      </c>
      <c r="D584" s="189" t="s">
        <v>1400</v>
      </c>
      <c r="E584" s="189">
        <v>42260</v>
      </c>
      <c r="F584" s="190" t="s">
        <v>621</v>
      </c>
      <c r="G584" s="813" t="s">
        <v>703</v>
      </c>
      <c r="H584" s="191" t="s">
        <v>494</v>
      </c>
      <c r="I584" s="243">
        <v>850</v>
      </c>
      <c r="J584" s="243">
        <v>15675</v>
      </c>
      <c r="K584" s="573">
        <f>ROUND(I584*J584,0)</f>
        <v>13323750</v>
      </c>
      <c r="L584" s="574" t="s">
        <v>417</v>
      </c>
      <c r="M584" s="574" t="s">
        <v>8</v>
      </c>
      <c r="N584" s="51" t="str">
        <f>IF(AND('331-CT'!$E$7=TH!H584,OR(L584="331",M584="331")),"331",IF(AND(OR(L584="131",M584="131"),H584='131-CT'!$E$7),"131",""))</f>
        <v/>
      </c>
      <c r="O584" s="51" t="str">
        <f>IF(AND($B584&gt;='111'!$N$11,$B584&lt;='111'!$O$11,OR($L584=$O$7,$M584=$O$7)),"x","")</f>
        <v/>
      </c>
      <c r="P584" s="51" t="str">
        <f>IF(AND($L584=$O$7,$B584&lt;'111'!$N$11),"x","")</f>
        <v/>
      </c>
      <c r="Q584" s="51" t="str">
        <f>IF(AND($M584=$O$7,$B584&lt;'111'!$N$11),"x","")</f>
        <v/>
      </c>
      <c r="R584" s="51" t="str">
        <f>IF(ISERROR(FIND('112'!$M$9,G584,1)),"",IF((AND(FIND('112'!$M$9,G584,1)&gt;=1,$B584&gt;='112'!$N$8,$B584&lt;='112'!$O$8,OR($L584='112'!$I$6,$M584='112'!$I$6))),"x",""))</f>
        <v/>
      </c>
      <c r="S584" s="51" t="str">
        <f>IF(ISERROR(FIND('112'!$M$9,G584,1)),"",IF((AND(LEFT(G584,2)=LEFT('112'!$M$9,2),B584&lt;'112'!$N$8,$L584='112'!$I$6)),"x",""))</f>
        <v/>
      </c>
      <c r="T584" s="51" t="str">
        <f>IF(ISERROR(FIND('112'!$M$9,G584,1)),"",IF((AND(RIGHT(G584,2)=RIGHT('112'!$M$9,2),B584&lt;'112'!$N$8,$M584='112'!$I$6)),"x",""))</f>
        <v/>
      </c>
      <c r="U584" s="51" t="str">
        <f>IF(AND(L584="154",'154'!$O$5&lt;=B584,'154'!$P$5&gt;=B584),"154",IF(AND(L584="632",'632'!$L$5&lt;=B584,'632'!$M$5&gt;=B584),"632",IF(AND(L584="642",'642'!$N$5&lt;=B584,'642'!$O$5&gt;=B584),"642",IF(AND(L584="641",'641'!$N$5&lt;=B584,'641'!$O$5&gt;=B584),"641",""))))</f>
        <v/>
      </c>
      <c r="V584" s="51" t="str">
        <f>IF(OR(TH!L584=TH!$V$7,M584=TH!$V$7),"x","")</f>
        <v/>
      </c>
      <c r="W584" s="51" t="str">
        <f>IF(AND(B584&gt;='IN-NX'!$P$3,B584&lt;='IN-NX'!$Q$3,'IN-NX'!$D$7=D584,OR(LEFT(L584,2)="15",AND(LEFT(M584,2)&lt;&gt;"15",LEFT(M584,2)&lt;&gt;"33"))),"x","")</f>
        <v/>
      </c>
      <c r="X584" s="51" t="str">
        <f>IF(AND(OR(LEFT(TH!L584,2)="15",LEFT(TH!M584,2)="15"),'152-CT'!$J$8=TH!F584),"x","")</f>
        <v/>
      </c>
      <c r="Y584" s="51" t="str">
        <f>IF(AND(OR(LEFT(TH!L584,2)="15",LEFT(TH!M584,2)="15"),TK!$E$7=TH!F584),"x","")</f>
        <v/>
      </c>
      <c r="Z584" s="51" t="str">
        <f>IF(AND(B584&lt;=NKC!$N$8,B584&gt;=NKC!$M$8),"x","")</f>
        <v>x</v>
      </c>
      <c r="AA584" s="803"/>
      <c r="AB584" s="565"/>
    </row>
    <row r="585" spans="1:30" ht="15.75" customHeight="1">
      <c r="A585" s="804" t="str">
        <f>IF(B585&lt;&gt;"",IF(AND(B585&gt;=_TM1,B585&lt;=_TM2,OR(TH!L585="1111",TH!M585="1111")),TH!D585,""),"")</f>
        <v/>
      </c>
      <c r="B585" s="36">
        <f t="shared" si="35"/>
        <v>9</v>
      </c>
      <c r="C585" s="189">
        <f t="shared" si="36"/>
        <v>42260</v>
      </c>
      <c r="D585" s="189" t="s">
        <v>1400</v>
      </c>
      <c r="E585" s="189">
        <v>42260</v>
      </c>
      <c r="F585" s="190" t="s">
        <v>624</v>
      </c>
      <c r="G585" s="813" t="s">
        <v>703</v>
      </c>
      <c r="H585" s="191" t="s">
        <v>494</v>
      </c>
      <c r="I585" s="243">
        <v>128</v>
      </c>
      <c r="J585" s="243">
        <v>31155</v>
      </c>
      <c r="K585" s="573">
        <f>ROUND(I585*J585,0)</f>
        <v>3987840</v>
      </c>
      <c r="L585" s="574" t="s">
        <v>417</v>
      </c>
      <c r="M585" s="574" t="s">
        <v>8</v>
      </c>
      <c r="N585" s="51" t="str">
        <f>IF(AND('331-CT'!$E$7=TH!H585,OR(L585="331",M585="331")),"331",IF(AND(OR(L585="131",M585="131"),H585='131-CT'!$E$7),"131",""))</f>
        <v/>
      </c>
      <c r="O585" s="51" t="str">
        <f>IF(AND($B585&gt;='111'!$N$11,$B585&lt;='111'!$O$11,OR($L585=$O$7,$M585=$O$7)),"x","")</f>
        <v/>
      </c>
      <c r="P585" s="51" t="str">
        <f>IF(AND($L585=$O$7,$B585&lt;'111'!$N$11),"x","")</f>
        <v/>
      </c>
      <c r="Q585" s="51" t="str">
        <f>IF(AND($M585=$O$7,$B585&lt;'111'!$N$11),"x","")</f>
        <v/>
      </c>
      <c r="R585" s="51" t="str">
        <f>IF(ISERROR(FIND('112'!$M$9,G585,1)),"",IF((AND(FIND('112'!$M$9,G585,1)&gt;=1,$B585&gt;='112'!$N$8,$B585&lt;='112'!$O$8,OR($L585='112'!$I$6,$M585='112'!$I$6))),"x",""))</f>
        <v/>
      </c>
      <c r="S585" s="51" t="str">
        <f>IF(ISERROR(FIND('112'!$M$9,G585,1)),"",IF((AND(LEFT(G585,2)=LEFT('112'!$M$9,2),B585&lt;'112'!$N$8,$L585='112'!$I$6)),"x",""))</f>
        <v/>
      </c>
      <c r="T585" s="51" t="str">
        <f>IF(ISERROR(FIND('112'!$M$9,G585,1)),"",IF((AND(RIGHT(G585,2)=RIGHT('112'!$M$9,2),B585&lt;'112'!$N$8,$M585='112'!$I$6)),"x",""))</f>
        <v/>
      </c>
      <c r="U585" s="51" t="str">
        <f>IF(AND(L585="154",'154'!$O$5&lt;=B585,'154'!$P$5&gt;=B585),"154",IF(AND(L585="632",'632'!$L$5&lt;=B585,'632'!$M$5&gt;=B585),"632",IF(AND(L585="642",'642'!$N$5&lt;=B585,'642'!$O$5&gt;=B585),"642",IF(AND(L585="641",'641'!$N$5&lt;=B585,'641'!$O$5&gt;=B585),"641",""))))</f>
        <v/>
      </c>
      <c r="V585" s="51" t="str">
        <f>IF(OR(TH!L585=TH!$V$7,M585=TH!$V$7),"x","")</f>
        <v/>
      </c>
      <c r="W585" s="51" t="str">
        <f>IF(AND(B585&gt;='IN-NX'!$P$3,B585&lt;='IN-NX'!$Q$3,'IN-NX'!$D$7=D585,OR(LEFT(L585,2)="15",AND(LEFT(M585,2)&lt;&gt;"15",LEFT(M585,2)&lt;&gt;"33"))),"x","")</f>
        <v/>
      </c>
      <c r="X585" s="51" t="str">
        <f>IF(AND(OR(LEFT(TH!L585,2)="15",LEFT(TH!M585,2)="15"),'152-CT'!$J$8=TH!F585),"x","")</f>
        <v/>
      </c>
      <c r="Y585" s="51" t="str">
        <f>IF(AND(OR(LEFT(TH!L585,2)="15",LEFT(TH!M585,2)="15"),TK!$E$7=TH!F585),"x","")</f>
        <v/>
      </c>
      <c r="Z585" s="51" t="str">
        <f>IF(AND(B585&lt;=NKC!$N$8,B585&gt;=NKC!$M$8),"x","")</f>
        <v>x</v>
      </c>
      <c r="AA585" s="803"/>
      <c r="AB585" s="565"/>
    </row>
    <row r="586" spans="1:30" ht="15.75" customHeight="1">
      <c r="A586" s="804" t="str">
        <f>IF(B586&lt;&gt;"",IF(AND(B586&gt;=_TM1,B586&lt;=_TM2,OR(TH!L586="1111",TH!M586="1111")),TH!D586,""),"")</f>
        <v/>
      </c>
      <c r="B586" s="36">
        <f t="shared" si="35"/>
        <v>9</v>
      </c>
      <c r="C586" s="189">
        <f t="shared" si="36"/>
        <v>42260</v>
      </c>
      <c r="D586" s="189" t="s">
        <v>1400</v>
      </c>
      <c r="E586" s="189">
        <v>42260</v>
      </c>
      <c r="F586" s="190" t="s">
        <v>496</v>
      </c>
      <c r="G586" s="813" t="s">
        <v>703</v>
      </c>
      <c r="H586" s="191" t="s">
        <v>494</v>
      </c>
      <c r="I586" s="243"/>
      <c r="J586" s="243"/>
      <c r="K586" s="573">
        <v>1731159</v>
      </c>
      <c r="L586" s="574" t="s">
        <v>9</v>
      </c>
      <c r="M586" s="574" t="s">
        <v>8</v>
      </c>
      <c r="N586" s="51" t="str">
        <f>IF(AND('331-CT'!$E$7=TH!H586,OR(L586="331",M586="331")),"331",IF(AND(OR(L586="131",M586="131"),H586='131-CT'!$E$7),"131",""))</f>
        <v/>
      </c>
      <c r="O586" s="51" t="str">
        <f>IF(AND($B586&gt;='111'!$N$11,$B586&lt;='111'!$O$11,OR($L586=$O$7,$M586=$O$7)),"x","")</f>
        <v/>
      </c>
      <c r="P586" s="51" t="str">
        <f>IF(AND($L586=$O$7,$B586&lt;'111'!$N$11),"x","")</f>
        <v/>
      </c>
      <c r="Q586" s="51" t="str">
        <f>IF(AND($M586=$O$7,$B586&lt;'111'!$N$11),"x","")</f>
        <v/>
      </c>
      <c r="R586" s="51" t="str">
        <f>IF(ISERROR(FIND('112'!$M$9,G586,1)),"",IF((AND(FIND('112'!$M$9,G586,1)&gt;=1,$B586&gt;='112'!$N$8,$B586&lt;='112'!$O$8,OR($L586='112'!$I$6,$M586='112'!$I$6))),"x",""))</f>
        <v/>
      </c>
      <c r="S586" s="51" t="str">
        <f>IF(ISERROR(FIND('112'!$M$9,G586,1)),"",IF((AND(LEFT(G586,2)=LEFT('112'!$M$9,2),B586&lt;'112'!$N$8,$L586='112'!$I$6)),"x",""))</f>
        <v/>
      </c>
      <c r="T586" s="51" t="str">
        <f>IF(ISERROR(FIND('112'!$M$9,G586,1)),"",IF((AND(RIGHT(G586,2)=RIGHT('112'!$M$9,2),B586&lt;'112'!$N$8,$M586='112'!$I$6)),"x",""))</f>
        <v/>
      </c>
      <c r="U586" s="51" t="str">
        <f>IF(AND(L586="154",'154'!$O$5&lt;=B586,'154'!$P$5&gt;=B586),"154",IF(AND(L586="632",'632'!$L$5&lt;=B586,'632'!$M$5&gt;=B586),"632",IF(AND(L586="642",'642'!$N$5&lt;=B586,'642'!$O$5&gt;=B586),"642",IF(AND(L586="641",'641'!$N$5&lt;=B586,'641'!$O$5&gt;=B586),"641",""))))</f>
        <v/>
      </c>
      <c r="V586" s="51" t="str">
        <f>IF(OR(TH!L586=TH!$V$7,M586=TH!$V$7),"x","")</f>
        <v/>
      </c>
      <c r="W586" s="51" t="str">
        <f>IF(AND(B586&gt;='IN-NX'!$P$3,B586&lt;='IN-NX'!$Q$3,'IN-NX'!$D$7=D586,OR(LEFT(L586,2)="15",AND(LEFT(M586,2)&lt;&gt;"15",LEFT(M586,2)&lt;&gt;"33"))),"x","")</f>
        <v/>
      </c>
      <c r="X586" s="51" t="str">
        <f>IF(AND(OR(LEFT(TH!L586,2)="15",LEFT(TH!M586,2)="15"),'152-CT'!$J$8=TH!F586),"x","")</f>
        <v/>
      </c>
      <c r="Y586" s="51" t="str">
        <f>IF(AND(OR(LEFT(TH!L586,2)="15",LEFT(TH!M586,2)="15"),TK!$E$7=TH!F586),"x","")</f>
        <v/>
      </c>
      <c r="Z586" s="51" t="str">
        <f>IF(AND(B586&lt;=NKC!$N$8,B586&gt;=NKC!$M$8),"x","")</f>
        <v>x</v>
      </c>
      <c r="AA586" s="803">
        <v>3</v>
      </c>
      <c r="AB586" s="565"/>
    </row>
    <row r="587" spans="1:30" ht="15.75" customHeight="1">
      <c r="A587" s="804" t="str">
        <f>IF(B587&lt;&gt;"",IF(AND(B587&gt;=_TM1,B587&lt;=_TM2,OR(TH!L587="1111",TH!M587="1111")),TH!D587,""),"")</f>
        <v>C25</v>
      </c>
      <c r="B587" s="36">
        <f t="shared" si="35"/>
        <v>9</v>
      </c>
      <c r="C587" s="189">
        <f t="shared" si="36"/>
        <v>42260</v>
      </c>
      <c r="D587" s="189" t="s">
        <v>1386</v>
      </c>
      <c r="E587" s="189">
        <v>42260</v>
      </c>
      <c r="F587" s="187" t="s">
        <v>438</v>
      </c>
      <c r="G587" s="813" t="s">
        <v>703</v>
      </c>
      <c r="H587" s="191" t="s">
        <v>494</v>
      </c>
      <c r="I587" s="243"/>
      <c r="J587" s="243"/>
      <c r="K587" s="573">
        <v>19042749</v>
      </c>
      <c r="L587" s="574" t="s">
        <v>8</v>
      </c>
      <c r="M587" s="574" t="s">
        <v>47</v>
      </c>
      <c r="N587" s="51" t="str">
        <f>IF(AND('331-CT'!$E$7=TH!H587,OR(L587="331",M587="331")),"331",IF(AND(OR(L587="131",M587="131"),H587='131-CT'!$E$7),"131",""))</f>
        <v/>
      </c>
      <c r="O587" s="51" t="str">
        <f>IF(AND($B587&gt;='111'!$N$11,$B587&lt;='111'!$O$11,OR($L587=$O$7,$M587=$O$7)),"x","")</f>
        <v/>
      </c>
      <c r="P587" s="51" t="str">
        <f>IF(AND($L587=$O$7,$B587&lt;'111'!$N$11),"x","")</f>
        <v/>
      </c>
      <c r="Q587" s="51" t="str">
        <f>IF(AND($M587=$O$7,$B587&lt;'111'!$N$11),"x","")</f>
        <v>x</v>
      </c>
      <c r="R587" s="51" t="str">
        <f>IF(ISERROR(FIND('112'!$M$9,G587,1)),"",IF((AND(FIND('112'!$M$9,G587,1)&gt;=1,$B587&gt;='112'!$N$8,$B587&lt;='112'!$O$8,OR($L587='112'!$I$6,$M587='112'!$I$6))),"x",""))</f>
        <v/>
      </c>
      <c r="S587" s="51" t="str">
        <f>IF(ISERROR(FIND('112'!$M$9,G587,1)),"",IF((AND(LEFT(G587,2)=LEFT('112'!$M$9,2),B587&lt;'112'!$N$8,$L587='112'!$I$6)),"x",""))</f>
        <v/>
      </c>
      <c r="T587" s="51" t="str">
        <f>IF(ISERROR(FIND('112'!$M$9,G587,1)),"",IF((AND(RIGHT(G587,2)=RIGHT('112'!$M$9,2),B587&lt;'112'!$N$8,$M587='112'!$I$6)),"x",""))</f>
        <v/>
      </c>
      <c r="U587" s="51" t="str">
        <f>IF(AND(L587="154",'154'!$O$5&lt;=B587,'154'!$P$5&gt;=B587),"154",IF(AND(L587="632",'632'!$L$5&lt;=B587,'632'!$M$5&gt;=B587),"632",IF(AND(L587="642",'642'!$N$5&lt;=B587,'642'!$O$5&gt;=B587),"642",IF(AND(L587="641",'641'!$N$5&lt;=B587,'641'!$O$5&gt;=B587),"641",""))))</f>
        <v/>
      </c>
      <c r="V587" s="51" t="str">
        <f>IF(OR(TH!L587=TH!$V$7,M587=TH!$V$7),"x","")</f>
        <v/>
      </c>
      <c r="W587" s="51" t="str">
        <f>IF(AND(B587&gt;='IN-NX'!$P$3,B587&lt;='IN-NX'!$Q$3,'IN-NX'!$D$7=D587,OR(LEFT(L587,2)="15",AND(LEFT(M587,2)&lt;&gt;"15",LEFT(M587,2)&lt;&gt;"33"))),"x","")</f>
        <v/>
      </c>
      <c r="X587" s="51" t="str">
        <f>IF(AND(OR(LEFT(TH!L587,2)="15",LEFT(TH!M587,2)="15"),'152-CT'!$J$8=TH!F587),"x","")</f>
        <v/>
      </c>
      <c r="Y587" s="51" t="str">
        <f>IF(AND(OR(LEFT(TH!L587,2)="15",LEFT(TH!M587,2)="15"),TK!$E$7=TH!F587),"x","")</f>
        <v/>
      </c>
      <c r="Z587" s="51" t="str">
        <f>IF(AND(B587&lt;=NKC!$N$8,B587&gt;=NKC!$M$8),"x","")</f>
        <v>x</v>
      </c>
      <c r="AA587" s="803"/>
      <c r="AB587" s="565"/>
    </row>
    <row r="588" spans="1:30" ht="15.75" customHeight="1">
      <c r="A588" s="804" t="str">
        <f>IF(B588&lt;&gt;"",IF(AND(B588&gt;=_TM1,B588&lt;=_TM2,OR(TH!L588="1111",TH!M588="1111")),TH!D588,""),"")</f>
        <v/>
      </c>
      <c r="B588" s="36">
        <f t="shared" si="35"/>
        <v>9</v>
      </c>
      <c r="C588" s="189">
        <f t="shared" si="36"/>
        <v>42261</v>
      </c>
      <c r="D588" s="189" t="s">
        <v>1299</v>
      </c>
      <c r="E588" s="189">
        <v>42261</v>
      </c>
      <c r="F588" s="190" t="s">
        <v>692</v>
      </c>
      <c r="G588" s="813" t="s">
        <v>1031</v>
      </c>
      <c r="H588" s="191" t="s">
        <v>1027</v>
      </c>
      <c r="I588" s="243">
        <v>100</v>
      </c>
      <c r="J588" s="243">
        <v>13300</v>
      </c>
      <c r="K588" s="573">
        <f>ROUND(I588*J588,0)</f>
        <v>1330000</v>
      </c>
      <c r="L588" s="574" t="s">
        <v>250</v>
      </c>
      <c r="M588" s="574" t="s">
        <v>164</v>
      </c>
      <c r="N588" s="51" t="str">
        <f>IF(AND('331-CT'!$E$7=TH!H588,OR(L588="331",M588="331")),"331",IF(AND(OR(L588="131",M588="131"),H588='131-CT'!$E$7),"131",""))</f>
        <v>131</v>
      </c>
      <c r="O588" s="51" t="str">
        <f>IF(AND($B588&gt;='111'!$N$11,$B588&lt;='111'!$O$11,OR($L588=$O$7,$M588=$O$7)),"x","")</f>
        <v/>
      </c>
      <c r="P588" s="51" t="str">
        <f>IF(AND($L588=$O$7,$B588&lt;'111'!$N$11),"x","")</f>
        <v/>
      </c>
      <c r="Q588" s="51" t="str">
        <f>IF(AND($M588=$O$7,$B588&lt;'111'!$N$11),"x","")</f>
        <v/>
      </c>
      <c r="R588" s="51" t="str">
        <f>IF(ISERROR(FIND('112'!$M$9,G588,1)),"",IF((AND(FIND('112'!$M$9,G588,1)&gt;=1,$B588&gt;='112'!$N$8,$B588&lt;='112'!$O$8,OR($L588='112'!$I$6,$M588='112'!$I$6))),"x",""))</f>
        <v/>
      </c>
      <c r="S588" s="51" t="str">
        <f>IF(ISERROR(FIND('112'!$M$9,G588,1)),"",IF((AND(LEFT(G588,2)=LEFT('112'!$M$9,2),B588&lt;'112'!$N$8,$L588='112'!$I$6)),"x",""))</f>
        <v/>
      </c>
      <c r="T588" s="51" t="str">
        <f>IF(ISERROR(FIND('112'!$M$9,G588,1)),"",IF((AND(RIGHT(G588,2)=RIGHT('112'!$M$9,2),B588&lt;'112'!$N$8,$M588='112'!$I$6)),"x",""))</f>
        <v/>
      </c>
      <c r="U588" s="51" t="str">
        <f>IF(AND(L588="154",'154'!$O$5&lt;=B588,'154'!$P$5&gt;=B588),"154",IF(AND(L588="632",'632'!$L$5&lt;=B588,'632'!$M$5&gt;=B588),"632",IF(AND(L588="642",'642'!$N$5&lt;=B588,'642'!$O$5&gt;=B588),"642",IF(AND(L588="641",'641'!$N$5&lt;=B588,'641'!$O$5&gt;=B588),"641",""))))</f>
        <v/>
      </c>
      <c r="V588" s="51" t="str">
        <f>IF(OR(TH!L588=TH!$V$7,M588=TH!$V$7),"x","")</f>
        <v/>
      </c>
      <c r="W588" s="51" t="str">
        <f>IF(AND(B588&gt;='IN-NX'!$P$3,B588&lt;='IN-NX'!$Q$3,'IN-NX'!$D$7=D588,OR(LEFT(L588,2)="15",AND(LEFT(M588,2)&lt;&gt;"15",LEFT(M588,2)&lt;&gt;"33"))),"x","")</f>
        <v/>
      </c>
      <c r="X588" s="51" t="str">
        <f>IF(AND(OR(LEFT(TH!L588,2)="15",LEFT(TH!M588,2)="15"),'152-CT'!$J$8=TH!F588),"x","")</f>
        <v/>
      </c>
      <c r="Y588" s="51" t="str">
        <f>IF(AND(OR(LEFT(TH!L588,2)="15",LEFT(TH!M588,2)="15"),TK!$E$7=TH!F588),"x","")</f>
        <v/>
      </c>
      <c r="Z588" s="51" t="str">
        <f>IF(AND(B588&lt;=NKC!$N$8,B588&gt;=NKC!$M$8),"x","")</f>
        <v>x</v>
      </c>
      <c r="AA588" s="803"/>
      <c r="AB588" s="565"/>
    </row>
    <row r="589" spans="1:30" ht="15.75" customHeight="1">
      <c r="A589" s="804" t="str">
        <f>IF(B589&lt;&gt;"",IF(AND(B589&gt;=_TM1,B589&lt;=_TM2,OR(TH!L589="1111",TH!M589="1111")),TH!D589,""),"")</f>
        <v/>
      </c>
      <c r="B589" s="36">
        <f t="shared" si="35"/>
        <v>9</v>
      </c>
      <c r="C589" s="189">
        <f t="shared" si="36"/>
        <v>42261</v>
      </c>
      <c r="D589" s="189" t="s">
        <v>1299</v>
      </c>
      <c r="E589" s="189">
        <v>42261</v>
      </c>
      <c r="F589" s="190" t="s">
        <v>962</v>
      </c>
      <c r="G589" s="813" t="s">
        <v>1031</v>
      </c>
      <c r="H589" s="191" t="s">
        <v>1027</v>
      </c>
      <c r="I589" s="243"/>
      <c r="J589" s="243"/>
      <c r="K589" s="573">
        <v>133000</v>
      </c>
      <c r="L589" s="574" t="s">
        <v>250</v>
      </c>
      <c r="M589" s="574" t="s">
        <v>352</v>
      </c>
      <c r="N589" s="51" t="str">
        <f>IF(AND('331-CT'!$E$7=TH!H589,OR(L589="331",M589="331")),"331",IF(AND(OR(L589="131",M589="131"),H589='131-CT'!$E$7),"131",""))</f>
        <v>131</v>
      </c>
      <c r="O589" s="51" t="str">
        <f>IF(AND($B589&gt;='111'!$N$11,$B589&lt;='111'!$O$11,OR($L589=$O$7,$M589=$O$7)),"x","")</f>
        <v/>
      </c>
      <c r="P589" s="51" t="str">
        <f>IF(AND($L589=$O$7,$B589&lt;'111'!$N$11),"x","")</f>
        <v/>
      </c>
      <c r="Q589" s="51" t="str">
        <f>IF(AND($M589=$O$7,$B589&lt;'111'!$N$11),"x","")</f>
        <v/>
      </c>
      <c r="R589" s="51" t="str">
        <f>IF(ISERROR(FIND('112'!$M$9,G589,1)),"",IF((AND(FIND('112'!$M$9,G589,1)&gt;=1,$B589&gt;='112'!$N$8,$B589&lt;='112'!$O$8,OR($L589='112'!$I$6,$M589='112'!$I$6))),"x",""))</f>
        <v/>
      </c>
      <c r="S589" s="51" t="str">
        <f>IF(ISERROR(FIND('112'!$M$9,G589,1)),"",IF((AND(LEFT(G589,2)=LEFT('112'!$M$9,2),B589&lt;'112'!$N$8,$L589='112'!$I$6)),"x",""))</f>
        <v/>
      </c>
      <c r="T589" s="51" t="str">
        <f>IF(ISERROR(FIND('112'!$M$9,G589,1)),"",IF((AND(RIGHT(G589,2)=RIGHT('112'!$M$9,2),B589&lt;'112'!$N$8,$M589='112'!$I$6)),"x",""))</f>
        <v/>
      </c>
      <c r="U589" s="51" t="str">
        <f>IF(AND(L589="154",'154'!$O$5&lt;=B589,'154'!$P$5&gt;=B589),"154",IF(AND(L589="632",'632'!$L$5&lt;=B589,'632'!$M$5&gt;=B589),"632",IF(AND(L589="642",'642'!$N$5&lt;=B589,'642'!$O$5&gt;=B589),"642",IF(AND(L589="641",'641'!$N$5&lt;=B589,'641'!$O$5&gt;=B589),"641",""))))</f>
        <v/>
      </c>
      <c r="V589" s="51" t="str">
        <f>IF(OR(TH!L589=TH!$V$7,M589=TH!$V$7),"x","")</f>
        <v/>
      </c>
      <c r="W589" s="51" t="str">
        <f>IF(AND(B589&gt;='IN-NX'!$P$3,B589&lt;='IN-NX'!$Q$3,'IN-NX'!$D$7=D589,OR(LEFT(L589,2)="15",AND(LEFT(M589,2)&lt;&gt;"15",LEFT(M589,2)&lt;&gt;"33"))),"x","")</f>
        <v/>
      </c>
      <c r="X589" s="51" t="str">
        <f>IF(AND(OR(LEFT(TH!L589,2)="15",LEFT(TH!M589,2)="15"),'152-CT'!$J$8=TH!F589),"x","")</f>
        <v/>
      </c>
      <c r="Y589" s="51" t="str">
        <f>IF(AND(OR(LEFT(TH!L589,2)="15",LEFT(TH!M589,2)="15"),TK!$E$7=TH!F589),"x","")</f>
        <v/>
      </c>
      <c r="Z589" s="51" t="str">
        <f>IF(AND(B589&lt;=NKC!$N$8,B589&gt;=NKC!$M$8),"x","")</f>
        <v>x</v>
      </c>
      <c r="AA589" s="803"/>
      <c r="AB589" s="565"/>
      <c r="AD589" s="565"/>
    </row>
    <row r="590" spans="1:30" ht="15.75" customHeight="1">
      <c r="A590" s="804" t="str">
        <f>IF(B590&lt;&gt;"",IF(AND(B590&gt;=_TM1,B590&lt;=_TM2,OR(TH!L590="1111",TH!M590="1111")),TH!D590,""),"")</f>
        <v>T37</v>
      </c>
      <c r="B590" s="36">
        <f t="shared" si="35"/>
        <v>9</v>
      </c>
      <c r="C590" s="189">
        <f t="shared" si="36"/>
        <v>42261</v>
      </c>
      <c r="D590" s="189" t="s">
        <v>1401</v>
      </c>
      <c r="E590" s="189">
        <v>42261</v>
      </c>
      <c r="F590" s="190" t="s">
        <v>423</v>
      </c>
      <c r="G590" s="813" t="s">
        <v>1031</v>
      </c>
      <c r="H590" s="191" t="s">
        <v>1027</v>
      </c>
      <c r="I590" s="243"/>
      <c r="J590" s="243"/>
      <c r="K590" s="573">
        <v>1463000</v>
      </c>
      <c r="L590" s="574" t="s">
        <v>47</v>
      </c>
      <c r="M590" s="574" t="s">
        <v>250</v>
      </c>
      <c r="N590" s="51" t="str">
        <f>IF(AND('331-CT'!$E$7=TH!H590,OR(L590="331",M590="331")),"331",IF(AND(OR(L590="131",M590="131"),H590='131-CT'!$E$7),"131",""))</f>
        <v>131</v>
      </c>
      <c r="O590" s="51" t="str">
        <f>IF(AND($B590&gt;='111'!$N$11,$B590&lt;='111'!$O$11,OR($L590=$O$7,$M590=$O$7)),"x","")</f>
        <v/>
      </c>
      <c r="P590" s="51" t="str">
        <f>IF(AND($L590=$O$7,$B590&lt;'111'!$N$11),"x","")</f>
        <v>x</v>
      </c>
      <c r="Q590" s="51" t="str">
        <f>IF(AND($M590=$O$7,$B590&lt;'111'!$N$11),"x","")</f>
        <v/>
      </c>
      <c r="R590" s="51" t="str">
        <f>IF(ISERROR(FIND('112'!$M$9,G590,1)),"",IF((AND(FIND('112'!$M$9,G590,1)&gt;=1,$B590&gt;='112'!$N$8,$B590&lt;='112'!$O$8,OR($L590='112'!$I$6,$M590='112'!$I$6))),"x",""))</f>
        <v/>
      </c>
      <c r="S590" s="51" t="str">
        <f>IF(ISERROR(FIND('112'!$M$9,G590,1)),"",IF((AND(LEFT(G590,2)=LEFT('112'!$M$9,2),B590&lt;'112'!$N$8,$L590='112'!$I$6)),"x",""))</f>
        <v/>
      </c>
      <c r="T590" s="51" t="str">
        <f>IF(ISERROR(FIND('112'!$M$9,G590,1)),"",IF((AND(RIGHT(G590,2)=RIGHT('112'!$M$9,2),B590&lt;'112'!$N$8,$M590='112'!$I$6)),"x",""))</f>
        <v/>
      </c>
      <c r="U590" s="51" t="str">
        <f>IF(AND(L590="154",'154'!$O$5&lt;=B590,'154'!$P$5&gt;=B590),"154",IF(AND(L590="632",'632'!$L$5&lt;=B590,'632'!$M$5&gt;=B590),"632",IF(AND(L590="642",'642'!$N$5&lt;=B590,'642'!$O$5&gt;=B590),"642",IF(AND(L590="641",'641'!$N$5&lt;=B590,'641'!$O$5&gt;=B590),"641",""))))</f>
        <v/>
      </c>
      <c r="V590" s="51" t="str">
        <f>IF(OR(TH!L590=TH!$V$7,M590=TH!$V$7),"x","")</f>
        <v/>
      </c>
      <c r="W590" s="51" t="str">
        <f>IF(AND(B590&gt;='IN-NX'!$P$3,B590&lt;='IN-NX'!$Q$3,'IN-NX'!$D$7=D590,OR(LEFT(L590,2)="15",AND(LEFT(M590,2)&lt;&gt;"15",LEFT(M590,2)&lt;&gt;"33"))),"x","")</f>
        <v/>
      </c>
      <c r="X590" s="51" t="str">
        <f>IF(AND(OR(LEFT(TH!L590,2)="15",LEFT(TH!M590,2)="15"),'152-CT'!$J$8=TH!F590),"x","")</f>
        <v/>
      </c>
      <c r="Y590" s="51" t="str">
        <f>IF(AND(OR(LEFT(TH!L590,2)="15",LEFT(TH!M590,2)="15"),TK!$E$7=TH!F590),"x","")</f>
        <v/>
      </c>
      <c r="Z590" s="51" t="str">
        <f>IF(AND(B590&lt;=NKC!$N$8,B590&gt;=NKC!$M$8),"x","")</f>
        <v>x</v>
      </c>
      <c r="AA590" s="803"/>
      <c r="AB590" s="565"/>
      <c r="AD590" s="565"/>
    </row>
    <row r="591" spans="1:30" ht="15.75" customHeight="1">
      <c r="A591" s="804" t="str">
        <f>IF(B591&lt;&gt;"",IF(AND(B591&gt;=_TM1,B591&lt;=_TM2,OR(TH!L591="1111",TH!M591="1111")),TH!D591,""),"")</f>
        <v/>
      </c>
      <c r="B591" s="36">
        <f t="shared" si="35"/>
        <v>9</v>
      </c>
      <c r="C591" s="189">
        <f t="shared" si="36"/>
        <v>42262</v>
      </c>
      <c r="D591" s="189" t="s">
        <v>1402</v>
      </c>
      <c r="E591" s="189">
        <v>42262</v>
      </c>
      <c r="F591" s="190" t="s">
        <v>672</v>
      </c>
      <c r="G591" s="813" t="s">
        <v>671</v>
      </c>
      <c r="H591" s="191" t="s">
        <v>448</v>
      </c>
      <c r="I591" s="243">
        <v>750</v>
      </c>
      <c r="J591" s="243">
        <v>33053</v>
      </c>
      <c r="K591" s="573">
        <f t="shared" ref="K591:K596" si="38">ROUND(I591*J591,0)</f>
        <v>24789750</v>
      </c>
      <c r="L591" s="574" t="s">
        <v>417</v>
      </c>
      <c r="M591" s="574" t="s">
        <v>8</v>
      </c>
      <c r="N591" s="51" t="str">
        <f>IF(AND('331-CT'!$E$7=TH!H591,OR(L591="331",M591="331")),"331",IF(AND(OR(L591="131",M591="131"),H591='131-CT'!$E$7),"131",""))</f>
        <v/>
      </c>
      <c r="O591" s="51" t="str">
        <f>IF(AND($B591&gt;='111'!$N$11,$B591&lt;='111'!$O$11,OR($L591=$O$7,$M591=$O$7)),"x","")</f>
        <v/>
      </c>
      <c r="P591" s="51" t="str">
        <f>IF(AND($L591=$O$7,$B591&lt;'111'!$N$11),"x","")</f>
        <v/>
      </c>
      <c r="Q591" s="51" t="str">
        <f>IF(AND($M591=$O$7,$B591&lt;'111'!$N$11),"x","")</f>
        <v/>
      </c>
      <c r="R591" s="51" t="str">
        <f>IF(ISERROR(FIND('112'!$M$9,G591,1)),"",IF((AND(FIND('112'!$M$9,G591,1)&gt;=1,$B591&gt;='112'!$N$8,$B591&lt;='112'!$O$8,OR($L591='112'!$I$6,$M591='112'!$I$6))),"x",""))</f>
        <v/>
      </c>
      <c r="S591" s="51" t="str">
        <f>IF(ISERROR(FIND('112'!$M$9,G591,1)),"",IF((AND(LEFT(G591,2)=LEFT('112'!$M$9,2),B591&lt;'112'!$N$8,$L591='112'!$I$6)),"x",""))</f>
        <v/>
      </c>
      <c r="T591" s="51" t="str">
        <f>IF(ISERROR(FIND('112'!$M$9,G591,1)),"",IF((AND(RIGHT(G591,2)=RIGHT('112'!$M$9,2),B591&lt;'112'!$N$8,$M591='112'!$I$6)),"x",""))</f>
        <v/>
      </c>
      <c r="U591" s="51" t="str">
        <f>IF(AND(L591="154",'154'!$O$5&lt;=B591,'154'!$P$5&gt;=B591),"154",IF(AND(L591="632",'632'!$L$5&lt;=B591,'632'!$M$5&gt;=B591),"632",IF(AND(L591="642",'642'!$N$5&lt;=B591,'642'!$O$5&gt;=B591),"642",IF(AND(L591="641",'641'!$N$5&lt;=B591,'641'!$O$5&gt;=B591),"641",""))))</f>
        <v/>
      </c>
      <c r="V591" s="51" t="str">
        <f>IF(OR(TH!L591=TH!$V$7,M591=TH!$V$7),"x","")</f>
        <v/>
      </c>
      <c r="W591" s="51" t="str">
        <f>IF(AND(B591&gt;='IN-NX'!$P$3,B591&lt;='IN-NX'!$Q$3,'IN-NX'!$D$7=D591,OR(LEFT(L591,2)="15",AND(LEFT(M591,2)&lt;&gt;"15",LEFT(M591,2)&lt;&gt;"33"))),"x","")</f>
        <v/>
      </c>
      <c r="X591" s="51" t="str">
        <f>IF(AND(OR(LEFT(TH!L591,2)="15",LEFT(TH!M591,2)="15"),'152-CT'!$J$8=TH!F591),"x","")</f>
        <v/>
      </c>
      <c r="Y591" s="51" t="str">
        <f>IF(AND(OR(LEFT(TH!L591,2)="15",LEFT(TH!M591,2)="15"),TK!$E$7=TH!F591),"x","")</f>
        <v/>
      </c>
      <c r="Z591" s="51" t="str">
        <f>IF(AND(B591&lt;=NKC!$N$8,B591&gt;=NKC!$M$8),"x","")</f>
        <v>x</v>
      </c>
      <c r="AA591" s="803"/>
      <c r="AB591" s="565"/>
    </row>
    <row r="592" spans="1:30" ht="15.75" customHeight="1">
      <c r="A592" s="804" t="str">
        <f>IF(B592&lt;&gt;"",IF(AND(B592&gt;=_TM1,B592&lt;=_TM2,OR(TH!L592="1111",TH!M592="1111")),TH!D592,""),"")</f>
        <v/>
      </c>
      <c r="B592" s="36">
        <f t="shared" si="35"/>
        <v>9</v>
      </c>
      <c r="C592" s="189">
        <f t="shared" si="36"/>
        <v>42262</v>
      </c>
      <c r="D592" s="189" t="s">
        <v>1402</v>
      </c>
      <c r="E592" s="189">
        <v>42262</v>
      </c>
      <c r="F592" s="190" t="s">
        <v>673</v>
      </c>
      <c r="G592" s="813" t="s">
        <v>671</v>
      </c>
      <c r="H592" s="191" t="s">
        <v>448</v>
      </c>
      <c r="I592" s="243">
        <v>188</v>
      </c>
      <c r="J592" s="243">
        <v>13500</v>
      </c>
      <c r="K592" s="573">
        <f t="shared" si="38"/>
        <v>2538000</v>
      </c>
      <c r="L592" s="574" t="s">
        <v>417</v>
      </c>
      <c r="M592" s="574" t="s">
        <v>8</v>
      </c>
      <c r="N592" s="51" t="str">
        <f>IF(AND('331-CT'!$E$7=TH!H592,OR(L592="331",M592="331")),"331",IF(AND(OR(L592="131",M592="131"),H592='131-CT'!$E$7),"131",""))</f>
        <v/>
      </c>
      <c r="O592" s="51" t="str">
        <f>IF(AND($B592&gt;='111'!$N$11,$B592&lt;='111'!$O$11,OR($L592=$O$7,$M592=$O$7)),"x","")</f>
        <v/>
      </c>
      <c r="P592" s="51" t="str">
        <f>IF(AND($L592=$O$7,$B592&lt;'111'!$N$11),"x","")</f>
        <v/>
      </c>
      <c r="Q592" s="51" t="str">
        <f>IF(AND($M592=$O$7,$B592&lt;'111'!$N$11),"x","")</f>
        <v/>
      </c>
      <c r="R592" s="51" t="str">
        <f>IF(ISERROR(FIND('112'!$M$9,G592,1)),"",IF((AND(FIND('112'!$M$9,G592,1)&gt;=1,$B592&gt;='112'!$N$8,$B592&lt;='112'!$O$8,OR($L592='112'!$I$6,$M592='112'!$I$6))),"x",""))</f>
        <v/>
      </c>
      <c r="S592" s="51" t="str">
        <f>IF(ISERROR(FIND('112'!$M$9,G592,1)),"",IF((AND(LEFT(G592,2)=LEFT('112'!$M$9,2),B592&lt;'112'!$N$8,$L592='112'!$I$6)),"x",""))</f>
        <v/>
      </c>
      <c r="T592" s="51" t="str">
        <f>IF(ISERROR(FIND('112'!$M$9,G592,1)),"",IF((AND(RIGHT(G592,2)=RIGHT('112'!$M$9,2),B592&lt;'112'!$N$8,$M592='112'!$I$6)),"x",""))</f>
        <v/>
      </c>
      <c r="U592" s="51" t="str">
        <f>IF(AND(L592="154",'154'!$O$5&lt;=B592,'154'!$P$5&gt;=B592),"154",IF(AND(L592="632",'632'!$L$5&lt;=B592,'632'!$M$5&gt;=B592),"632",IF(AND(L592="642",'642'!$N$5&lt;=B592,'642'!$O$5&gt;=B592),"642",IF(AND(L592="641",'641'!$N$5&lt;=B592,'641'!$O$5&gt;=B592),"641",""))))</f>
        <v/>
      </c>
      <c r="V592" s="51" t="str">
        <f>IF(OR(TH!L592=TH!$V$7,M592=TH!$V$7),"x","")</f>
        <v/>
      </c>
      <c r="W592" s="51" t="str">
        <f>IF(AND(B592&gt;='IN-NX'!$P$3,B592&lt;='IN-NX'!$Q$3,'IN-NX'!$D$7=D592,OR(LEFT(L592,2)="15",AND(LEFT(M592,2)&lt;&gt;"15",LEFT(M592,2)&lt;&gt;"33"))),"x","")</f>
        <v/>
      </c>
      <c r="X592" s="51" t="str">
        <f>IF(AND(OR(LEFT(TH!L592,2)="15",LEFT(TH!M592,2)="15"),'152-CT'!$J$8=TH!F592),"x","")</f>
        <v/>
      </c>
      <c r="Y592" s="51" t="str">
        <f>IF(AND(OR(LEFT(TH!L592,2)="15",LEFT(TH!M592,2)="15"),TK!$E$7=TH!F592),"x","")</f>
        <v/>
      </c>
      <c r="Z592" s="51" t="str">
        <f>IF(AND(B592&lt;=NKC!$N$8,B592&gt;=NKC!$M$8),"x","")</f>
        <v>x</v>
      </c>
      <c r="AA592" s="803"/>
      <c r="AB592" s="565"/>
    </row>
    <row r="593" spans="1:28" ht="15.75" customHeight="1">
      <c r="A593" s="804" t="str">
        <f>IF(B593&lt;&gt;"",IF(AND(B593&gt;=_TM1,B593&lt;=_TM2,OR(TH!L593="1111",TH!M593="1111")),TH!D593,""),"")</f>
        <v/>
      </c>
      <c r="B593" s="36">
        <f t="shared" si="35"/>
        <v>9</v>
      </c>
      <c r="C593" s="189">
        <f t="shared" si="36"/>
        <v>42262</v>
      </c>
      <c r="D593" s="189" t="s">
        <v>1402</v>
      </c>
      <c r="E593" s="189">
        <v>42262</v>
      </c>
      <c r="F593" s="190" t="s">
        <v>674</v>
      </c>
      <c r="G593" s="813" t="s">
        <v>671</v>
      </c>
      <c r="H593" s="191" t="s">
        <v>448</v>
      </c>
      <c r="I593" s="243">
        <v>50</v>
      </c>
      <c r="J593" s="243">
        <v>20736</v>
      </c>
      <c r="K593" s="573">
        <f t="shared" si="38"/>
        <v>1036800</v>
      </c>
      <c r="L593" s="574" t="s">
        <v>417</v>
      </c>
      <c r="M593" s="574" t="s">
        <v>8</v>
      </c>
      <c r="N593" s="51" t="str">
        <f>IF(AND('331-CT'!$E$7=TH!H593,OR(L593="331",M593="331")),"331",IF(AND(OR(L593="131",M593="131"),H593='131-CT'!$E$7),"131",""))</f>
        <v/>
      </c>
      <c r="O593" s="51" t="str">
        <f>IF(AND($B593&gt;='111'!$N$11,$B593&lt;='111'!$O$11,OR($L593=$O$7,$M593=$O$7)),"x","")</f>
        <v/>
      </c>
      <c r="P593" s="51" t="str">
        <f>IF(AND($L593=$O$7,$B593&lt;'111'!$N$11),"x","")</f>
        <v/>
      </c>
      <c r="Q593" s="51" t="str">
        <f>IF(AND($M593=$O$7,$B593&lt;'111'!$N$11),"x","")</f>
        <v/>
      </c>
      <c r="R593" s="51" t="str">
        <f>IF(ISERROR(FIND('112'!$M$9,G593,1)),"",IF((AND(FIND('112'!$M$9,G593,1)&gt;=1,$B593&gt;='112'!$N$8,$B593&lt;='112'!$O$8,OR($L593='112'!$I$6,$M593='112'!$I$6))),"x",""))</f>
        <v/>
      </c>
      <c r="S593" s="51" t="str">
        <f>IF(ISERROR(FIND('112'!$M$9,G593,1)),"",IF((AND(LEFT(G593,2)=LEFT('112'!$M$9,2),B593&lt;'112'!$N$8,$L593='112'!$I$6)),"x",""))</f>
        <v/>
      </c>
      <c r="T593" s="51" t="str">
        <f>IF(ISERROR(FIND('112'!$M$9,G593,1)),"",IF((AND(RIGHT(G593,2)=RIGHT('112'!$M$9,2),B593&lt;'112'!$N$8,$M593='112'!$I$6)),"x",""))</f>
        <v/>
      </c>
      <c r="U593" s="51" t="str">
        <f>IF(AND(L593="154",'154'!$O$5&lt;=B593,'154'!$P$5&gt;=B593),"154",IF(AND(L593="632",'632'!$L$5&lt;=B593,'632'!$M$5&gt;=B593),"632",IF(AND(L593="642",'642'!$N$5&lt;=B593,'642'!$O$5&gt;=B593),"642",IF(AND(L593="641",'641'!$N$5&lt;=B593,'641'!$O$5&gt;=B593),"641",""))))</f>
        <v/>
      </c>
      <c r="V593" s="51" t="str">
        <f>IF(OR(TH!L593=TH!$V$7,M593=TH!$V$7),"x","")</f>
        <v/>
      </c>
      <c r="W593" s="51" t="str">
        <f>IF(AND(B593&gt;='IN-NX'!$P$3,B593&lt;='IN-NX'!$Q$3,'IN-NX'!$D$7=D593,OR(LEFT(L593,2)="15",AND(LEFT(M593,2)&lt;&gt;"15",LEFT(M593,2)&lt;&gt;"33"))),"x","")</f>
        <v/>
      </c>
      <c r="X593" s="51" t="str">
        <f>IF(AND(OR(LEFT(TH!L593,2)="15",LEFT(TH!M593,2)="15"),'152-CT'!$J$8=TH!F593),"x","")</f>
        <v/>
      </c>
      <c r="Y593" s="51" t="str">
        <f>IF(AND(OR(LEFT(TH!L593,2)="15",LEFT(TH!M593,2)="15"),TK!$E$7=TH!F593),"x","")</f>
        <v/>
      </c>
      <c r="Z593" s="51" t="str">
        <f>IF(AND(B593&lt;=NKC!$N$8,B593&gt;=NKC!$M$8),"x","")</f>
        <v>x</v>
      </c>
      <c r="AA593" s="803"/>
      <c r="AB593" s="565"/>
    </row>
    <row r="594" spans="1:28" ht="15.75" customHeight="1">
      <c r="A594" s="804" t="str">
        <f>IF(B594&lt;&gt;"",IF(AND(B594&gt;=_TM1,B594&lt;=_TM2,OR(TH!L594="1111",TH!M594="1111")),TH!D594,""),"")</f>
        <v/>
      </c>
      <c r="B594" s="36">
        <f t="shared" si="35"/>
        <v>9</v>
      </c>
      <c r="C594" s="189">
        <f t="shared" si="36"/>
        <v>42262</v>
      </c>
      <c r="D594" s="189" t="s">
        <v>1402</v>
      </c>
      <c r="E594" s="189">
        <v>42262</v>
      </c>
      <c r="F594" s="190" t="s">
        <v>675</v>
      </c>
      <c r="G594" s="813" t="s">
        <v>671</v>
      </c>
      <c r="H594" s="191" t="s">
        <v>448</v>
      </c>
      <c r="I594" s="243">
        <v>250</v>
      </c>
      <c r="J594" s="243">
        <v>9430</v>
      </c>
      <c r="K594" s="573">
        <f t="shared" si="38"/>
        <v>2357500</v>
      </c>
      <c r="L594" s="574" t="s">
        <v>417</v>
      </c>
      <c r="M594" s="574" t="s">
        <v>8</v>
      </c>
      <c r="N594" s="51" t="str">
        <f>IF(AND('331-CT'!$E$7=TH!H594,OR(L594="331",M594="331")),"331",IF(AND(OR(L594="131",M594="131"),H594='131-CT'!$E$7),"131",""))</f>
        <v/>
      </c>
      <c r="O594" s="51" t="str">
        <f>IF(AND($B594&gt;='111'!$N$11,$B594&lt;='111'!$O$11,OR($L594=$O$7,$M594=$O$7)),"x","")</f>
        <v/>
      </c>
      <c r="P594" s="51" t="str">
        <f>IF(AND($L594=$O$7,$B594&lt;'111'!$N$11),"x","")</f>
        <v/>
      </c>
      <c r="Q594" s="51" t="str">
        <f>IF(AND($M594=$O$7,$B594&lt;'111'!$N$11),"x","")</f>
        <v/>
      </c>
      <c r="R594" s="51" t="str">
        <f>IF(ISERROR(FIND('112'!$M$9,G594,1)),"",IF((AND(FIND('112'!$M$9,G594,1)&gt;=1,$B594&gt;='112'!$N$8,$B594&lt;='112'!$O$8,OR($L594='112'!$I$6,$M594='112'!$I$6))),"x",""))</f>
        <v/>
      </c>
      <c r="S594" s="51" t="str">
        <f>IF(ISERROR(FIND('112'!$M$9,G594,1)),"",IF((AND(LEFT(G594,2)=LEFT('112'!$M$9,2),B594&lt;'112'!$N$8,$L594='112'!$I$6)),"x",""))</f>
        <v/>
      </c>
      <c r="T594" s="51" t="str">
        <f>IF(ISERROR(FIND('112'!$M$9,G594,1)),"",IF((AND(RIGHT(G594,2)=RIGHT('112'!$M$9,2),B594&lt;'112'!$N$8,$M594='112'!$I$6)),"x",""))</f>
        <v/>
      </c>
      <c r="U594" s="51" t="str">
        <f>IF(AND(L594="154",'154'!$O$5&lt;=B594,'154'!$P$5&gt;=B594),"154",IF(AND(L594="632",'632'!$L$5&lt;=B594,'632'!$M$5&gt;=B594),"632",IF(AND(L594="642",'642'!$N$5&lt;=B594,'642'!$O$5&gt;=B594),"642",IF(AND(L594="641",'641'!$N$5&lt;=B594,'641'!$O$5&gt;=B594),"641",""))))</f>
        <v/>
      </c>
      <c r="V594" s="51" t="str">
        <f>IF(OR(TH!L594=TH!$V$7,M594=TH!$V$7),"x","")</f>
        <v/>
      </c>
      <c r="W594" s="51" t="str">
        <f>IF(AND(B594&gt;='IN-NX'!$P$3,B594&lt;='IN-NX'!$Q$3,'IN-NX'!$D$7=D594,OR(LEFT(L594,2)="15",AND(LEFT(M594,2)&lt;&gt;"15",LEFT(M594,2)&lt;&gt;"33"))),"x","")</f>
        <v/>
      </c>
      <c r="X594" s="51" t="str">
        <f>IF(AND(OR(LEFT(TH!L594,2)="15",LEFT(TH!M594,2)="15"),'152-CT'!$J$8=TH!F594),"x","")</f>
        <v/>
      </c>
      <c r="Y594" s="51" t="str">
        <f>IF(AND(OR(LEFT(TH!L594,2)="15",LEFT(TH!M594,2)="15"),TK!$E$7=TH!F594),"x","")</f>
        <v/>
      </c>
      <c r="Z594" s="51" t="str">
        <f>IF(AND(B594&lt;=NKC!$N$8,B594&gt;=NKC!$M$8),"x","")</f>
        <v>x</v>
      </c>
      <c r="AA594" s="803"/>
      <c r="AB594" s="565"/>
    </row>
    <row r="595" spans="1:28" ht="15.75" customHeight="1">
      <c r="A595" s="804" t="str">
        <f>IF(B595&lt;&gt;"",IF(AND(B595&gt;=_TM1,B595&lt;=_TM2,OR(TH!L595="1111",TH!M595="1111")),TH!D595,""),"")</f>
        <v/>
      </c>
      <c r="B595" s="36">
        <f t="shared" si="35"/>
        <v>9</v>
      </c>
      <c r="C595" s="189">
        <f t="shared" si="36"/>
        <v>42262</v>
      </c>
      <c r="D595" s="189" t="s">
        <v>1402</v>
      </c>
      <c r="E595" s="189">
        <v>42262</v>
      </c>
      <c r="F595" s="190" t="s">
        <v>676</v>
      </c>
      <c r="G595" s="813" t="s">
        <v>671</v>
      </c>
      <c r="H595" s="191" t="s">
        <v>448</v>
      </c>
      <c r="I595" s="243">
        <v>100</v>
      </c>
      <c r="J595" s="243">
        <v>13318</v>
      </c>
      <c r="K595" s="573">
        <f t="shared" si="38"/>
        <v>1331800</v>
      </c>
      <c r="L595" s="574" t="s">
        <v>417</v>
      </c>
      <c r="M595" s="574" t="s">
        <v>8</v>
      </c>
      <c r="N595" s="51" t="str">
        <f>IF(AND('331-CT'!$E$7=TH!H595,OR(L595="331",M595="331")),"331",IF(AND(OR(L595="131",M595="131"),H595='131-CT'!$E$7),"131",""))</f>
        <v/>
      </c>
      <c r="O595" s="51" t="str">
        <f>IF(AND($B595&gt;='111'!$N$11,$B595&lt;='111'!$O$11,OR($L595=$O$7,$M595=$O$7)),"x","")</f>
        <v/>
      </c>
      <c r="P595" s="51" t="str">
        <f>IF(AND($L595=$O$7,$B595&lt;'111'!$N$11),"x","")</f>
        <v/>
      </c>
      <c r="Q595" s="51" t="str">
        <f>IF(AND($M595=$O$7,$B595&lt;'111'!$N$11),"x","")</f>
        <v/>
      </c>
      <c r="R595" s="51" t="str">
        <f>IF(ISERROR(FIND('112'!$M$9,G595,1)),"",IF((AND(FIND('112'!$M$9,G595,1)&gt;=1,$B595&gt;='112'!$N$8,$B595&lt;='112'!$O$8,OR($L595='112'!$I$6,$M595='112'!$I$6))),"x",""))</f>
        <v/>
      </c>
      <c r="S595" s="51" t="str">
        <f>IF(ISERROR(FIND('112'!$M$9,G595,1)),"",IF((AND(LEFT(G595,2)=LEFT('112'!$M$9,2),B595&lt;'112'!$N$8,$L595='112'!$I$6)),"x",""))</f>
        <v/>
      </c>
      <c r="T595" s="51" t="str">
        <f>IF(ISERROR(FIND('112'!$M$9,G595,1)),"",IF((AND(RIGHT(G595,2)=RIGHT('112'!$M$9,2),B595&lt;'112'!$N$8,$M595='112'!$I$6)),"x",""))</f>
        <v/>
      </c>
      <c r="U595" s="51" t="str">
        <f>IF(AND(L595="154",'154'!$O$5&lt;=B595,'154'!$P$5&gt;=B595),"154",IF(AND(L595="632",'632'!$L$5&lt;=B595,'632'!$M$5&gt;=B595),"632",IF(AND(L595="642",'642'!$N$5&lt;=B595,'642'!$O$5&gt;=B595),"642",IF(AND(L595="641",'641'!$N$5&lt;=B595,'641'!$O$5&gt;=B595),"641",""))))</f>
        <v/>
      </c>
      <c r="V595" s="51" t="str">
        <f>IF(OR(TH!L595=TH!$V$7,M595=TH!$V$7),"x","")</f>
        <v/>
      </c>
      <c r="W595" s="51" t="str">
        <f>IF(AND(B595&gt;='IN-NX'!$P$3,B595&lt;='IN-NX'!$Q$3,'IN-NX'!$D$7=D595,OR(LEFT(L595,2)="15",AND(LEFT(M595,2)&lt;&gt;"15",LEFT(M595,2)&lt;&gt;"33"))),"x","")</f>
        <v/>
      </c>
      <c r="X595" s="51" t="str">
        <f>IF(AND(OR(LEFT(TH!L595,2)="15",LEFT(TH!M595,2)="15"),'152-CT'!$J$8=TH!F595),"x","")</f>
        <v/>
      </c>
      <c r="Y595" s="51" t="str">
        <f>IF(AND(OR(LEFT(TH!L595,2)="15",LEFT(TH!M595,2)="15"),TK!$E$7=TH!F595),"x","")</f>
        <v/>
      </c>
      <c r="Z595" s="51" t="str">
        <f>IF(AND(B595&lt;=NKC!$N$8,B595&gt;=NKC!$M$8),"x","")</f>
        <v>x</v>
      </c>
      <c r="AA595" s="803"/>
      <c r="AB595" s="565"/>
    </row>
    <row r="596" spans="1:28" ht="15.75" customHeight="1">
      <c r="A596" s="804" t="str">
        <f>IF(B596&lt;&gt;"",IF(AND(B596&gt;=_TM1,B596&lt;=_TM2,OR(TH!L596="1111",TH!M596="1111")),TH!D596,""),"")</f>
        <v/>
      </c>
      <c r="B596" s="36">
        <f t="shared" si="35"/>
        <v>9</v>
      </c>
      <c r="C596" s="189">
        <f t="shared" si="36"/>
        <v>42262</v>
      </c>
      <c r="D596" s="189" t="s">
        <v>1402</v>
      </c>
      <c r="E596" s="189">
        <v>42262</v>
      </c>
      <c r="F596" s="190" t="s">
        <v>677</v>
      </c>
      <c r="G596" s="813" t="s">
        <v>671</v>
      </c>
      <c r="H596" s="191" t="s">
        <v>448</v>
      </c>
      <c r="I596" s="243">
        <v>250</v>
      </c>
      <c r="J596" s="243">
        <v>19048</v>
      </c>
      <c r="K596" s="573">
        <f t="shared" si="38"/>
        <v>4762000</v>
      </c>
      <c r="L596" s="574" t="s">
        <v>417</v>
      </c>
      <c r="M596" s="574" t="s">
        <v>8</v>
      </c>
      <c r="N596" s="51" t="str">
        <f>IF(AND('331-CT'!$E$7=TH!H596,OR(L596="331",M596="331")),"331",IF(AND(OR(L596="131",M596="131"),H596='131-CT'!$E$7),"131",""))</f>
        <v/>
      </c>
      <c r="O596" s="51" t="str">
        <f>IF(AND($B596&gt;='111'!$N$11,$B596&lt;='111'!$O$11,OR($L596=$O$7,$M596=$O$7)),"x","")</f>
        <v/>
      </c>
      <c r="P596" s="51" t="str">
        <f>IF(AND($L596=$O$7,$B596&lt;'111'!$N$11),"x","")</f>
        <v/>
      </c>
      <c r="Q596" s="51" t="str">
        <f>IF(AND($M596=$O$7,$B596&lt;'111'!$N$11),"x","")</f>
        <v/>
      </c>
      <c r="R596" s="51" t="str">
        <f>IF(ISERROR(FIND('112'!$M$9,G596,1)),"",IF((AND(FIND('112'!$M$9,G596,1)&gt;=1,$B596&gt;='112'!$N$8,$B596&lt;='112'!$O$8,OR($L596='112'!$I$6,$M596='112'!$I$6))),"x",""))</f>
        <v/>
      </c>
      <c r="S596" s="51" t="str">
        <f>IF(ISERROR(FIND('112'!$M$9,G596,1)),"",IF((AND(LEFT(G596,2)=LEFT('112'!$M$9,2),B596&lt;'112'!$N$8,$L596='112'!$I$6)),"x",""))</f>
        <v/>
      </c>
      <c r="T596" s="51" t="str">
        <f>IF(ISERROR(FIND('112'!$M$9,G596,1)),"",IF((AND(RIGHT(G596,2)=RIGHT('112'!$M$9,2),B596&lt;'112'!$N$8,$M596='112'!$I$6)),"x",""))</f>
        <v/>
      </c>
      <c r="U596" s="51" t="str">
        <f>IF(AND(L596="154",'154'!$O$5&lt;=B596,'154'!$P$5&gt;=B596),"154",IF(AND(L596="632",'632'!$L$5&lt;=B596,'632'!$M$5&gt;=B596),"632",IF(AND(L596="642",'642'!$N$5&lt;=B596,'642'!$O$5&gt;=B596),"642",IF(AND(L596="641",'641'!$N$5&lt;=B596,'641'!$O$5&gt;=B596),"641",""))))</f>
        <v/>
      </c>
      <c r="V596" s="51" t="str">
        <f>IF(OR(TH!L596=TH!$V$7,M596=TH!$V$7),"x","")</f>
        <v/>
      </c>
      <c r="W596" s="51" t="str">
        <f>IF(AND(B596&gt;='IN-NX'!$P$3,B596&lt;='IN-NX'!$Q$3,'IN-NX'!$D$7=D596,OR(LEFT(L596,2)="15",AND(LEFT(M596,2)&lt;&gt;"15",LEFT(M596,2)&lt;&gt;"33"))),"x","")</f>
        <v/>
      </c>
      <c r="X596" s="51" t="str">
        <f>IF(AND(OR(LEFT(TH!L596,2)="15",LEFT(TH!M596,2)="15"),'152-CT'!$J$8=TH!F596),"x","")</f>
        <v/>
      </c>
      <c r="Y596" s="51" t="str">
        <f>IF(AND(OR(LEFT(TH!L596,2)="15",LEFT(TH!M596,2)="15"),TK!$E$7=TH!F596),"x","")</f>
        <v/>
      </c>
      <c r="Z596" s="51" t="str">
        <f>IF(AND(B596&lt;=NKC!$N$8,B596&gt;=NKC!$M$8),"x","")</f>
        <v>x</v>
      </c>
      <c r="AA596" s="803"/>
      <c r="AB596" s="565"/>
    </row>
    <row r="597" spans="1:28" ht="15.75" customHeight="1">
      <c r="A597" s="804" t="str">
        <f>IF(B597&lt;&gt;"",IF(AND(B597&gt;=_TM1,B597&lt;=_TM2,OR(TH!L597="1111",TH!M597="1111")),TH!D597,""),"")</f>
        <v/>
      </c>
      <c r="B597" s="36">
        <f t="shared" si="35"/>
        <v>9</v>
      </c>
      <c r="C597" s="189">
        <f t="shared" si="36"/>
        <v>42262</v>
      </c>
      <c r="D597" s="189" t="s">
        <v>1402</v>
      </c>
      <c r="E597" s="189">
        <v>42262</v>
      </c>
      <c r="F597" s="190" t="s">
        <v>468</v>
      </c>
      <c r="G597" s="813" t="s">
        <v>671</v>
      </c>
      <c r="H597" s="191" t="s">
        <v>448</v>
      </c>
      <c r="I597" s="243"/>
      <c r="J597" s="243"/>
      <c r="K597" s="573">
        <v>3681585</v>
      </c>
      <c r="L597" s="574" t="s">
        <v>9</v>
      </c>
      <c r="M597" s="574" t="s">
        <v>8</v>
      </c>
      <c r="N597" s="51" t="str">
        <f>IF(AND('331-CT'!$E$7=TH!H597,OR(L597="331",M597="331")),"331",IF(AND(OR(L597="131",M597="131"),H597='131-CT'!$E$7),"131",""))</f>
        <v/>
      </c>
      <c r="O597" s="51" t="str">
        <f>IF(AND($B597&gt;='111'!$N$11,$B597&lt;='111'!$O$11,OR($L597=$O$7,$M597=$O$7)),"x","")</f>
        <v/>
      </c>
      <c r="P597" s="51" t="str">
        <f>IF(AND($L597=$O$7,$B597&lt;'111'!$N$11),"x","")</f>
        <v/>
      </c>
      <c r="Q597" s="51" t="str">
        <f>IF(AND($M597=$O$7,$B597&lt;'111'!$N$11),"x","")</f>
        <v/>
      </c>
      <c r="R597" s="51" t="str">
        <f>IF(ISERROR(FIND('112'!$M$9,G597,1)),"",IF((AND(FIND('112'!$M$9,G597,1)&gt;=1,$B597&gt;='112'!$N$8,$B597&lt;='112'!$O$8,OR($L597='112'!$I$6,$M597='112'!$I$6))),"x",""))</f>
        <v/>
      </c>
      <c r="S597" s="51" t="str">
        <f>IF(ISERROR(FIND('112'!$M$9,G597,1)),"",IF((AND(LEFT(G597,2)=LEFT('112'!$M$9,2),B597&lt;'112'!$N$8,$L597='112'!$I$6)),"x",""))</f>
        <v/>
      </c>
      <c r="T597" s="51" t="str">
        <f>IF(ISERROR(FIND('112'!$M$9,G597,1)),"",IF((AND(RIGHT(G597,2)=RIGHT('112'!$M$9,2),B597&lt;'112'!$N$8,$M597='112'!$I$6)),"x",""))</f>
        <v/>
      </c>
      <c r="U597" s="51" t="str">
        <f>IF(AND(L597="154",'154'!$O$5&lt;=B597,'154'!$P$5&gt;=B597),"154",IF(AND(L597="632",'632'!$L$5&lt;=B597,'632'!$M$5&gt;=B597),"632",IF(AND(L597="642",'642'!$N$5&lt;=B597,'642'!$O$5&gt;=B597),"642",IF(AND(L597="641",'641'!$N$5&lt;=B597,'641'!$O$5&gt;=B597),"641",""))))</f>
        <v/>
      </c>
      <c r="V597" s="51" t="str">
        <f>IF(OR(TH!L597=TH!$V$7,M597=TH!$V$7),"x","")</f>
        <v/>
      </c>
      <c r="W597" s="51" t="str">
        <f>IF(AND(B597&gt;='IN-NX'!$P$3,B597&lt;='IN-NX'!$Q$3,'IN-NX'!$D$7=D597,OR(LEFT(L597,2)="15",AND(LEFT(M597,2)&lt;&gt;"15",LEFT(M597,2)&lt;&gt;"33"))),"x","")</f>
        <v/>
      </c>
      <c r="X597" s="51" t="str">
        <f>IF(AND(OR(LEFT(TH!L597,2)="15",LEFT(TH!M597,2)="15"),'152-CT'!$J$8=TH!F597),"x","")</f>
        <v/>
      </c>
      <c r="Y597" s="51" t="str">
        <f>IF(AND(OR(LEFT(TH!L597,2)="15",LEFT(TH!M597,2)="15"),TK!$E$7=TH!F597),"x","")</f>
        <v/>
      </c>
      <c r="Z597" s="51" t="str">
        <f>IF(AND(B597&lt;=NKC!$N$8,B597&gt;=NKC!$M$8),"x","")</f>
        <v>x</v>
      </c>
      <c r="AA597" s="803">
        <v>3</v>
      </c>
      <c r="AB597" s="565"/>
    </row>
    <row r="598" spans="1:28" ht="15.75" customHeight="1">
      <c r="A598" s="804" t="str">
        <f>IF(B598&lt;&gt;"",IF(AND(B598&gt;=_TM1,B598&lt;=_TM2,OR(TH!L598="1111",TH!M598="1111")),TH!D598,""),"")</f>
        <v/>
      </c>
      <c r="B598" s="36">
        <f t="shared" si="35"/>
        <v>9</v>
      </c>
      <c r="C598" s="189">
        <f t="shared" si="36"/>
        <v>42262</v>
      </c>
      <c r="D598" s="189" t="s">
        <v>1300</v>
      </c>
      <c r="E598" s="189">
        <v>42262</v>
      </c>
      <c r="F598" s="190" t="s">
        <v>694</v>
      </c>
      <c r="G598" s="813" t="s">
        <v>1032</v>
      </c>
      <c r="H598" s="7" t="s">
        <v>444</v>
      </c>
      <c r="I598" s="243">
        <v>106</v>
      </c>
      <c r="J598" s="243">
        <v>89769</v>
      </c>
      <c r="K598" s="573">
        <f>ROUND(I598*J598,0)</f>
        <v>9515514</v>
      </c>
      <c r="L598" s="574" t="s">
        <v>250</v>
      </c>
      <c r="M598" s="574" t="s">
        <v>164</v>
      </c>
      <c r="N598" s="51" t="str">
        <f>IF(AND('331-CT'!$E$7=TH!H598,OR(L598="331",M598="331")),"331",IF(AND(OR(L598="131",M598="131"),H598='131-CT'!$E$7),"131",""))</f>
        <v/>
      </c>
      <c r="O598" s="51" t="str">
        <f>IF(AND($B598&gt;='111'!$N$11,$B598&lt;='111'!$O$11,OR($L598=$O$7,$M598=$O$7)),"x","")</f>
        <v/>
      </c>
      <c r="P598" s="51" t="str">
        <f>IF(AND($L598=$O$7,$B598&lt;'111'!$N$11),"x","")</f>
        <v/>
      </c>
      <c r="Q598" s="51" t="str">
        <f>IF(AND($M598=$O$7,$B598&lt;'111'!$N$11),"x","")</f>
        <v/>
      </c>
      <c r="R598" s="51" t="str">
        <f>IF(ISERROR(FIND('112'!$M$9,G598,1)),"",IF((AND(FIND('112'!$M$9,G598,1)&gt;=1,$B598&gt;='112'!$N$8,$B598&lt;='112'!$O$8,OR($L598='112'!$I$6,$M598='112'!$I$6))),"x",""))</f>
        <v/>
      </c>
      <c r="S598" s="51" t="str">
        <f>IF(ISERROR(FIND('112'!$M$9,G598,1)),"",IF((AND(LEFT(G598,2)=LEFT('112'!$M$9,2),B598&lt;'112'!$N$8,$L598='112'!$I$6)),"x",""))</f>
        <v/>
      </c>
      <c r="T598" s="51" t="str">
        <f>IF(ISERROR(FIND('112'!$M$9,G598,1)),"",IF((AND(RIGHT(G598,2)=RIGHT('112'!$M$9,2),B598&lt;'112'!$N$8,$M598='112'!$I$6)),"x",""))</f>
        <v/>
      </c>
      <c r="U598" s="51" t="str">
        <f>IF(AND(L598="154",'154'!$O$5&lt;=B598,'154'!$P$5&gt;=B598),"154",IF(AND(L598="632",'632'!$L$5&lt;=B598,'632'!$M$5&gt;=B598),"632",IF(AND(L598="642",'642'!$N$5&lt;=B598,'642'!$O$5&gt;=B598),"642",IF(AND(L598="641",'641'!$N$5&lt;=B598,'641'!$O$5&gt;=B598),"641",""))))</f>
        <v/>
      </c>
      <c r="V598" s="51" t="str">
        <f>IF(OR(TH!L598=TH!$V$7,M598=TH!$V$7),"x","")</f>
        <v/>
      </c>
      <c r="W598" s="51" t="str">
        <f>IF(AND(B598&gt;='IN-NX'!$P$3,B598&lt;='IN-NX'!$Q$3,'IN-NX'!$D$7=D598,OR(LEFT(L598,2)="15",AND(LEFT(M598,2)&lt;&gt;"15",LEFT(M598,2)&lt;&gt;"33"))),"x","")</f>
        <v/>
      </c>
      <c r="X598" s="51" t="str">
        <f>IF(AND(OR(LEFT(TH!L598,2)="15",LEFT(TH!M598,2)="15"),'152-CT'!$J$8=TH!F598),"x","")</f>
        <v/>
      </c>
      <c r="Y598" s="51" t="str">
        <f>IF(AND(OR(LEFT(TH!L598,2)="15",LEFT(TH!M598,2)="15"),TK!$E$7=TH!F598),"x","")</f>
        <v/>
      </c>
      <c r="Z598" s="51" t="str">
        <f>IF(AND(B598&lt;=NKC!$N$8,B598&gt;=NKC!$M$8),"x","")</f>
        <v>x</v>
      </c>
      <c r="AA598" s="803"/>
      <c r="AB598" s="565"/>
    </row>
    <row r="599" spans="1:28" ht="15.75" customHeight="1">
      <c r="A599" s="804" t="str">
        <f>IF(B599&lt;&gt;"",IF(AND(B599&gt;=_TM1,B599&lt;=_TM2,OR(TH!L599="1111",TH!M599="1111")),TH!D599,""),"")</f>
        <v/>
      </c>
      <c r="B599" s="36">
        <f t="shared" si="35"/>
        <v>9</v>
      </c>
      <c r="C599" s="189">
        <f t="shared" si="36"/>
        <v>42262</v>
      </c>
      <c r="D599" s="189" t="s">
        <v>1300</v>
      </c>
      <c r="E599" s="189">
        <v>42262</v>
      </c>
      <c r="F599" s="190" t="s">
        <v>1208</v>
      </c>
      <c r="G599" s="813" t="s">
        <v>1032</v>
      </c>
      <c r="H599" s="7" t="s">
        <v>444</v>
      </c>
      <c r="I599" s="243">
        <v>640</v>
      </c>
      <c r="J599" s="243">
        <v>600</v>
      </c>
      <c r="K599" s="573">
        <f>ROUND(I599*J599,0)</f>
        <v>384000</v>
      </c>
      <c r="L599" s="574" t="s">
        <v>250</v>
      </c>
      <c r="M599" s="574" t="s">
        <v>164</v>
      </c>
      <c r="N599" s="51" t="str">
        <f>IF(AND('331-CT'!$E$7=TH!H599,OR(L599="331",M599="331")),"331",IF(AND(OR(L599="131",M599="131"),H599='131-CT'!$E$7),"131",""))</f>
        <v/>
      </c>
      <c r="O599" s="51" t="str">
        <f>IF(AND($B599&gt;='111'!$N$11,$B599&lt;='111'!$O$11,OR($L599=$O$7,$M599=$O$7)),"x","")</f>
        <v/>
      </c>
      <c r="P599" s="51" t="str">
        <f>IF(AND($L599=$O$7,$B599&lt;'111'!$N$11),"x","")</f>
        <v/>
      </c>
      <c r="Q599" s="51" t="str">
        <f>IF(AND($M599=$O$7,$B599&lt;'111'!$N$11),"x","")</f>
        <v/>
      </c>
      <c r="R599" s="51" t="str">
        <f>IF(ISERROR(FIND('112'!$M$9,G599,1)),"",IF((AND(FIND('112'!$M$9,G599,1)&gt;=1,$B599&gt;='112'!$N$8,$B599&lt;='112'!$O$8,OR($L599='112'!$I$6,$M599='112'!$I$6))),"x",""))</f>
        <v/>
      </c>
      <c r="S599" s="51" t="str">
        <f>IF(ISERROR(FIND('112'!$M$9,G599,1)),"",IF((AND(LEFT(G599,2)=LEFT('112'!$M$9,2),B599&lt;'112'!$N$8,$L599='112'!$I$6)),"x",""))</f>
        <v/>
      </c>
      <c r="T599" s="51" t="str">
        <f>IF(ISERROR(FIND('112'!$M$9,G599,1)),"",IF((AND(RIGHT(G599,2)=RIGHT('112'!$M$9,2),B599&lt;'112'!$N$8,$M599='112'!$I$6)),"x",""))</f>
        <v/>
      </c>
      <c r="U599" s="51" t="str">
        <f>IF(AND(L599="154",'154'!$O$5&lt;=B599,'154'!$P$5&gt;=B599),"154",IF(AND(L599="632",'632'!$L$5&lt;=B599,'632'!$M$5&gt;=B599),"632",IF(AND(L599="642",'642'!$N$5&lt;=B599,'642'!$O$5&gt;=B599),"642",IF(AND(L599="641",'641'!$N$5&lt;=B599,'641'!$O$5&gt;=B599),"641",""))))</f>
        <v/>
      </c>
      <c r="V599" s="51" t="str">
        <f>IF(OR(TH!L599=TH!$V$7,M599=TH!$V$7),"x","")</f>
        <v/>
      </c>
      <c r="W599" s="51" t="str">
        <f>IF(AND(B599&gt;='IN-NX'!$P$3,B599&lt;='IN-NX'!$Q$3,'IN-NX'!$D$7=D599,OR(LEFT(L599,2)="15",AND(LEFT(M599,2)&lt;&gt;"15",LEFT(M599,2)&lt;&gt;"33"))),"x","")</f>
        <v/>
      </c>
      <c r="X599" s="51" t="str">
        <f>IF(AND(OR(LEFT(TH!L599,2)="15",LEFT(TH!M599,2)="15"),'152-CT'!$J$8=TH!F599),"x","")</f>
        <v/>
      </c>
      <c r="Y599" s="51" t="str">
        <f>IF(AND(OR(LEFT(TH!L599,2)="15",LEFT(TH!M599,2)="15"),TK!$E$7=TH!F599),"x","")</f>
        <v/>
      </c>
      <c r="Z599" s="51" t="str">
        <f>IF(AND(B599&lt;=NKC!$N$8,B599&gt;=NKC!$M$8),"x","")</f>
        <v>x</v>
      </c>
      <c r="AA599" s="803"/>
      <c r="AB599" s="565"/>
    </row>
    <row r="600" spans="1:28" ht="15.75" customHeight="1">
      <c r="A600" s="804" t="str">
        <f>IF(B600&lt;&gt;"",IF(AND(B600&gt;=_TM1,B600&lt;=_TM2,OR(TH!L600="1111",TH!M600="1111")),TH!D600,""),"")</f>
        <v/>
      </c>
      <c r="B600" s="36">
        <f t="shared" si="35"/>
        <v>9</v>
      </c>
      <c r="C600" s="189">
        <f t="shared" si="36"/>
        <v>42262</v>
      </c>
      <c r="D600" s="189" t="s">
        <v>1300</v>
      </c>
      <c r="E600" s="189">
        <v>42262</v>
      </c>
      <c r="F600" s="190" t="s">
        <v>695</v>
      </c>
      <c r="G600" s="813" t="s">
        <v>1032</v>
      </c>
      <c r="H600" s="7" t="s">
        <v>444</v>
      </c>
      <c r="I600" s="243">
        <v>101</v>
      </c>
      <c r="J600" s="243">
        <v>133021</v>
      </c>
      <c r="K600" s="573">
        <f>ROUND(I600*J600,0)</f>
        <v>13435121</v>
      </c>
      <c r="L600" s="574" t="s">
        <v>250</v>
      </c>
      <c r="M600" s="574" t="s">
        <v>164</v>
      </c>
      <c r="N600" s="51" t="str">
        <f>IF(AND('331-CT'!$E$7=TH!H600,OR(L600="331",M600="331")),"331",IF(AND(OR(L600="131",M600="131"),H600='131-CT'!$E$7),"131",""))</f>
        <v/>
      </c>
      <c r="O600" s="51" t="str">
        <f>IF(AND($B600&gt;='111'!$N$11,$B600&lt;='111'!$O$11,OR($L600=$O$7,$M600=$O$7)),"x","")</f>
        <v/>
      </c>
      <c r="P600" s="51" t="str">
        <f>IF(AND($L600=$O$7,$B600&lt;'111'!$N$11),"x","")</f>
        <v/>
      </c>
      <c r="Q600" s="51" t="str">
        <f>IF(AND($M600=$O$7,$B600&lt;'111'!$N$11),"x","")</f>
        <v/>
      </c>
      <c r="R600" s="51" t="str">
        <f>IF(ISERROR(FIND('112'!$M$9,G600,1)),"",IF((AND(FIND('112'!$M$9,G600,1)&gt;=1,$B600&gt;='112'!$N$8,$B600&lt;='112'!$O$8,OR($L600='112'!$I$6,$M600='112'!$I$6))),"x",""))</f>
        <v/>
      </c>
      <c r="S600" s="51" t="str">
        <f>IF(ISERROR(FIND('112'!$M$9,G600,1)),"",IF((AND(LEFT(G600,2)=LEFT('112'!$M$9,2),B600&lt;'112'!$N$8,$L600='112'!$I$6)),"x",""))</f>
        <v/>
      </c>
      <c r="T600" s="51" t="str">
        <f>IF(ISERROR(FIND('112'!$M$9,G600,1)),"",IF((AND(RIGHT(G600,2)=RIGHT('112'!$M$9,2),B600&lt;'112'!$N$8,$M600='112'!$I$6)),"x",""))</f>
        <v/>
      </c>
      <c r="U600" s="51" t="str">
        <f>IF(AND(L600="154",'154'!$O$5&lt;=B600,'154'!$P$5&gt;=B600),"154",IF(AND(L600="632",'632'!$L$5&lt;=B600,'632'!$M$5&gt;=B600),"632",IF(AND(L600="642",'642'!$N$5&lt;=B600,'642'!$O$5&gt;=B600),"642",IF(AND(L600="641",'641'!$N$5&lt;=B600,'641'!$O$5&gt;=B600),"641",""))))</f>
        <v/>
      </c>
      <c r="V600" s="51" t="str">
        <f>IF(OR(TH!L600=TH!$V$7,M600=TH!$V$7),"x","")</f>
        <v/>
      </c>
      <c r="W600" s="51" t="str">
        <f>IF(AND(B600&gt;='IN-NX'!$P$3,B600&lt;='IN-NX'!$Q$3,'IN-NX'!$D$7=D600,OR(LEFT(L600,2)="15",AND(LEFT(M600,2)&lt;&gt;"15",LEFT(M600,2)&lt;&gt;"33"))),"x","")</f>
        <v/>
      </c>
      <c r="X600" s="51" t="str">
        <f>IF(AND(OR(LEFT(TH!L600,2)="15",LEFT(TH!M600,2)="15"),'152-CT'!$J$8=TH!F600),"x","")</f>
        <v/>
      </c>
      <c r="Y600" s="51" t="str">
        <f>IF(AND(OR(LEFT(TH!L600,2)="15",LEFT(TH!M600,2)="15"),TK!$E$7=TH!F600),"x","")</f>
        <v/>
      </c>
      <c r="Z600" s="51" t="str">
        <f>IF(AND(B600&lt;=NKC!$N$8,B600&gt;=NKC!$M$8),"x","")</f>
        <v>x</v>
      </c>
      <c r="AA600" s="803"/>
      <c r="AB600" s="565"/>
    </row>
    <row r="601" spans="1:28" ht="15.75" customHeight="1">
      <c r="A601" s="804" t="str">
        <f>IF(B601&lt;&gt;"",IF(AND(B601&gt;=_TM1,B601&lt;=_TM2,OR(TH!L601="1111",TH!M601="1111")),TH!D601,""),"")</f>
        <v/>
      </c>
      <c r="B601" s="36">
        <f t="shared" si="35"/>
        <v>9</v>
      </c>
      <c r="C601" s="189">
        <f t="shared" si="36"/>
        <v>42262</v>
      </c>
      <c r="D601" s="189" t="s">
        <v>1300</v>
      </c>
      <c r="E601" s="189">
        <v>42262</v>
      </c>
      <c r="F601" s="190" t="s">
        <v>696</v>
      </c>
      <c r="G601" s="813" t="s">
        <v>1032</v>
      </c>
      <c r="H601" s="7" t="s">
        <v>444</v>
      </c>
      <c r="I601" s="243">
        <v>151</v>
      </c>
      <c r="J601" s="243">
        <v>26100</v>
      </c>
      <c r="K601" s="573">
        <f>ROUND(I601*J601,0)</f>
        <v>3941100</v>
      </c>
      <c r="L601" s="574" t="s">
        <v>250</v>
      </c>
      <c r="M601" s="574" t="s">
        <v>164</v>
      </c>
      <c r="N601" s="51" t="str">
        <f>IF(AND('331-CT'!$E$7=TH!H601,OR(L601="331",M601="331")),"331",IF(AND(OR(L601="131",M601="131"),H601='131-CT'!$E$7),"131",""))</f>
        <v/>
      </c>
      <c r="O601" s="51" t="str">
        <f>IF(AND($B601&gt;='111'!$N$11,$B601&lt;='111'!$O$11,OR($L601=$O$7,$M601=$O$7)),"x","")</f>
        <v/>
      </c>
      <c r="P601" s="51" t="str">
        <f>IF(AND($L601=$O$7,$B601&lt;'111'!$N$11),"x","")</f>
        <v/>
      </c>
      <c r="Q601" s="51" t="str">
        <f>IF(AND($M601=$O$7,$B601&lt;'111'!$N$11),"x","")</f>
        <v/>
      </c>
      <c r="R601" s="51" t="str">
        <f>IF(ISERROR(FIND('112'!$M$9,G601,1)),"",IF((AND(FIND('112'!$M$9,G601,1)&gt;=1,$B601&gt;='112'!$N$8,$B601&lt;='112'!$O$8,OR($L601='112'!$I$6,$M601='112'!$I$6))),"x",""))</f>
        <v/>
      </c>
      <c r="S601" s="51" t="str">
        <f>IF(ISERROR(FIND('112'!$M$9,G601,1)),"",IF((AND(LEFT(G601,2)=LEFT('112'!$M$9,2),B601&lt;'112'!$N$8,$L601='112'!$I$6)),"x",""))</f>
        <v/>
      </c>
      <c r="T601" s="51" t="str">
        <f>IF(ISERROR(FIND('112'!$M$9,G601,1)),"",IF((AND(RIGHT(G601,2)=RIGHT('112'!$M$9,2),B601&lt;'112'!$N$8,$M601='112'!$I$6)),"x",""))</f>
        <v/>
      </c>
      <c r="U601" s="51" t="str">
        <f>IF(AND(L601="154",'154'!$O$5&lt;=B601,'154'!$P$5&gt;=B601),"154",IF(AND(L601="632",'632'!$L$5&lt;=B601,'632'!$M$5&gt;=B601),"632",IF(AND(L601="642",'642'!$N$5&lt;=B601,'642'!$O$5&gt;=B601),"642",IF(AND(L601="641",'641'!$N$5&lt;=B601,'641'!$O$5&gt;=B601),"641",""))))</f>
        <v/>
      </c>
      <c r="V601" s="51" t="str">
        <f>IF(OR(TH!L601=TH!$V$7,M601=TH!$V$7),"x","")</f>
        <v/>
      </c>
      <c r="W601" s="51" t="str">
        <f>IF(AND(B601&gt;='IN-NX'!$P$3,B601&lt;='IN-NX'!$Q$3,'IN-NX'!$D$7=D601,OR(LEFT(L601,2)="15",AND(LEFT(M601,2)&lt;&gt;"15",LEFT(M601,2)&lt;&gt;"33"))),"x","")</f>
        <v/>
      </c>
      <c r="X601" s="51" t="str">
        <f>IF(AND(OR(LEFT(TH!L601,2)="15",LEFT(TH!M601,2)="15"),'152-CT'!$J$8=TH!F601),"x","")</f>
        <v/>
      </c>
      <c r="Y601" s="51" t="str">
        <f>IF(AND(OR(LEFT(TH!L601,2)="15",LEFT(TH!M601,2)="15"),TK!$E$7=TH!F601),"x","")</f>
        <v/>
      </c>
      <c r="Z601" s="51" t="str">
        <f>IF(AND(B601&lt;=NKC!$N$8,B601&gt;=NKC!$M$8),"x","")</f>
        <v>x</v>
      </c>
      <c r="AA601" s="803"/>
      <c r="AB601" s="565"/>
    </row>
    <row r="602" spans="1:28" ht="15.75" customHeight="1">
      <c r="A602" s="804" t="str">
        <f>IF(B602&lt;&gt;"",IF(AND(B602&gt;=_TM1,B602&lt;=_TM2,OR(TH!L602="1111",TH!M602="1111")),TH!D602,""),"")</f>
        <v/>
      </c>
      <c r="B602" s="36">
        <f t="shared" ref="B602:B665" si="39">IF(C602&lt;&gt;"",MONTH(C602),"")</f>
        <v>9</v>
      </c>
      <c r="C602" s="189">
        <f t="shared" ref="C602:C665" si="40">E602</f>
        <v>42262</v>
      </c>
      <c r="D602" s="189" t="s">
        <v>1300</v>
      </c>
      <c r="E602" s="189">
        <v>42262</v>
      </c>
      <c r="F602" s="190" t="s">
        <v>1208</v>
      </c>
      <c r="G602" s="813" t="s">
        <v>1032</v>
      </c>
      <c r="H602" s="7" t="s">
        <v>444</v>
      </c>
      <c r="I602" s="243">
        <v>908</v>
      </c>
      <c r="J602" s="243">
        <v>600</v>
      </c>
      <c r="K602" s="573">
        <f>ROUND(I602*J602,0)</f>
        <v>544800</v>
      </c>
      <c r="L602" s="574" t="s">
        <v>250</v>
      </c>
      <c r="M602" s="574" t="s">
        <v>164</v>
      </c>
      <c r="N602" s="51" t="str">
        <f>IF(AND('331-CT'!$E$7=TH!H602,OR(L602="331",M602="331")),"331",IF(AND(OR(L602="131",M602="131"),H602='131-CT'!$E$7),"131",""))</f>
        <v/>
      </c>
      <c r="O602" s="51" t="str">
        <f>IF(AND($B602&gt;='111'!$N$11,$B602&lt;='111'!$O$11,OR($L602=$O$7,$M602=$O$7)),"x","")</f>
        <v/>
      </c>
      <c r="P602" s="51" t="str">
        <f>IF(AND($L602=$O$7,$B602&lt;'111'!$N$11),"x","")</f>
        <v/>
      </c>
      <c r="Q602" s="51" t="str">
        <f>IF(AND($M602=$O$7,$B602&lt;'111'!$N$11),"x","")</f>
        <v/>
      </c>
      <c r="R602" s="51" t="str">
        <f>IF(ISERROR(FIND('112'!$M$9,G602,1)),"",IF((AND(FIND('112'!$M$9,G602,1)&gt;=1,$B602&gt;='112'!$N$8,$B602&lt;='112'!$O$8,OR($L602='112'!$I$6,$M602='112'!$I$6))),"x",""))</f>
        <v/>
      </c>
      <c r="S602" s="51" t="str">
        <f>IF(ISERROR(FIND('112'!$M$9,G602,1)),"",IF((AND(LEFT(G602,2)=LEFT('112'!$M$9,2),B602&lt;'112'!$N$8,$L602='112'!$I$6)),"x",""))</f>
        <v/>
      </c>
      <c r="T602" s="51" t="str">
        <f>IF(ISERROR(FIND('112'!$M$9,G602,1)),"",IF((AND(RIGHT(G602,2)=RIGHT('112'!$M$9,2),B602&lt;'112'!$N$8,$M602='112'!$I$6)),"x",""))</f>
        <v/>
      </c>
      <c r="U602" s="51" t="str">
        <f>IF(AND(L602="154",'154'!$O$5&lt;=B602,'154'!$P$5&gt;=B602),"154",IF(AND(L602="632",'632'!$L$5&lt;=B602,'632'!$M$5&gt;=B602),"632",IF(AND(L602="642",'642'!$N$5&lt;=B602,'642'!$O$5&gt;=B602),"642",IF(AND(L602="641",'641'!$N$5&lt;=B602,'641'!$O$5&gt;=B602),"641",""))))</f>
        <v/>
      </c>
      <c r="V602" s="51" t="str">
        <f>IF(OR(TH!L602=TH!$V$7,M602=TH!$V$7),"x","")</f>
        <v/>
      </c>
      <c r="W602" s="51" t="str">
        <f>IF(AND(B602&gt;='IN-NX'!$P$3,B602&lt;='IN-NX'!$Q$3,'IN-NX'!$D$7=D602,OR(LEFT(L602,2)="15",AND(LEFT(M602,2)&lt;&gt;"15",LEFT(M602,2)&lt;&gt;"33"))),"x","")</f>
        <v/>
      </c>
      <c r="X602" s="51" t="str">
        <f>IF(AND(OR(LEFT(TH!L602,2)="15",LEFT(TH!M602,2)="15"),'152-CT'!$J$8=TH!F602),"x","")</f>
        <v/>
      </c>
      <c r="Y602" s="51" t="str">
        <f>IF(AND(OR(LEFT(TH!L602,2)="15",LEFT(TH!M602,2)="15"),TK!$E$7=TH!F602),"x","")</f>
        <v/>
      </c>
      <c r="Z602" s="51" t="str">
        <f>IF(AND(B602&lt;=NKC!$N$8,B602&gt;=NKC!$M$8),"x","")</f>
        <v>x</v>
      </c>
      <c r="AA602" s="803"/>
      <c r="AB602" s="565"/>
    </row>
    <row r="603" spans="1:28" ht="15.75" customHeight="1">
      <c r="A603" s="804" t="str">
        <f>IF(B603&lt;&gt;"",IF(AND(B603&gt;=_TM1,B603&lt;=_TM2,OR(TH!L603="1111",TH!M603="1111")),TH!D603,""),"")</f>
        <v/>
      </c>
      <c r="B603" s="36">
        <f t="shared" si="39"/>
        <v>9</v>
      </c>
      <c r="C603" s="189">
        <f t="shared" si="40"/>
        <v>42262</v>
      </c>
      <c r="D603" s="189" t="s">
        <v>1300</v>
      </c>
      <c r="E603" s="189">
        <v>42262</v>
      </c>
      <c r="F603" s="190" t="s">
        <v>962</v>
      </c>
      <c r="G603" s="813" t="s">
        <v>1032</v>
      </c>
      <c r="H603" s="7" t="s">
        <v>444</v>
      </c>
      <c r="I603" s="243"/>
      <c r="J603" s="243"/>
      <c r="K603" s="573">
        <v>2782054</v>
      </c>
      <c r="L603" s="574" t="s">
        <v>250</v>
      </c>
      <c r="M603" s="574" t="s">
        <v>352</v>
      </c>
      <c r="N603" s="51" t="str">
        <f>IF(AND('331-CT'!$E$7=TH!H603,OR(L603="331",M603="331")),"331",IF(AND(OR(L603="131",M603="131"),H603='131-CT'!$E$7),"131",""))</f>
        <v/>
      </c>
      <c r="O603" s="51" t="str">
        <f>IF(AND($B603&gt;='111'!$N$11,$B603&lt;='111'!$O$11,OR($L603=$O$7,$M603=$O$7)),"x","")</f>
        <v/>
      </c>
      <c r="P603" s="51" t="str">
        <f>IF(AND($L603=$O$7,$B603&lt;'111'!$N$11),"x","")</f>
        <v/>
      </c>
      <c r="Q603" s="51" t="str">
        <f>IF(AND($M603=$O$7,$B603&lt;'111'!$N$11),"x","")</f>
        <v/>
      </c>
      <c r="R603" s="51" t="str">
        <f>IF(ISERROR(FIND('112'!$M$9,G603,1)),"",IF((AND(FIND('112'!$M$9,G603,1)&gt;=1,$B603&gt;='112'!$N$8,$B603&lt;='112'!$O$8,OR($L603='112'!$I$6,$M603='112'!$I$6))),"x",""))</f>
        <v/>
      </c>
      <c r="S603" s="51" t="str">
        <f>IF(ISERROR(FIND('112'!$M$9,G603,1)),"",IF((AND(LEFT(G603,2)=LEFT('112'!$M$9,2),B603&lt;'112'!$N$8,$L603='112'!$I$6)),"x",""))</f>
        <v/>
      </c>
      <c r="T603" s="51" t="str">
        <f>IF(ISERROR(FIND('112'!$M$9,G603,1)),"",IF((AND(RIGHT(G603,2)=RIGHT('112'!$M$9,2),B603&lt;'112'!$N$8,$M603='112'!$I$6)),"x",""))</f>
        <v/>
      </c>
      <c r="U603" s="51" t="str">
        <f>IF(AND(L603="154",'154'!$O$5&lt;=B603,'154'!$P$5&gt;=B603),"154",IF(AND(L603="632",'632'!$L$5&lt;=B603,'632'!$M$5&gt;=B603),"632",IF(AND(L603="642",'642'!$N$5&lt;=B603,'642'!$O$5&gt;=B603),"642",IF(AND(L603="641",'641'!$N$5&lt;=B603,'641'!$O$5&gt;=B603),"641",""))))</f>
        <v/>
      </c>
      <c r="V603" s="51" t="str">
        <f>IF(OR(TH!L603=TH!$V$7,M603=TH!$V$7),"x","")</f>
        <v/>
      </c>
      <c r="W603" s="51" t="str">
        <f>IF(AND(B603&gt;='IN-NX'!$P$3,B603&lt;='IN-NX'!$Q$3,'IN-NX'!$D$7=D603,OR(LEFT(L603,2)="15",AND(LEFT(M603,2)&lt;&gt;"15",LEFT(M603,2)&lt;&gt;"33"))),"x","")</f>
        <v/>
      </c>
      <c r="X603" s="51" t="str">
        <f>IF(AND(OR(LEFT(TH!L603,2)="15",LEFT(TH!M603,2)="15"),'152-CT'!$J$8=TH!F603),"x","")</f>
        <v/>
      </c>
      <c r="Y603" s="51" t="str">
        <f>IF(AND(OR(LEFT(TH!L603,2)="15",LEFT(TH!M603,2)="15"),TK!$E$7=TH!F603),"x","")</f>
        <v/>
      </c>
      <c r="Z603" s="51" t="str">
        <f>IF(AND(B603&lt;=NKC!$N$8,B603&gt;=NKC!$M$8),"x","")</f>
        <v>x</v>
      </c>
      <c r="AA603" s="803"/>
      <c r="AB603" s="565"/>
    </row>
    <row r="604" spans="1:28" ht="15.75" customHeight="1">
      <c r="A604" s="804" t="str">
        <f>IF(B604&lt;&gt;"",IF(AND(B604&gt;=_TM1,B604&lt;=_TM2,OR(TH!L604="1111",TH!M604="1111")),TH!D604,""),"")</f>
        <v/>
      </c>
      <c r="B604" s="36">
        <f t="shared" si="39"/>
        <v>9</v>
      </c>
      <c r="C604" s="189">
        <f t="shared" si="40"/>
        <v>42262</v>
      </c>
      <c r="D604" s="189" t="s">
        <v>1301</v>
      </c>
      <c r="E604" s="189">
        <v>42262</v>
      </c>
      <c r="F604" s="190" t="s">
        <v>624</v>
      </c>
      <c r="G604" s="813" t="s">
        <v>1033</v>
      </c>
      <c r="H604" s="191" t="s">
        <v>413</v>
      </c>
      <c r="I604" s="243">
        <v>200</v>
      </c>
      <c r="J604" s="243">
        <v>31700</v>
      </c>
      <c r="K604" s="573">
        <f>ROUND(I604*J604,0)</f>
        <v>6340000</v>
      </c>
      <c r="L604" s="574" t="s">
        <v>250</v>
      </c>
      <c r="M604" s="574" t="s">
        <v>164</v>
      </c>
      <c r="N604" s="51" t="str">
        <f>IF(AND('331-CT'!$E$7=TH!H604,OR(L604="331",M604="331")),"331",IF(AND(OR(L604="131",M604="131"),H604='131-CT'!$E$7),"131",""))</f>
        <v/>
      </c>
      <c r="O604" s="51" t="str">
        <f>IF(AND($B604&gt;='111'!$N$11,$B604&lt;='111'!$O$11,OR($L604=$O$7,$M604=$O$7)),"x","")</f>
        <v/>
      </c>
      <c r="P604" s="51" t="str">
        <f>IF(AND($L604=$O$7,$B604&lt;'111'!$N$11),"x","")</f>
        <v/>
      </c>
      <c r="Q604" s="51" t="str">
        <f>IF(AND($M604=$O$7,$B604&lt;'111'!$N$11),"x","")</f>
        <v/>
      </c>
      <c r="R604" s="51" t="str">
        <f>IF(ISERROR(FIND('112'!$M$9,G604,1)),"",IF((AND(FIND('112'!$M$9,G604,1)&gt;=1,$B604&gt;='112'!$N$8,$B604&lt;='112'!$O$8,OR($L604='112'!$I$6,$M604='112'!$I$6))),"x",""))</f>
        <v/>
      </c>
      <c r="S604" s="51" t="str">
        <f>IF(ISERROR(FIND('112'!$M$9,G604,1)),"",IF((AND(LEFT(G604,2)=LEFT('112'!$M$9,2),B604&lt;'112'!$N$8,$L604='112'!$I$6)),"x",""))</f>
        <v/>
      </c>
      <c r="T604" s="51" t="str">
        <f>IF(ISERROR(FIND('112'!$M$9,G604,1)),"",IF((AND(RIGHT(G604,2)=RIGHT('112'!$M$9,2),B604&lt;'112'!$N$8,$M604='112'!$I$6)),"x",""))</f>
        <v/>
      </c>
      <c r="U604" s="51" t="str">
        <f>IF(AND(L604="154",'154'!$O$5&lt;=B604,'154'!$P$5&gt;=B604),"154",IF(AND(L604="632",'632'!$L$5&lt;=B604,'632'!$M$5&gt;=B604),"632",IF(AND(L604="642",'642'!$N$5&lt;=B604,'642'!$O$5&gt;=B604),"642",IF(AND(L604="641",'641'!$N$5&lt;=B604,'641'!$O$5&gt;=B604),"641",""))))</f>
        <v/>
      </c>
      <c r="V604" s="51" t="str">
        <f>IF(OR(TH!L604=TH!$V$7,M604=TH!$V$7),"x","")</f>
        <v/>
      </c>
      <c r="W604" s="51" t="str">
        <f>IF(AND(B604&gt;='IN-NX'!$P$3,B604&lt;='IN-NX'!$Q$3,'IN-NX'!$D$7=D604,OR(LEFT(L604,2)="15",AND(LEFT(M604,2)&lt;&gt;"15",LEFT(M604,2)&lt;&gt;"33"))),"x","")</f>
        <v/>
      </c>
      <c r="X604" s="51" t="str">
        <f>IF(AND(OR(LEFT(TH!L604,2)="15",LEFT(TH!M604,2)="15"),'152-CT'!$J$8=TH!F604),"x","")</f>
        <v/>
      </c>
      <c r="Y604" s="51" t="str">
        <f>IF(AND(OR(LEFT(TH!L604,2)="15",LEFT(TH!M604,2)="15"),TK!$E$7=TH!F604),"x","")</f>
        <v/>
      </c>
      <c r="Z604" s="51" t="str">
        <f>IF(AND(B604&lt;=NKC!$N$8,B604&gt;=NKC!$M$8),"x","")</f>
        <v>x</v>
      </c>
      <c r="AA604" s="803"/>
      <c r="AB604" s="565"/>
    </row>
    <row r="605" spans="1:28" ht="15.75" customHeight="1">
      <c r="A605" s="804" t="str">
        <f>IF(B605&lt;&gt;"",IF(AND(B605&gt;=_TM1,B605&lt;=_TM2,OR(TH!L605="1111",TH!M605="1111")),TH!D605,""),"")</f>
        <v/>
      </c>
      <c r="B605" s="36">
        <f t="shared" si="39"/>
        <v>9</v>
      </c>
      <c r="C605" s="189">
        <f t="shared" si="40"/>
        <v>42262</v>
      </c>
      <c r="D605" s="189" t="s">
        <v>1301</v>
      </c>
      <c r="E605" s="189">
        <v>42262</v>
      </c>
      <c r="F605" s="190" t="s">
        <v>623</v>
      </c>
      <c r="G605" s="813" t="s">
        <v>1033</v>
      </c>
      <c r="H605" s="191" t="s">
        <v>413</v>
      </c>
      <c r="I605" s="243">
        <v>350</v>
      </c>
      <c r="J605" s="243">
        <v>32500</v>
      </c>
      <c r="K605" s="573">
        <f>ROUND(I605*J605,0)</f>
        <v>11375000</v>
      </c>
      <c r="L605" s="574" t="s">
        <v>250</v>
      </c>
      <c r="M605" s="574" t="s">
        <v>164</v>
      </c>
      <c r="N605" s="51" t="str">
        <f>IF(AND('331-CT'!$E$7=TH!H605,OR(L605="331",M605="331")),"331",IF(AND(OR(L605="131",M605="131"),H605='131-CT'!$E$7),"131",""))</f>
        <v/>
      </c>
      <c r="O605" s="51" t="str">
        <f>IF(AND($B605&gt;='111'!$N$11,$B605&lt;='111'!$O$11,OR($L605=$O$7,$M605=$O$7)),"x","")</f>
        <v/>
      </c>
      <c r="P605" s="51" t="str">
        <f>IF(AND($L605=$O$7,$B605&lt;'111'!$N$11),"x","")</f>
        <v/>
      </c>
      <c r="Q605" s="51" t="str">
        <f>IF(AND($M605=$O$7,$B605&lt;'111'!$N$11),"x","")</f>
        <v/>
      </c>
      <c r="R605" s="51" t="str">
        <f>IF(ISERROR(FIND('112'!$M$9,G605,1)),"",IF((AND(FIND('112'!$M$9,G605,1)&gt;=1,$B605&gt;='112'!$N$8,$B605&lt;='112'!$O$8,OR($L605='112'!$I$6,$M605='112'!$I$6))),"x",""))</f>
        <v/>
      </c>
      <c r="S605" s="51" t="str">
        <f>IF(ISERROR(FIND('112'!$M$9,G605,1)),"",IF((AND(LEFT(G605,2)=LEFT('112'!$M$9,2),B605&lt;'112'!$N$8,$L605='112'!$I$6)),"x",""))</f>
        <v/>
      </c>
      <c r="T605" s="51" t="str">
        <f>IF(ISERROR(FIND('112'!$M$9,G605,1)),"",IF((AND(RIGHT(G605,2)=RIGHT('112'!$M$9,2),B605&lt;'112'!$N$8,$M605='112'!$I$6)),"x",""))</f>
        <v/>
      </c>
      <c r="U605" s="51" t="str">
        <f>IF(AND(L605="154",'154'!$O$5&lt;=B605,'154'!$P$5&gt;=B605),"154",IF(AND(L605="632",'632'!$L$5&lt;=B605,'632'!$M$5&gt;=B605),"632",IF(AND(L605="642",'642'!$N$5&lt;=B605,'642'!$O$5&gt;=B605),"642",IF(AND(L605="641",'641'!$N$5&lt;=B605,'641'!$O$5&gt;=B605),"641",""))))</f>
        <v/>
      </c>
      <c r="V605" s="51" t="str">
        <f>IF(OR(TH!L605=TH!$V$7,M605=TH!$V$7),"x","")</f>
        <v/>
      </c>
      <c r="W605" s="51" t="str">
        <f>IF(AND(B605&gt;='IN-NX'!$P$3,B605&lt;='IN-NX'!$Q$3,'IN-NX'!$D$7=D605,OR(LEFT(L605,2)="15",AND(LEFT(M605,2)&lt;&gt;"15",LEFT(M605,2)&lt;&gt;"33"))),"x","")</f>
        <v/>
      </c>
      <c r="X605" s="51" t="str">
        <f>IF(AND(OR(LEFT(TH!L605,2)="15",LEFT(TH!M605,2)="15"),'152-CT'!$J$8=TH!F605),"x","")</f>
        <v/>
      </c>
      <c r="Y605" s="51" t="str">
        <f>IF(AND(OR(LEFT(TH!L605,2)="15",LEFT(TH!M605,2)="15"),TK!$E$7=TH!F605),"x","")</f>
        <v/>
      </c>
      <c r="Z605" s="51" t="str">
        <f>IF(AND(B605&lt;=NKC!$N$8,B605&gt;=NKC!$M$8),"x","")</f>
        <v>x</v>
      </c>
      <c r="AA605" s="803"/>
      <c r="AB605" s="565"/>
    </row>
    <row r="606" spans="1:28" ht="15.75" customHeight="1">
      <c r="A606" s="804" t="str">
        <f>IF(B606&lt;&gt;"",IF(AND(B606&gt;=_TM1,B606&lt;=_TM2,OR(TH!L606="1111",TH!M606="1111")),TH!D606,""),"")</f>
        <v/>
      </c>
      <c r="B606" s="36">
        <f t="shared" si="39"/>
        <v>9</v>
      </c>
      <c r="C606" s="189">
        <f t="shared" si="40"/>
        <v>42262</v>
      </c>
      <c r="D606" s="189" t="s">
        <v>1301</v>
      </c>
      <c r="E606" s="189">
        <v>42262</v>
      </c>
      <c r="F606" s="190" t="s">
        <v>962</v>
      </c>
      <c r="G606" s="813" t="s">
        <v>1033</v>
      </c>
      <c r="H606" s="191" t="s">
        <v>413</v>
      </c>
      <c r="I606" s="243"/>
      <c r="J606" s="243"/>
      <c r="K606" s="573">
        <v>1771500</v>
      </c>
      <c r="L606" s="574" t="s">
        <v>250</v>
      </c>
      <c r="M606" s="574" t="s">
        <v>352</v>
      </c>
      <c r="N606" s="51" t="str">
        <f>IF(AND('331-CT'!$E$7=TH!H606,OR(L606="331",M606="331")),"331",IF(AND(OR(L606="131",M606="131"),H606='131-CT'!$E$7),"131",""))</f>
        <v/>
      </c>
      <c r="O606" s="51" t="str">
        <f>IF(AND($B606&gt;='111'!$N$11,$B606&lt;='111'!$O$11,OR($L606=$O$7,$M606=$O$7)),"x","")</f>
        <v/>
      </c>
      <c r="P606" s="51" t="str">
        <f>IF(AND($L606=$O$7,$B606&lt;'111'!$N$11),"x","")</f>
        <v/>
      </c>
      <c r="Q606" s="51" t="str">
        <f>IF(AND($M606=$O$7,$B606&lt;'111'!$N$11),"x","")</f>
        <v/>
      </c>
      <c r="R606" s="51" t="str">
        <f>IF(ISERROR(FIND('112'!$M$9,G606,1)),"",IF((AND(FIND('112'!$M$9,G606,1)&gt;=1,$B606&gt;='112'!$N$8,$B606&lt;='112'!$O$8,OR($L606='112'!$I$6,$M606='112'!$I$6))),"x",""))</f>
        <v/>
      </c>
      <c r="S606" s="51" t="str">
        <f>IF(ISERROR(FIND('112'!$M$9,G606,1)),"",IF((AND(LEFT(G606,2)=LEFT('112'!$M$9,2),B606&lt;'112'!$N$8,$L606='112'!$I$6)),"x",""))</f>
        <v/>
      </c>
      <c r="T606" s="51" t="str">
        <f>IF(ISERROR(FIND('112'!$M$9,G606,1)),"",IF((AND(RIGHT(G606,2)=RIGHT('112'!$M$9,2),B606&lt;'112'!$N$8,$M606='112'!$I$6)),"x",""))</f>
        <v/>
      </c>
      <c r="U606" s="51" t="str">
        <f>IF(AND(L606="154",'154'!$O$5&lt;=B606,'154'!$P$5&gt;=B606),"154",IF(AND(L606="632",'632'!$L$5&lt;=B606,'632'!$M$5&gt;=B606),"632",IF(AND(L606="642",'642'!$N$5&lt;=B606,'642'!$O$5&gt;=B606),"642",IF(AND(L606="641",'641'!$N$5&lt;=B606,'641'!$O$5&gt;=B606),"641",""))))</f>
        <v/>
      </c>
      <c r="V606" s="51" t="str">
        <f>IF(OR(TH!L606=TH!$V$7,M606=TH!$V$7),"x","")</f>
        <v/>
      </c>
      <c r="W606" s="51" t="str">
        <f>IF(AND(B606&gt;='IN-NX'!$P$3,B606&lt;='IN-NX'!$Q$3,'IN-NX'!$D$7=D606,OR(LEFT(L606,2)="15",AND(LEFT(M606,2)&lt;&gt;"15",LEFT(M606,2)&lt;&gt;"33"))),"x","")</f>
        <v/>
      </c>
      <c r="X606" s="51" t="str">
        <f>IF(AND(OR(LEFT(TH!L606,2)="15",LEFT(TH!M606,2)="15"),'152-CT'!$J$8=TH!F606),"x","")</f>
        <v/>
      </c>
      <c r="Y606" s="51" t="str">
        <f>IF(AND(OR(LEFT(TH!L606,2)="15",LEFT(TH!M606,2)="15"),TK!$E$7=TH!F606),"x","")</f>
        <v/>
      </c>
      <c r="Z606" s="51" t="str">
        <f>IF(AND(B606&lt;=NKC!$N$8,B606&gt;=NKC!$M$8),"x","")</f>
        <v>x</v>
      </c>
      <c r="AA606" s="803"/>
      <c r="AB606" s="565"/>
    </row>
    <row r="607" spans="1:28" ht="15.75" customHeight="1">
      <c r="A607" s="804" t="str">
        <f>IF(B607&lt;&gt;"",IF(AND(B607&gt;=_TM1,B607&lt;=_TM2,OR(TH!L607="1111",TH!M607="1111")),TH!D607,""),"")</f>
        <v>T38</v>
      </c>
      <c r="B607" s="36">
        <f t="shared" si="39"/>
        <v>9</v>
      </c>
      <c r="C607" s="189">
        <f t="shared" si="40"/>
        <v>42262</v>
      </c>
      <c r="D607" s="189" t="s">
        <v>1404</v>
      </c>
      <c r="E607" s="189">
        <v>42262</v>
      </c>
      <c r="F607" s="190" t="s">
        <v>423</v>
      </c>
      <c r="G607" s="813" t="s">
        <v>1033</v>
      </c>
      <c r="H607" s="191" t="s">
        <v>413</v>
      </c>
      <c r="I607" s="243"/>
      <c r="J607" s="243"/>
      <c r="K607" s="573">
        <v>19486500</v>
      </c>
      <c r="L607" s="574" t="s">
        <v>47</v>
      </c>
      <c r="M607" s="574" t="s">
        <v>250</v>
      </c>
      <c r="N607" s="51" t="str">
        <f>IF(AND('331-CT'!$E$7=TH!H607,OR(L607="331",M607="331")),"331",IF(AND(OR(L607="131",M607="131"),H607='131-CT'!$E$7),"131",""))</f>
        <v/>
      </c>
      <c r="O607" s="51" t="str">
        <f>IF(AND($B607&gt;='111'!$N$11,$B607&lt;='111'!$O$11,OR($L607=$O$7,$M607=$O$7)),"x","")</f>
        <v/>
      </c>
      <c r="P607" s="51" t="str">
        <f>IF(AND($L607=$O$7,$B607&lt;'111'!$N$11),"x","")</f>
        <v>x</v>
      </c>
      <c r="Q607" s="51" t="str">
        <f>IF(AND($M607=$O$7,$B607&lt;'111'!$N$11),"x","")</f>
        <v/>
      </c>
      <c r="R607" s="51" t="str">
        <f>IF(ISERROR(FIND('112'!$M$9,G607,1)),"",IF((AND(FIND('112'!$M$9,G607,1)&gt;=1,$B607&gt;='112'!$N$8,$B607&lt;='112'!$O$8,OR($L607='112'!$I$6,$M607='112'!$I$6))),"x",""))</f>
        <v/>
      </c>
      <c r="S607" s="51" t="str">
        <f>IF(ISERROR(FIND('112'!$M$9,G607,1)),"",IF((AND(LEFT(G607,2)=LEFT('112'!$M$9,2),B607&lt;'112'!$N$8,$L607='112'!$I$6)),"x",""))</f>
        <v/>
      </c>
      <c r="T607" s="51" t="str">
        <f>IF(ISERROR(FIND('112'!$M$9,G607,1)),"",IF((AND(RIGHT(G607,2)=RIGHT('112'!$M$9,2),B607&lt;'112'!$N$8,$M607='112'!$I$6)),"x",""))</f>
        <v/>
      </c>
      <c r="U607" s="51" t="str">
        <f>IF(AND(L607="154",'154'!$O$5&lt;=B607,'154'!$P$5&gt;=B607),"154",IF(AND(L607="632",'632'!$L$5&lt;=B607,'632'!$M$5&gt;=B607),"632",IF(AND(L607="642",'642'!$N$5&lt;=B607,'642'!$O$5&gt;=B607),"642",IF(AND(L607="641",'641'!$N$5&lt;=B607,'641'!$O$5&gt;=B607),"641",""))))</f>
        <v/>
      </c>
      <c r="V607" s="51" t="str">
        <f>IF(OR(TH!L607=TH!$V$7,M607=TH!$V$7),"x","")</f>
        <v/>
      </c>
      <c r="W607" s="51" t="str">
        <f>IF(AND(B607&gt;='IN-NX'!$P$3,B607&lt;='IN-NX'!$Q$3,'IN-NX'!$D$7=D607,OR(LEFT(L607,2)="15",AND(LEFT(M607,2)&lt;&gt;"15",LEFT(M607,2)&lt;&gt;"33"))),"x","")</f>
        <v/>
      </c>
      <c r="X607" s="51" t="str">
        <f>IF(AND(OR(LEFT(TH!L607,2)="15",LEFT(TH!M607,2)="15"),'152-CT'!$J$8=TH!F607),"x","")</f>
        <v/>
      </c>
      <c r="Y607" s="51" t="str">
        <f>IF(AND(OR(LEFT(TH!L607,2)="15",LEFT(TH!M607,2)="15"),TK!$E$7=TH!F607),"x","")</f>
        <v/>
      </c>
      <c r="Z607" s="51" t="str">
        <f>IF(AND(B607&lt;=NKC!$N$8,B607&gt;=NKC!$M$8),"x","")</f>
        <v>x</v>
      </c>
      <c r="AA607" s="803"/>
      <c r="AB607" s="565"/>
    </row>
    <row r="608" spans="1:28" ht="15.75" customHeight="1">
      <c r="A608" s="804" t="str">
        <f>IF(B608&lt;&gt;"",IF(AND(B608&gt;=_TM1,B608&lt;=_TM2,OR(TH!L608="1111",TH!M608="1111")),TH!D608,""),"")</f>
        <v/>
      </c>
      <c r="B608" s="36">
        <f t="shared" si="39"/>
        <v>9</v>
      </c>
      <c r="C608" s="189">
        <f t="shared" si="40"/>
        <v>42264</v>
      </c>
      <c r="D608" s="189" t="s">
        <v>1403</v>
      </c>
      <c r="E608" s="189">
        <v>42264</v>
      </c>
      <c r="F608" s="926" t="s">
        <v>679</v>
      </c>
      <c r="G608" s="813" t="s">
        <v>678</v>
      </c>
      <c r="H608" s="191" t="s">
        <v>448</v>
      </c>
      <c r="I608" s="243">
        <v>102</v>
      </c>
      <c r="J608" s="243">
        <v>31237</v>
      </c>
      <c r="K608" s="573">
        <f>ROUND(I608*J608,0)</f>
        <v>3186174</v>
      </c>
      <c r="L608" s="574" t="s">
        <v>417</v>
      </c>
      <c r="M608" s="574" t="s">
        <v>8</v>
      </c>
      <c r="N608" s="51" t="str">
        <f>IF(AND('331-CT'!$E$7=TH!H608,OR(L608="331",M608="331")),"331",IF(AND(OR(L608="131",M608="131"),H608='131-CT'!$E$7),"131",""))</f>
        <v/>
      </c>
      <c r="O608" s="51" t="str">
        <f>IF(AND($B608&gt;='111'!$N$11,$B608&lt;='111'!$O$11,OR($L608=$O$7,$M608=$O$7)),"x","")</f>
        <v/>
      </c>
      <c r="P608" s="51" t="str">
        <f>IF(AND($L608=$O$7,$B608&lt;'111'!$N$11),"x","")</f>
        <v/>
      </c>
      <c r="Q608" s="51" t="str">
        <f>IF(AND($M608=$O$7,$B608&lt;'111'!$N$11),"x","")</f>
        <v/>
      </c>
      <c r="R608" s="51" t="str">
        <f>IF(ISERROR(FIND('112'!$M$9,G608,1)),"",IF((AND(FIND('112'!$M$9,G608,1)&gt;=1,$B608&gt;='112'!$N$8,$B608&lt;='112'!$O$8,OR($L608='112'!$I$6,$M608='112'!$I$6))),"x",""))</f>
        <v/>
      </c>
      <c r="S608" s="51" t="str">
        <f>IF(ISERROR(FIND('112'!$M$9,G608,1)),"",IF((AND(LEFT(G608,2)=LEFT('112'!$M$9,2),B608&lt;'112'!$N$8,$L608='112'!$I$6)),"x",""))</f>
        <v/>
      </c>
      <c r="T608" s="51" t="str">
        <f>IF(ISERROR(FIND('112'!$M$9,G608,1)),"",IF((AND(RIGHT(G608,2)=RIGHT('112'!$M$9,2),B608&lt;'112'!$N$8,$M608='112'!$I$6)),"x",""))</f>
        <v/>
      </c>
      <c r="U608" s="51" t="str">
        <f>IF(AND(L608="154",'154'!$O$5&lt;=B608,'154'!$P$5&gt;=B608),"154",IF(AND(L608="632",'632'!$L$5&lt;=B608,'632'!$M$5&gt;=B608),"632",IF(AND(L608="642",'642'!$N$5&lt;=B608,'642'!$O$5&gt;=B608),"642",IF(AND(L608="641",'641'!$N$5&lt;=B608,'641'!$O$5&gt;=B608),"641",""))))</f>
        <v/>
      </c>
      <c r="V608" s="51" t="str">
        <f>IF(OR(TH!L608=TH!$V$7,M608=TH!$V$7),"x","")</f>
        <v/>
      </c>
      <c r="W608" s="51" t="str">
        <f>IF(AND(B608&gt;='IN-NX'!$P$3,B608&lt;='IN-NX'!$Q$3,'IN-NX'!$D$7=D608,OR(LEFT(L608,2)="15",AND(LEFT(M608,2)&lt;&gt;"15",LEFT(M608,2)&lt;&gt;"33"))),"x","")</f>
        <v/>
      </c>
      <c r="X608" s="51" t="str">
        <f>IF(AND(OR(LEFT(TH!L608,2)="15",LEFT(TH!M608,2)="15"),'152-CT'!$J$8=TH!F608),"x","")</f>
        <v/>
      </c>
      <c r="Y608" s="51" t="str">
        <f>IF(AND(OR(LEFT(TH!L608,2)="15",LEFT(TH!M608,2)="15"),TK!$E$7=TH!F608),"x","")</f>
        <v/>
      </c>
      <c r="Z608" s="51" t="str">
        <f>IF(AND(B608&lt;=NKC!$N$8,B608&gt;=NKC!$M$8),"x","")</f>
        <v>x</v>
      </c>
      <c r="AA608" s="803"/>
      <c r="AB608" s="565"/>
    </row>
    <row r="609" spans="1:28" ht="15.75" customHeight="1">
      <c r="A609" s="804" t="str">
        <f>IF(B609&lt;&gt;"",IF(AND(B609&gt;=_TM1,B609&lt;=_TM2,OR(TH!L609="1111",TH!M609="1111")),TH!D609,""),"")</f>
        <v/>
      </c>
      <c r="B609" s="36">
        <f t="shared" si="39"/>
        <v>9</v>
      </c>
      <c r="C609" s="189">
        <f t="shared" si="40"/>
        <v>42264</v>
      </c>
      <c r="D609" s="189" t="s">
        <v>1403</v>
      </c>
      <c r="E609" s="189">
        <v>42264</v>
      </c>
      <c r="F609" s="922" t="s">
        <v>680</v>
      </c>
      <c r="G609" s="813" t="s">
        <v>678</v>
      </c>
      <c r="H609" s="191" t="s">
        <v>448</v>
      </c>
      <c r="I609" s="243">
        <v>52</v>
      </c>
      <c r="J609" s="243">
        <v>29784</v>
      </c>
      <c r="K609" s="573">
        <f>ROUND(I609*J609,0)</f>
        <v>1548768</v>
      </c>
      <c r="L609" s="574" t="s">
        <v>417</v>
      </c>
      <c r="M609" s="574" t="s">
        <v>8</v>
      </c>
      <c r="N609" s="51" t="str">
        <f>IF(AND('331-CT'!$E$7=TH!H609,OR(L609="331",M609="331")),"331",IF(AND(OR(L609="131",M609="131"),H609='131-CT'!$E$7),"131",""))</f>
        <v/>
      </c>
      <c r="O609" s="51" t="str">
        <f>IF(AND($B609&gt;='111'!$N$11,$B609&lt;='111'!$O$11,OR($L609=$O$7,$M609=$O$7)),"x","")</f>
        <v/>
      </c>
      <c r="P609" s="51" t="str">
        <f>IF(AND($L609=$O$7,$B609&lt;'111'!$N$11),"x","")</f>
        <v/>
      </c>
      <c r="Q609" s="51" t="str">
        <f>IF(AND($M609=$O$7,$B609&lt;'111'!$N$11),"x","")</f>
        <v/>
      </c>
      <c r="R609" s="51" t="str">
        <f>IF(ISERROR(FIND('112'!$M$9,G609,1)),"",IF((AND(FIND('112'!$M$9,G609,1)&gt;=1,$B609&gt;='112'!$N$8,$B609&lt;='112'!$O$8,OR($L609='112'!$I$6,$M609='112'!$I$6))),"x",""))</f>
        <v/>
      </c>
      <c r="S609" s="51" t="str">
        <f>IF(ISERROR(FIND('112'!$M$9,G609,1)),"",IF((AND(LEFT(G609,2)=LEFT('112'!$M$9,2),B609&lt;'112'!$N$8,$L609='112'!$I$6)),"x",""))</f>
        <v/>
      </c>
      <c r="T609" s="51" t="str">
        <f>IF(ISERROR(FIND('112'!$M$9,G609,1)),"",IF((AND(RIGHT(G609,2)=RIGHT('112'!$M$9,2),B609&lt;'112'!$N$8,$M609='112'!$I$6)),"x",""))</f>
        <v/>
      </c>
      <c r="U609" s="51" t="str">
        <f>IF(AND(L609="154",'154'!$O$5&lt;=B609,'154'!$P$5&gt;=B609),"154",IF(AND(L609="632",'632'!$L$5&lt;=B609,'632'!$M$5&gt;=B609),"632",IF(AND(L609="642",'642'!$N$5&lt;=B609,'642'!$O$5&gt;=B609),"642",IF(AND(L609="641",'641'!$N$5&lt;=B609,'641'!$O$5&gt;=B609),"641",""))))</f>
        <v/>
      </c>
      <c r="V609" s="51" t="str">
        <f>IF(OR(TH!L609=TH!$V$7,M609=TH!$V$7),"x","")</f>
        <v/>
      </c>
      <c r="W609" s="51" t="str">
        <f>IF(AND(B609&gt;='IN-NX'!$P$3,B609&lt;='IN-NX'!$Q$3,'IN-NX'!$D$7=D609,OR(LEFT(L609,2)="15",AND(LEFT(M609,2)&lt;&gt;"15",LEFT(M609,2)&lt;&gt;"33"))),"x","")</f>
        <v/>
      </c>
      <c r="X609" s="51" t="str">
        <f>IF(AND(OR(LEFT(TH!L609,2)="15",LEFT(TH!M609,2)="15"),'152-CT'!$J$8=TH!F609),"x","")</f>
        <v/>
      </c>
      <c r="Y609" s="51" t="str">
        <f>IF(AND(OR(LEFT(TH!L609,2)="15",LEFT(TH!M609,2)="15"),TK!$E$7=TH!F609),"x","")</f>
        <v/>
      </c>
      <c r="Z609" s="51" t="str">
        <f>IF(AND(B609&lt;=NKC!$N$8,B609&gt;=NKC!$M$8),"x","")</f>
        <v>x</v>
      </c>
      <c r="AA609" s="803"/>
      <c r="AB609" s="565"/>
    </row>
    <row r="610" spans="1:28" ht="15.75" customHeight="1">
      <c r="A610" s="804" t="str">
        <f>IF(B610&lt;&gt;"",IF(AND(B610&gt;=_TM1,B610&lt;=_TM2,OR(TH!L610="1111",TH!M610="1111")),TH!D610,""),"")</f>
        <v/>
      </c>
      <c r="B610" s="36">
        <f t="shared" si="39"/>
        <v>9</v>
      </c>
      <c r="C610" s="189">
        <f t="shared" si="40"/>
        <v>42264</v>
      </c>
      <c r="D610" s="189" t="s">
        <v>1403</v>
      </c>
      <c r="E610" s="189">
        <v>42264</v>
      </c>
      <c r="F610" s="190" t="s">
        <v>681</v>
      </c>
      <c r="G610" s="813" t="s">
        <v>678</v>
      </c>
      <c r="H610" s="191" t="s">
        <v>448</v>
      </c>
      <c r="I610" s="243">
        <v>52</v>
      </c>
      <c r="J610" s="243">
        <v>16854</v>
      </c>
      <c r="K610" s="573">
        <f>ROUND(I610*J610,0)</f>
        <v>876408</v>
      </c>
      <c r="L610" s="574" t="s">
        <v>417</v>
      </c>
      <c r="M610" s="574" t="s">
        <v>8</v>
      </c>
      <c r="N610" s="51" t="str">
        <f>IF(AND('331-CT'!$E$7=TH!H610,OR(L610="331",M610="331")),"331",IF(AND(OR(L610="131",M610="131"),H610='131-CT'!$E$7),"131",""))</f>
        <v/>
      </c>
      <c r="O610" s="51" t="str">
        <f>IF(AND($B610&gt;='111'!$N$11,$B610&lt;='111'!$O$11,OR($L610=$O$7,$M610=$O$7)),"x","")</f>
        <v/>
      </c>
      <c r="P610" s="51" t="str">
        <f>IF(AND($L610=$O$7,$B610&lt;'111'!$N$11),"x","")</f>
        <v/>
      </c>
      <c r="Q610" s="51" t="str">
        <f>IF(AND($M610=$O$7,$B610&lt;'111'!$N$11),"x","")</f>
        <v/>
      </c>
      <c r="R610" s="51" t="str">
        <f>IF(ISERROR(FIND('112'!$M$9,G610,1)),"",IF((AND(FIND('112'!$M$9,G610,1)&gt;=1,$B610&gt;='112'!$N$8,$B610&lt;='112'!$O$8,OR($L610='112'!$I$6,$M610='112'!$I$6))),"x",""))</f>
        <v/>
      </c>
      <c r="S610" s="51" t="str">
        <f>IF(ISERROR(FIND('112'!$M$9,G610,1)),"",IF((AND(LEFT(G610,2)=LEFT('112'!$M$9,2),B610&lt;'112'!$N$8,$L610='112'!$I$6)),"x",""))</f>
        <v/>
      </c>
      <c r="T610" s="51" t="str">
        <f>IF(ISERROR(FIND('112'!$M$9,G610,1)),"",IF((AND(RIGHT(G610,2)=RIGHT('112'!$M$9,2),B610&lt;'112'!$N$8,$M610='112'!$I$6)),"x",""))</f>
        <v/>
      </c>
      <c r="U610" s="51" t="str">
        <f>IF(AND(L610="154",'154'!$O$5&lt;=B610,'154'!$P$5&gt;=B610),"154",IF(AND(L610="632",'632'!$L$5&lt;=B610,'632'!$M$5&gt;=B610),"632",IF(AND(L610="642",'642'!$N$5&lt;=B610,'642'!$O$5&gt;=B610),"642",IF(AND(L610="641",'641'!$N$5&lt;=B610,'641'!$O$5&gt;=B610),"641",""))))</f>
        <v/>
      </c>
      <c r="V610" s="51" t="str">
        <f>IF(OR(TH!L610=TH!$V$7,M610=TH!$V$7),"x","")</f>
        <v/>
      </c>
      <c r="W610" s="51" t="str">
        <f>IF(AND(B610&gt;='IN-NX'!$P$3,B610&lt;='IN-NX'!$Q$3,'IN-NX'!$D$7=D610,OR(LEFT(L610,2)="15",AND(LEFT(M610,2)&lt;&gt;"15",LEFT(M610,2)&lt;&gt;"33"))),"x","")</f>
        <v/>
      </c>
      <c r="X610" s="51" t="str">
        <f>IF(AND(OR(LEFT(TH!L610,2)="15",LEFT(TH!M610,2)="15"),'152-CT'!$J$8=TH!F610),"x","")</f>
        <v/>
      </c>
      <c r="Y610" s="51" t="str">
        <f>IF(AND(OR(LEFT(TH!L610,2)="15",LEFT(TH!M610,2)="15"),TK!$E$7=TH!F610),"x","")</f>
        <v/>
      </c>
      <c r="Z610" s="51" t="str">
        <f>IF(AND(B610&lt;=NKC!$N$8,B610&gt;=NKC!$M$8),"x","")</f>
        <v>x</v>
      </c>
      <c r="AA610" s="803"/>
      <c r="AB610" s="565"/>
    </row>
    <row r="611" spans="1:28" ht="15.75" customHeight="1">
      <c r="A611" s="804" t="str">
        <f>IF(B611&lt;&gt;"",IF(AND(B611&gt;=_TM1,B611&lt;=_TM2,OR(TH!L611="1111",TH!M611="1111")),TH!D611,""),"")</f>
        <v/>
      </c>
      <c r="B611" s="36">
        <f t="shared" si="39"/>
        <v>9</v>
      </c>
      <c r="C611" s="189">
        <f t="shared" si="40"/>
        <v>42264</v>
      </c>
      <c r="D611" s="189" t="s">
        <v>1403</v>
      </c>
      <c r="E611" s="189">
        <v>42264</v>
      </c>
      <c r="F611" s="190" t="s">
        <v>682</v>
      </c>
      <c r="G611" s="813" t="s">
        <v>678</v>
      </c>
      <c r="H611" s="191" t="s">
        <v>448</v>
      </c>
      <c r="I611" s="243">
        <v>40</v>
      </c>
      <c r="J611" s="243">
        <v>27315</v>
      </c>
      <c r="K611" s="573">
        <f>ROUND(I611*J611,0)</f>
        <v>1092600</v>
      </c>
      <c r="L611" s="574" t="s">
        <v>417</v>
      </c>
      <c r="M611" s="574" t="s">
        <v>8</v>
      </c>
      <c r="N611" s="51" t="str">
        <f>IF(AND('331-CT'!$E$7=TH!H611,OR(L611="331",M611="331")),"331",IF(AND(OR(L611="131",M611="131"),H611='131-CT'!$E$7),"131",""))</f>
        <v/>
      </c>
      <c r="O611" s="51" t="str">
        <f>IF(AND($B611&gt;='111'!$N$11,$B611&lt;='111'!$O$11,OR($L611=$O$7,$M611=$O$7)),"x","")</f>
        <v/>
      </c>
      <c r="P611" s="51" t="str">
        <f>IF(AND($L611=$O$7,$B611&lt;'111'!$N$11),"x","")</f>
        <v/>
      </c>
      <c r="Q611" s="51" t="str">
        <f>IF(AND($M611=$O$7,$B611&lt;'111'!$N$11),"x","")</f>
        <v/>
      </c>
      <c r="R611" s="51" t="str">
        <f>IF(ISERROR(FIND('112'!$M$9,G611,1)),"",IF((AND(FIND('112'!$M$9,G611,1)&gt;=1,$B611&gt;='112'!$N$8,$B611&lt;='112'!$O$8,OR($L611='112'!$I$6,$M611='112'!$I$6))),"x",""))</f>
        <v/>
      </c>
      <c r="S611" s="51" t="str">
        <f>IF(ISERROR(FIND('112'!$M$9,G611,1)),"",IF((AND(LEFT(G611,2)=LEFT('112'!$M$9,2),B611&lt;'112'!$N$8,$L611='112'!$I$6)),"x",""))</f>
        <v/>
      </c>
      <c r="T611" s="51" t="str">
        <f>IF(ISERROR(FIND('112'!$M$9,G611,1)),"",IF((AND(RIGHT(G611,2)=RIGHT('112'!$M$9,2),B611&lt;'112'!$N$8,$M611='112'!$I$6)),"x",""))</f>
        <v/>
      </c>
      <c r="U611" s="51" t="str">
        <f>IF(AND(L611="154",'154'!$O$5&lt;=B611,'154'!$P$5&gt;=B611),"154",IF(AND(L611="632",'632'!$L$5&lt;=B611,'632'!$M$5&gt;=B611),"632",IF(AND(L611="642",'642'!$N$5&lt;=B611,'642'!$O$5&gt;=B611),"642",IF(AND(L611="641",'641'!$N$5&lt;=B611,'641'!$O$5&gt;=B611),"641",""))))</f>
        <v/>
      </c>
      <c r="V611" s="51" t="str">
        <f>IF(OR(TH!L611=TH!$V$7,M611=TH!$V$7),"x","")</f>
        <v/>
      </c>
      <c r="W611" s="51" t="str">
        <f>IF(AND(B611&gt;='IN-NX'!$P$3,B611&lt;='IN-NX'!$Q$3,'IN-NX'!$D$7=D611,OR(LEFT(L611,2)="15",AND(LEFT(M611,2)&lt;&gt;"15",LEFT(M611,2)&lt;&gt;"33"))),"x","")</f>
        <v/>
      </c>
      <c r="X611" s="51" t="str">
        <f>IF(AND(OR(LEFT(TH!L611,2)="15",LEFT(TH!M611,2)="15"),'152-CT'!$J$8=TH!F611),"x","")</f>
        <v/>
      </c>
      <c r="Y611" s="51" t="str">
        <f>IF(AND(OR(LEFT(TH!L611,2)="15",LEFT(TH!M611,2)="15"),TK!$E$7=TH!F611),"x","")</f>
        <v/>
      </c>
      <c r="Z611" s="51" t="str">
        <f>IF(AND(B611&lt;=NKC!$N$8,B611&gt;=NKC!$M$8),"x","")</f>
        <v>x</v>
      </c>
      <c r="AA611" s="803"/>
      <c r="AB611" s="565"/>
    </row>
    <row r="612" spans="1:28" ht="15.75" customHeight="1">
      <c r="A612" s="804" t="str">
        <f>IF(B612&lt;&gt;"",IF(AND(B612&gt;=_TM1,B612&lt;=_TM2,OR(TH!L612="1111",TH!M612="1111")),TH!D612,""),"")</f>
        <v/>
      </c>
      <c r="B612" s="36">
        <f t="shared" si="39"/>
        <v>9</v>
      </c>
      <c r="C612" s="189">
        <f t="shared" si="40"/>
        <v>42264</v>
      </c>
      <c r="D612" s="189" t="s">
        <v>1403</v>
      </c>
      <c r="E612" s="189">
        <v>42264</v>
      </c>
      <c r="F612" s="190" t="s">
        <v>683</v>
      </c>
      <c r="G612" s="813" t="s">
        <v>678</v>
      </c>
      <c r="H612" s="191" t="s">
        <v>448</v>
      </c>
      <c r="I612" s="243">
        <v>40</v>
      </c>
      <c r="J612" s="243">
        <v>31964</v>
      </c>
      <c r="K612" s="573">
        <f>ROUND(I612*J612,0)</f>
        <v>1278560</v>
      </c>
      <c r="L612" s="574" t="s">
        <v>417</v>
      </c>
      <c r="M612" s="574" t="s">
        <v>8</v>
      </c>
      <c r="N612" s="51" t="str">
        <f>IF(AND('331-CT'!$E$7=TH!H612,OR(L612="331",M612="331")),"331",IF(AND(OR(L612="131",M612="131"),H612='131-CT'!$E$7),"131",""))</f>
        <v/>
      </c>
      <c r="O612" s="51" t="str">
        <f>IF(AND($B612&gt;='111'!$N$11,$B612&lt;='111'!$O$11,OR($L612=$O$7,$M612=$O$7)),"x","")</f>
        <v/>
      </c>
      <c r="P612" s="51" t="str">
        <f>IF(AND($L612=$O$7,$B612&lt;'111'!$N$11),"x","")</f>
        <v/>
      </c>
      <c r="Q612" s="51" t="str">
        <f>IF(AND($M612=$O$7,$B612&lt;'111'!$N$11),"x","")</f>
        <v/>
      </c>
      <c r="R612" s="51" t="str">
        <f>IF(ISERROR(FIND('112'!$M$9,G612,1)),"",IF((AND(FIND('112'!$M$9,G612,1)&gt;=1,$B612&gt;='112'!$N$8,$B612&lt;='112'!$O$8,OR($L612='112'!$I$6,$M612='112'!$I$6))),"x",""))</f>
        <v/>
      </c>
      <c r="S612" s="51" t="str">
        <f>IF(ISERROR(FIND('112'!$M$9,G612,1)),"",IF((AND(LEFT(G612,2)=LEFT('112'!$M$9,2),B612&lt;'112'!$N$8,$L612='112'!$I$6)),"x",""))</f>
        <v/>
      </c>
      <c r="T612" s="51" t="str">
        <f>IF(ISERROR(FIND('112'!$M$9,G612,1)),"",IF((AND(RIGHT(G612,2)=RIGHT('112'!$M$9,2),B612&lt;'112'!$N$8,$M612='112'!$I$6)),"x",""))</f>
        <v/>
      </c>
      <c r="U612" s="51" t="str">
        <f>IF(AND(L612="154",'154'!$O$5&lt;=B612,'154'!$P$5&gt;=B612),"154",IF(AND(L612="632",'632'!$L$5&lt;=B612,'632'!$M$5&gt;=B612),"632",IF(AND(L612="642",'642'!$N$5&lt;=B612,'642'!$O$5&gt;=B612),"642",IF(AND(L612="641",'641'!$N$5&lt;=B612,'641'!$O$5&gt;=B612),"641",""))))</f>
        <v/>
      </c>
      <c r="V612" s="51" t="str">
        <f>IF(OR(TH!L612=TH!$V$7,M612=TH!$V$7),"x","")</f>
        <v/>
      </c>
      <c r="W612" s="51" t="str">
        <f>IF(AND(B612&gt;='IN-NX'!$P$3,B612&lt;='IN-NX'!$Q$3,'IN-NX'!$D$7=D612,OR(LEFT(L612,2)="15",AND(LEFT(M612,2)&lt;&gt;"15",LEFT(M612,2)&lt;&gt;"33"))),"x","")</f>
        <v/>
      </c>
      <c r="X612" s="51" t="str">
        <f>IF(AND(OR(LEFT(TH!L612,2)="15",LEFT(TH!M612,2)="15"),'152-CT'!$J$8=TH!F612),"x","")</f>
        <v/>
      </c>
      <c r="Y612" s="51" t="str">
        <f>IF(AND(OR(LEFT(TH!L612,2)="15",LEFT(TH!M612,2)="15"),TK!$E$7=TH!F612),"x","")</f>
        <v/>
      </c>
      <c r="Z612" s="51" t="str">
        <f>IF(AND(B612&lt;=NKC!$N$8,B612&gt;=NKC!$M$8),"x","")</f>
        <v>x</v>
      </c>
      <c r="AA612" s="803"/>
      <c r="AB612" s="565"/>
    </row>
    <row r="613" spans="1:28" ht="15.75" customHeight="1">
      <c r="A613" s="804" t="str">
        <f>IF(B613&lt;&gt;"",IF(AND(B613&gt;=_TM1,B613&lt;=_TM2,OR(TH!L613="1111",TH!M613="1111")),TH!D613,""),"")</f>
        <v/>
      </c>
      <c r="B613" s="36">
        <f t="shared" si="39"/>
        <v>9</v>
      </c>
      <c r="C613" s="189">
        <f t="shared" si="40"/>
        <v>42264</v>
      </c>
      <c r="D613" s="189" t="s">
        <v>1403</v>
      </c>
      <c r="E613" s="189">
        <v>42264</v>
      </c>
      <c r="F613" s="190" t="s">
        <v>468</v>
      </c>
      <c r="G613" s="813" t="s">
        <v>678</v>
      </c>
      <c r="H613" s="191" t="s">
        <v>448</v>
      </c>
      <c r="I613" s="243"/>
      <c r="J613" s="243"/>
      <c r="K613" s="573">
        <v>798251</v>
      </c>
      <c r="L613" s="574" t="s">
        <v>9</v>
      </c>
      <c r="M613" s="574" t="s">
        <v>8</v>
      </c>
      <c r="N613" s="51" t="str">
        <f>IF(AND('331-CT'!$E$7=TH!H613,OR(L613="331",M613="331")),"331",IF(AND(OR(L613="131",M613="131"),H613='131-CT'!$E$7),"131",""))</f>
        <v/>
      </c>
      <c r="O613" s="51" t="str">
        <f>IF(AND($B613&gt;='111'!$N$11,$B613&lt;='111'!$O$11,OR($L613=$O$7,$M613=$O$7)),"x","")</f>
        <v/>
      </c>
      <c r="P613" s="51" t="str">
        <f>IF(AND($L613=$O$7,$B613&lt;'111'!$N$11),"x","")</f>
        <v/>
      </c>
      <c r="Q613" s="51" t="str">
        <f>IF(AND($M613=$O$7,$B613&lt;'111'!$N$11),"x","")</f>
        <v/>
      </c>
      <c r="R613" s="51" t="str">
        <f>IF(ISERROR(FIND('112'!$M$9,G613,1)),"",IF((AND(FIND('112'!$M$9,G613,1)&gt;=1,$B613&gt;='112'!$N$8,$B613&lt;='112'!$O$8,OR($L613='112'!$I$6,$M613='112'!$I$6))),"x",""))</f>
        <v/>
      </c>
      <c r="S613" s="51" t="str">
        <f>IF(ISERROR(FIND('112'!$M$9,G613,1)),"",IF((AND(LEFT(G613,2)=LEFT('112'!$M$9,2),B613&lt;'112'!$N$8,$L613='112'!$I$6)),"x",""))</f>
        <v/>
      </c>
      <c r="T613" s="51" t="str">
        <f>IF(ISERROR(FIND('112'!$M$9,G613,1)),"",IF((AND(RIGHT(G613,2)=RIGHT('112'!$M$9,2),B613&lt;'112'!$N$8,$M613='112'!$I$6)),"x",""))</f>
        <v/>
      </c>
      <c r="U613" s="51" t="str">
        <f>IF(AND(L613="154",'154'!$O$5&lt;=B613,'154'!$P$5&gt;=B613),"154",IF(AND(L613="632",'632'!$L$5&lt;=B613,'632'!$M$5&gt;=B613),"632",IF(AND(L613="642",'642'!$N$5&lt;=B613,'642'!$O$5&gt;=B613),"642",IF(AND(L613="641",'641'!$N$5&lt;=B613,'641'!$O$5&gt;=B613),"641",""))))</f>
        <v/>
      </c>
      <c r="V613" s="51" t="str">
        <f>IF(OR(TH!L613=TH!$V$7,M613=TH!$V$7),"x","")</f>
        <v/>
      </c>
      <c r="W613" s="51" t="str">
        <f>IF(AND(B613&gt;='IN-NX'!$P$3,B613&lt;='IN-NX'!$Q$3,'IN-NX'!$D$7=D613,OR(LEFT(L613,2)="15",AND(LEFT(M613,2)&lt;&gt;"15",LEFT(M613,2)&lt;&gt;"33"))),"x","")</f>
        <v/>
      </c>
      <c r="X613" s="51" t="str">
        <f>IF(AND(OR(LEFT(TH!L613,2)="15",LEFT(TH!M613,2)="15"),'152-CT'!$J$8=TH!F613),"x","")</f>
        <v/>
      </c>
      <c r="Y613" s="51" t="str">
        <f>IF(AND(OR(LEFT(TH!L613,2)="15",LEFT(TH!M613,2)="15"),TK!$E$7=TH!F613),"x","")</f>
        <v/>
      </c>
      <c r="Z613" s="51" t="str">
        <f>IF(AND(B613&lt;=NKC!$N$8,B613&gt;=NKC!$M$8),"x","")</f>
        <v>x</v>
      </c>
      <c r="AA613" s="803">
        <v>3</v>
      </c>
      <c r="AB613" s="565"/>
    </row>
    <row r="614" spans="1:28" ht="15.75" customHeight="1">
      <c r="A614" s="804" t="str">
        <f>IF(B614&lt;&gt;"",IF(AND(B614&gt;=_TM1,B614&lt;=_TM2,OR(TH!L614="1111",TH!M614="1111")),TH!D614,""),"")</f>
        <v/>
      </c>
      <c r="B614" s="36">
        <f t="shared" si="39"/>
        <v>9</v>
      </c>
      <c r="C614" s="189">
        <f t="shared" si="40"/>
        <v>42264</v>
      </c>
      <c r="D614" s="189" t="s">
        <v>1408</v>
      </c>
      <c r="E614" s="189">
        <v>42264</v>
      </c>
      <c r="F614" s="190" t="s">
        <v>621</v>
      </c>
      <c r="G614" s="813" t="s">
        <v>704</v>
      </c>
      <c r="H614" s="191" t="s">
        <v>494</v>
      </c>
      <c r="I614" s="243">
        <v>850</v>
      </c>
      <c r="J614" s="243">
        <v>15675</v>
      </c>
      <c r="K614" s="573">
        <f>ROUND(I614*J614,0)</f>
        <v>13323750</v>
      </c>
      <c r="L614" s="574" t="s">
        <v>417</v>
      </c>
      <c r="M614" s="574" t="s">
        <v>8</v>
      </c>
      <c r="N614" s="51" t="str">
        <f>IF(AND('331-CT'!$E$7=TH!H614,OR(L614="331",M614="331")),"331",IF(AND(OR(L614="131",M614="131"),H614='131-CT'!$E$7),"131",""))</f>
        <v/>
      </c>
      <c r="O614" s="51" t="str">
        <f>IF(AND($B614&gt;='111'!$N$11,$B614&lt;='111'!$O$11,OR($L614=$O$7,$M614=$O$7)),"x","")</f>
        <v/>
      </c>
      <c r="P614" s="51" t="str">
        <f>IF(AND($L614=$O$7,$B614&lt;'111'!$N$11),"x","")</f>
        <v/>
      </c>
      <c r="Q614" s="51" t="str">
        <f>IF(AND($M614=$O$7,$B614&lt;'111'!$N$11),"x","")</f>
        <v/>
      </c>
      <c r="R614" s="51" t="str">
        <f>IF(ISERROR(FIND('112'!$M$9,G614,1)),"",IF((AND(FIND('112'!$M$9,G614,1)&gt;=1,$B614&gt;='112'!$N$8,$B614&lt;='112'!$O$8,OR($L614='112'!$I$6,$M614='112'!$I$6))),"x",""))</f>
        <v/>
      </c>
      <c r="S614" s="51" t="str">
        <f>IF(ISERROR(FIND('112'!$M$9,G614,1)),"",IF((AND(LEFT(G614,2)=LEFT('112'!$M$9,2),B614&lt;'112'!$N$8,$L614='112'!$I$6)),"x",""))</f>
        <v/>
      </c>
      <c r="T614" s="51" t="str">
        <f>IF(ISERROR(FIND('112'!$M$9,G614,1)),"",IF((AND(RIGHT(G614,2)=RIGHT('112'!$M$9,2),B614&lt;'112'!$N$8,$M614='112'!$I$6)),"x",""))</f>
        <v/>
      </c>
      <c r="U614" s="51" t="str">
        <f>IF(AND(L614="154",'154'!$O$5&lt;=B614,'154'!$P$5&gt;=B614),"154",IF(AND(L614="632",'632'!$L$5&lt;=B614,'632'!$M$5&gt;=B614),"632",IF(AND(L614="642",'642'!$N$5&lt;=B614,'642'!$O$5&gt;=B614),"642",IF(AND(L614="641",'641'!$N$5&lt;=B614,'641'!$O$5&gt;=B614),"641",""))))</f>
        <v/>
      </c>
      <c r="V614" s="51" t="str">
        <f>IF(OR(TH!L614=TH!$V$7,M614=TH!$V$7),"x","")</f>
        <v/>
      </c>
      <c r="W614" s="51" t="str">
        <f>IF(AND(B614&gt;='IN-NX'!$P$3,B614&lt;='IN-NX'!$Q$3,'IN-NX'!$D$7=D614,OR(LEFT(L614,2)="15",AND(LEFT(M614,2)&lt;&gt;"15",LEFT(M614,2)&lt;&gt;"33"))),"x","")</f>
        <v/>
      </c>
      <c r="X614" s="51" t="str">
        <f>IF(AND(OR(LEFT(TH!L614,2)="15",LEFT(TH!M614,2)="15"),'152-CT'!$J$8=TH!F614),"x","")</f>
        <v/>
      </c>
      <c r="Y614" s="51" t="str">
        <f>IF(AND(OR(LEFT(TH!L614,2)="15",LEFT(TH!M614,2)="15"),TK!$E$7=TH!F614),"x","")</f>
        <v/>
      </c>
      <c r="Z614" s="51" t="str">
        <f>IF(AND(B614&lt;=NKC!$N$8,B614&gt;=NKC!$M$8),"x","")</f>
        <v>x</v>
      </c>
      <c r="AA614" s="803"/>
      <c r="AB614" s="565"/>
    </row>
    <row r="615" spans="1:28" ht="15.75" customHeight="1">
      <c r="A615" s="804" t="str">
        <f>IF(B615&lt;&gt;"",IF(AND(B615&gt;=_TM1,B615&lt;=_TM2,OR(TH!L615="1111",TH!M615="1111")),TH!D615,""),"")</f>
        <v/>
      </c>
      <c r="B615" s="36">
        <f t="shared" si="39"/>
        <v>9</v>
      </c>
      <c r="C615" s="189">
        <f t="shared" si="40"/>
        <v>42264</v>
      </c>
      <c r="D615" s="189" t="s">
        <v>1408</v>
      </c>
      <c r="E615" s="189">
        <v>42264</v>
      </c>
      <c r="F615" s="190" t="s">
        <v>705</v>
      </c>
      <c r="G615" s="813" t="s">
        <v>704</v>
      </c>
      <c r="H615" s="191" t="s">
        <v>494</v>
      </c>
      <c r="I615" s="243"/>
      <c r="J615" s="243"/>
      <c r="K615" s="573">
        <v>1332375</v>
      </c>
      <c r="L615" s="574" t="s">
        <v>9</v>
      </c>
      <c r="M615" s="574" t="s">
        <v>8</v>
      </c>
      <c r="N615" s="51" t="str">
        <f>IF(AND('331-CT'!$E$7=TH!H615,OR(L615="331",M615="331")),"331",IF(AND(OR(L615="131",M615="131"),H615='131-CT'!$E$7),"131",""))</f>
        <v/>
      </c>
      <c r="O615" s="51" t="str">
        <f>IF(AND($B615&gt;='111'!$N$11,$B615&lt;='111'!$O$11,OR($L615=$O$7,$M615=$O$7)),"x","")</f>
        <v/>
      </c>
      <c r="P615" s="51" t="str">
        <f>IF(AND($L615=$O$7,$B615&lt;'111'!$N$11),"x","")</f>
        <v/>
      </c>
      <c r="Q615" s="51" t="str">
        <f>IF(AND($M615=$O$7,$B615&lt;'111'!$N$11),"x","")</f>
        <v/>
      </c>
      <c r="R615" s="51" t="str">
        <f>IF(ISERROR(FIND('112'!$M$9,G615,1)),"",IF((AND(FIND('112'!$M$9,G615,1)&gt;=1,$B615&gt;='112'!$N$8,$B615&lt;='112'!$O$8,OR($L615='112'!$I$6,$M615='112'!$I$6))),"x",""))</f>
        <v/>
      </c>
      <c r="S615" s="51" t="str">
        <f>IF(ISERROR(FIND('112'!$M$9,G615,1)),"",IF((AND(LEFT(G615,2)=LEFT('112'!$M$9,2),B615&lt;'112'!$N$8,$L615='112'!$I$6)),"x",""))</f>
        <v/>
      </c>
      <c r="T615" s="51" t="str">
        <f>IF(ISERROR(FIND('112'!$M$9,G615,1)),"",IF((AND(RIGHT(G615,2)=RIGHT('112'!$M$9,2),B615&lt;'112'!$N$8,$M615='112'!$I$6)),"x",""))</f>
        <v/>
      </c>
      <c r="U615" s="51" t="str">
        <f>IF(AND(L615="154",'154'!$O$5&lt;=B615,'154'!$P$5&gt;=B615),"154",IF(AND(L615="632",'632'!$L$5&lt;=B615,'632'!$M$5&gt;=B615),"632",IF(AND(L615="642",'642'!$N$5&lt;=B615,'642'!$O$5&gt;=B615),"642",IF(AND(L615="641",'641'!$N$5&lt;=B615,'641'!$O$5&gt;=B615),"641",""))))</f>
        <v/>
      </c>
      <c r="V615" s="51" t="str">
        <f>IF(OR(TH!L615=TH!$V$7,M615=TH!$V$7),"x","")</f>
        <v/>
      </c>
      <c r="W615" s="51" t="str">
        <f>IF(AND(B615&gt;='IN-NX'!$P$3,B615&lt;='IN-NX'!$Q$3,'IN-NX'!$D$7=D615,OR(LEFT(L615,2)="15",AND(LEFT(M615,2)&lt;&gt;"15",LEFT(M615,2)&lt;&gt;"33"))),"x","")</f>
        <v/>
      </c>
      <c r="X615" s="51" t="str">
        <f>IF(AND(OR(LEFT(TH!L615,2)="15",LEFT(TH!M615,2)="15"),'152-CT'!$J$8=TH!F615),"x","")</f>
        <v/>
      </c>
      <c r="Y615" s="51" t="str">
        <f>IF(AND(OR(LEFT(TH!L615,2)="15",LEFT(TH!M615,2)="15"),TK!$E$7=TH!F615),"x","")</f>
        <v/>
      </c>
      <c r="Z615" s="51" t="str">
        <f>IF(AND(B615&lt;=NKC!$N$8,B615&gt;=NKC!$M$8),"x","")</f>
        <v>x</v>
      </c>
      <c r="AA615" s="803">
        <v>3</v>
      </c>
      <c r="AB615" s="565"/>
    </row>
    <row r="616" spans="1:28" ht="15.75" customHeight="1">
      <c r="A616" s="804" t="str">
        <f>IF(B616&lt;&gt;"",IF(AND(B616&gt;=_TM1,B616&lt;=_TM2,OR(TH!L616="1111",TH!M616="1111")),TH!D616,""),"")</f>
        <v>C26</v>
      </c>
      <c r="B616" s="36">
        <f t="shared" si="39"/>
        <v>9</v>
      </c>
      <c r="C616" s="189">
        <f t="shared" si="40"/>
        <v>42264</v>
      </c>
      <c r="D616" s="189" t="s">
        <v>1388</v>
      </c>
      <c r="E616" s="189">
        <v>42264</v>
      </c>
      <c r="F616" s="187" t="s">
        <v>438</v>
      </c>
      <c r="G616" s="813" t="s">
        <v>704</v>
      </c>
      <c r="H616" s="191" t="s">
        <v>494</v>
      </c>
      <c r="I616" s="243"/>
      <c r="J616" s="243"/>
      <c r="K616" s="573">
        <v>14656125</v>
      </c>
      <c r="L616" s="574" t="s">
        <v>8</v>
      </c>
      <c r="M616" s="574" t="s">
        <v>47</v>
      </c>
      <c r="N616" s="51" t="str">
        <f>IF(AND('331-CT'!$E$7=TH!H616,OR(L616="331",M616="331")),"331",IF(AND(OR(L616="131",M616="131"),H616='131-CT'!$E$7),"131",""))</f>
        <v/>
      </c>
      <c r="O616" s="51" t="str">
        <f>IF(AND($B616&gt;='111'!$N$11,$B616&lt;='111'!$O$11,OR($L616=$O$7,$M616=$O$7)),"x","")</f>
        <v/>
      </c>
      <c r="P616" s="51" t="str">
        <f>IF(AND($L616=$O$7,$B616&lt;'111'!$N$11),"x","")</f>
        <v/>
      </c>
      <c r="Q616" s="51" t="str">
        <f>IF(AND($M616=$O$7,$B616&lt;'111'!$N$11),"x","")</f>
        <v>x</v>
      </c>
      <c r="R616" s="51" t="str">
        <f>IF(ISERROR(FIND('112'!$M$9,G616,1)),"",IF((AND(FIND('112'!$M$9,G616,1)&gt;=1,$B616&gt;='112'!$N$8,$B616&lt;='112'!$O$8,OR($L616='112'!$I$6,$M616='112'!$I$6))),"x",""))</f>
        <v/>
      </c>
      <c r="S616" s="51" t="str">
        <f>IF(ISERROR(FIND('112'!$M$9,G616,1)),"",IF((AND(LEFT(G616,2)=LEFT('112'!$M$9,2),B616&lt;'112'!$N$8,$L616='112'!$I$6)),"x",""))</f>
        <v/>
      </c>
      <c r="T616" s="51" t="str">
        <f>IF(ISERROR(FIND('112'!$M$9,G616,1)),"",IF((AND(RIGHT(G616,2)=RIGHT('112'!$M$9,2),B616&lt;'112'!$N$8,$M616='112'!$I$6)),"x",""))</f>
        <v/>
      </c>
      <c r="U616" s="51" t="str">
        <f>IF(AND(L616="154",'154'!$O$5&lt;=B616,'154'!$P$5&gt;=B616),"154",IF(AND(L616="632",'632'!$L$5&lt;=B616,'632'!$M$5&gt;=B616),"632",IF(AND(L616="642",'642'!$N$5&lt;=B616,'642'!$O$5&gt;=B616),"642",IF(AND(L616="641",'641'!$N$5&lt;=B616,'641'!$O$5&gt;=B616),"641",""))))</f>
        <v/>
      </c>
      <c r="V616" s="51" t="str">
        <f>IF(OR(TH!L616=TH!$V$7,M616=TH!$V$7),"x","")</f>
        <v/>
      </c>
      <c r="W616" s="51" t="str">
        <f>IF(AND(B616&gt;='IN-NX'!$P$3,B616&lt;='IN-NX'!$Q$3,'IN-NX'!$D$7=D616,OR(LEFT(L616,2)="15",AND(LEFT(M616,2)&lt;&gt;"15",LEFT(M616,2)&lt;&gt;"33"))),"x","")</f>
        <v/>
      </c>
      <c r="X616" s="51" t="str">
        <f>IF(AND(OR(LEFT(TH!L616,2)="15",LEFT(TH!M616,2)="15"),'152-CT'!$J$8=TH!F616),"x","")</f>
        <v/>
      </c>
      <c r="Y616" s="51" t="str">
        <f>IF(AND(OR(LEFT(TH!L616,2)="15",LEFT(TH!M616,2)="15"),TK!$E$7=TH!F616),"x","")</f>
        <v/>
      </c>
      <c r="Z616" s="51" t="str">
        <f>IF(AND(B616&lt;=NKC!$N$8,B616&gt;=NKC!$M$8),"x","")</f>
        <v>x</v>
      </c>
      <c r="AA616" s="803"/>
      <c r="AB616" s="565"/>
    </row>
    <row r="617" spans="1:28" ht="15.75" customHeight="1">
      <c r="A617" s="804" t="str">
        <f>IF(B617&lt;&gt;"",IF(AND(B617&gt;=_TM1,B617&lt;=_TM2,OR(TH!L617="1111",TH!M617="1111")),TH!D617,""),"")</f>
        <v>T39</v>
      </c>
      <c r="B617" s="36">
        <f t="shared" si="39"/>
        <v>9</v>
      </c>
      <c r="C617" s="189">
        <f t="shared" si="40"/>
        <v>42264</v>
      </c>
      <c r="D617" s="189" t="s">
        <v>1405</v>
      </c>
      <c r="E617" s="189">
        <v>42264</v>
      </c>
      <c r="F617" s="190" t="s">
        <v>964</v>
      </c>
      <c r="G617" s="813" t="s">
        <v>1034</v>
      </c>
      <c r="H617" s="191" t="s">
        <v>413</v>
      </c>
      <c r="I617" s="243"/>
      <c r="J617" s="243"/>
      <c r="K617" s="573">
        <v>18000000</v>
      </c>
      <c r="L617" s="574" t="s">
        <v>47</v>
      </c>
      <c r="M617" s="574" t="s">
        <v>408</v>
      </c>
      <c r="N617" s="51" t="str">
        <f>IF(AND('331-CT'!$E$7=TH!H617,OR(L617="331",M617="331")),"331",IF(AND(OR(L617="131",M617="131"),H617='131-CT'!$E$7),"131",""))</f>
        <v/>
      </c>
      <c r="O617" s="51" t="str">
        <f>IF(AND($B617&gt;='111'!$N$11,$B617&lt;='111'!$O$11,OR($L617=$O$7,$M617=$O$7)),"x","")</f>
        <v/>
      </c>
      <c r="P617" s="51" t="str">
        <f>IF(AND($L617=$O$7,$B617&lt;'111'!$N$11),"x","")</f>
        <v>x</v>
      </c>
      <c r="Q617" s="51" t="str">
        <f>IF(AND($M617=$O$7,$B617&lt;'111'!$N$11),"x","")</f>
        <v/>
      </c>
      <c r="R617" s="51" t="str">
        <f>IF(ISERROR(FIND('112'!$M$9,G617,1)),"",IF((AND(FIND('112'!$M$9,G617,1)&gt;=1,$B617&gt;='112'!$N$8,$B617&lt;='112'!$O$8,OR($L617='112'!$I$6,$M617='112'!$I$6))),"x",""))</f>
        <v/>
      </c>
      <c r="S617" s="51" t="str">
        <f>IF(ISERROR(FIND('112'!$M$9,G617,1)),"",IF((AND(LEFT(G617,2)=LEFT('112'!$M$9,2),B617&lt;'112'!$N$8,$L617='112'!$I$6)),"x",""))</f>
        <v/>
      </c>
      <c r="T617" s="51" t="str">
        <f>IF(ISERROR(FIND('112'!$M$9,G617,1)),"",IF((AND(RIGHT(G617,2)=RIGHT('112'!$M$9,2),B617&lt;'112'!$N$8,$M617='112'!$I$6)),"x",""))</f>
        <v/>
      </c>
      <c r="U617" s="51" t="str">
        <f>IF(AND(L617="154",'154'!$O$5&lt;=B617,'154'!$P$5&gt;=B617),"154",IF(AND(L617="632",'632'!$L$5&lt;=B617,'632'!$M$5&gt;=B617),"632",IF(AND(L617="642",'642'!$N$5&lt;=B617,'642'!$O$5&gt;=B617),"642",IF(AND(L617="641",'641'!$N$5&lt;=B617,'641'!$O$5&gt;=B617),"641",""))))</f>
        <v/>
      </c>
      <c r="V617" s="51" t="str">
        <f>IF(OR(TH!L617=TH!$V$7,M617=TH!$V$7),"x","")</f>
        <v/>
      </c>
      <c r="W617" s="51" t="str">
        <f>IF(AND(B617&gt;='IN-NX'!$P$3,B617&lt;='IN-NX'!$Q$3,'IN-NX'!$D$7=D617,OR(LEFT(L617,2)="15",AND(LEFT(M617,2)&lt;&gt;"15",LEFT(M617,2)&lt;&gt;"33"))),"x","")</f>
        <v/>
      </c>
      <c r="X617" s="51" t="str">
        <f>IF(AND(OR(LEFT(TH!L617,2)="15",LEFT(TH!M617,2)="15"),'152-CT'!$J$8=TH!F617),"x","")</f>
        <v/>
      </c>
      <c r="Y617" s="51" t="str">
        <f>IF(AND(OR(LEFT(TH!L617,2)="15",LEFT(TH!M617,2)="15"),TK!$E$7=TH!F617),"x","")</f>
        <v/>
      </c>
      <c r="Z617" s="51" t="str">
        <f>IF(AND(B617&lt;=NKC!$N$8,B617&gt;=NKC!$M$8),"x","")</f>
        <v>x</v>
      </c>
      <c r="AA617" s="803"/>
      <c r="AB617" s="565"/>
    </row>
    <row r="618" spans="1:28" ht="15.75" customHeight="1">
      <c r="A618" s="804" t="str">
        <f>IF(B618&lt;&gt;"",IF(AND(B618&gt;=_TM1,B618&lt;=_TM2,OR(TH!L618="1111",TH!M618="1111")),TH!D618,""),"")</f>
        <v>T39</v>
      </c>
      <c r="B618" s="36">
        <f t="shared" si="39"/>
        <v>9</v>
      </c>
      <c r="C618" s="189">
        <f t="shared" si="40"/>
        <v>42264</v>
      </c>
      <c r="D618" s="189" t="s">
        <v>1405</v>
      </c>
      <c r="E618" s="189">
        <v>42264</v>
      </c>
      <c r="F618" s="190" t="s">
        <v>1110</v>
      </c>
      <c r="G618" s="813" t="s">
        <v>1034</v>
      </c>
      <c r="H618" s="191" t="s">
        <v>413</v>
      </c>
      <c r="I618" s="243"/>
      <c r="J618" s="243"/>
      <c r="K618" s="573">
        <v>1800000</v>
      </c>
      <c r="L618" s="574" t="s">
        <v>47</v>
      </c>
      <c r="M618" s="574" t="s">
        <v>352</v>
      </c>
      <c r="N618" s="51" t="str">
        <f>IF(AND('331-CT'!$E$7=TH!H618,OR(L618="331",M618="331")),"331",IF(AND(OR(L618="131",M618="131"),H618='131-CT'!$E$7),"131",""))</f>
        <v/>
      </c>
      <c r="O618" s="51" t="str">
        <f>IF(AND($B618&gt;='111'!$N$11,$B618&lt;='111'!$O$11,OR($L618=$O$7,$M618=$O$7)),"x","")</f>
        <v/>
      </c>
      <c r="P618" s="51" t="str">
        <f>IF(AND($L618=$O$7,$B618&lt;'111'!$N$11),"x","")</f>
        <v>x</v>
      </c>
      <c r="Q618" s="51" t="str">
        <f>IF(AND($M618=$O$7,$B618&lt;'111'!$N$11),"x","")</f>
        <v/>
      </c>
      <c r="R618" s="51" t="str">
        <f>IF(ISERROR(FIND('112'!$M$9,G618,1)),"",IF((AND(FIND('112'!$M$9,G618,1)&gt;=1,$B618&gt;='112'!$N$8,$B618&lt;='112'!$O$8,OR($L618='112'!$I$6,$M618='112'!$I$6))),"x",""))</f>
        <v/>
      </c>
      <c r="S618" s="51" t="str">
        <f>IF(ISERROR(FIND('112'!$M$9,G618,1)),"",IF((AND(LEFT(G618,2)=LEFT('112'!$M$9,2),B618&lt;'112'!$N$8,$L618='112'!$I$6)),"x",""))</f>
        <v/>
      </c>
      <c r="T618" s="51" t="str">
        <f>IF(ISERROR(FIND('112'!$M$9,G618,1)),"",IF((AND(RIGHT(G618,2)=RIGHT('112'!$M$9,2),B618&lt;'112'!$N$8,$M618='112'!$I$6)),"x",""))</f>
        <v/>
      </c>
      <c r="U618" s="51" t="str">
        <f>IF(AND(L618="154",'154'!$O$5&lt;=B618,'154'!$P$5&gt;=B618),"154",IF(AND(L618="632",'632'!$L$5&lt;=B618,'632'!$M$5&gt;=B618),"632",IF(AND(L618="642",'642'!$N$5&lt;=B618,'642'!$O$5&gt;=B618),"642",IF(AND(L618="641",'641'!$N$5&lt;=B618,'641'!$O$5&gt;=B618),"641",""))))</f>
        <v/>
      </c>
      <c r="V618" s="51" t="str">
        <f>IF(OR(TH!L618=TH!$V$7,M618=TH!$V$7),"x","")</f>
        <v/>
      </c>
      <c r="W618" s="51" t="str">
        <f>IF(AND(B618&gt;='IN-NX'!$P$3,B618&lt;='IN-NX'!$Q$3,'IN-NX'!$D$7=D618,OR(LEFT(L618,2)="15",AND(LEFT(M618,2)&lt;&gt;"15",LEFT(M618,2)&lt;&gt;"33"))),"x","")</f>
        <v/>
      </c>
      <c r="X618" s="51" t="str">
        <f>IF(AND(OR(LEFT(TH!L618,2)="15",LEFT(TH!M618,2)="15"),'152-CT'!$J$8=TH!F618),"x","")</f>
        <v/>
      </c>
      <c r="Y618" s="51" t="str">
        <f>IF(AND(OR(LEFT(TH!L618,2)="15",LEFT(TH!M618,2)="15"),TK!$E$7=TH!F618),"x","")</f>
        <v/>
      </c>
      <c r="Z618" s="51" t="str">
        <f>IF(AND(B618&lt;=NKC!$N$8,B618&gt;=NKC!$M$8),"x","")</f>
        <v>x</v>
      </c>
      <c r="AA618" s="803"/>
      <c r="AB618" s="565"/>
    </row>
    <row r="619" spans="1:28" ht="15.75" customHeight="1">
      <c r="A619" s="804" t="str">
        <f>IF(B619&lt;&gt;"",IF(AND(B619&gt;=_TM1,B619&lt;=_TM2,OR(TH!L619="1111",TH!M619="1111")),TH!D619,""),"")</f>
        <v>T40</v>
      </c>
      <c r="B619" s="36">
        <f t="shared" si="39"/>
        <v>9</v>
      </c>
      <c r="C619" s="189">
        <f t="shared" si="40"/>
        <v>42265</v>
      </c>
      <c r="D619" s="189" t="s">
        <v>1406</v>
      </c>
      <c r="E619" s="189">
        <v>42265</v>
      </c>
      <c r="F619" s="922" t="s">
        <v>964</v>
      </c>
      <c r="G619" s="813" t="s">
        <v>1035</v>
      </c>
      <c r="H619" s="191" t="s">
        <v>1036</v>
      </c>
      <c r="I619" s="243"/>
      <c r="J619" s="243"/>
      <c r="K619" s="573">
        <v>2100000</v>
      </c>
      <c r="L619" s="574" t="s">
        <v>47</v>
      </c>
      <c r="M619" s="574" t="s">
        <v>408</v>
      </c>
      <c r="N619" s="51" t="str">
        <f>IF(AND('331-CT'!$E$7=TH!H619,OR(L619="331",M619="331")),"331",IF(AND(OR(L619="131",M619="131"),H619='131-CT'!$E$7),"131",""))</f>
        <v/>
      </c>
      <c r="O619" s="51" t="str">
        <f>IF(AND($B619&gt;='111'!$N$11,$B619&lt;='111'!$O$11,OR($L619=$O$7,$M619=$O$7)),"x","")</f>
        <v/>
      </c>
      <c r="P619" s="51" t="str">
        <f>IF(AND($L619=$O$7,$B619&lt;'111'!$N$11),"x","")</f>
        <v>x</v>
      </c>
      <c r="Q619" s="51" t="str">
        <f>IF(AND($M619=$O$7,$B619&lt;'111'!$N$11),"x","")</f>
        <v/>
      </c>
      <c r="R619" s="51" t="str">
        <f>IF(ISERROR(FIND('112'!$M$9,G619,1)),"",IF((AND(FIND('112'!$M$9,G619,1)&gt;=1,$B619&gt;='112'!$N$8,$B619&lt;='112'!$O$8,OR($L619='112'!$I$6,$M619='112'!$I$6))),"x",""))</f>
        <v/>
      </c>
      <c r="S619" s="51" t="str">
        <f>IF(ISERROR(FIND('112'!$M$9,G619,1)),"",IF((AND(LEFT(G619,2)=LEFT('112'!$M$9,2),B619&lt;'112'!$N$8,$L619='112'!$I$6)),"x",""))</f>
        <v/>
      </c>
      <c r="T619" s="51" t="str">
        <f>IF(ISERROR(FIND('112'!$M$9,G619,1)),"",IF((AND(RIGHT(G619,2)=RIGHT('112'!$M$9,2),B619&lt;'112'!$N$8,$M619='112'!$I$6)),"x",""))</f>
        <v/>
      </c>
      <c r="U619" s="51" t="str">
        <f>IF(AND(L619="154",'154'!$O$5&lt;=B619,'154'!$P$5&gt;=B619),"154",IF(AND(L619="632",'632'!$L$5&lt;=B619,'632'!$M$5&gt;=B619),"632",IF(AND(L619="642",'642'!$N$5&lt;=B619,'642'!$O$5&gt;=B619),"642",IF(AND(L619="641",'641'!$N$5&lt;=B619,'641'!$O$5&gt;=B619),"641",""))))</f>
        <v/>
      </c>
      <c r="V619" s="51" t="str">
        <f>IF(OR(TH!L619=TH!$V$7,M619=TH!$V$7),"x","")</f>
        <v/>
      </c>
      <c r="W619" s="51" t="str">
        <f>IF(AND(B619&gt;='IN-NX'!$P$3,B619&lt;='IN-NX'!$Q$3,'IN-NX'!$D$7=D619,OR(LEFT(L619,2)="15",AND(LEFT(M619,2)&lt;&gt;"15",LEFT(M619,2)&lt;&gt;"33"))),"x","")</f>
        <v/>
      </c>
      <c r="X619" s="51" t="str">
        <f>IF(AND(OR(LEFT(TH!L619,2)="15",LEFT(TH!M619,2)="15"),'152-CT'!$J$8=TH!F619),"x","")</f>
        <v/>
      </c>
      <c r="Y619" s="51" t="str">
        <f>IF(AND(OR(LEFT(TH!L619,2)="15",LEFT(TH!M619,2)="15"),TK!$E$7=TH!F619),"x","")</f>
        <v/>
      </c>
      <c r="Z619" s="51" t="str">
        <f>IF(AND(B619&lt;=NKC!$N$8,B619&gt;=NKC!$M$8),"x","")</f>
        <v>x</v>
      </c>
      <c r="AA619" s="803"/>
      <c r="AB619" s="565"/>
    </row>
    <row r="620" spans="1:28" ht="15.75" customHeight="1">
      <c r="A620" s="804" t="str">
        <f>IF(B620&lt;&gt;"",IF(AND(B620&gt;=_TM1,B620&lt;=_TM2,OR(TH!L620="1111",TH!M620="1111")),TH!D620,""),"")</f>
        <v>T40</v>
      </c>
      <c r="B620" s="36">
        <f t="shared" si="39"/>
        <v>9</v>
      </c>
      <c r="C620" s="189">
        <f t="shared" si="40"/>
        <v>42265</v>
      </c>
      <c r="D620" s="189" t="s">
        <v>1406</v>
      </c>
      <c r="E620" s="189">
        <v>42265</v>
      </c>
      <c r="F620" s="190" t="s">
        <v>1110</v>
      </c>
      <c r="G620" s="813" t="s">
        <v>1035</v>
      </c>
      <c r="H620" s="191" t="s">
        <v>1036</v>
      </c>
      <c r="I620" s="243"/>
      <c r="J620" s="243"/>
      <c r="K620" s="573">
        <v>210000</v>
      </c>
      <c r="L620" s="574" t="s">
        <v>47</v>
      </c>
      <c r="M620" s="574" t="s">
        <v>352</v>
      </c>
      <c r="N620" s="51" t="str">
        <f>IF(AND('331-CT'!$E$7=TH!H620,OR(L620="331",M620="331")),"331",IF(AND(OR(L620="131",M620="131"),H620='131-CT'!$E$7),"131",""))</f>
        <v/>
      </c>
      <c r="O620" s="51" t="str">
        <f>IF(AND($B620&gt;='111'!$N$11,$B620&lt;='111'!$O$11,OR($L620=$O$7,$M620=$O$7)),"x","")</f>
        <v/>
      </c>
      <c r="P620" s="51" t="str">
        <f>IF(AND($L620=$O$7,$B620&lt;'111'!$N$11),"x","")</f>
        <v>x</v>
      </c>
      <c r="Q620" s="51" t="str">
        <f>IF(AND($M620=$O$7,$B620&lt;'111'!$N$11),"x","")</f>
        <v/>
      </c>
      <c r="R620" s="51" t="str">
        <f>IF(ISERROR(FIND('112'!$M$9,G620,1)),"",IF((AND(FIND('112'!$M$9,G620,1)&gt;=1,$B620&gt;='112'!$N$8,$B620&lt;='112'!$O$8,OR($L620='112'!$I$6,$M620='112'!$I$6))),"x",""))</f>
        <v/>
      </c>
      <c r="S620" s="51" t="str">
        <f>IF(ISERROR(FIND('112'!$M$9,G620,1)),"",IF((AND(LEFT(G620,2)=LEFT('112'!$M$9,2),B620&lt;'112'!$N$8,$L620='112'!$I$6)),"x",""))</f>
        <v/>
      </c>
      <c r="T620" s="51" t="str">
        <f>IF(ISERROR(FIND('112'!$M$9,G620,1)),"",IF((AND(RIGHT(G620,2)=RIGHT('112'!$M$9,2),B620&lt;'112'!$N$8,$M620='112'!$I$6)),"x",""))</f>
        <v/>
      </c>
      <c r="U620" s="51" t="str">
        <f>IF(AND(L620="154",'154'!$O$5&lt;=B620,'154'!$P$5&gt;=B620),"154",IF(AND(L620="632",'632'!$L$5&lt;=B620,'632'!$M$5&gt;=B620),"632",IF(AND(L620="642",'642'!$N$5&lt;=B620,'642'!$O$5&gt;=B620),"642",IF(AND(L620="641",'641'!$N$5&lt;=B620,'641'!$O$5&gt;=B620),"641",""))))</f>
        <v/>
      </c>
      <c r="V620" s="51" t="str">
        <f>IF(OR(TH!L620=TH!$V$7,M620=TH!$V$7),"x","")</f>
        <v/>
      </c>
      <c r="W620" s="51" t="str">
        <f>IF(AND(B620&gt;='IN-NX'!$P$3,B620&lt;='IN-NX'!$Q$3,'IN-NX'!$D$7=D620,OR(LEFT(L620,2)="15",AND(LEFT(M620,2)&lt;&gt;"15",LEFT(M620,2)&lt;&gt;"33"))),"x","")</f>
        <v/>
      </c>
      <c r="X620" s="51" t="str">
        <f>IF(AND(OR(LEFT(TH!L620,2)="15",LEFT(TH!M620,2)="15"),'152-CT'!$J$8=TH!F620),"x","")</f>
        <v/>
      </c>
      <c r="Y620" s="51" t="str">
        <f>IF(AND(OR(LEFT(TH!L620,2)="15",LEFT(TH!M620,2)="15"),TK!$E$7=TH!F620),"x","")</f>
        <v/>
      </c>
      <c r="Z620" s="51" t="str">
        <f>IF(AND(B620&lt;=NKC!$N$8,B620&gt;=NKC!$M$8),"x","")</f>
        <v>x</v>
      </c>
      <c r="AA620" s="803"/>
      <c r="AB620" s="565"/>
    </row>
    <row r="621" spans="1:28" ht="15.75" customHeight="1">
      <c r="A621" s="804" t="str">
        <f>IF(B621&lt;&gt;"",IF(AND(B621&gt;=_TM1,B621&lt;=_TM2,OR(TH!L621="1111",TH!M621="1111")),TH!D621,""),"")</f>
        <v/>
      </c>
      <c r="B621" s="36">
        <f t="shared" si="39"/>
        <v>9</v>
      </c>
      <c r="C621" s="189">
        <f t="shared" si="40"/>
        <v>42265</v>
      </c>
      <c r="D621" s="189" t="s">
        <v>1302</v>
      </c>
      <c r="E621" s="189">
        <v>42265</v>
      </c>
      <c r="F621" s="190" t="s">
        <v>697</v>
      </c>
      <c r="G621" s="813" t="s">
        <v>1037</v>
      </c>
      <c r="H621" s="191" t="s">
        <v>450</v>
      </c>
      <c r="I621" s="243">
        <v>1500</v>
      </c>
      <c r="J621" s="243">
        <v>22500</v>
      </c>
      <c r="K621" s="573">
        <f>ROUND(I621*J621,0)</f>
        <v>33750000</v>
      </c>
      <c r="L621" s="574" t="s">
        <v>250</v>
      </c>
      <c r="M621" s="574" t="s">
        <v>164</v>
      </c>
      <c r="N621" s="51" t="str">
        <f>IF(AND('331-CT'!$E$7=TH!H621,OR(L621="331",M621="331")),"331",IF(AND(OR(L621="131",M621="131"),H621='131-CT'!$E$7),"131",""))</f>
        <v/>
      </c>
      <c r="O621" s="51" t="str">
        <f>IF(AND($B621&gt;='111'!$N$11,$B621&lt;='111'!$O$11,OR($L621=$O$7,$M621=$O$7)),"x","")</f>
        <v/>
      </c>
      <c r="P621" s="51" t="str">
        <f>IF(AND($L621=$O$7,$B621&lt;'111'!$N$11),"x","")</f>
        <v/>
      </c>
      <c r="Q621" s="51" t="str">
        <f>IF(AND($M621=$O$7,$B621&lt;'111'!$N$11),"x","")</f>
        <v/>
      </c>
      <c r="R621" s="51" t="str">
        <f>IF(ISERROR(FIND('112'!$M$9,G621,1)),"",IF((AND(FIND('112'!$M$9,G621,1)&gt;=1,$B621&gt;='112'!$N$8,$B621&lt;='112'!$O$8,OR($L621='112'!$I$6,$M621='112'!$I$6))),"x",""))</f>
        <v/>
      </c>
      <c r="S621" s="51" t="str">
        <f>IF(ISERROR(FIND('112'!$M$9,G621,1)),"",IF((AND(LEFT(G621,2)=LEFT('112'!$M$9,2),B621&lt;'112'!$N$8,$L621='112'!$I$6)),"x",""))</f>
        <v/>
      </c>
      <c r="T621" s="51" t="str">
        <f>IF(ISERROR(FIND('112'!$M$9,G621,1)),"",IF((AND(RIGHT(G621,2)=RIGHT('112'!$M$9,2),B621&lt;'112'!$N$8,$M621='112'!$I$6)),"x",""))</f>
        <v/>
      </c>
      <c r="U621" s="51" t="str">
        <f>IF(AND(L621="154",'154'!$O$5&lt;=B621,'154'!$P$5&gt;=B621),"154",IF(AND(L621="632",'632'!$L$5&lt;=B621,'632'!$M$5&gt;=B621),"632",IF(AND(L621="642",'642'!$N$5&lt;=B621,'642'!$O$5&gt;=B621),"642",IF(AND(L621="641",'641'!$N$5&lt;=B621,'641'!$O$5&gt;=B621),"641",""))))</f>
        <v/>
      </c>
      <c r="V621" s="51" t="str">
        <f>IF(OR(TH!L621=TH!$V$7,M621=TH!$V$7),"x","")</f>
        <v/>
      </c>
      <c r="W621" s="51" t="str">
        <f>IF(AND(B621&gt;='IN-NX'!$P$3,B621&lt;='IN-NX'!$Q$3,'IN-NX'!$D$7=D621,OR(LEFT(L621,2)="15",AND(LEFT(M621,2)&lt;&gt;"15",LEFT(M621,2)&lt;&gt;"33"))),"x","")</f>
        <v/>
      </c>
      <c r="X621" s="51" t="str">
        <f>IF(AND(OR(LEFT(TH!L621,2)="15",LEFT(TH!M621,2)="15"),'152-CT'!$J$8=TH!F621),"x","")</f>
        <v/>
      </c>
      <c r="Y621" s="51" t="str">
        <f>IF(AND(OR(LEFT(TH!L621,2)="15",LEFT(TH!M621,2)="15"),TK!$E$7=TH!F621),"x","")</f>
        <v/>
      </c>
      <c r="Z621" s="51" t="str">
        <f>IF(AND(B621&lt;=NKC!$N$8,B621&gt;=NKC!$M$8),"x","")</f>
        <v>x</v>
      </c>
      <c r="AA621" s="803"/>
      <c r="AB621" s="565"/>
    </row>
    <row r="622" spans="1:28" ht="15.75" customHeight="1">
      <c r="A622" s="804" t="str">
        <f>IF(B622&lt;&gt;"",IF(AND(B622&gt;=_TM1,B622&lt;=_TM2,OR(TH!L622="1111",TH!M622="1111")),TH!D622,""),"")</f>
        <v/>
      </c>
      <c r="B622" s="36">
        <f t="shared" si="39"/>
        <v>9</v>
      </c>
      <c r="C622" s="189">
        <f t="shared" si="40"/>
        <v>42265</v>
      </c>
      <c r="D622" s="189" t="s">
        <v>1302</v>
      </c>
      <c r="E622" s="189">
        <v>42265</v>
      </c>
      <c r="F622" s="190" t="s">
        <v>962</v>
      </c>
      <c r="G622" s="813" t="s">
        <v>1037</v>
      </c>
      <c r="H622" s="191" t="s">
        <v>450</v>
      </c>
      <c r="I622" s="243"/>
      <c r="J622" s="243"/>
      <c r="K622" s="573">
        <v>3375000</v>
      </c>
      <c r="L622" s="574" t="s">
        <v>250</v>
      </c>
      <c r="M622" s="574" t="s">
        <v>352</v>
      </c>
      <c r="N622" s="51" t="str">
        <f>IF(AND('331-CT'!$E$7=TH!H622,OR(L622="331",M622="331")),"331",IF(AND(OR(L622="131",M622="131"),H622='131-CT'!$E$7),"131",""))</f>
        <v/>
      </c>
      <c r="O622" s="51" t="str">
        <f>IF(AND($B622&gt;='111'!$N$11,$B622&lt;='111'!$O$11,OR($L622=$O$7,$M622=$O$7)),"x","")</f>
        <v/>
      </c>
      <c r="P622" s="51" t="str">
        <f>IF(AND($L622=$O$7,$B622&lt;'111'!$N$11),"x","")</f>
        <v/>
      </c>
      <c r="Q622" s="51" t="str">
        <f>IF(AND($M622=$O$7,$B622&lt;'111'!$N$11),"x","")</f>
        <v/>
      </c>
      <c r="R622" s="51" t="str">
        <f>IF(ISERROR(FIND('112'!$M$9,G622,1)),"",IF((AND(FIND('112'!$M$9,G622,1)&gt;=1,$B622&gt;='112'!$N$8,$B622&lt;='112'!$O$8,OR($L622='112'!$I$6,$M622='112'!$I$6))),"x",""))</f>
        <v/>
      </c>
      <c r="S622" s="51" t="str">
        <f>IF(ISERROR(FIND('112'!$M$9,G622,1)),"",IF((AND(LEFT(G622,2)=LEFT('112'!$M$9,2),B622&lt;'112'!$N$8,$L622='112'!$I$6)),"x",""))</f>
        <v/>
      </c>
      <c r="T622" s="51" t="str">
        <f>IF(ISERROR(FIND('112'!$M$9,G622,1)),"",IF((AND(RIGHT(G622,2)=RIGHT('112'!$M$9,2),B622&lt;'112'!$N$8,$M622='112'!$I$6)),"x",""))</f>
        <v/>
      </c>
      <c r="U622" s="51" t="str">
        <f>IF(AND(L622="154",'154'!$O$5&lt;=B622,'154'!$P$5&gt;=B622),"154",IF(AND(L622="632",'632'!$L$5&lt;=B622,'632'!$M$5&gt;=B622),"632",IF(AND(L622="642",'642'!$N$5&lt;=B622,'642'!$O$5&gt;=B622),"642",IF(AND(L622="641",'641'!$N$5&lt;=B622,'641'!$O$5&gt;=B622),"641",""))))</f>
        <v/>
      </c>
      <c r="V622" s="51" t="str">
        <f>IF(OR(TH!L622=TH!$V$7,M622=TH!$V$7),"x","")</f>
        <v/>
      </c>
      <c r="W622" s="51" t="str">
        <f>IF(AND(B622&gt;='IN-NX'!$P$3,B622&lt;='IN-NX'!$Q$3,'IN-NX'!$D$7=D622,OR(LEFT(L622,2)="15",AND(LEFT(M622,2)&lt;&gt;"15",LEFT(M622,2)&lt;&gt;"33"))),"x","")</f>
        <v/>
      </c>
      <c r="X622" s="51" t="str">
        <f>IF(AND(OR(LEFT(TH!L622,2)="15",LEFT(TH!M622,2)="15"),'152-CT'!$J$8=TH!F622),"x","")</f>
        <v/>
      </c>
      <c r="Y622" s="51" t="str">
        <f>IF(AND(OR(LEFT(TH!L622,2)="15",LEFT(TH!M622,2)="15"),TK!$E$7=TH!F622),"x","")</f>
        <v/>
      </c>
      <c r="Z622" s="51" t="str">
        <f>IF(AND(B622&lt;=NKC!$N$8,B622&gt;=NKC!$M$8),"x","")</f>
        <v>x</v>
      </c>
      <c r="AA622" s="803"/>
      <c r="AB622" s="565"/>
    </row>
    <row r="623" spans="1:28" ht="15.75" customHeight="1">
      <c r="A623" s="804" t="str">
        <f>IF(B623&lt;&gt;"",IF(AND(B623&gt;=_TM1,B623&lt;=_TM2,OR(TH!L623="1111",TH!M623="1111")),TH!D623,""),"")</f>
        <v/>
      </c>
      <c r="B623" s="36">
        <f t="shared" si="39"/>
        <v>9</v>
      </c>
      <c r="C623" s="189">
        <f t="shared" si="40"/>
        <v>42266</v>
      </c>
      <c r="D623" s="189" t="s">
        <v>1303</v>
      </c>
      <c r="E623" s="189">
        <v>42266</v>
      </c>
      <c r="F623" s="190" t="s">
        <v>698</v>
      </c>
      <c r="G623" s="813" t="s">
        <v>1038</v>
      </c>
      <c r="H623" s="7" t="s">
        <v>444</v>
      </c>
      <c r="I623" s="243">
        <v>100</v>
      </c>
      <c r="J623" s="243">
        <v>94920</v>
      </c>
      <c r="K623" s="573">
        <f>ROUND(I623*J623,0)</f>
        <v>9492000</v>
      </c>
      <c r="L623" s="574" t="s">
        <v>250</v>
      </c>
      <c r="M623" s="574" t="s">
        <v>164</v>
      </c>
      <c r="N623" s="51" t="str">
        <f>IF(AND('331-CT'!$E$7=TH!H623,OR(L623="331",M623="331")),"331",IF(AND(OR(L623="131",M623="131"),H623='131-CT'!$E$7),"131",""))</f>
        <v/>
      </c>
      <c r="O623" s="51" t="str">
        <f>IF(AND($B623&gt;='111'!$N$11,$B623&lt;='111'!$O$11,OR($L623=$O$7,$M623=$O$7)),"x","")</f>
        <v/>
      </c>
      <c r="P623" s="51" t="str">
        <f>IF(AND($L623=$O$7,$B623&lt;'111'!$N$11),"x","")</f>
        <v/>
      </c>
      <c r="Q623" s="51" t="str">
        <f>IF(AND($M623=$O$7,$B623&lt;'111'!$N$11),"x","")</f>
        <v/>
      </c>
      <c r="R623" s="51" t="str">
        <f>IF(ISERROR(FIND('112'!$M$9,G623,1)),"",IF((AND(FIND('112'!$M$9,G623,1)&gt;=1,$B623&gt;='112'!$N$8,$B623&lt;='112'!$O$8,OR($L623='112'!$I$6,$M623='112'!$I$6))),"x",""))</f>
        <v/>
      </c>
      <c r="S623" s="51" t="str">
        <f>IF(ISERROR(FIND('112'!$M$9,G623,1)),"",IF((AND(LEFT(G623,2)=LEFT('112'!$M$9,2),B623&lt;'112'!$N$8,$L623='112'!$I$6)),"x",""))</f>
        <v/>
      </c>
      <c r="T623" s="51" t="str">
        <f>IF(ISERROR(FIND('112'!$M$9,G623,1)),"",IF((AND(RIGHT(G623,2)=RIGHT('112'!$M$9,2),B623&lt;'112'!$N$8,$M623='112'!$I$6)),"x",""))</f>
        <v/>
      </c>
      <c r="U623" s="51" t="str">
        <f>IF(AND(L623="154",'154'!$O$5&lt;=B623,'154'!$P$5&gt;=B623),"154",IF(AND(L623="632",'632'!$L$5&lt;=B623,'632'!$M$5&gt;=B623),"632",IF(AND(L623="642",'642'!$N$5&lt;=B623,'642'!$O$5&gt;=B623),"642",IF(AND(L623="641",'641'!$N$5&lt;=B623,'641'!$O$5&gt;=B623),"641",""))))</f>
        <v/>
      </c>
      <c r="V623" s="51" t="str">
        <f>IF(OR(TH!L623=TH!$V$7,M623=TH!$V$7),"x","")</f>
        <v/>
      </c>
      <c r="W623" s="51" t="str">
        <f>IF(AND(B623&gt;='IN-NX'!$P$3,B623&lt;='IN-NX'!$Q$3,'IN-NX'!$D$7=D623,OR(LEFT(L623,2)="15",AND(LEFT(M623,2)&lt;&gt;"15",LEFT(M623,2)&lt;&gt;"33"))),"x","")</f>
        <v/>
      </c>
      <c r="X623" s="51" t="str">
        <f>IF(AND(OR(LEFT(TH!L623,2)="15",LEFT(TH!M623,2)="15"),'152-CT'!$J$8=TH!F623),"x","")</f>
        <v/>
      </c>
      <c r="Y623" s="51" t="str">
        <f>IF(AND(OR(LEFT(TH!L623,2)="15",LEFT(TH!M623,2)="15"),TK!$E$7=TH!F623),"x","")</f>
        <v/>
      </c>
      <c r="Z623" s="51" t="str">
        <f>IF(AND(B623&lt;=NKC!$N$8,B623&gt;=NKC!$M$8),"x","")</f>
        <v>x</v>
      </c>
      <c r="AA623" s="803"/>
      <c r="AB623" s="565"/>
    </row>
    <row r="624" spans="1:28" ht="15.75" customHeight="1">
      <c r="A624" s="804" t="str">
        <f>IF(B624&lt;&gt;"",IF(AND(B624&gt;=_TM1,B624&lt;=_TM2,OR(TH!L624="1111",TH!M624="1111")),TH!D624,""),"")</f>
        <v/>
      </c>
      <c r="B624" s="36">
        <f t="shared" si="39"/>
        <v>9</v>
      </c>
      <c r="C624" s="189">
        <f t="shared" si="40"/>
        <v>42266</v>
      </c>
      <c r="D624" s="189" t="s">
        <v>1303</v>
      </c>
      <c r="E624" s="189">
        <v>42266</v>
      </c>
      <c r="F624" s="190" t="s">
        <v>699</v>
      </c>
      <c r="G624" s="813" t="s">
        <v>1038</v>
      </c>
      <c r="H624" s="7" t="s">
        <v>444</v>
      </c>
      <c r="I624" s="243">
        <v>100</v>
      </c>
      <c r="J624" s="243">
        <v>54472</v>
      </c>
      <c r="K624" s="573">
        <f>ROUND(I624*J624,0)</f>
        <v>5447200</v>
      </c>
      <c r="L624" s="574" t="s">
        <v>250</v>
      </c>
      <c r="M624" s="574" t="s">
        <v>164</v>
      </c>
      <c r="N624" s="51" t="str">
        <f>IF(AND('331-CT'!$E$7=TH!H624,OR(L624="331",M624="331")),"331",IF(AND(OR(L624="131",M624="131"),H624='131-CT'!$E$7),"131",""))</f>
        <v/>
      </c>
      <c r="O624" s="51" t="str">
        <f>IF(AND($B624&gt;='111'!$N$11,$B624&lt;='111'!$O$11,OR($L624=$O$7,$M624=$O$7)),"x","")</f>
        <v/>
      </c>
      <c r="P624" s="51" t="str">
        <f>IF(AND($L624=$O$7,$B624&lt;'111'!$N$11),"x","")</f>
        <v/>
      </c>
      <c r="Q624" s="51" t="str">
        <f>IF(AND($M624=$O$7,$B624&lt;'111'!$N$11),"x","")</f>
        <v/>
      </c>
      <c r="R624" s="51" t="str">
        <f>IF(ISERROR(FIND('112'!$M$9,G624,1)),"",IF((AND(FIND('112'!$M$9,G624,1)&gt;=1,$B624&gt;='112'!$N$8,$B624&lt;='112'!$O$8,OR($L624='112'!$I$6,$M624='112'!$I$6))),"x",""))</f>
        <v/>
      </c>
      <c r="S624" s="51" t="str">
        <f>IF(ISERROR(FIND('112'!$M$9,G624,1)),"",IF((AND(LEFT(G624,2)=LEFT('112'!$M$9,2),B624&lt;'112'!$N$8,$L624='112'!$I$6)),"x",""))</f>
        <v/>
      </c>
      <c r="T624" s="51" t="str">
        <f>IF(ISERROR(FIND('112'!$M$9,G624,1)),"",IF((AND(RIGHT(G624,2)=RIGHT('112'!$M$9,2),B624&lt;'112'!$N$8,$M624='112'!$I$6)),"x",""))</f>
        <v/>
      </c>
      <c r="U624" s="51" t="str">
        <f>IF(AND(L624="154",'154'!$O$5&lt;=B624,'154'!$P$5&gt;=B624),"154",IF(AND(L624="632",'632'!$L$5&lt;=B624,'632'!$M$5&gt;=B624),"632",IF(AND(L624="642",'642'!$N$5&lt;=B624,'642'!$O$5&gt;=B624),"642",IF(AND(L624="641",'641'!$N$5&lt;=B624,'641'!$O$5&gt;=B624),"641",""))))</f>
        <v/>
      </c>
      <c r="V624" s="51" t="str">
        <f>IF(OR(TH!L624=TH!$V$7,M624=TH!$V$7),"x","")</f>
        <v/>
      </c>
      <c r="W624" s="51" t="str">
        <f>IF(AND(B624&gt;='IN-NX'!$P$3,B624&lt;='IN-NX'!$Q$3,'IN-NX'!$D$7=D624,OR(LEFT(L624,2)="15",AND(LEFT(M624,2)&lt;&gt;"15",LEFT(M624,2)&lt;&gt;"33"))),"x","")</f>
        <v/>
      </c>
      <c r="X624" s="51" t="str">
        <f>IF(AND(OR(LEFT(TH!L624,2)="15",LEFT(TH!M624,2)="15"),'152-CT'!$J$8=TH!F624),"x","")</f>
        <v/>
      </c>
      <c r="Y624" s="51" t="str">
        <f>IF(AND(OR(LEFT(TH!L624,2)="15",LEFT(TH!M624,2)="15"),TK!$E$7=TH!F624),"x","")</f>
        <v/>
      </c>
      <c r="Z624" s="51" t="str">
        <f>IF(AND(B624&lt;=NKC!$N$8,B624&gt;=NKC!$M$8),"x","")</f>
        <v>x</v>
      </c>
      <c r="AA624" s="803"/>
      <c r="AB624" s="565"/>
    </row>
    <row r="625" spans="1:28" ht="15.75" customHeight="1">
      <c r="A625" s="804" t="str">
        <f>IF(B625&lt;&gt;"",IF(AND(B625&gt;=_TM1,B625&lt;=_TM2,OR(TH!L625="1111",TH!M625="1111")),TH!D625,""),"")</f>
        <v/>
      </c>
      <c r="B625" s="36">
        <f t="shared" si="39"/>
        <v>9</v>
      </c>
      <c r="C625" s="189">
        <f t="shared" si="40"/>
        <v>42266</v>
      </c>
      <c r="D625" s="189" t="s">
        <v>1303</v>
      </c>
      <c r="E625" s="189">
        <v>42266</v>
      </c>
      <c r="F625" s="190" t="s">
        <v>1208</v>
      </c>
      <c r="G625" s="813" t="s">
        <v>1038</v>
      </c>
      <c r="H625" s="7" t="s">
        <v>444</v>
      </c>
      <c r="I625" s="243">
        <v>320</v>
      </c>
      <c r="J625" s="243">
        <v>600</v>
      </c>
      <c r="K625" s="573">
        <f>ROUND(I625*J625,0)</f>
        <v>192000</v>
      </c>
      <c r="L625" s="574" t="s">
        <v>250</v>
      </c>
      <c r="M625" s="574" t="s">
        <v>164</v>
      </c>
      <c r="N625" s="51" t="str">
        <f>IF(AND('331-CT'!$E$7=TH!H625,OR(L625="331",M625="331")),"331",IF(AND(OR(L625="131",M625="131"),H625='131-CT'!$E$7),"131",""))</f>
        <v/>
      </c>
      <c r="O625" s="51" t="str">
        <f>IF(AND($B625&gt;='111'!$N$11,$B625&lt;='111'!$O$11,OR($L625=$O$7,$M625=$O$7)),"x","")</f>
        <v/>
      </c>
      <c r="P625" s="51" t="str">
        <f>IF(AND($L625=$O$7,$B625&lt;'111'!$N$11),"x","")</f>
        <v/>
      </c>
      <c r="Q625" s="51" t="str">
        <f>IF(AND($M625=$O$7,$B625&lt;'111'!$N$11),"x","")</f>
        <v/>
      </c>
      <c r="R625" s="51" t="str">
        <f>IF(ISERROR(FIND('112'!$M$9,G625,1)),"",IF((AND(FIND('112'!$M$9,G625,1)&gt;=1,$B625&gt;='112'!$N$8,$B625&lt;='112'!$O$8,OR($L625='112'!$I$6,$M625='112'!$I$6))),"x",""))</f>
        <v/>
      </c>
      <c r="S625" s="51" t="str">
        <f>IF(ISERROR(FIND('112'!$M$9,G625,1)),"",IF((AND(LEFT(G625,2)=LEFT('112'!$M$9,2),B625&lt;'112'!$N$8,$L625='112'!$I$6)),"x",""))</f>
        <v/>
      </c>
      <c r="T625" s="51" t="str">
        <f>IF(ISERROR(FIND('112'!$M$9,G625,1)),"",IF((AND(RIGHT(G625,2)=RIGHT('112'!$M$9,2),B625&lt;'112'!$N$8,$M625='112'!$I$6)),"x",""))</f>
        <v/>
      </c>
      <c r="U625" s="51" t="str">
        <f>IF(AND(L625="154",'154'!$O$5&lt;=B625,'154'!$P$5&gt;=B625),"154",IF(AND(L625="632",'632'!$L$5&lt;=B625,'632'!$M$5&gt;=B625),"632",IF(AND(L625="642",'642'!$N$5&lt;=B625,'642'!$O$5&gt;=B625),"642",IF(AND(L625="641",'641'!$N$5&lt;=B625,'641'!$O$5&gt;=B625),"641",""))))</f>
        <v/>
      </c>
      <c r="V625" s="51" t="str">
        <f>IF(OR(TH!L625=TH!$V$7,M625=TH!$V$7),"x","")</f>
        <v/>
      </c>
      <c r="W625" s="51" t="str">
        <f>IF(AND(B625&gt;='IN-NX'!$P$3,B625&lt;='IN-NX'!$Q$3,'IN-NX'!$D$7=D625,OR(LEFT(L625,2)="15",AND(LEFT(M625,2)&lt;&gt;"15",LEFT(M625,2)&lt;&gt;"33"))),"x","")</f>
        <v/>
      </c>
      <c r="X625" s="51" t="str">
        <f>IF(AND(OR(LEFT(TH!L625,2)="15",LEFT(TH!M625,2)="15"),'152-CT'!$J$8=TH!F625),"x","")</f>
        <v/>
      </c>
      <c r="Y625" s="51" t="str">
        <f>IF(AND(OR(LEFT(TH!L625,2)="15",LEFT(TH!M625,2)="15"),TK!$E$7=TH!F625),"x","")</f>
        <v/>
      </c>
      <c r="Z625" s="51" t="str">
        <f>IF(AND(B625&lt;=NKC!$N$8,B625&gt;=NKC!$M$8),"x","")</f>
        <v>x</v>
      </c>
      <c r="AA625" s="803"/>
      <c r="AB625" s="565"/>
    </row>
    <row r="626" spans="1:28" ht="15.75" customHeight="1">
      <c r="A626" s="804" t="str">
        <f>IF(B626&lt;&gt;"",IF(AND(B626&gt;=_TM1,B626&lt;=_TM2,OR(TH!L626="1111",TH!M626="1111")),TH!D626,""),"")</f>
        <v/>
      </c>
      <c r="B626" s="36">
        <f t="shared" si="39"/>
        <v>9</v>
      </c>
      <c r="C626" s="189">
        <f t="shared" si="40"/>
        <v>42266</v>
      </c>
      <c r="D626" s="189" t="s">
        <v>1303</v>
      </c>
      <c r="E626" s="189">
        <v>42266</v>
      </c>
      <c r="F626" s="926" t="s">
        <v>1207</v>
      </c>
      <c r="G626" s="813" t="s">
        <v>1038</v>
      </c>
      <c r="H626" s="7" t="s">
        <v>444</v>
      </c>
      <c r="I626" s="243">
        <v>177</v>
      </c>
      <c r="J626" s="243">
        <v>1200</v>
      </c>
      <c r="K626" s="573">
        <f>ROUND(I626*J626,0)</f>
        <v>212400</v>
      </c>
      <c r="L626" s="574" t="s">
        <v>250</v>
      </c>
      <c r="M626" s="574" t="s">
        <v>164</v>
      </c>
      <c r="N626" s="51" t="str">
        <f>IF(AND('331-CT'!$E$7=TH!H626,OR(L626="331",M626="331")),"331",IF(AND(OR(L626="131",M626="131"),H626='131-CT'!$E$7),"131",""))</f>
        <v/>
      </c>
      <c r="O626" s="51" t="str">
        <f>IF(AND($B626&gt;='111'!$N$11,$B626&lt;='111'!$O$11,OR($L626=$O$7,$M626=$O$7)),"x","")</f>
        <v/>
      </c>
      <c r="P626" s="51" t="str">
        <f>IF(AND($L626=$O$7,$B626&lt;'111'!$N$11),"x","")</f>
        <v/>
      </c>
      <c r="Q626" s="51" t="str">
        <f>IF(AND($M626=$O$7,$B626&lt;'111'!$N$11),"x","")</f>
        <v/>
      </c>
      <c r="R626" s="51" t="str">
        <f>IF(ISERROR(FIND('112'!$M$9,G626,1)),"",IF((AND(FIND('112'!$M$9,G626,1)&gt;=1,$B626&gt;='112'!$N$8,$B626&lt;='112'!$O$8,OR($L626='112'!$I$6,$M626='112'!$I$6))),"x",""))</f>
        <v/>
      </c>
      <c r="S626" s="51" t="str">
        <f>IF(ISERROR(FIND('112'!$M$9,G626,1)),"",IF((AND(LEFT(G626,2)=LEFT('112'!$M$9,2),B626&lt;'112'!$N$8,$L626='112'!$I$6)),"x",""))</f>
        <v/>
      </c>
      <c r="T626" s="51" t="str">
        <f>IF(ISERROR(FIND('112'!$M$9,G626,1)),"",IF((AND(RIGHT(G626,2)=RIGHT('112'!$M$9,2),B626&lt;'112'!$N$8,$M626='112'!$I$6)),"x",""))</f>
        <v/>
      </c>
      <c r="U626" s="51" t="str">
        <f>IF(AND(L626="154",'154'!$O$5&lt;=B626,'154'!$P$5&gt;=B626),"154",IF(AND(L626="632",'632'!$L$5&lt;=B626,'632'!$M$5&gt;=B626),"632",IF(AND(L626="642",'642'!$N$5&lt;=B626,'642'!$O$5&gt;=B626),"642",IF(AND(L626="641",'641'!$N$5&lt;=B626,'641'!$O$5&gt;=B626),"641",""))))</f>
        <v/>
      </c>
      <c r="V626" s="51" t="str">
        <f>IF(OR(TH!L626=TH!$V$7,M626=TH!$V$7),"x","")</f>
        <v/>
      </c>
      <c r="W626" s="51" t="str">
        <f>IF(AND(B626&gt;='IN-NX'!$P$3,B626&lt;='IN-NX'!$Q$3,'IN-NX'!$D$7=D626,OR(LEFT(L626,2)="15",AND(LEFT(M626,2)&lt;&gt;"15",LEFT(M626,2)&lt;&gt;"33"))),"x","")</f>
        <v/>
      </c>
      <c r="X626" s="51" t="str">
        <f>IF(AND(OR(LEFT(TH!L626,2)="15",LEFT(TH!M626,2)="15"),'152-CT'!$J$8=TH!F626),"x","")</f>
        <v/>
      </c>
      <c r="Y626" s="51" t="str">
        <f>IF(AND(OR(LEFT(TH!L626,2)="15",LEFT(TH!M626,2)="15"),TK!$E$7=TH!F626),"x","")</f>
        <v/>
      </c>
      <c r="Z626" s="51" t="str">
        <f>IF(AND(B626&lt;=NKC!$N$8,B626&gt;=NKC!$M$8),"x","")</f>
        <v>x</v>
      </c>
      <c r="AA626" s="803"/>
      <c r="AB626" s="565"/>
    </row>
    <row r="627" spans="1:28" ht="15.75" customHeight="1">
      <c r="A627" s="804" t="str">
        <f>IF(B627&lt;&gt;"",IF(AND(B627&gt;=_TM1,B627&lt;=_TM2,OR(TH!L627="1111",TH!M627="1111")),TH!D627,""),"")</f>
        <v/>
      </c>
      <c r="B627" s="36">
        <f t="shared" si="39"/>
        <v>9</v>
      </c>
      <c r="C627" s="189">
        <f t="shared" si="40"/>
        <v>42266</v>
      </c>
      <c r="D627" s="189" t="s">
        <v>1303</v>
      </c>
      <c r="E627" s="189">
        <v>42266</v>
      </c>
      <c r="F627" s="922" t="s">
        <v>1144</v>
      </c>
      <c r="G627" s="813" t="s">
        <v>1038</v>
      </c>
      <c r="H627" s="7" t="s">
        <v>444</v>
      </c>
      <c r="I627" s="243">
        <v>160</v>
      </c>
      <c r="J627" s="243">
        <v>6000</v>
      </c>
      <c r="K627" s="573">
        <f>ROUND(I627*J627,0)</f>
        <v>960000</v>
      </c>
      <c r="L627" s="574" t="s">
        <v>250</v>
      </c>
      <c r="M627" s="574" t="s">
        <v>164</v>
      </c>
      <c r="N627" s="51" t="str">
        <f>IF(AND('331-CT'!$E$7=TH!H627,OR(L627="331",M627="331")),"331",IF(AND(OR(L627="131",M627="131"),H627='131-CT'!$E$7),"131",""))</f>
        <v/>
      </c>
      <c r="O627" s="51" t="str">
        <f>IF(AND($B627&gt;='111'!$N$11,$B627&lt;='111'!$O$11,OR($L627=$O$7,$M627=$O$7)),"x","")</f>
        <v/>
      </c>
      <c r="P627" s="51" t="str">
        <f>IF(AND($L627=$O$7,$B627&lt;'111'!$N$11),"x","")</f>
        <v/>
      </c>
      <c r="Q627" s="51" t="str">
        <f>IF(AND($M627=$O$7,$B627&lt;'111'!$N$11),"x","")</f>
        <v/>
      </c>
      <c r="R627" s="51" t="str">
        <f>IF(ISERROR(FIND('112'!$M$9,G627,1)),"",IF((AND(FIND('112'!$M$9,G627,1)&gt;=1,$B627&gt;='112'!$N$8,$B627&lt;='112'!$O$8,OR($L627='112'!$I$6,$M627='112'!$I$6))),"x",""))</f>
        <v/>
      </c>
      <c r="S627" s="51" t="str">
        <f>IF(ISERROR(FIND('112'!$M$9,G627,1)),"",IF((AND(LEFT(G627,2)=LEFT('112'!$M$9,2),B627&lt;'112'!$N$8,$L627='112'!$I$6)),"x",""))</f>
        <v/>
      </c>
      <c r="T627" s="51" t="str">
        <f>IF(ISERROR(FIND('112'!$M$9,G627,1)),"",IF((AND(RIGHT(G627,2)=RIGHT('112'!$M$9,2),B627&lt;'112'!$N$8,$M627='112'!$I$6)),"x",""))</f>
        <v/>
      </c>
      <c r="U627" s="51" t="str">
        <f>IF(AND(L627="154",'154'!$O$5&lt;=B627,'154'!$P$5&gt;=B627),"154",IF(AND(L627="632",'632'!$L$5&lt;=B627,'632'!$M$5&gt;=B627),"632",IF(AND(L627="642",'642'!$N$5&lt;=B627,'642'!$O$5&gt;=B627),"642",IF(AND(L627="641",'641'!$N$5&lt;=B627,'641'!$O$5&gt;=B627),"641",""))))</f>
        <v/>
      </c>
      <c r="V627" s="51" t="str">
        <f>IF(OR(TH!L627=TH!$V$7,M627=TH!$V$7),"x","")</f>
        <v/>
      </c>
      <c r="W627" s="51" t="str">
        <f>IF(AND(B627&gt;='IN-NX'!$P$3,B627&lt;='IN-NX'!$Q$3,'IN-NX'!$D$7=D627,OR(LEFT(L627,2)="15",AND(LEFT(M627,2)&lt;&gt;"15",LEFT(M627,2)&lt;&gt;"33"))),"x","")</f>
        <v/>
      </c>
      <c r="X627" s="51" t="str">
        <f>IF(AND(OR(LEFT(TH!L627,2)="15",LEFT(TH!M627,2)="15"),'152-CT'!$J$8=TH!F627),"x","")</f>
        <v/>
      </c>
      <c r="Y627" s="51" t="str">
        <f>IF(AND(OR(LEFT(TH!L627,2)="15",LEFT(TH!M627,2)="15"),TK!$E$7=TH!F627),"x","")</f>
        <v/>
      </c>
      <c r="Z627" s="51" t="str">
        <f>IF(AND(B627&lt;=NKC!$N$8,B627&gt;=NKC!$M$8),"x","")</f>
        <v>x</v>
      </c>
      <c r="AA627" s="803"/>
      <c r="AB627" s="565"/>
    </row>
    <row r="628" spans="1:28" ht="15.75" customHeight="1">
      <c r="A628" s="804" t="str">
        <f>IF(B628&lt;&gt;"",IF(AND(B628&gt;=_TM1,B628&lt;=_TM2,OR(TH!L628="1111",TH!M628="1111")),TH!D628,""),"")</f>
        <v/>
      </c>
      <c r="B628" s="36">
        <f t="shared" si="39"/>
        <v>9</v>
      </c>
      <c r="C628" s="189">
        <f t="shared" si="40"/>
        <v>42266</v>
      </c>
      <c r="D628" s="189" t="s">
        <v>1303</v>
      </c>
      <c r="E628" s="189">
        <v>42266</v>
      </c>
      <c r="F628" s="190" t="s">
        <v>962</v>
      </c>
      <c r="G628" s="813" t="s">
        <v>1038</v>
      </c>
      <c r="H628" s="7" t="s">
        <v>444</v>
      </c>
      <c r="I628" s="243"/>
      <c r="J628" s="243"/>
      <c r="K628" s="573">
        <v>1630360</v>
      </c>
      <c r="L628" s="574" t="s">
        <v>250</v>
      </c>
      <c r="M628" s="574" t="s">
        <v>352</v>
      </c>
      <c r="N628" s="51" t="str">
        <f>IF(AND('331-CT'!$E$7=TH!H628,OR(L628="331",M628="331")),"331",IF(AND(OR(L628="131",M628="131"),H628='131-CT'!$E$7),"131",""))</f>
        <v/>
      </c>
      <c r="O628" s="51" t="str">
        <f>IF(AND($B628&gt;='111'!$N$11,$B628&lt;='111'!$O$11,OR($L628=$O$7,$M628=$O$7)),"x","")</f>
        <v/>
      </c>
      <c r="P628" s="51" t="str">
        <f>IF(AND($L628=$O$7,$B628&lt;'111'!$N$11),"x","")</f>
        <v/>
      </c>
      <c r="Q628" s="51" t="str">
        <f>IF(AND($M628=$O$7,$B628&lt;'111'!$N$11),"x","")</f>
        <v/>
      </c>
      <c r="R628" s="51" t="str">
        <f>IF(ISERROR(FIND('112'!$M$9,G628,1)),"",IF((AND(FIND('112'!$M$9,G628,1)&gt;=1,$B628&gt;='112'!$N$8,$B628&lt;='112'!$O$8,OR($L628='112'!$I$6,$M628='112'!$I$6))),"x",""))</f>
        <v/>
      </c>
      <c r="S628" s="51" t="str">
        <f>IF(ISERROR(FIND('112'!$M$9,G628,1)),"",IF((AND(LEFT(G628,2)=LEFT('112'!$M$9,2),B628&lt;'112'!$N$8,$L628='112'!$I$6)),"x",""))</f>
        <v/>
      </c>
      <c r="T628" s="51" t="str">
        <f>IF(ISERROR(FIND('112'!$M$9,G628,1)),"",IF((AND(RIGHT(G628,2)=RIGHT('112'!$M$9,2),B628&lt;'112'!$N$8,$M628='112'!$I$6)),"x",""))</f>
        <v/>
      </c>
      <c r="U628" s="51" t="str">
        <f>IF(AND(L628="154",'154'!$O$5&lt;=B628,'154'!$P$5&gt;=B628),"154",IF(AND(L628="632",'632'!$L$5&lt;=B628,'632'!$M$5&gt;=B628),"632",IF(AND(L628="642",'642'!$N$5&lt;=B628,'642'!$O$5&gt;=B628),"642",IF(AND(L628="641",'641'!$N$5&lt;=B628,'641'!$O$5&gt;=B628),"641",""))))</f>
        <v/>
      </c>
      <c r="V628" s="51" t="str">
        <f>IF(OR(TH!L628=TH!$V$7,M628=TH!$V$7),"x","")</f>
        <v/>
      </c>
      <c r="W628" s="51" t="str">
        <f>IF(AND(B628&gt;='IN-NX'!$P$3,B628&lt;='IN-NX'!$Q$3,'IN-NX'!$D$7=D628,OR(LEFT(L628,2)="15",AND(LEFT(M628,2)&lt;&gt;"15",LEFT(M628,2)&lt;&gt;"33"))),"x","")</f>
        <v/>
      </c>
      <c r="X628" s="51" t="str">
        <f>IF(AND(OR(LEFT(TH!L628,2)="15",LEFT(TH!M628,2)="15"),'152-CT'!$J$8=TH!F628),"x","")</f>
        <v/>
      </c>
      <c r="Y628" s="51" t="str">
        <f>IF(AND(OR(LEFT(TH!L628,2)="15",LEFT(TH!M628,2)="15"),TK!$E$7=TH!F628),"x","")</f>
        <v/>
      </c>
      <c r="Z628" s="51" t="str">
        <f>IF(AND(B628&lt;=NKC!$N$8,B628&gt;=NKC!$M$8),"x","")</f>
        <v>x</v>
      </c>
      <c r="AA628" s="803"/>
      <c r="AB628" s="565"/>
    </row>
    <row r="629" spans="1:28" ht="15.75" customHeight="1">
      <c r="A629" s="804" t="str">
        <f>IF(B629&lt;&gt;"",IF(AND(B629&gt;=_TM1,B629&lt;=_TM2,OR(TH!L629="1111",TH!M629="1111")),TH!D629,""),"")</f>
        <v/>
      </c>
      <c r="B629" s="36">
        <f t="shared" si="39"/>
        <v>9</v>
      </c>
      <c r="C629" s="189">
        <f t="shared" si="40"/>
        <v>42266</v>
      </c>
      <c r="D629" s="189" t="s">
        <v>1304</v>
      </c>
      <c r="E629" s="189">
        <v>42266</v>
      </c>
      <c r="F629" s="190" t="s">
        <v>620</v>
      </c>
      <c r="G629" s="813" t="s">
        <v>1039</v>
      </c>
      <c r="H629" s="191" t="s">
        <v>413</v>
      </c>
      <c r="I629" s="243">
        <v>800</v>
      </c>
      <c r="J629" s="243">
        <v>15000</v>
      </c>
      <c r="K629" s="573">
        <f>ROUND(I629*J629,0)</f>
        <v>12000000</v>
      </c>
      <c r="L629" s="574" t="s">
        <v>250</v>
      </c>
      <c r="M629" s="574" t="s">
        <v>164</v>
      </c>
      <c r="N629" s="51" t="str">
        <f>IF(AND('331-CT'!$E$7=TH!H629,OR(L629="331",M629="331")),"331",IF(AND(OR(L629="131",M629="131"),H629='131-CT'!$E$7),"131",""))</f>
        <v/>
      </c>
      <c r="O629" s="51" t="str">
        <f>IF(AND($B629&gt;='111'!$N$11,$B629&lt;='111'!$O$11,OR($L629=$O$7,$M629=$O$7)),"x","")</f>
        <v/>
      </c>
      <c r="P629" s="51" t="str">
        <f>IF(AND($L629=$O$7,$B629&lt;'111'!$N$11),"x","")</f>
        <v/>
      </c>
      <c r="Q629" s="51" t="str">
        <f>IF(AND($M629=$O$7,$B629&lt;'111'!$N$11),"x","")</f>
        <v/>
      </c>
      <c r="R629" s="51" t="str">
        <f>IF(ISERROR(FIND('112'!$M$9,G629,1)),"",IF((AND(FIND('112'!$M$9,G629,1)&gt;=1,$B629&gt;='112'!$N$8,$B629&lt;='112'!$O$8,OR($L629='112'!$I$6,$M629='112'!$I$6))),"x",""))</f>
        <v/>
      </c>
      <c r="S629" s="51" t="str">
        <f>IF(ISERROR(FIND('112'!$M$9,G629,1)),"",IF((AND(LEFT(G629,2)=LEFT('112'!$M$9,2),B629&lt;'112'!$N$8,$L629='112'!$I$6)),"x",""))</f>
        <v/>
      </c>
      <c r="T629" s="51" t="str">
        <f>IF(ISERROR(FIND('112'!$M$9,G629,1)),"",IF((AND(RIGHT(G629,2)=RIGHT('112'!$M$9,2),B629&lt;'112'!$N$8,$M629='112'!$I$6)),"x",""))</f>
        <v/>
      </c>
      <c r="U629" s="51" t="str">
        <f>IF(AND(L629="154",'154'!$O$5&lt;=B629,'154'!$P$5&gt;=B629),"154",IF(AND(L629="632",'632'!$L$5&lt;=B629,'632'!$M$5&gt;=B629),"632",IF(AND(L629="642",'642'!$N$5&lt;=B629,'642'!$O$5&gt;=B629),"642",IF(AND(L629="641",'641'!$N$5&lt;=B629,'641'!$O$5&gt;=B629),"641",""))))</f>
        <v/>
      </c>
      <c r="V629" s="51" t="str">
        <f>IF(OR(TH!L629=TH!$V$7,M629=TH!$V$7),"x","")</f>
        <v/>
      </c>
      <c r="W629" s="51" t="str">
        <f>IF(AND(B629&gt;='IN-NX'!$P$3,B629&lt;='IN-NX'!$Q$3,'IN-NX'!$D$7=D629,OR(LEFT(L629,2)="15",AND(LEFT(M629,2)&lt;&gt;"15",LEFT(M629,2)&lt;&gt;"33"))),"x","")</f>
        <v/>
      </c>
      <c r="X629" s="51" t="str">
        <f>IF(AND(OR(LEFT(TH!L629,2)="15",LEFT(TH!M629,2)="15"),'152-CT'!$J$8=TH!F629),"x","")</f>
        <v/>
      </c>
      <c r="Y629" s="51" t="str">
        <f>IF(AND(OR(LEFT(TH!L629,2)="15",LEFT(TH!M629,2)="15"),TK!$E$7=TH!F629),"x","")</f>
        <v/>
      </c>
      <c r="Z629" s="51" t="str">
        <f>IF(AND(B629&lt;=NKC!$N$8,B629&gt;=NKC!$M$8),"x","")</f>
        <v>x</v>
      </c>
      <c r="AA629" s="803"/>
      <c r="AB629" s="565"/>
    </row>
    <row r="630" spans="1:28" ht="15.75" customHeight="1">
      <c r="A630" s="804" t="str">
        <f>IF(B630&lt;&gt;"",IF(AND(B630&gt;=_TM1,B630&lt;=_TM2,OR(TH!L630="1111",TH!M630="1111")),TH!D630,""),"")</f>
        <v/>
      </c>
      <c r="B630" s="36">
        <f t="shared" si="39"/>
        <v>9</v>
      </c>
      <c r="C630" s="189">
        <f t="shared" si="40"/>
        <v>42266</v>
      </c>
      <c r="D630" s="189" t="s">
        <v>1304</v>
      </c>
      <c r="E630" s="189">
        <v>42266</v>
      </c>
      <c r="F630" s="190" t="s">
        <v>705</v>
      </c>
      <c r="G630" s="813" t="s">
        <v>1039</v>
      </c>
      <c r="H630" s="191" t="s">
        <v>413</v>
      </c>
      <c r="I630" s="243"/>
      <c r="J630" s="243"/>
      <c r="K630" s="573">
        <v>1200000</v>
      </c>
      <c r="L630" s="574" t="s">
        <v>250</v>
      </c>
      <c r="M630" s="574" t="s">
        <v>352</v>
      </c>
      <c r="N630" s="51" t="str">
        <f>IF(AND('331-CT'!$E$7=TH!H630,OR(L630="331",M630="331")),"331",IF(AND(OR(L630="131",M630="131"),H630='131-CT'!$E$7),"131",""))</f>
        <v/>
      </c>
      <c r="O630" s="51" t="str">
        <f>IF(AND($B630&gt;='111'!$N$11,$B630&lt;='111'!$O$11,OR($L630=$O$7,$M630=$O$7)),"x","")</f>
        <v/>
      </c>
      <c r="P630" s="51" t="str">
        <f>IF(AND($L630=$O$7,$B630&lt;'111'!$N$11),"x","")</f>
        <v/>
      </c>
      <c r="Q630" s="51" t="str">
        <f>IF(AND($M630=$O$7,$B630&lt;'111'!$N$11),"x","")</f>
        <v/>
      </c>
      <c r="R630" s="51" t="str">
        <f>IF(ISERROR(FIND('112'!$M$9,G630,1)),"",IF((AND(FIND('112'!$M$9,G630,1)&gt;=1,$B630&gt;='112'!$N$8,$B630&lt;='112'!$O$8,OR($L630='112'!$I$6,$M630='112'!$I$6))),"x",""))</f>
        <v/>
      </c>
      <c r="S630" s="51" t="str">
        <f>IF(ISERROR(FIND('112'!$M$9,G630,1)),"",IF((AND(LEFT(G630,2)=LEFT('112'!$M$9,2),B630&lt;'112'!$N$8,$L630='112'!$I$6)),"x",""))</f>
        <v/>
      </c>
      <c r="T630" s="51" t="str">
        <f>IF(ISERROR(FIND('112'!$M$9,G630,1)),"",IF((AND(RIGHT(G630,2)=RIGHT('112'!$M$9,2),B630&lt;'112'!$N$8,$M630='112'!$I$6)),"x",""))</f>
        <v/>
      </c>
      <c r="U630" s="51" t="str">
        <f>IF(AND(L630="154",'154'!$O$5&lt;=B630,'154'!$P$5&gt;=B630),"154",IF(AND(L630="632",'632'!$L$5&lt;=B630,'632'!$M$5&gt;=B630),"632",IF(AND(L630="642",'642'!$N$5&lt;=B630,'642'!$O$5&gt;=B630),"642",IF(AND(L630="641",'641'!$N$5&lt;=B630,'641'!$O$5&gt;=B630),"641",""))))</f>
        <v/>
      </c>
      <c r="V630" s="51" t="str">
        <f>IF(OR(TH!L630=TH!$V$7,M630=TH!$V$7),"x","")</f>
        <v/>
      </c>
      <c r="W630" s="51" t="str">
        <f>IF(AND(B630&gt;='IN-NX'!$P$3,B630&lt;='IN-NX'!$Q$3,'IN-NX'!$D$7=D630,OR(LEFT(L630,2)="15",AND(LEFT(M630,2)&lt;&gt;"15",LEFT(M630,2)&lt;&gt;"33"))),"x","")</f>
        <v/>
      </c>
      <c r="X630" s="51" t="str">
        <f>IF(AND(OR(LEFT(TH!L630,2)="15",LEFT(TH!M630,2)="15"),'152-CT'!$J$8=TH!F630),"x","")</f>
        <v/>
      </c>
      <c r="Y630" s="51" t="str">
        <f>IF(AND(OR(LEFT(TH!L630,2)="15",LEFT(TH!M630,2)="15"),TK!$E$7=TH!F630),"x","")</f>
        <v/>
      </c>
      <c r="Z630" s="51" t="str">
        <f>IF(AND(B630&lt;=NKC!$N$8,B630&gt;=NKC!$M$8),"x","")</f>
        <v>x</v>
      </c>
      <c r="AA630" s="803"/>
      <c r="AB630" s="565"/>
    </row>
    <row r="631" spans="1:28" ht="15.75" customHeight="1">
      <c r="A631" s="804" t="str">
        <f>IF(B631&lt;&gt;"",IF(AND(B631&gt;=_TM1,B631&lt;=_TM2,OR(TH!L631="1111",TH!M631="1111")),TH!D631,""),"")</f>
        <v>T41</v>
      </c>
      <c r="B631" s="36">
        <f t="shared" si="39"/>
        <v>9</v>
      </c>
      <c r="C631" s="189">
        <f t="shared" si="40"/>
        <v>42266</v>
      </c>
      <c r="D631" s="189" t="s">
        <v>1409</v>
      </c>
      <c r="E631" s="189">
        <v>42266</v>
      </c>
      <c r="F631" s="190" t="s">
        <v>423</v>
      </c>
      <c r="G631" s="813" t="s">
        <v>1039</v>
      </c>
      <c r="H631" s="191" t="s">
        <v>413</v>
      </c>
      <c r="I631" s="243"/>
      <c r="J631" s="243"/>
      <c r="K631" s="573">
        <v>13200000</v>
      </c>
      <c r="L631" s="574" t="s">
        <v>47</v>
      </c>
      <c r="M631" s="574" t="s">
        <v>250</v>
      </c>
      <c r="N631" s="51" t="str">
        <f>IF(AND('331-CT'!$E$7=TH!H631,OR(L631="331",M631="331")),"331",IF(AND(OR(L631="131",M631="131"),H631='131-CT'!$E$7),"131",""))</f>
        <v/>
      </c>
      <c r="O631" s="51" t="str">
        <f>IF(AND($B631&gt;='111'!$N$11,$B631&lt;='111'!$O$11,OR($L631=$O$7,$M631=$O$7)),"x","")</f>
        <v/>
      </c>
      <c r="P631" s="51" t="str">
        <f>IF(AND($L631=$O$7,$B631&lt;'111'!$N$11),"x","")</f>
        <v>x</v>
      </c>
      <c r="Q631" s="51" t="str">
        <f>IF(AND($M631=$O$7,$B631&lt;'111'!$N$11),"x","")</f>
        <v/>
      </c>
      <c r="R631" s="51" t="str">
        <f>IF(ISERROR(FIND('112'!$M$9,G631,1)),"",IF((AND(FIND('112'!$M$9,G631,1)&gt;=1,$B631&gt;='112'!$N$8,$B631&lt;='112'!$O$8,OR($L631='112'!$I$6,$M631='112'!$I$6))),"x",""))</f>
        <v/>
      </c>
      <c r="S631" s="51" t="str">
        <f>IF(ISERROR(FIND('112'!$M$9,G631,1)),"",IF((AND(LEFT(G631,2)=LEFT('112'!$M$9,2),B631&lt;'112'!$N$8,$L631='112'!$I$6)),"x",""))</f>
        <v/>
      </c>
      <c r="T631" s="51" t="str">
        <f>IF(ISERROR(FIND('112'!$M$9,G631,1)),"",IF((AND(RIGHT(G631,2)=RIGHT('112'!$M$9,2),B631&lt;'112'!$N$8,$M631='112'!$I$6)),"x",""))</f>
        <v/>
      </c>
      <c r="U631" s="51" t="str">
        <f>IF(AND(L631="154",'154'!$O$5&lt;=B631,'154'!$P$5&gt;=B631),"154",IF(AND(L631="632",'632'!$L$5&lt;=B631,'632'!$M$5&gt;=B631),"632",IF(AND(L631="642",'642'!$N$5&lt;=B631,'642'!$O$5&gt;=B631),"642",IF(AND(L631="641",'641'!$N$5&lt;=B631,'641'!$O$5&gt;=B631),"641",""))))</f>
        <v/>
      </c>
      <c r="V631" s="51" t="str">
        <f>IF(OR(TH!L631=TH!$V$7,M631=TH!$V$7),"x","")</f>
        <v/>
      </c>
      <c r="W631" s="51" t="str">
        <f>IF(AND(B631&gt;='IN-NX'!$P$3,B631&lt;='IN-NX'!$Q$3,'IN-NX'!$D$7=D631,OR(LEFT(L631,2)="15",AND(LEFT(M631,2)&lt;&gt;"15",LEFT(M631,2)&lt;&gt;"33"))),"x","")</f>
        <v/>
      </c>
      <c r="X631" s="51" t="str">
        <f>IF(AND(OR(LEFT(TH!L631,2)="15",LEFT(TH!M631,2)="15"),'152-CT'!$J$8=TH!F631),"x","")</f>
        <v/>
      </c>
      <c r="Y631" s="51" t="str">
        <f>IF(AND(OR(LEFT(TH!L631,2)="15",LEFT(TH!M631,2)="15"),TK!$E$7=TH!F631),"x","")</f>
        <v/>
      </c>
      <c r="Z631" s="51" t="str">
        <f>IF(AND(B631&lt;=NKC!$N$8,B631&gt;=NKC!$M$8),"x","")</f>
        <v>x</v>
      </c>
      <c r="AA631" s="803"/>
      <c r="AB631" s="565"/>
    </row>
    <row r="632" spans="1:28" ht="15.75" customHeight="1">
      <c r="A632" s="804" t="str">
        <f>IF(B632&lt;&gt;"",IF(AND(B632&gt;=_TM1,B632&lt;=_TM2,OR(TH!L632="1111",TH!M632="1111")),TH!D632,""),"")</f>
        <v/>
      </c>
      <c r="B632" s="36">
        <f t="shared" si="39"/>
        <v>9</v>
      </c>
      <c r="C632" s="189">
        <f t="shared" si="40"/>
        <v>42267</v>
      </c>
      <c r="D632" s="189" t="s">
        <v>1411</v>
      </c>
      <c r="E632" s="189">
        <v>42267</v>
      </c>
      <c r="F632" s="190" t="s">
        <v>620</v>
      </c>
      <c r="G632" s="813" t="s">
        <v>706</v>
      </c>
      <c r="H632" s="191" t="s">
        <v>494</v>
      </c>
      <c r="I632" s="243">
        <v>1200</v>
      </c>
      <c r="J632" s="243">
        <v>14250</v>
      </c>
      <c r="K632" s="573">
        <f>ROUND(I632*J632,0)</f>
        <v>17100000</v>
      </c>
      <c r="L632" s="574" t="s">
        <v>417</v>
      </c>
      <c r="M632" s="574" t="s">
        <v>8</v>
      </c>
      <c r="N632" s="51" t="str">
        <f>IF(AND('331-CT'!$E$7=TH!H632,OR(L632="331",M632="331")),"331",IF(AND(OR(L632="131",M632="131"),H632='131-CT'!$E$7),"131",""))</f>
        <v/>
      </c>
      <c r="O632" s="51" t="str">
        <f>IF(AND($B632&gt;='111'!$N$11,$B632&lt;='111'!$O$11,OR($L632=$O$7,$M632=$O$7)),"x","")</f>
        <v/>
      </c>
      <c r="P632" s="51" t="str">
        <f>IF(AND($L632=$O$7,$B632&lt;'111'!$N$11),"x","")</f>
        <v/>
      </c>
      <c r="Q632" s="51" t="str">
        <f>IF(AND($M632=$O$7,$B632&lt;'111'!$N$11),"x","")</f>
        <v/>
      </c>
      <c r="R632" s="51" t="str">
        <f>IF(ISERROR(FIND('112'!$M$9,G632,1)),"",IF((AND(FIND('112'!$M$9,G632,1)&gt;=1,$B632&gt;='112'!$N$8,$B632&lt;='112'!$O$8,OR($L632='112'!$I$6,$M632='112'!$I$6))),"x",""))</f>
        <v/>
      </c>
      <c r="S632" s="51" t="str">
        <f>IF(ISERROR(FIND('112'!$M$9,G632,1)),"",IF((AND(LEFT(G632,2)=LEFT('112'!$M$9,2),B632&lt;'112'!$N$8,$L632='112'!$I$6)),"x",""))</f>
        <v/>
      </c>
      <c r="T632" s="51" t="str">
        <f>IF(ISERROR(FIND('112'!$M$9,G632,1)),"",IF((AND(RIGHT(G632,2)=RIGHT('112'!$M$9,2),B632&lt;'112'!$N$8,$M632='112'!$I$6)),"x",""))</f>
        <v/>
      </c>
      <c r="U632" s="51" t="str">
        <f>IF(AND(L632="154",'154'!$O$5&lt;=B632,'154'!$P$5&gt;=B632),"154",IF(AND(L632="632",'632'!$L$5&lt;=B632,'632'!$M$5&gt;=B632),"632",IF(AND(L632="642",'642'!$N$5&lt;=B632,'642'!$O$5&gt;=B632),"642",IF(AND(L632="641",'641'!$N$5&lt;=B632,'641'!$O$5&gt;=B632),"641",""))))</f>
        <v/>
      </c>
      <c r="V632" s="51" t="str">
        <f>IF(OR(TH!L632=TH!$V$7,M632=TH!$V$7),"x","")</f>
        <v/>
      </c>
      <c r="W632" s="51" t="str">
        <f>IF(AND(B632&gt;='IN-NX'!$P$3,B632&lt;='IN-NX'!$Q$3,'IN-NX'!$D$7=D632,OR(LEFT(L632,2)="15",AND(LEFT(M632,2)&lt;&gt;"15",LEFT(M632,2)&lt;&gt;"33"))),"x","")</f>
        <v/>
      </c>
      <c r="X632" s="51" t="str">
        <f>IF(AND(OR(LEFT(TH!L632,2)="15",LEFT(TH!M632,2)="15"),'152-CT'!$J$8=TH!F632),"x","")</f>
        <v/>
      </c>
      <c r="Y632" s="51" t="str">
        <f>IF(AND(OR(LEFT(TH!L632,2)="15",LEFT(TH!M632,2)="15"),TK!$E$7=TH!F632),"x","")</f>
        <v/>
      </c>
      <c r="Z632" s="51" t="str">
        <f>IF(AND(B632&lt;=NKC!$N$8,B632&gt;=NKC!$M$8),"x","")</f>
        <v>x</v>
      </c>
      <c r="AA632" s="803"/>
      <c r="AB632" s="565"/>
    </row>
    <row r="633" spans="1:28" ht="15.75" customHeight="1">
      <c r="A633" s="804" t="str">
        <f>IF(B633&lt;&gt;"",IF(AND(B633&gt;=_TM1,B633&lt;=_TM2,OR(TH!L633="1111",TH!M633="1111")),TH!D633,""),"")</f>
        <v/>
      </c>
      <c r="B633" s="36">
        <f t="shared" si="39"/>
        <v>9</v>
      </c>
      <c r="C633" s="189">
        <f t="shared" si="40"/>
        <v>42267</v>
      </c>
      <c r="D633" s="189" t="s">
        <v>1411</v>
      </c>
      <c r="E633" s="189">
        <v>42267</v>
      </c>
      <c r="F633" s="924" t="s">
        <v>705</v>
      </c>
      <c r="G633" s="813" t="s">
        <v>706</v>
      </c>
      <c r="H633" s="191" t="s">
        <v>494</v>
      </c>
      <c r="I633" s="243"/>
      <c r="J633" s="243"/>
      <c r="K633" s="573">
        <v>1710000</v>
      </c>
      <c r="L633" s="574" t="s">
        <v>9</v>
      </c>
      <c r="M633" s="574" t="s">
        <v>8</v>
      </c>
      <c r="N633" s="51" t="str">
        <f>IF(AND('331-CT'!$E$7=TH!H633,OR(L633="331",M633="331")),"331",IF(AND(OR(L633="131",M633="131"),H633='131-CT'!$E$7),"131",""))</f>
        <v/>
      </c>
      <c r="O633" s="51" t="str">
        <f>IF(AND($B633&gt;='111'!$N$11,$B633&lt;='111'!$O$11,OR($L633=$O$7,$M633=$O$7)),"x","")</f>
        <v/>
      </c>
      <c r="P633" s="51" t="str">
        <f>IF(AND($L633=$O$7,$B633&lt;'111'!$N$11),"x","")</f>
        <v/>
      </c>
      <c r="Q633" s="51" t="str">
        <f>IF(AND($M633=$O$7,$B633&lt;'111'!$N$11),"x","")</f>
        <v/>
      </c>
      <c r="R633" s="51" t="str">
        <f>IF(ISERROR(FIND('112'!$M$9,G633,1)),"",IF((AND(FIND('112'!$M$9,G633,1)&gt;=1,$B633&gt;='112'!$N$8,$B633&lt;='112'!$O$8,OR($L633='112'!$I$6,$M633='112'!$I$6))),"x",""))</f>
        <v/>
      </c>
      <c r="S633" s="51" t="str">
        <f>IF(ISERROR(FIND('112'!$M$9,G633,1)),"",IF((AND(LEFT(G633,2)=LEFT('112'!$M$9,2),B633&lt;'112'!$N$8,$L633='112'!$I$6)),"x",""))</f>
        <v/>
      </c>
      <c r="T633" s="51" t="str">
        <f>IF(ISERROR(FIND('112'!$M$9,G633,1)),"",IF((AND(RIGHT(G633,2)=RIGHT('112'!$M$9,2),B633&lt;'112'!$N$8,$M633='112'!$I$6)),"x",""))</f>
        <v/>
      </c>
      <c r="U633" s="51" t="str">
        <f>IF(AND(L633="154",'154'!$O$5&lt;=B633,'154'!$P$5&gt;=B633),"154",IF(AND(L633="632",'632'!$L$5&lt;=B633,'632'!$M$5&gt;=B633),"632",IF(AND(L633="642",'642'!$N$5&lt;=B633,'642'!$O$5&gt;=B633),"642",IF(AND(L633="641",'641'!$N$5&lt;=B633,'641'!$O$5&gt;=B633),"641",""))))</f>
        <v/>
      </c>
      <c r="V633" s="51" t="str">
        <f>IF(OR(TH!L633=TH!$V$7,M633=TH!$V$7),"x","")</f>
        <v/>
      </c>
      <c r="W633" s="51" t="str">
        <f>IF(AND(B633&gt;='IN-NX'!$P$3,B633&lt;='IN-NX'!$Q$3,'IN-NX'!$D$7=D633,OR(LEFT(L633,2)="15",AND(LEFT(M633,2)&lt;&gt;"15",LEFT(M633,2)&lt;&gt;"33"))),"x","")</f>
        <v/>
      </c>
      <c r="X633" s="51" t="str">
        <f>IF(AND(OR(LEFT(TH!L633,2)="15",LEFT(TH!M633,2)="15"),'152-CT'!$J$8=TH!F633),"x","")</f>
        <v/>
      </c>
      <c r="Y633" s="51" t="str">
        <f>IF(AND(OR(LEFT(TH!L633,2)="15",LEFT(TH!M633,2)="15"),TK!$E$7=TH!F633),"x","")</f>
        <v/>
      </c>
      <c r="Z633" s="51" t="str">
        <f>IF(AND(B633&lt;=NKC!$N$8,B633&gt;=NKC!$M$8),"x","")</f>
        <v>x</v>
      </c>
      <c r="AA633" s="803">
        <v>3</v>
      </c>
      <c r="AB633" s="565"/>
    </row>
    <row r="634" spans="1:28" ht="15.75" customHeight="1">
      <c r="A634" s="804" t="str">
        <f>IF(B634&lt;&gt;"",IF(AND(B634&gt;=_TM1,B634&lt;=_TM2,OR(TH!L634="1111",TH!M634="1111")),TH!D634,""),"")</f>
        <v>C27</v>
      </c>
      <c r="B634" s="36">
        <f t="shared" si="39"/>
        <v>9</v>
      </c>
      <c r="C634" s="189">
        <f t="shared" si="40"/>
        <v>42267</v>
      </c>
      <c r="D634" s="189" t="s">
        <v>1389</v>
      </c>
      <c r="E634" s="189">
        <v>42267</v>
      </c>
      <c r="F634" s="187" t="s">
        <v>438</v>
      </c>
      <c r="G634" s="813" t="s">
        <v>706</v>
      </c>
      <c r="H634" s="191" t="s">
        <v>494</v>
      </c>
      <c r="I634" s="243"/>
      <c r="J634" s="243"/>
      <c r="K634" s="573">
        <v>18810000</v>
      </c>
      <c r="L634" s="574" t="s">
        <v>8</v>
      </c>
      <c r="M634" s="574" t="s">
        <v>47</v>
      </c>
      <c r="N634" s="51" t="str">
        <f>IF(AND('331-CT'!$E$7=TH!H634,OR(L634="331",M634="331")),"331",IF(AND(OR(L634="131",M634="131"),H634='131-CT'!$E$7),"131",""))</f>
        <v/>
      </c>
      <c r="O634" s="51" t="str">
        <f>IF(AND($B634&gt;='111'!$N$11,$B634&lt;='111'!$O$11,OR($L634=$O$7,$M634=$O$7)),"x","")</f>
        <v/>
      </c>
      <c r="P634" s="51" t="str">
        <f>IF(AND($L634=$O$7,$B634&lt;'111'!$N$11),"x","")</f>
        <v/>
      </c>
      <c r="Q634" s="51" t="str">
        <f>IF(AND($M634=$O$7,$B634&lt;'111'!$N$11),"x","")</f>
        <v>x</v>
      </c>
      <c r="R634" s="51" t="str">
        <f>IF(ISERROR(FIND('112'!$M$9,G634,1)),"",IF((AND(FIND('112'!$M$9,G634,1)&gt;=1,$B634&gt;='112'!$N$8,$B634&lt;='112'!$O$8,OR($L634='112'!$I$6,$M634='112'!$I$6))),"x",""))</f>
        <v/>
      </c>
      <c r="S634" s="51" t="str">
        <f>IF(ISERROR(FIND('112'!$M$9,G634,1)),"",IF((AND(LEFT(G634,2)=LEFT('112'!$M$9,2),B634&lt;'112'!$N$8,$L634='112'!$I$6)),"x",""))</f>
        <v/>
      </c>
      <c r="T634" s="51" t="str">
        <f>IF(ISERROR(FIND('112'!$M$9,G634,1)),"",IF((AND(RIGHT(G634,2)=RIGHT('112'!$M$9,2),B634&lt;'112'!$N$8,$M634='112'!$I$6)),"x",""))</f>
        <v/>
      </c>
      <c r="U634" s="51" t="str">
        <f>IF(AND(L634="154",'154'!$O$5&lt;=B634,'154'!$P$5&gt;=B634),"154",IF(AND(L634="632",'632'!$L$5&lt;=B634,'632'!$M$5&gt;=B634),"632",IF(AND(L634="642",'642'!$N$5&lt;=B634,'642'!$O$5&gt;=B634),"642",IF(AND(L634="641",'641'!$N$5&lt;=B634,'641'!$O$5&gt;=B634),"641",""))))</f>
        <v/>
      </c>
      <c r="V634" s="51" t="str">
        <f>IF(OR(TH!L634=TH!$V$7,M634=TH!$V$7),"x","")</f>
        <v/>
      </c>
      <c r="W634" s="51" t="str">
        <f>IF(AND(B634&gt;='IN-NX'!$P$3,B634&lt;='IN-NX'!$Q$3,'IN-NX'!$D$7=D634,OR(LEFT(L634,2)="15",AND(LEFT(M634,2)&lt;&gt;"15",LEFT(M634,2)&lt;&gt;"33"))),"x","")</f>
        <v/>
      </c>
      <c r="X634" s="51" t="str">
        <f>IF(AND(OR(LEFT(TH!L634,2)="15",LEFT(TH!M634,2)="15"),'152-CT'!$J$8=TH!F634),"x","")</f>
        <v/>
      </c>
      <c r="Y634" s="51" t="str">
        <f>IF(AND(OR(LEFT(TH!L634,2)="15",LEFT(TH!M634,2)="15"),TK!$E$7=TH!F634),"x","")</f>
        <v/>
      </c>
      <c r="Z634" s="51" t="str">
        <f>IF(AND(B634&lt;=NKC!$N$8,B634&gt;=NKC!$M$8),"x","")</f>
        <v>x</v>
      </c>
      <c r="AA634" s="803"/>
      <c r="AB634" s="565"/>
    </row>
    <row r="635" spans="1:28" ht="15.75" customHeight="1">
      <c r="A635" s="804" t="str">
        <f>IF(B635&lt;&gt;"",IF(AND(B635&gt;=_TM1,B635&lt;=_TM2,OR(TH!L635="1111",TH!M635="1111")),TH!D635,""),"")</f>
        <v/>
      </c>
      <c r="B635" s="36">
        <f t="shared" si="39"/>
        <v>9</v>
      </c>
      <c r="C635" s="189">
        <f t="shared" si="40"/>
        <v>42267</v>
      </c>
      <c r="D635" s="189" t="s">
        <v>1305</v>
      </c>
      <c r="E635" s="189">
        <v>42267</v>
      </c>
      <c r="F635" s="190" t="s">
        <v>711</v>
      </c>
      <c r="G635" s="813" t="s">
        <v>1040</v>
      </c>
      <c r="H635" s="191" t="s">
        <v>972</v>
      </c>
      <c r="I635" s="243">
        <v>200</v>
      </c>
      <c r="J635" s="243">
        <v>7000</v>
      </c>
      <c r="K635" s="573">
        <f>ROUND(I635*J635,0)</f>
        <v>1400000</v>
      </c>
      <c r="L635" s="574" t="s">
        <v>250</v>
      </c>
      <c r="M635" s="574" t="s">
        <v>164</v>
      </c>
      <c r="N635" s="51" t="str">
        <f>IF(AND('331-CT'!$E$7=TH!H635,OR(L635="331",M635="331")),"331",IF(AND(OR(L635="131",M635="131"),H635='131-CT'!$E$7),"131",""))</f>
        <v/>
      </c>
      <c r="O635" s="51" t="str">
        <f>IF(AND($B635&gt;='111'!$N$11,$B635&lt;='111'!$O$11,OR($L635=$O$7,$M635=$O$7)),"x","")</f>
        <v/>
      </c>
      <c r="P635" s="51" t="str">
        <f>IF(AND($L635=$O$7,$B635&lt;'111'!$N$11),"x","")</f>
        <v/>
      </c>
      <c r="Q635" s="51" t="str">
        <f>IF(AND($M635=$O$7,$B635&lt;'111'!$N$11),"x","")</f>
        <v/>
      </c>
      <c r="R635" s="51" t="str">
        <f>IF(ISERROR(FIND('112'!$M$9,G635,1)),"",IF((AND(FIND('112'!$M$9,G635,1)&gt;=1,$B635&gt;='112'!$N$8,$B635&lt;='112'!$O$8,OR($L635='112'!$I$6,$M635='112'!$I$6))),"x",""))</f>
        <v/>
      </c>
      <c r="S635" s="51" t="str">
        <f>IF(ISERROR(FIND('112'!$M$9,G635,1)),"",IF((AND(LEFT(G635,2)=LEFT('112'!$M$9,2),B635&lt;'112'!$N$8,$L635='112'!$I$6)),"x",""))</f>
        <v/>
      </c>
      <c r="T635" s="51" t="str">
        <f>IF(ISERROR(FIND('112'!$M$9,G635,1)),"",IF((AND(RIGHT(G635,2)=RIGHT('112'!$M$9,2),B635&lt;'112'!$N$8,$M635='112'!$I$6)),"x",""))</f>
        <v/>
      </c>
      <c r="U635" s="51" t="str">
        <f>IF(AND(L635="154",'154'!$O$5&lt;=B635,'154'!$P$5&gt;=B635),"154",IF(AND(L635="632",'632'!$L$5&lt;=B635,'632'!$M$5&gt;=B635),"632",IF(AND(L635="642",'642'!$N$5&lt;=B635,'642'!$O$5&gt;=B635),"642",IF(AND(L635="641",'641'!$N$5&lt;=B635,'641'!$O$5&gt;=B635),"641",""))))</f>
        <v/>
      </c>
      <c r="V635" s="51" t="str">
        <f>IF(OR(TH!L635=TH!$V$7,M635=TH!$V$7),"x","")</f>
        <v/>
      </c>
      <c r="W635" s="51" t="str">
        <f>IF(AND(B635&gt;='IN-NX'!$P$3,B635&lt;='IN-NX'!$Q$3,'IN-NX'!$D$7=D635,OR(LEFT(L635,2)="15",AND(LEFT(M635,2)&lt;&gt;"15",LEFT(M635,2)&lt;&gt;"33"))),"x","")</f>
        <v/>
      </c>
      <c r="X635" s="51" t="str">
        <f>IF(AND(OR(LEFT(TH!L635,2)="15",LEFT(TH!M635,2)="15"),'152-CT'!$J$8=TH!F635),"x","")</f>
        <v/>
      </c>
      <c r="Y635" s="51" t="str">
        <f>IF(AND(OR(LEFT(TH!L635,2)="15",LEFT(TH!M635,2)="15"),TK!$E$7=TH!F635),"x","")</f>
        <v/>
      </c>
      <c r="Z635" s="51" t="str">
        <f>IF(AND(B635&lt;=NKC!$N$8,B635&gt;=NKC!$M$8),"x","")</f>
        <v>x</v>
      </c>
      <c r="AA635" s="803"/>
      <c r="AB635" s="565"/>
    </row>
    <row r="636" spans="1:28" ht="15.75" customHeight="1">
      <c r="A636" s="804" t="str">
        <f>IF(B636&lt;&gt;"",IF(AND(B636&gt;=_TM1,B636&lt;=_TM2,OR(TH!L636="1111",TH!M636="1111")),TH!D636,""),"")</f>
        <v/>
      </c>
      <c r="B636" s="36">
        <f t="shared" si="39"/>
        <v>9</v>
      </c>
      <c r="C636" s="189">
        <f t="shared" si="40"/>
        <v>42267</v>
      </c>
      <c r="D636" s="189" t="s">
        <v>1305</v>
      </c>
      <c r="E636" s="189">
        <v>42267</v>
      </c>
      <c r="F636" s="190" t="s">
        <v>962</v>
      </c>
      <c r="G636" s="813" t="s">
        <v>1040</v>
      </c>
      <c r="H636" s="191" t="s">
        <v>972</v>
      </c>
      <c r="I636" s="243"/>
      <c r="J636" s="243"/>
      <c r="K636" s="573">
        <v>140000</v>
      </c>
      <c r="L636" s="574" t="s">
        <v>250</v>
      </c>
      <c r="M636" s="574" t="s">
        <v>352</v>
      </c>
      <c r="N636" s="51" t="str">
        <f>IF(AND('331-CT'!$E$7=TH!H636,OR(L636="331",M636="331")),"331",IF(AND(OR(L636="131",M636="131"),H636='131-CT'!$E$7),"131",""))</f>
        <v/>
      </c>
      <c r="O636" s="51" t="str">
        <f>IF(AND($B636&gt;='111'!$N$11,$B636&lt;='111'!$O$11,OR($L636=$O$7,$M636=$O$7)),"x","")</f>
        <v/>
      </c>
      <c r="P636" s="51" t="str">
        <f>IF(AND($L636=$O$7,$B636&lt;'111'!$N$11),"x","")</f>
        <v/>
      </c>
      <c r="Q636" s="51" t="str">
        <f>IF(AND($M636=$O$7,$B636&lt;'111'!$N$11),"x","")</f>
        <v/>
      </c>
      <c r="R636" s="51" t="str">
        <f>IF(ISERROR(FIND('112'!$M$9,G636,1)),"",IF((AND(FIND('112'!$M$9,G636,1)&gt;=1,$B636&gt;='112'!$N$8,$B636&lt;='112'!$O$8,OR($L636='112'!$I$6,$M636='112'!$I$6))),"x",""))</f>
        <v/>
      </c>
      <c r="S636" s="51" t="str">
        <f>IF(ISERROR(FIND('112'!$M$9,G636,1)),"",IF((AND(LEFT(G636,2)=LEFT('112'!$M$9,2),B636&lt;'112'!$N$8,$L636='112'!$I$6)),"x",""))</f>
        <v/>
      </c>
      <c r="T636" s="51" t="str">
        <f>IF(ISERROR(FIND('112'!$M$9,G636,1)),"",IF((AND(RIGHT(G636,2)=RIGHT('112'!$M$9,2),B636&lt;'112'!$N$8,$M636='112'!$I$6)),"x",""))</f>
        <v/>
      </c>
      <c r="U636" s="51" t="str">
        <f>IF(AND(L636="154",'154'!$O$5&lt;=B636,'154'!$P$5&gt;=B636),"154",IF(AND(L636="632",'632'!$L$5&lt;=B636,'632'!$M$5&gt;=B636),"632",IF(AND(L636="642",'642'!$N$5&lt;=B636,'642'!$O$5&gt;=B636),"642",IF(AND(L636="641",'641'!$N$5&lt;=B636,'641'!$O$5&gt;=B636),"641",""))))</f>
        <v/>
      </c>
      <c r="V636" s="51" t="str">
        <f>IF(OR(TH!L636=TH!$V$7,M636=TH!$V$7),"x","")</f>
        <v/>
      </c>
      <c r="W636" s="51" t="str">
        <f>IF(AND(B636&gt;='IN-NX'!$P$3,B636&lt;='IN-NX'!$Q$3,'IN-NX'!$D$7=D636,OR(LEFT(L636,2)="15",AND(LEFT(M636,2)&lt;&gt;"15",LEFT(M636,2)&lt;&gt;"33"))),"x","")</f>
        <v/>
      </c>
      <c r="X636" s="51" t="str">
        <f>IF(AND(OR(LEFT(TH!L636,2)="15",LEFT(TH!M636,2)="15"),'152-CT'!$J$8=TH!F636),"x","")</f>
        <v/>
      </c>
      <c r="Y636" s="51" t="str">
        <f>IF(AND(OR(LEFT(TH!L636,2)="15",LEFT(TH!M636,2)="15"),TK!$E$7=TH!F636),"x","")</f>
        <v/>
      </c>
      <c r="Z636" s="51" t="str">
        <f>IF(AND(B636&lt;=NKC!$N$8,B636&gt;=NKC!$M$8),"x","")</f>
        <v>x</v>
      </c>
      <c r="AA636" s="803"/>
      <c r="AB636" s="565"/>
    </row>
    <row r="637" spans="1:28" ht="15.75" customHeight="1">
      <c r="A637" s="804" t="str">
        <f>IF(B637&lt;&gt;"",IF(AND(B637&gt;=_TM1,B637&lt;=_TM2,OR(TH!L637="1111",TH!M637="1111")),TH!D637,""),"")</f>
        <v>T42</v>
      </c>
      <c r="B637" s="36">
        <f t="shared" si="39"/>
        <v>9</v>
      </c>
      <c r="C637" s="189">
        <f t="shared" si="40"/>
        <v>42267</v>
      </c>
      <c r="D637" s="189" t="s">
        <v>1410</v>
      </c>
      <c r="E637" s="189">
        <v>42267</v>
      </c>
      <c r="F637" s="190" t="s">
        <v>423</v>
      </c>
      <c r="G637" s="813" t="s">
        <v>1040</v>
      </c>
      <c r="H637" s="191" t="s">
        <v>972</v>
      </c>
      <c r="I637" s="243"/>
      <c r="J637" s="243"/>
      <c r="K637" s="573">
        <f>K635+K636</f>
        <v>1540000</v>
      </c>
      <c r="L637" s="574" t="s">
        <v>47</v>
      </c>
      <c r="M637" s="574" t="s">
        <v>250</v>
      </c>
      <c r="N637" s="51" t="str">
        <f>IF(AND('331-CT'!$E$7=TH!H637,OR(L637="331",M637="331")),"331",IF(AND(OR(L637="131",M637="131"),H637='131-CT'!$E$7),"131",""))</f>
        <v/>
      </c>
      <c r="O637" s="51" t="str">
        <f>IF(AND($B637&gt;='111'!$N$11,$B637&lt;='111'!$O$11,OR($L637=$O$7,$M637=$O$7)),"x","")</f>
        <v/>
      </c>
      <c r="P637" s="51" t="str">
        <f>IF(AND($L637=$O$7,$B637&lt;'111'!$N$11),"x","")</f>
        <v>x</v>
      </c>
      <c r="Q637" s="51" t="str">
        <f>IF(AND($M637=$O$7,$B637&lt;'111'!$N$11),"x","")</f>
        <v/>
      </c>
      <c r="R637" s="51" t="str">
        <f>IF(ISERROR(FIND('112'!$M$9,G637,1)),"",IF((AND(FIND('112'!$M$9,G637,1)&gt;=1,$B637&gt;='112'!$N$8,$B637&lt;='112'!$O$8,OR($L637='112'!$I$6,$M637='112'!$I$6))),"x",""))</f>
        <v/>
      </c>
      <c r="S637" s="51" t="str">
        <f>IF(ISERROR(FIND('112'!$M$9,G637,1)),"",IF((AND(LEFT(G637,2)=LEFT('112'!$M$9,2),B637&lt;'112'!$N$8,$L637='112'!$I$6)),"x",""))</f>
        <v/>
      </c>
      <c r="T637" s="51" t="str">
        <f>IF(ISERROR(FIND('112'!$M$9,G637,1)),"",IF((AND(RIGHT(G637,2)=RIGHT('112'!$M$9,2),B637&lt;'112'!$N$8,$M637='112'!$I$6)),"x",""))</f>
        <v/>
      </c>
      <c r="U637" s="51" t="str">
        <f>IF(AND(L637="154",'154'!$O$5&lt;=B637,'154'!$P$5&gt;=B637),"154",IF(AND(L637="632",'632'!$L$5&lt;=B637,'632'!$M$5&gt;=B637),"632",IF(AND(L637="642",'642'!$N$5&lt;=B637,'642'!$O$5&gt;=B637),"642",IF(AND(L637="641",'641'!$N$5&lt;=B637,'641'!$O$5&gt;=B637),"641",""))))</f>
        <v/>
      </c>
      <c r="V637" s="51" t="str">
        <f>IF(OR(TH!L637=TH!$V$7,M637=TH!$V$7),"x","")</f>
        <v/>
      </c>
      <c r="W637" s="51" t="str">
        <f>IF(AND(B637&gt;='IN-NX'!$P$3,B637&lt;='IN-NX'!$Q$3,'IN-NX'!$D$7=D637,OR(LEFT(L637,2)="15",AND(LEFT(M637,2)&lt;&gt;"15",LEFT(M637,2)&lt;&gt;"33"))),"x","")</f>
        <v/>
      </c>
      <c r="X637" s="51" t="str">
        <f>IF(AND(OR(LEFT(TH!L637,2)="15",LEFT(TH!M637,2)="15"),'152-CT'!$J$8=TH!F637),"x","")</f>
        <v/>
      </c>
      <c r="Y637" s="51" t="str">
        <f>IF(AND(OR(LEFT(TH!L637,2)="15",LEFT(TH!M637,2)="15"),TK!$E$7=TH!F637),"x","")</f>
        <v/>
      </c>
      <c r="Z637" s="51" t="str">
        <f>IF(AND(B637&lt;=NKC!$N$8,B637&gt;=NKC!$M$8),"x","")</f>
        <v>x</v>
      </c>
      <c r="AA637" s="803"/>
      <c r="AB637" s="565"/>
    </row>
    <row r="638" spans="1:28" ht="15.75" customHeight="1">
      <c r="A638" s="804" t="str">
        <f>IF(B638&lt;&gt;"",IF(AND(B638&gt;=_TM1,B638&lt;=_TM2,OR(TH!L638="1111",TH!M638="1111")),TH!D638,""),"")</f>
        <v/>
      </c>
      <c r="B638" s="36">
        <f t="shared" si="39"/>
        <v>9</v>
      </c>
      <c r="C638" s="189">
        <f t="shared" si="40"/>
        <v>42267</v>
      </c>
      <c r="D638" s="189" t="s">
        <v>1306</v>
      </c>
      <c r="E638" s="189">
        <v>42267</v>
      </c>
      <c r="F638" s="190" t="s">
        <v>701</v>
      </c>
      <c r="G638" s="813" t="s">
        <v>1041</v>
      </c>
      <c r="H638" s="191" t="s">
        <v>1042</v>
      </c>
      <c r="I638" s="243">
        <v>150</v>
      </c>
      <c r="J638" s="243">
        <v>310000</v>
      </c>
      <c r="K638" s="573">
        <f>ROUND(I638*J638,0)</f>
        <v>46500000</v>
      </c>
      <c r="L638" s="574" t="s">
        <v>250</v>
      </c>
      <c r="M638" s="574" t="s">
        <v>164</v>
      </c>
      <c r="N638" s="51" t="str">
        <f>IF(AND('331-CT'!$E$7=TH!H638,OR(L638="331",M638="331")),"331",IF(AND(OR(L638="131",M638="131"),H638='131-CT'!$E$7),"131",""))</f>
        <v/>
      </c>
      <c r="O638" s="51" t="str">
        <f>IF(AND($B638&gt;='111'!$N$11,$B638&lt;='111'!$O$11,OR($L638=$O$7,$M638=$O$7)),"x","")</f>
        <v/>
      </c>
      <c r="P638" s="51" t="str">
        <f>IF(AND($L638=$O$7,$B638&lt;'111'!$N$11),"x","")</f>
        <v/>
      </c>
      <c r="Q638" s="51" t="str">
        <f>IF(AND($M638=$O$7,$B638&lt;'111'!$N$11),"x","")</f>
        <v/>
      </c>
      <c r="R638" s="51" t="str">
        <f>IF(ISERROR(FIND('112'!$M$9,G638,1)),"",IF((AND(FIND('112'!$M$9,G638,1)&gt;=1,$B638&gt;='112'!$N$8,$B638&lt;='112'!$O$8,OR($L638='112'!$I$6,$M638='112'!$I$6))),"x",""))</f>
        <v/>
      </c>
      <c r="S638" s="51" t="str">
        <f>IF(ISERROR(FIND('112'!$M$9,G638,1)),"",IF((AND(LEFT(G638,2)=LEFT('112'!$M$9,2),B638&lt;'112'!$N$8,$L638='112'!$I$6)),"x",""))</f>
        <v/>
      </c>
      <c r="T638" s="51" t="str">
        <f>IF(ISERROR(FIND('112'!$M$9,G638,1)),"",IF((AND(RIGHT(G638,2)=RIGHT('112'!$M$9,2),B638&lt;'112'!$N$8,$M638='112'!$I$6)),"x",""))</f>
        <v/>
      </c>
      <c r="U638" s="51" t="str">
        <f>IF(AND(L638="154",'154'!$O$5&lt;=B638,'154'!$P$5&gt;=B638),"154",IF(AND(L638="632",'632'!$L$5&lt;=B638,'632'!$M$5&gt;=B638),"632",IF(AND(L638="642",'642'!$N$5&lt;=B638,'642'!$O$5&gt;=B638),"642",IF(AND(L638="641",'641'!$N$5&lt;=B638,'641'!$O$5&gt;=B638),"641",""))))</f>
        <v/>
      </c>
      <c r="V638" s="51" t="str">
        <f>IF(OR(TH!L638=TH!$V$7,M638=TH!$V$7),"x","")</f>
        <v/>
      </c>
      <c r="W638" s="51" t="str">
        <f>IF(AND(B638&gt;='IN-NX'!$P$3,B638&lt;='IN-NX'!$Q$3,'IN-NX'!$D$7=D638,OR(LEFT(L638,2)="15",AND(LEFT(M638,2)&lt;&gt;"15",LEFT(M638,2)&lt;&gt;"33"))),"x","")</f>
        <v/>
      </c>
      <c r="X638" s="51" t="str">
        <f>IF(AND(OR(LEFT(TH!L638,2)="15",LEFT(TH!M638,2)="15"),'152-CT'!$J$8=TH!F638),"x","")</f>
        <v/>
      </c>
      <c r="Y638" s="51" t="str">
        <f>IF(AND(OR(LEFT(TH!L638,2)="15",LEFT(TH!M638,2)="15"),TK!$E$7=TH!F638),"x","")</f>
        <v/>
      </c>
      <c r="Z638" s="51" t="str">
        <f>IF(AND(B638&lt;=NKC!$N$8,B638&gt;=NKC!$M$8),"x","")</f>
        <v>x</v>
      </c>
      <c r="AA638" s="803"/>
      <c r="AB638" s="565"/>
    </row>
    <row r="639" spans="1:28" ht="15.75" customHeight="1">
      <c r="A639" s="804" t="str">
        <f>IF(B639&lt;&gt;"",IF(AND(B639&gt;=_TM1,B639&lt;=_TM2,OR(TH!L639="1111",TH!M639="1111")),TH!D639,""),"")</f>
        <v/>
      </c>
      <c r="B639" s="36">
        <f t="shared" si="39"/>
        <v>9</v>
      </c>
      <c r="C639" s="189">
        <f t="shared" si="40"/>
        <v>42267</v>
      </c>
      <c r="D639" s="189" t="s">
        <v>1306</v>
      </c>
      <c r="E639" s="189">
        <v>42267</v>
      </c>
      <c r="F639" s="190" t="s">
        <v>709</v>
      </c>
      <c r="G639" s="813" t="s">
        <v>1041</v>
      </c>
      <c r="H639" s="191" t="s">
        <v>1042</v>
      </c>
      <c r="I639" s="243">
        <v>20</v>
      </c>
      <c r="J639" s="243">
        <v>18000</v>
      </c>
      <c r="K639" s="573">
        <f>ROUND(I639*J639,0)</f>
        <v>360000</v>
      </c>
      <c r="L639" s="574" t="s">
        <v>250</v>
      </c>
      <c r="M639" s="574" t="s">
        <v>164</v>
      </c>
      <c r="N639" s="51" t="str">
        <f>IF(AND('331-CT'!$E$7=TH!H639,OR(L639="331",M639="331")),"331",IF(AND(OR(L639="131",M639="131"),H639='131-CT'!$E$7),"131",""))</f>
        <v/>
      </c>
      <c r="O639" s="51" t="str">
        <f>IF(AND($B639&gt;='111'!$N$11,$B639&lt;='111'!$O$11,OR($L639=$O$7,$M639=$O$7)),"x","")</f>
        <v/>
      </c>
      <c r="P639" s="51" t="str">
        <f>IF(AND($L639=$O$7,$B639&lt;'111'!$N$11),"x","")</f>
        <v/>
      </c>
      <c r="Q639" s="51" t="str">
        <f>IF(AND($M639=$O$7,$B639&lt;'111'!$N$11),"x","")</f>
        <v/>
      </c>
      <c r="R639" s="51" t="str">
        <f>IF(ISERROR(FIND('112'!$M$9,G639,1)),"",IF((AND(FIND('112'!$M$9,G639,1)&gt;=1,$B639&gt;='112'!$N$8,$B639&lt;='112'!$O$8,OR($L639='112'!$I$6,$M639='112'!$I$6))),"x",""))</f>
        <v/>
      </c>
      <c r="S639" s="51" t="str">
        <f>IF(ISERROR(FIND('112'!$M$9,G639,1)),"",IF((AND(LEFT(G639,2)=LEFT('112'!$M$9,2),B639&lt;'112'!$N$8,$L639='112'!$I$6)),"x",""))</f>
        <v/>
      </c>
      <c r="T639" s="51" t="str">
        <f>IF(ISERROR(FIND('112'!$M$9,G639,1)),"",IF((AND(RIGHT(G639,2)=RIGHT('112'!$M$9,2),B639&lt;'112'!$N$8,$M639='112'!$I$6)),"x",""))</f>
        <v/>
      </c>
      <c r="U639" s="51" t="str">
        <f>IF(AND(L639="154",'154'!$O$5&lt;=B639,'154'!$P$5&gt;=B639),"154",IF(AND(L639="632",'632'!$L$5&lt;=B639,'632'!$M$5&gt;=B639),"632",IF(AND(L639="642",'642'!$N$5&lt;=B639,'642'!$O$5&gt;=B639),"642",IF(AND(L639="641",'641'!$N$5&lt;=B639,'641'!$O$5&gt;=B639),"641",""))))</f>
        <v/>
      </c>
      <c r="V639" s="51" t="str">
        <f>IF(OR(TH!L639=TH!$V$7,M639=TH!$V$7),"x","")</f>
        <v/>
      </c>
      <c r="W639" s="51" t="str">
        <f>IF(AND(B639&gt;='IN-NX'!$P$3,B639&lt;='IN-NX'!$Q$3,'IN-NX'!$D$7=D639,OR(LEFT(L639,2)="15",AND(LEFT(M639,2)&lt;&gt;"15",LEFT(M639,2)&lt;&gt;"33"))),"x","")</f>
        <v/>
      </c>
      <c r="X639" s="51" t="str">
        <f>IF(AND(OR(LEFT(TH!L639,2)="15",LEFT(TH!M639,2)="15"),'152-CT'!$J$8=TH!F639),"x","")</f>
        <v/>
      </c>
      <c r="Y639" s="51" t="str">
        <f>IF(AND(OR(LEFT(TH!L639,2)="15",LEFT(TH!M639,2)="15"),TK!$E$7=TH!F639),"x","")</f>
        <v/>
      </c>
      <c r="Z639" s="51" t="str">
        <f>IF(AND(B639&lt;=NKC!$N$8,B639&gt;=NKC!$M$8),"x","")</f>
        <v>x</v>
      </c>
      <c r="AA639" s="803"/>
      <c r="AB639" s="565"/>
    </row>
    <row r="640" spans="1:28" ht="15.75" customHeight="1">
      <c r="A640" s="804" t="str">
        <f>IF(B640&lt;&gt;"",IF(AND(B640&gt;=_TM1,B640&lt;=_TM2,OR(TH!L640="1111",TH!M640="1111")),TH!D640,""),"")</f>
        <v/>
      </c>
      <c r="B640" s="36">
        <f t="shared" si="39"/>
        <v>9</v>
      </c>
      <c r="C640" s="189">
        <f t="shared" si="40"/>
        <v>42267</v>
      </c>
      <c r="D640" s="189" t="s">
        <v>1306</v>
      </c>
      <c r="E640" s="189">
        <v>42267</v>
      </c>
      <c r="F640" s="926" t="s">
        <v>962</v>
      </c>
      <c r="G640" s="813" t="s">
        <v>1041</v>
      </c>
      <c r="H640" s="191" t="s">
        <v>1042</v>
      </c>
      <c r="I640" s="243"/>
      <c r="J640" s="243"/>
      <c r="K640" s="573">
        <v>4686000</v>
      </c>
      <c r="L640" s="574" t="s">
        <v>250</v>
      </c>
      <c r="M640" s="574" t="s">
        <v>352</v>
      </c>
      <c r="N640" s="51" t="str">
        <f>IF(AND('331-CT'!$E$7=TH!H640,OR(L640="331",M640="331")),"331",IF(AND(OR(L640="131",M640="131"),H640='131-CT'!$E$7),"131",""))</f>
        <v/>
      </c>
      <c r="O640" s="51" t="str">
        <f>IF(AND($B640&gt;='111'!$N$11,$B640&lt;='111'!$O$11,OR($L640=$O$7,$M640=$O$7)),"x","")</f>
        <v/>
      </c>
      <c r="P640" s="51" t="str">
        <f>IF(AND($L640=$O$7,$B640&lt;'111'!$N$11),"x","")</f>
        <v/>
      </c>
      <c r="Q640" s="51" t="str">
        <f>IF(AND($M640=$O$7,$B640&lt;'111'!$N$11),"x","")</f>
        <v/>
      </c>
      <c r="R640" s="51" t="str">
        <f>IF(ISERROR(FIND('112'!$M$9,G640,1)),"",IF((AND(FIND('112'!$M$9,G640,1)&gt;=1,$B640&gt;='112'!$N$8,$B640&lt;='112'!$O$8,OR($L640='112'!$I$6,$M640='112'!$I$6))),"x",""))</f>
        <v/>
      </c>
      <c r="S640" s="51" t="str">
        <f>IF(ISERROR(FIND('112'!$M$9,G640,1)),"",IF((AND(LEFT(G640,2)=LEFT('112'!$M$9,2),B640&lt;'112'!$N$8,$L640='112'!$I$6)),"x",""))</f>
        <v/>
      </c>
      <c r="T640" s="51" t="str">
        <f>IF(ISERROR(FIND('112'!$M$9,G640,1)),"",IF((AND(RIGHT(G640,2)=RIGHT('112'!$M$9,2),B640&lt;'112'!$N$8,$M640='112'!$I$6)),"x",""))</f>
        <v/>
      </c>
      <c r="U640" s="51" t="str">
        <f>IF(AND(L640="154",'154'!$O$5&lt;=B640,'154'!$P$5&gt;=B640),"154",IF(AND(L640="632",'632'!$L$5&lt;=B640,'632'!$M$5&gt;=B640),"632",IF(AND(L640="642",'642'!$N$5&lt;=B640,'642'!$O$5&gt;=B640),"642",IF(AND(L640="641",'641'!$N$5&lt;=B640,'641'!$O$5&gt;=B640),"641",""))))</f>
        <v/>
      </c>
      <c r="V640" s="51" t="str">
        <f>IF(OR(TH!L640=TH!$V$7,M640=TH!$V$7),"x","")</f>
        <v/>
      </c>
      <c r="W640" s="51" t="str">
        <f>IF(AND(B640&gt;='IN-NX'!$P$3,B640&lt;='IN-NX'!$Q$3,'IN-NX'!$D$7=D640,OR(LEFT(L640,2)="15",AND(LEFT(M640,2)&lt;&gt;"15",LEFT(M640,2)&lt;&gt;"33"))),"x","")</f>
        <v/>
      </c>
      <c r="X640" s="51" t="str">
        <f>IF(AND(OR(LEFT(TH!L640,2)="15",LEFT(TH!M640,2)="15"),'152-CT'!$J$8=TH!F640),"x","")</f>
        <v/>
      </c>
      <c r="Y640" s="51" t="str">
        <f>IF(AND(OR(LEFT(TH!L640,2)="15",LEFT(TH!M640,2)="15"),TK!$E$7=TH!F640),"x","")</f>
        <v/>
      </c>
      <c r="Z640" s="51" t="str">
        <f>IF(AND(B640&lt;=NKC!$N$8,B640&gt;=NKC!$M$8),"x","")</f>
        <v>x</v>
      </c>
      <c r="AA640" s="803"/>
      <c r="AB640" s="565"/>
    </row>
    <row r="641" spans="1:31" ht="15.75" customHeight="1">
      <c r="A641" s="804" t="str">
        <f>IF(B641&lt;&gt;"",IF(AND(B641&gt;=_TM1,B641&lt;=_TM2,OR(TH!L641="1111",TH!M641="1111")),TH!D641,""),"")</f>
        <v>T43</v>
      </c>
      <c r="B641" s="36">
        <f t="shared" si="39"/>
        <v>9</v>
      </c>
      <c r="C641" s="189">
        <f t="shared" si="40"/>
        <v>42267</v>
      </c>
      <c r="D641" s="189" t="s">
        <v>1413</v>
      </c>
      <c r="E641" s="189">
        <v>42267</v>
      </c>
      <c r="F641" s="922" t="s">
        <v>423</v>
      </c>
      <c r="G641" s="813" t="s">
        <v>1041</v>
      </c>
      <c r="H641" s="191" t="s">
        <v>1042</v>
      </c>
      <c r="I641" s="243"/>
      <c r="J641" s="243"/>
      <c r="K641" s="573">
        <v>51546000</v>
      </c>
      <c r="L641" s="574" t="s">
        <v>47</v>
      </c>
      <c r="M641" s="574" t="s">
        <v>250</v>
      </c>
      <c r="N641" s="51" t="str">
        <f>IF(AND('331-CT'!$E$7=TH!H641,OR(L641="331",M641="331")),"331",IF(AND(OR(L641="131",M641="131"),H641='131-CT'!$E$7),"131",""))</f>
        <v/>
      </c>
      <c r="O641" s="51" t="str">
        <f>IF(AND($B641&gt;='111'!$N$11,$B641&lt;='111'!$O$11,OR($L641=$O$7,$M641=$O$7)),"x","")</f>
        <v/>
      </c>
      <c r="P641" s="51" t="str">
        <f>IF(AND($L641=$O$7,$B641&lt;'111'!$N$11),"x","")</f>
        <v>x</v>
      </c>
      <c r="Q641" s="51" t="str">
        <f>IF(AND($M641=$O$7,$B641&lt;'111'!$N$11),"x","")</f>
        <v/>
      </c>
      <c r="R641" s="51" t="str">
        <f>IF(ISERROR(FIND('112'!$M$9,G641,1)),"",IF((AND(FIND('112'!$M$9,G641,1)&gt;=1,$B641&gt;='112'!$N$8,$B641&lt;='112'!$O$8,OR($L641='112'!$I$6,$M641='112'!$I$6))),"x",""))</f>
        <v/>
      </c>
      <c r="S641" s="51" t="str">
        <f>IF(ISERROR(FIND('112'!$M$9,G641,1)),"",IF((AND(LEFT(G641,2)=LEFT('112'!$M$9,2),B641&lt;'112'!$N$8,$L641='112'!$I$6)),"x",""))</f>
        <v/>
      </c>
      <c r="T641" s="51" t="str">
        <f>IF(ISERROR(FIND('112'!$M$9,G641,1)),"",IF((AND(RIGHT(G641,2)=RIGHT('112'!$M$9,2),B641&lt;'112'!$N$8,$M641='112'!$I$6)),"x",""))</f>
        <v/>
      </c>
      <c r="U641" s="51" t="str">
        <f>IF(AND(L641="154",'154'!$O$5&lt;=B641,'154'!$P$5&gt;=B641),"154",IF(AND(L641="632",'632'!$L$5&lt;=B641,'632'!$M$5&gt;=B641),"632",IF(AND(L641="642",'642'!$N$5&lt;=B641,'642'!$O$5&gt;=B641),"642",IF(AND(L641="641",'641'!$N$5&lt;=B641,'641'!$O$5&gt;=B641),"641",""))))</f>
        <v/>
      </c>
      <c r="V641" s="51" t="str">
        <f>IF(OR(TH!L641=TH!$V$7,M641=TH!$V$7),"x","")</f>
        <v/>
      </c>
      <c r="W641" s="51" t="str">
        <f>IF(AND(B641&gt;='IN-NX'!$P$3,B641&lt;='IN-NX'!$Q$3,'IN-NX'!$D$7=D641,OR(LEFT(L641,2)="15",AND(LEFT(M641,2)&lt;&gt;"15",LEFT(M641,2)&lt;&gt;"33"))),"x","")</f>
        <v/>
      </c>
      <c r="X641" s="51" t="str">
        <f>IF(AND(OR(LEFT(TH!L641,2)="15",LEFT(TH!M641,2)="15"),'152-CT'!$J$8=TH!F641),"x","")</f>
        <v/>
      </c>
      <c r="Y641" s="51" t="str">
        <f>IF(AND(OR(LEFT(TH!L641,2)="15",LEFT(TH!M641,2)="15"),TK!$E$7=TH!F641),"x","")</f>
        <v/>
      </c>
      <c r="Z641" s="51" t="str">
        <f>IF(AND(B641&lt;=NKC!$N$8,B641&gt;=NKC!$M$8),"x","")</f>
        <v>x</v>
      </c>
      <c r="AA641" s="803"/>
      <c r="AB641" s="565"/>
    </row>
    <row r="642" spans="1:31" ht="15.75" customHeight="1">
      <c r="A642" s="804" t="str">
        <f>IF(B642&lt;&gt;"",IF(AND(B642&gt;=_TM1,B642&lt;=_TM2,OR(TH!L642="1111",TH!M642="1111")),TH!D642,""),"")</f>
        <v/>
      </c>
      <c r="B642" s="36">
        <f t="shared" si="39"/>
        <v>9</v>
      </c>
      <c r="C642" s="189">
        <f t="shared" si="40"/>
        <v>42268</v>
      </c>
      <c r="D642" s="189" t="s">
        <v>1307</v>
      </c>
      <c r="E642" s="189">
        <v>42268</v>
      </c>
      <c r="F642" s="190" t="s">
        <v>621</v>
      </c>
      <c r="G642" s="813" t="s">
        <v>1043</v>
      </c>
      <c r="H642" s="191" t="s">
        <v>413</v>
      </c>
      <c r="I642" s="243">
        <v>1000</v>
      </c>
      <c r="J642" s="243">
        <v>16500</v>
      </c>
      <c r="K642" s="573">
        <f>ROUND(I642*J642,0)</f>
        <v>16500000</v>
      </c>
      <c r="L642" s="574" t="s">
        <v>250</v>
      </c>
      <c r="M642" s="574" t="s">
        <v>164</v>
      </c>
      <c r="N642" s="51" t="str">
        <f>IF(AND('331-CT'!$E$7=TH!H642,OR(L642="331",M642="331")),"331",IF(AND(OR(L642="131",M642="131"),H642='131-CT'!$E$7),"131",""))</f>
        <v/>
      </c>
      <c r="O642" s="51" t="str">
        <f>IF(AND($B642&gt;='111'!$N$11,$B642&lt;='111'!$O$11,OR($L642=$O$7,$M642=$O$7)),"x","")</f>
        <v/>
      </c>
      <c r="P642" s="51" t="str">
        <f>IF(AND($L642=$O$7,$B642&lt;'111'!$N$11),"x","")</f>
        <v/>
      </c>
      <c r="Q642" s="51" t="str">
        <f>IF(AND($M642=$O$7,$B642&lt;'111'!$N$11),"x","")</f>
        <v/>
      </c>
      <c r="R642" s="51" t="str">
        <f>IF(ISERROR(FIND('112'!$M$9,G642,1)),"",IF((AND(FIND('112'!$M$9,G642,1)&gt;=1,$B642&gt;='112'!$N$8,$B642&lt;='112'!$O$8,OR($L642='112'!$I$6,$M642='112'!$I$6))),"x",""))</f>
        <v/>
      </c>
      <c r="S642" s="51" t="str">
        <f>IF(ISERROR(FIND('112'!$M$9,G642,1)),"",IF((AND(LEFT(G642,2)=LEFT('112'!$M$9,2),B642&lt;'112'!$N$8,$L642='112'!$I$6)),"x",""))</f>
        <v/>
      </c>
      <c r="T642" s="51" t="str">
        <f>IF(ISERROR(FIND('112'!$M$9,G642,1)),"",IF((AND(RIGHT(G642,2)=RIGHT('112'!$M$9,2),B642&lt;'112'!$N$8,$M642='112'!$I$6)),"x",""))</f>
        <v/>
      </c>
      <c r="U642" s="51" t="str">
        <f>IF(AND(L642="154",'154'!$O$5&lt;=B642,'154'!$P$5&gt;=B642),"154",IF(AND(L642="632",'632'!$L$5&lt;=B642,'632'!$M$5&gt;=B642),"632",IF(AND(L642="642",'642'!$N$5&lt;=B642,'642'!$O$5&gt;=B642),"642",IF(AND(L642="641",'641'!$N$5&lt;=B642,'641'!$O$5&gt;=B642),"641",""))))</f>
        <v/>
      </c>
      <c r="V642" s="51" t="str">
        <f>IF(OR(TH!L642=TH!$V$7,M642=TH!$V$7),"x","")</f>
        <v/>
      </c>
      <c r="W642" s="51" t="str">
        <f>IF(AND(B642&gt;='IN-NX'!$P$3,B642&lt;='IN-NX'!$Q$3,'IN-NX'!$D$7=D642,OR(LEFT(L642,2)="15",AND(LEFT(M642,2)&lt;&gt;"15",LEFT(M642,2)&lt;&gt;"33"))),"x","")</f>
        <v/>
      </c>
      <c r="X642" s="51" t="str">
        <f>IF(AND(OR(LEFT(TH!L642,2)="15",LEFT(TH!M642,2)="15"),'152-CT'!$J$8=TH!F642),"x","")</f>
        <v/>
      </c>
      <c r="Y642" s="51" t="str">
        <f>IF(AND(OR(LEFT(TH!L642,2)="15",LEFT(TH!M642,2)="15"),TK!$E$7=TH!F642),"x","")</f>
        <v/>
      </c>
      <c r="Z642" s="51" t="str">
        <f>IF(AND(B642&lt;=NKC!$N$8,B642&gt;=NKC!$M$8),"x","")</f>
        <v>x</v>
      </c>
      <c r="AA642" s="803"/>
      <c r="AB642" s="565"/>
    </row>
    <row r="643" spans="1:31" ht="15.75" customHeight="1">
      <c r="A643" s="804" t="str">
        <f>IF(B643&lt;&gt;"",IF(AND(B643&gt;=_TM1,B643&lt;=_TM2,OR(TH!L643="1111",TH!M643="1111")),TH!D643,""),"")</f>
        <v/>
      </c>
      <c r="B643" s="36">
        <f t="shared" si="39"/>
        <v>9</v>
      </c>
      <c r="C643" s="189">
        <f t="shared" si="40"/>
        <v>42268</v>
      </c>
      <c r="D643" s="189" t="s">
        <v>1307</v>
      </c>
      <c r="E643" s="189">
        <v>42268</v>
      </c>
      <c r="F643" s="190" t="s">
        <v>705</v>
      </c>
      <c r="G643" s="813" t="s">
        <v>1043</v>
      </c>
      <c r="H643" s="191" t="s">
        <v>413</v>
      </c>
      <c r="I643" s="243"/>
      <c r="J643" s="243"/>
      <c r="K643" s="573">
        <v>1650000</v>
      </c>
      <c r="L643" s="574" t="s">
        <v>250</v>
      </c>
      <c r="M643" s="574" t="s">
        <v>352</v>
      </c>
      <c r="N643" s="51" t="str">
        <f>IF(AND('331-CT'!$E$7=TH!H643,OR(L643="331",M643="331")),"331",IF(AND(OR(L643="131",M643="131"),H643='131-CT'!$E$7),"131",""))</f>
        <v/>
      </c>
      <c r="O643" s="51" t="str">
        <f>IF(AND($B643&gt;='111'!$N$11,$B643&lt;='111'!$O$11,OR($L643=$O$7,$M643=$O$7)),"x","")</f>
        <v/>
      </c>
      <c r="P643" s="51" t="str">
        <f>IF(AND($L643=$O$7,$B643&lt;'111'!$N$11),"x","")</f>
        <v/>
      </c>
      <c r="Q643" s="51" t="str">
        <f>IF(AND($M643=$O$7,$B643&lt;'111'!$N$11),"x","")</f>
        <v/>
      </c>
      <c r="R643" s="51" t="str">
        <f>IF(ISERROR(FIND('112'!$M$9,G643,1)),"",IF((AND(FIND('112'!$M$9,G643,1)&gt;=1,$B643&gt;='112'!$N$8,$B643&lt;='112'!$O$8,OR($L643='112'!$I$6,$M643='112'!$I$6))),"x",""))</f>
        <v/>
      </c>
      <c r="S643" s="51" t="str">
        <f>IF(ISERROR(FIND('112'!$M$9,G643,1)),"",IF((AND(LEFT(G643,2)=LEFT('112'!$M$9,2),B643&lt;'112'!$N$8,$L643='112'!$I$6)),"x",""))</f>
        <v/>
      </c>
      <c r="T643" s="51" t="str">
        <f>IF(ISERROR(FIND('112'!$M$9,G643,1)),"",IF((AND(RIGHT(G643,2)=RIGHT('112'!$M$9,2),B643&lt;'112'!$N$8,$M643='112'!$I$6)),"x",""))</f>
        <v/>
      </c>
      <c r="U643" s="51" t="str">
        <f>IF(AND(L643="154",'154'!$O$5&lt;=B643,'154'!$P$5&gt;=B643),"154",IF(AND(L643="632",'632'!$L$5&lt;=B643,'632'!$M$5&gt;=B643),"632",IF(AND(L643="642",'642'!$N$5&lt;=B643,'642'!$O$5&gt;=B643),"642",IF(AND(L643="641",'641'!$N$5&lt;=B643,'641'!$O$5&gt;=B643),"641",""))))</f>
        <v/>
      </c>
      <c r="V643" s="51" t="str">
        <f>IF(OR(TH!L643=TH!$V$7,M643=TH!$V$7),"x","")</f>
        <v/>
      </c>
      <c r="W643" s="51" t="str">
        <f>IF(AND(B643&gt;='IN-NX'!$P$3,B643&lt;='IN-NX'!$Q$3,'IN-NX'!$D$7=D643,OR(LEFT(L643,2)="15",AND(LEFT(M643,2)&lt;&gt;"15",LEFT(M643,2)&lt;&gt;"33"))),"x","")</f>
        <v/>
      </c>
      <c r="X643" s="51" t="str">
        <f>IF(AND(OR(LEFT(TH!L643,2)="15",LEFT(TH!M643,2)="15"),'152-CT'!$J$8=TH!F643),"x","")</f>
        <v/>
      </c>
      <c r="Y643" s="51" t="str">
        <f>IF(AND(OR(LEFT(TH!L643,2)="15",LEFT(TH!M643,2)="15"),TK!$E$7=TH!F643),"x","")</f>
        <v/>
      </c>
      <c r="Z643" s="51" t="str">
        <f>IF(AND(B643&lt;=NKC!$N$8,B643&gt;=NKC!$M$8),"x","")</f>
        <v>x</v>
      </c>
      <c r="AA643" s="803"/>
      <c r="AB643" s="565"/>
    </row>
    <row r="644" spans="1:31" ht="15.75" customHeight="1">
      <c r="A644" s="804" t="str">
        <f>IF(B644&lt;&gt;"",IF(AND(B644&gt;=_TM1,B644&lt;=_TM2,OR(TH!L644="1111",TH!M644="1111")),TH!D644,""),"")</f>
        <v>T44</v>
      </c>
      <c r="B644" s="36">
        <f t="shared" si="39"/>
        <v>9</v>
      </c>
      <c r="C644" s="189">
        <f t="shared" si="40"/>
        <v>42268</v>
      </c>
      <c r="D644" s="189" t="s">
        <v>1414</v>
      </c>
      <c r="E644" s="189">
        <v>42268</v>
      </c>
      <c r="F644" s="190" t="s">
        <v>423</v>
      </c>
      <c r="G644" s="813" t="s">
        <v>1043</v>
      </c>
      <c r="H644" s="191" t="s">
        <v>413</v>
      </c>
      <c r="I644" s="243"/>
      <c r="J644" s="243"/>
      <c r="K644" s="573">
        <v>18150000</v>
      </c>
      <c r="L644" s="574" t="s">
        <v>47</v>
      </c>
      <c r="M644" s="574" t="s">
        <v>250</v>
      </c>
      <c r="N644" s="51" t="str">
        <f>IF(AND('331-CT'!$E$7=TH!H644,OR(L644="331",M644="331")),"331",IF(AND(OR(L644="131",M644="131"),H644='131-CT'!$E$7),"131",""))</f>
        <v/>
      </c>
      <c r="O644" s="51" t="str">
        <f>IF(AND($B644&gt;='111'!$N$11,$B644&lt;='111'!$O$11,OR($L644=$O$7,$M644=$O$7)),"x","")</f>
        <v/>
      </c>
      <c r="P644" s="51" t="str">
        <f>IF(AND($L644=$O$7,$B644&lt;'111'!$N$11),"x","")</f>
        <v>x</v>
      </c>
      <c r="Q644" s="51" t="str">
        <f>IF(AND($M644=$O$7,$B644&lt;'111'!$N$11),"x","")</f>
        <v/>
      </c>
      <c r="R644" s="51" t="str">
        <f>IF(ISERROR(FIND('112'!$M$9,G644,1)),"",IF((AND(FIND('112'!$M$9,G644,1)&gt;=1,$B644&gt;='112'!$N$8,$B644&lt;='112'!$O$8,OR($L644='112'!$I$6,$M644='112'!$I$6))),"x",""))</f>
        <v/>
      </c>
      <c r="S644" s="51" t="str">
        <f>IF(ISERROR(FIND('112'!$M$9,G644,1)),"",IF((AND(LEFT(G644,2)=LEFT('112'!$M$9,2),B644&lt;'112'!$N$8,$L644='112'!$I$6)),"x",""))</f>
        <v/>
      </c>
      <c r="T644" s="51" t="str">
        <f>IF(ISERROR(FIND('112'!$M$9,G644,1)),"",IF((AND(RIGHT(G644,2)=RIGHT('112'!$M$9,2),B644&lt;'112'!$N$8,$M644='112'!$I$6)),"x",""))</f>
        <v/>
      </c>
      <c r="U644" s="51" t="str">
        <f>IF(AND(L644="154",'154'!$O$5&lt;=B644,'154'!$P$5&gt;=B644),"154",IF(AND(L644="632",'632'!$L$5&lt;=B644,'632'!$M$5&gt;=B644),"632",IF(AND(L644="642",'642'!$N$5&lt;=B644,'642'!$O$5&gt;=B644),"642",IF(AND(L644="641",'641'!$N$5&lt;=B644,'641'!$O$5&gt;=B644),"641",""))))</f>
        <v/>
      </c>
      <c r="V644" s="51" t="str">
        <f>IF(OR(TH!L644=TH!$V$7,M644=TH!$V$7),"x","")</f>
        <v/>
      </c>
      <c r="W644" s="51" t="str">
        <f>IF(AND(B644&gt;='IN-NX'!$P$3,B644&lt;='IN-NX'!$Q$3,'IN-NX'!$D$7=D644,OR(LEFT(L644,2)="15",AND(LEFT(M644,2)&lt;&gt;"15",LEFT(M644,2)&lt;&gt;"33"))),"x","")</f>
        <v/>
      </c>
      <c r="X644" s="51" t="str">
        <f>IF(AND(OR(LEFT(TH!L644,2)="15",LEFT(TH!M644,2)="15"),'152-CT'!$J$8=TH!F644),"x","")</f>
        <v/>
      </c>
      <c r="Y644" s="51" t="str">
        <f>IF(AND(OR(LEFT(TH!L644,2)="15",LEFT(TH!M644,2)="15"),TK!$E$7=TH!F644),"x","")</f>
        <v/>
      </c>
      <c r="Z644" s="51" t="str">
        <f>IF(AND(B644&lt;=NKC!$N$8,B644&gt;=NKC!$M$8),"x","")</f>
        <v>x</v>
      </c>
      <c r="AA644" s="803"/>
      <c r="AB644" s="565"/>
    </row>
    <row r="645" spans="1:31" ht="15.75" customHeight="1">
      <c r="A645" s="804" t="str">
        <f>IF(B645&lt;&gt;"",IF(AND(B645&gt;=_TM1,B645&lt;=_TM2,OR(TH!L645="1111",TH!M645="1111")),TH!D645,""),"")</f>
        <v/>
      </c>
      <c r="B645" s="36">
        <f t="shared" si="39"/>
        <v>9</v>
      </c>
      <c r="C645" s="189">
        <f t="shared" si="40"/>
        <v>42269</v>
      </c>
      <c r="D645" s="189" t="s">
        <v>421</v>
      </c>
      <c r="E645" s="182">
        <v>42269</v>
      </c>
      <c r="F645" s="190" t="s">
        <v>423</v>
      </c>
      <c r="G645" s="811" t="s">
        <v>415</v>
      </c>
      <c r="H645" s="191" t="s">
        <v>450</v>
      </c>
      <c r="I645" s="243"/>
      <c r="J645" s="243"/>
      <c r="K645" s="573">
        <v>48400000</v>
      </c>
      <c r="L645" s="192" t="s">
        <v>24</v>
      </c>
      <c r="M645" s="192" t="s">
        <v>250</v>
      </c>
      <c r="N645" s="51" t="str">
        <f>IF(AND('331-CT'!$E$7=TH!H645,OR(L645="331",M645="331")),"331",IF(AND(OR(L645="131",M645="131"),H645='131-CT'!$E$7),"131",""))</f>
        <v/>
      </c>
      <c r="O645" s="51" t="str">
        <f>IF(AND($B645&gt;='111'!$N$11,$B645&lt;='111'!$O$11,OR($L645=$O$7,$M645=$O$7)),"x","")</f>
        <v/>
      </c>
      <c r="P645" s="51" t="str">
        <f>IF(AND($L645=$O$7,$B645&lt;'111'!$N$11),"x","")</f>
        <v/>
      </c>
      <c r="Q645" s="51" t="str">
        <f>IF(AND($M645=$O$7,$B645&lt;'111'!$N$11),"x","")</f>
        <v/>
      </c>
      <c r="R645" s="51" t="str">
        <f>IF(ISERROR(FIND('112'!$M$9,G645,1)),"",IF((AND(FIND('112'!$M$9,G645,1)&gt;=1,$B645&gt;='112'!$N$8,$B645&lt;='112'!$O$8,OR($L645='112'!$I$6,$M645='112'!$I$6))),"x",""))</f>
        <v/>
      </c>
      <c r="S645" s="51" t="str">
        <f>IF(ISERROR(FIND('112'!$M$9,G645,1)),"",IF((AND(LEFT(G645,2)=LEFT('112'!$M$9,2),B645&lt;'112'!$N$8,$L645='112'!$I$6)),"x",""))</f>
        <v/>
      </c>
      <c r="T645" s="51" t="str">
        <f>IF(ISERROR(FIND('112'!$M$9,G645,1)),"",IF((AND(RIGHT(G645,2)=RIGHT('112'!$M$9,2),B645&lt;'112'!$N$8,$M645='112'!$I$6)),"x",""))</f>
        <v/>
      </c>
      <c r="U645" s="51" t="str">
        <f>IF(AND(L645="154",'154'!$O$5&lt;=B645,'154'!$P$5&gt;=B645),"154",IF(AND(L645="632",'632'!$L$5&lt;=B645,'632'!$M$5&gt;=B645),"632",IF(AND(L645="642",'642'!$N$5&lt;=B645,'642'!$O$5&gt;=B645),"642",IF(AND(L645="641",'641'!$N$5&lt;=B645,'641'!$O$5&gt;=B645),"641",""))))</f>
        <v/>
      </c>
      <c r="V645" s="51" t="str">
        <f>IF(OR(TH!L645=TH!$V$7,M645=TH!$V$7),"x","")</f>
        <v/>
      </c>
      <c r="W645" s="51" t="str">
        <f>IF(AND(B645&gt;='IN-NX'!$P$3,B645&lt;='IN-NX'!$Q$3,'IN-NX'!$D$7=D645,OR(LEFT(L645,2)="15",AND(LEFT(M645,2)&lt;&gt;"15",LEFT(M645,2)&lt;&gt;"33"))),"x","")</f>
        <v/>
      </c>
      <c r="X645" s="51" t="str">
        <f>IF(AND(OR(LEFT(TH!L645,2)="15",LEFT(TH!M645,2)="15"),'152-CT'!$J$8=TH!F645),"x","")</f>
        <v/>
      </c>
      <c r="Y645" s="51" t="str">
        <f>IF(AND(OR(LEFT(TH!L645,2)="15",LEFT(TH!M645,2)="15"),TK!$E$7=TH!F645),"x","")</f>
        <v/>
      </c>
      <c r="Z645" s="51" t="str">
        <f>IF(AND(B645&lt;=NKC!$N$8,B645&gt;=NKC!$M$8),"x","")</f>
        <v>x</v>
      </c>
      <c r="AA645" s="803"/>
      <c r="AB645" s="565"/>
      <c r="AD645" s="565"/>
      <c r="AE645" s="565"/>
    </row>
    <row r="646" spans="1:31" ht="15.75" customHeight="1">
      <c r="A646" s="804" t="str">
        <f>IF(B646&lt;&gt;"",IF(AND(B646&gt;=_TM1,B646&lt;=_TM2,OR(TH!L646="1111",TH!M646="1111")),TH!D646,""),"")</f>
        <v/>
      </c>
      <c r="B646" s="36">
        <f t="shared" si="39"/>
        <v>9</v>
      </c>
      <c r="C646" s="189">
        <f t="shared" si="40"/>
        <v>42269</v>
      </c>
      <c r="D646" s="189" t="s">
        <v>1417</v>
      </c>
      <c r="E646" s="189">
        <v>42269</v>
      </c>
      <c r="F646" s="190" t="s">
        <v>701</v>
      </c>
      <c r="G646" s="813" t="s">
        <v>707</v>
      </c>
      <c r="H646" s="191" t="s">
        <v>494</v>
      </c>
      <c r="I646" s="243">
        <v>48</v>
      </c>
      <c r="J646" s="243">
        <v>285200</v>
      </c>
      <c r="K646" s="573">
        <f>ROUND(I646*J646,0)</f>
        <v>13689600</v>
      </c>
      <c r="L646" s="574" t="s">
        <v>417</v>
      </c>
      <c r="M646" s="574" t="s">
        <v>8</v>
      </c>
      <c r="N646" s="51" t="str">
        <f>IF(AND('331-CT'!$E$7=TH!H646,OR(L646="331",M646="331")),"331",IF(AND(OR(L646="131",M646="131"),H646='131-CT'!$E$7),"131",""))</f>
        <v/>
      </c>
      <c r="O646" s="51" t="str">
        <f>IF(AND($B646&gt;='111'!$N$11,$B646&lt;='111'!$O$11,OR($L646=$O$7,$M646=$O$7)),"x","")</f>
        <v/>
      </c>
      <c r="P646" s="51" t="str">
        <f>IF(AND($L646=$O$7,$B646&lt;'111'!$N$11),"x","")</f>
        <v/>
      </c>
      <c r="Q646" s="51" t="str">
        <f>IF(AND($M646=$O$7,$B646&lt;'111'!$N$11),"x","")</f>
        <v/>
      </c>
      <c r="R646" s="51" t="str">
        <f>IF(ISERROR(FIND('112'!$M$9,G646,1)),"",IF((AND(FIND('112'!$M$9,G646,1)&gt;=1,$B646&gt;='112'!$N$8,$B646&lt;='112'!$O$8,OR($L646='112'!$I$6,$M646='112'!$I$6))),"x",""))</f>
        <v/>
      </c>
      <c r="S646" s="51" t="str">
        <f>IF(ISERROR(FIND('112'!$M$9,G646,1)),"",IF((AND(LEFT(G646,2)=LEFT('112'!$M$9,2),B646&lt;'112'!$N$8,$L646='112'!$I$6)),"x",""))</f>
        <v/>
      </c>
      <c r="T646" s="51" t="str">
        <f>IF(ISERROR(FIND('112'!$M$9,G646,1)),"",IF((AND(RIGHT(G646,2)=RIGHT('112'!$M$9,2),B646&lt;'112'!$N$8,$M646='112'!$I$6)),"x",""))</f>
        <v/>
      </c>
      <c r="U646" s="51" t="str">
        <f>IF(AND(L646="154",'154'!$O$5&lt;=B646,'154'!$P$5&gt;=B646),"154",IF(AND(L646="632",'632'!$L$5&lt;=B646,'632'!$M$5&gt;=B646),"632",IF(AND(L646="642",'642'!$N$5&lt;=B646,'642'!$O$5&gt;=B646),"642",IF(AND(L646="641",'641'!$N$5&lt;=B646,'641'!$O$5&gt;=B646),"641",""))))</f>
        <v/>
      </c>
      <c r="V646" s="51" t="str">
        <f>IF(OR(TH!L646=TH!$V$7,M646=TH!$V$7),"x","")</f>
        <v/>
      </c>
      <c r="W646" s="51" t="str">
        <f>IF(AND(B646&gt;='IN-NX'!$P$3,B646&lt;='IN-NX'!$Q$3,'IN-NX'!$D$7=D646,OR(LEFT(L646,2)="15",AND(LEFT(M646,2)&lt;&gt;"15",LEFT(M646,2)&lt;&gt;"33"))),"x","")</f>
        <v/>
      </c>
      <c r="X646" s="51" t="str">
        <f>IF(AND(OR(LEFT(TH!L646,2)="15",LEFT(TH!M646,2)="15"),'152-CT'!$J$8=TH!F646),"x","")</f>
        <v/>
      </c>
      <c r="Y646" s="51" t="str">
        <f>IF(AND(OR(LEFT(TH!L646,2)="15",LEFT(TH!M646,2)="15"),TK!$E$7=TH!F646),"x","")</f>
        <v/>
      </c>
      <c r="Z646" s="51" t="str">
        <f>IF(AND(B646&lt;=NKC!$N$8,B646&gt;=NKC!$M$8),"x","")</f>
        <v>x</v>
      </c>
      <c r="AA646" s="803"/>
      <c r="AB646" s="565"/>
    </row>
    <row r="647" spans="1:31" ht="15.75" customHeight="1">
      <c r="A647" s="804" t="str">
        <f>IF(B647&lt;&gt;"",IF(AND(B647&gt;=_TM1,B647&lt;=_TM2,OR(TH!L647="1111",TH!M647="1111")),TH!D647,""),"")</f>
        <v/>
      </c>
      <c r="B647" s="36">
        <f t="shared" si="39"/>
        <v>9</v>
      </c>
      <c r="C647" s="189">
        <f t="shared" si="40"/>
        <v>42269</v>
      </c>
      <c r="D647" s="189" t="s">
        <v>1417</v>
      </c>
      <c r="E647" s="189">
        <v>42269</v>
      </c>
      <c r="F647" s="190" t="s">
        <v>496</v>
      </c>
      <c r="G647" s="813" t="s">
        <v>707</v>
      </c>
      <c r="H647" s="191" t="s">
        <v>494</v>
      </c>
      <c r="I647" s="243"/>
      <c r="J647" s="243"/>
      <c r="K647" s="573">
        <v>1368960</v>
      </c>
      <c r="L647" s="574" t="s">
        <v>9</v>
      </c>
      <c r="M647" s="574" t="s">
        <v>8</v>
      </c>
      <c r="N647" s="51" t="str">
        <f>IF(AND('331-CT'!$E$7=TH!H647,OR(L647="331",M647="331")),"331",IF(AND(OR(L647="131",M647="131"),H647='131-CT'!$E$7),"131",""))</f>
        <v/>
      </c>
      <c r="O647" s="51" t="str">
        <f>IF(AND($B647&gt;='111'!$N$11,$B647&lt;='111'!$O$11,OR($L647=$O$7,$M647=$O$7)),"x","")</f>
        <v/>
      </c>
      <c r="P647" s="51" t="str">
        <f>IF(AND($L647=$O$7,$B647&lt;'111'!$N$11),"x","")</f>
        <v/>
      </c>
      <c r="Q647" s="51" t="str">
        <f>IF(AND($M647=$O$7,$B647&lt;'111'!$N$11),"x","")</f>
        <v/>
      </c>
      <c r="R647" s="51" t="str">
        <f>IF(ISERROR(FIND('112'!$M$9,G647,1)),"",IF((AND(FIND('112'!$M$9,G647,1)&gt;=1,$B647&gt;='112'!$N$8,$B647&lt;='112'!$O$8,OR($L647='112'!$I$6,$M647='112'!$I$6))),"x",""))</f>
        <v/>
      </c>
      <c r="S647" s="51" t="str">
        <f>IF(ISERROR(FIND('112'!$M$9,G647,1)),"",IF((AND(LEFT(G647,2)=LEFT('112'!$M$9,2),B647&lt;'112'!$N$8,$L647='112'!$I$6)),"x",""))</f>
        <v/>
      </c>
      <c r="T647" s="51" t="str">
        <f>IF(ISERROR(FIND('112'!$M$9,G647,1)),"",IF((AND(RIGHT(G647,2)=RIGHT('112'!$M$9,2),B647&lt;'112'!$N$8,$M647='112'!$I$6)),"x",""))</f>
        <v/>
      </c>
      <c r="U647" s="51" t="str">
        <f>IF(AND(L647="154",'154'!$O$5&lt;=B647,'154'!$P$5&gt;=B647),"154",IF(AND(L647="632",'632'!$L$5&lt;=B647,'632'!$M$5&gt;=B647),"632",IF(AND(L647="642",'642'!$N$5&lt;=B647,'642'!$O$5&gt;=B647),"642",IF(AND(L647="641",'641'!$N$5&lt;=B647,'641'!$O$5&gt;=B647),"641",""))))</f>
        <v/>
      </c>
      <c r="V647" s="51" t="str">
        <f>IF(OR(TH!L647=TH!$V$7,M647=TH!$V$7),"x","")</f>
        <v/>
      </c>
      <c r="W647" s="51" t="str">
        <f>IF(AND(B647&gt;='IN-NX'!$P$3,B647&lt;='IN-NX'!$Q$3,'IN-NX'!$D$7=D647,OR(LEFT(L647,2)="15",AND(LEFT(M647,2)&lt;&gt;"15",LEFT(M647,2)&lt;&gt;"33"))),"x","")</f>
        <v/>
      </c>
      <c r="X647" s="51" t="str">
        <f>IF(AND(OR(LEFT(TH!L647,2)="15",LEFT(TH!M647,2)="15"),'152-CT'!$J$8=TH!F647),"x","")</f>
        <v/>
      </c>
      <c r="Y647" s="51" t="str">
        <f>IF(AND(OR(LEFT(TH!L647,2)="15",LEFT(TH!M647,2)="15"),TK!$E$7=TH!F647),"x","")</f>
        <v/>
      </c>
      <c r="Z647" s="51" t="str">
        <f>IF(AND(B647&lt;=NKC!$N$8,B647&gt;=NKC!$M$8),"x","")</f>
        <v>x</v>
      </c>
      <c r="AA647" s="803">
        <v>3</v>
      </c>
      <c r="AB647" s="565"/>
    </row>
    <row r="648" spans="1:31" ht="15.75" customHeight="1">
      <c r="A648" s="804" t="str">
        <f>IF(B648&lt;&gt;"",IF(AND(B648&gt;=_TM1,B648&lt;=_TM2,OR(TH!L648="1111",TH!M648="1111")),TH!D648,""),"")</f>
        <v>C28</v>
      </c>
      <c r="B648" s="36">
        <f t="shared" si="39"/>
        <v>9</v>
      </c>
      <c r="C648" s="189">
        <f t="shared" si="40"/>
        <v>42269</v>
      </c>
      <c r="D648" s="189" t="s">
        <v>1407</v>
      </c>
      <c r="E648" s="189">
        <v>42269</v>
      </c>
      <c r="F648" s="187" t="s">
        <v>438</v>
      </c>
      <c r="G648" s="813" t="s">
        <v>707</v>
      </c>
      <c r="H648" s="191" t="s">
        <v>494</v>
      </c>
      <c r="I648" s="243"/>
      <c r="J648" s="243"/>
      <c r="K648" s="573">
        <v>15058560</v>
      </c>
      <c r="L648" s="574" t="s">
        <v>8</v>
      </c>
      <c r="M648" s="574" t="s">
        <v>47</v>
      </c>
      <c r="N648" s="51" t="str">
        <f>IF(AND('331-CT'!$E$7=TH!H648,OR(L648="331",M648="331")),"331",IF(AND(OR(L648="131",M648="131"),H648='131-CT'!$E$7),"131",""))</f>
        <v/>
      </c>
      <c r="O648" s="51" t="str">
        <f>IF(AND($B648&gt;='111'!$N$11,$B648&lt;='111'!$O$11,OR($L648=$O$7,$M648=$O$7)),"x","")</f>
        <v/>
      </c>
      <c r="P648" s="51" t="str">
        <f>IF(AND($L648=$O$7,$B648&lt;'111'!$N$11),"x","")</f>
        <v/>
      </c>
      <c r="Q648" s="51" t="str">
        <f>IF(AND($M648=$O$7,$B648&lt;'111'!$N$11),"x","")</f>
        <v>x</v>
      </c>
      <c r="R648" s="51" t="str">
        <f>IF(ISERROR(FIND('112'!$M$9,G648,1)),"",IF((AND(FIND('112'!$M$9,G648,1)&gt;=1,$B648&gt;='112'!$N$8,$B648&lt;='112'!$O$8,OR($L648='112'!$I$6,$M648='112'!$I$6))),"x",""))</f>
        <v/>
      </c>
      <c r="S648" s="51" t="str">
        <f>IF(ISERROR(FIND('112'!$M$9,G648,1)),"",IF((AND(LEFT(G648,2)=LEFT('112'!$M$9,2),B648&lt;'112'!$N$8,$L648='112'!$I$6)),"x",""))</f>
        <v/>
      </c>
      <c r="T648" s="51" t="str">
        <f>IF(ISERROR(FIND('112'!$M$9,G648,1)),"",IF((AND(RIGHT(G648,2)=RIGHT('112'!$M$9,2),B648&lt;'112'!$N$8,$M648='112'!$I$6)),"x",""))</f>
        <v/>
      </c>
      <c r="U648" s="51" t="str">
        <f>IF(AND(L648="154",'154'!$O$5&lt;=B648,'154'!$P$5&gt;=B648),"154",IF(AND(L648="632",'632'!$L$5&lt;=B648,'632'!$M$5&gt;=B648),"632",IF(AND(L648="642",'642'!$N$5&lt;=B648,'642'!$O$5&gt;=B648),"642",IF(AND(L648="641",'641'!$N$5&lt;=B648,'641'!$O$5&gt;=B648),"641",""))))</f>
        <v/>
      </c>
      <c r="V648" s="51" t="str">
        <f>IF(OR(TH!L648=TH!$V$7,M648=TH!$V$7),"x","")</f>
        <v/>
      </c>
      <c r="W648" s="51" t="str">
        <f>IF(AND(B648&gt;='IN-NX'!$P$3,B648&lt;='IN-NX'!$Q$3,'IN-NX'!$D$7=D648,OR(LEFT(L648,2)="15",AND(LEFT(M648,2)&lt;&gt;"15",LEFT(M648,2)&lt;&gt;"33"))),"x","")</f>
        <v/>
      </c>
      <c r="X648" s="51" t="str">
        <f>IF(AND(OR(LEFT(TH!L648,2)="15",LEFT(TH!M648,2)="15"),'152-CT'!$J$8=TH!F648),"x","")</f>
        <v/>
      </c>
      <c r="Y648" s="51" t="str">
        <f>IF(AND(OR(LEFT(TH!L648,2)="15",LEFT(TH!M648,2)="15"),TK!$E$7=TH!F648),"x","")</f>
        <v/>
      </c>
      <c r="Z648" s="51" t="str">
        <f>IF(AND(B648&lt;=NKC!$N$8,B648&gt;=NKC!$M$8),"x","")</f>
        <v>x</v>
      </c>
      <c r="AA648" s="803"/>
      <c r="AB648" s="565"/>
    </row>
    <row r="649" spans="1:31" ht="15.75" customHeight="1">
      <c r="A649" s="804" t="str">
        <f>IF(B649&lt;&gt;"",IF(AND(B649&gt;=_TM1,B649&lt;=_TM2,OR(TH!L649="1111",TH!M649="1111")),TH!D649,""),"")</f>
        <v/>
      </c>
      <c r="B649" s="36">
        <f t="shared" si="39"/>
        <v>9</v>
      </c>
      <c r="C649" s="189">
        <f t="shared" si="40"/>
        <v>42269</v>
      </c>
      <c r="D649" s="189" t="s">
        <v>1308</v>
      </c>
      <c r="E649" s="189">
        <v>42269</v>
      </c>
      <c r="F649" s="926" t="s">
        <v>712</v>
      </c>
      <c r="G649" s="813" t="s">
        <v>1044</v>
      </c>
      <c r="H649" s="7" t="s">
        <v>445</v>
      </c>
      <c r="I649" s="243">
        <v>350</v>
      </c>
      <c r="J649" s="243">
        <v>32120</v>
      </c>
      <c r="K649" s="573">
        <f>ROUND(I649*J649,0)</f>
        <v>11242000</v>
      </c>
      <c r="L649" s="574" t="s">
        <v>250</v>
      </c>
      <c r="M649" s="574" t="s">
        <v>164</v>
      </c>
      <c r="N649" s="51" t="str">
        <f>IF(AND('331-CT'!$E$7=TH!H649,OR(L649="331",M649="331")),"331",IF(AND(OR(L649="131",M649="131"),H649='131-CT'!$E$7),"131",""))</f>
        <v/>
      </c>
      <c r="O649" s="51" t="str">
        <f>IF(AND($B649&gt;='111'!$N$11,$B649&lt;='111'!$O$11,OR($L649=$O$7,$M649=$O$7)),"x","")</f>
        <v/>
      </c>
      <c r="P649" s="51" t="str">
        <f>IF(AND($L649=$O$7,$B649&lt;'111'!$N$11),"x","")</f>
        <v/>
      </c>
      <c r="Q649" s="51" t="str">
        <f>IF(AND($M649=$O$7,$B649&lt;'111'!$N$11),"x","")</f>
        <v/>
      </c>
      <c r="R649" s="51" t="str">
        <f>IF(ISERROR(FIND('112'!$M$9,G649,1)),"",IF((AND(FIND('112'!$M$9,G649,1)&gt;=1,$B649&gt;='112'!$N$8,$B649&lt;='112'!$O$8,OR($L649='112'!$I$6,$M649='112'!$I$6))),"x",""))</f>
        <v/>
      </c>
      <c r="S649" s="51" t="str">
        <f>IF(ISERROR(FIND('112'!$M$9,G649,1)),"",IF((AND(LEFT(G649,2)=LEFT('112'!$M$9,2),B649&lt;'112'!$N$8,$L649='112'!$I$6)),"x",""))</f>
        <v/>
      </c>
      <c r="T649" s="51" t="str">
        <f>IF(ISERROR(FIND('112'!$M$9,G649,1)),"",IF((AND(RIGHT(G649,2)=RIGHT('112'!$M$9,2),B649&lt;'112'!$N$8,$M649='112'!$I$6)),"x",""))</f>
        <v/>
      </c>
      <c r="U649" s="51" t="str">
        <f>IF(AND(L649="154",'154'!$O$5&lt;=B649,'154'!$P$5&gt;=B649),"154",IF(AND(L649="632",'632'!$L$5&lt;=B649,'632'!$M$5&gt;=B649),"632",IF(AND(L649="642",'642'!$N$5&lt;=B649,'642'!$O$5&gt;=B649),"642",IF(AND(L649="641",'641'!$N$5&lt;=B649,'641'!$O$5&gt;=B649),"641",""))))</f>
        <v/>
      </c>
      <c r="V649" s="51" t="str">
        <f>IF(OR(TH!L649=TH!$V$7,M649=TH!$V$7),"x","")</f>
        <v/>
      </c>
      <c r="W649" s="51" t="str">
        <f>IF(AND(B649&gt;='IN-NX'!$P$3,B649&lt;='IN-NX'!$Q$3,'IN-NX'!$D$7=D649,OR(LEFT(L649,2)="15",AND(LEFT(M649,2)&lt;&gt;"15",LEFT(M649,2)&lt;&gt;"33"))),"x","")</f>
        <v/>
      </c>
      <c r="X649" s="51" t="str">
        <f>IF(AND(OR(LEFT(TH!L649,2)="15",LEFT(TH!M649,2)="15"),'152-CT'!$J$8=TH!F649),"x","")</f>
        <v/>
      </c>
      <c r="Y649" s="51" t="str">
        <f>IF(AND(OR(LEFT(TH!L649,2)="15",LEFT(TH!M649,2)="15"),TK!$E$7=TH!F649),"x","")</f>
        <v/>
      </c>
      <c r="Z649" s="51" t="str">
        <f>IF(AND(B649&lt;=NKC!$N$8,B649&gt;=NKC!$M$8),"x","")</f>
        <v>x</v>
      </c>
      <c r="AA649" s="803"/>
      <c r="AB649" s="565"/>
    </row>
    <row r="650" spans="1:31" ht="15.75" customHeight="1">
      <c r="A650" s="804" t="str">
        <f>IF(B650&lt;&gt;"",IF(AND(B650&gt;=_TM1,B650&lt;=_TM2,OR(TH!L650="1111",TH!M650="1111")),TH!D650,""),"")</f>
        <v/>
      </c>
      <c r="B650" s="36">
        <f t="shared" si="39"/>
        <v>9</v>
      </c>
      <c r="C650" s="189">
        <f t="shared" si="40"/>
        <v>42269</v>
      </c>
      <c r="D650" s="189" t="s">
        <v>1308</v>
      </c>
      <c r="E650" s="189">
        <v>42269</v>
      </c>
      <c r="F650" s="922" t="s">
        <v>1260</v>
      </c>
      <c r="G650" s="813" t="s">
        <v>1044</v>
      </c>
      <c r="H650" s="7" t="s">
        <v>445</v>
      </c>
      <c r="I650" s="243">
        <v>1000</v>
      </c>
      <c r="J650" s="243">
        <v>6297</v>
      </c>
      <c r="K650" s="573">
        <f>ROUND(I650*J650,0)</f>
        <v>6297000</v>
      </c>
      <c r="L650" s="574" t="s">
        <v>250</v>
      </c>
      <c r="M650" s="574" t="s">
        <v>164</v>
      </c>
      <c r="N650" s="51" t="str">
        <f>IF(AND('331-CT'!$E$7=TH!H650,OR(L650="331",M650="331")),"331",IF(AND(OR(L650="131",M650="131"),H650='131-CT'!$E$7),"131",""))</f>
        <v/>
      </c>
      <c r="O650" s="51" t="str">
        <f>IF(AND($B650&gt;='111'!$N$11,$B650&lt;='111'!$O$11,OR($L650=$O$7,$M650=$O$7)),"x","")</f>
        <v/>
      </c>
      <c r="P650" s="51" t="str">
        <f>IF(AND($L650=$O$7,$B650&lt;'111'!$N$11),"x","")</f>
        <v/>
      </c>
      <c r="Q650" s="51" t="str">
        <f>IF(AND($M650=$O$7,$B650&lt;'111'!$N$11),"x","")</f>
        <v/>
      </c>
      <c r="R650" s="51" t="str">
        <f>IF(ISERROR(FIND('112'!$M$9,G650,1)),"",IF((AND(FIND('112'!$M$9,G650,1)&gt;=1,$B650&gt;='112'!$N$8,$B650&lt;='112'!$O$8,OR($L650='112'!$I$6,$M650='112'!$I$6))),"x",""))</f>
        <v/>
      </c>
      <c r="S650" s="51" t="str">
        <f>IF(ISERROR(FIND('112'!$M$9,G650,1)),"",IF((AND(LEFT(G650,2)=LEFT('112'!$M$9,2),B650&lt;'112'!$N$8,$L650='112'!$I$6)),"x",""))</f>
        <v/>
      </c>
      <c r="T650" s="51" t="str">
        <f>IF(ISERROR(FIND('112'!$M$9,G650,1)),"",IF((AND(RIGHT(G650,2)=RIGHT('112'!$M$9,2),B650&lt;'112'!$N$8,$M650='112'!$I$6)),"x",""))</f>
        <v/>
      </c>
      <c r="U650" s="51" t="str">
        <f>IF(AND(L650="154",'154'!$O$5&lt;=B650,'154'!$P$5&gt;=B650),"154",IF(AND(L650="632",'632'!$L$5&lt;=B650,'632'!$M$5&gt;=B650),"632",IF(AND(L650="642",'642'!$N$5&lt;=B650,'642'!$O$5&gt;=B650),"642",IF(AND(L650="641",'641'!$N$5&lt;=B650,'641'!$O$5&gt;=B650),"641",""))))</f>
        <v/>
      </c>
      <c r="V650" s="51" t="str">
        <f>IF(OR(TH!L650=TH!$V$7,M650=TH!$V$7),"x","")</f>
        <v/>
      </c>
      <c r="W650" s="51" t="str">
        <f>IF(AND(B650&gt;='IN-NX'!$P$3,B650&lt;='IN-NX'!$Q$3,'IN-NX'!$D$7=D650,OR(LEFT(L650,2)="15",AND(LEFT(M650,2)&lt;&gt;"15",LEFT(M650,2)&lt;&gt;"33"))),"x","")</f>
        <v/>
      </c>
      <c r="X650" s="51" t="str">
        <f>IF(AND(OR(LEFT(TH!L650,2)="15",LEFT(TH!M650,2)="15"),'152-CT'!$J$8=TH!F650),"x","")</f>
        <v/>
      </c>
      <c r="Y650" s="51" t="str">
        <f>IF(AND(OR(LEFT(TH!L650,2)="15",LEFT(TH!M650,2)="15"),TK!$E$7=TH!F650),"x","")</f>
        <v/>
      </c>
      <c r="Z650" s="51" t="str">
        <f>IF(AND(B650&lt;=NKC!$N$8,B650&gt;=NKC!$M$8),"x","")</f>
        <v>x</v>
      </c>
      <c r="AA650" s="803"/>
      <c r="AB650" s="565"/>
    </row>
    <row r="651" spans="1:31" ht="15.75" customHeight="1">
      <c r="A651" s="804" t="str">
        <f>IF(B651&lt;&gt;"",IF(AND(B651&gt;=_TM1,B651&lt;=_TM2,OR(TH!L651="1111",TH!M651="1111")),TH!D651,""),"")</f>
        <v/>
      </c>
      <c r="B651" s="36">
        <f t="shared" si="39"/>
        <v>9</v>
      </c>
      <c r="C651" s="189">
        <f t="shared" si="40"/>
        <v>42269</v>
      </c>
      <c r="D651" s="189" t="s">
        <v>1308</v>
      </c>
      <c r="E651" s="189">
        <v>42269</v>
      </c>
      <c r="F651" s="190" t="s">
        <v>962</v>
      </c>
      <c r="G651" s="813" t="s">
        <v>1044</v>
      </c>
      <c r="H651" s="7" t="s">
        <v>445</v>
      </c>
      <c r="I651" s="243"/>
      <c r="J651" s="243"/>
      <c r="K651" s="573">
        <v>1753900</v>
      </c>
      <c r="L651" s="574" t="s">
        <v>250</v>
      </c>
      <c r="M651" s="574" t="s">
        <v>352</v>
      </c>
      <c r="N651" s="51" t="str">
        <f>IF(AND('331-CT'!$E$7=TH!H651,OR(L651="331",M651="331")),"331",IF(AND(OR(L651="131",M651="131"),H651='131-CT'!$E$7),"131",""))</f>
        <v/>
      </c>
      <c r="O651" s="51" t="str">
        <f>IF(AND($B651&gt;='111'!$N$11,$B651&lt;='111'!$O$11,OR($L651=$O$7,$M651=$O$7)),"x","")</f>
        <v/>
      </c>
      <c r="P651" s="51" t="str">
        <f>IF(AND($L651=$O$7,$B651&lt;'111'!$N$11),"x","")</f>
        <v/>
      </c>
      <c r="Q651" s="51" t="str">
        <f>IF(AND($M651=$O$7,$B651&lt;'111'!$N$11),"x","")</f>
        <v/>
      </c>
      <c r="R651" s="51" t="str">
        <f>IF(ISERROR(FIND('112'!$M$9,G651,1)),"",IF((AND(FIND('112'!$M$9,G651,1)&gt;=1,$B651&gt;='112'!$N$8,$B651&lt;='112'!$O$8,OR($L651='112'!$I$6,$M651='112'!$I$6))),"x",""))</f>
        <v/>
      </c>
      <c r="S651" s="51" t="str">
        <f>IF(ISERROR(FIND('112'!$M$9,G651,1)),"",IF((AND(LEFT(G651,2)=LEFT('112'!$M$9,2),B651&lt;'112'!$N$8,$L651='112'!$I$6)),"x",""))</f>
        <v/>
      </c>
      <c r="T651" s="51" t="str">
        <f>IF(ISERROR(FIND('112'!$M$9,G651,1)),"",IF((AND(RIGHT(G651,2)=RIGHT('112'!$M$9,2),B651&lt;'112'!$N$8,$M651='112'!$I$6)),"x",""))</f>
        <v/>
      </c>
      <c r="U651" s="51" t="str">
        <f>IF(AND(L651="154",'154'!$O$5&lt;=B651,'154'!$P$5&gt;=B651),"154",IF(AND(L651="632",'632'!$L$5&lt;=B651,'632'!$M$5&gt;=B651),"632",IF(AND(L651="642",'642'!$N$5&lt;=B651,'642'!$O$5&gt;=B651),"642",IF(AND(L651="641",'641'!$N$5&lt;=B651,'641'!$O$5&gt;=B651),"641",""))))</f>
        <v/>
      </c>
      <c r="V651" s="51" t="str">
        <f>IF(OR(TH!L651=TH!$V$7,M651=TH!$V$7),"x","")</f>
        <v/>
      </c>
      <c r="W651" s="51" t="str">
        <f>IF(AND(B651&gt;='IN-NX'!$P$3,B651&lt;='IN-NX'!$Q$3,'IN-NX'!$D$7=D651,OR(LEFT(L651,2)="15",AND(LEFT(M651,2)&lt;&gt;"15",LEFT(M651,2)&lt;&gt;"33"))),"x","")</f>
        <v/>
      </c>
      <c r="X651" s="51" t="str">
        <f>IF(AND(OR(LEFT(TH!L651,2)="15",LEFT(TH!M651,2)="15"),'152-CT'!$J$8=TH!F651),"x","")</f>
        <v/>
      </c>
      <c r="Y651" s="51" t="str">
        <f>IF(AND(OR(LEFT(TH!L651,2)="15",LEFT(TH!M651,2)="15"),TK!$E$7=TH!F651),"x","")</f>
        <v/>
      </c>
      <c r="Z651" s="51" t="str">
        <f>IF(AND(B651&lt;=NKC!$N$8,B651&gt;=NKC!$M$8),"x","")</f>
        <v>x</v>
      </c>
      <c r="AA651" s="803"/>
      <c r="AB651" s="565"/>
    </row>
    <row r="652" spans="1:31" ht="15.75" customHeight="1">
      <c r="A652" s="804" t="str">
        <f>IF(B652&lt;&gt;"",IF(AND(B652&gt;=_TM1,B652&lt;=_TM2,OR(TH!L652="1111",TH!M652="1111")),TH!D652,""),"")</f>
        <v>T45</v>
      </c>
      <c r="B652" s="36">
        <f t="shared" si="39"/>
        <v>9</v>
      </c>
      <c r="C652" s="189">
        <f t="shared" si="40"/>
        <v>42269</v>
      </c>
      <c r="D652" s="189" t="s">
        <v>1415</v>
      </c>
      <c r="E652" s="189">
        <v>42269</v>
      </c>
      <c r="F652" s="190" t="s">
        <v>423</v>
      </c>
      <c r="G652" s="813" t="s">
        <v>1044</v>
      </c>
      <c r="H652" s="7" t="s">
        <v>445</v>
      </c>
      <c r="I652" s="243"/>
      <c r="J652" s="243"/>
      <c r="K652" s="573">
        <v>9865000</v>
      </c>
      <c r="L652" s="574" t="s">
        <v>47</v>
      </c>
      <c r="M652" s="574" t="s">
        <v>250</v>
      </c>
      <c r="N652" s="51" t="str">
        <f>IF(AND('331-CT'!$E$7=TH!H652,OR(L652="331",M652="331")),"331",IF(AND(OR(L652="131",M652="131"),H652='131-CT'!$E$7),"131",""))</f>
        <v/>
      </c>
      <c r="O652" s="51" t="str">
        <f>IF(AND($B652&gt;='111'!$N$11,$B652&lt;='111'!$O$11,OR($L652=$O$7,$M652=$O$7)),"x","")</f>
        <v/>
      </c>
      <c r="P652" s="51" t="str">
        <f>IF(AND($L652=$O$7,$B652&lt;'111'!$N$11),"x","")</f>
        <v>x</v>
      </c>
      <c r="Q652" s="51" t="str">
        <f>IF(AND($M652=$O$7,$B652&lt;'111'!$N$11),"x","")</f>
        <v/>
      </c>
      <c r="R652" s="51" t="str">
        <f>IF(ISERROR(FIND('112'!$M$9,G652,1)),"",IF((AND(FIND('112'!$M$9,G652,1)&gt;=1,$B652&gt;='112'!$N$8,$B652&lt;='112'!$O$8,OR($L652='112'!$I$6,$M652='112'!$I$6))),"x",""))</f>
        <v/>
      </c>
      <c r="S652" s="51" t="str">
        <f>IF(ISERROR(FIND('112'!$M$9,G652,1)),"",IF((AND(LEFT(G652,2)=LEFT('112'!$M$9,2),B652&lt;'112'!$N$8,$L652='112'!$I$6)),"x",""))</f>
        <v/>
      </c>
      <c r="T652" s="51" t="str">
        <f>IF(ISERROR(FIND('112'!$M$9,G652,1)),"",IF((AND(RIGHT(G652,2)=RIGHT('112'!$M$9,2),B652&lt;'112'!$N$8,$M652='112'!$I$6)),"x",""))</f>
        <v/>
      </c>
      <c r="U652" s="51" t="str">
        <f>IF(AND(L652="154",'154'!$O$5&lt;=B652,'154'!$P$5&gt;=B652),"154",IF(AND(L652="632",'632'!$L$5&lt;=B652,'632'!$M$5&gt;=B652),"632",IF(AND(L652="642",'642'!$N$5&lt;=B652,'642'!$O$5&gt;=B652),"642",IF(AND(L652="641",'641'!$N$5&lt;=B652,'641'!$O$5&gt;=B652),"641",""))))</f>
        <v/>
      </c>
      <c r="V652" s="51" t="str">
        <f>IF(OR(TH!L652=TH!$V$7,M652=TH!$V$7),"x","")</f>
        <v/>
      </c>
      <c r="W652" s="51" t="str">
        <f>IF(AND(B652&gt;='IN-NX'!$P$3,B652&lt;='IN-NX'!$Q$3,'IN-NX'!$D$7=D652,OR(LEFT(L652,2)="15",AND(LEFT(M652,2)&lt;&gt;"15",LEFT(M652,2)&lt;&gt;"33"))),"x","")</f>
        <v/>
      </c>
      <c r="X652" s="51" t="str">
        <f>IF(AND(OR(LEFT(TH!L652,2)="15",LEFT(TH!M652,2)="15"),'152-CT'!$J$8=TH!F652),"x","")</f>
        <v/>
      </c>
      <c r="Y652" s="51" t="str">
        <f>IF(AND(OR(LEFT(TH!L652,2)="15",LEFT(TH!M652,2)="15"),TK!$E$7=TH!F652),"x","")</f>
        <v/>
      </c>
      <c r="Z652" s="51" t="str">
        <f>IF(AND(B652&lt;=NKC!$N$8,B652&gt;=NKC!$M$8),"x","")</f>
        <v>x</v>
      </c>
      <c r="AA652" s="803"/>
      <c r="AB652" s="565"/>
    </row>
    <row r="653" spans="1:31" ht="15.75" customHeight="1">
      <c r="A653" s="804" t="str">
        <f>IF(B653&lt;&gt;"",IF(AND(B653&gt;=_TM1,B653&lt;=_TM2,OR(TH!L653="1111",TH!M653="1111")),TH!D653,""),"")</f>
        <v>T46</v>
      </c>
      <c r="B653" s="36">
        <f t="shared" si="39"/>
        <v>9</v>
      </c>
      <c r="C653" s="189">
        <f t="shared" si="40"/>
        <v>42269</v>
      </c>
      <c r="D653" s="189" t="s">
        <v>1418</v>
      </c>
      <c r="E653" s="189">
        <v>42269</v>
      </c>
      <c r="F653" s="190" t="s">
        <v>964</v>
      </c>
      <c r="G653" s="813" t="s">
        <v>1045</v>
      </c>
      <c r="H653" s="191" t="s">
        <v>975</v>
      </c>
      <c r="I653" s="243"/>
      <c r="J653" s="243"/>
      <c r="K653" s="573">
        <v>8300000</v>
      </c>
      <c r="L653" s="574" t="s">
        <v>47</v>
      </c>
      <c r="M653" s="574" t="s">
        <v>408</v>
      </c>
      <c r="N653" s="51" t="str">
        <f>IF(AND('331-CT'!$E$7=TH!H653,OR(L653="331",M653="331")),"331",IF(AND(OR(L653="131",M653="131"),H653='131-CT'!$E$7),"131",""))</f>
        <v/>
      </c>
      <c r="O653" s="51" t="str">
        <f>IF(AND($B653&gt;='111'!$N$11,$B653&lt;='111'!$O$11,OR($L653=$O$7,$M653=$O$7)),"x","")</f>
        <v/>
      </c>
      <c r="P653" s="51" t="str">
        <f>IF(AND($L653=$O$7,$B653&lt;'111'!$N$11),"x","")</f>
        <v>x</v>
      </c>
      <c r="Q653" s="51" t="str">
        <f>IF(AND($M653=$O$7,$B653&lt;'111'!$N$11),"x","")</f>
        <v/>
      </c>
      <c r="R653" s="51" t="str">
        <f>IF(ISERROR(FIND('112'!$M$9,G653,1)),"",IF((AND(FIND('112'!$M$9,G653,1)&gt;=1,$B653&gt;='112'!$N$8,$B653&lt;='112'!$O$8,OR($L653='112'!$I$6,$M653='112'!$I$6))),"x",""))</f>
        <v/>
      </c>
      <c r="S653" s="51" t="str">
        <f>IF(ISERROR(FIND('112'!$M$9,G653,1)),"",IF((AND(LEFT(G653,2)=LEFT('112'!$M$9,2),B653&lt;'112'!$N$8,$L653='112'!$I$6)),"x",""))</f>
        <v/>
      </c>
      <c r="T653" s="51" t="str">
        <f>IF(ISERROR(FIND('112'!$M$9,G653,1)),"",IF((AND(RIGHT(G653,2)=RIGHT('112'!$M$9,2),B653&lt;'112'!$N$8,$M653='112'!$I$6)),"x",""))</f>
        <v/>
      </c>
      <c r="U653" s="51" t="str">
        <f>IF(AND(L653="154",'154'!$O$5&lt;=B653,'154'!$P$5&gt;=B653),"154",IF(AND(L653="632",'632'!$L$5&lt;=B653,'632'!$M$5&gt;=B653),"632",IF(AND(L653="642",'642'!$N$5&lt;=B653,'642'!$O$5&gt;=B653),"642",IF(AND(L653="641",'641'!$N$5&lt;=B653,'641'!$O$5&gt;=B653),"641",""))))</f>
        <v/>
      </c>
      <c r="V653" s="51" t="str">
        <f>IF(OR(TH!L653=TH!$V$7,M653=TH!$V$7),"x","")</f>
        <v/>
      </c>
      <c r="W653" s="51" t="str">
        <f>IF(AND(B653&gt;='IN-NX'!$P$3,B653&lt;='IN-NX'!$Q$3,'IN-NX'!$D$7=D653,OR(LEFT(L653,2)="15",AND(LEFT(M653,2)&lt;&gt;"15",LEFT(M653,2)&lt;&gt;"33"))),"x","")</f>
        <v/>
      </c>
      <c r="X653" s="51" t="str">
        <f>IF(AND(OR(LEFT(TH!L653,2)="15",LEFT(TH!M653,2)="15"),'152-CT'!$J$8=TH!F653),"x","")</f>
        <v/>
      </c>
      <c r="Y653" s="51" t="str">
        <f>IF(AND(OR(LEFT(TH!L653,2)="15",LEFT(TH!M653,2)="15"),TK!$E$7=TH!F653),"x","")</f>
        <v/>
      </c>
      <c r="Z653" s="51" t="str">
        <f>IF(AND(B653&lt;=NKC!$N$8,B653&gt;=NKC!$M$8),"x","")</f>
        <v>x</v>
      </c>
      <c r="AA653" s="803"/>
      <c r="AB653" s="565"/>
    </row>
    <row r="654" spans="1:31" ht="15.75" customHeight="1">
      <c r="A654" s="804" t="str">
        <f>IF(B654&lt;&gt;"",IF(AND(B654&gt;=_TM1,B654&lt;=_TM2,OR(TH!L654="1111",TH!M654="1111")),TH!D654,""),"")</f>
        <v>T46</v>
      </c>
      <c r="B654" s="36">
        <f t="shared" si="39"/>
        <v>9</v>
      </c>
      <c r="C654" s="189">
        <f t="shared" si="40"/>
        <v>42269</v>
      </c>
      <c r="D654" s="189" t="s">
        <v>1418</v>
      </c>
      <c r="E654" s="189">
        <v>42269</v>
      </c>
      <c r="F654" s="190" t="s">
        <v>1110</v>
      </c>
      <c r="G654" s="813" t="s">
        <v>1045</v>
      </c>
      <c r="H654" s="191" t="s">
        <v>975</v>
      </c>
      <c r="I654" s="243"/>
      <c r="J654" s="243"/>
      <c r="K654" s="573">
        <v>830000</v>
      </c>
      <c r="L654" s="574" t="s">
        <v>47</v>
      </c>
      <c r="M654" s="574" t="s">
        <v>352</v>
      </c>
      <c r="N654" s="51" t="str">
        <f>IF(AND('331-CT'!$E$7=TH!H654,OR(L654="331",M654="331")),"331",IF(AND(OR(L654="131",M654="131"),H654='131-CT'!$E$7),"131",""))</f>
        <v/>
      </c>
      <c r="O654" s="51" t="str">
        <f>IF(AND($B654&gt;='111'!$N$11,$B654&lt;='111'!$O$11,OR($L654=$O$7,$M654=$O$7)),"x","")</f>
        <v/>
      </c>
      <c r="P654" s="51" t="str">
        <f>IF(AND($L654=$O$7,$B654&lt;'111'!$N$11),"x","")</f>
        <v>x</v>
      </c>
      <c r="Q654" s="51" t="str">
        <f>IF(AND($M654=$O$7,$B654&lt;'111'!$N$11),"x","")</f>
        <v/>
      </c>
      <c r="R654" s="51" t="str">
        <f>IF(ISERROR(FIND('112'!$M$9,G654,1)),"",IF((AND(FIND('112'!$M$9,G654,1)&gt;=1,$B654&gt;='112'!$N$8,$B654&lt;='112'!$O$8,OR($L654='112'!$I$6,$M654='112'!$I$6))),"x",""))</f>
        <v/>
      </c>
      <c r="S654" s="51" t="str">
        <f>IF(ISERROR(FIND('112'!$M$9,G654,1)),"",IF((AND(LEFT(G654,2)=LEFT('112'!$M$9,2),B654&lt;'112'!$N$8,$L654='112'!$I$6)),"x",""))</f>
        <v/>
      </c>
      <c r="T654" s="51" t="str">
        <f>IF(ISERROR(FIND('112'!$M$9,G654,1)),"",IF((AND(RIGHT(G654,2)=RIGHT('112'!$M$9,2),B654&lt;'112'!$N$8,$M654='112'!$I$6)),"x",""))</f>
        <v/>
      </c>
      <c r="U654" s="51" t="str">
        <f>IF(AND(L654="154",'154'!$O$5&lt;=B654,'154'!$P$5&gt;=B654),"154",IF(AND(L654="632",'632'!$L$5&lt;=B654,'632'!$M$5&gt;=B654),"632",IF(AND(L654="642",'642'!$N$5&lt;=B654,'642'!$O$5&gt;=B654),"642",IF(AND(L654="641",'641'!$N$5&lt;=B654,'641'!$O$5&gt;=B654),"641",""))))</f>
        <v/>
      </c>
      <c r="V654" s="51" t="str">
        <f>IF(OR(TH!L654=TH!$V$7,M654=TH!$V$7),"x","")</f>
        <v/>
      </c>
      <c r="W654" s="51" t="str">
        <f>IF(AND(B654&gt;='IN-NX'!$P$3,B654&lt;='IN-NX'!$Q$3,'IN-NX'!$D$7=D654,OR(LEFT(L654,2)="15",AND(LEFT(M654,2)&lt;&gt;"15",LEFT(M654,2)&lt;&gt;"33"))),"x","")</f>
        <v/>
      </c>
      <c r="X654" s="51" t="str">
        <f>IF(AND(OR(LEFT(TH!L654,2)="15",LEFT(TH!M654,2)="15"),'152-CT'!$J$8=TH!F654),"x","")</f>
        <v/>
      </c>
      <c r="Y654" s="51" t="str">
        <f>IF(AND(OR(LEFT(TH!L654,2)="15",LEFT(TH!M654,2)="15"),TK!$E$7=TH!F654),"x","")</f>
        <v/>
      </c>
      <c r="Z654" s="51" t="str">
        <f>IF(AND(B654&lt;=NKC!$N$8,B654&gt;=NKC!$M$8),"x","")</f>
        <v>x</v>
      </c>
      <c r="AA654" s="803"/>
      <c r="AB654" s="565"/>
    </row>
    <row r="655" spans="1:31" ht="15.75" customHeight="1">
      <c r="A655" s="804" t="str">
        <f>IF(B655&lt;&gt;"",IF(AND(B655&gt;=_TM1,B655&lt;=_TM2,OR(TH!L655="1111",TH!M655="1111")),TH!D655,""),"")</f>
        <v/>
      </c>
      <c r="B655" s="36">
        <f t="shared" si="39"/>
        <v>9</v>
      </c>
      <c r="C655" s="189">
        <f t="shared" si="40"/>
        <v>42270</v>
      </c>
      <c r="D655" s="189" t="s">
        <v>421</v>
      </c>
      <c r="E655" s="182">
        <v>42270</v>
      </c>
      <c r="F655" s="190" t="s">
        <v>423</v>
      </c>
      <c r="G655" s="811" t="s">
        <v>415</v>
      </c>
      <c r="H655" s="202" t="s">
        <v>424</v>
      </c>
      <c r="I655" s="243"/>
      <c r="J655" s="243"/>
      <c r="K655" s="573">
        <v>6325110</v>
      </c>
      <c r="L655" s="192" t="s">
        <v>24</v>
      </c>
      <c r="M655" s="192" t="s">
        <v>250</v>
      </c>
      <c r="N655" s="51" t="str">
        <f>IF(AND('331-CT'!$E$7=TH!H655,OR(L655="331",M655="331")),"331",IF(AND(OR(L655="131",M655="131"),H655='131-CT'!$E$7),"131",""))</f>
        <v/>
      </c>
      <c r="O655" s="51" t="str">
        <f>IF(AND($B655&gt;='111'!$N$11,$B655&lt;='111'!$O$11,OR($L655=$O$7,$M655=$O$7)),"x","")</f>
        <v/>
      </c>
      <c r="P655" s="51" t="str">
        <f>IF(AND($L655=$O$7,$B655&lt;'111'!$N$11),"x","")</f>
        <v/>
      </c>
      <c r="Q655" s="51" t="str">
        <f>IF(AND($M655=$O$7,$B655&lt;'111'!$N$11),"x","")</f>
        <v/>
      </c>
      <c r="R655" s="51" t="str">
        <f>IF(ISERROR(FIND('112'!$M$9,G655,1)),"",IF((AND(FIND('112'!$M$9,G655,1)&gt;=1,$B655&gt;='112'!$N$8,$B655&lt;='112'!$O$8,OR($L655='112'!$I$6,$M655='112'!$I$6))),"x",""))</f>
        <v/>
      </c>
      <c r="S655" s="51" t="str">
        <f>IF(ISERROR(FIND('112'!$M$9,G655,1)),"",IF((AND(LEFT(G655,2)=LEFT('112'!$M$9,2),B655&lt;'112'!$N$8,$L655='112'!$I$6)),"x",""))</f>
        <v/>
      </c>
      <c r="T655" s="51" t="str">
        <f>IF(ISERROR(FIND('112'!$M$9,G655,1)),"",IF((AND(RIGHT(G655,2)=RIGHT('112'!$M$9,2),B655&lt;'112'!$N$8,$M655='112'!$I$6)),"x",""))</f>
        <v/>
      </c>
      <c r="U655" s="51" t="str">
        <f>IF(AND(L655="154",'154'!$O$5&lt;=B655,'154'!$P$5&gt;=B655),"154",IF(AND(L655="632",'632'!$L$5&lt;=B655,'632'!$M$5&gt;=B655),"632",IF(AND(L655="642",'642'!$N$5&lt;=B655,'642'!$O$5&gt;=B655),"642",IF(AND(L655="641",'641'!$N$5&lt;=B655,'641'!$O$5&gt;=B655),"641",""))))</f>
        <v/>
      </c>
      <c r="V655" s="51" t="str">
        <f>IF(OR(TH!L655=TH!$V$7,M655=TH!$V$7),"x","")</f>
        <v/>
      </c>
      <c r="W655" s="51" t="str">
        <f>IF(AND(B655&gt;='IN-NX'!$P$3,B655&lt;='IN-NX'!$Q$3,'IN-NX'!$D$7=D655,OR(LEFT(L655,2)="15",AND(LEFT(M655,2)&lt;&gt;"15",LEFT(M655,2)&lt;&gt;"33"))),"x","")</f>
        <v/>
      </c>
      <c r="X655" s="51" t="str">
        <f>IF(AND(OR(LEFT(TH!L655,2)="15",LEFT(TH!M655,2)="15"),'152-CT'!$J$8=TH!F655),"x","")</f>
        <v/>
      </c>
      <c r="Y655" s="51" t="str">
        <f>IF(AND(OR(LEFT(TH!L655,2)="15",LEFT(TH!M655,2)="15"),TK!$E$7=TH!F655),"x","")</f>
        <v/>
      </c>
      <c r="Z655" s="51" t="str">
        <f>IF(AND(B655&lt;=NKC!$N$8,B655&gt;=NKC!$M$8),"x","")</f>
        <v>x</v>
      </c>
      <c r="AA655" s="803"/>
      <c r="AB655" s="565"/>
      <c r="AD655" s="565"/>
      <c r="AE655" s="565"/>
    </row>
    <row r="656" spans="1:31" ht="15.75" customHeight="1">
      <c r="A656" s="804" t="str">
        <f>IF(B656&lt;&gt;"",IF(AND(B656&gt;=_TM1,B656&lt;=_TM2,OR(TH!L656="1111",TH!M656="1111")),TH!D656,""),"")</f>
        <v>T47</v>
      </c>
      <c r="B656" s="36">
        <f t="shared" si="39"/>
        <v>9</v>
      </c>
      <c r="C656" s="189">
        <f t="shared" si="40"/>
        <v>42270</v>
      </c>
      <c r="D656" s="189" t="s">
        <v>1426</v>
      </c>
      <c r="E656" s="182">
        <v>42270</v>
      </c>
      <c r="F656" s="187" t="s">
        <v>427</v>
      </c>
      <c r="G656" s="811" t="s">
        <v>415</v>
      </c>
      <c r="H656" s="7" t="s">
        <v>437</v>
      </c>
      <c r="I656" s="243"/>
      <c r="J656" s="243"/>
      <c r="K656" s="573">
        <v>27800000</v>
      </c>
      <c r="L656" s="574" t="s">
        <v>47</v>
      </c>
      <c r="M656" s="192" t="s">
        <v>24</v>
      </c>
      <c r="N656" s="51" t="str">
        <f>IF(AND('331-CT'!$E$7=TH!H656,OR(L656="331",M656="331")),"331",IF(AND(OR(L656="131",M656="131"),H656='131-CT'!$E$7),"131",""))</f>
        <v/>
      </c>
      <c r="O656" s="51" t="str">
        <f>IF(AND($B656&gt;='111'!$N$11,$B656&lt;='111'!$O$11,OR($L656=$O$7,$M656=$O$7)),"x","")</f>
        <v/>
      </c>
      <c r="P656" s="51" t="str">
        <f>IF(AND($L656=$O$7,$B656&lt;'111'!$N$11),"x","")</f>
        <v>x</v>
      </c>
      <c r="Q656" s="51" t="str">
        <f>IF(AND($M656=$O$7,$B656&lt;'111'!$N$11),"x","")</f>
        <v/>
      </c>
      <c r="R656" s="51" t="str">
        <f>IF(ISERROR(FIND('112'!$M$9,G656,1)),"",IF((AND(FIND('112'!$M$9,G656,1)&gt;=1,$B656&gt;='112'!$N$8,$B656&lt;='112'!$O$8,OR($L656='112'!$I$6,$M656='112'!$I$6))),"x",""))</f>
        <v/>
      </c>
      <c r="S656" s="51" t="str">
        <f>IF(ISERROR(FIND('112'!$M$9,G656,1)),"",IF((AND(LEFT(G656,2)=LEFT('112'!$M$9,2),B656&lt;'112'!$N$8,$L656='112'!$I$6)),"x",""))</f>
        <v/>
      </c>
      <c r="T656" s="51" t="str">
        <f>IF(ISERROR(FIND('112'!$M$9,G656,1)),"",IF((AND(RIGHT(G656,2)=RIGHT('112'!$M$9,2),B656&lt;'112'!$N$8,$M656='112'!$I$6)),"x",""))</f>
        <v/>
      </c>
      <c r="U656" s="51" t="str">
        <f>IF(AND(L656="154",'154'!$O$5&lt;=B656,'154'!$P$5&gt;=B656),"154",IF(AND(L656="632",'632'!$L$5&lt;=B656,'632'!$M$5&gt;=B656),"632",IF(AND(L656="642",'642'!$N$5&lt;=B656,'642'!$O$5&gt;=B656),"642",IF(AND(L656="641",'641'!$N$5&lt;=B656,'641'!$O$5&gt;=B656),"641",""))))</f>
        <v/>
      </c>
      <c r="V656" s="51" t="str">
        <f>IF(OR(TH!L656=TH!$V$7,M656=TH!$V$7),"x","")</f>
        <v/>
      </c>
      <c r="W656" s="51" t="str">
        <f>IF(AND(B656&gt;='IN-NX'!$P$3,B656&lt;='IN-NX'!$Q$3,'IN-NX'!$D$7=D656,OR(LEFT(L656,2)="15",AND(LEFT(M656,2)&lt;&gt;"15",LEFT(M656,2)&lt;&gt;"33"))),"x","")</f>
        <v/>
      </c>
      <c r="X656" s="51" t="str">
        <f>IF(AND(OR(LEFT(TH!L656,2)="15",LEFT(TH!M656,2)="15"),'152-CT'!$J$8=TH!F656),"x","")</f>
        <v/>
      </c>
      <c r="Y656" s="51" t="str">
        <f>IF(AND(OR(LEFT(TH!L656,2)="15",LEFT(TH!M656,2)="15"),TK!$E$7=TH!F656),"x","")</f>
        <v/>
      </c>
      <c r="Z656" s="51" t="str">
        <f>IF(AND(B656&lt;=NKC!$N$8,B656&gt;=NKC!$M$8),"x","")</f>
        <v>x</v>
      </c>
      <c r="AA656" s="803"/>
      <c r="AB656" s="565"/>
      <c r="AC656" s="565"/>
      <c r="AD656" s="565"/>
      <c r="AE656" s="565"/>
    </row>
    <row r="657" spans="1:31" ht="15.75" customHeight="1">
      <c r="A657" s="804" t="str">
        <f>IF(B657&lt;&gt;"",IF(AND(B657&gt;=_TM1,B657&lt;=_TM2,OR(TH!L657="1111",TH!M657="1111")),TH!D657,""),"")</f>
        <v>T47</v>
      </c>
      <c r="B657" s="36">
        <f t="shared" si="39"/>
        <v>9</v>
      </c>
      <c r="C657" s="189">
        <f t="shared" si="40"/>
        <v>42270</v>
      </c>
      <c r="D657" s="189" t="s">
        <v>1426</v>
      </c>
      <c r="E657" s="182">
        <v>42270</v>
      </c>
      <c r="F657" s="187" t="s">
        <v>427</v>
      </c>
      <c r="G657" s="811" t="s">
        <v>415</v>
      </c>
      <c r="H657" s="7" t="s">
        <v>437</v>
      </c>
      <c r="I657" s="243"/>
      <c r="J657" s="243"/>
      <c r="K657" s="573">
        <v>10000000</v>
      </c>
      <c r="L657" s="574" t="s">
        <v>47</v>
      </c>
      <c r="M657" s="192" t="s">
        <v>24</v>
      </c>
      <c r="N657" s="51" t="str">
        <f>IF(AND('331-CT'!$E$7=TH!H657,OR(L657="331",M657="331")),"331",IF(AND(OR(L657="131",M657="131"),H657='131-CT'!$E$7),"131",""))</f>
        <v/>
      </c>
      <c r="O657" s="51" t="str">
        <f>IF(AND($B657&gt;='111'!$N$11,$B657&lt;='111'!$O$11,OR($L657=$O$7,$M657=$O$7)),"x","")</f>
        <v/>
      </c>
      <c r="P657" s="51" t="str">
        <f>IF(AND($L657=$O$7,$B657&lt;'111'!$N$11),"x","")</f>
        <v>x</v>
      </c>
      <c r="Q657" s="51" t="str">
        <f>IF(AND($M657=$O$7,$B657&lt;'111'!$N$11),"x","")</f>
        <v/>
      </c>
      <c r="R657" s="51" t="str">
        <f>IF(ISERROR(FIND('112'!$M$9,G657,1)),"",IF((AND(FIND('112'!$M$9,G657,1)&gt;=1,$B657&gt;='112'!$N$8,$B657&lt;='112'!$O$8,OR($L657='112'!$I$6,$M657='112'!$I$6))),"x",""))</f>
        <v/>
      </c>
      <c r="S657" s="51" t="str">
        <f>IF(ISERROR(FIND('112'!$M$9,G657,1)),"",IF((AND(LEFT(G657,2)=LEFT('112'!$M$9,2),B657&lt;'112'!$N$8,$L657='112'!$I$6)),"x",""))</f>
        <v/>
      </c>
      <c r="T657" s="51" t="str">
        <f>IF(ISERROR(FIND('112'!$M$9,G657,1)),"",IF((AND(RIGHT(G657,2)=RIGHT('112'!$M$9,2),B657&lt;'112'!$N$8,$M657='112'!$I$6)),"x",""))</f>
        <v/>
      </c>
      <c r="U657" s="51" t="str">
        <f>IF(AND(L657="154",'154'!$O$5&lt;=B657,'154'!$P$5&gt;=B657),"154",IF(AND(L657="632",'632'!$L$5&lt;=B657,'632'!$M$5&gt;=B657),"632",IF(AND(L657="642",'642'!$N$5&lt;=B657,'642'!$O$5&gt;=B657),"642",IF(AND(L657="641",'641'!$N$5&lt;=B657,'641'!$O$5&gt;=B657),"641",""))))</f>
        <v/>
      </c>
      <c r="V657" s="51" t="str">
        <f>IF(OR(TH!L657=TH!$V$7,M657=TH!$V$7),"x","")</f>
        <v/>
      </c>
      <c r="W657" s="51" t="str">
        <f>IF(AND(B657&gt;='IN-NX'!$P$3,B657&lt;='IN-NX'!$Q$3,'IN-NX'!$D$7=D657,OR(LEFT(L657,2)="15",AND(LEFT(M657,2)&lt;&gt;"15",LEFT(M657,2)&lt;&gt;"33"))),"x","")</f>
        <v/>
      </c>
      <c r="X657" s="51" t="str">
        <f>IF(AND(OR(LEFT(TH!L657,2)="15",LEFT(TH!M657,2)="15"),'152-CT'!$J$8=TH!F657),"x","")</f>
        <v/>
      </c>
      <c r="Y657" s="51" t="str">
        <f>IF(AND(OR(LEFT(TH!L657,2)="15",LEFT(TH!M657,2)="15"),TK!$E$7=TH!F657),"x","")</f>
        <v/>
      </c>
      <c r="Z657" s="51" t="str">
        <f>IF(AND(B657&lt;=NKC!$N$8,B657&gt;=NKC!$M$8),"x","")</f>
        <v>x</v>
      </c>
      <c r="AA657" s="803"/>
      <c r="AB657" s="565"/>
      <c r="AC657" s="565"/>
      <c r="AD657" s="565"/>
      <c r="AE657" s="565"/>
    </row>
    <row r="658" spans="1:31" ht="15.75" customHeight="1">
      <c r="A658" s="804" t="str">
        <f>IF(B658&lt;&gt;"",IF(AND(B658&gt;=_TM1,B658&lt;=_TM2,OR(TH!L658="1111",TH!M658="1111")),TH!D658,""),"")</f>
        <v>C29</v>
      </c>
      <c r="B658" s="36">
        <f t="shared" si="39"/>
        <v>9</v>
      </c>
      <c r="C658" s="189">
        <f t="shared" si="40"/>
        <v>42270</v>
      </c>
      <c r="D658" s="189" t="s">
        <v>1412</v>
      </c>
      <c r="E658" s="189">
        <v>42270</v>
      </c>
      <c r="F658" s="190" t="s">
        <v>558</v>
      </c>
      <c r="G658" s="813" t="s">
        <v>631</v>
      </c>
      <c r="H658" s="7" t="s">
        <v>559</v>
      </c>
      <c r="I658" s="243"/>
      <c r="J658" s="243"/>
      <c r="K658" s="573">
        <v>348182</v>
      </c>
      <c r="L658" s="574" t="s">
        <v>83</v>
      </c>
      <c r="M658" s="574" t="s">
        <v>47</v>
      </c>
      <c r="N658" s="51" t="str">
        <f>IF(AND('331-CT'!$E$7=TH!H658,OR(L658="331",M658="331")),"331",IF(AND(OR(L658="131",M658="131"),H658='131-CT'!$E$7),"131",""))</f>
        <v/>
      </c>
      <c r="O658" s="51" t="str">
        <f>IF(AND($B658&gt;='111'!$N$11,$B658&lt;='111'!$O$11,OR($L658=$O$7,$M658=$O$7)),"x","")</f>
        <v/>
      </c>
      <c r="P658" s="51" t="str">
        <f>IF(AND($L658=$O$7,$B658&lt;'111'!$N$11),"x","")</f>
        <v/>
      </c>
      <c r="Q658" s="51" t="str">
        <f>IF(AND($M658=$O$7,$B658&lt;'111'!$N$11),"x","")</f>
        <v>x</v>
      </c>
      <c r="R658" s="51" t="str">
        <f>IF(ISERROR(FIND('112'!$M$9,G658,1)),"",IF((AND(FIND('112'!$M$9,G658,1)&gt;=1,$B658&gt;='112'!$N$8,$B658&lt;='112'!$O$8,OR($L658='112'!$I$6,$M658='112'!$I$6))),"x",""))</f>
        <v/>
      </c>
      <c r="S658" s="51" t="str">
        <f>IF(ISERROR(FIND('112'!$M$9,G658,1)),"",IF((AND(LEFT(G658,2)=LEFT('112'!$M$9,2),B658&lt;'112'!$N$8,$L658='112'!$I$6)),"x",""))</f>
        <v/>
      </c>
      <c r="T658" s="51" t="str">
        <f>IF(ISERROR(FIND('112'!$M$9,G658,1)),"",IF((AND(RIGHT(G658,2)=RIGHT('112'!$M$9,2),B658&lt;'112'!$N$8,$M658='112'!$I$6)),"x",""))</f>
        <v/>
      </c>
      <c r="U658" s="51" t="str">
        <f>IF(AND(L658="154",'154'!$O$5&lt;=B658,'154'!$P$5&gt;=B658),"154",IF(AND(L658="632",'632'!$L$5&lt;=B658,'632'!$M$5&gt;=B658),"632",IF(AND(L658="642",'642'!$N$5&lt;=B658,'642'!$O$5&gt;=B658),"642",IF(AND(L658="641",'641'!$N$5&lt;=B658,'641'!$O$5&gt;=B658),"641",""))))</f>
        <v/>
      </c>
      <c r="V658" s="51" t="str">
        <f>IF(OR(TH!L658=TH!$V$7,M658=TH!$V$7),"x","")</f>
        <v>x</v>
      </c>
      <c r="W658" s="51" t="str">
        <f>IF(AND(B658&gt;='IN-NX'!$P$3,B658&lt;='IN-NX'!$Q$3,'IN-NX'!$D$7=D658,OR(LEFT(L658,2)="15",AND(LEFT(M658,2)&lt;&gt;"15",LEFT(M658,2)&lt;&gt;"33"))),"x","")</f>
        <v/>
      </c>
      <c r="X658" s="51" t="str">
        <f>IF(AND(OR(LEFT(TH!L658,2)="15",LEFT(TH!M658,2)="15"),'152-CT'!$J$8=TH!F658),"x","")</f>
        <v/>
      </c>
      <c r="Y658" s="51" t="str">
        <f>IF(AND(OR(LEFT(TH!L658,2)="15",LEFT(TH!M658,2)="15"),TK!$E$7=TH!F658),"x","")</f>
        <v/>
      </c>
      <c r="Z658" s="51" t="str">
        <f>IF(AND(B658&lt;=NKC!$N$8,B658&gt;=NKC!$M$8),"x","")</f>
        <v>x</v>
      </c>
      <c r="AA658" s="803"/>
      <c r="AB658" s="565"/>
    </row>
    <row r="659" spans="1:31" ht="15.75" customHeight="1">
      <c r="A659" s="804" t="str">
        <f>IF(B659&lt;&gt;"",IF(AND(B659&gt;=_TM1,B659&lt;=_TM2,OR(TH!L659="1111",TH!M659="1111")),TH!D659,""),"")</f>
        <v>C29</v>
      </c>
      <c r="B659" s="36">
        <f t="shared" si="39"/>
        <v>9</v>
      </c>
      <c r="C659" s="189">
        <f t="shared" si="40"/>
        <v>42270</v>
      </c>
      <c r="D659" s="189" t="s">
        <v>1412</v>
      </c>
      <c r="E659" s="189">
        <v>42270</v>
      </c>
      <c r="F659" s="190" t="s">
        <v>560</v>
      </c>
      <c r="G659" s="813" t="s">
        <v>631</v>
      </c>
      <c r="H659" s="7" t="s">
        <v>559</v>
      </c>
      <c r="I659" s="243"/>
      <c r="J659" s="243"/>
      <c r="K659" s="573">
        <v>34818</v>
      </c>
      <c r="L659" s="574" t="s">
        <v>9</v>
      </c>
      <c r="M659" s="574" t="s">
        <v>47</v>
      </c>
      <c r="N659" s="51" t="str">
        <f>IF(AND('331-CT'!$E$7=TH!H659,OR(L659="331",M659="331")),"331",IF(AND(OR(L659="131",M659="131"),H659='131-CT'!$E$7),"131",""))</f>
        <v/>
      </c>
      <c r="O659" s="51" t="str">
        <f>IF(AND($B659&gt;='111'!$N$11,$B659&lt;='111'!$O$11,OR($L659=$O$7,$M659=$O$7)),"x","")</f>
        <v/>
      </c>
      <c r="P659" s="51" t="str">
        <f>IF(AND($L659=$O$7,$B659&lt;'111'!$N$11),"x","")</f>
        <v/>
      </c>
      <c r="Q659" s="51" t="str">
        <f>IF(AND($M659=$O$7,$B659&lt;'111'!$N$11),"x","")</f>
        <v>x</v>
      </c>
      <c r="R659" s="51" t="str">
        <f>IF(ISERROR(FIND('112'!$M$9,G659,1)),"",IF((AND(FIND('112'!$M$9,G659,1)&gt;=1,$B659&gt;='112'!$N$8,$B659&lt;='112'!$O$8,OR($L659='112'!$I$6,$M659='112'!$I$6))),"x",""))</f>
        <v/>
      </c>
      <c r="S659" s="51" t="str">
        <f>IF(ISERROR(FIND('112'!$M$9,G659,1)),"",IF((AND(LEFT(G659,2)=LEFT('112'!$M$9,2),B659&lt;'112'!$N$8,$L659='112'!$I$6)),"x",""))</f>
        <v/>
      </c>
      <c r="T659" s="51" t="str">
        <f>IF(ISERROR(FIND('112'!$M$9,G659,1)),"",IF((AND(RIGHT(G659,2)=RIGHT('112'!$M$9,2),B659&lt;'112'!$N$8,$M659='112'!$I$6)),"x",""))</f>
        <v/>
      </c>
      <c r="U659" s="51" t="str">
        <f>IF(AND(L659="154",'154'!$O$5&lt;=B659,'154'!$P$5&gt;=B659),"154",IF(AND(L659="632",'632'!$L$5&lt;=B659,'632'!$M$5&gt;=B659),"632",IF(AND(L659="642",'642'!$N$5&lt;=B659,'642'!$O$5&gt;=B659),"642",IF(AND(L659="641",'641'!$N$5&lt;=B659,'641'!$O$5&gt;=B659),"641",""))))</f>
        <v/>
      </c>
      <c r="V659" s="51" t="str">
        <f>IF(OR(TH!L659=TH!$V$7,M659=TH!$V$7),"x","")</f>
        <v/>
      </c>
      <c r="W659" s="51" t="str">
        <f>IF(AND(B659&gt;='IN-NX'!$P$3,B659&lt;='IN-NX'!$Q$3,'IN-NX'!$D$7=D659,OR(LEFT(L659,2)="15",AND(LEFT(M659,2)&lt;&gt;"15",LEFT(M659,2)&lt;&gt;"33"))),"x","")</f>
        <v/>
      </c>
      <c r="X659" s="51" t="str">
        <f>IF(AND(OR(LEFT(TH!L659,2)="15",LEFT(TH!M659,2)="15"),'152-CT'!$J$8=TH!F659),"x","")</f>
        <v/>
      </c>
      <c r="Y659" s="51" t="str">
        <f>IF(AND(OR(LEFT(TH!L659,2)="15",LEFT(TH!M659,2)="15"),TK!$E$7=TH!F659),"x","")</f>
        <v/>
      </c>
      <c r="Z659" s="51" t="str">
        <f>IF(AND(B659&lt;=NKC!$N$8,B659&gt;=NKC!$M$8),"x","")</f>
        <v>x</v>
      </c>
      <c r="AA659" s="803">
        <v>3</v>
      </c>
      <c r="AB659" s="565"/>
    </row>
    <row r="660" spans="1:31" ht="15.75" customHeight="1">
      <c r="A660" s="804" t="str">
        <f>IF(B660&lt;&gt;"",IF(AND(B660&gt;=_TM1,B660&lt;=_TM2,OR(TH!L660="1111",TH!M660="1111")),TH!D660,""),"")</f>
        <v/>
      </c>
      <c r="B660" s="36">
        <f t="shared" si="39"/>
        <v>9</v>
      </c>
      <c r="C660" s="189">
        <f t="shared" si="40"/>
        <v>42270</v>
      </c>
      <c r="D660" s="189" t="s">
        <v>1420</v>
      </c>
      <c r="E660" s="189">
        <v>42270</v>
      </c>
      <c r="F660" s="190" t="s">
        <v>633</v>
      </c>
      <c r="G660" s="813" t="s">
        <v>632</v>
      </c>
      <c r="H660" s="191" t="s">
        <v>509</v>
      </c>
      <c r="I660" s="243">
        <v>33</v>
      </c>
      <c r="J660" s="243">
        <v>10663</v>
      </c>
      <c r="K660" s="573">
        <f t="shared" ref="K660:K689" si="41">ROUND(I660*J660,0)</f>
        <v>351879</v>
      </c>
      <c r="L660" s="574" t="s">
        <v>417</v>
      </c>
      <c r="M660" s="574" t="s">
        <v>8</v>
      </c>
      <c r="N660" s="51" t="str">
        <f>IF(AND('331-CT'!$E$7=TH!H660,OR(L660="331",M660="331")),"331",IF(AND(OR(L660="131",M660="131"),H660='131-CT'!$E$7),"131",""))</f>
        <v/>
      </c>
      <c r="O660" s="51" t="str">
        <f>IF(AND($B660&gt;='111'!$N$11,$B660&lt;='111'!$O$11,OR($L660=$O$7,$M660=$O$7)),"x","")</f>
        <v/>
      </c>
      <c r="P660" s="51" t="str">
        <f>IF(AND($L660=$O$7,$B660&lt;'111'!$N$11),"x","")</f>
        <v/>
      </c>
      <c r="Q660" s="51" t="str">
        <f>IF(AND($M660=$O$7,$B660&lt;'111'!$N$11),"x","")</f>
        <v/>
      </c>
      <c r="R660" s="51" t="str">
        <f>IF(ISERROR(FIND('112'!$M$9,G660,1)),"",IF((AND(FIND('112'!$M$9,G660,1)&gt;=1,$B660&gt;='112'!$N$8,$B660&lt;='112'!$O$8,OR($L660='112'!$I$6,$M660='112'!$I$6))),"x",""))</f>
        <v/>
      </c>
      <c r="S660" s="51" t="str">
        <f>IF(ISERROR(FIND('112'!$M$9,G660,1)),"",IF((AND(LEFT(G660,2)=LEFT('112'!$M$9,2),B660&lt;'112'!$N$8,$L660='112'!$I$6)),"x",""))</f>
        <v/>
      </c>
      <c r="T660" s="51" t="str">
        <f>IF(ISERROR(FIND('112'!$M$9,G660,1)),"",IF((AND(RIGHT(G660,2)=RIGHT('112'!$M$9,2),B660&lt;'112'!$N$8,$M660='112'!$I$6)),"x",""))</f>
        <v/>
      </c>
      <c r="U660" s="51" t="str">
        <f>IF(AND(L660="154",'154'!$O$5&lt;=B660,'154'!$P$5&gt;=B660),"154",IF(AND(L660="632",'632'!$L$5&lt;=B660,'632'!$M$5&gt;=B660),"632",IF(AND(L660="642",'642'!$N$5&lt;=B660,'642'!$O$5&gt;=B660),"642",IF(AND(L660="641",'641'!$N$5&lt;=B660,'641'!$O$5&gt;=B660),"641",""))))</f>
        <v/>
      </c>
      <c r="V660" s="51" t="str">
        <f>IF(OR(TH!L660=TH!$V$7,M660=TH!$V$7),"x","")</f>
        <v/>
      </c>
      <c r="W660" s="51" t="str">
        <f>IF(AND(B660&gt;='IN-NX'!$P$3,B660&lt;='IN-NX'!$Q$3,'IN-NX'!$D$7=D660,OR(LEFT(L660,2)="15",AND(LEFT(M660,2)&lt;&gt;"15",LEFT(M660,2)&lt;&gt;"33"))),"x","")</f>
        <v/>
      </c>
      <c r="X660" s="51" t="str">
        <f>IF(AND(OR(LEFT(TH!L660,2)="15",LEFT(TH!M660,2)="15"),'152-CT'!$J$8=TH!F660),"x","")</f>
        <v/>
      </c>
      <c r="Y660" s="51" t="str">
        <f>IF(AND(OR(LEFT(TH!L660,2)="15",LEFT(TH!M660,2)="15"),TK!$E$7=TH!F660),"x","")</f>
        <v/>
      </c>
      <c r="Z660" s="51" t="str">
        <f>IF(AND(B660&lt;=NKC!$N$8,B660&gt;=NKC!$M$8),"x","")</f>
        <v>x</v>
      </c>
      <c r="AA660" s="803"/>
      <c r="AB660" s="565"/>
    </row>
    <row r="661" spans="1:31" ht="15.75" customHeight="1">
      <c r="A661" s="804" t="str">
        <f>IF(B661&lt;&gt;"",IF(AND(B661&gt;=_TM1,B661&lt;=_TM2,OR(TH!L661="1111",TH!M661="1111")),TH!D661,""),"")</f>
        <v/>
      </c>
      <c r="B661" s="36">
        <f t="shared" si="39"/>
        <v>9</v>
      </c>
      <c r="C661" s="189">
        <f t="shared" si="40"/>
        <v>42270</v>
      </c>
      <c r="D661" s="189" t="s">
        <v>1420</v>
      </c>
      <c r="E661" s="189">
        <v>42270</v>
      </c>
      <c r="F661" s="190" t="s">
        <v>634</v>
      </c>
      <c r="G661" s="813" t="s">
        <v>632</v>
      </c>
      <c r="H661" s="191" t="s">
        <v>509</v>
      </c>
      <c r="I661" s="243">
        <v>66</v>
      </c>
      <c r="J661" s="243">
        <v>15994</v>
      </c>
      <c r="K661" s="573">
        <f t="shared" si="41"/>
        <v>1055604</v>
      </c>
      <c r="L661" s="574" t="s">
        <v>417</v>
      </c>
      <c r="M661" s="574" t="s">
        <v>8</v>
      </c>
      <c r="N661" s="51" t="str">
        <f>IF(AND('331-CT'!$E$7=TH!H661,OR(L661="331",M661="331")),"331",IF(AND(OR(L661="131",M661="131"),H661='131-CT'!$E$7),"131",""))</f>
        <v/>
      </c>
      <c r="O661" s="51" t="str">
        <f>IF(AND($B661&gt;='111'!$N$11,$B661&lt;='111'!$O$11,OR($L661=$O$7,$M661=$O$7)),"x","")</f>
        <v/>
      </c>
      <c r="P661" s="51" t="str">
        <f>IF(AND($L661=$O$7,$B661&lt;'111'!$N$11),"x","")</f>
        <v/>
      </c>
      <c r="Q661" s="51" t="str">
        <f>IF(AND($M661=$O$7,$B661&lt;'111'!$N$11),"x","")</f>
        <v/>
      </c>
      <c r="R661" s="51" t="str">
        <f>IF(ISERROR(FIND('112'!$M$9,G661,1)),"",IF((AND(FIND('112'!$M$9,G661,1)&gt;=1,$B661&gt;='112'!$N$8,$B661&lt;='112'!$O$8,OR($L661='112'!$I$6,$M661='112'!$I$6))),"x",""))</f>
        <v/>
      </c>
      <c r="S661" s="51" t="str">
        <f>IF(ISERROR(FIND('112'!$M$9,G661,1)),"",IF((AND(LEFT(G661,2)=LEFT('112'!$M$9,2),B661&lt;'112'!$N$8,$L661='112'!$I$6)),"x",""))</f>
        <v/>
      </c>
      <c r="T661" s="51" t="str">
        <f>IF(ISERROR(FIND('112'!$M$9,G661,1)),"",IF((AND(RIGHT(G661,2)=RIGHT('112'!$M$9,2),B661&lt;'112'!$N$8,$M661='112'!$I$6)),"x",""))</f>
        <v/>
      </c>
      <c r="U661" s="51" t="str">
        <f>IF(AND(L661="154",'154'!$O$5&lt;=B661,'154'!$P$5&gt;=B661),"154",IF(AND(L661="632",'632'!$L$5&lt;=B661,'632'!$M$5&gt;=B661),"632",IF(AND(L661="642",'642'!$N$5&lt;=B661,'642'!$O$5&gt;=B661),"642",IF(AND(L661="641",'641'!$N$5&lt;=B661,'641'!$O$5&gt;=B661),"641",""))))</f>
        <v/>
      </c>
      <c r="V661" s="51" t="str">
        <f>IF(OR(TH!L661=TH!$V$7,M661=TH!$V$7),"x","")</f>
        <v/>
      </c>
      <c r="W661" s="51" t="str">
        <f>IF(AND(B661&gt;='IN-NX'!$P$3,B661&lt;='IN-NX'!$Q$3,'IN-NX'!$D$7=D661,OR(LEFT(L661,2)="15",AND(LEFT(M661,2)&lt;&gt;"15",LEFT(M661,2)&lt;&gt;"33"))),"x","")</f>
        <v/>
      </c>
      <c r="X661" s="51" t="str">
        <f>IF(AND(OR(LEFT(TH!L661,2)="15",LEFT(TH!M661,2)="15"),'152-CT'!$J$8=TH!F661),"x","")</f>
        <v/>
      </c>
      <c r="Y661" s="51" t="str">
        <f>IF(AND(OR(LEFT(TH!L661,2)="15",LEFT(TH!M661,2)="15"),TK!$E$7=TH!F661),"x","")</f>
        <v/>
      </c>
      <c r="Z661" s="51" t="str">
        <f>IF(AND(B661&lt;=NKC!$N$8,B661&gt;=NKC!$M$8),"x","")</f>
        <v>x</v>
      </c>
      <c r="AA661" s="803"/>
      <c r="AB661" s="565"/>
    </row>
    <row r="662" spans="1:31" ht="15.75" customHeight="1">
      <c r="A662" s="804" t="str">
        <f>IF(B662&lt;&gt;"",IF(AND(B662&gt;=_TM1,B662&lt;=_TM2,OR(TH!L662="1111",TH!M662="1111")),TH!D662,""),"")</f>
        <v/>
      </c>
      <c r="B662" s="36">
        <f t="shared" si="39"/>
        <v>9</v>
      </c>
      <c r="C662" s="189">
        <f t="shared" si="40"/>
        <v>42270</v>
      </c>
      <c r="D662" s="189" t="s">
        <v>1420</v>
      </c>
      <c r="E662" s="189">
        <v>42270</v>
      </c>
      <c r="F662" s="190" t="s">
        <v>635</v>
      </c>
      <c r="G662" s="813" t="s">
        <v>632</v>
      </c>
      <c r="H662" s="191" t="s">
        <v>509</v>
      </c>
      <c r="I662" s="243">
        <v>14</v>
      </c>
      <c r="J662" s="243">
        <v>16606</v>
      </c>
      <c r="K662" s="573">
        <f t="shared" si="41"/>
        <v>232484</v>
      </c>
      <c r="L662" s="574" t="s">
        <v>417</v>
      </c>
      <c r="M662" s="574" t="s">
        <v>8</v>
      </c>
      <c r="N662" s="51" t="str">
        <f>IF(AND('331-CT'!$E$7=TH!H662,OR(L662="331",M662="331")),"331",IF(AND(OR(L662="131",M662="131"),H662='131-CT'!$E$7),"131",""))</f>
        <v/>
      </c>
      <c r="O662" s="51" t="str">
        <f>IF(AND($B662&gt;='111'!$N$11,$B662&lt;='111'!$O$11,OR($L662=$O$7,$M662=$O$7)),"x","")</f>
        <v/>
      </c>
      <c r="P662" s="51" t="str">
        <f>IF(AND($L662=$O$7,$B662&lt;'111'!$N$11),"x","")</f>
        <v/>
      </c>
      <c r="Q662" s="51" t="str">
        <f>IF(AND($M662=$O$7,$B662&lt;'111'!$N$11),"x","")</f>
        <v/>
      </c>
      <c r="R662" s="51" t="str">
        <f>IF(ISERROR(FIND('112'!$M$9,G662,1)),"",IF((AND(FIND('112'!$M$9,G662,1)&gt;=1,$B662&gt;='112'!$N$8,$B662&lt;='112'!$O$8,OR($L662='112'!$I$6,$M662='112'!$I$6))),"x",""))</f>
        <v/>
      </c>
      <c r="S662" s="51" t="str">
        <f>IF(ISERROR(FIND('112'!$M$9,G662,1)),"",IF((AND(LEFT(G662,2)=LEFT('112'!$M$9,2),B662&lt;'112'!$N$8,$L662='112'!$I$6)),"x",""))</f>
        <v/>
      </c>
      <c r="T662" s="51" t="str">
        <f>IF(ISERROR(FIND('112'!$M$9,G662,1)),"",IF((AND(RIGHT(G662,2)=RIGHT('112'!$M$9,2),B662&lt;'112'!$N$8,$M662='112'!$I$6)),"x",""))</f>
        <v/>
      </c>
      <c r="U662" s="51" t="str">
        <f>IF(AND(L662="154",'154'!$O$5&lt;=B662,'154'!$P$5&gt;=B662),"154",IF(AND(L662="632",'632'!$L$5&lt;=B662,'632'!$M$5&gt;=B662),"632",IF(AND(L662="642",'642'!$N$5&lt;=B662,'642'!$O$5&gt;=B662),"642",IF(AND(L662="641",'641'!$N$5&lt;=B662,'641'!$O$5&gt;=B662),"641",""))))</f>
        <v/>
      </c>
      <c r="V662" s="51" t="str">
        <f>IF(OR(TH!L662=TH!$V$7,M662=TH!$V$7),"x","")</f>
        <v/>
      </c>
      <c r="W662" s="51" t="str">
        <f>IF(AND(B662&gt;='IN-NX'!$P$3,B662&lt;='IN-NX'!$Q$3,'IN-NX'!$D$7=D662,OR(LEFT(L662,2)="15",AND(LEFT(M662,2)&lt;&gt;"15",LEFT(M662,2)&lt;&gt;"33"))),"x","")</f>
        <v/>
      </c>
      <c r="X662" s="51" t="str">
        <f>IF(AND(OR(LEFT(TH!L662,2)="15",LEFT(TH!M662,2)="15"),'152-CT'!$J$8=TH!F662),"x","")</f>
        <v/>
      </c>
      <c r="Y662" s="51" t="str">
        <f>IF(AND(OR(LEFT(TH!L662,2)="15",LEFT(TH!M662,2)="15"),TK!$E$7=TH!F662),"x","")</f>
        <v/>
      </c>
      <c r="Z662" s="51" t="str">
        <f>IF(AND(B662&lt;=NKC!$N$8,B662&gt;=NKC!$M$8),"x","")</f>
        <v>x</v>
      </c>
      <c r="AA662" s="803"/>
      <c r="AB662" s="565"/>
    </row>
    <row r="663" spans="1:31" ht="15.75" customHeight="1">
      <c r="A663" s="804" t="str">
        <f>IF(B663&lt;&gt;"",IF(AND(B663&gt;=_TM1,B663&lt;=_TM2,OR(TH!L663="1111",TH!M663="1111")),TH!D663,""),"")</f>
        <v/>
      </c>
      <c r="B663" s="36">
        <f t="shared" si="39"/>
        <v>9</v>
      </c>
      <c r="C663" s="189">
        <f t="shared" si="40"/>
        <v>42270</v>
      </c>
      <c r="D663" s="189" t="s">
        <v>1420</v>
      </c>
      <c r="E663" s="189">
        <v>42270</v>
      </c>
      <c r="F663" s="190" t="s">
        <v>636</v>
      </c>
      <c r="G663" s="813" t="s">
        <v>632</v>
      </c>
      <c r="H663" s="191" t="s">
        <v>509</v>
      </c>
      <c r="I663" s="243">
        <v>7</v>
      </c>
      <c r="J663" s="243">
        <v>17130</v>
      </c>
      <c r="K663" s="573">
        <f t="shared" si="41"/>
        <v>119910</v>
      </c>
      <c r="L663" s="574" t="s">
        <v>417</v>
      </c>
      <c r="M663" s="574" t="s">
        <v>8</v>
      </c>
      <c r="N663" s="51" t="str">
        <f>IF(AND('331-CT'!$E$7=TH!H663,OR(L663="331",M663="331")),"331",IF(AND(OR(L663="131",M663="131"),H663='131-CT'!$E$7),"131",""))</f>
        <v/>
      </c>
      <c r="O663" s="51" t="str">
        <f>IF(AND($B663&gt;='111'!$N$11,$B663&lt;='111'!$O$11,OR($L663=$O$7,$M663=$O$7)),"x","")</f>
        <v/>
      </c>
      <c r="P663" s="51" t="str">
        <f>IF(AND($L663=$O$7,$B663&lt;'111'!$N$11),"x","")</f>
        <v/>
      </c>
      <c r="Q663" s="51" t="str">
        <f>IF(AND($M663=$O$7,$B663&lt;'111'!$N$11),"x","")</f>
        <v/>
      </c>
      <c r="R663" s="51" t="str">
        <f>IF(ISERROR(FIND('112'!$M$9,G663,1)),"",IF((AND(FIND('112'!$M$9,G663,1)&gt;=1,$B663&gt;='112'!$N$8,$B663&lt;='112'!$O$8,OR($L663='112'!$I$6,$M663='112'!$I$6))),"x",""))</f>
        <v/>
      </c>
      <c r="S663" s="51" t="str">
        <f>IF(ISERROR(FIND('112'!$M$9,G663,1)),"",IF((AND(LEFT(G663,2)=LEFT('112'!$M$9,2),B663&lt;'112'!$N$8,$L663='112'!$I$6)),"x",""))</f>
        <v/>
      </c>
      <c r="T663" s="51" t="str">
        <f>IF(ISERROR(FIND('112'!$M$9,G663,1)),"",IF((AND(RIGHT(G663,2)=RIGHT('112'!$M$9,2),B663&lt;'112'!$N$8,$M663='112'!$I$6)),"x",""))</f>
        <v/>
      </c>
      <c r="U663" s="51" t="str">
        <f>IF(AND(L663="154",'154'!$O$5&lt;=B663,'154'!$P$5&gt;=B663),"154",IF(AND(L663="632",'632'!$L$5&lt;=B663,'632'!$M$5&gt;=B663),"632",IF(AND(L663="642",'642'!$N$5&lt;=B663,'642'!$O$5&gt;=B663),"642",IF(AND(L663="641",'641'!$N$5&lt;=B663,'641'!$O$5&gt;=B663),"641",""))))</f>
        <v/>
      </c>
      <c r="V663" s="51" t="str">
        <f>IF(OR(TH!L663=TH!$V$7,M663=TH!$V$7),"x","")</f>
        <v/>
      </c>
      <c r="W663" s="51" t="str">
        <f>IF(AND(B663&gt;='IN-NX'!$P$3,B663&lt;='IN-NX'!$Q$3,'IN-NX'!$D$7=D663,OR(LEFT(L663,2)="15",AND(LEFT(M663,2)&lt;&gt;"15",LEFT(M663,2)&lt;&gt;"33"))),"x","")</f>
        <v/>
      </c>
      <c r="X663" s="51" t="str">
        <f>IF(AND(OR(LEFT(TH!L663,2)="15",LEFT(TH!M663,2)="15"),'152-CT'!$J$8=TH!F663),"x","")</f>
        <v/>
      </c>
      <c r="Y663" s="51" t="str">
        <f>IF(AND(OR(LEFT(TH!L663,2)="15",LEFT(TH!M663,2)="15"),TK!$E$7=TH!F663),"x","")</f>
        <v/>
      </c>
      <c r="Z663" s="51" t="str">
        <f>IF(AND(B663&lt;=NKC!$N$8,B663&gt;=NKC!$M$8),"x","")</f>
        <v>x</v>
      </c>
      <c r="AA663" s="803"/>
      <c r="AB663" s="565"/>
    </row>
    <row r="664" spans="1:31" ht="15.75" customHeight="1">
      <c r="A664" s="804" t="str">
        <f>IF(B664&lt;&gt;"",IF(AND(B664&gt;=_TM1,B664&lt;=_TM2,OR(TH!L664="1111",TH!M664="1111")),TH!D664,""),"")</f>
        <v/>
      </c>
      <c r="B664" s="36">
        <f t="shared" si="39"/>
        <v>9</v>
      </c>
      <c r="C664" s="189">
        <f t="shared" si="40"/>
        <v>42270</v>
      </c>
      <c r="D664" s="189" t="s">
        <v>1420</v>
      </c>
      <c r="E664" s="189">
        <v>42270</v>
      </c>
      <c r="F664" s="190" t="s">
        <v>637</v>
      </c>
      <c r="G664" s="813" t="s">
        <v>632</v>
      </c>
      <c r="H664" s="191" t="s">
        <v>509</v>
      </c>
      <c r="I664" s="243">
        <v>7</v>
      </c>
      <c r="J664" s="243">
        <v>11362</v>
      </c>
      <c r="K664" s="573">
        <f t="shared" si="41"/>
        <v>79534</v>
      </c>
      <c r="L664" s="574" t="s">
        <v>417</v>
      </c>
      <c r="M664" s="574" t="s">
        <v>8</v>
      </c>
      <c r="N664" s="51" t="str">
        <f>IF(AND('331-CT'!$E$7=TH!H664,OR(L664="331",M664="331")),"331",IF(AND(OR(L664="131",M664="131"),H664='131-CT'!$E$7),"131",""))</f>
        <v/>
      </c>
      <c r="O664" s="51" t="str">
        <f>IF(AND($B664&gt;='111'!$N$11,$B664&lt;='111'!$O$11,OR($L664=$O$7,$M664=$O$7)),"x","")</f>
        <v/>
      </c>
      <c r="P664" s="51" t="str">
        <f>IF(AND($L664=$O$7,$B664&lt;'111'!$N$11),"x","")</f>
        <v/>
      </c>
      <c r="Q664" s="51" t="str">
        <f>IF(AND($M664=$O$7,$B664&lt;'111'!$N$11),"x","")</f>
        <v/>
      </c>
      <c r="R664" s="51" t="str">
        <f>IF(ISERROR(FIND('112'!$M$9,G664,1)),"",IF((AND(FIND('112'!$M$9,G664,1)&gt;=1,$B664&gt;='112'!$N$8,$B664&lt;='112'!$O$8,OR($L664='112'!$I$6,$M664='112'!$I$6))),"x",""))</f>
        <v/>
      </c>
      <c r="S664" s="51" t="str">
        <f>IF(ISERROR(FIND('112'!$M$9,G664,1)),"",IF((AND(LEFT(G664,2)=LEFT('112'!$M$9,2),B664&lt;'112'!$N$8,$L664='112'!$I$6)),"x",""))</f>
        <v/>
      </c>
      <c r="T664" s="51" t="str">
        <f>IF(ISERROR(FIND('112'!$M$9,G664,1)),"",IF((AND(RIGHT(G664,2)=RIGHT('112'!$M$9,2),B664&lt;'112'!$N$8,$M664='112'!$I$6)),"x",""))</f>
        <v/>
      </c>
      <c r="U664" s="51" t="str">
        <f>IF(AND(L664="154",'154'!$O$5&lt;=B664,'154'!$P$5&gt;=B664),"154",IF(AND(L664="632",'632'!$L$5&lt;=B664,'632'!$M$5&gt;=B664),"632",IF(AND(L664="642",'642'!$N$5&lt;=B664,'642'!$O$5&gt;=B664),"642",IF(AND(L664="641",'641'!$N$5&lt;=B664,'641'!$O$5&gt;=B664),"641",""))))</f>
        <v/>
      </c>
      <c r="V664" s="51" t="str">
        <f>IF(OR(TH!L664=TH!$V$7,M664=TH!$V$7),"x","")</f>
        <v/>
      </c>
      <c r="W664" s="51" t="str">
        <f>IF(AND(B664&gt;='IN-NX'!$P$3,B664&lt;='IN-NX'!$Q$3,'IN-NX'!$D$7=D664,OR(LEFT(L664,2)="15",AND(LEFT(M664,2)&lt;&gt;"15",LEFT(M664,2)&lt;&gt;"33"))),"x","")</f>
        <v/>
      </c>
      <c r="X664" s="51" t="str">
        <f>IF(AND(OR(LEFT(TH!L664,2)="15",LEFT(TH!M664,2)="15"),'152-CT'!$J$8=TH!F664),"x","")</f>
        <v/>
      </c>
      <c r="Y664" s="51" t="str">
        <f>IF(AND(OR(LEFT(TH!L664,2)="15",LEFT(TH!M664,2)="15"),TK!$E$7=TH!F664),"x","")</f>
        <v/>
      </c>
      <c r="Z664" s="51" t="str">
        <f>IF(AND(B664&lt;=NKC!$N$8,B664&gt;=NKC!$M$8),"x","")</f>
        <v>x</v>
      </c>
      <c r="AA664" s="803"/>
      <c r="AB664" s="565"/>
    </row>
    <row r="665" spans="1:31" ht="15.75" customHeight="1">
      <c r="A665" s="804" t="str">
        <f>IF(B665&lt;&gt;"",IF(AND(B665&gt;=_TM1,B665&lt;=_TM2,OR(TH!L665="1111",TH!M665="1111")),TH!D665,""),"")</f>
        <v/>
      </c>
      <c r="B665" s="36">
        <f t="shared" si="39"/>
        <v>9</v>
      </c>
      <c r="C665" s="189">
        <f t="shared" si="40"/>
        <v>42270</v>
      </c>
      <c r="D665" s="189" t="s">
        <v>1420</v>
      </c>
      <c r="E665" s="189">
        <v>42270</v>
      </c>
      <c r="F665" s="190" t="s">
        <v>638</v>
      </c>
      <c r="G665" s="813" t="s">
        <v>632</v>
      </c>
      <c r="H665" s="191" t="s">
        <v>509</v>
      </c>
      <c r="I665" s="243">
        <v>7</v>
      </c>
      <c r="J665" s="243">
        <v>18354</v>
      </c>
      <c r="K665" s="573">
        <f t="shared" si="41"/>
        <v>128478</v>
      </c>
      <c r="L665" s="574" t="s">
        <v>417</v>
      </c>
      <c r="M665" s="574" t="s">
        <v>8</v>
      </c>
      <c r="N665" s="51" t="str">
        <f>IF(AND('331-CT'!$E$7=TH!H665,OR(L665="331",M665="331")),"331",IF(AND(OR(L665="131",M665="131"),H665='131-CT'!$E$7),"131",""))</f>
        <v/>
      </c>
      <c r="O665" s="51" t="str">
        <f>IF(AND($B665&gt;='111'!$N$11,$B665&lt;='111'!$O$11,OR($L665=$O$7,$M665=$O$7)),"x","")</f>
        <v/>
      </c>
      <c r="P665" s="51" t="str">
        <f>IF(AND($L665=$O$7,$B665&lt;'111'!$N$11),"x","")</f>
        <v/>
      </c>
      <c r="Q665" s="51" t="str">
        <f>IF(AND($M665=$O$7,$B665&lt;'111'!$N$11),"x","")</f>
        <v/>
      </c>
      <c r="R665" s="51" t="str">
        <f>IF(ISERROR(FIND('112'!$M$9,G665,1)),"",IF((AND(FIND('112'!$M$9,G665,1)&gt;=1,$B665&gt;='112'!$N$8,$B665&lt;='112'!$O$8,OR($L665='112'!$I$6,$M665='112'!$I$6))),"x",""))</f>
        <v/>
      </c>
      <c r="S665" s="51" t="str">
        <f>IF(ISERROR(FIND('112'!$M$9,G665,1)),"",IF((AND(LEFT(G665,2)=LEFT('112'!$M$9,2),B665&lt;'112'!$N$8,$L665='112'!$I$6)),"x",""))</f>
        <v/>
      </c>
      <c r="T665" s="51" t="str">
        <f>IF(ISERROR(FIND('112'!$M$9,G665,1)),"",IF((AND(RIGHT(G665,2)=RIGHT('112'!$M$9,2),B665&lt;'112'!$N$8,$M665='112'!$I$6)),"x",""))</f>
        <v/>
      </c>
      <c r="U665" s="51" t="str">
        <f>IF(AND(L665="154",'154'!$O$5&lt;=B665,'154'!$P$5&gt;=B665),"154",IF(AND(L665="632",'632'!$L$5&lt;=B665,'632'!$M$5&gt;=B665),"632",IF(AND(L665="642",'642'!$N$5&lt;=B665,'642'!$O$5&gt;=B665),"642",IF(AND(L665="641",'641'!$N$5&lt;=B665,'641'!$O$5&gt;=B665),"641",""))))</f>
        <v/>
      </c>
      <c r="V665" s="51" t="str">
        <f>IF(OR(TH!L665=TH!$V$7,M665=TH!$V$7),"x","")</f>
        <v/>
      </c>
      <c r="W665" s="51" t="str">
        <f>IF(AND(B665&gt;='IN-NX'!$P$3,B665&lt;='IN-NX'!$Q$3,'IN-NX'!$D$7=D665,OR(LEFT(L665,2)="15",AND(LEFT(M665,2)&lt;&gt;"15",LEFT(M665,2)&lt;&gt;"33"))),"x","")</f>
        <v/>
      </c>
      <c r="X665" s="51" t="str">
        <f>IF(AND(OR(LEFT(TH!L665,2)="15",LEFT(TH!M665,2)="15"),'152-CT'!$J$8=TH!F665),"x","")</f>
        <v/>
      </c>
      <c r="Y665" s="51" t="str">
        <f>IF(AND(OR(LEFT(TH!L665,2)="15",LEFT(TH!M665,2)="15"),TK!$E$7=TH!F665),"x","")</f>
        <v/>
      </c>
      <c r="Z665" s="51" t="str">
        <f>IF(AND(B665&lt;=NKC!$N$8,B665&gt;=NKC!$M$8),"x","")</f>
        <v>x</v>
      </c>
      <c r="AA665" s="803"/>
      <c r="AB665" s="565"/>
    </row>
    <row r="666" spans="1:31" ht="15.75" customHeight="1">
      <c r="A666" s="804" t="str">
        <f>IF(B666&lt;&gt;"",IF(AND(B666&gt;=_TM1,B666&lt;=_TM2,OR(TH!L666="1111",TH!M666="1111")),TH!D666,""),"")</f>
        <v/>
      </c>
      <c r="B666" s="36">
        <f t="shared" ref="B666:B731" si="42">IF(C666&lt;&gt;"",MONTH(C666),"")</f>
        <v>9</v>
      </c>
      <c r="C666" s="189">
        <f t="shared" ref="C666:C731" si="43">E666</f>
        <v>42270</v>
      </c>
      <c r="D666" s="189" t="s">
        <v>1420</v>
      </c>
      <c r="E666" s="189">
        <v>42270</v>
      </c>
      <c r="F666" s="190" t="s">
        <v>639</v>
      </c>
      <c r="G666" s="813" t="s">
        <v>632</v>
      </c>
      <c r="H666" s="191" t="s">
        <v>509</v>
      </c>
      <c r="I666" s="243">
        <v>5</v>
      </c>
      <c r="J666" s="243">
        <v>20010</v>
      </c>
      <c r="K666" s="573">
        <f t="shared" si="41"/>
        <v>100050</v>
      </c>
      <c r="L666" s="574" t="s">
        <v>417</v>
      </c>
      <c r="M666" s="574" t="s">
        <v>8</v>
      </c>
      <c r="N666" s="51" t="str">
        <f>IF(AND('331-CT'!$E$7=TH!H666,OR(L666="331",M666="331")),"331",IF(AND(OR(L666="131",M666="131"),H666='131-CT'!$E$7),"131",""))</f>
        <v/>
      </c>
      <c r="O666" s="51" t="str">
        <f>IF(AND($B666&gt;='111'!$N$11,$B666&lt;='111'!$O$11,OR($L666=$O$7,$M666=$O$7)),"x","")</f>
        <v/>
      </c>
      <c r="P666" s="51" t="str">
        <f>IF(AND($L666=$O$7,$B666&lt;'111'!$N$11),"x","")</f>
        <v/>
      </c>
      <c r="Q666" s="51" t="str">
        <f>IF(AND($M666=$O$7,$B666&lt;'111'!$N$11),"x","")</f>
        <v/>
      </c>
      <c r="R666" s="51" t="str">
        <f>IF(ISERROR(FIND('112'!$M$9,G666,1)),"",IF((AND(FIND('112'!$M$9,G666,1)&gt;=1,$B666&gt;='112'!$N$8,$B666&lt;='112'!$O$8,OR($L666='112'!$I$6,$M666='112'!$I$6))),"x",""))</f>
        <v/>
      </c>
      <c r="S666" s="51" t="str">
        <f>IF(ISERROR(FIND('112'!$M$9,G666,1)),"",IF((AND(LEFT(G666,2)=LEFT('112'!$M$9,2),B666&lt;'112'!$N$8,$L666='112'!$I$6)),"x",""))</f>
        <v/>
      </c>
      <c r="T666" s="51" t="str">
        <f>IF(ISERROR(FIND('112'!$M$9,G666,1)),"",IF((AND(RIGHT(G666,2)=RIGHT('112'!$M$9,2),B666&lt;'112'!$N$8,$M666='112'!$I$6)),"x",""))</f>
        <v/>
      </c>
      <c r="U666" s="51" t="str">
        <f>IF(AND(L666="154",'154'!$O$5&lt;=B666,'154'!$P$5&gt;=B666),"154",IF(AND(L666="632",'632'!$L$5&lt;=B666,'632'!$M$5&gt;=B666),"632",IF(AND(L666="642",'642'!$N$5&lt;=B666,'642'!$O$5&gt;=B666),"642",IF(AND(L666="641",'641'!$N$5&lt;=B666,'641'!$O$5&gt;=B666),"641",""))))</f>
        <v/>
      </c>
      <c r="V666" s="51" t="str">
        <f>IF(OR(TH!L666=TH!$V$7,M666=TH!$V$7),"x","")</f>
        <v/>
      </c>
      <c r="W666" s="51" t="str">
        <f>IF(AND(B666&gt;='IN-NX'!$P$3,B666&lt;='IN-NX'!$Q$3,'IN-NX'!$D$7=D666,OR(LEFT(L666,2)="15",AND(LEFT(M666,2)&lt;&gt;"15",LEFT(M666,2)&lt;&gt;"33"))),"x","")</f>
        <v/>
      </c>
      <c r="X666" s="51" t="str">
        <f>IF(AND(OR(LEFT(TH!L666,2)="15",LEFT(TH!M666,2)="15"),'152-CT'!$J$8=TH!F666),"x","")</f>
        <v/>
      </c>
      <c r="Y666" s="51" t="str">
        <f>IF(AND(OR(LEFT(TH!L666,2)="15",LEFT(TH!M666,2)="15"),TK!$E$7=TH!F666),"x","")</f>
        <v/>
      </c>
      <c r="Z666" s="51" t="str">
        <f>IF(AND(B666&lt;=NKC!$N$8,B666&gt;=NKC!$M$8),"x","")</f>
        <v>x</v>
      </c>
      <c r="AA666" s="803"/>
      <c r="AB666" s="565"/>
    </row>
    <row r="667" spans="1:31" ht="15.75" customHeight="1">
      <c r="A667" s="804" t="str">
        <f>IF(B667&lt;&gt;"",IF(AND(B667&gt;=_TM1,B667&lt;=_TM2,OR(TH!L667="1111",TH!M667="1111")),TH!D667,""),"")</f>
        <v/>
      </c>
      <c r="B667" s="36">
        <f t="shared" si="42"/>
        <v>9</v>
      </c>
      <c r="C667" s="189">
        <f t="shared" si="43"/>
        <v>42270</v>
      </c>
      <c r="D667" s="189" t="s">
        <v>1420</v>
      </c>
      <c r="E667" s="189">
        <v>42270</v>
      </c>
      <c r="F667" s="190" t="s">
        <v>640</v>
      </c>
      <c r="G667" s="813" t="s">
        <v>632</v>
      </c>
      <c r="H667" s="191" t="s">
        <v>509</v>
      </c>
      <c r="I667" s="243">
        <v>5</v>
      </c>
      <c r="J667" s="243">
        <v>22678</v>
      </c>
      <c r="K667" s="573">
        <f t="shared" si="41"/>
        <v>113390</v>
      </c>
      <c r="L667" s="574" t="s">
        <v>417</v>
      </c>
      <c r="M667" s="574" t="s">
        <v>8</v>
      </c>
      <c r="N667" s="51" t="str">
        <f>IF(AND('331-CT'!$E$7=TH!H667,OR(L667="331",M667="331")),"331",IF(AND(OR(L667="131",M667="131"),H667='131-CT'!$E$7),"131",""))</f>
        <v/>
      </c>
      <c r="O667" s="51" t="str">
        <f>IF(AND($B667&gt;='111'!$N$11,$B667&lt;='111'!$O$11,OR($L667=$O$7,$M667=$O$7)),"x","")</f>
        <v/>
      </c>
      <c r="P667" s="51" t="str">
        <f>IF(AND($L667=$O$7,$B667&lt;'111'!$N$11),"x","")</f>
        <v/>
      </c>
      <c r="Q667" s="51" t="str">
        <f>IF(AND($M667=$O$7,$B667&lt;'111'!$N$11),"x","")</f>
        <v/>
      </c>
      <c r="R667" s="51" t="str">
        <f>IF(ISERROR(FIND('112'!$M$9,G667,1)),"",IF((AND(FIND('112'!$M$9,G667,1)&gt;=1,$B667&gt;='112'!$N$8,$B667&lt;='112'!$O$8,OR($L667='112'!$I$6,$M667='112'!$I$6))),"x",""))</f>
        <v/>
      </c>
      <c r="S667" s="51" t="str">
        <f>IF(ISERROR(FIND('112'!$M$9,G667,1)),"",IF((AND(LEFT(G667,2)=LEFT('112'!$M$9,2),B667&lt;'112'!$N$8,$L667='112'!$I$6)),"x",""))</f>
        <v/>
      </c>
      <c r="T667" s="51" t="str">
        <f>IF(ISERROR(FIND('112'!$M$9,G667,1)),"",IF((AND(RIGHT(G667,2)=RIGHT('112'!$M$9,2),B667&lt;'112'!$N$8,$M667='112'!$I$6)),"x",""))</f>
        <v/>
      </c>
      <c r="U667" s="51" t="str">
        <f>IF(AND(L667="154",'154'!$O$5&lt;=B667,'154'!$P$5&gt;=B667),"154",IF(AND(L667="632",'632'!$L$5&lt;=B667,'632'!$M$5&gt;=B667),"632",IF(AND(L667="642",'642'!$N$5&lt;=B667,'642'!$O$5&gt;=B667),"642",IF(AND(L667="641",'641'!$N$5&lt;=B667,'641'!$O$5&gt;=B667),"641",""))))</f>
        <v/>
      </c>
      <c r="V667" s="51" t="str">
        <f>IF(OR(TH!L667=TH!$V$7,M667=TH!$V$7),"x","")</f>
        <v/>
      </c>
      <c r="W667" s="51" t="str">
        <f>IF(AND(B667&gt;='IN-NX'!$P$3,B667&lt;='IN-NX'!$Q$3,'IN-NX'!$D$7=D667,OR(LEFT(L667,2)="15",AND(LEFT(M667,2)&lt;&gt;"15",LEFT(M667,2)&lt;&gt;"33"))),"x","")</f>
        <v/>
      </c>
      <c r="X667" s="51" t="str">
        <f>IF(AND(OR(LEFT(TH!L667,2)="15",LEFT(TH!M667,2)="15"),'152-CT'!$J$8=TH!F667),"x","")</f>
        <v/>
      </c>
      <c r="Y667" s="51" t="str">
        <f>IF(AND(OR(LEFT(TH!L667,2)="15",LEFT(TH!M667,2)="15"),TK!$E$7=TH!F667),"x","")</f>
        <v/>
      </c>
      <c r="Z667" s="51" t="str">
        <f>IF(AND(B667&lt;=NKC!$N$8,B667&gt;=NKC!$M$8),"x","")</f>
        <v>x</v>
      </c>
      <c r="AA667" s="803"/>
      <c r="AB667" s="565"/>
    </row>
    <row r="668" spans="1:31" ht="15.75" customHeight="1">
      <c r="A668" s="804" t="str">
        <f>IF(B668&lt;&gt;"",IF(AND(B668&gt;=_TM1,B668&lt;=_TM2,OR(TH!L668="1111",TH!M668="1111")),TH!D668,""),"")</f>
        <v/>
      </c>
      <c r="B668" s="36">
        <f t="shared" si="42"/>
        <v>9</v>
      </c>
      <c r="C668" s="189">
        <f t="shared" si="43"/>
        <v>42270</v>
      </c>
      <c r="D668" s="189" t="s">
        <v>1420</v>
      </c>
      <c r="E668" s="189">
        <v>42270</v>
      </c>
      <c r="F668" s="190" t="s">
        <v>641</v>
      </c>
      <c r="G668" s="813" t="s">
        <v>632</v>
      </c>
      <c r="H668" s="191" t="s">
        <v>509</v>
      </c>
      <c r="I668" s="243">
        <v>5</v>
      </c>
      <c r="J668" s="243">
        <v>26680</v>
      </c>
      <c r="K668" s="573">
        <f t="shared" si="41"/>
        <v>133400</v>
      </c>
      <c r="L668" s="574" t="s">
        <v>417</v>
      </c>
      <c r="M668" s="574" t="s">
        <v>8</v>
      </c>
      <c r="N668" s="51" t="str">
        <f>IF(AND('331-CT'!$E$7=TH!H668,OR(L668="331",M668="331")),"331",IF(AND(OR(L668="131",M668="131"),H668='131-CT'!$E$7),"131",""))</f>
        <v/>
      </c>
      <c r="O668" s="51" t="str">
        <f>IF(AND($B668&gt;='111'!$N$11,$B668&lt;='111'!$O$11,OR($L668=$O$7,$M668=$O$7)),"x","")</f>
        <v/>
      </c>
      <c r="P668" s="51" t="str">
        <f>IF(AND($L668=$O$7,$B668&lt;'111'!$N$11),"x","")</f>
        <v/>
      </c>
      <c r="Q668" s="51" t="str">
        <f>IF(AND($M668=$O$7,$B668&lt;'111'!$N$11),"x","")</f>
        <v/>
      </c>
      <c r="R668" s="51" t="str">
        <f>IF(ISERROR(FIND('112'!$M$9,G668,1)),"",IF((AND(FIND('112'!$M$9,G668,1)&gt;=1,$B668&gt;='112'!$N$8,$B668&lt;='112'!$O$8,OR($L668='112'!$I$6,$M668='112'!$I$6))),"x",""))</f>
        <v/>
      </c>
      <c r="S668" s="51" t="str">
        <f>IF(ISERROR(FIND('112'!$M$9,G668,1)),"",IF((AND(LEFT(G668,2)=LEFT('112'!$M$9,2),B668&lt;'112'!$N$8,$L668='112'!$I$6)),"x",""))</f>
        <v/>
      </c>
      <c r="T668" s="51" t="str">
        <f>IF(ISERROR(FIND('112'!$M$9,G668,1)),"",IF((AND(RIGHT(G668,2)=RIGHT('112'!$M$9,2),B668&lt;'112'!$N$8,$M668='112'!$I$6)),"x",""))</f>
        <v/>
      </c>
      <c r="U668" s="51" t="str">
        <f>IF(AND(L668="154",'154'!$O$5&lt;=B668,'154'!$P$5&gt;=B668),"154",IF(AND(L668="632",'632'!$L$5&lt;=B668,'632'!$M$5&gt;=B668),"632",IF(AND(L668="642",'642'!$N$5&lt;=B668,'642'!$O$5&gt;=B668),"642",IF(AND(L668="641",'641'!$N$5&lt;=B668,'641'!$O$5&gt;=B668),"641",""))))</f>
        <v/>
      </c>
      <c r="V668" s="51" t="str">
        <f>IF(OR(TH!L668=TH!$V$7,M668=TH!$V$7),"x","")</f>
        <v/>
      </c>
      <c r="W668" s="51" t="str">
        <f>IF(AND(B668&gt;='IN-NX'!$P$3,B668&lt;='IN-NX'!$Q$3,'IN-NX'!$D$7=D668,OR(LEFT(L668,2)="15",AND(LEFT(M668,2)&lt;&gt;"15",LEFT(M668,2)&lt;&gt;"33"))),"x","")</f>
        <v/>
      </c>
      <c r="X668" s="51" t="str">
        <f>IF(AND(OR(LEFT(TH!L668,2)="15",LEFT(TH!M668,2)="15"),'152-CT'!$J$8=TH!F668),"x","")</f>
        <v/>
      </c>
      <c r="Y668" s="51" t="str">
        <f>IF(AND(OR(LEFT(TH!L668,2)="15",LEFT(TH!M668,2)="15"),TK!$E$7=TH!F668),"x","")</f>
        <v/>
      </c>
      <c r="Z668" s="51" t="str">
        <f>IF(AND(B668&lt;=NKC!$N$8,B668&gt;=NKC!$M$8),"x","")</f>
        <v>x</v>
      </c>
      <c r="AA668" s="803"/>
      <c r="AB668" s="565"/>
    </row>
    <row r="669" spans="1:31" ht="15.75" customHeight="1">
      <c r="A669" s="804" t="str">
        <f>IF(B669&lt;&gt;"",IF(AND(B669&gt;=_TM1,B669&lt;=_TM2,OR(TH!L669="1111",TH!M669="1111")),TH!D669,""),"")</f>
        <v/>
      </c>
      <c r="B669" s="36">
        <f t="shared" si="42"/>
        <v>9</v>
      </c>
      <c r="C669" s="189">
        <f t="shared" si="43"/>
        <v>42270</v>
      </c>
      <c r="D669" s="189" t="s">
        <v>1420</v>
      </c>
      <c r="E669" s="189">
        <v>42270</v>
      </c>
      <c r="F669" s="190" t="s">
        <v>642</v>
      </c>
      <c r="G669" s="813" t="s">
        <v>632</v>
      </c>
      <c r="H669" s="191" t="s">
        <v>509</v>
      </c>
      <c r="I669" s="243">
        <v>12</v>
      </c>
      <c r="J669" s="243">
        <v>12236</v>
      </c>
      <c r="K669" s="573">
        <f t="shared" si="41"/>
        <v>146832</v>
      </c>
      <c r="L669" s="574" t="s">
        <v>417</v>
      </c>
      <c r="M669" s="574" t="s">
        <v>8</v>
      </c>
      <c r="N669" s="51" t="str">
        <f>IF(AND('331-CT'!$E$7=TH!H669,OR(L669="331",M669="331")),"331",IF(AND(OR(L669="131",M669="131"),H669='131-CT'!$E$7),"131",""))</f>
        <v/>
      </c>
      <c r="O669" s="51" t="str">
        <f>IF(AND($B669&gt;='111'!$N$11,$B669&lt;='111'!$O$11,OR($L669=$O$7,$M669=$O$7)),"x","")</f>
        <v/>
      </c>
      <c r="P669" s="51" t="str">
        <f>IF(AND($L669=$O$7,$B669&lt;'111'!$N$11),"x","")</f>
        <v/>
      </c>
      <c r="Q669" s="51" t="str">
        <f>IF(AND($M669=$O$7,$B669&lt;'111'!$N$11),"x","")</f>
        <v/>
      </c>
      <c r="R669" s="51" t="str">
        <f>IF(ISERROR(FIND('112'!$M$9,G669,1)),"",IF((AND(FIND('112'!$M$9,G669,1)&gt;=1,$B669&gt;='112'!$N$8,$B669&lt;='112'!$O$8,OR($L669='112'!$I$6,$M669='112'!$I$6))),"x",""))</f>
        <v/>
      </c>
      <c r="S669" s="51" t="str">
        <f>IF(ISERROR(FIND('112'!$M$9,G669,1)),"",IF((AND(LEFT(G669,2)=LEFT('112'!$M$9,2),B669&lt;'112'!$N$8,$L669='112'!$I$6)),"x",""))</f>
        <v/>
      </c>
      <c r="T669" s="51" t="str">
        <f>IF(ISERROR(FIND('112'!$M$9,G669,1)),"",IF((AND(RIGHT(G669,2)=RIGHT('112'!$M$9,2),B669&lt;'112'!$N$8,$M669='112'!$I$6)),"x",""))</f>
        <v/>
      </c>
      <c r="U669" s="51" t="str">
        <f>IF(AND(L669="154",'154'!$O$5&lt;=B669,'154'!$P$5&gt;=B669),"154",IF(AND(L669="632",'632'!$L$5&lt;=B669,'632'!$M$5&gt;=B669),"632",IF(AND(L669="642",'642'!$N$5&lt;=B669,'642'!$O$5&gt;=B669),"642",IF(AND(L669="641",'641'!$N$5&lt;=B669,'641'!$O$5&gt;=B669),"641",""))))</f>
        <v/>
      </c>
      <c r="V669" s="51" t="str">
        <f>IF(OR(TH!L669=TH!$V$7,M669=TH!$V$7),"x","")</f>
        <v/>
      </c>
      <c r="W669" s="51" t="str">
        <f>IF(AND(B669&gt;='IN-NX'!$P$3,B669&lt;='IN-NX'!$Q$3,'IN-NX'!$D$7=D669,OR(LEFT(L669,2)="15",AND(LEFT(M669,2)&lt;&gt;"15",LEFT(M669,2)&lt;&gt;"33"))),"x","")</f>
        <v/>
      </c>
      <c r="X669" s="51" t="str">
        <f>IF(AND(OR(LEFT(TH!L669,2)="15",LEFT(TH!M669,2)="15"),'152-CT'!$J$8=TH!F669),"x","")</f>
        <v/>
      </c>
      <c r="Y669" s="51" t="str">
        <f>IF(AND(OR(LEFT(TH!L669,2)="15",LEFT(TH!M669,2)="15"),TK!$E$7=TH!F669),"x","")</f>
        <v/>
      </c>
      <c r="Z669" s="51" t="str">
        <f>IF(AND(B669&lt;=NKC!$N$8,B669&gt;=NKC!$M$8),"x","")</f>
        <v>x</v>
      </c>
      <c r="AA669" s="803"/>
      <c r="AB669" s="565"/>
    </row>
    <row r="670" spans="1:31" ht="15.75" customHeight="1">
      <c r="A670" s="804" t="str">
        <f>IF(B670&lt;&gt;"",IF(AND(B670&gt;=_TM1,B670&lt;=_TM2,OR(TH!L670="1111",TH!M670="1111")),TH!D670,""),"")</f>
        <v/>
      </c>
      <c r="B670" s="36">
        <f t="shared" si="42"/>
        <v>9</v>
      </c>
      <c r="C670" s="189">
        <f t="shared" si="43"/>
        <v>42270</v>
      </c>
      <c r="D670" s="189" t="s">
        <v>1420</v>
      </c>
      <c r="E670" s="189">
        <v>42270</v>
      </c>
      <c r="F670" s="190" t="s">
        <v>643</v>
      </c>
      <c r="G670" s="813" t="s">
        <v>632</v>
      </c>
      <c r="H670" s="191" t="s">
        <v>509</v>
      </c>
      <c r="I670" s="243">
        <v>24</v>
      </c>
      <c r="J670" s="243">
        <v>17043</v>
      </c>
      <c r="K670" s="573">
        <f t="shared" si="41"/>
        <v>409032</v>
      </c>
      <c r="L670" s="574" t="s">
        <v>417</v>
      </c>
      <c r="M670" s="574" t="s">
        <v>8</v>
      </c>
      <c r="N670" s="51" t="str">
        <f>IF(AND('331-CT'!$E$7=TH!H670,OR(L670="331",M670="331")),"331",IF(AND(OR(L670="131",M670="131"),H670='131-CT'!$E$7),"131",""))</f>
        <v/>
      </c>
      <c r="O670" s="51" t="str">
        <f>IF(AND($B670&gt;='111'!$N$11,$B670&lt;='111'!$O$11,OR($L670=$O$7,$M670=$O$7)),"x","")</f>
        <v/>
      </c>
      <c r="P670" s="51" t="str">
        <f>IF(AND($L670=$O$7,$B670&lt;'111'!$N$11),"x","")</f>
        <v/>
      </c>
      <c r="Q670" s="51" t="str">
        <f>IF(AND($M670=$O$7,$B670&lt;'111'!$N$11),"x","")</f>
        <v/>
      </c>
      <c r="R670" s="51" t="str">
        <f>IF(ISERROR(FIND('112'!$M$9,G670,1)),"",IF((AND(FIND('112'!$M$9,G670,1)&gt;=1,$B670&gt;='112'!$N$8,$B670&lt;='112'!$O$8,OR($L670='112'!$I$6,$M670='112'!$I$6))),"x",""))</f>
        <v/>
      </c>
      <c r="S670" s="51" t="str">
        <f>IF(ISERROR(FIND('112'!$M$9,G670,1)),"",IF((AND(LEFT(G670,2)=LEFT('112'!$M$9,2),B670&lt;'112'!$N$8,$L670='112'!$I$6)),"x",""))</f>
        <v/>
      </c>
      <c r="T670" s="51" t="str">
        <f>IF(ISERROR(FIND('112'!$M$9,G670,1)),"",IF((AND(RIGHT(G670,2)=RIGHT('112'!$M$9,2),B670&lt;'112'!$N$8,$M670='112'!$I$6)),"x",""))</f>
        <v/>
      </c>
      <c r="U670" s="51" t="str">
        <f>IF(AND(L670="154",'154'!$O$5&lt;=B670,'154'!$P$5&gt;=B670),"154",IF(AND(L670="632",'632'!$L$5&lt;=B670,'632'!$M$5&gt;=B670),"632",IF(AND(L670="642",'642'!$N$5&lt;=B670,'642'!$O$5&gt;=B670),"642",IF(AND(L670="641",'641'!$N$5&lt;=B670,'641'!$O$5&gt;=B670),"641",""))))</f>
        <v/>
      </c>
      <c r="V670" s="51" t="str">
        <f>IF(OR(TH!L670=TH!$V$7,M670=TH!$V$7),"x","")</f>
        <v/>
      </c>
      <c r="W670" s="51" t="str">
        <f>IF(AND(B670&gt;='IN-NX'!$P$3,B670&lt;='IN-NX'!$Q$3,'IN-NX'!$D$7=D670,OR(LEFT(L670,2)="15",AND(LEFT(M670,2)&lt;&gt;"15",LEFT(M670,2)&lt;&gt;"33"))),"x","")</f>
        <v/>
      </c>
      <c r="X670" s="51" t="str">
        <f>IF(AND(OR(LEFT(TH!L670,2)="15",LEFT(TH!M670,2)="15"),'152-CT'!$J$8=TH!F670),"x","")</f>
        <v/>
      </c>
      <c r="Y670" s="51" t="str">
        <f>IF(AND(OR(LEFT(TH!L670,2)="15",LEFT(TH!M670,2)="15"),TK!$E$7=TH!F670),"x","")</f>
        <v/>
      </c>
      <c r="Z670" s="51" t="str">
        <f>IF(AND(B670&lt;=NKC!$N$8,B670&gt;=NKC!$M$8),"x","")</f>
        <v>x</v>
      </c>
      <c r="AA670" s="803"/>
      <c r="AB670" s="565"/>
    </row>
    <row r="671" spans="1:31" ht="15.75" customHeight="1">
      <c r="A671" s="804" t="str">
        <f>IF(B671&lt;&gt;"",IF(AND(B671&gt;=_TM1,B671&lt;=_TM2,OR(TH!L671="1111",TH!M671="1111")),TH!D671,""),"")</f>
        <v/>
      </c>
      <c r="B671" s="36">
        <f t="shared" si="42"/>
        <v>9</v>
      </c>
      <c r="C671" s="189">
        <f t="shared" si="43"/>
        <v>42270</v>
      </c>
      <c r="D671" s="189" t="s">
        <v>1421</v>
      </c>
      <c r="E671" s="189">
        <v>42270</v>
      </c>
      <c r="F671" s="190" t="s">
        <v>638</v>
      </c>
      <c r="G671" s="813" t="s">
        <v>632</v>
      </c>
      <c r="H671" s="191" t="s">
        <v>509</v>
      </c>
      <c r="I671" s="243">
        <v>12</v>
      </c>
      <c r="J671" s="243">
        <v>18354</v>
      </c>
      <c r="K671" s="573">
        <f t="shared" si="41"/>
        <v>220248</v>
      </c>
      <c r="L671" s="574" t="s">
        <v>417</v>
      </c>
      <c r="M671" s="574" t="s">
        <v>8</v>
      </c>
      <c r="N671" s="51" t="str">
        <f>IF(AND('331-CT'!$E$7=TH!H671,OR(L671="331",M671="331")),"331",IF(AND(OR(L671="131",M671="131"),H671='131-CT'!$E$7),"131",""))</f>
        <v/>
      </c>
      <c r="O671" s="51" t="str">
        <f>IF(AND($B671&gt;='111'!$N$11,$B671&lt;='111'!$O$11,OR($L671=$O$7,$M671=$O$7)),"x","")</f>
        <v/>
      </c>
      <c r="P671" s="51" t="str">
        <f>IF(AND($L671=$O$7,$B671&lt;'111'!$N$11),"x","")</f>
        <v/>
      </c>
      <c r="Q671" s="51" t="str">
        <f>IF(AND($M671=$O$7,$B671&lt;'111'!$N$11),"x","")</f>
        <v/>
      </c>
      <c r="R671" s="51" t="str">
        <f>IF(ISERROR(FIND('112'!$M$9,G671,1)),"",IF((AND(FIND('112'!$M$9,G671,1)&gt;=1,$B671&gt;='112'!$N$8,$B671&lt;='112'!$O$8,OR($L671='112'!$I$6,$M671='112'!$I$6))),"x",""))</f>
        <v/>
      </c>
      <c r="S671" s="51" t="str">
        <f>IF(ISERROR(FIND('112'!$M$9,G671,1)),"",IF((AND(LEFT(G671,2)=LEFT('112'!$M$9,2),B671&lt;'112'!$N$8,$L671='112'!$I$6)),"x",""))</f>
        <v/>
      </c>
      <c r="T671" s="51" t="str">
        <f>IF(ISERROR(FIND('112'!$M$9,G671,1)),"",IF((AND(RIGHT(G671,2)=RIGHT('112'!$M$9,2),B671&lt;'112'!$N$8,$M671='112'!$I$6)),"x",""))</f>
        <v/>
      </c>
      <c r="U671" s="51" t="str">
        <f>IF(AND(L671="154",'154'!$O$5&lt;=B671,'154'!$P$5&gt;=B671),"154",IF(AND(L671="632",'632'!$L$5&lt;=B671,'632'!$M$5&gt;=B671),"632",IF(AND(L671="642",'642'!$N$5&lt;=B671,'642'!$O$5&gt;=B671),"642",IF(AND(L671="641",'641'!$N$5&lt;=B671,'641'!$O$5&gt;=B671),"641",""))))</f>
        <v/>
      </c>
      <c r="V671" s="51" t="str">
        <f>IF(OR(TH!L671=TH!$V$7,M671=TH!$V$7),"x","")</f>
        <v/>
      </c>
      <c r="W671" s="51" t="str">
        <f>IF(AND(B671&gt;='IN-NX'!$P$3,B671&lt;='IN-NX'!$Q$3,'IN-NX'!$D$7=D671,OR(LEFT(L671,2)="15",AND(LEFT(M671,2)&lt;&gt;"15",LEFT(M671,2)&lt;&gt;"33"))),"x","")</f>
        <v/>
      </c>
      <c r="X671" s="51" t="str">
        <f>IF(AND(OR(LEFT(TH!L671,2)="15",LEFT(TH!M671,2)="15"),'152-CT'!$J$8=TH!F671),"x","")</f>
        <v/>
      </c>
      <c r="Y671" s="51" t="str">
        <f>IF(AND(OR(LEFT(TH!L671,2)="15",LEFT(TH!M671,2)="15"),TK!$E$7=TH!F671),"x","")</f>
        <v/>
      </c>
      <c r="Z671" s="51" t="str">
        <f>IF(AND(B671&lt;=NKC!$N$8,B671&gt;=NKC!$M$8),"x","")</f>
        <v>x</v>
      </c>
      <c r="AA671" s="803"/>
      <c r="AB671" s="565"/>
    </row>
    <row r="672" spans="1:31" ht="15.75" customHeight="1">
      <c r="A672" s="804" t="str">
        <f>IF(B672&lt;&gt;"",IF(AND(B672&gt;=_TM1,B672&lt;=_TM2,OR(TH!L672="1111",TH!M672="1111")),TH!D672,""),"")</f>
        <v/>
      </c>
      <c r="B672" s="36">
        <f t="shared" si="42"/>
        <v>9</v>
      </c>
      <c r="C672" s="189">
        <f t="shared" si="43"/>
        <v>42270</v>
      </c>
      <c r="D672" s="189" t="s">
        <v>1421</v>
      </c>
      <c r="E672" s="189">
        <v>42270</v>
      </c>
      <c r="F672" s="190" t="s">
        <v>644</v>
      </c>
      <c r="G672" s="813" t="s">
        <v>632</v>
      </c>
      <c r="H672" s="191" t="s">
        <v>509</v>
      </c>
      <c r="I672" s="243">
        <v>12</v>
      </c>
      <c r="J672" s="243">
        <v>20102</v>
      </c>
      <c r="K672" s="573">
        <f t="shared" si="41"/>
        <v>241224</v>
      </c>
      <c r="L672" s="574" t="s">
        <v>417</v>
      </c>
      <c r="M672" s="574" t="s">
        <v>8</v>
      </c>
      <c r="N672" s="51" t="str">
        <f>IF(AND('331-CT'!$E$7=TH!H672,OR(L672="331",M672="331")),"331",IF(AND(OR(L672="131",M672="131"),H672='131-CT'!$E$7),"131",""))</f>
        <v/>
      </c>
      <c r="O672" s="51" t="str">
        <f>IF(AND($B672&gt;='111'!$N$11,$B672&lt;='111'!$O$11,OR($L672=$O$7,$M672=$O$7)),"x","")</f>
        <v/>
      </c>
      <c r="P672" s="51" t="str">
        <f>IF(AND($L672=$O$7,$B672&lt;'111'!$N$11),"x","")</f>
        <v/>
      </c>
      <c r="Q672" s="51" t="str">
        <f>IF(AND($M672=$O$7,$B672&lt;'111'!$N$11),"x","")</f>
        <v/>
      </c>
      <c r="R672" s="51" t="str">
        <f>IF(ISERROR(FIND('112'!$M$9,G672,1)),"",IF((AND(FIND('112'!$M$9,G672,1)&gt;=1,$B672&gt;='112'!$N$8,$B672&lt;='112'!$O$8,OR($L672='112'!$I$6,$M672='112'!$I$6))),"x",""))</f>
        <v/>
      </c>
      <c r="S672" s="51" t="str">
        <f>IF(ISERROR(FIND('112'!$M$9,G672,1)),"",IF((AND(LEFT(G672,2)=LEFT('112'!$M$9,2),B672&lt;'112'!$N$8,$L672='112'!$I$6)),"x",""))</f>
        <v/>
      </c>
      <c r="T672" s="51" t="str">
        <f>IF(ISERROR(FIND('112'!$M$9,G672,1)),"",IF((AND(RIGHT(G672,2)=RIGHT('112'!$M$9,2),B672&lt;'112'!$N$8,$M672='112'!$I$6)),"x",""))</f>
        <v/>
      </c>
      <c r="U672" s="51" t="str">
        <f>IF(AND(L672="154",'154'!$O$5&lt;=B672,'154'!$P$5&gt;=B672),"154",IF(AND(L672="632",'632'!$L$5&lt;=B672,'632'!$M$5&gt;=B672),"632",IF(AND(L672="642",'642'!$N$5&lt;=B672,'642'!$O$5&gt;=B672),"642",IF(AND(L672="641",'641'!$N$5&lt;=B672,'641'!$O$5&gt;=B672),"641",""))))</f>
        <v/>
      </c>
      <c r="V672" s="51" t="str">
        <f>IF(OR(TH!L672=TH!$V$7,M672=TH!$V$7),"x","")</f>
        <v/>
      </c>
      <c r="W672" s="51" t="str">
        <f>IF(AND(B672&gt;='IN-NX'!$P$3,B672&lt;='IN-NX'!$Q$3,'IN-NX'!$D$7=D672,OR(LEFT(L672,2)="15",AND(LEFT(M672,2)&lt;&gt;"15",LEFT(M672,2)&lt;&gt;"33"))),"x","")</f>
        <v/>
      </c>
      <c r="X672" s="51" t="str">
        <f>IF(AND(OR(LEFT(TH!L672,2)="15",LEFT(TH!M672,2)="15"),'152-CT'!$J$8=TH!F672),"x","")</f>
        <v/>
      </c>
      <c r="Y672" s="51" t="str">
        <f>IF(AND(OR(LEFT(TH!L672,2)="15",LEFT(TH!M672,2)="15"),TK!$E$7=TH!F672),"x","")</f>
        <v/>
      </c>
      <c r="Z672" s="51" t="str">
        <f>IF(AND(B672&lt;=NKC!$N$8,B672&gt;=NKC!$M$8),"x","")</f>
        <v>x</v>
      </c>
      <c r="AA672" s="803"/>
      <c r="AB672" s="565"/>
    </row>
    <row r="673" spans="1:28" ht="15.75" customHeight="1">
      <c r="A673" s="804" t="str">
        <f>IF(B673&lt;&gt;"",IF(AND(B673&gt;=_TM1,B673&lt;=_TM2,OR(TH!L673="1111",TH!M673="1111")),TH!D673,""),"")</f>
        <v/>
      </c>
      <c r="B673" s="36">
        <f t="shared" si="42"/>
        <v>9</v>
      </c>
      <c r="C673" s="189">
        <f t="shared" si="43"/>
        <v>42270</v>
      </c>
      <c r="D673" s="189" t="s">
        <v>1421</v>
      </c>
      <c r="E673" s="189">
        <v>42270</v>
      </c>
      <c r="F673" s="190" t="s">
        <v>645</v>
      </c>
      <c r="G673" s="813" t="s">
        <v>632</v>
      </c>
      <c r="H673" s="191" t="s">
        <v>509</v>
      </c>
      <c r="I673" s="243">
        <v>34</v>
      </c>
      <c r="J673" s="243">
        <v>28281</v>
      </c>
      <c r="K673" s="573">
        <f t="shared" si="41"/>
        <v>961554</v>
      </c>
      <c r="L673" s="574" t="s">
        <v>417</v>
      </c>
      <c r="M673" s="574" t="s">
        <v>8</v>
      </c>
      <c r="N673" s="51" t="str">
        <f>IF(AND('331-CT'!$E$7=TH!H673,OR(L673="331",M673="331")),"331",IF(AND(OR(L673="131",M673="131"),H673='131-CT'!$E$7),"131",""))</f>
        <v/>
      </c>
      <c r="O673" s="51" t="str">
        <f>IF(AND($B673&gt;='111'!$N$11,$B673&lt;='111'!$O$11,OR($L673=$O$7,$M673=$O$7)),"x","")</f>
        <v/>
      </c>
      <c r="P673" s="51" t="str">
        <f>IF(AND($L673=$O$7,$B673&lt;'111'!$N$11),"x","")</f>
        <v/>
      </c>
      <c r="Q673" s="51" t="str">
        <f>IF(AND($M673=$O$7,$B673&lt;'111'!$N$11),"x","")</f>
        <v/>
      </c>
      <c r="R673" s="51" t="str">
        <f>IF(ISERROR(FIND('112'!$M$9,G673,1)),"",IF((AND(FIND('112'!$M$9,G673,1)&gt;=1,$B673&gt;='112'!$N$8,$B673&lt;='112'!$O$8,OR($L673='112'!$I$6,$M673='112'!$I$6))),"x",""))</f>
        <v/>
      </c>
      <c r="S673" s="51" t="str">
        <f>IF(ISERROR(FIND('112'!$M$9,G673,1)),"",IF((AND(LEFT(G673,2)=LEFT('112'!$M$9,2),B673&lt;'112'!$N$8,$L673='112'!$I$6)),"x",""))</f>
        <v/>
      </c>
      <c r="T673" s="51" t="str">
        <f>IF(ISERROR(FIND('112'!$M$9,G673,1)),"",IF((AND(RIGHT(G673,2)=RIGHT('112'!$M$9,2),B673&lt;'112'!$N$8,$M673='112'!$I$6)),"x",""))</f>
        <v/>
      </c>
      <c r="U673" s="51" t="str">
        <f>IF(AND(L673="154",'154'!$O$5&lt;=B673,'154'!$P$5&gt;=B673),"154",IF(AND(L673="632",'632'!$L$5&lt;=B673,'632'!$M$5&gt;=B673),"632",IF(AND(L673="642",'642'!$N$5&lt;=B673,'642'!$O$5&gt;=B673),"642",IF(AND(L673="641",'641'!$N$5&lt;=B673,'641'!$O$5&gt;=B673),"641",""))))</f>
        <v/>
      </c>
      <c r="V673" s="51" t="str">
        <f>IF(OR(TH!L673=TH!$V$7,M673=TH!$V$7),"x","")</f>
        <v/>
      </c>
      <c r="W673" s="51" t="str">
        <f>IF(AND(B673&gt;='IN-NX'!$P$3,B673&lt;='IN-NX'!$Q$3,'IN-NX'!$D$7=D673,OR(LEFT(L673,2)="15",AND(LEFT(M673,2)&lt;&gt;"15",LEFT(M673,2)&lt;&gt;"33"))),"x","")</f>
        <v/>
      </c>
      <c r="X673" s="51" t="str">
        <f>IF(AND(OR(LEFT(TH!L673,2)="15",LEFT(TH!M673,2)="15"),'152-CT'!$J$8=TH!F673),"x","")</f>
        <v/>
      </c>
      <c r="Y673" s="51" t="str">
        <f>IF(AND(OR(LEFT(TH!L673,2)="15",LEFT(TH!M673,2)="15"),TK!$E$7=TH!F673),"x","")</f>
        <v/>
      </c>
      <c r="Z673" s="51" t="str">
        <f>IF(AND(B673&lt;=NKC!$N$8,B673&gt;=NKC!$M$8),"x","")</f>
        <v>x</v>
      </c>
      <c r="AA673" s="803"/>
      <c r="AB673" s="565"/>
    </row>
    <row r="674" spans="1:28" ht="15.75" customHeight="1">
      <c r="A674" s="804" t="str">
        <f>IF(B674&lt;&gt;"",IF(AND(B674&gt;=_TM1,B674&lt;=_TM2,OR(TH!L674="1111",TH!M674="1111")),TH!D674,""),"")</f>
        <v/>
      </c>
      <c r="B674" s="36">
        <f t="shared" si="42"/>
        <v>9</v>
      </c>
      <c r="C674" s="189">
        <f t="shared" si="43"/>
        <v>42270</v>
      </c>
      <c r="D674" s="189" t="s">
        <v>1421</v>
      </c>
      <c r="E674" s="189">
        <v>42270</v>
      </c>
      <c r="F674" s="190" t="s">
        <v>646</v>
      </c>
      <c r="G674" s="813" t="s">
        <v>632</v>
      </c>
      <c r="H674" s="191" t="s">
        <v>509</v>
      </c>
      <c r="I674" s="243">
        <v>17</v>
      </c>
      <c r="J674" s="243">
        <v>23478</v>
      </c>
      <c r="K674" s="573">
        <f t="shared" si="41"/>
        <v>399126</v>
      </c>
      <c r="L674" s="574" t="s">
        <v>417</v>
      </c>
      <c r="M674" s="574" t="s">
        <v>8</v>
      </c>
      <c r="N674" s="51" t="str">
        <f>IF(AND('331-CT'!$E$7=TH!H674,OR(L674="331",M674="331")),"331",IF(AND(OR(L674="131",M674="131"),H674='131-CT'!$E$7),"131",""))</f>
        <v/>
      </c>
      <c r="O674" s="51" t="str">
        <f>IF(AND($B674&gt;='111'!$N$11,$B674&lt;='111'!$O$11,OR($L674=$O$7,$M674=$O$7)),"x","")</f>
        <v/>
      </c>
      <c r="P674" s="51" t="str">
        <f>IF(AND($L674=$O$7,$B674&lt;'111'!$N$11),"x","")</f>
        <v/>
      </c>
      <c r="Q674" s="51" t="str">
        <f>IF(AND($M674=$O$7,$B674&lt;'111'!$N$11),"x","")</f>
        <v/>
      </c>
      <c r="R674" s="51" t="str">
        <f>IF(ISERROR(FIND('112'!$M$9,G674,1)),"",IF((AND(FIND('112'!$M$9,G674,1)&gt;=1,$B674&gt;='112'!$N$8,$B674&lt;='112'!$O$8,OR($L674='112'!$I$6,$M674='112'!$I$6))),"x",""))</f>
        <v/>
      </c>
      <c r="S674" s="51" t="str">
        <f>IF(ISERROR(FIND('112'!$M$9,G674,1)),"",IF((AND(LEFT(G674,2)=LEFT('112'!$M$9,2),B674&lt;'112'!$N$8,$L674='112'!$I$6)),"x",""))</f>
        <v/>
      </c>
      <c r="T674" s="51" t="str">
        <f>IF(ISERROR(FIND('112'!$M$9,G674,1)),"",IF((AND(RIGHT(G674,2)=RIGHT('112'!$M$9,2),B674&lt;'112'!$N$8,$M674='112'!$I$6)),"x",""))</f>
        <v/>
      </c>
      <c r="U674" s="51" t="str">
        <f>IF(AND(L674="154",'154'!$O$5&lt;=B674,'154'!$P$5&gt;=B674),"154",IF(AND(L674="632",'632'!$L$5&lt;=B674,'632'!$M$5&gt;=B674),"632",IF(AND(L674="642",'642'!$N$5&lt;=B674,'642'!$O$5&gt;=B674),"642",IF(AND(L674="641",'641'!$N$5&lt;=B674,'641'!$O$5&gt;=B674),"641",""))))</f>
        <v/>
      </c>
      <c r="V674" s="51" t="str">
        <f>IF(OR(TH!L674=TH!$V$7,M674=TH!$V$7),"x","")</f>
        <v/>
      </c>
      <c r="W674" s="51" t="str">
        <f>IF(AND(B674&gt;='IN-NX'!$P$3,B674&lt;='IN-NX'!$Q$3,'IN-NX'!$D$7=D674,OR(LEFT(L674,2)="15",AND(LEFT(M674,2)&lt;&gt;"15",LEFT(M674,2)&lt;&gt;"33"))),"x","")</f>
        <v/>
      </c>
      <c r="X674" s="51" t="str">
        <f>IF(AND(OR(LEFT(TH!L674,2)="15",LEFT(TH!M674,2)="15"),'152-CT'!$J$8=TH!F674),"x","")</f>
        <v/>
      </c>
      <c r="Y674" s="51" t="str">
        <f>IF(AND(OR(LEFT(TH!L674,2)="15",LEFT(TH!M674,2)="15"),TK!$E$7=TH!F674),"x","")</f>
        <v/>
      </c>
      <c r="Z674" s="51" t="str">
        <f>IF(AND(B674&lt;=NKC!$N$8,B674&gt;=NKC!$M$8),"x","")</f>
        <v>x</v>
      </c>
      <c r="AA674" s="803"/>
      <c r="AB674" s="565"/>
    </row>
    <row r="675" spans="1:28" ht="15.75" customHeight="1">
      <c r="A675" s="804" t="str">
        <f>IF(B675&lt;&gt;"",IF(AND(B675&gt;=_TM1,B675&lt;=_TM2,OR(TH!L675="1111",TH!M675="1111")),TH!D675,""),"")</f>
        <v/>
      </c>
      <c r="B675" s="36">
        <f t="shared" si="42"/>
        <v>9</v>
      </c>
      <c r="C675" s="189">
        <f t="shared" si="43"/>
        <v>42270</v>
      </c>
      <c r="D675" s="189" t="s">
        <v>1421</v>
      </c>
      <c r="E675" s="189">
        <v>42270</v>
      </c>
      <c r="F675" s="190" t="s">
        <v>647</v>
      </c>
      <c r="G675" s="813" t="s">
        <v>632</v>
      </c>
      <c r="H675" s="191" t="s">
        <v>509</v>
      </c>
      <c r="I675" s="243">
        <v>17</v>
      </c>
      <c r="J675" s="243">
        <v>18267</v>
      </c>
      <c r="K675" s="573">
        <f t="shared" si="41"/>
        <v>310539</v>
      </c>
      <c r="L675" s="574" t="s">
        <v>417</v>
      </c>
      <c r="M675" s="574" t="s">
        <v>8</v>
      </c>
      <c r="N675" s="51" t="str">
        <f>IF(AND('331-CT'!$E$7=TH!H675,OR(L675="331",M675="331")),"331",IF(AND(OR(L675="131",M675="131"),H675='131-CT'!$E$7),"131",""))</f>
        <v/>
      </c>
      <c r="O675" s="51" t="str">
        <f>IF(AND($B675&gt;='111'!$N$11,$B675&lt;='111'!$O$11,OR($L675=$O$7,$M675=$O$7)),"x","")</f>
        <v/>
      </c>
      <c r="P675" s="51" t="str">
        <f>IF(AND($L675=$O$7,$B675&lt;'111'!$N$11),"x","")</f>
        <v/>
      </c>
      <c r="Q675" s="51" t="str">
        <f>IF(AND($M675=$O$7,$B675&lt;'111'!$N$11),"x","")</f>
        <v/>
      </c>
      <c r="R675" s="51" t="str">
        <f>IF(ISERROR(FIND('112'!$M$9,G675,1)),"",IF((AND(FIND('112'!$M$9,G675,1)&gt;=1,$B675&gt;='112'!$N$8,$B675&lt;='112'!$O$8,OR($L675='112'!$I$6,$M675='112'!$I$6))),"x",""))</f>
        <v/>
      </c>
      <c r="S675" s="51" t="str">
        <f>IF(ISERROR(FIND('112'!$M$9,G675,1)),"",IF((AND(LEFT(G675,2)=LEFT('112'!$M$9,2),B675&lt;'112'!$N$8,$L675='112'!$I$6)),"x",""))</f>
        <v/>
      </c>
      <c r="T675" s="51" t="str">
        <f>IF(ISERROR(FIND('112'!$M$9,G675,1)),"",IF((AND(RIGHT(G675,2)=RIGHT('112'!$M$9,2),B675&lt;'112'!$N$8,$M675='112'!$I$6)),"x",""))</f>
        <v/>
      </c>
      <c r="U675" s="51" t="str">
        <f>IF(AND(L675="154",'154'!$O$5&lt;=B675,'154'!$P$5&gt;=B675),"154",IF(AND(L675="632",'632'!$L$5&lt;=B675,'632'!$M$5&gt;=B675),"632",IF(AND(L675="642",'642'!$N$5&lt;=B675,'642'!$O$5&gt;=B675),"642",IF(AND(L675="641",'641'!$N$5&lt;=B675,'641'!$O$5&gt;=B675),"641",""))))</f>
        <v/>
      </c>
      <c r="V675" s="51" t="str">
        <f>IF(OR(TH!L675=TH!$V$7,M675=TH!$V$7),"x","")</f>
        <v/>
      </c>
      <c r="W675" s="51" t="str">
        <f>IF(AND(B675&gt;='IN-NX'!$P$3,B675&lt;='IN-NX'!$Q$3,'IN-NX'!$D$7=D675,OR(LEFT(L675,2)="15",AND(LEFT(M675,2)&lt;&gt;"15",LEFT(M675,2)&lt;&gt;"33"))),"x","")</f>
        <v/>
      </c>
      <c r="X675" s="51" t="str">
        <f>IF(AND(OR(LEFT(TH!L675,2)="15",LEFT(TH!M675,2)="15"),'152-CT'!$J$8=TH!F675),"x","")</f>
        <v/>
      </c>
      <c r="Y675" s="51" t="str">
        <f>IF(AND(OR(LEFT(TH!L675,2)="15",LEFT(TH!M675,2)="15"),TK!$E$7=TH!F675),"x","")</f>
        <v/>
      </c>
      <c r="Z675" s="51" t="str">
        <f>IF(AND(B675&lt;=NKC!$N$8,B675&gt;=NKC!$M$8),"x","")</f>
        <v>x</v>
      </c>
      <c r="AA675" s="803"/>
      <c r="AB675" s="565"/>
    </row>
    <row r="676" spans="1:28" ht="15.75" customHeight="1">
      <c r="A676" s="804" t="str">
        <f>IF(B676&lt;&gt;"",IF(AND(B676&gt;=_TM1,B676&lt;=_TM2,OR(TH!L676="1111",TH!M676="1111")),TH!D676,""),"")</f>
        <v/>
      </c>
      <c r="B676" s="36">
        <f t="shared" si="42"/>
        <v>9</v>
      </c>
      <c r="C676" s="189">
        <f t="shared" si="43"/>
        <v>42270</v>
      </c>
      <c r="D676" s="189" t="s">
        <v>1421</v>
      </c>
      <c r="E676" s="189">
        <v>42270</v>
      </c>
      <c r="F676" s="190" t="s">
        <v>648</v>
      </c>
      <c r="G676" s="813" t="s">
        <v>632</v>
      </c>
      <c r="H676" s="191" t="s">
        <v>509</v>
      </c>
      <c r="I676" s="243">
        <v>17</v>
      </c>
      <c r="J676" s="243">
        <v>14683</v>
      </c>
      <c r="K676" s="573">
        <f t="shared" si="41"/>
        <v>249611</v>
      </c>
      <c r="L676" s="574" t="s">
        <v>417</v>
      </c>
      <c r="M676" s="574" t="s">
        <v>8</v>
      </c>
      <c r="N676" s="51" t="str">
        <f>IF(AND('331-CT'!$E$7=TH!H676,OR(L676="331",M676="331")),"331",IF(AND(OR(L676="131",M676="131"),H676='131-CT'!$E$7),"131",""))</f>
        <v/>
      </c>
      <c r="O676" s="51" t="str">
        <f>IF(AND($B676&gt;='111'!$N$11,$B676&lt;='111'!$O$11,OR($L676=$O$7,$M676=$O$7)),"x","")</f>
        <v/>
      </c>
      <c r="P676" s="51" t="str">
        <f>IF(AND($L676=$O$7,$B676&lt;'111'!$N$11),"x","")</f>
        <v/>
      </c>
      <c r="Q676" s="51" t="str">
        <f>IF(AND($M676=$O$7,$B676&lt;'111'!$N$11),"x","")</f>
        <v/>
      </c>
      <c r="R676" s="51" t="str">
        <f>IF(ISERROR(FIND('112'!$M$9,G676,1)),"",IF((AND(FIND('112'!$M$9,G676,1)&gt;=1,$B676&gt;='112'!$N$8,$B676&lt;='112'!$O$8,OR($L676='112'!$I$6,$M676='112'!$I$6))),"x",""))</f>
        <v/>
      </c>
      <c r="S676" s="51" t="str">
        <f>IF(ISERROR(FIND('112'!$M$9,G676,1)),"",IF((AND(LEFT(G676,2)=LEFT('112'!$M$9,2),B676&lt;'112'!$N$8,$L676='112'!$I$6)),"x",""))</f>
        <v/>
      </c>
      <c r="T676" s="51" t="str">
        <f>IF(ISERROR(FIND('112'!$M$9,G676,1)),"",IF((AND(RIGHT(G676,2)=RIGHT('112'!$M$9,2),B676&lt;'112'!$N$8,$M676='112'!$I$6)),"x",""))</f>
        <v/>
      </c>
      <c r="U676" s="51" t="str">
        <f>IF(AND(L676="154",'154'!$O$5&lt;=B676,'154'!$P$5&gt;=B676),"154",IF(AND(L676="632",'632'!$L$5&lt;=B676,'632'!$M$5&gt;=B676),"632",IF(AND(L676="642",'642'!$N$5&lt;=B676,'642'!$O$5&gt;=B676),"642",IF(AND(L676="641",'641'!$N$5&lt;=B676,'641'!$O$5&gt;=B676),"641",""))))</f>
        <v/>
      </c>
      <c r="V676" s="51" t="str">
        <f>IF(OR(TH!L676=TH!$V$7,M676=TH!$V$7),"x","")</f>
        <v/>
      </c>
      <c r="W676" s="51" t="str">
        <f>IF(AND(B676&gt;='IN-NX'!$P$3,B676&lt;='IN-NX'!$Q$3,'IN-NX'!$D$7=D676,OR(LEFT(L676,2)="15",AND(LEFT(M676,2)&lt;&gt;"15",LEFT(M676,2)&lt;&gt;"33"))),"x","")</f>
        <v/>
      </c>
      <c r="X676" s="51" t="str">
        <f>IF(AND(OR(LEFT(TH!L676,2)="15",LEFT(TH!M676,2)="15"),'152-CT'!$J$8=TH!F676),"x","")</f>
        <v/>
      </c>
      <c r="Y676" s="51" t="str">
        <f>IF(AND(OR(LEFT(TH!L676,2)="15",LEFT(TH!M676,2)="15"),TK!$E$7=TH!F676),"x","")</f>
        <v/>
      </c>
      <c r="Z676" s="51" t="str">
        <f>IF(AND(B676&lt;=NKC!$N$8,B676&gt;=NKC!$M$8),"x","")</f>
        <v>x</v>
      </c>
      <c r="AA676" s="803"/>
      <c r="AB676" s="565"/>
    </row>
    <row r="677" spans="1:28" ht="15.75" customHeight="1">
      <c r="A677" s="804" t="str">
        <f>IF(B677&lt;&gt;"",IF(AND(B677&gt;=_TM1,B677&lt;=_TM2,OR(TH!L677="1111",TH!M677="1111")),TH!D677,""),"")</f>
        <v/>
      </c>
      <c r="B677" s="36">
        <f t="shared" si="42"/>
        <v>9</v>
      </c>
      <c r="C677" s="189">
        <f t="shared" si="43"/>
        <v>42270</v>
      </c>
      <c r="D677" s="189" t="s">
        <v>1421</v>
      </c>
      <c r="E677" s="189">
        <v>42270</v>
      </c>
      <c r="F677" s="190" t="s">
        <v>649</v>
      </c>
      <c r="G677" s="813" t="s">
        <v>632</v>
      </c>
      <c r="H677" s="191" t="s">
        <v>509</v>
      </c>
      <c r="I677" s="243">
        <v>6</v>
      </c>
      <c r="J677" s="243">
        <v>22853</v>
      </c>
      <c r="K677" s="573">
        <f t="shared" si="41"/>
        <v>137118</v>
      </c>
      <c r="L677" s="574" t="s">
        <v>417</v>
      </c>
      <c r="M677" s="574" t="s">
        <v>8</v>
      </c>
      <c r="N677" s="51" t="str">
        <f>IF(AND('331-CT'!$E$7=TH!H677,OR(L677="331",M677="331")),"331",IF(AND(OR(L677="131",M677="131"),H677='131-CT'!$E$7),"131",""))</f>
        <v/>
      </c>
      <c r="O677" s="51" t="str">
        <f>IF(AND($B677&gt;='111'!$N$11,$B677&lt;='111'!$O$11,OR($L677=$O$7,$M677=$O$7)),"x","")</f>
        <v/>
      </c>
      <c r="P677" s="51" t="str">
        <f>IF(AND($L677=$O$7,$B677&lt;'111'!$N$11),"x","")</f>
        <v/>
      </c>
      <c r="Q677" s="51" t="str">
        <f>IF(AND($M677=$O$7,$B677&lt;'111'!$N$11),"x","")</f>
        <v/>
      </c>
      <c r="R677" s="51" t="str">
        <f>IF(ISERROR(FIND('112'!$M$9,G677,1)),"",IF((AND(FIND('112'!$M$9,G677,1)&gt;=1,$B677&gt;='112'!$N$8,$B677&lt;='112'!$O$8,OR($L677='112'!$I$6,$M677='112'!$I$6))),"x",""))</f>
        <v/>
      </c>
      <c r="S677" s="51" t="str">
        <f>IF(ISERROR(FIND('112'!$M$9,G677,1)),"",IF((AND(LEFT(G677,2)=LEFT('112'!$M$9,2),B677&lt;'112'!$N$8,$L677='112'!$I$6)),"x",""))</f>
        <v/>
      </c>
      <c r="T677" s="51" t="str">
        <f>IF(ISERROR(FIND('112'!$M$9,G677,1)),"",IF((AND(RIGHT(G677,2)=RIGHT('112'!$M$9,2),B677&lt;'112'!$N$8,$M677='112'!$I$6)),"x",""))</f>
        <v/>
      </c>
      <c r="U677" s="51" t="str">
        <f>IF(AND(L677="154",'154'!$O$5&lt;=B677,'154'!$P$5&gt;=B677),"154",IF(AND(L677="632",'632'!$L$5&lt;=B677,'632'!$M$5&gt;=B677),"632",IF(AND(L677="642",'642'!$N$5&lt;=B677,'642'!$O$5&gt;=B677),"642",IF(AND(L677="641",'641'!$N$5&lt;=B677,'641'!$O$5&gt;=B677),"641",""))))</f>
        <v/>
      </c>
      <c r="V677" s="51" t="str">
        <f>IF(OR(TH!L677=TH!$V$7,M677=TH!$V$7),"x","")</f>
        <v/>
      </c>
      <c r="W677" s="51" t="str">
        <f>IF(AND(B677&gt;='IN-NX'!$P$3,B677&lt;='IN-NX'!$Q$3,'IN-NX'!$D$7=D677,OR(LEFT(L677,2)="15",AND(LEFT(M677,2)&lt;&gt;"15",LEFT(M677,2)&lt;&gt;"33"))),"x","")</f>
        <v/>
      </c>
      <c r="X677" s="51" t="str">
        <f>IF(AND(OR(LEFT(TH!L677,2)="15",LEFT(TH!M677,2)="15"),'152-CT'!$J$8=TH!F677),"x","")</f>
        <v/>
      </c>
      <c r="Y677" s="51" t="str">
        <f>IF(AND(OR(LEFT(TH!L677,2)="15",LEFT(TH!M677,2)="15"),TK!$E$7=TH!F677),"x","")</f>
        <v/>
      </c>
      <c r="Z677" s="51" t="str">
        <f>IF(AND(B677&lt;=NKC!$N$8,B677&gt;=NKC!$M$8),"x","")</f>
        <v>x</v>
      </c>
      <c r="AA677" s="803"/>
      <c r="AB677" s="565"/>
    </row>
    <row r="678" spans="1:28" ht="15.75" customHeight="1">
      <c r="A678" s="804" t="str">
        <f>IF(B678&lt;&gt;"",IF(AND(B678&gt;=_TM1,B678&lt;=_TM2,OR(TH!L678="1111",TH!M678="1111")),TH!D678,""),"")</f>
        <v/>
      </c>
      <c r="B678" s="36">
        <f t="shared" si="42"/>
        <v>9</v>
      </c>
      <c r="C678" s="189">
        <f t="shared" si="43"/>
        <v>42270</v>
      </c>
      <c r="D678" s="189" t="s">
        <v>1421</v>
      </c>
      <c r="E678" s="189">
        <v>42270</v>
      </c>
      <c r="F678" s="190" t="s">
        <v>650</v>
      </c>
      <c r="G678" s="813" t="s">
        <v>632</v>
      </c>
      <c r="H678" s="191" t="s">
        <v>509</v>
      </c>
      <c r="I678" s="243">
        <v>6</v>
      </c>
      <c r="J678" s="243">
        <v>17333</v>
      </c>
      <c r="K678" s="573">
        <f t="shared" si="41"/>
        <v>103998</v>
      </c>
      <c r="L678" s="574" t="s">
        <v>417</v>
      </c>
      <c r="M678" s="574" t="s">
        <v>8</v>
      </c>
      <c r="N678" s="51" t="str">
        <f>IF(AND('331-CT'!$E$7=TH!H678,OR(L678="331",M678="331")),"331",IF(AND(OR(L678="131",M678="131"),H678='131-CT'!$E$7),"131",""))</f>
        <v/>
      </c>
      <c r="O678" s="51" t="str">
        <f>IF(AND($B678&gt;='111'!$N$11,$B678&lt;='111'!$O$11,OR($L678=$O$7,$M678=$O$7)),"x","")</f>
        <v/>
      </c>
      <c r="P678" s="51" t="str">
        <f>IF(AND($L678=$O$7,$B678&lt;'111'!$N$11),"x","")</f>
        <v/>
      </c>
      <c r="Q678" s="51" t="str">
        <f>IF(AND($M678=$O$7,$B678&lt;'111'!$N$11),"x","")</f>
        <v/>
      </c>
      <c r="R678" s="51" t="str">
        <f>IF(ISERROR(FIND('112'!$M$9,G678,1)),"",IF((AND(FIND('112'!$M$9,G678,1)&gt;=1,$B678&gt;='112'!$N$8,$B678&lt;='112'!$O$8,OR($L678='112'!$I$6,$M678='112'!$I$6))),"x",""))</f>
        <v/>
      </c>
      <c r="S678" s="51" t="str">
        <f>IF(ISERROR(FIND('112'!$M$9,G678,1)),"",IF((AND(LEFT(G678,2)=LEFT('112'!$M$9,2),B678&lt;'112'!$N$8,$L678='112'!$I$6)),"x",""))</f>
        <v/>
      </c>
      <c r="T678" s="51" t="str">
        <f>IF(ISERROR(FIND('112'!$M$9,G678,1)),"",IF((AND(RIGHT(G678,2)=RIGHT('112'!$M$9,2),B678&lt;'112'!$N$8,$M678='112'!$I$6)),"x",""))</f>
        <v/>
      </c>
      <c r="U678" s="51" t="str">
        <f>IF(AND(L678="154",'154'!$O$5&lt;=B678,'154'!$P$5&gt;=B678),"154",IF(AND(L678="632",'632'!$L$5&lt;=B678,'632'!$M$5&gt;=B678),"632",IF(AND(L678="642",'642'!$N$5&lt;=B678,'642'!$O$5&gt;=B678),"642",IF(AND(L678="641",'641'!$N$5&lt;=B678,'641'!$O$5&gt;=B678),"641",""))))</f>
        <v/>
      </c>
      <c r="V678" s="51" t="str">
        <f>IF(OR(TH!L678=TH!$V$7,M678=TH!$V$7),"x","")</f>
        <v/>
      </c>
      <c r="W678" s="51" t="str">
        <f>IF(AND(B678&gt;='IN-NX'!$P$3,B678&lt;='IN-NX'!$Q$3,'IN-NX'!$D$7=D678,OR(LEFT(L678,2)="15",AND(LEFT(M678,2)&lt;&gt;"15",LEFT(M678,2)&lt;&gt;"33"))),"x","")</f>
        <v/>
      </c>
      <c r="X678" s="51" t="str">
        <f>IF(AND(OR(LEFT(TH!L678,2)="15",LEFT(TH!M678,2)="15"),'152-CT'!$J$8=TH!F678),"x","")</f>
        <v/>
      </c>
      <c r="Y678" s="51" t="str">
        <f>IF(AND(OR(LEFT(TH!L678,2)="15",LEFT(TH!M678,2)="15"),TK!$E$7=TH!F678),"x","")</f>
        <v/>
      </c>
      <c r="Z678" s="51" t="str">
        <f>IF(AND(B678&lt;=NKC!$N$8,B678&gt;=NKC!$M$8),"x","")</f>
        <v>x</v>
      </c>
      <c r="AA678" s="803"/>
      <c r="AB678" s="565"/>
    </row>
    <row r="679" spans="1:28" ht="15.75" customHeight="1">
      <c r="A679" s="804" t="str">
        <f>IF(B679&lt;&gt;"",IF(AND(B679&gt;=_TM1,B679&lt;=_TM2,OR(TH!L679="1111",TH!M679="1111")),TH!D679,""),"")</f>
        <v/>
      </c>
      <c r="B679" s="36">
        <f t="shared" si="42"/>
        <v>9</v>
      </c>
      <c r="C679" s="189">
        <f t="shared" si="43"/>
        <v>42270</v>
      </c>
      <c r="D679" s="189" t="s">
        <v>1421</v>
      </c>
      <c r="E679" s="189">
        <v>42270</v>
      </c>
      <c r="F679" s="190" t="s">
        <v>651</v>
      </c>
      <c r="G679" s="813" t="s">
        <v>632</v>
      </c>
      <c r="H679" s="191" t="s">
        <v>509</v>
      </c>
      <c r="I679" s="243">
        <v>3</v>
      </c>
      <c r="J679" s="243">
        <v>29090</v>
      </c>
      <c r="K679" s="573">
        <f t="shared" si="41"/>
        <v>87270</v>
      </c>
      <c r="L679" s="574" t="s">
        <v>417</v>
      </c>
      <c r="M679" s="574" t="s">
        <v>8</v>
      </c>
      <c r="N679" s="51" t="str">
        <f>IF(AND('331-CT'!$E$7=TH!H679,OR(L679="331",M679="331")),"331",IF(AND(OR(L679="131",M679="131"),H679='131-CT'!$E$7),"131",""))</f>
        <v/>
      </c>
      <c r="O679" s="51" t="str">
        <f>IF(AND($B679&gt;='111'!$N$11,$B679&lt;='111'!$O$11,OR($L679=$O$7,$M679=$O$7)),"x","")</f>
        <v/>
      </c>
      <c r="P679" s="51" t="str">
        <f>IF(AND($L679=$O$7,$B679&lt;'111'!$N$11),"x","")</f>
        <v/>
      </c>
      <c r="Q679" s="51" t="str">
        <f>IF(AND($M679=$O$7,$B679&lt;'111'!$N$11),"x","")</f>
        <v/>
      </c>
      <c r="R679" s="51" t="str">
        <f>IF(ISERROR(FIND('112'!$M$9,G679,1)),"",IF((AND(FIND('112'!$M$9,G679,1)&gt;=1,$B679&gt;='112'!$N$8,$B679&lt;='112'!$O$8,OR($L679='112'!$I$6,$M679='112'!$I$6))),"x",""))</f>
        <v/>
      </c>
      <c r="S679" s="51" t="str">
        <f>IF(ISERROR(FIND('112'!$M$9,G679,1)),"",IF((AND(LEFT(G679,2)=LEFT('112'!$M$9,2),B679&lt;'112'!$N$8,$L679='112'!$I$6)),"x",""))</f>
        <v/>
      </c>
      <c r="T679" s="51" t="str">
        <f>IF(ISERROR(FIND('112'!$M$9,G679,1)),"",IF((AND(RIGHT(G679,2)=RIGHT('112'!$M$9,2),B679&lt;'112'!$N$8,$M679='112'!$I$6)),"x",""))</f>
        <v/>
      </c>
      <c r="U679" s="51" t="str">
        <f>IF(AND(L679="154",'154'!$O$5&lt;=B679,'154'!$P$5&gt;=B679),"154",IF(AND(L679="632",'632'!$L$5&lt;=B679,'632'!$M$5&gt;=B679),"632",IF(AND(L679="642",'642'!$N$5&lt;=B679,'642'!$O$5&gt;=B679),"642",IF(AND(L679="641",'641'!$N$5&lt;=B679,'641'!$O$5&gt;=B679),"641",""))))</f>
        <v/>
      </c>
      <c r="V679" s="51" t="str">
        <f>IF(OR(TH!L679=TH!$V$7,M679=TH!$V$7),"x","")</f>
        <v/>
      </c>
      <c r="W679" s="51" t="str">
        <f>IF(AND(B679&gt;='IN-NX'!$P$3,B679&lt;='IN-NX'!$Q$3,'IN-NX'!$D$7=D679,OR(LEFT(L679,2)="15",AND(LEFT(M679,2)&lt;&gt;"15",LEFT(M679,2)&lt;&gt;"33"))),"x","")</f>
        <v/>
      </c>
      <c r="X679" s="51" t="str">
        <f>IF(AND(OR(LEFT(TH!L679,2)="15",LEFT(TH!M679,2)="15"),'152-CT'!$J$8=TH!F679),"x","")</f>
        <v/>
      </c>
      <c r="Y679" s="51" t="str">
        <f>IF(AND(OR(LEFT(TH!L679,2)="15",LEFT(TH!M679,2)="15"),TK!$E$7=TH!F679),"x","")</f>
        <v/>
      </c>
      <c r="Z679" s="51" t="str">
        <f>IF(AND(B679&lt;=NKC!$N$8,B679&gt;=NKC!$M$8),"x","")</f>
        <v>x</v>
      </c>
      <c r="AA679" s="803"/>
      <c r="AB679" s="565"/>
    </row>
    <row r="680" spans="1:28" ht="15.75" customHeight="1">
      <c r="A680" s="804" t="str">
        <f>IF(B680&lt;&gt;"",IF(AND(B680&gt;=_TM1,B680&lt;=_TM2,OR(TH!L680="1111",TH!M680="1111")),TH!D680,""),"")</f>
        <v/>
      </c>
      <c r="B680" s="36">
        <f t="shared" si="42"/>
        <v>9</v>
      </c>
      <c r="C680" s="189">
        <f t="shared" si="43"/>
        <v>42270</v>
      </c>
      <c r="D680" s="189" t="s">
        <v>1421</v>
      </c>
      <c r="E680" s="189">
        <v>42270</v>
      </c>
      <c r="F680" s="190" t="s">
        <v>654</v>
      </c>
      <c r="G680" s="813" t="s">
        <v>632</v>
      </c>
      <c r="H680" s="191" t="s">
        <v>509</v>
      </c>
      <c r="I680" s="243">
        <v>3</v>
      </c>
      <c r="J680" s="243">
        <v>21960</v>
      </c>
      <c r="K680" s="573">
        <f t="shared" si="41"/>
        <v>65880</v>
      </c>
      <c r="L680" s="574" t="s">
        <v>417</v>
      </c>
      <c r="M680" s="574" t="s">
        <v>8</v>
      </c>
      <c r="N680" s="51" t="str">
        <f>IF(AND('331-CT'!$E$7=TH!H680,OR(L680="331",M680="331")),"331",IF(AND(OR(L680="131",M680="131"),H680='131-CT'!$E$7),"131",""))</f>
        <v/>
      </c>
      <c r="O680" s="51" t="str">
        <f>IF(AND($B680&gt;='111'!$N$11,$B680&lt;='111'!$O$11,OR($L680=$O$7,$M680=$O$7)),"x","")</f>
        <v/>
      </c>
      <c r="P680" s="51" t="str">
        <f>IF(AND($L680=$O$7,$B680&lt;'111'!$N$11),"x","")</f>
        <v/>
      </c>
      <c r="Q680" s="51" t="str">
        <f>IF(AND($M680=$O$7,$B680&lt;'111'!$N$11),"x","")</f>
        <v/>
      </c>
      <c r="R680" s="51" t="str">
        <f>IF(ISERROR(FIND('112'!$M$9,G680,1)),"",IF((AND(FIND('112'!$M$9,G680,1)&gt;=1,$B680&gt;='112'!$N$8,$B680&lt;='112'!$O$8,OR($L680='112'!$I$6,$M680='112'!$I$6))),"x",""))</f>
        <v/>
      </c>
      <c r="S680" s="51" t="str">
        <f>IF(ISERROR(FIND('112'!$M$9,G680,1)),"",IF((AND(LEFT(G680,2)=LEFT('112'!$M$9,2),B680&lt;'112'!$N$8,$L680='112'!$I$6)),"x",""))</f>
        <v/>
      </c>
      <c r="T680" s="51" t="str">
        <f>IF(ISERROR(FIND('112'!$M$9,G680,1)),"",IF((AND(RIGHT(G680,2)=RIGHT('112'!$M$9,2),B680&lt;'112'!$N$8,$M680='112'!$I$6)),"x",""))</f>
        <v/>
      </c>
      <c r="U680" s="51" t="str">
        <f>IF(AND(L680="154",'154'!$O$5&lt;=B680,'154'!$P$5&gt;=B680),"154",IF(AND(L680="632",'632'!$L$5&lt;=B680,'632'!$M$5&gt;=B680),"632",IF(AND(L680="642",'642'!$N$5&lt;=B680,'642'!$O$5&gt;=B680),"642",IF(AND(L680="641",'641'!$N$5&lt;=B680,'641'!$O$5&gt;=B680),"641",""))))</f>
        <v/>
      </c>
      <c r="V680" s="51" t="str">
        <f>IF(OR(TH!L680=TH!$V$7,M680=TH!$V$7),"x","")</f>
        <v/>
      </c>
      <c r="W680" s="51" t="str">
        <f>IF(AND(B680&gt;='IN-NX'!$P$3,B680&lt;='IN-NX'!$Q$3,'IN-NX'!$D$7=D680,OR(LEFT(L680,2)="15",AND(LEFT(M680,2)&lt;&gt;"15",LEFT(M680,2)&lt;&gt;"33"))),"x","")</f>
        <v/>
      </c>
      <c r="X680" s="51" t="str">
        <f>IF(AND(OR(LEFT(TH!L680,2)="15",LEFT(TH!M680,2)="15"),'152-CT'!$J$8=TH!F680),"x","")</f>
        <v/>
      </c>
      <c r="Y680" s="51" t="str">
        <f>IF(AND(OR(LEFT(TH!L680,2)="15",LEFT(TH!M680,2)="15"),TK!$E$7=TH!F680),"x","")</f>
        <v/>
      </c>
      <c r="Z680" s="51" t="str">
        <f>IF(AND(B680&lt;=NKC!$N$8,B680&gt;=NKC!$M$8),"x","")</f>
        <v>x</v>
      </c>
      <c r="AA680" s="803"/>
      <c r="AB680" s="565"/>
    </row>
    <row r="681" spans="1:28" ht="15.75" customHeight="1">
      <c r="A681" s="804" t="str">
        <f>IF(B681&lt;&gt;"",IF(AND(B681&gt;=_TM1,B681&lt;=_TM2,OR(TH!L681="1111",TH!M681="1111")),TH!D681,""),"")</f>
        <v/>
      </c>
      <c r="B681" s="36">
        <f t="shared" si="42"/>
        <v>9</v>
      </c>
      <c r="C681" s="189">
        <f t="shared" si="43"/>
        <v>42270</v>
      </c>
      <c r="D681" s="189" t="s">
        <v>1421</v>
      </c>
      <c r="E681" s="189">
        <v>42270</v>
      </c>
      <c r="F681" s="190" t="s">
        <v>652</v>
      </c>
      <c r="G681" s="813" t="s">
        <v>632</v>
      </c>
      <c r="H681" s="191" t="s">
        <v>509</v>
      </c>
      <c r="I681" s="243">
        <v>30</v>
      </c>
      <c r="J681" s="243">
        <v>20249</v>
      </c>
      <c r="K681" s="573">
        <f t="shared" si="41"/>
        <v>607470</v>
      </c>
      <c r="L681" s="574" t="s">
        <v>417</v>
      </c>
      <c r="M681" s="574" t="s">
        <v>8</v>
      </c>
      <c r="N681" s="51" t="str">
        <f>IF(AND('331-CT'!$E$7=TH!H681,OR(L681="331",M681="331")),"331",IF(AND(OR(L681="131",M681="131"),H681='131-CT'!$E$7),"131",""))</f>
        <v/>
      </c>
      <c r="O681" s="51" t="str">
        <f>IF(AND($B681&gt;='111'!$N$11,$B681&lt;='111'!$O$11,OR($L681=$O$7,$M681=$O$7)),"x","")</f>
        <v/>
      </c>
      <c r="P681" s="51" t="str">
        <f>IF(AND($L681=$O$7,$B681&lt;'111'!$N$11),"x","")</f>
        <v/>
      </c>
      <c r="Q681" s="51" t="str">
        <f>IF(AND($M681=$O$7,$B681&lt;'111'!$N$11),"x","")</f>
        <v/>
      </c>
      <c r="R681" s="51" t="str">
        <f>IF(ISERROR(FIND('112'!$M$9,G681,1)),"",IF((AND(FIND('112'!$M$9,G681,1)&gt;=1,$B681&gt;='112'!$N$8,$B681&lt;='112'!$O$8,OR($L681='112'!$I$6,$M681='112'!$I$6))),"x",""))</f>
        <v/>
      </c>
      <c r="S681" s="51" t="str">
        <f>IF(ISERROR(FIND('112'!$M$9,G681,1)),"",IF((AND(LEFT(G681,2)=LEFT('112'!$M$9,2),B681&lt;'112'!$N$8,$L681='112'!$I$6)),"x",""))</f>
        <v/>
      </c>
      <c r="T681" s="51" t="str">
        <f>IF(ISERROR(FIND('112'!$M$9,G681,1)),"",IF((AND(RIGHT(G681,2)=RIGHT('112'!$M$9,2),B681&lt;'112'!$N$8,$M681='112'!$I$6)),"x",""))</f>
        <v/>
      </c>
      <c r="U681" s="51" t="str">
        <f>IF(AND(L681="154",'154'!$O$5&lt;=B681,'154'!$P$5&gt;=B681),"154",IF(AND(L681="632",'632'!$L$5&lt;=B681,'632'!$M$5&gt;=B681),"632",IF(AND(L681="642",'642'!$N$5&lt;=B681,'642'!$O$5&gt;=B681),"642",IF(AND(L681="641",'641'!$N$5&lt;=B681,'641'!$O$5&gt;=B681),"641",""))))</f>
        <v/>
      </c>
      <c r="V681" s="51" t="str">
        <f>IF(OR(TH!L681=TH!$V$7,M681=TH!$V$7),"x","")</f>
        <v/>
      </c>
      <c r="W681" s="51" t="str">
        <f>IF(AND(B681&gt;='IN-NX'!$P$3,B681&lt;='IN-NX'!$Q$3,'IN-NX'!$D$7=D681,OR(LEFT(L681,2)="15",AND(LEFT(M681,2)&lt;&gt;"15",LEFT(M681,2)&lt;&gt;"33"))),"x","")</f>
        <v/>
      </c>
      <c r="X681" s="51" t="str">
        <f>IF(AND(OR(LEFT(TH!L681,2)="15",LEFT(TH!M681,2)="15"),'152-CT'!$J$8=TH!F681),"x","")</f>
        <v/>
      </c>
      <c r="Y681" s="51" t="str">
        <f>IF(AND(OR(LEFT(TH!L681,2)="15",LEFT(TH!M681,2)="15"),TK!$E$7=TH!F681),"x","")</f>
        <v/>
      </c>
      <c r="Z681" s="51" t="str">
        <f>IF(AND(B681&lt;=NKC!$N$8,B681&gt;=NKC!$M$8),"x","")</f>
        <v>x</v>
      </c>
      <c r="AA681" s="803"/>
      <c r="AB681" s="565"/>
    </row>
    <row r="682" spans="1:28" ht="15.75" customHeight="1">
      <c r="A682" s="804" t="str">
        <f>IF(B682&lt;&gt;"",IF(AND(B682&gt;=_TM1,B682&lt;=_TM2,OR(TH!L682="1111",TH!M682="1111")),TH!D682,""),"")</f>
        <v/>
      </c>
      <c r="B682" s="36">
        <f t="shared" si="42"/>
        <v>9</v>
      </c>
      <c r="C682" s="189">
        <f t="shared" si="43"/>
        <v>42270</v>
      </c>
      <c r="D682" s="189" t="s">
        <v>1424</v>
      </c>
      <c r="E682" s="189">
        <v>42270</v>
      </c>
      <c r="F682" s="190" t="s">
        <v>653</v>
      </c>
      <c r="G682" s="813" t="s">
        <v>632</v>
      </c>
      <c r="H682" s="191" t="s">
        <v>509</v>
      </c>
      <c r="I682" s="243">
        <v>17</v>
      </c>
      <c r="J682" s="243">
        <v>25171</v>
      </c>
      <c r="K682" s="573">
        <f t="shared" si="41"/>
        <v>427907</v>
      </c>
      <c r="L682" s="574" t="s">
        <v>417</v>
      </c>
      <c r="M682" s="574" t="s">
        <v>8</v>
      </c>
      <c r="N682" s="51" t="str">
        <f>IF(AND('331-CT'!$E$7=TH!H682,OR(L682="331",M682="331")),"331",IF(AND(OR(L682="131",M682="131"),H682='131-CT'!$E$7),"131",""))</f>
        <v/>
      </c>
      <c r="O682" s="51" t="str">
        <f>IF(AND($B682&gt;='111'!$N$11,$B682&lt;='111'!$O$11,OR($L682=$O$7,$M682=$O$7)),"x","")</f>
        <v/>
      </c>
      <c r="P682" s="51" t="str">
        <f>IF(AND($L682=$O$7,$B682&lt;'111'!$N$11),"x","")</f>
        <v/>
      </c>
      <c r="Q682" s="51" t="str">
        <f>IF(AND($M682=$O$7,$B682&lt;'111'!$N$11),"x","")</f>
        <v/>
      </c>
      <c r="R682" s="51" t="str">
        <f>IF(ISERROR(FIND('112'!$M$9,G682,1)),"",IF((AND(FIND('112'!$M$9,G682,1)&gt;=1,$B682&gt;='112'!$N$8,$B682&lt;='112'!$O$8,OR($L682='112'!$I$6,$M682='112'!$I$6))),"x",""))</f>
        <v/>
      </c>
      <c r="S682" s="51" t="str">
        <f>IF(ISERROR(FIND('112'!$M$9,G682,1)),"",IF((AND(LEFT(G682,2)=LEFT('112'!$M$9,2),B682&lt;'112'!$N$8,$L682='112'!$I$6)),"x",""))</f>
        <v/>
      </c>
      <c r="T682" s="51" t="str">
        <f>IF(ISERROR(FIND('112'!$M$9,G682,1)),"",IF((AND(RIGHT(G682,2)=RIGHT('112'!$M$9,2),B682&lt;'112'!$N$8,$M682='112'!$I$6)),"x",""))</f>
        <v/>
      </c>
      <c r="U682" s="51" t="str">
        <f>IF(AND(L682="154",'154'!$O$5&lt;=B682,'154'!$P$5&gt;=B682),"154",IF(AND(L682="632",'632'!$L$5&lt;=B682,'632'!$M$5&gt;=B682),"632",IF(AND(L682="642",'642'!$N$5&lt;=B682,'642'!$O$5&gt;=B682),"642",IF(AND(L682="641",'641'!$N$5&lt;=B682,'641'!$O$5&gt;=B682),"641",""))))</f>
        <v/>
      </c>
      <c r="V682" s="51" t="str">
        <f>IF(OR(TH!L682=TH!$V$7,M682=TH!$V$7),"x","")</f>
        <v/>
      </c>
      <c r="W682" s="51" t="str">
        <f>IF(AND(B682&gt;='IN-NX'!$P$3,B682&lt;='IN-NX'!$Q$3,'IN-NX'!$D$7=D682,OR(LEFT(L682,2)="15",AND(LEFT(M682,2)&lt;&gt;"15",LEFT(M682,2)&lt;&gt;"33"))),"x","")</f>
        <v/>
      </c>
      <c r="X682" s="51" t="str">
        <f>IF(AND(OR(LEFT(TH!L682,2)="15",LEFT(TH!M682,2)="15"),'152-CT'!$J$8=TH!F682),"x","")</f>
        <v/>
      </c>
      <c r="Y682" s="51" t="str">
        <f>IF(AND(OR(LEFT(TH!L682,2)="15",LEFT(TH!M682,2)="15"),TK!$E$7=TH!F682),"x","")</f>
        <v/>
      </c>
      <c r="Z682" s="51" t="str">
        <f>IF(AND(B682&lt;=NKC!$N$8,B682&gt;=NKC!$M$8),"x","")</f>
        <v>x</v>
      </c>
      <c r="AA682" s="803"/>
      <c r="AB682" s="565"/>
    </row>
    <row r="683" spans="1:28" ht="15.75" customHeight="1">
      <c r="A683" s="804" t="str">
        <f>IF(B683&lt;&gt;"",IF(AND(B683&gt;=_TM1,B683&lt;=_TM2,OR(TH!L683="1111",TH!M683="1111")),TH!D683,""),"")</f>
        <v/>
      </c>
      <c r="B683" s="36">
        <f t="shared" si="42"/>
        <v>9</v>
      </c>
      <c r="C683" s="189">
        <f t="shared" si="43"/>
        <v>42270</v>
      </c>
      <c r="D683" s="189" t="s">
        <v>1424</v>
      </c>
      <c r="E683" s="189">
        <v>42270</v>
      </c>
      <c r="F683" s="190" t="s">
        <v>655</v>
      </c>
      <c r="G683" s="813" t="s">
        <v>632</v>
      </c>
      <c r="H683" s="191" t="s">
        <v>509</v>
      </c>
      <c r="I683" s="243">
        <v>33</v>
      </c>
      <c r="J683" s="243">
        <v>24385</v>
      </c>
      <c r="K683" s="573">
        <f t="shared" si="41"/>
        <v>804705</v>
      </c>
      <c r="L683" s="574" t="s">
        <v>417</v>
      </c>
      <c r="M683" s="574" t="s">
        <v>8</v>
      </c>
      <c r="N683" s="51" t="str">
        <f>IF(AND('331-CT'!$E$7=TH!H683,OR(L683="331",M683="331")),"331",IF(AND(OR(L683="131",M683="131"),H683='131-CT'!$E$7),"131",""))</f>
        <v/>
      </c>
      <c r="O683" s="51" t="str">
        <f>IF(AND($B683&gt;='111'!$N$11,$B683&lt;='111'!$O$11,OR($L683=$O$7,$M683=$O$7)),"x","")</f>
        <v/>
      </c>
      <c r="P683" s="51" t="str">
        <f>IF(AND($L683=$O$7,$B683&lt;'111'!$N$11),"x","")</f>
        <v/>
      </c>
      <c r="Q683" s="51" t="str">
        <f>IF(AND($M683=$O$7,$B683&lt;'111'!$N$11),"x","")</f>
        <v/>
      </c>
      <c r="R683" s="51" t="str">
        <f>IF(ISERROR(FIND('112'!$M$9,G683,1)),"",IF((AND(FIND('112'!$M$9,G683,1)&gt;=1,$B683&gt;='112'!$N$8,$B683&lt;='112'!$O$8,OR($L683='112'!$I$6,$M683='112'!$I$6))),"x",""))</f>
        <v/>
      </c>
      <c r="S683" s="51" t="str">
        <f>IF(ISERROR(FIND('112'!$M$9,G683,1)),"",IF((AND(LEFT(G683,2)=LEFT('112'!$M$9,2),B683&lt;'112'!$N$8,$L683='112'!$I$6)),"x",""))</f>
        <v/>
      </c>
      <c r="T683" s="51" t="str">
        <f>IF(ISERROR(FIND('112'!$M$9,G683,1)),"",IF((AND(RIGHT(G683,2)=RIGHT('112'!$M$9,2),B683&lt;'112'!$N$8,$M683='112'!$I$6)),"x",""))</f>
        <v/>
      </c>
      <c r="U683" s="51" t="str">
        <f>IF(AND(L683="154",'154'!$O$5&lt;=B683,'154'!$P$5&gt;=B683),"154",IF(AND(L683="632",'632'!$L$5&lt;=B683,'632'!$M$5&gt;=B683),"632",IF(AND(L683="642",'642'!$N$5&lt;=B683,'642'!$O$5&gt;=B683),"642",IF(AND(L683="641",'641'!$N$5&lt;=B683,'641'!$O$5&gt;=B683),"641",""))))</f>
        <v/>
      </c>
      <c r="V683" s="51" t="str">
        <f>IF(OR(TH!L683=TH!$V$7,M683=TH!$V$7),"x","")</f>
        <v/>
      </c>
      <c r="W683" s="51" t="str">
        <f>IF(AND(B683&gt;='IN-NX'!$P$3,B683&lt;='IN-NX'!$Q$3,'IN-NX'!$D$7=D683,OR(LEFT(L683,2)="15",AND(LEFT(M683,2)&lt;&gt;"15",LEFT(M683,2)&lt;&gt;"33"))),"x","")</f>
        <v/>
      </c>
      <c r="X683" s="51" t="str">
        <f>IF(AND(OR(LEFT(TH!L683,2)="15",LEFT(TH!M683,2)="15"),'152-CT'!$J$8=TH!F683),"x","")</f>
        <v/>
      </c>
      <c r="Y683" s="51" t="str">
        <f>IF(AND(OR(LEFT(TH!L683,2)="15",LEFT(TH!M683,2)="15"),TK!$E$7=TH!F683),"x","")</f>
        <v/>
      </c>
      <c r="Z683" s="51" t="str">
        <f>IF(AND(B683&lt;=NKC!$N$8,B683&gt;=NKC!$M$8),"x","")</f>
        <v>x</v>
      </c>
      <c r="AA683" s="803"/>
      <c r="AB683" s="565"/>
    </row>
    <row r="684" spans="1:28" ht="15.75" customHeight="1">
      <c r="A684" s="804" t="str">
        <f>IF(B684&lt;&gt;"",IF(AND(B684&gt;=_TM1,B684&lt;=_TM2,OR(TH!L684="1111",TH!M684="1111")),TH!D684,""),"")</f>
        <v/>
      </c>
      <c r="B684" s="36">
        <f t="shared" si="42"/>
        <v>9</v>
      </c>
      <c r="C684" s="189">
        <f t="shared" si="43"/>
        <v>42270</v>
      </c>
      <c r="D684" s="189" t="s">
        <v>1424</v>
      </c>
      <c r="E684" s="189">
        <v>42270</v>
      </c>
      <c r="F684" s="190" t="s">
        <v>650</v>
      </c>
      <c r="G684" s="813" t="s">
        <v>632</v>
      </c>
      <c r="H684" s="191" t="s">
        <v>509</v>
      </c>
      <c r="I684" s="243">
        <v>66</v>
      </c>
      <c r="J684" s="243">
        <v>17333</v>
      </c>
      <c r="K684" s="573">
        <f t="shared" si="41"/>
        <v>1143978</v>
      </c>
      <c r="L684" s="574" t="s">
        <v>417</v>
      </c>
      <c r="M684" s="574" t="s">
        <v>8</v>
      </c>
      <c r="N684" s="51" t="str">
        <f>IF(AND('331-CT'!$E$7=TH!H684,OR(L684="331",M684="331")),"331",IF(AND(OR(L684="131",M684="131"),H684='131-CT'!$E$7),"131",""))</f>
        <v/>
      </c>
      <c r="O684" s="51" t="str">
        <f>IF(AND($B684&gt;='111'!$N$11,$B684&lt;='111'!$O$11,OR($L684=$O$7,$M684=$O$7)),"x","")</f>
        <v/>
      </c>
      <c r="P684" s="51" t="str">
        <f>IF(AND($L684=$O$7,$B684&lt;'111'!$N$11),"x","")</f>
        <v/>
      </c>
      <c r="Q684" s="51" t="str">
        <f>IF(AND($M684=$O$7,$B684&lt;'111'!$N$11),"x","")</f>
        <v/>
      </c>
      <c r="R684" s="51" t="str">
        <f>IF(ISERROR(FIND('112'!$M$9,G684,1)),"",IF((AND(FIND('112'!$M$9,G684,1)&gt;=1,$B684&gt;='112'!$N$8,$B684&lt;='112'!$O$8,OR($L684='112'!$I$6,$M684='112'!$I$6))),"x",""))</f>
        <v/>
      </c>
      <c r="S684" s="51" t="str">
        <f>IF(ISERROR(FIND('112'!$M$9,G684,1)),"",IF((AND(LEFT(G684,2)=LEFT('112'!$M$9,2),B684&lt;'112'!$N$8,$L684='112'!$I$6)),"x",""))</f>
        <v/>
      </c>
      <c r="T684" s="51" t="str">
        <f>IF(ISERROR(FIND('112'!$M$9,G684,1)),"",IF((AND(RIGHT(G684,2)=RIGHT('112'!$M$9,2),B684&lt;'112'!$N$8,$M684='112'!$I$6)),"x",""))</f>
        <v/>
      </c>
      <c r="U684" s="51" t="str">
        <f>IF(AND(L684="154",'154'!$O$5&lt;=B684,'154'!$P$5&gt;=B684),"154",IF(AND(L684="632",'632'!$L$5&lt;=B684,'632'!$M$5&gt;=B684),"632",IF(AND(L684="642",'642'!$N$5&lt;=B684,'642'!$O$5&gt;=B684),"642",IF(AND(L684="641",'641'!$N$5&lt;=B684,'641'!$O$5&gt;=B684),"641",""))))</f>
        <v/>
      </c>
      <c r="V684" s="51" t="str">
        <f>IF(OR(TH!L684=TH!$V$7,M684=TH!$V$7),"x","")</f>
        <v/>
      </c>
      <c r="W684" s="51" t="str">
        <f>IF(AND(B684&gt;='IN-NX'!$P$3,B684&lt;='IN-NX'!$Q$3,'IN-NX'!$D$7=D684,OR(LEFT(L684,2)="15",AND(LEFT(M684,2)&lt;&gt;"15",LEFT(M684,2)&lt;&gt;"33"))),"x","")</f>
        <v/>
      </c>
      <c r="X684" s="51" t="str">
        <f>IF(AND(OR(LEFT(TH!L684,2)="15",LEFT(TH!M684,2)="15"),'152-CT'!$J$8=TH!F684),"x","")</f>
        <v/>
      </c>
      <c r="Y684" s="51" t="str">
        <f>IF(AND(OR(LEFT(TH!L684,2)="15",LEFT(TH!M684,2)="15"),TK!$E$7=TH!F684),"x","")</f>
        <v/>
      </c>
      <c r="Z684" s="51" t="str">
        <f>IF(AND(B684&lt;=NKC!$N$8,B684&gt;=NKC!$M$8),"x","")</f>
        <v>x</v>
      </c>
      <c r="AA684" s="803"/>
      <c r="AB684" s="565"/>
    </row>
    <row r="685" spans="1:28" ht="15.75" customHeight="1">
      <c r="A685" s="804" t="str">
        <f>IF(B685&lt;&gt;"",IF(AND(B685&gt;=_TM1,B685&lt;=_TM2,OR(TH!L685="1111",TH!M685="1111")),TH!D685,""),"")</f>
        <v/>
      </c>
      <c r="B685" s="36">
        <f t="shared" si="42"/>
        <v>9</v>
      </c>
      <c r="C685" s="189">
        <f t="shared" si="43"/>
        <v>42270</v>
      </c>
      <c r="D685" s="189" t="s">
        <v>1424</v>
      </c>
      <c r="E685" s="189">
        <v>42270</v>
      </c>
      <c r="F685" s="926" t="s">
        <v>656</v>
      </c>
      <c r="G685" s="813" t="s">
        <v>632</v>
      </c>
      <c r="H685" s="191" t="s">
        <v>509</v>
      </c>
      <c r="I685" s="243">
        <v>33</v>
      </c>
      <c r="J685" s="243">
        <v>21197</v>
      </c>
      <c r="K685" s="573">
        <f t="shared" si="41"/>
        <v>699501</v>
      </c>
      <c r="L685" s="574" t="s">
        <v>417</v>
      </c>
      <c r="M685" s="574" t="s">
        <v>8</v>
      </c>
      <c r="N685" s="51" t="str">
        <f>IF(AND('331-CT'!$E$7=TH!H685,OR(L685="331",M685="331")),"331",IF(AND(OR(L685="131",M685="131"),H685='131-CT'!$E$7),"131",""))</f>
        <v/>
      </c>
      <c r="O685" s="51" t="str">
        <f>IF(AND($B685&gt;='111'!$N$11,$B685&lt;='111'!$O$11,OR($L685=$O$7,$M685=$O$7)),"x","")</f>
        <v/>
      </c>
      <c r="P685" s="51" t="str">
        <f>IF(AND($L685=$O$7,$B685&lt;'111'!$N$11),"x","")</f>
        <v/>
      </c>
      <c r="Q685" s="51" t="str">
        <f>IF(AND($M685=$O$7,$B685&lt;'111'!$N$11),"x","")</f>
        <v/>
      </c>
      <c r="R685" s="51" t="str">
        <f>IF(ISERROR(FIND('112'!$M$9,G685,1)),"",IF((AND(FIND('112'!$M$9,G685,1)&gt;=1,$B685&gt;='112'!$N$8,$B685&lt;='112'!$O$8,OR($L685='112'!$I$6,$M685='112'!$I$6))),"x",""))</f>
        <v/>
      </c>
      <c r="S685" s="51" t="str">
        <f>IF(ISERROR(FIND('112'!$M$9,G685,1)),"",IF((AND(LEFT(G685,2)=LEFT('112'!$M$9,2),B685&lt;'112'!$N$8,$L685='112'!$I$6)),"x",""))</f>
        <v/>
      </c>
      <c r="T685" s="51" t="str">
        <f>IF(ISERROR(FIND('112'!$M$9,G685,1)),"",IF((AND(RIGHT(G685,2)=RIGHT('112'!$M$9,2),B685&lt;'112'!$N$8,$M685='112'!$I$6)),"x",""))</f>
        <v/>
      </c>
      <c r="U685" s="51" t="str">
        <f>IF(AND(L685="154",'154'!$O$5&lt;=B685,'154'!$P$5&gt;=B685),"154",IF(AND(L685="632",'632'!$L$5&lt;=B685,'632'!$M$5&gt;=B685),"632",IF(AND(L685="642",'642'!$N$5&lt;=B685,'642'!$O$5&gt;=B685),"642",IF(AND(L685="641",'641'!$N$5&lt;=B685,'641'!$O$5&gt;=B685),"641",""))))</f>
        <v/>
      </c>
      <c r="V685" s="51" t="str">
        <f>IF(OR(TH!L685=TH!$V$7,M685=TH!$V$7),"x","")</f>
        <v/>
      </c>
      <c r="W685" s="51" t="str">
        <f>IF(AND(B685&gt;='IN-NX'!$P$3,B685&lt;='IN-NX'!$Q$3,'IN-NX'!$D$7=D685,OR(LEFT(L685,2)="15",AND(LEFT(M685,2)&lt;&gt;"15",LEFT(M685,2)&lt;&gt;"33"))),"x","")</f>
        <v/>
      </c>
      <c r="X685" s="51" t="str">
        <f>IF(AND(OR(LEFT(TH!L685,2)="15",LEFT(TH!M685,2)="15"),'152-CT'!$J$8=TH!F685),"x","")</f>
        <v/>
      </c>
      <c r="Y685" s="51" t="str">
        <f>IF(AND(OR(LEFT(TH!L685,2)="15",LEFT(TH!M685,2)="15"),TK!$E$7=TH!F685),"x","")</f>
        <v/>
      </c>
      <c r="Z685" s="51" t="str">
        <f>IF(AND(B685&lt;=NKC!$N$8,B685&gt;=NKC!$M$8),"x","")</f>
        <v>x</v>
      </c>
      <c r="AA685" s="803"/>
      <c r="AB685" s="565"/>
    </row>
    <row r="686" spans="1:28" ht="15.75" customHeight="1">
      <c r="A686" s="804" t="str">
        <f>IF(B686&lt;&gt;"",IF(AND(B686&gt;=_TM1,B686&lt;=_TM2,OR(TH!L686="1111",TH!M686="1111")),TH!D686,""),"")</f>
        <v/>
      </c>
      <c r="B686" s="36">
        <f t="shared" si="42"/>
        <v>9</v>
      </c>
      <c r="C686" s="189">
        <f t="shared" si="43"/>
        <v>42270</v>
      </c>
      <c r="D686" s="189" t="s">
        <v>1424</v>
      </c>
      <c r="E686" s="189">
        <v>42270</v>
      </c>
      <c r="F686" s="926" t="s">
        <v>657</v>
      </c>
      <c r="G686" s="813" t="s">
        <v>632</v>
      </c>
      <c r="H686" s="191" t="s">
        <v>509</v>
      </c>
      <c r="I686" s="243">
        <v>10</v>
      </c>
      <c r="J686" s="243">
        <v>17112</v>
      </c>
      <c r="K686" s="573">
        <f t="shared" si="41"/>
        <v>171120</v>
      </c>
      <c r="L686" s="574" t="s">
        <v>417</v>
      </c>
      <c r="M686" s="574" t="s">
        <v>8</v>
      </c>
      <c r="N686" s="51" t="str">
        <f>IF(AND('331-CT'!$E$7=TH!H686,OR(L686="331",M686="331")),"331",IF(AND(OR(L686="131",M686="131"),H686='131-CT'!$E$7),"131",""))</f>
        <v/>
      </c>
      <c r="O686" s="51" t="str">
        <f>IF(AND($B686&gt;='111'!$N$11,$B686&lt;='111'!$O$11,OR($L686=$O$7,$M686=$O$7)),"x","")</f>
        <v/>
      </c>
      <c r="P686" s="51" t="str">
        <f>IF(AND($L686=$O$7,$B686&lt;'111'!$N$11),"x","")</f>
        <v/>
      </c>
      <c r="Q686" s="51" t="str">
        <f>IF(AND($M686=$O$7,$B686&lt;'111'!$N$11),"x","")</f>
        <v/>
      </c>
      <c r="R686" s="51" t="str">
        <f>IF(ISERROR(FIND('112'!$M$9,G686,1)),"",IF((AND(FIND('112'!$M$9,G686,1)&gt;=1,$B686&gt;='112'!$N$8,$B686&lt;='112'!$O$8,OR($L686='112'!$I$6,$M686='112'!$I$6))),"x",""))</f>
        <v/>
      </c>
      <c r="S686" s="51" t="str">
        <f>IF(ISERROR(FIND('112'!$M$9,G686,1)),"",IF((AND(LEFT(G686,2)=LEFT('112'!$M$9,2),B686&lt;'112'!$N$8,$L686='112'!$I$6)),"x",""))</f>
        <v/>
      </c>
      <c r="T686" s="51" t="str">
        <f>IF(ISERROR(FIND('112'!$M$9,G686,1)),"",IF((AND(RIGHT(G686,2)=RIGHT('112'!$M$9,2),B686&lt;'112'!$N$8,$M686='112'!$I$6)),"x",""))</f>
        <v/>
      </c>
      <c r="U686" s="51" t="str">
        <f>IF(AND(L686="154",'154'!$O$5&lt;=B686,'154'!$P$5&gt;=B686),"154",IF(AND(L686="632",'632'!$L$5&lt;=B686,'632'!$M$5&gt;=B686),"632",IF(AND(L686="642",'642'!$N$5&lt;=B686,'642'!$O$5&gt;=B686),"642",IF(AND(L686="641",'641'!$N$5&lt;=B686,'641'!$O$5&gt;=B686),"641",""))))</f>
        <v/>
      </c>
      <c r="V686" s="51" t="str">
        <f>IF(OR(TH!L686=TH!$V$7,M686=TH!$V$7),"x","")</f>
        <v/>
      </c>
      <c r="W686" s="51" t="str">
        <f>IF(AND(B686&gt;='IN-NX'!$P$3,B686&lt;='IN-NX'!$Q$3,'IN-NX'!$D$7=D686,OR(LEFT(L686,2)="15",AND(LEFT(M686,2)&lt;&gt;"15",LEFT(M686,2)&lt;&gt;"33"))),"x","")</f>
        <v/>
      </c>
      <c r="X686" s="51" t="str">
        <f>IF(AND(OR(LEFT(TH!L686,2)="15",LEFT(TH!M686,2)="15"),'152-CT'!$J$8=TH!F686),"x","")</f>
        <v/>
      </c>
      <c r="Y686" s="51" t="str">
        <f>IF(AND(OR(LEFT(TH!L686,2)="15",LEFT(TH!M686,2)="15"),TK!$E$7=TH!F686),"x","")</f>
        <v/>
      </c>
      <c r="Z686" s="51" t="str">
        <f>IF(AND(B686&lt;=NKC!$N$8,B686&gt;=NKC!$M$8),"x","")</f>
        <v>x</v>
      </c>
      <c r="AA686" s="803"/>
      <c r="AB686" s="565"/>
    </row>
    <row r="687" spans="1:28" ht="15.75" customHeight="1">
      <c r="A687" s="804" t="str">
        <f>IF(B687&lt;&gt;"",IF(AND(B687&gt;=_TM1,B687&lt;=_TM2,OR(TH!L687="1111",TH!M687="1111")),TH!D687,""),"")</f>
        <v/>
      </c>
      <c r="B687" s="36">
        <f t="shared" si="42"/>
        <v>9</v>
      </c>
      <c r="C687" s="189">
        <f t="shared" si="43"/>
        <v>42270</v>
      </c>
      <c r="D687" s="189" t="s">
        <v>1424</v>
      </c>
      <c r="E687" s="189">
        <v>42270</v>
      </c>
      <c r="F687" s="922" t="s">
        <v>658</v>
      </c>
      <c r="G687" s="813" t="s">
        <v>632</v>
      </c>
      <c r="H687" s="191" t="s">
        <v>509</v>
      </c>
      <c r="I687" s="243">
        <v>60</v>
      </c>
      <c r="J687" s="243">
        <v>17250</v>
      </c>
      <c r="K687" s="573">
        <f t="shared" si="41"/>
        <v>1035000</v>
      </c>
      <c r="L687" s="574" t="s">
        <v>417</v>
      </c>
      <c r="M687" s="574" t="s">
        <v>8</v>
      </c>
      <c r="N687" s="51" t="str">
        <f>IF(AND('331-CT'!$E$7=TH!H687,OR(L687="331",M687="331")),"331",IF(AND(OR(L687="131",M687="131"),H687='131-CT'!$E$7),"131",""))</f>
        <v/>
      </c>
      <c r="O687" s="51" t="str">
        <f>IF(AND($B687&gt;='111'!$N$11,$B687&lt;='111'!$O$11,OR($L687=$O$7,$M687=$O$7)),"x","")</f>
        <v/>
      </c>
      <c r="P687" s="51" t="str">
        <f>IF(AND($L687=$O$7,$B687&lt;'111'!$N$11),"x","")</f>
        <v/>
      </c>
      <c r="Q687" s="51" t="str">
        <f>IF(AND($M687=$O$7,$B687&lt;'111'!$N$11),"x","")</f>
        <v/>
      </c>
      <c r="R687" s="51" t="str">
        <f>IF(ISERROR(FIND('112'!$M$9,G687,1)),"",IF((AND(FIND('112'!$M$9,G687,1)&gt;=1,$B687&gt;='112'!$N$8,$B687&lt;='112'!$O$8,OR($L687='112'!$I$6,$M687='112'!$I$6))),"x",""))</f>
        <v/>
      </c>
      <c r="S687" s="51" t="str">
        <f>IF(ISERROR(FIND('112'!$M$9,G687,1)),"",IF((AND(LEFT(G687,2)=LEFT('112'!$M$9,2),B687&lt;'112'!$N$8,$L687='112'!$I$6)),"x",""))</f>
        <v/>
      </c>
      <c r="T687" s="51" t="str">
        <f>IF(ISERROR(FIND('112'!$M$9,G687,1)),"",IF((AND(RIGHT(G687,2)=RIGHT('112'!$M$9,2),B687&lt;'112'!$N$8,$M687='112'!$I$6)),"x",""))</f>
        <v/>
      </c>
      <c r="U687" s="51" t="str">
        <f>IF(AND(L687="154",'154'!$O$5&lt;=B687,'154'!$P$5&gt;=B687),"154",IF(AND(L687="632",'632'!$L$5&lt;=B687,'632'!$M$5&gt;=B687),"632",IF(AND(L687="642",'642'!$N$5&lt;=B687,'642'!$O$5&gt;=B687),"642",IF(AND(L687="641",'641'!$N$5&lt;=B687,'641'!$O$5&gt;=B687),"641",""))))</f>
        <v/>
      </c>
      <c r="V687" s="51" t="str">
        <f>IF(OR(TH!L687=TH!$V$7,M687=TH!$V$7),"x","")</f>
        <v/>
      </c>
      <c r="W687" s="51" t="str">
        <f>IF(AND(B687&gt;='IN-NX'!$P$3,B687&lt;='IN-NX'!$Q$3,'IN-NX'!$D$7=D687,OR(LEFT(L687,2)="15",AND(LEFT(M687,2)&lt;&gt;"15",LEFT(M687,2)&lt;&gt;"33"))),"x","")</f>
        <v/>
      </c>
      <c r="X687" s="51" t="str">
        <f>IF(AND(OR(LEFT(TH!L687,2)="15",LEFT(TH!M687,2)="15"),'152-CT'!$J$8=TH!F687),"x","")</f>
        <v/>
      </c>
      <c r="Y687" s="51" t="str">
        <f>IF(AND(OR(LEFT(TH!L687,2)="15",LEFT(TH!M687,2)="15"),TK!$E$7=TH!F687),"x","")</f>
        <v/>
      </c>
      <c r="Z687" s="51" t="str">
        <f>IF(AND(B687&lt;=NKC!$N$8,B687&gt;=NKC!$M$8),"x","")</f>
        <v>x</v>
      </c>
      <c r="AA687" s="803"/>
      <c r="AB687" s="565"/>
    </row>
    <row r="688" spans="1:28" ht="15.75" customHeight="1">
      <c r="A688" s="804" t="str">
        <f>IF(B688&lt;&gt;"",IF(AND(B688&gt;=_TM1,B688&lt;=_TM2,OR(TH!L688="1111",TH!M688="1111")),TH!D688,""),"")</f>
        <v/>
      </c>
      <c r="B688" s="36">
        <f t="shared" si="42"/>
        <v>9</v>
      </c>
      <c r="C688" s="189">
        <f t="shared" si="43"/>
        <v>42270</v>
      </c>
      <c r="D688" s="189" t="s">
        <v>1424</v>
      </c>
      <c r="E688" s="189">
        <v>42270</v>
      </c>
      <c r="F688" s="190" t="s">
        <v>659</v>
      </c>
      <c r="G688" s="813" t="s">
        <v>632</v>
      </c>
      <c r="H688" s="191" t="s">
        <v>509</v>
      </c>
      <c r="I688" s="243">
        <v>15</v>
      </c>
      <c r="J688" s="243">
        <v>9738</v>
      </c>
      <c r="K688" s="573">
        <f t="shared" si="41"/>
        <v>146070</v>
      </c>
      <c r="L688" s="574" t="s">
        <v>417</v>
      </c>
      <c r="M688" s="574" t="s">
        <v>8</v>
      </c>
      <c r="N688" s="51" t="str">
        <f>IF(AND('331-CT'!$E$7=TH!H688,OR(L688="331",M688="331")),"331",IF(AND(OR(L688="131",M688="131"),H688='131-CT'!$E$7),"131",""))</f>
        <v/>
      </c>
      <c r="O688" s="51" t="str">
        <f>IF(AND($B688&gt;='111'!$N$11,$B688&lt;='111'!$O$11,OR($L688=$O$7,$M688=$O$7)),"x","")</f>
        <v/>
      </c>
      <c r="P688" s="51" t="str">
        <f>IF(AND($L688=$O$7,$B688&lt;'111'!$N$11),"x","")</f>
        <v/>
      </c>
      <c r="Q688" s="51" t="str">
        <f>IF(AND($M688=$O$7,$B688&lt;'111'!$N$11),"x","")</f>
        <v/>
      </c>
      <c r="R688" s="51" t="str">
        <f>IF(ISERROR(FIND('112'!$M$9,G688,1)),"",IF((AND(FIND('112'!$M$9,G688,1)&gt;=1,$B688&gt;='112'!$N$8,$B688&lt;='112'!$O$8,OR($L688='112'!$I$6,$M688='112'!$I$6))),"x",""))</f>
        <v/>
      </c>
      <c r="S688" s="51" t="str">
        <f>IF(ISERROR(FIND('112'!$M$9,G688,1)),"",IF((AND(LEFT(G688,2)=LEFT('112'!$M$9,2),B688&lt;'112'!$N$8,$L688='112'!$I$6)),"x",""))</f>
        <v/>
      </c>
      <c r="T688" s="51" t="str">
        <f>IF(ISERROR(FIND('112'!$M$9,G688,1)),"",IF((AND(RIGHT(G688,2)=RIGHT('112'!$M$9,2),B688&lt;'112'!$N$8,$M688='112'!$I$6)),"x",""))</f>
        <v/>
      </c>
      <c r="U688" s="51" t="str">
        <f>IF(AND(L688="154",'154'!$O$5&lt;=B688,'154'!$P$5&gt;=B688),"154",IF(AND(L688="632",'632'!$L$5&lt;=B688,'632'!$M$5&gt;=B688),"632",IF(AND(L688="642",'642'!$N$5&lt;=B688,'642'!$O$5&gt;=B688),"642",IF(AND(L688="641",'641'!$N$5&lt;=B688,'641'!$O$5&gt;=B688),"641",""))))</f>
        <v/>
      </c>
      <c r="V688" s="51" t="str">
        <f>IF(OR(TH!L688=TH!$V$7,M688=TH!$V$7),"x","")</f>
        <v/>
      </c>
      <c r="W688" s="51" t="str">
        <f>IF(AND(B688&gt;='IN-NX'!$P$3,B688&lt;='IN-NX'!$Q$3,'IN-NX'!$D$7=D688,OR(LEFT(L688,2)="15",AND(LEFT(M688,2)&lt;&gt;"15",LEFT(M688,2)&lt;&gt;"33"))),"x","")</f>
        <v/>
      </c>
      <c r="X688" s="51" t="str">
        <f>IF(AND(OR(LEFT(TH!L688,2)="15",LEFT(TH!M688,2)="15"),'152-CT'!$J$8=TH!F688),"x","")</f>
        <v/>
      </c>
      <c r="Y688" s="51" t="str">
        <f>IF(AND(OR(LEFT(TH!L688,2)="15",LEFT(TH!M688,2)="15"),TK!$E$7=TH!F688),"x","")</f>
        <v/>
      </c>
      <c r="Z688" s="51" t="str">
        <f>IF(AND(B688&lt;=NKC!$N$8,B688&gt;=NKC!$M$8),"x","")</f>
        <v>x</v>
      </c>
      <c r="AA688" s="803"/>
      <c r="AB688" s="565"/>
    </row>
    <row r="689" spans="1:31" ht="15.75" customHeight="1">
      <c r="A689" s="804" t="str">
        <f>IF(B689&lt;&gt;"",IF(AND(B689&gt;=_TM1,B689&lt;=_TM2,OR(TH!L689="1111",TH!M689="1111")),TH!D689,""),"")</f>
        <v/>
      </c>
      <c r="B689" s="36">
        <f t="shared" si="42"/>
        <v>9</v>
      </c>
      <c r="C689" s="189">
        <f t="shared" si="43"/>
        <v>42270</v>
      </c>
      <c r="D689" s="189" t="s">
        <v>1424</v>
      </c>
      <c r="E689" s="189">
        <v>42270</v>
      </c>
      <c r="F689" s="190" t="s">
        <v>660</v>
      </c>
      <c r="G689" s="813" t="s">
        <v>632</v>
      </c>
      <c r="H689" s="191" t="s">
        <v>509</v>
      </c>
      <c r="I689" s="243">
        <v>63</v>
      </c>
      <c r="J689" s="243">
        <v>21786</v>
      </c>
      <c r="K689" s="573">
        <f t="shared" si="41"/>
        <v>1372518</v>
      </c>
      <c r="L689" s="574" t="s">
        <v>417</v>
      </c>
      <c r="M689" s="574" t="s">
        <v>8</v>
      </c>
      <c r="N689" s="51" t="str">
        <f>IF(AND('331-CT'!$E$7=TH!H689,OR(L689="331",M689="331")),"331",IF(AND(OR(L689="131",M689="131"),H689='131-CT'!$E$7),"131",""))</f>
        <v/>
      </c>
      <c r="O689" s="51" t="str">
        <f>IF(AND($B689&gt;='111'!$N$11,$B689&lt;='111'!$O$11,OR($L689=$O$7,$M689=$O$7)),"x","")</f>
        <v/>
      </c>
      <c r="P689" s="51" t="str">
        <f>IF(AND($L689=$O$7,$B689&lt;'111'!$N$11),"x","")</f>
        <v/>
      </c>
      <c r="Q689" s="51" t="str">
        <f>IF(AND($M689=$O$7,$B689&lt;'111'!$N$11),"x","")</f>
        <v/>
      </c>
      <c r="R689" s="51" t="str">
        <f>IF(ISERROR(FIND('112'!$M$9,G689,1)),"",IF((AND(FIND('112'!$M$9,G689,1)&gt;=1,$B689&gt;='112'!$N$8,$B689&lt;='112'!$O$8,OR($L689='112'!$I$6,$M689='112'!$I$6))),"x",""))</f>
        <v/>
      </c>
      <c r="S689" s="51" t="str">
        <f>IF(ISERROR(FIND('112'!$M$9,G689,1)),"",IF((AND(LEFT(G689,2)=LEFT('112'!$M$9,2),B689&lt;'112'!$N$8,$L689='112'!$I$6)),"x",""))</f>
        <v/>
      </c>
      <c r="T689" s="51" t="str">
        <f>IF(ISERROR(FIND('112'!$M$9,G689,1)),"",IF((AND(RIGHT(G689,2)=RIGHT('112'!$M$9,2),B689&lt;'112'!$N$8,$M689='112'!$I$6)),"x",""))</f>
        <v/>
      </c>
      <c r="U689" s="51" t="str">
        <f>IF(AND(L689="154",'154'!$O$5&lt;=B689,'154'!$P$5&gt;=B689),"154",IF(AND(L689="632",'632'!$L$5&lt;=B689,'632'!$M$5&gt;=B689),"632",IF(AND(L689="642",'642'!$N$5&lt;=B689,'642'!$O$5&gt;=B689),"642",IF(AND(L689="641",'641'!$N$5&lt;=B689,'641'!$O$5&gt;=B689),"641",""))))</f>
        <v/>
      </c>
      <c r="V689" s="51" t="str">
        <f>IF(OR(TH!L689=TH!$V$7,M689=TH!$V$7),"x","")</f>
        <v/>
      </c>
      <c r="W689" s="51" t="str">
        <f>IF(AND(B689&gt;='IN-NX'!$P$3,B689&lt;='IN-NX'!$Q$3,'IN-NX'!$D$7=D689,OR(LEFT(L689,2)="15",AND(LEFT(M689,2)&lt;&gt;"15",LEFT(M689,2)&lt;&gt;"33"))),"x","")</f>
        <v/>
      </c>
      <c r="X689" s="51" t="str">
        <f>IF(AND(OR(LEFT(TH!L689,2)="15",LEFT(TH!M689,2)="15"),'152-CT'!$J$8=TH!F689),"x","")</f>
        <v/>
      </c>
      <c r="Y689" s="51" t="str">
        <f>IF(AND(OR(LEFT(TH!L689,2)="15",LEFT(TH!M689,2)="15"),TK!$E$7=TH!F689),"x","")</f>
        <v/>
      </c>
      <c r="Z689" s="51" t="str">
        <f>IF(AND(B689&lt;=NKC!$N$8,B689&gt;=NKC!$M$8),"x","")</f>
        <v>x</v>
      </c>
      <c r="AA689" s="803"/>
      <c r="AB689" s="565"/>
    </row>
    <row r="690" spans="1:31" ht="15.75" customHeight="1">
      <c r="A690" s="804" t="str">
        <f>IF(B690&lt;&gt;"",IF(AND(B690&gt;=_TM1,B690&lt;=_TM2,OR(TH!L690="1111",TH!M690="1111")),TH!D690,""),"")</f>
        <v/>
      </c>
      <c r="B690" s="36">
        <f t="shared" si="42"/>
        <v>9</v>
      </c>
      <c r="C690" s="189">
        <f t="shared" si="43"/>
        <v>42270</v>
      </c>
      <c r="D690" s="189" t="s">
        <v>1424</v>
      </c>
      <c r="E690" s="189">
        <v>42270</v>
      </c>
      <c r="F690" s="190" t="s">
        <v>468</v>
      </c>
      <c r="G690" s="813" t="s">
        <v>632</v>
      </c>
      <c r="H690" s="191" t="s">
        <v>509</v>
      </c>
      <c r="I690" s="243"/>
      <c r="J690" s="243"/>
      <c r="K690" s="573">
        <v>1205543</v>
      </c>
      <c r="L690" s="574" t="s">
        <v>9</v>
      </c>
      <c r="M690" s="574" t="s">
        <v>8</v>
      </c>
      <c r="N690" s="51" t="str">
        <f>IF(AND('331-CT'!$E$7=TH!H690,OR(L690="331",M690="331")),"331",IF(AND(OR(L690="131",M690="131"),H690='131-CT'!$E$7),"131",""))</f>
        <v/>
      </c>
      <c r="O690" s="51" t="str">
        <f>IF(AND($B690&gt;='111'!$N$11,$B690&lt;='111'!$O$11,OR($L690=$O$7,$M690=$O$7)),"x","")</f>
        <v/>
      </c>
      <c r="P690" s="51" t="str">
        <f>IF(AND($L690=$O$7,$B690&lt;'111'!$N$11),"x","")</f>
        <v/>
      </c>
      <c r="Q690" s="51" t="str">
        <f>IF(AND($M690=$O$7,$B690&lt;'111'!$N$11),"x","")</f>
        <v/>
      </c>
      <c r="R690" s="51" t="str">
        <f>IF(ISERROR(FIND('112'!$M$9,G690,1)),"",IF((AND(FIND('112'!$M$9,G690,1)&gt;=1,$B690&gt;='112'!$N$8,$B690&lt;='112'!$O$8,OR($L690='112'!$I$6,$M690='112'!$I$6))),"x",""))</f>
        <v/>
      </c>
      <c r="S690" s="51" t="str">
        <f>IF(ISERROR(FIND('112'!$M$9,G690,1)),"",IF((AND(LEFT(G690,2)=LEFT('112'!$M$9,2),B690&lt;'112'!$N$8,$L690='112'!$I$6)),"x",""))</f>
        <v/>
      </c>
      <c r="T690" s="51" t="str">
        <f>IF(ISERROR(FIND('112'!$M$9,G690,1)),"",IF((AND(RIGHT(G690,2)=RIGHT('112'!$M$9,2),B690&lt;'112'!$N$8,$M690='112'!$I$6)),"x",""))</f>
        <v/>
      </c>
      <c r="U690" s="51" t="str">
        <f>IF(AND(L690="154",'154'!$O$5&lt;=B690,'154'!$P$5&gt;=B690),"154",IF(AND(L690="632",'632'!$L$5&lt;=B690,'632'!$M$5&gt;=B690),"632",IF(AND(L690="642",'642'!$N$5&lt;=B690,'642'!$O$5&gt;=B690),"642",IF(AND(L690="641",'641'!$N$5&lt;=B690,'641'!$O$5&gt;=B690),"641",""))))</f>
        <v/>
      </c>
      <c r="V690" s="51" t="str">
        <f>IF(OR(TH!L690=TH!$V$7,M690=TH!$V$7),"x","")</f>
        <v/>
      </c>
      <c r="W690" s="51" t="str">
        <f>IF(AND(B690&gt;='IN-NX'!$P$3,B690&lt;='IN-NX'!$Q$3,'IN-NX'!$D$7=D690,OR(LEFT(L690,2)="15",AND(LEFT(M690,2)&lt;&gt;"15",LEFT(M690,2)&lt;&gt;"33"))),"x","")</f>
        <v/>
      </c>
      <c r="X690" s="51" t="str">
        <f>IF(AND(OR(LEFT(TH!L690,2)="15",LEFT(TH!M690,2)="15"),'152-CT'!$J$8=TH!F690),"x","")</f>
        <v/>
      </c>
      <c r="Y690" s="51" t="str">
        <f>IF(AND(OR(LEFT(TH!L690,2)="15",LEFT(TH!M690,2)="15"),TK!$E$7=TH!F690),"x","")</f>
        <v/>
      </c>
      <c r="Z690" s="51" t="str">
        <f>IF(AND(B690&lt;=NKC!$N$8,B690&gt;=NKC!$M$8),"x","")</f>
        <v>x</v>
      </c>
      <c r="AA690" s="803">
        <v>3</v>
      </c>
      <c r="AB690" s="565"/>
    </row>
    <row r="691" spans="1:31" ht="15.75" customHeight="1">
      <c r="A691" s="804" t="str">
        <f>IF(B691&lt;&gt;"",IF(AND(B691&gt;=_TM1,B691&lt;=_TM2,OR(TH!L691="1111",TH!M691="1111")),TH!D691,""),"")</f>
        <v>C30</v>
      </c>
      <c r="B691" s="36">
        <f t="shared" ref="B691" si="44">IF(C691&lt;&gt;"",MONTH(C691),"")</f>
        <v>9</v>
      </c>
      <c r="C691" s="189">
        <f t="shared" ref="C691" si="45">E691</f>
        <v>42270</v>
      </c>
      <c r="D691" s="189" t="s">
        <v>1416</v>
      </c>
      <c r="E691" s="189">
        <v>42270</v>
      </c>
      <c r="F691" s="967" t="s">
        <v>438</v>
      </c>
      <c r="G691" s="813" t="s">
        <v>632</v>
      </c>
      <c r="H691" s="191" t="s">
        <v>509</v>
      </c>
      <c r="I691" s="243"/>
      <c r="J691" s="243"/>
      <c r="K691" s="573">
        <v>13260973</v>
      </c>
      <c r="L691" s="574" t="s">
        <v>8</v>
      </c>
      <c r="M691" s="574" t="s">
        <v>47</v>
      </c>
      <c r="N691" s="51" t="str">
        <f>IF(AND('331-CT'!$E$7=TH!H691,OR(L691="331",M691="331")),"331",IF(AND(OR(L691="131",M691="131"),H691='131-CT'!$E$7),"131",""))</f>
        <v/>
      </c>
      <c r="O691" s="51" t="str">
        <f>IF(AND($B691&gt;='111'!$N$11,$B691&lt;='111'!$O$11,OR($L691=$O$7,$M691=$O$7)),"x","")</f>
        <v/>
      </c>
      <c r="P691" s="51" t="str">
        <f>IF(AND($L691=$O$7,$B691&lt;'111'!$N$11),"x","")</f>
        <v/>
      </c>
      <c r="Q691" s="51" t="str">
        <f>IF(AND($M691=$O$7,$B691&lt;'111'!$N$11),"x","")</f>
        <v>x</v>
      </c>
      <c r="R691" s="51" t="str">
        <f>IF(ISERROR(FIND('112'!$M$9,G691,1)),"",IF((AND(FIND('112'!$M$9,G691,1)&gt;=1,$B691&gt;='112'!$N$8,$B691&lt;='112'!$O$8,OR($L691='112'!$I$6,$M691='112'!$I$6))),"x",""))</f>
        <v/>
      </c>
      <c r="S691" s="51" t="str">
        <f>IF(ISERROR(FIND('112'!$M$9,G691,1)),"",IF((AND(LEFT(G691,2)=LEFT('112'!$M$9,2),B691&lt;'112'!$N$8,$L691='112'!$I$6)),"x",""))</f>
        <v/>
      </c>
      <c r="T691" s="51" t="str">
        <f>IF(ISERROR(FIND('112'!$M$9,G691,1)),"",IF((AND(RIGHT(G691,2)=RIGHT('112'!$M$9,2),B691&lt;'112'!$N$8,$M691='112'!$I$6)),"x",""))</f>
        <v/>
      </c>
      <c r="U691" s="51" t="str">
        <f>IF(AND(L691="154",'154'!$O$5&lt;=B691,'154'!$P$5&gt;=B691),"154",IF(AND(L691="632",'632'!$L$5&lt;=B691,'632'!$M$5&gt;=B691),"632",IF(AND(L691="642",'642'!$N$5&lt;=B691,'642'!$O$5&gt;=B691),"642",IF(AND(L691="641",'641'!$N$5&lt;=B691,'641'!$O$5&gt;=B691),"641",""))))</f>
        <v/>
      </c>
      <c r="V691" s="51" t="str">
        <f>IF(OR(TH!L691=TH!$V$7,M691=TH!$V$7),"x","")</f>
        <v/>
      </c>
      <c r="W691" s="51" t="str">
        <f>IF(AND(B691&gt;='IN-NX'!$P$3,B691&lt;='IN-NX'!$Q$3,'IN-NX'!$D$7=D691,OR(LEFT(L691,2)="15",AND(LEFT(M691,2)&lt;&gt;"15",LEFT(M691,2)&lt;&gt;"33"))),"x","")</f>
        <v/>
      </c>
      <c r="X691" s="51" t="str">
        <f>IF(AND(OR(LEFT(TH!L691,2)="15",LEFT(TH!M691,2)="15"),'152-CT'!$J$8=TH!F691),"x","")</f>
        <v/>
      </c>
      <c r="Y691" s="51" t="str">
        <f>IF(AND(OR(LEFT(TH!L691,2)="15",LEFT(TH!M691,2)="15"),TK!$E$7=TH!F691),"x","")</f>
        <v/>
      </c>
      <c r="Z691" s="51" t="str">
        <f>IF(AND(B691&lt;=NKC!$N$8,B691&gt;=NKC!$M$8),"x","")</f>
        <v>x</v>
      </c>
      <c r="AA691" s="803"/>
      <c r="AB691" s="565"/>
    </row>
    <row r="692" spans="1:31" ht="15.75" customHeight="1">
      <c r="A692" s="804" t="str">
        <f>IF(B692&lt;&gt;"",IF(AND(B692&gt;=_TM1,B692&lt;=_TM2,OR(TH!L692="1111",TH!M692="1111")),TH!D692,""),"")</f>
        <v>T48</v>
      </c>
      <c r="B692" s="36">
        <f t="shared" si="42"/>
        <v>9</v>
      </c>
      <c r="C692" s="189">
        <f t="shared" si="43"/>
        <v>42270</v>
      </c>
      <c r="D692" s="189" t="s">
        <v>1427</v>
      </c>
      <c r="E692" s="189">
        <v>42270</v>
      </c>
      <c r="F692" s="190" t="s">
        <v>964</v>
      </c>
      <c r="G692" s="813" t="s">
        <v>1046</v>
      </c>
      <c r="H692" s="191" t="s">
        <v>413</v>
      </c>
      <c r="I692" s="243"/>
      <c r="J692" s="243"/>
      <c r="K692" s="573">
        <v>17500000</v>
      </c>
      <c r="L692" s="574" t="s">
        <v>47</v>
      </c>
      <c r="M692" s="574" t="s">
        <v>408</v>
      </c>
      <c r="N692" s="51" t="str">
        <f>IF(AND('331-CT'!$E$7=TH!H692,OR(L692="331",M692="331")),"331",IF(AND(OR(L692="131",M692="131"),H692='131-CT'!$E$7),"131",""))</f>
        <v/>
      </c>
      <c r="O692" s="51" t="str">
        <f>IF(AND($B692&gt;='111'!$N$11,$B692&lt;='111'!$O$11,OR($L692=$O$7,$M692=$O$7)),"x","")</f>
        <v/>
      </c>
      <c r="P692" s="51" t="str">
        <f>IF(AND($L692=$O$7,$B692&lt;'111'!$N$11),"x","")</f>
        <v>x</v>
      </c>
      <c r="Q692" s="51" t="str">
        <f>IF(AND($M692=$O$7,$B692&lt;'111'!$N$11),"x","")</f>
        <v/>
      </c>
      <c r="R692" s="51" t="str">
        <f>IF(ISERROR(FIND('112'!$M$9,G692,1)),"",IF((AND(FIND('112'!$M$9,G692,1)&gt;=1,$B692&gt;='112'!$N$8,$B692&lt;='112'!$O$8,OR($L692='112'!$I$6,$M692='112'!$I$6))),"x",""))</f>
        <v/>
      </c>
      <c r="S692" s="51" t="str">
        <f>IF(ISERROR(FIND('112'!$M$9,G692,1)),"",IF((AND(LEFT(G692,2)=LEFT('112'!$M$9,2),B692&lt;'112'!$N$8,$L692='112'!$I$6)),"x",""))</f>
        <v/>
      </c>
      <c r="T692" s="51" t="str">
        <f>IF(ISERROR(FIND('112'!$M$9,G692,1)),"",IF((AND(RIGHT(G692,2)=RIGHT('112'!$M$9,2),B692&lt;'112'!$N$8,$M692='112'!$I$6)),"x",""))</f>
        <v/>
      </c>
      <c r="U692" s="51" t="str">
        <f>IF(AND(L692="154",'154'!$O$5&lt;=B692,'154'!$P$5&gt;=B692),"154",IF(AND(L692="632",'632'!$L$5&lt;=B692,'632'!$M$5&gt;=B692),"632",IF(AND(L692="642",'642'!$N$5&lt;=B692,'642'!$O$5&gt;=B692),"642",IF(AND(L692="641",'641'!$N$5&lt;=B692,'641'!$O$5&gt;=B692),"641",""))))</f>
        <v/>
      </c>
      <c r="V692" s="51" t="str">
        <f>IF(OR(TH!L692=TH!$V$7,M692=TH!$V$7),"x","")</f>
        <v/>
      </c>
      <c r="W692" s="51" t="str">
        <f>IF(AND(B692&gt;='IN-NX'!$P$3,B692&lt;='IN-NX'!$Q$3,'IN-NX'!$D$7=D692,OR(LEFT(L692,2)="15",AND(LEFT(M692,2)&lt;&gt;"15",LEFT(M692,2)&lt;&gt;"33"))),"x","")</f>
        <v/>
      </c>
      <c r="X692" s="51" t="str">
        <f>IF(AND(OR(LEFT(TH!L692,2)="15",LEFT(TH!M692,2)="15"),'152-CT'!$J$8=TH!F692),"x","")</f>
        <v/>
      </c>
      <c r="Y692" s="51" t="str">
        <f>IF(AND(OR(LEFT(TH!L692,2)="15",LEFT(TH!M692,2)="15"),TK!$E$7=TH!F692),"x","")</f>
        <v/>
      </c>
      <c r="Z692" s="51" t="str">
        <f>IF(AND(B692&lt;=NKC!$N$8,B692&gt;=NKC!$M$8),"x","")</f>
        <v>x</v>
      </c>
      <c r="AA692" s="803"/>
      <c r="AB692" s="565"/>
    </row>
    <row r="693" spans="1:31" s="565" customFormat="1" ht="15.75" customHeight="1">
      <c r="A693" s="804" t="str">
        <f>IF(B693&lt;&gt;"",IF(AND(B693&gt;=_TM1,B693&lt;=_TM2,OR(TH!L693="1111",TH!M693="1111")),TH!D693,""),"")</f>
        <v>T48</v>
      </c>
      <c r="B693" s="36">
        <f t="shared" si="42"/>
        <v>9</v>
      </c>
      <c r="C693" s="189">
        <f t="shared" si="43"/>
        <v>42270</v>
      </c>
      <c r="D693" s="189" t="s">
        <v>1427</v>
      </c>
      <c r="E693" s="189">
        <v>42270</v>
      </c>
      <c r="F693" s="190" t="s">
        <v>1110</v>
      </c>
      <c r="G693" s="813" t="s">
        <v>1046</v>
      </c>
      <c r="H693" s="191" t="s">
        <v>413</v>
      </c>
      <c r="I693" s="243"/>
      <c r="J693" s="243"/>
      <c r="K693" s="573">
        <v>1750000</v>
      </c>
      <c r="L693" s="574" t="s">
        <v>47</v>
      </c>
      <c r="M693" s="574" t="s">
        <v>352</v>
      </c>
      <c r="N693" s="51" t="str">
        <f>IF(AND('331-CT'!$E$7=TH!H693,OR(L693="331",M693="331")),"331",IF(AND(OR(L693="131",M693="131"),H693='131-CT'!$E$7),"131",""))</f>
        <v/>
      </c>
      <c r="O693" s="51" t="str">
        <f>IF(AND($B693&gt;='111'!$N$11,$B693&lt;='111'!$O$11,OR($L693=$O$7,$M693=$O$7)),"x","")</f>
        <v/>
      </c>
      <c r="P693" s="51" t="str">
        <f>IF(AND($L693=$O$7,$B693&lt;'111'!$N$11),"x","")</f>
        <v>x</v>
      </c>
      <c r="Q693" s="51" t="str">
        <f>IF(AND($M693=$O$7,$B693&lt;'111'!$N$11),"x","")</f>
        <v/>
      </c>
      <c r="R693" s="51" t="str">
        <f>IF(ISERROR(FIND('112'!$M$9,G693,1)),"",IF((AND(FIND('112'!$M$9,G693,1)&gt;=1,$B693&gt;='112'!$N$8,$B693&lt;='112'!$O$8,OR($L693='112'!$I$6,$M693='112'!$I$6))),"x",""))</f>
        <v/>
      </c>
      <c r="S693" s="51" t="str">
        <f>IF(ISERROR(FIND('112'!$M$9,G693,1)),"",IF((AND(LEFT(G693,2)=LEFT('112'!$M$9,2),B693&lt;'112'!$N$8,$L693='112'!$I$6)),"x",""))</f>
        <v/>
      </c>
      <c r="T693" s="51" t="str">
        <f>IF(ISERROR(FIND('112'!$M$9,G693,1)),"",IF((AND(RIGHT(G693,2)=RIGHT('112'!$M$9,2),B693&lt;'112'!$N$8,$M693='112'!$I$6)),"x",""))</f>
        <v/>
      </c>
      <c r="U693" s="51" t="str">
        <f>IF(AND(L693="154",'154'!$O$5&lt;=B693,'154'!$P$5&gt;=B693),"154",IF(AND(L693="632",'632'!$L$5&lt;=B693,'632'!$M$5&gt;=B693),"632",IF(AND(L693="642",'642'!$N$5&lt;=B693,'642'!$O$5&gt;=B693),"642",IF(AND(L693="641",'641'!$N$5&lt;=B693,'641'!$O$5&gt;=B693),"641",""))))</f>
        <v/>
      </c>
      <c r="V693" s="51" t="str">
        <f>IF(OR(TH!L693=TH!$V$7,M693=TH!$V$7),"x","")</f>
        <v/>
      </c>
      <c r="W693" s="51" t="str">
        <f>IF(AND(B693&gt;='IN-NX'!$P$3,B693&lt;='IN-NX'!$Q$3,'IN-NX'!$D$7=D693,OR(LEFT(L693,2)="15",AND(LEFT(M693,2)&lt;&gt;"15",LEFT(M693,2)&lt;&gt;"33"))),"x","")</f>
        <v/>
      </c>
      <c r="X693" s="51" t="str">
        <f>IF(AND(OR(LEFT(TH!L693,2)="15",LEFT(TH!M693,2)="15"),'152-CT'!$J$8=TH!F693),"x","")</f>
        <v/>
      </c>
      <c r="Y693" s="51" t="str">
        <f>IF(AND(OR(LEFT(TH!L693,2)="15",LEFT(TH!M693,2)="15"),TK!$E$7=TH!F693),"x","")</f>
        <v/>
      </c>
      <c r="Z693" s="51" t="str">
        <f>IF(AND(B693&lt;=NKC!$N$8,B693&gt;=NKC!$M$8),"x","")</f>
        <v>x</v>
      </c>
      <c r="AA693" s="803"/>
      <c r="AC693" s="203"/>
      <c r="AD693" s="203"/>
      <c r="AE693" s="203"/>
    </row>
    <row r="694" spans="1:31" s="565" customFormat="1" ht="15.75" customHeight="1">
      <c r="A694" s="804" t="str">
        <f>IF(B694&lt;&gt;"",IF(AND(B694&gt;=_TM1,B694&lt;=_TM2,OR(TH!L694="1111",TH!M694="1111")),TH!D694,""),"")</f>
        <v>T49</v>
      </c>
      <c r="B694" s="36">
        <f t="shared" si="42"/>
        <v>9</v>
      </c>
      <c r="C694" s="189">
        <f t="shared" si="43"/>
        <v>42271</v>
      </c>
      <c r="D694" s="189" t="s">
        <v>1428</v>
      </c>
      <c r="E694" s="182">
        <v>42271</v>
      </c>
      <c r="F694" s="187" t="s">
        <v>427</v>
      </c>
      <c r="G694" s="811" t="s">
        <v>415</v>
      </c>
      <c r="H694" s="7" t="s">
        <v>437</v>
      </c>
      <c r="I694" s="243"/>
      <c r="J694" s="243"/>
      <c r="K694" s="573">
        <v>10000000</v>
      </c>
      <c r="L694" s="574" t="s">
        <v>47</v>
      </c>
      <c r="M694" s="192" t="s">
        <v>24</v>
      </c>
      <c r="N694" s="51" t="str">
        <f>IF(AND('331-CT'!$E$7=TH!H694,OR(L694="331",M694="331")),"331",IF(AND(OR(L694="131",M694="131"),H694='131-CT'!$E$7),"131",""))</f>
        <v/>
      </c>
      <c r="O694" s="51" t="str">
        <f>IF(AND($B694&gt;='111'!$N$11,$B694&lt;='111'!$O$11,OR($L694=$O$7,$M694=$O$7)),"x","")</f>
        <v/>
      </c>
      <c r="P694" s="51" t="str">
        <f>IF(AND($L694=$O$7,$B694&lt;'111'!$N$11),"x","")</f>
        <v>x</v>
      </c>
      <c r="Q694" s="51" t="str">
        <f>IF(AND($M694=$O$7,$B694&lt;'111'!$N$11),"x","")</f>
        <v/>
      </c>
      <c r="R694" s="51" t="str">
        <f>IF(ISERROR(FIND('112'!$M$9,G694,1)),"",IF((AND(FIND('112'!$M$9,G694,1)&gt;=1,$B694&gt;='112'!$N$8,$B694&lt;='112'!$O$8,OR($L694='112'!$I$6,$M694='112'!$I$6))),"x",""))</f>
        <v/>
      </c>
      <c r="S694" s="51" t="str">
        <f>IF(ISERROR(FIND('112'!$M$9,G694,1)),"",IF((AND(LEFT(G694,2)=LEFT('112'!$M$9,2),B694&lt;'112'!$N$8,$L694='112'!$I$6)),"x",""))</f>
        <v/>
      </c>
      <c r="T694" s="51" t="str">
        <f>IF(ISERROR(FIND('112'!$M$9,G694,1)),"",IF((AND(RIGHT(G694,2)=RIGHT('112'!$M$9,2),B694&lt;'112'!$N$8,$M694='112'!$I$6)),"x",""))</f>
        <v/>
      </c>
      <c r="U694" s="51" t="str">
        <f>IF(AND(L694="154",'154'!$O$5&lt;=B694,'154'!$P$5&gt;=B694),"154",IF(AND(L694="632",'632'!$L$5&lt;=B694,'632'!$M$5&gt;=B694),"632",IF(AND(L694="642",'642'!$N$5&lt;=B694,'642'!$O$5&gt;=B694),"642",IF(AND(L694="641",'641'!$N$5&lt;=B694,'641'!$O$5&gt;=B694),"641",""))))</f>
        <v/>
      </c>
      <c r="V694" s="51" t="str">
        <f>IF(OR(TH!L694=TH!$V$7,M694=TH!$V$7),"x","")</f>
        <v/>
      </c>
      <c r="W694" s="51" t="str">
        <f>IF(AND(B694&gt;='IN-NX'!$P$3,B694&lt;='IN-NX'!$Q$3,'IN-NX'!$D$7=D694,OR(LEFT(L694,2)="15",AND(LEFT(M694,2)&lt;&gt;"15",LEFT(M694,2)&lt;&gt;"33"))),"x","")</f>
        <v/>
      </c>
      <c r="X694" s="51" t="str">
        <f>IF(AND(OR(LEFT(TH!L694,2)="15",LEFT(TH!M694,2)="15"),'152-CT'!$J$8=TH!F694),"x","")</f>
        <v/>
      </c>
      <c r="Y694" s="51" t="str">
        <f>IF(AND(OR(LEFT(TH!L694,2)="15",LEFT(TH!M694,2)="15"),TK!$E$7=TH!F694),"x","")</f>
        <v/>
      </c>
      <c r="Z694" s="51" t="str">
        <f>IF(AND(B694&lt;=NKC!$N$8,B694&gt;=NKC!$M$8),"x","")</f>
        <v>x</v>
      </c>
      <c r="AA694" s="803"/>
    </row>
    <row r="695" spans="1:31" s="565" customFormat="1" ht="15.75" customHeight="1">
      <c r="A695" s="804" t="str">
        <f>IF(B695&lt;&gt;"",IF(AND(B695&gt;=_TM1,B695&lt;=_TM2,OR(TH!L695="1111",TH!M695="1111")),TH!D695,""),"")</f>
        <v/>
      </c>
      <c r="B695" s="36">
        <f t="shared" si="42"/>
        <v>9</v>
      </c>
      <c r="C695" s="189">
        <f t="shared" si="43"/>
        <v>42271</v>
      </c>
      <c r="D695" s="189" t="s">
        <v>422</v>
      </c>
      <c r="E695" s="182">
        <v>42271</v>
      </c>
      <c r="F695" s="187" t="s">
        <v>442</v>
      </c>
      <c r="G695" s="811" t="s">
        <v>415</v>
      </c>
      <c r="H695" s="7"/>
      <c r="I695" s="243"/>
      <c r="J695" s="243"/>
      <c r="K695" s="573">
        <v>22000</v>
      </c>
      <c r="L695" s="574" t="s">
        <v>83</v>
      </c>
      <c r="M695" s="192" t="s">
        <v>24</v>
      </c>
      <c r="N695" s="51" t="str">
        <f>IF(AND('331-CT'!$E$7=TH!H695,OR(L695="331",M695="331")),"331",IF(AND(OR(L695="131",M695="131"),H695='131-CT'!$E$7),"131",""))</f>
        <v/>
      </c>
      <c r="O695" s="51" t="str">
        <f>IF(AND($B695&gt;='111'!$N$11,$B695&lt;='111'!$O$11,OR($L695=$O$7,$M695=$O$7)),"x","")</f>
        <v/>
      </c>
      <c r="P695" s="51" t="str">
        <f>IF(AND($L695=$O$7,$B695&lt;'111'!$N$11),"x","")</f>
        <v/>
      </c>
      <c r="Q695" s="51" t="str">
        <f>IF(AND($M695=$O$7,$B695&lt;'111'!$N$11),"x","")</f>
        <v/>
      </c>
      <c r="R695" s="51" t="str">
        <f>IF(ISERROR(FIND('112'!$M$9,G695,1)),"",IF((AND(FIND('112'!$M$9,G695,1)&gt;=1,$B695&gt;='112'!$N$8,$B695&lt;='112'!$O$8,OR($L695='112'!$I$6,$M695='112'!$I$6))),"x",""))</f>
        <v/>
      </c>
      <c r="S695" s="51" t="str">
        <f>IF(ISERROR(FIND('112'!$M$9,G695,1)),"",IF((AND(LEFT(G695,2)=LEFT('112'!$M$9,2),B695&lt;'112'!$N$8,$L695='112'!$I$6)),"x",""))</f>
        <v/>
      </c>
      <c r="T695" s="51" t="str">
        <f>IF(ISERROR(FIND('112'!$M$9,G695,1)),"",IF((AND(RIGHT(G695,2)=RIGHT('112'!$M$9,2),B695&lt;'112'!$N$8,$M695='112'!$I$6)),"x",""))</f>
        <v/>
      </c>
      <c r="U695" s="51" t="str">
        <f>IF(AND(L695="154",'154'!$O$5&lt;=B695,'154'!$P$5&gt;=B695),"154",IF(AND(L695="632",'632'!$L$5&lt;=B695,'632'!$M$5&gt;=B695),"632",IF(AND(L695="642",'642'!$N$5&lt;=B695,'642'!$O$5&gt;=B695),"642",IF(AND(L695="641",'641'!$N$5&lt;=B695,'641'!$O$5&gt;=B695),"641",""))))</f>
        <v/>
      </c>
      <c r="V695" s="51" t="str">
        <f>IF(OR(TH!L695=TH!$V$7,M695=TH!$V$7),"x","")</f>
        <v>x</v>
      </c>
      <c r="W695" s="51" t="str">
        <f>IF(AND(B695&gt;='IN-NX'!$P$3,B695&lt;='IN-NX'!$Q$3,'IN-NX'!$D$7=D695,OR(LEFT(L695,2)="15",AND(LEFT(M695,2)&lt;&gt;"15",LEFT(M695,2)&lt;&gt;"33"))),"x","")</f>
        <v/>
      </c>
      <c r="X695" s="51" t="str">
        <f>IF(AND(OR(LEFT(TH!L695,2)="15",LEFT(TH!M695,2)="15"),'152-CT'!$J$8=TH!F695),"x","")</f>
        <v/>
      </c>
      <c r="Y695" s="51" t="str">
        <f>IF(AND(OR(LEFT(TH!L695,2)="15",LEFT(TH!M695,2)="15"),TK!$E$7=TH!F695),"x","")</f>
        <v/>
      </c>
      <c r="Z695" s="51" t="str">
        <f>IF(AND(B695&lt;=NKC!$N$8,B695&gt;=NKC!$M$8),"x","")</f>
        <v>x</v>
      </c>
      <c r="AA695" s="803"/>
    </row>
    <row r="696" spans="1:31" s="565" customFormat="1" ht="15.75" customHeight="1">
      <c r="A696" s="804" t="str">
        <f>IF(B696&lt;&gt;"",IF(AND(B696&gt;=_TM1,B696&lt;=_TM2,OR(TH!L696="1111",TH!M696="1111")),TH!D696,""),"")</f>
        <v/>
      </c>
      <c r="B696" s="36">
        <f t="shared" si="42"/>
        <v>9</v>
      </c>
      <c r="C696" s="189">
        <f t="shared" si="43"/>
        <v>42271</v>
      </c>
      <c r="D696" s="189" t="s">
        <v>1425</v>
      </c>
      <c r="E696" s="189">
        <v>42271</v>
      </c>
      <c r="F696" s="190" t="s">
        <v>662</v>
      </c>
      <c r="G696" s="813" t="s">
        <v>661</v>
      </c>
      <c r="H696" s="191" t="s">
        <v>509</v>
      </c>
      <c r="I696" s="243">
        <v>260</v>
      </c>
      <c r="J696" s="243">
        <v>10094</v>
      </c>
      <c r="K696" s="573">
        <f>ROUND(I696*J696,0)</f>
        <v>2624440</v>
      </c>
      <c r="L696" s="574" t="s">
        <v>417</v>
      </c>
      <c r="M696" s="574" t="s">
        <v>8</v>
      </c>
      <c r="N696" s="51" t="str">
        <f>IF(AND('331-CT'!$E$7=TH!H696,OR(L696="331",M696="331")),"331",IF(AND(OR(L696="131",M696="131"),H696='131-CT'!$E$7),"131",""))</f>
        <v/>
      </c>
      <c r="O696" s="51" t="str">
        <f>IF(AND($B696&gt;='111'!$N$11,$B696&lt;='111'!$O$11,OR($L696=$O$7,$M696=$O$7)),"x","")</f>
        <v/>
      </c>
      <c r="P696" s="51" t="str">
        <f>IF(AND($L696=$O$7,$B696&lt;'111'!$N$11),"x","")</f>
        <v/>
      </c>
      <c r="Q696" s="51" t="str">
        <f>IF(AND($M696=$O$7,$B696&lt;'111'!$N$11),"x","")</f>
        <v/>
      </c>
      <c r="R696" s="51" t="str">
        <f>IF(ISERROR(FIND('112'!$M$9,G696,1)),"",IF((AND(FIND('112'!$M$9,G696,1)&gt;=1,$B696&gt;='112'!$N$8,$B696&lt;='112'!$O$8,OR($L696='112'!$I$6,$M696='112'!$I$6))),"x",""))</f>
        <v/>
      </c>
      <c r="S696" s="51" t="str">
        <f>IF(ISERROR(FIND('112'!$M$9,G696,1)),"",IF((AND(LEFT(G696,2)=LEFT('112'!$M$9,2),B696&lt;'112'!$N$8,$L696='112'!$I$6)),"x",""))</f>
        <v/>
      </c>
      <c r="T696" s="51" t="str">
        <f>IF(ISERROR(FIND('112'!$M$9,G696,1)),"",IF((AND(RIGHT(G696,2)=RIGHT('112'!$M$9,2),B696&lt;'112'!$N$8,$M696='112'!$I$6)),"x",""))</f>
        <v/>
      </c>
      <c r="U696" s="51" t="str">
        <f>IF(AND(L696="154",'154'!$O$5&lt;=B696,'154'!$P$5&gt;=B696),"154",IF(AND(L696="632",'632'!$L$5&lt;=B696,'632'!$M$5&gt;=B696),"632",IF(AND(L696="642",'642'!$N$5&lt;=B696,'642'!$O$5&gt;=B696),"642",IF(AND(L696="641",'641'!$N$5&lt;=B696,'641'!$O$5&gt;=B696),"641",""))))</f>
        <v/>
      </c>
      <c r="V696" s="51" t="str">
        <f>IF(OR(TH!L696=TH!$V$7,M696=TH!$V$7),"x","")</f>
        <v/>
      </c>
      <c r="W696" s="51" t="str">
        <f>IF(AND(B696&gt;='IN-NX'!$P$3,B696&lt;='IN-NX'!$Q$3,'IN-NX'!$D$7=D696,OR(LEFT(L696,2)="15",AND(LEFT(M696,2)&lt;&gt;"15",LEFT(M696,2)&lt;&gt;"33"))),"x","")</f>
        <v/>
      </c>
      <c r="X696" s="51" t="str">
        <f>IF(AND(OR(LEFT(TH!L696,2)="15",LEFT(TH!M696,2)="15"),'152-CT'!$J$8=TH!F696),"x","")</f>
        <v/>
      </c>
      <c r="Y696" s="51" t="str">
        <f>IF(AND(OR(LEFT(TH!L696,2)="15",LEFT(TH!M696,2)="15"),TK!$E$7=TH!F696),"x","")</f>
        <v/>
      </c>
      <c r="Z696" s="51" t="str">
        <f>IF(AND(B696&lt;=NKC!$N$8,B696&gt;=NKC!$M$8),"x","")</f>
        <v>x</v>
      </c>
      <c r="AA696" s="803"/>
      <c r="AC696" s="203"/>
      <c r="AD696" s="203"/>
      <c r="AE696" s="203"/>
    </row>
    <row r="697" spans="1:31" s="565" customFormat="1" ht="15.75" customHeight="1">
      <c r="A697" s="804" t="str">
        <f>IF(B697&lt;&gt;"",IF(AND(B697&gt;=_TM1,B697&lt;=_TM2,OR(TH!L697="1111",TH!M697="1111")),TH!D697,""),"")</f>
        <v/>
      </c>
      <c r="B697" s="36">
        <f t="shared" si="42"/>
        <v>9</v>
      </c>
      <c r="C697" s="189">
        <f t="shared" si="43"/>
        <v>42271</v>
      </c>
      <c r="D697" s="189" t="s">
        <v>1425</v>
      </c>
      <c r="E697" s="189">
        <v>42271</v>
      </c>
      <c r="F697" s="926" t="s">
        <v>663</v>
      </c>
      <c r="G697" s="813" t="s">
        <v>661</v>
      </c>
      <c r="H697" s="191" t="s">
        <v>509</v>
      </c>
      <c r="I697" s="243">
        <v>259</v>
      </c>
      <c r="J697" s="243">
        <v>14145</v>
      </c>
      <c r="K697" s="573">
        <f>ROUND(I697*J697,0)</f>
        <v>3663555</v>
      </c>
      <c r="L697" s="574" t="s">
        <v>417</v>
      </c>
      <c r="M697" s="574" t="s">
        <v>8</v>
      </c>
      <c r="N697" s="51" t="str">
        <f>IF(AND('331-CT'!$E$7=TH!H697,OR(L697="331",M697="331")),"331",IF(AND(OR(L697="131",M697="131"),H697='131-CT'!$E$7),"131",""))</f>
        <v/>
      </c>
      <c r="O697" s="51" t="str">
        <f>IF(AND($B697&gt;='111'!$N$11,$B697&lt;='111'!$O$11,OR($L697=$O$7,$M697=$O$7)),"x","")</f>
        <v/>
      </c>
      <c r="P697" s="51" t="str">
        <f>IF(AND($L697=$O$7,$B697&lt;'111'!$N$11),"x","")</f>
        <v/>
      </c>
      <c r="Q697" s="51" t="str">
        <f>IF(AND($M697=$O$7,$B697&lt;'111'!$N$11),"x","")</f>
        <v/>
      </c>
      <c r="R697" s="51" t="str">
        <f>IF(ISERROR(FIND('112'!$M$9,G697,1)),"",IF((AND(FIND('112'!$M$9,G697,1)&gt;=1,$B697&gt;='112'!$N$8,$B697&lt;='112'!$O$8,OR($L697='112'!$I$6,$M697='112'!$I$6))),"x",""))</f>
        <v/>
      </c>
      <c r="S697" s="51" t="str">
        <f>IF(ISERROR(FIND('112'!$M$9,G697,1)),"",IF((AND(LEFT(G697,2)=LEFT('112'!$M$9,2),B697&lt;'112'!$N$8,$L697='112'!$I$6)),"x",""))</f>
        <v/>
      </c>
      <c r="T697" s="51" t="str">
        <f>IF(ISERROR(FIND('112'!$M$9,G697,1)),"",IF((AND(RIGHT(G697,2)=RIGHT('112'!$M$9,2),B697&lt;'112'!$N$8,$M697='112'!$I$6)),"x",""))</f>
        <v/>
      </c>
      <c r="U697" s="51" t="str">
        <f>IF(AND(L697="154",'154'!$O$5&lt;=B697,'154'!$P$5&gt;=B697),"154",IF(AND(L697="632",'632'!$L$5&lt;=B697,'632'!$M$5&gt;=B697),"632",IF(AND(L697="642",'642'!$N$5&lt;=B697,'642'!$O$5&gt;=B697),"642",IF(AND(L697="641",'641'!$N$5&lt;=B697,'641'!$O$5&gt;=B697),"641",""))))</f>
        <v/>
      </c>
      <c r="V697" s="51" t="str">
        <f>IF(OR(TH!L697=TH!$V$7,M697=TH!$V$7),"x","")</f>
        <v/>
      </c>
      <c r="W697" s="51" t="str">
        <f>IF(AND(B697&gt;='IN-NX'!$P$3,B697&lt;='IN-NX'!$Q$3,'IN-NX'!$D$7=D697,OR(LEFT(L697,2)="15",AND(LEFT(M697,2)&lt;&gt;"15",LEFT(M697,2)&lt;&gt;"33"))),"x","")</f>
        <v/>
      </c>
      <c r="X697" s="51" t="str">
        <f>IF(AND(OR(LEFT(TH!L697,2)="15",LEFT(TH!M697,2)="15"),'152-CT'!$J$8=TH!F697),"x","")</f>
        <v/>
      </c>
      <c r="Y697" s="51" t="str">
        <f>IF(AND(OR(LEFT(TH!L697,2)="15",LEFT(TH!M697,2)="15"),TK!$E$7=TH!F697),"x","")</f>
        <v/>
      </c>
      <c r="Z697" s="51" t="str">
        <f>IF(AND(B697&lt;=NKC!$N$8,B697&gt;=NKC!$M$8),"x","")</f>
        <v>x</v>
      </c>
      <c r="AA697" s="803"/>
      <c r="AC697" s="203"/>
      <c r="AD697" s="203"/>
      <c r="AE697" s="203"/>
    </row>
    <row r="698" spans="1:31" s="565" customFormat="1" ht="15.75" customHeight="1">
      <c r="A698" s="804" t="str">
        <f>IF(B698&lt;&gt;"",IF(AND(B698&gt;=_TM1,B698&lt;=_TM2,OR(TH!L698="1111",TH!M698="1111")),TH!D698,""),"")</f>
        <v/>
      </c>
      <c r="B698" s="36">
        <f t="shared" si="42"/>
        <v>9</v>
      </c>
      <c r="C698" s="189">
        <f t="shared" si="43"/>
        <v>42271</v>
      </c>
      <c r="D698" s="189" t="s">
        <v>1425</v>
      </c>
      <c r="E698" s="189">
        <v>42271</v>
      </c>
      <c r="F698" s="922" t="s">
        <v>664</v>
      </c>
      <c r="G698" s="813" t="s">
        <v>661</v>
      </c>
      <c r="H698" s="191" t="s">
        <v>509</v>
      </c>
      <c r="I698" s="243">
        <v>65</v>
      </c>
      <c r="J698" s="243">
        <v>8918</v>
      </c>
      <c r="K698" s="573">
        <f>ROUND(I698*J698,0)</f>
        <v>579670</v>
      </c>
      <c r="L698" s="574" t="s">
        <v>417</v>
      </c>
      <c r="M698" s="574" t="s">
        <v>8</v>
      </c>
      <c r="N698" s="51" t="str">
        <f>IF(AND('331-CT'!$E$7=TH!H698,OR(L698="331",M698="331")),"331",IF(AND(OR(L698="131",M698="131"),H698='131-CT'!$E$7),"131",""))</f>
        <v/>
      </c>
      <c r="O698" s="51" t="str">
        <f>IF(AND($B698&gt;='111'!$N$11,$B698&lt;='111'!$O$11,OR($L698=$O$7,$M698=$O$7)),"x","")</f>
        <v/>
      </c>
      <c r="P698" s="51" t="str">
        <f>IF(AND($L698=$O$7,$B698&lt;'111'!$N$11),"x","")</f>
        <v/>
      </c>
      <c r="Q698" s="51" t="str">
        <f>IF(AND($M698=$O$7,$B698&lt;'111'!$N$11),"x","")</f>
        <v/>
      </c>
      <c r="R698" s="51" t="str">
        <f>IF(ISERROR(FIND('112'!$M$9,G698,1)),"",IF((AND(FIND('112'!$M$9,G698,1)&gt;=1,$B698&gt;='112'!$N$8,$B698&lt;='112'!$O$8,OR($L698='112'!$I$6,$M698='112'!$I$6))),"x",""))</f>
        <v/>
      </c>
      <c r="S698" s="51" t="str">
        <f>IF(ISERROR(FIND('112'!$M$9,G698,1)),"",IF((AND(LEFT(G698,2)=LEFT('112'!$M$9,2),B698&lt;'112'!$N$8,$L698='112'!$I$6)),"x",""))</f>
        <v/>
      </c>
      <c r="T698" s="51" t="str">
        <f>IF(ISERROR(FIND('112'!$M$9,G698,1)),"",IF((AND(RIGHT(G698,2)=RIGHT('112'!$M$9,2),B698&lt;'112'!$N$8,$M698='112'!$I$6)),"x",""))</f>
        <v/>
      </c>
      <c r="U698" s="51" t="str">
        <f>IF(AND(L698="154",'154'!$O$5&lt;=B698,'154'!$P$5&gt;=B698),"154",IF(AND(L698="632",'632'!$L$5&lt;=B698,'632'!$M$5&gt;=B698),"632",IF(AND(L698="642",'642'!$N$5&lt;=B698,'642'!$O$5&gt;=B698),"642",IF(AND(L698="641",'641'!$N$5&lt;=B698,'641'!$O$5&gt;=B698),"641",""))))</f>
        <v/>
      </c>
      <c r="V698" s="51" t="str">
        <f>IF(OR(TH!L698=TH!$V$7,M698=TH!$V$7),"x","")</f>
        <v/>
      </c>
      <c r="W698" s="51" t="str">
        <f>IF(AND(B698&gt;='IN-NX'!$P$3,B698&lt;='IN-NX'!$Q$3,'IN-NX'!$D$7=D698,OR(LEFT(L698,2)="15",AND(LEFT(M698,2)&lt;&gt;"15",LEFT(M698,2)&lt;&gt;"33"))),"x","")</f>
        <v/>
      </c>
      <c r="X698" s="51" t="str">
        <f>IF(AND(OR(LEFT(TH!L698,2)="15",LEFT(TH!M698,2)="15"),'152-CT'!$J$8=TH!F698),"x","")</f>
        <v/>
      </c>
      <c r="Y698" s="51" t="str">
        <f>IF(AND(OR(LEFT(TH!L698,2)="15",LEFT(TH!M698,2)="15"),TK!$E$7=TH!F698),"x","")</f>
        <v/>
      </c>
      <c r="Z698" s="51" t="str">
        <f>IF(AND(B698&lt;=NKC!$N$8,B698&gt;=NKC!$M$8),"x","")</f>
        <v>x</v>
      </c>
      <c r="AA698" s="803"/>
      <c r="AC698" s="203"/>
      <c r="AD698" s="203"/>
      <c r="AE698" s="203"/>
    </row>
    <row r="699" spans="1:31" s="565" customFormat="1" ht="15.75" customHeight="1">
      <c r="A699" s="804" t="str">
        <f>IF(B699&lt;&gt;"",IF(AND(B699&gt;=_TM1,B699&lt;=_TM2,OR(TH!L699="1111",TH!M699="1111")),TH!D699,""),"")</f>
        <v/>
      </c>
      <c r="B699" s="36">
        <f t="shared" si="42"/>
        <v>9</v>
      </c>
      <c r="C699" s="189">
        <f t="shared" si="43"/>
        <v>42271</v>
      </c>
      <c r="D699" s="189" t="s">
        <v>1425</v>
      </c>
      <c r="E699" s="189">
        <v>42271</v>
      </c>
      <c r="F699" s="190" t="s">
        <v>665</v>
      </c>
      <c r="G699" s="813" t="s">
        <v>661</v>
      </c>
      <c r="H699" s="191" t="s">
        <v>509</v>
      </c>
      <c r="I699" s="243">
        <v>400</v>
      </c>
      <c r="J699" s="243">
        <v>9264</v>
      </c>
      <c r="K699" s="573">
        <f>ROUND(I699*J699,0)</f>
        <v>3705600</v>
      </c>
      <c r="L699" s="574" t="s">
        <v>417</v>
      </c>
      <c r="M699" s="574" t="s">
        <v>8</v>
      </c>
      <c r="N699" s="51" t="str">
        <f>IF(AND('331-CT'!$E$7=TH!H699,OR(L699="331",M699="331")),"331",IF(AND(OR(L699="131",M699="131"),H699='131-CT'!$E$7),"131",""))</f>
        <v/>
      </c>
      <c r="O699" s="51" t="str">
        <f>IF(AND($B699&gt;='111'!$N$11,$B699&lt;='111'!$O$11,OR($L699=$O$7,$M699=$O$7)),"x","")</f>
        <v/>
      </c>
      <c r="P699" s="51" t="str">
        <f>IF(AND($L699=$O$7,$B699&lt;'111'!$N$11),"x","")</f>
        <v/>
      </c>
      <c r="Q699" s="51" t="str">
        <f>IF(AND($M699=$O$7,$B699&lt;'111'!$N$11),"x","")</f>
        <v/>
      </c>
      <c r="R699" s="51" t="str">
        <f>IF(ISERROR(FIND('112'!$M$9,G699,1)),"",IF((AND(FIND('112'!$M$9,G699,1)&gt;=1,$B699&gt;='112'!$N$8,$B699&lt;='112'!$O$8,OR($L699='112'!$I$6,$M699='112'!$I$6))),"x",""))</f>
        <v/>
      </c>
      <c r="S699" s="51" t="str">
        <f>IF(ISERROR(FIND('112'!$M$9,G699,1)),"",IF((AND(LEFT(G699,2)=LEFT('112'!$M$9,2),B699&lt;'112'!$N$8,$L699='112'!$I$6)),"x",""))</f>
        <v/>
      </c>
      <c r="T699" s="51" t="str">
        <f>IF(ISERROR(FIND('112'!$M$9,G699,1)),"",IF((AND(RIGHT(G699,2)=RIGHT('112'!$M$9,2),B699&lt;'112'!$N$8,$M699='112'!$I$6)),"x",""))</f>
        <v/>
      </c>
      <c r="U699" s="51" t="str">
        <f>IF(AND(L699="154",'154'!$O$5&lt;=B699,'154'!$P$5&gt;=B699),"154",IF(AND(L699="632",'632'!$L$5&lt;=B699,'632'!$M$5&gt;=B699),"632",IF(AND(L699="642",'642'!$N$5&lt;=B699,'642'!$O$5&gt;=B699),"642",IF(AND(L699="641",'641'!$N$5&lt;=B699,'641'!$O$5&gt;=B699),"641",""))))</f>
        <v/>
      </c>
      <c r="V699" s="51" t="str">
        <f>IF(OR(TH!L699=TH!$V$7,M699=TH!$V$7),"x","")</f>
        <v/>
      </c>
      <c r="W699" s="51" t="str">
        <f>IF(AND(B699&gt;='IN-NX'!$P$3,B699&lt;='IN-NX'!$Q$3,'IN-NX'!$D$7=D699,OR(LEFT(L699,2)="15",AND(LEFT(M699,2)&lt;&gt;"15",LEFT(M699,2)&lt;&gt;"33"))),"x","")</f>
        <v/>
      </c>
      <c r="X699" s="51" t="str">
        <f>IF(AND(OR(LEFT(TH!L699,2)="15",LEFT(TH!M699,2)="15"),'152-CT'!$J$8=TH!F699),"x","")</f>
        <v/>
      </c>
      <c r="Y699" s="51" t="str">
        <f>IF(AND(OR(LEFT(TH!L699,2)="15",LEFT(TH!M699,2)="15"),TK!$E$7=TH!F699),"x","")</f>
        <v/>
      </c>
      <c r="Z699" s="51" t="str">
        <f>IF(AND(B699&lt;=NKC!$N$8,B699&gt;=NKC!$M$8),"x","")</f>
        <v>x</v>
      </c>
      <c r="AA699" s="803"/>
      <c r="AC699" s="203"/>
      <c r="AD699" s="203"/>
      <c r="AE699" s="203"/>
    </row>
    <row r="700" spans="1:31" s="565" customFormat="1" ht="15.75" customHeight="1">
      <c r="A700" s="804" t="str">
        <f>IF(B700&lt;&gt;"",IF(AND(B700&gt;=_TM1,B700&lt;=_TM2,OR(TH!L700="1111",TH!M700="1111")),TH!D700,""),"")</f>
        <v/>
      </c>
      <c r="B700" s="36">
        <f t="shared" si="42"/>
        <v>9</v>
      </c>
      <c r="C700" s="189">
        <f t="shared" si="43"/>
        <v>42271</v>
      </c>
      <c r="D700" s="189" t="s">
        <v>1425</v>
      </c>
      <c r="E700" s="189">
        <v>42271</v>
      </c>
      <c r="F700" s="190" t="s">
        <v>666</v>
      </c>
      <c r="G700" s="813" t="s">
        <v>661</v>
      </c>
      <c r="H700" s="191" t="s">
        <v>509</v>
      </c>
      <c r="I700" s="243">
        <v>210</v>
      </c>
      <c r="J700" s="243">
        <v>18179</v>
      </c>
      <c r="K700" s="573">
        <f>ROUND(I700*J700,0)</f>
        <v>3817590</v>
      </c>
      <c r="L700" s="574" t="s">
        <v>417</v>
      </c>
      <c r="M700" s="574" t="s">
        <v>8</v>
      </c>
      <c r="N700" s="51" t="str">
        <f>IF(AND('331-CT'!$E$7=TH!H700,OR(L700="331",M700="331")),"331",IF(AND(OR(L700="131",M700="131"),H700='131-CT'!$E$7),"131",""))</f>
        <v/>
      </c>
      <c r="O700" s="51" t="str">
        <f>IF(AND($B700&gt;='111'!$N$11,$B700&lt;='111'!$O$11,OR($L700=$O$7,$M700=$O$7)),"x","")</f>
        <v/>
      </c>
      <c r="P700" s="51" t="str">
        <f>IF(AND($L700=$O$7,$B700&lt;'111'!$N$11),"x","")</f>
        <v/>
      </c>
      <c r="Q700" s="51" t="str">
        <f>IF(AND($M700=$O$7,$B700&lt;'111'!$N$11),"x","")</f>
        <v/>
      </c>
      <c r="R700" s="51" t="str">
        <f>IF(ISERROR(FIND('112'!$M$9,G700,1)),"",IF((AND(FIND('112'!$M$9,G700,1)&gt;=1,$B700&gt;='112'!$N$8,$B700&lt;='112'!$O$8,OR($L700='112'!$I$6,$M700='112'!$I$6))),"x",""))</f>
        <v/>
      </c>
      <c r="S700" s="51" t="str">
        <f>IF(ISERROR(FIND('112'!$M$9,G700,1)),"",IF((AND(LEFT(G700,2)=LEFT('112'!$M$9,2),B700&lt;'112'!$N$8,$L700='112'!$I$6)),"x",""))</f>
        <v/>
      </c>
      <c r="T700" s="51" t="str">
        <f>IF(ISERROR(FIND('112'!$M$9,G700,1)),"",IF((AND(RIGHT(G700,2)=RIGHT('112'!$M$9,2),B700&lt;'112'!$N$8,$M700='112'!$I$6)),"x",""))</f>
        <v/>
      </c>
      <c r="U700" s="51" t="str">
        <f>IF(AND(L700="154",'154'!$O$5&lt;=B700,'154'!$P$5&gt;=B700),"154",IF(AND(L700="632",'632'!$L$5&lt;=B700,'632'!$M$5&gt;=B700),"632",IF(AND(L700="642",'642'!$N$5&lt;=B700,'642'!$O$5&gt;=B700),"642",IF(AND(L700="641",'641'!$N$5&lt;=B700,'641'!$O$5&gt;=B700),"641",""))))</f>
        <v/>
      </c>
      <c r="V700" s="51" t="str">
        <f>IF(OR(TH!L700=TH!$V$7,M700=TH!$V$7),"x","")</f>
        <v/>
      </c>
      <c r="W700" s="51" t="str">
        <f>IF(AND(B700&gt;='IN-NX'!$P$3,B700&lt;='IN-NX'!$Q$3,'IN-NX'!$D$7=D700,OR(LEFT(L700,2)="15",AND(LEFT(M700,2)&lt;&gt;"15",LEFT(M700,2)&lt;&gt;"33"))),"x","")</f>
        <v/>
      </c>
      <c r="X700" s="51" t="str">
        <f>IF(AND(OR(LEFT(TH!L700,2)="15",LEFT(TH!M700,2)="15"),'152-CT'!$J$8=TH!F700),"x","")</f>
        <v/>
      </c>
      <c r="Y700" s="51" t="str">
        <f>IF(AND(OR(LEFT(TH!L700,2)="15",LEFT(TH!M700,2)="15"),TK!$E$7=TH!F700),"x","")</f>
        <v/>
      </c>
      <c r="Z700" s="51" t="str">
        <f>IF(AND(B700&lt;=NKC!$N$8,B700&gt;=NKC!$M$8),"x","")</f>
        <v>x</v>
      </c>
      <c r="AA700" s="803"/>
      <c r="AC700" s="203"/>
      <c r="AD700" s="203"/>
      <c r="AE700" s="203"/>
    </row>
    <row r="701" spans="1:31" s="565" customFormat="1" ht="15.75" customHeight="1">
      <c r="A701" s="804" t="str">
        <f>IF(B701&lt;&gt;"",IF(AND(B701&gt;=_TM1,B701&lt;=_TM2,OR(TH!L701="1111",TH!M701="1111")),TH!D701,""),"")</f>
        <v/>
      </c>
      <c r="B701" s="36">
        <f t="shared" si="42"/>
        <v>9</v>
      </c>
      <c r="C701" s="189">
        <f t="shared" si="43"/>
        <v>42271</v>
      </c>
      <c r="D701" s="189" t="s">
        <v>1425</v>
      </c>
      <c r="E701" s="189">
        <v>42271</v>
      </c>
      <c r="F701" s="926" t="s">
        <v>468</v>
      </c>
      <c r="G701" s="813" t="s">
        <v>661</v>
      </c>
      <c r="H701" s="191" t="s">
        <v>509</v>
      </c>
      <c r="I701" s="243"/>
      <c r="J701" s="243"/>
      <c r="K701" s="573">
        <v>1439086</v>
      </c>
      <c r="L701" s="574" t="s">
        <v>9</v>
      </c>
      <c r="M701" s="574" t="s">
        <v>8</v>
      </c>
      <c r="N701" s="51" t="str">
        <f>IF(AND('331-CT'!$E$7=TH!H701,OR(L701="331",M701="331")),"331",IF(AND(OR(L701="131",M701="131"),H701='131-CT'!$E$7),"131",""))</f>
        <v/>
      </c>
      <c r="O701" s="51" t="str">
        <f>IF(AND($B701&gt;='111'!$N$11,$B701&lt;='111'!$O$11,OR($L701=$O$7,$M701=$O$7)),"x","")</f>
        <v/>
      </c>
      <c r="P701" s="51" t="str">
        <f>IF(AND($L701=$O$7,$B701&lt;'111'!$N$11),"x","")</f>
        <v/>
      </c>
      <c r="Q701" s="51" t="str">
        <f>IF(AND($M701=$O$7,$B701&lt;'111'!$N$11),"x","")</f>
        <v/>
      </c>
      <c r="R701" s="51" t="str">
        <f>IF(ISERROR(FIND('112'!$M$9,G701,1)),"",IF((AND(FIND('112'!$M$9,G701,1)&gt;=1,$B701&gt;='112'!$N$8,$B701&lt;='112'!$O$8,OR($L701='112'!$I$6,$M701='112'!$I$6))),"x",""))</f>
        <v/>
      </c>
      <c r="S701" s="51" t="str">
        <f>IF(ISERROR(FIND('112'!$M$9,G701,1)),"",IF((AND(LEFT(G701,2)=LEFT('112'!$M$9,2),B701&lt;'112'!$N$8,$L701='112'!$I$6)),"x",""))</f>
        <v/>
      </c>
      <c r="T701" s="51" t="str">
        <f>IF(ISERROR(FIND('112'!$M$9,G701,1)),"",IF((AND(RIGHT(G701,2)=RIGHT('112'!$M$9,2),B701&lt;'112'!$N$8,$M701='112'!$I$6)),"x",""))</f>
        <v/>
      </c>
      <c r="U701" s="51" t="str">
        <f>IF(AND(L701="154",'154'!$O$5&lt;=B701,'154'!$P$5&gt;=B701),"154",IF(AND(L701="632",'632'!$L$5&lt;=B701,'632'!$M$5&gt;=B701),"632",IF(AND(L701="642",'642'!$N$5&lt;=B701,'642'!$O$5&gt;=B701),"642",IF(AND(L701="641",'641'!$N$5&lt;=B701,'641'!$O$5&gt;=B701),"641",""))))</f>
        <v/>
      </c>
      <c r="V701" s="51" t="str">
        <f>IF(OR(TH!L701=TH!$V$7,M701=TH!$V$7),"x","")</f>
        <v/>
      </c>
      <c r="W701" s="51" t="str">
        <f>IF(AND(B701&gt;='IN-NX'!$P$3,B701&lt;='IN-NX'!$Q$3,'IN-NX'!$D$7=D701,OR(LEFT(L701,2)="15",AND(LEFT(M701,2)&lt;&gt;"15",LEFT(M701,2)&lt;&gt;"33"))),"x","")</f>
        <v/>
      </c>
      <c r="X701" s="51" t="str">
        <f>IF(AND(OR(LEFT(TH!L701,2)="15",LEFT(TH!M701,2)="15"),'152-CT'!$J$8=TH!F701),"x","")</f>
        <v/>
      </c>
      <c r="Y701" s="51" t="str">
        <f>IF(AND(OR(LEFT(TH!L701,2)="15",LEFT(TH!M701,2)="15"),TK!$E$7=TH!F701),"x","")</f>
        <v/>
      </c>
      <c r="Z701" s="51" t="str">
        <f>IF(AND(B701&lt;=NKC!$N$8,B701&gt;=NKC!$M$8),"x","")</f>
        <v>x</v>
      </c>
      <c r="AA701" s="803">
        <v>3</v>
      </c>
      <c r="AC701" s="203"/>
      <c r="AD701" s="203"/>
      <c r="AE701" s="203"/>
    </row>
    <row r="702" spans="1:31" s="565" customFormat="1" ht="15.75" customHeight="1">
      <c r="A702" s="804" t="str">
        <f>IF(B702&lt;&gt;"",IF(AND(B702&gt;=_TM1,B702&lt;=_TM2,OR(TH!L702="1111",TH!M702="1111")),TH!D702,""),"")</f>
        <v>C31</v>
      </c>
      <c r="B702" s="36">
        <f t="shared" ref="B702" si="46">IF(C702&lt;&gt;"",MONTH(C702),"")</f>
        <v>9</v>
      </c>
      <c r="C702" s="189">
        <f t="shared" ref="C702" si="47">E702</f>
        <v>42271</v>
      </c>
      <c r="D702" s="189" t="s">
        <v>1419</v>
      </c>
      <c r="E702" s="189">
        <v>42271</v>
      </c>
      <c r="F702" s="967" t="s">
        <v>438</v>
      </c>
      <c r="G702" s="813" t="s">
        <v>661</v>
      </c>
      <c r="H702" s="191" t="s">
        <v>509</v>
      </c>
      <c r="I702" s="243"/>
      <c r="J702" s="243"/>
      <c r="K702" s="573">
        <v>15829941</v>
      </c>
      <c r="L702" s="574" t="s">
        <v>8</v>
      </c>
      <c r="M702" s="574" t="s">
        <v>47</v>
      </c>
      <c r="N702" s="51" t="str">
        <f>IF(AND('331-CT'!$E$7=TH!H702,OR(L702="331",M702="331")),"331",IF(AND(OR(L702="131",M702="131"),H702='131-CT'!$E$7),"131",""))</f>
        <v/>
      </c>
      <c r="O702" s="51" t="str">
        <f>IF(AND($B702&gt;='111'!$N$11,$B702&lt;='111'!$O$11,OR($L702=$O$7,$M702=$O$7)),"x","")</f>
        <v/>
      </c>
      <c r="P702" s="51" t="str">
        <f>IF(AND($L702=$O$7,$B702&lt;'111'!$N$11),"x","")</f>
        <v/>
      </c>
      <c r="Q702" s="51" t="str">
        <f>IF(AND($M702=$O$7,$B702&lt;'111'!$N$11),"x","")</f>
        <v>x</v>
      </c>
      <c r="R702" s="51" t="str">
        <f>IF(ISERROR(FIND('112'!$M$9,G702,1)),"",IF((AND(FIND('112'!$M$9,G702,1)&gt;=1,$B702&gt;='112'!$N$8,$B702&lt;='112'!$O$8,OR($L702='112'!$I$6,$M702='112'!$I$6))),"x",""))</f>
        <v/>
      </c>
      <c r="S702" s="51" t="str">
        <f>IF(ISERROR(FIND('112'!$M$9,G702,1)),"",IF((AND(LEFT(G702,2)=LEFT('112'!$M$9,2),B702&lt;'112'!$N$8,$L702='112'!$I$6)),"x",""))</f>
        <v/>
      </c>
      <c r="T702" s="51" t="str">
        <f>IF(ISERROR(FIND('112'!$M$9,G702,1)),"",IF((AND(RIGHT(G702,2)=RIGHT('112'!$M$9,2),B702&lt;'112'!$N$8,$M702='112'!$I$6)),"x",""))</f>
        <v/>
      </c>
      <c r="U702" s="51" t="str">
        <f>IF(AND(L702="154",'154'!$O$5&lt;=B702,'154'!$P$5&gt;=B702),"154",IF(AND(L702="632",'632'!$L$5&lt;=B702,'632'!$M$5&gt;=B702),"632",IF(AND(L702="642",'642'!$N$5&lt;=B702,'642'!$O$5&gt;=B702),"642",IF(AND(L702="641",'641'!$N$5&lt;=B702,'641'!$O$5&gt;=B702),"641",""))))</f>
        <v/>
      </c>
      <c r="V702" s="51" t="str">
        <f>IF(OR(TH!L702=TH!$V$7,M702=TH!$V$7),"x","")</f>
        <v/>
      </c>
      <c r="W702" s="51" t="str">
        <f>IF(AND(B702&gt;='IN-NX'!$P$3,B702&lt;='IN-NX'!$Q$3,'IN-NX'!$D$7=D702,OR(LEFT(L702,2)="15",AND(LEFT(M702,2)&lt;&gt;"15",LEFT(M702,2)&lt;&gt;"33"))),"x","")</f>
        <v/>
      </c>
      <c r="X702" s="51" t="str">
        <f>IF(AND(OR(LEFT(TH!L702,2)="15",LEFT(TH!M702,2)="15"),'152-CT'!$J$8=TH!F702),"x","")</f>
        <v/>
      </c>
      <c r="Y702" s="51" t="str">
        <f>IF(AND(OR(LEFT(TH!L702,2)="15",LEFT(TH!M702,2)="15"),TK!$E$7=TH!F702),"x","")</f>
        <v/>
      </c>
      <c r="Z702" s="51" t="str">
        <f>IF(AND(B702&lt;=NKC!$N$8,B702&gt;=NKC!$M$8),"x","")</f>
        <v>x</v>
      </c>
      <c r="AA702" s="803"/>
      <c r="AC702" s="203"/>
      <c r="AD702" s="203"/>
      <c r="AE702" s="203"/>
    </row>
    <row r="703" spans="1:31" s="565" customFormat="1" ht="15.75" customHeight="1">
      <c r="A703" s="804" t="str">
        <f>IF(B703&lt;&gt;"",IF(AND(B703&gt;=_TM1,B703&lt;=_TM2,OR(TH!L703="1111",TH!M703="1111")),TH!D703,""),"")</f>
        <v/>
      </c>
      <c r="B703" s="36">
        <f t="shared" si="42"/>
        <v>9</v>
      </c>
      <c r="C703" s="189">
        <f t="shared" si="43"/>
        <v>42271</v>
      </c>
      <c r="D703" s="189" t="s">
        <v>1433</v>
      </c>
      <c r="E703" s="189">
        <v>42271</v>
      </c>
      <c r="F703" s="926" t="s">
        <v>701</v>
      </c>
      <c r="G703" s="813" t="s">
        <v>708</v>
      </c>
      <c r="H703" s="191" t="s">
        <v>494</v>
      </c>
      <c r="I703" s="243">
        <v>52</v>
      </c>
      <c r="J703" s="243">
        <v>285200</v>
      </c>
      <c r="K703" s="573">
        <f>ROUND(I703*J703,0)</f>
        <v>14830400</v>
      </c>
      <c r="L703" s="574" t="s">
        <v>417</v>
      </c>
      <c r="M703" s="574" t="s">
        <v>8</v>
      </c>
      <c r="N703" s="51" t="str">
        <f>IF(AND('331-CT'!$E$7=TH!H703,OR(L703="331",M703="331")),"331",IF(AND(OR(L703="131",M703="131"),H703='131-CT'!$E$7),"131",""))</f>
        <v/>
      </c>
      <c r="O703" s="51" t="str">
        <f>IF(AND($B703&gt;='111'!$N$11,$B703&lt;='111'!$O$11,OR($L703=$O$7,$M703=$O$7)),"x","")</f>
        <v/>
      </c>
      <c r="P703" s="51" t="str">
        <f>IF(AND($L703=$O$7,$B703&lt;'111'!$N$11),"x","")</f>
        <v/>
      </c>
      <c r="Q703" s="51" t="str">
        <f>IF(AND($M703=$O$7,$B703&lt;'111'!$N$11),"x","")</f>
        <v/>
      </c>
      <c r="R703" s="51" t="str">
        <f>IF(ISERROR(FIND('112'!$M$9,G703,1)),"",IF((AND(FIND('112'!$M$9,G703,1)&gt;=1,$B703&gt;='112'!$N$8,$B703&lt;='112'!$O$8,OR($L703='112'!$I$6,$M703='112'!$I$6))),"x",""))</f>
        <v/>
      </c>
      <c r="S703" s="51" t="str">
        <f>IF(ISERROR(FIND('112'!$M$9,G703,1)),"",IF((AND(LEFT(G703,2)=LEFT('112'!$M$9,2),B703&lt;'112'!$N$8,$L703='112'!$I$6)),"x",""))</f>
        <v/>
      </c>
      <c r="T703" s="51" t="str">
        <f>IF(ISERROR(FIND('112'!$M$9,G703,1)),"",IF((AND(RIGHT(G703,2)=RIGHT('112'!$M$9,2),B703&lt;'112'!$N$8,$M703='112'!$I$6)),"x",""))</f>
        <v/>
      </c>
      <c r="U703" s="51" t="str">
        <f>IF(AND(L703="154",'154'!$O$5&lt;=B703,'154'!$P$5&gt;=B703),"154",IF(AND(L703="632",'632'!$L$5&lt;=B703,'632'!$M$5&gt;=B703),"632",IF(AND(L703="642",'642'!$N$5&lt;=B703,'642'!$O$5&gt;=B703),"642",IF(AND(L703="641",'641'!$N$5&lt;=B703,'641'!$O$5&gt;=B703),"641",""))))</f>
        <v/>
      </c>
      <c r="V703" s="51" t="str">
        <f>IF(OR(TH!L703=TH!$V$7,M703=TH!$V$7),"x","")</f>
        <v/>
      </c>
      <c r="W703" s="51" t="str">
        <f>IF(AND(B703&gt;='IN-NX'!$P$3,B703&lt;='IN-NX'!$Q$3,'IN-NX'!$D$7=D703,OR(LEFT(L703,2)="15",AND(LEFT(M703,2)&lt;&gt;"15",LEFT(M703,2)&lt;&gt;"33"))),"x","")</f>
        <v/>
      </c>
      <c r="X703" s="51" t="str">
        <f>IF(AND(OR(LEFT(TH!L703,2)="15",LEFT(TH!M703,2)="15"),'152-CT'!$J$8=TH!F703),"x","")</f>
        <v/>
      </c>
      <c r="Y703" s="51" t="str">
        <f>IF(AND(OR(LEFT(TH!L703,2)="15",LEFT(TH!M703,2)="15"),TK!$E$7=TH!F703),"x","")</f>
        <v/>
      </c>
      <c r="Z703" s="51" t="str">
        <f>IF(AND(B703&lt;=NKC!$N$8,B703&gt;=NKC!$M$8),"x","")</f>
        <v>x</v>
      </c>
      <c r="AA703" s="803"/>
      <c r="AC703" s="203"/>
      <c r="AD703" s="203"/>
      <c r="AE703" s="203"/>
    </row>
    <row r="704" spans="1:31" s="565" customFormat="1" ht="15.75" customHeight="1">
      <c r="A704" s="804" t="str">
        <f>IF(B704&lt;&gt;"",IF(AND(B704&gt;=_TM1,B704&lt;=_TM2,OR(TH!L704="1111",TH!M704="1111")),TH!D704,""),"")</f>
        <v/>
      </c>
      <c r="B704" s="36">
        <f t="shared" si="42"/>
        <v>9</v>
      </c>
      <c r="C704" s="189">
        <f t="shared" si="43"/>
        <v>42271</v>
      </c>
      <c r="D704" s="189" t="s">
        <v>1433</v>
      </c>
      <c r="E704" s="189">
        <v>42271</v>
      </c>
      <c r="F704" s="926" t="s">
        <v>709</v>
      </c>
      <c r="G704" s="813" t="s">
        <v>708</v>
      </c>
      <c r="H704" s="191" t="s">
        <v>494</v>
      </c>
      <c r="I704" s="243">
        <v>20</v>
      </c>
      <c r="J704" s="243">
        <v>16560</v>
      </c>
      <c r="K704" s="573">
        <f>ROUND(I704*J704,0)</f>
        <v>331200</v>
      </c>
      <c r="L704" s="574" t="s">
        <v>417</v>
      </c>
      <c r="M704" s="574" t="s">
        <v>8</v>
      </c>
      <c r="N704" s="51" t="str">
        <f>IF(AND('331-CT'!$E$7=TH!H704,OR(L704="331",M704="331")),"331",IF(AND(OR(L704="131",M704="131"),H704='131-CT'!$E$7),"131",""))</f>
        <v/>
      </c>
      <c r="O704" s="51" t="str">
        <f>IF(AND($B704&gt;='111'!$N$11,$B704&lt;='111'!$O$11,OR($L704=$O$7,$M704=$O$7)),"x","")</f>
        <v/>
      </c>
      <c r="P704" s="51" t="str">
        <f>IF(AND($L704=$O$7,$B704&lt;'111'!$N$11),"x","")</f>
        <v/>
      </c>
      <c r="Q704" s="51" t="str">
        <f>IF(AND($M704=$O$7,$B704&lt;'111'!$N$11),"x","")</f>
        <v/>
      </c>
      <c r="R704" s="51" t="str">
        <f>IF(ISERROR(FIND('112'!$M$9,G704,1)),"",IF((AND(FIND('112'!$M$9,G704,1)&gt;=1,$B704&gt;='112'!$N$8,$B704&lt;='112'!$O$8,OR($L704='112'!$I$6,$M704='112'!$I$6))),"x",""))</f>
        <v/>
      </c>
      <c r="S704" s="51" t="str">
        <f>IF(ISERROR(FIND('112'!$M$9,G704,1)),"",IF((AND(LEFT(G704,2)=LEFT('112'!$M$9,2),B704&lt;'112'!$N$8,$L704='112'!$I$6)),"x",""))</f>
        <v/>
      </c>
      <c r="T704" s="51" t="str">
        <f>IF(ISERROR(FIND('112'!$M$9,G704,1)),"",IF((AND(RIGHT(G704,2)=RIGHT('112'!$M$9,2),B704&lt;'112'!$N$8,$M704='112'!$I$6)),"x",""))</f>
        <v/>
      </c>
      <c r="U704" s="51" t="str">
        <f>IF(AND(L704="154",'154'!$O$5&lt;=B704,'154'!$P$5&gt;=B704),"154",IF(AND(L704="632",'632'!$L$5&lt;=B704,'632'!$M$5&gt;=B704),"632",IF(AND(L704="642",'642'!$N$5&lt;=B704,'642'!$O$5&gt;=B704),"642",IF(AND(L704="641",'641'!$N$5&lt;=B704,'641'!$O$5&gt;=B704),"641",""))))</f>
        <v/>
      </c>
      <c r="V704" s="51" t="str">
        <f>IF(OR(TH!L704=TH!$V$7,M704=TH!$V$7),"x","")</f>
        <v/>
      </c>
      <c r="W704" s="51" t="str">
        <f>IF(AND(B704&gt;='IN-NX'!$P$3,B704&lt;='IN-NX'!$Q$3,'IN-NX'!$D$7=D704,OR(LEFT(L704,2)="15",AND(LEFT(M704,2)&lt;&gt;"15",LEFT(M704,2)&lt;&gt;"33"))),"x","")</f>
        <v/>
      </c>
      <c r="X704" s="51" t="str">
        <f>IF(AND(OR(LEFT(TH!L704,2)="15",LEFT(TH!M704,2)="15"),'152-CT'!$J$8=TH!F704),"x","")</f>
        <v/>
      </c>
      <c r="Y704" s="51" t="str">
        <f>IF(AND(OR(LEFT(TH!L704,2)="15",LEFT(TH!M704,2)="15"),TK!$E$7=TH!F704),"x","")</f>
        <v/>
      </c>
      <c r="Z704" s="51" t="str">
        <f>IF(AND(B704&lt;=NKC!$N$8,B704&gt;=NKC!$M$8),"x","")</f>
        <v>x</v>
      </c>
      <c r="AA704" s="803"/>
      <c r="AC704" s="203"/>
      <c r="AD704" s="203"/>
      <c r="AE704" s="203"/>
    </row>
    <row r="705" spans="1:31" s="565" customFormat="1" ht="15.75" customHeight="1">
      <c r="A705" s="804" t="str">
        <f>IF(B705&lt;&gt;"",IF(AND(B705&gt;=_TM1,B705&lt;=_TM2,OR(TH!L705="1111",TH!M705="1111")),TH!D705,""),"")</f>
        <v/>
      </c>
      <c r="B705" s="36">
        <f t="shared" si="42"/>
        <v>9</v>
      </c>
      <c r="C705" s="189">
        <f t="shared" si="43"/>
        <v>42271</v>
      </c>
      <c r="D705" s="189" t="s">
        <v>1433</v>
      </c>
      <c r="E705" s="189">
        <v>42271</v>
      </c>
      <c r="F705" s="926" t="s">
        <v>496</v>
      </c>
      <c r="G705" s="813" t="s">
        <v>708</v>
      </c>
      <c r="H705" s="191" t="s">
        <v>494</v>
      </c>
      <c r="I705" s="243"/>
      <c r="J705" s="243"/>
      <c r="K705" s="573">
        <v>1516160</v>
      </c>
      <c r="L705" s="574" t="s">
        <v>9</v>
      </c>
      <c r="M705" s="574" t="s">
        <v>8</v>
      </c>
      <c r="N705" s="51" t="str">
        <f>IF(AND('331-CT'!$E$7=TH!H705,OR(L705="331",M705="331")),"331",IF(AND(OR(L705="131",M705="131"),H705='131-CT'!$E$7),"131",""))</f>
        <v/>
      </c>
      <c r="O705" s="51" t="str">
        <f>IF(AND($B705&gt;='111'!$N$11,$B705&lt;='111'!$O$11,OR($L705=$O$7,$M705=$O$7)),"x","")</f>
        <v/>
      </c>
      <c r="P705" s="51" t="str">
        <f>IF(AND($L705=$O$7,$B705&lt;'111'!$N$11),"x","")</f>
        <v/>
      </c>
      <c r="Q705" s="51" t="str">
        <f>IF(AND($M705=$O$7,$B705&lt;'111'!$N$11),"x","")</f>
        <v/>
      </c>
      <c r="R705" s="51" t="str">
        <f>IF(ISERROR(FIND('112'!$M$9,G705,1)),"",IF((AND(FIND('112'!$M$9,G705,1)&gt;=1,$B705&gt;='112'!$N$8,$B705&lt;='112'!$O$8,OR($L705='112'!$I$6,$M705='112'!$I$6))),"x",""))</f>
        <v/>
      </c>
      <c r="S705" s="51" t="str">
        <f>IF(ISERROR(FIND('112'!$M$9,G705,1)),"",IF((AND(LEFT(G705,2)=LEFT('112'!$M$9,2),B705&lt;'112'!$N$8,$L705='112'!$I$6)),"x",""))</f>
        <v/>
      </c>
      <c r="T705" s="51" t="str">
        <f>IF(ISERROR(FIND('112'!$M$9,G705,1)),"",IF((AND(RIGHT(G705,2)=RIGHT('112'!$M$9,2),B705&lt;'112'!$N$8,$M705='112'!$I$6)),"x",""))</f>
        <v/>
      </c>
      <c r="U705" s="51" t="str">
        <f>IF(AND(L705="154",'154'!$O$5&lt;=B705,'154'!$P$5&gt;=B705),"154",IF(AND(L705="632",'632'!$L$5&lt;=B705,'632'!$M$5&gt;=B705),"632",IF(AND(L705="642",'642'!$N$5&lt;=B705,'642'!$O$5&gt;=B705),"642",IF(AND(L705="641",'641'!$N$5&lt;=B705,'641'!$O$5&gt;=B705),"641",""))))</f>
        <v/>
      </c>
      <c r="V705" s="51" t="str">
        <f>IF(OR(TH!L705=TH!$V$7,M705=TH!$V$7),"x","")</f>
        <v/>
      </c>
      <c r="W705" s="51" t="str">
        <f>IF(AND(B705&gt;='IN-NX'!$P$3,B705&lt;='IN-NX'!$Q$3,'IN-NX'!$D$7=D705,OR(LEFT(L705,2)="15",AND(LEFT(M705,2)&lt;&gt;"15",LEFT(M705,2)&lt;&gt;"33"))),"x","")</f>
        <v/>
      </c>
      <c r="X705" s="51" t="str">
        <f>IF(AND(OR(LEFT(TH!L705,2)="15",LEFT(TH!M705,2)="15"),'152-CT'!$J$8=TH!F705),"x","")</f>
        <v/>
      </c>
      <c r="Y705" s="51" t="str">
        <f>IF(AND(OR(LEFT(TH!L705,2)="15",LEFT(TH!M705,2)="15"),TK!$E$7=TH!F705),"x","")</f>
        <v/>
      </c>
      <c r="Z705" s="51" t="str">
        <f>IF(AND(B705&lt;=NKC!$N$8,B705&gt;=NKC!$M$8),"x","")</f>
        <v>x</v>
      </c>
      <c r="AA705" s="803">
        <v>3</v>
      </c>
      <c r="AC705" s="203"/>
      <c r="AD705" s="203"/>
      <c r="AE705" s="203"/>
    </row>
    <row r="706" spans="1:31" s="565" customFormat="1" ht="15.75" customHeight="1">
      <c r="A706" s="804" t="str">
        <f>IF(B706&lt;&gt;"",IF(AND(B706&gt;=_TM1,B706&lt;=_TM2,OR(TH!L706="1111",TH!M706="1111")),TH!D706,""),"")</f>
        <v>C32</v>
      </c>
      <c r="B706" s="36">
        <f t="shared" si="42"/>
        <v>9</v>
      </c>
      <c r="C706" s="189">
        <f t="shared" si="43"/>
        <v>42271</v>
      </c>
      <c r="D706" s="189" t="s">
        <v>1422</v>
      </c>
      <c r="E706" s="189">
        <v>42271</v>
      </c>
      <c r="F706" s="187" t="s">
        <v>438</v>
      </c>
      <c r="G706" s="813" t="s">
        <v>708</v>
      </c>
      <c r="H706" s="191" t="s">
        <v>494</v>
      </c>
      <c r="I706" s="243"/>
      <c r="J706" s="243"/>
      <c r="K706" s="573">
        <v>16677760</v>
      </c>
      <c r="L706" s="574" t="s">
        <v>8</v>
      </c>
      <c r="M706" s="574" t="s">
        <v>47</v>
      </c>
      <c r="N706" s="51" t="str">
        <f>IF(AND('331-CT'!$E$7=TH!H706,OR(L706="331",M706="331")),"331",IF(AND(OR(L706="131",M706="131"),H706='131-CT'!$E$7),"131",""))</f>
        <v/>
      </c>
      <c r="O706" s="51" t="str">
        <f>IF(AND($B706&gt;='111'!$N$11,$B706&lt;='111'!$O$11,OR($L706=$O$7,$M706=$O$7)),"x","")</f>
        <v/>
      </c>
      <c r="P706" s="51" t="str">
        <f>IF(AND($L706=$O$7,$B706&lt;'111'!$N$11),"x","")</f>
        <v/>
      </c>
      <c r="Q706" s="51" t="str">
        <f>IF(AND($M706=$O$7,$B706&lt;'111'!$N$11),"x","")</f>
        <v>x</v>
      </c>
      <c r="R706" s="51" t="str">
        <f>IF(ISERROR(FIND('112'!$M$9,G706,1)),"",IF((AND(FIND('112'!$M$9,G706,1)&gt;=1,$B706&gt;='112'!$N$8,$B706&lt;='112'!$O$8,OR($L706='112'!$I$6,$M706='112'!$I$6))),"x",""))</f>
        <v/>
      </c>
      <c r="S706" s="51" t="str">
        <f>IF(ISERROR(FIND('112'!$M$9,G706,1)),"",IF((AND(LEFT(G706,2)=LEFT('112'!$M$9,2),B706&lt;'112'!$N$8,$L706='112'!$I$6)),"x",""))</f>
        <v/>
      </c>
      <c r="T706" s="51" t="str">
        <f>IF(ISERROR(FIND('112'!$M$9,G706,1)),"",IF((AND(RIGHT(G706,2)=RIGHT('112'!$M$9,2),B706&lt;'112'!$N$8,$M706='112'!$I$6)),"x",""))</f>
        <v/>
      </c>
      <c r="U706" s="51" t="str">
        <f>IF(AND(L706="154",'154'!$O$5&lt;=B706,'154'!$P$5&gt;=B706),"154",IF(AND(L706="632",'632'!$L$5&lt;=B706,'632'!$M$5&gt;=B706),"632",IF(AND(L706="642",'642'!$N$5&lt;=B706,'642'!$O$5&gt;=B706),"642",IF(AND(L706="641",'641'!$N$5&lt;=B706,'641'!$O$5&gt;=B706),"641",""))))</f>
        <v/>
      </c>
      <c r="V706" s="51" t="str">
        <f>IF(OR(TH!L706=TH!$V$7,M706=TH!$V$7),"x","")</f>
        <v/>
      </c>
      <c r="W706" s="51" t="str">
        <f>IF(AND(B706&gt;='IN-NX'!$P$3,B706&lt;='IN-NX'!$Q$3,'IN-NX'!$D$7=D706,OR(LEFT(L706,2)="15",AND(LEFT(M706,2)&lt;&gt;"15",LEFT(M706,2)&lt;&gt;"33"))),"x","")</f>
        <v/>
      </c>
      <c r="X706" s="51" t="str">
        <f>IF(AND(OR(LEFT(TH!L706,2)="15",LEFT(TH!M706,2)="15"),'152-CT'!$J$8=TH!F706),"x","")</f>
        <v/>
      </c>
      <c r="Y706" s="51" t="str">
        <f>IF(AND(OR(LEFT(TH!L706,2)="15",LEFT(TH!M706,2)="15"),TK!$E$7=TH!F706),"x","")</f>
        <v/>
      </c>
      <c r="Z706" s="51" t="str">
        <f>IF(AND(B706&lt;=NKC!$N$8,B706&gt;=NKC!$M$8),"x","")</f>
        <v>x</v>
      </c>
      <c r="AA706" s="803"/>
      <c r="AC706" s="203"/>
      <c r="AD706" s="203"/>
      <c r="AE706" s="203"/>
    </row>
    <row r="707" spans="1:31" ht="15.75" customHeight="1">
      <c r="A707" s="804" t="str">
        <f>IF(B707&lt;&gt;"",IF(AND(B707&gt;=_TM1,B707&lt;=_TM2,OR(TH!L707="1111",TH!M707="1111")),TH!D707,""),"")</f>
        <v/>
      </c>
      <c r="B707" s="36">
        <f t="shared" si="42"/>
        <v>9</v>
      </c>
      <c r="C707" s="189">
        <f t="shared" si="43"/>
        <v>42271</v>
      </c>
      <c r="D707" s="189" t="s">
        <v>1309</v>
      </c>
      <c r="E707" s="189">
        <v>42271</v>
      </c>
      <c r="F707" s="922" t="s">
        <v>713</v>
      </c>
      <c r="G707" s="813" t="s">
        <v>1047</v>
      </c>
      <c r="H707" s="7" t="s">
        <v>446</v>
      </c>
      <c r="I707" s="243">
        <v>430</v>
      </c>
      <c r="J707" s="243">
        <v>15000</v>
      </c>
      <c r="K707" s="573">
        <f>ROUND(I707*J707,0)</f>
        <v>6450000</v>
      </c>
      <c r="L707" s="574" t="s">
        <v>250</v>
      </c>
      <c r="M707" s="574" t="s">
        <v>164</v>
      </c>
      <c r="N707" s="51" t="str">
        <f>IF(AND('331-CT'!$E$7=TH!H707,OR(L707="331",M707="331")),"331",IF(AND(OR(L707="131",M707="131"),H707='131-CT'!$E$7),"131",""))</f>
        <v/>
      </c>
      <c r="O707" s="51" t="str">
        <f>IF(AND($B707&gt;='111'!$N$11,$B707&lt;='111'!$O$11,OR($L707=$O$7,$M707=$O$7)),"x","")</f>
        <v/>
      </c>
      <c r="P707" s="51" t="str">
        <f>IF(AND($L707=$O$7,$B707&lt;'111'!$N$11),"x","")</f>
        <v/>
      </c>
      <c r="Q707" s="51" t="str">
        <f>IF(AND($M707=$O$7,$B707&lt;'111'!$N$11),"x","")</f>
        <v/>
      </c>
      <c r="R707" s="51" t="str">
        <f>IF(ISERROR(FIND('112'!$M$9,G707,1)),"",IF((AND(FIND('112'!$M$9,G707,1)&gt;=1,$B707&gt;='112'!$N$8,$B707&lt;='112'!$O$8,OR($L707='112'!$I$6,$M707='112'!$I$6))),"x",""))</f>
        <v/>
      </c>
      <c r="S707" s="51" t="str">
        <f>IF(ISERROR(FIND('112'!$M$9,G707,1)),"",IF((AND(LEFT(G707,2)=LEFT('112'!$M$9,2),B707&lt;'112'!$N$8,$L707='112'!$I$6)),"x",""))</f>
        <v/>
      </c>
      <c r="T707" s="51" t="str">
        <f>IF(ISERROR(FIND('112'!$M$9,G707,1)),"",IF((AND(RIGHT(G707,2)=RIGHT('112'!$M$9,2),B707&lt;'112'!$N$8,$M707='112'!$I$6)),"x",""))</f>
        <v/>
      </c>
      <c r="U707" s="51" t="str">
        <f>IF(AND(L707="154",'154'!$O$5&lt;=B707,'154'!$P$5&gt;=B707),"154",IF(AND(L707="632",'632'!$L$5&lt;=B707,'632'!$M$5&gt;=B707),"632",IF(AND(L707="642",'642'!$N$5&lt;=B707,'642'!$O$5&gt;=B707),"642",IF(AND(L707="641",'641'!$N$5&lt;=B707,'641'!$O$5&gt;=B707),"641",""))))</f>
        <v/>
      </c>
      <c r="V707" s="51" t="str">
        <f>IF(OR(TH!L707=TH!$V$7,M707=TH!$V$7),"x","")</f>
        <v/>
      </c>
      <c r="W707" s="51" t="str">
        <f>IF(AND(B707&gt;='IN-NX'!$P$3,B707&lt;='IN-NX'!$Q$3,'IN-NX'!$D$7=D707,OR(LEFT(L707,2)="15",AND(LEFT(M707,2)&lt;&gt;"15",LEFT(M707,2)&lt;&gt;"33"))),"x","")</f>
        <v/>
      </c>
      <c r="X707" s="51" t="str">
        <f>IF(AND(OR(LEFT(TH!L707,2)="15",LEFT(TH!M707,2)="15"),'152-CT'!$J$8=TH!F707),"x","")</f>
        <v/>
      </c>
      <c r="Y707" s="51" t="str">
        <f>IF(AND(OR(LEFT(TH!L707,2)="15",LEFT(TH!M707,2)="15"),TK!$E$7=TH!F707),"x","")</f>
        <v/>
      </c>
      <c r="Z707" s="51" t="str">
        <f>IF(AND(B707&lt;=NKC!$N$8,B707&gt;=NKC!$M$8),"x","")</f>
        <v>x</v>
      </c>
      <c r="AA707" s="803"/>
      <c r="AB707" s="565"/>
    </row>
    <row r="708" spans="1:31" ht="15.75" customHeight="1">
      <c r="A708" s="804" t="str">
        <f>IF(B708&lt;&gt;"",IF(AND(B708&gt;=_TM1,B708&lt;=_TM2,OR(TH!L708="1111",TH!M708="1111")),TH!D708,""),"")</f>
        <v/>
      </c>
      <c r="B708" s="36">
        <f t="shared" si="42"/>
        <v>9</v>
      </c>
      <c r="C708" s="189">
        <f t="shared" si="43"/>
        <v>42271</v>
      </c>
      <c r="D708" s="189" t="s">
        <v>1309</v>
      </c>
      <c r="E708" s="189">
        <v>42271</v>
      </c>
      <c r="F708" s="190" t="s">
        <v>713</v>
      </c>
      <c r="G708" s="813" t="s">
        <v>1047</v>
      </c>
      <c r="H708" s="7" t="s">
        <v>446</v>
      </c>
      <c r="I708" s="243">
        <v>396</v>
      </c>
      <c r="J708" s="243">
        <v>15000</v>
      </c>
      <c r="K708" s="573">
        <f>ROUND(I708*J708,0)</f>
        <v>5940000</v>
      </c>
      <c r="L708" s="574" t="s">
        <v>250</v>
      </c>
      <c r="M708" s="574" t="s">
        <v>164</v>
      </c>
      <c r="N708" s="51" t="str">
        <f>IF(AND('331-CT'!$E$7=TH!H708,OR(L708="331",M708="331")),"331",IF(AND(OR(L708="131",M708="131"),H708='131-CT'!$E$7),"131",""))</f>
        <v/>
      </c>
      <c r="O708" s="51" t="str">
        <f>IF(AND($B708&gt;='111'!$N$11,$B708&lt;='111'!$O$11,OR($L708=$O$7,$M708=$O$7)),"x","")</f>
        <v/>
      </c>
      <c r="P708" s="51" t="str">
        <f>IF(AND($L708=$O$7,$B708&lt;'111'!$N$11),"x","")</f>
        <v/>
      </c>
      <c r="Q708" s="51" t="str">
        <f>IF(AND($M708=$O$7,$B708&lt;'111'!$N$11),"x","")</f>
        <v/>
      </c>
      <c r="R708" s="51" t="str">
        <f>IF(ISERROR(FIND('112'!$M$9,G708,1)),"",IF((AND(FIND('112'!$M$9,G708,1)&gt;=1,$B708&gt;='112'!$N$8,$B708&lt;='112'!$O$8,OR($L708='112'!$I$6,$M708='112'!$I$6))),"x",""))</f>
        <v/>
      </c>
      <c r="S708" s="51" t="str">
        <f>IF(ISERROR(FIND('112'!$M$9,G708,1)),"",IF((AND(LEFT(G708,2)=LEFT('112'!$M$9,2),B708&lt;'112'!$N$8,$L708='112'!$I$6)),"x",""))</f>
        <v/>
      </c>
      <c r="T708" s="51" t="str">
        <f>IF(ISERROR(FIND('112'!$M$9,G708,1)),"",IF((AND(RIGHT(G708,2)=RIGHT('112'!$M$9,2),B708&lt;'112'!$N$8,$M708='112'!$I$6)),"x",""))</f>
        <v/>
      </c>
      <c r="U708" s="51" t="str">
        <f>IF(AND(L708="154",'154'!$O$5&lt;=B708,'154'!$P$5&gt;=B708),"154",IF(AND(L708="632",'632'!$L$5&lt;=B708,'632'!$M$5&gt;=B708),"632",IF(AND(L708="642",'642'!$N$5&lt;=B708,'642'!$O$5&gt;=B708),"642",IF(AND(L708="641",'641'!$N$5&lt;=B708,'641'!$O$5&gt;=B708),"641",""))))</f>
        <v/>
      </c>
      <c r="V708" s="51" t="str">
        <f>IF(OR(TH!L708=TH!$V$7,M708=TH!$V$7),"x","")</f>
        <v/>
      </c>
      <c r="W708" s="51" t="str">
        <f>IF(AND(B708&gt;='IN-NX'!$P$3,B708&lt;='IN-NX'!$Q$3,'IN-NX'!$D$7=D708,OR(LEFT(L708,2)="15",AND(LEFT(M708,2)&lt;&gt;"15",LEFT(M708,2)&lt;&gt;"33"))),"x","")</f>
        <v/>
      </c>
      <c r="X708" s="51" t="str">
        <f>IF(AND(OR(LEFT(TH!L708,2)="15",LEFT(TH!M708,2)="15"),'152-CT'!$J$8=TH!F708),"x","")</f>
        <v/>
      </c>
      <c r="Y708" s="51" t="str">
        <f>IF(AND(OR(LEFT(TH!L708,2)="15",LEFT(TH!M708,2)="15"),TK!$E$7=TH!F708),"x","")</f>
        <v/>
      </c>
      <c r="Z708" s="51" t="str">
        <f>IF(AND(B708&lt;=NKC!$N$8,B708&gt;=NKC!$M$8),"x","")</f>
        <v>x</v>
      </c>
      <c r="AA708" s="803"/>
      <c r="AB708" s="565"/>
    </row>
    <row r="709" spans="1:31" s="565" customFormat="1" ht="15.75" customHeight="1">
      <c r="A709" s="804" t="str">
        <f>IF(B709&lt;&gt;"",IF(AND(B709&gt;=_TM1,B709&lt;=_TM2,OR(TH!L709="1111",TH!M709="1111")),TH!D709,""),"")</f>
        <v/>
      </c>
      <c r="B709" s="36">
        <f t="shared" si="42"/>
        <v>9</v>
      </c>
      <c r="C709" s="189">
        <f t="shared" si="43"/>
        <v>42271</v>
      </c>
      <c r="D709" s="189" t="s">
        <v>1309</v>
      </c>
      <c r="E709" s="189">
        <v>42271</v>
      </c>
      <c r="F709" s="190" t="s">
        <v>962</v>
      </c>
      <c r="G709" s="813" t="s">
        <v>1047</v>
      </c>
      <c r="H709" s="7" t="s">
        <v>446</v>
      </c>
      <c r="I709" s="243"/>
      <c r="J709" s="243"/>
      <c r="K709" s="573">
        <v>1239000</v>
      </c>
      <c r="L709" s="574" t="s">
        <v>250</v>
      </c>
      <c r="M709" s="574" t="s">
        <v>352</v>
      </c>
      <c r="N709" s="51" t="str">
        <f>IF(AND('331-CT'!$E$7=TH!H709,OR(L709="331",M709="331")),"331",IF(AND(OR(L709="131",M709="131"),H709='131-CT'!$E$7),"131",""))</f>
        <v/>
      </c>
      <c r="O709" s="51" t="str">
        <f>IF(AND($B709&gt;='111'!$N$11,$B709&lt;='111'!$O$11,OR($L709=$O$7,$M709=$O$7)),"x","")</f>
        <v/>
      </c>
      <c r="P709" s="51" t="str">
        <f>IF(AND($L709=$O$7,$B709&lt;'111'!$N$11),"x","")</f>
        <v/>
      </c>
      <c r="Q709" s="51" t="str">
        <f>IF(AND($M709=$O$7,$B709&lt;'111'!$N$11),"x","")</f>
        <v/>
      </c>
      <c r="R709" s="51" t="str">
        <f>IF(ISERROR(FIND('112'!$M$9,G709,1)),"",IF((AND(FIND('112'!$M$9,G709,1)&gt;=1,$B709&gt;='112'!$N$8,$B709&lt;='112'!$O$8,OR($L709='112'!$I$6,$M709='112'!$I$6))),"x",""))</f>
        <v/>
      </c>
      <c r="S709" s="51" t="str">
        <f>IF(ISERROR(FIND('112'!$M$9,G709,1)),"",IF((AND(LEFT(G709,2)=LEFT('112'!$M$9,2),B709&lt;'112'!$N$8,$L709='112'!$I$6)),"x",""))</f>
        <v/>
      </c>
      <c r="T709" s="51" t="str">
        <f>IF(ISERROR(FIND('112'!$M$9,G709,1)),"",IF((AND(RIGHT(G709,2)=RIGHT('112'!$M$9,2),B709&lt;'112'!$N$8,$M709='112'!$I$6)),"x",""))</f>
        <v/>
      </c>
      <c r="U709" s="51" t="str">
        <f>IF(AND(L709="154",'154'!$O$5&lt;=B709,'154'!$P$5&gt;=B709),"154",IF(AND(L709="632",'632'!$L$5&lt;=B709,'632'!$M$5&gt;=B709),"632",IF(AND(L709="642",'642'!$N$5&lt;=B709,'642'!$O$5&gt;=B709),"642",IF(AND(L709="641",'641'!$N$5&lt;=B709,'641'!$O$5&gt;=B709),"641",""))))</f>
        <v/>
      </c>
      <c r="V709" s="51" t="str">
        <f>IF(OR(TH!L709=TH!$V$7,M709=TH!$V$7),"x","")</f>
        <v/>
      </c>
      <c r="W709" s="51" t="str">
        <f>IF(AND(B709&gt;='IN-NX'!$P$3,B709&lt;='IN-NX'!$Q$3,'IN-NX'!$D$7=D709,OR(LEFT(L709,2)="15",AND(LEFT(M709,2)&lt;&gt;"15",LEFT(M709,2)&lt;&gt;"33"))),"x","")</f>
        <v/>
      </c>
      <c r="X709" s="51" t="str">
        <f>IF(AND(OR(LEFT(TH!L709,2)="15",LEFT(TH!M709,2)="15"),'152-CT'!$J$8=TH!F709),"x","")</f>
        <v/>
      </c>
      <c r="Y709" s="51" t="str">
        <f>IF(AND(OR(LEFT(TH!L709,2)="15",LEFT(TH!M709,2)="15"),TK!$E$7=TH!F709),"x","")</f>
        <v/>
      </c>
      <c r="Z709" s="51" t="str">
        <f>IF(AND(B709&lt;=NKC!$N$8,B709&gt;=NKC!$M$8),"x","")</f>
        <v>x</v>
      </c>
      <c r="AA709" s="803"/>
      <c r="AC709" s="203"/>
      <c r="AD709" s="203"/>
      <c r="AE709" s="203"/>
    </row>
    <row r="710" spans="1:31" s="565" customFormat="1" ht="15.75" customHeight="1">
      <c r="A710" s="804" t="str">
        <f>IF(B710&lt;&gt;"",IF(AND(B710&gt;=_TM1,B710&lt;=_TM2,OR(TH!L710="1111",TH!M710="1111")),TH!D710,""),"")</f>
        <v/>
      </c>
      <c r="B710" s="36">
        <f t="shared" si="42"/>
        <v>9</v>
      </c>
      <c r="C710" s="189">
        <f t="shared" si="43"/>
        <v>42272</v>
      </c>
      <c r="D710" s="189" t="s">
        <v>421</v>
      </c>
      <c r="E710" s="182">
        <v>42272</v>
      </c>
      <c r="F710" s="187" t="s">
        <v>429</v>
      </c>
      <c r="G710" s="811" t="s">
        <v>415</v>
      </c>
      <c r="H710" s="191"/>
      <c r="I710" s="243"/>
      <c r="J710" s="243"/>
      <c r="K710" s="573">
        <v>3263</v>
      </c>
      <c r="L710" s="192" t="s">
        <v>24</v>
      </c>
      <c r="M710" s="192" t="s">
        <v>40</v>
      </c>
      <c r="N710" s="51" t="str">
        <f>IF(AND('331-CT'!$E$7=TH!H710,OR(L710="331",M710="331")),"331",IF(AND(OR(L710="131",M710="131"),H710='131-CT'!$E$7),"131",""))</f>
        <v/>
      </c>
      <c r="O710" s="51" t="str">
        <f>IF(AND($B710&gt;='111'!$N$11,$B710&lt;='111'!$O$11,OR($L710=$O$7,$M710=$O$7)),"x","")</f>
        <v/>
      </c>
      <c r="P710" s="51" t="str">
        <f>IF(AND($L710=$O$7,$B710&lt;'111'!$N$11),"x","")</f>
        <v/>
      </c>
      <c r="Q710" s="51" t="str">
        <f>IF(AND($M710=$O$7,$B710&lt;'111'!$N$11),"x","")</f>
        <v/>
      </c>
      <c r="R710" s="51" t="str">
        <f>IF(ISERROR(FIND('112'!$M$9,G710,1)),"",IF((AND(FIND('112'!$M$9,G710,1)&gt;=1,$B710&gt;='112'!$N$8,$B710&lt;='112'!$O$8,OR($L710='112'!$I$6,$M710='112'!$I$6))),"x",""))</f>
        <v/>
      </c>
      <c r="S710" s="51" t="str">
        <f>IF(ISERROR(FIND('112'!$M$9,G710,1)),"",IF((AND(LEFT(G710,2)=LEFT('112'!$M$9,2),B710&lt;'112'!$N$8,$L710='112'!$I$6)),"x",""))</f>
        <v/>
      </c>
      <c r="T710" s="51" t="str">
        <f>IF(ISERROR(FIND('112'!$M$9,G710,1)),"",IF((AND(RIGHT(G710,2)=RIGHT('112'!$M$9,2),B710&lt;'112'!$N$8,$M710='112'!$I$6)),"x",""))</f>
        <v/>
      </c>
      <c r="U710" s="51" t="str">
        <f>IF(AND(L710="154",'154'!$O$5&lt;=B710,'154'!$P$5&gt;=B710),"154",IF(AND(L710="632",'632'!$L$5&lt;=B710,'632'!$M$5&gt;=B710),"632",IF(AND(L710="642",'642'!$N$5&lt;=B710,'642'!$O$5&gt;=B710),"642",IF(AND(L710="641",'641'!$N$5&lt;=B710,'641'!$O$5&gt;=B710),"641",""))))</f>
        <v/>
      </c>
      <c r="V710" s="51" t="str">
        <f>IF(OR(TH!L710=TH!$V$7,M710=TH!$V$7),"x","")</f>
        <v/>
      </c>
      <c r="W710" s="51" t="str">
        <f>IF(AND(B710&gt;='IN-NX'!$P$3,B710&lt;='IN-NX'!$Q$3,'IN-NX'!$D$7=D710,OR(LEFT(L710,2)="15",AND(LEFT(M710,2)&lt;&gt;"15",LEFT(M710,2)&lt;&gt;"33"))),"x","")</f>
        <v/>
      </c>
      <c r="X710" s="51" t="str">
        <f>IF(AND(OR(LEFT(TH!L710,2)="15",LEFT(TH!M710,2)="15"),'152-CT'!$J$8=TH!F710),"x","")</f>
        <v/>
      </c>
      <c r="Y710" s="51" t="str">
        <f>IF(AND(OR(LEFT(TH!L710,2)="15",LEFT(TH!M710,2)="15"),TK!$E$7=TH!F710),"x","")</f>
        <v/>
      </c>
      <c r="Z710" s="51" t="str">
        <f>IF(AND(B710&lt;=NKC!$N$8,B710&gt;=NKC!$M$8),"x","")</f>
        <v>x</v>
      </c>
      <c r="AA710" s="803"/>
    </row>
    <row r="711" spans="1:31" s="565" customFormat="1" ht="15.75" customHeight="1">
      <c r="A711" s="804" t="str">
        <f>IF(B711&lt;&gt;"",IF(AND(B711&gt;=_TM1,B711&lt;=_TM2,OR(TH!L711="1111",TH!M711="1111")),TH!D711,""),"")</f>
        <v>C33</v>
      </c>
      <c r="B711" s="36">
        <f t="shared" si="42"/>
        <v>9</v>
      </c>
      <c r="C711" s="189">
        <f t="shared" si="43"/>
        <v>42272</v>
      </c>
      <c r="D711" s="189" t="s">
        <v>1423</v>
      </c>
      <c r="E711" s="182">
        <v>42272</v>
      </c>
      <c r="F711" s="187" t="s">
        <v>433</v>
      </c>
      <c r="G711" s="811" t="s">
        <v>415</v>
      </c>
      <c r="H711" s="7" t="s">
        <v>437</v>
      </c>
      <c r="I711" s="243"/>
      <c r="J711" s="243"/>
      <c r="K711" s="573">
        <v>90900000</v>
      </c>
      <c r="L711" s="192" t="s">
        <v>24</v>
      </c>
      <c r="M711" s="192" t="s">
        <v>47</v>
      </c>
      <c r="N711" s="51" t="str">
        <f>IF(AND('331-CT'!$E$7=TH!H711,OR(L711="331",M711="331")),"331",IF(AND(OR(L711="131",M711="131"),H711='131-CT'!$E$7),"131",""))</f>
        <v/>
      </c>
      <c r="O711" s="51" t="str">
        <f>IF(AND($B711&gt;='111'!$N$11,$B711&lt;='111'!$O$11,OR($L711=$O$7,$M711=$O$7)),"x","")</f>
        <v/>
      </c>
      <c r="P711" s="51" t="str">
        <f>IF(AND($L711=$O$7,$B711&lt;'111'!$N$11),"x","")</f>
        <v/>
      </c>
      <c r="Q711" s="51" t="str">
        <f>IF(AND($M711=$O$7,$B711&lt;'111'!$N$11),"x","")</f>
        <v>x</v>
      </c>
      <c r="R711" s="51" t="str">
        <f>IF(ISERROR(FIND('112'!$M$9,G711,1)),"",IF((AND(FIND('112'!$M$9,G711,1)&gt;=1,$B711&gt;='112'!$N$8,$B711&lt;='112'!$O$8,OR($L711='112'!$I$6,$M711='112'!$I$6))),"x",""))</f>
        <v/>
      </c>
      <c r="S711" s="51" t="str">
        <f>IF(ISERROR(FIND('112'!$M$9,G711,1)),"",IF((AND(LEFT(G711,2)=LEFT('112'!$M$9,2),B711&lt;'112'!$N$8,$L711='112'!$I$6)),"x",""))</f>
        <v/>
      </c>
      <c r="T711" s="51" t="str">
        <f>IF(ISERROR(FIND('112'!$M$9,G711,1)),"",IF((AND(RIGHT(G711,2)=RIGHT('112'!$M$9,2),B711&lt;'112'!$N$8,$M711='112'!$I$6)),"x",""))</f>
        <v/>
      </c>
      <c r="U711" s="51" t="str">
        <f>IF(AND(L711="154",'154'!$O$5&lt;=B711,'154'!$P$5&gt;=B711),"154",IF(AND(L711="632",'632'!$L$5&lt;=B711,'632'!$M$5&gt;=B711),"632",IF(AND(L711="642",'642'!$N$5&lt;=B711,'642'!$O$5&gt;=B711),"642",IF(AND(L711="641",'641'!$N$5&lt;=B711,'641'!$O$5&gt;=B711),"641",""))))</f>
        <v/>
      </c>
      <c r="V711" s="51" t="str">
        <f>IF(OR(TH!L711=TH!$V$7,M711=TH!$V$7),"x","")</f>
        <v/>
      </c>
      <c r="W711" s="51" t="str">
        <f>IF(AND(B711&gt;='IN-NX'!$P$3,B711&lt;='IN-NX'!$Q$3,'IN-NX'!$D$7=D711,OR(LEFT(L711,2)="15",AND(LEFT(M711,2)&lt;&gt;"15",LEFT(M711,2)&lt;&gt;"33"))),"x","")</f>
        <v/>
      </c>
      <c r="X711" s="51" t="str">
        <f>IF(AND(OR(LEFT(TH!L711,2)="15",LEFT(TH!M711,2)="15"),'152-CT'!$J$8=TH!F711),"x","")</f>
        <v/>
      </c>
      <c r="Y711" s="51" t="str">
        <f>IF(AND(OR(LEFT(TH!L711,2)="15",LEFT(TH!M711,2)="15"),TK!$E$7=TH!F711),"x","")</f>
        <v/>
      </c>
      <c r="Z711" s="51" t="str">
        <f>IF(AND(B711&lt;=NKC!$N$8,B711&gt;=NKC!$M$8),"x","")</f>
        <v>x</v>
      </c>
      <c r="AA711" s="803"/>
    </row>
    <row r="712" spans="1:31" s="565" customFormat="1" ht="15.75" customHeight="1">
      <c r="A712" s="804" t="str">
        <f>IF(B712&lt;&gt;"",IF(AND(B712&gt;=_TM1,B712&lt;=_TM2,OR(TH!L712="1111",TH!M712="1111")),TH!D712,""),"")</f>
        <v/>
      </c>
      <c r="B712" s="36">
        <f t="shared" si="42"/>
        <v>9</v>
      </c>
      <c r="C712" s="189">
        <f t="shared" si="43"/>
        <v>42272</v>
      </c>
      <c r="D712" s="189" t="s">
        <v>422</v>
      </c>
      <c r="E712" s="182">
        <v>42272</v>
      </c>
      <c r="F712" s="187" t="s">
        <v>426</v>
      </c>
      <c r="G712" s="811" t="s">
        <v>415</v>
      </c>
      <c r="H712" s="7"/>
      <c r="I712" s="243"/>
      <c r="J712" s="243"/>
      <c r="K712" s="573">
        <v>11000</v>
      </c>
      <c r="L712" s="574" t="s">
        <v>83</v>
      </c>
      <c r="M712" s="192" t="s">
        <v>24</v>
      </c>
      <c r="N712" s="51" t="str">
        <f>IF(AND('331-CT'!$E$7=TH!H712,OR(L712="331",M712="331")),"331",IF(AND(OR(L712="131",M712="131"),H712='131-CT'!$E$7),"131",""))</f>
        <v/>
      </c>
      <c r="O712" s="51" t="str">
        <f>IF(AND($B712&gt;='111'!$N$11,$B712&lt;='111'!$O$11,OR($L712=$O$7,$M712=$O$7)),"x","")</f>
        <v/>
      </c>
      <c r="P712" s="51" t="str">
        <f>IF(AND($L712=$O$7,$B712&lt;'111'!$N$11),"x","")</f>
        <v/>
      </c>
      <c r="Q712" s="51" t="str">
        <f>IF(AND($M712=$O$7,$B712&lt;'111'!$N$11),"x","")</f>
        <v/>
      </c>
      <c r="R712" s="51" t="str">
        <f>IF(ISERROR(FIND('112'!$M$9,G712,1)),"",IF((AND(FIND('112'!$M$9,G712,1)&gt;=1,$B712&gt;='112'!$N$8,$B712&lt;='112'!$O$8,OR($L712='112'!$I$6,$M712='112'!$I$6))),"x",""))</f>
        <v/>
      </c>
      <c r="S712" s="51" t="str">
        <f>IF(ISERROR(FIND('112'!$M$9,G712,1)),"",IF((AND(LEFT(G712,2)=LEFT('112'!$M$9,2),B712&lt;'112'!$N$8,$L712='112'!$I$6)),"x",""))</f>
        <v/>
      </c>
      <c r="T712" s="51" t="str">
        <f>IF(ISERROR(FIND('112'!$M$9,G712,1)),"",IF((AND(RIGHT(G712,2)=RIGHT('112'!$M$9,2),B712&lt;'112'!$N$8,$M712='112'!$I$6)),"x",""))</f>
        <v/>
      </c>
      <c r="U712" s="51" t="str">
        <f>IF(AND(L712="154",'154'!$O$5&lt;=B712,'154'!$P$5&gt;=B712),"154",IF(AND(L712="632",'632'!$L$5&lt;=B712,'632'!$M$5&gt;=B712),"632",IF(AND(L712="642",'642'!$N$5&lt;=B712,'642'!$O$5&gt;=B712),"642",IF(AND(L712="641",'641'!$N$5&lt;=B712,'641'!$O$5&gt;=B712),"641",""))))</f>
        <v/>
      </c>
      <c r="V712" s="51" t="str">
        <f>IF(OR(TH!L712=TH!$V$7,M712=TH!$V$7),"x","")</f>
        <v>x</v>
      </c>
      <c r="W712" s="51" t="str">
        <f>IF(AND(B712&gt;='IN-NX'!$P$3,B712&lt;='IN-NX'!$Q$3,'IN-NX'!$D$7=D712,OR(LEFT(L712,2)="15",AND(LEFT(M712,2)&lt;&gt;"15",LEFT(M712,2)&lt;&gt;"33"))),"x","")</f>
        <v/>
      </c>
      <c r="X712" s="51" t="str">
        <f>IF(AND(OR(LEFT(TH!L712,2)="15",LEFT(TH!M712,2)="15"),'152-CT'!$J$8=TH!F712),"x","")</f>
        <v/>
      </c>
      <c r="Y712" s="51" t="str">
        <f>IF(AND(OR(LEFT(TH!L712,2)="15",LEFT(TH!M712,2)="15"),TK!$E$7=TH!F712),"x","")</f>
        <v/>
      </c>
      <c r="Z712" s="51" t="str">
        <f>IF(AND(B712&lt;=NKC!$N$8,B712&gt;=NKC!$M$8),"x","")</f>
        <v>x</v>
      </c>
      <c r="AA712" s="803"/>
    </row>
    <row r="713" spans="1:31" s="565" customFormat="1" ht="15.75" customHeight="1">
      <c r="A713" s="804" t="str">
        <f>IF(B713&lt;&gt;"",IF(AND(B713&gt;=_TM1,B713&lt;=_TM2,OR(TH!L713="1111",TH!M713="1111")),TH!D713,""),"")</f>
        <v/>
      </c>
      <c r="B713" s="36">
        <f t="shared" si="42"/>
        <v>9</v>
      </c>
      <c r="C713" s="189">
        <f t="shared" si="43"/>
        <v>42272</v>
      </c>
      <c r="D713" s="189" t="s">
        <v>422</v>
      </c>
      <c r="E713" s="182">
        <v>42272</v>
      </c>
      <c r="F713" s="187" t="s">
        <v>438</v>
      </c>
      <c r="G713" s="811" t="s">
        <v>415</v>
      </c>
      <c r="H713" s="7" t="s">
        <v>494</v>
      </c>
      <c r="I713" s="243"/>
      <c r="J713" s="243"/>
      <c r="K713" s="573">
        <v>90903890</v>
      </c>
      <c r="L713" s="574" t="s">
        <v>8</v>
      </c>
      <c r="M713" s="192" t="s">
        <v>24</v>
      </c>
      <c r="N713" s="51" t="str">
        <f>IF(AND('331-CT'!$E$7=TH!H713,OR(L713="331",M713="331")),"331",IF(AND(OR(L713="131",M713="131"),H713='131-CT'!$E$7),"131",""))</f>
        <v/>
      </c>
      <c r="O713" s="51" t="str">
        <f>IF(AND($B713&gt;='111'!$N$11,$B713&lt;='111'!$O$11,OR($L713=$O$7,$M713=$O$7)),"x","")</f>
        <v/>
      </c>
      <c r="P713" s="51" t="str">
        <f>IF(AND($L713=$O$7,$B713&lt;'111'!$N$11),"x","")</f>
        <v/>
      </c>
      <c r="Q713" s="51" t="str">
        <f>IF(AND($M713=$O$7,$B713&lt;'111'!$N$11),"x","")</f>
        <v/>
      </c>
      <c r="R713" s="51" t="str">
        <f>IF(ISERROR(FIND('112'!$M$9,G713,1)),"",IF((AND(FIND('112'!$M$9,G713,1)&gt;=1,$B713&gt;='112'!$N$8,$B713&lt;='112'!$O$8,OR($L713='112'!$I$6,$M713='112'!$I$6))),"x",""))</f>
        <v/>
      </c>
      <c r="S713" s="51" t="str">
        <f>IF(ISERROR(FIND('112'!$M$9,G713,1)),"",IF((AND(LEFT(G713,2)=LEFT('112'!$M$9,2),B713&lt;'112'!$N$8,$L713='112'!$I$6)),"x",""))</f>
        <v/>
      </c>
      <c r="T713" s="51" t="str">
        <f>IF(ISERROR(FIND('112'!$M$9,G713,1)),"",IF((AND(RIGHT(G713,2)=RIGHT('112'!$M$9,2),B713&lt;'112'!$N$8,$M713='112'!$I$6)),"x",""))</f>
        <v/>
      </c>
      <c r="U713" s="51" t="str">
        <f>IF(AND(L713="154",'154'!$O$5&lt;=B713,'154'!$P$5&gt;=B713),"154",IF(AND(L713="632",'632'!$L$5&lt;=B713,'632'!$M$5&gt;=B713),"632",IF(AND(L713="642",'642'!$N$5&lt;=B713,'642'!$O$5&gt;=B713),"642",IF(AND(L713="641",'641'!$N$5&lt;=B713,'641'!$O$5&gt;=B713),"641",""))))</f>
        <v/>
      </c>
      <c r="V713" s="51" t="str">
        <f>IF(OR(TH!L713=TH!$V$7,M713=TH!$V$7),"x","")</f>
        <v/>
      </c>
      <c r="W713" s="51" t="str">
        <f>IF(AND(B713&gt;='IN-NX'!$P$3,B713&lt;='IN-NX'!$Q$3,'IN-NX'!$D$7=D713,OR(LEFT(L713,2)="15",AND(LEFT(M713,2)&lt;&gt;"15",LEFT(M713,2)&lt;&gt;"33"))),"x","")</f>
        <v/>
      </c>
      <c r="X713" s="51" t="str">
        <f>IF(AND(OR(LEFT(TH!L713,2)="15",LEFT(TH!M713,2)="15"),'152-CT'!$J$8=TH!F713),"x","")</f>
        <v/>
      </c>
      <c r="Y713" s="51" t="str">
        <f>IF(AND(OR(LEFT(TH!L713,2)="15",LEFT(TH!M713,2)="15"),TK!$E$7=TH!F713),"x","")</f>
        <v/>
      </c>
      <c r="Z713" s="51" t="str">
        <f>IF(AND(B713&lt;=NKC!$N$8,B713&gt;=NKC!$M$8),"x","")</f>
        <v>x</v>
      </c>
      <c r="AA713" s="803"/>
    </row>
    <row r="714" spans="1:31" ht="15.75" customHeight="1">
      <c r="A714" s="804" t="str">
        <f>IF(B714&lt;&gt;"",IF(AND(B714&gt;=_TM1,B714&lt;=_TM2,OR(TH!L714="1111",TH!M714="1111")),TH!D714,""),"")</f>
        <v/>
      </c>
      <c r="B714" s="36">
        <f t="shared" si="42"/>
        <v>9</v>
      </c>
      <c r="C714" s="189">
        <f t="shared" si="43"/>
        <v>42272</v>
      </c>
      <c r="D714" s="189" t="s">
        <v>422</v>
      </c>
      <c r="E714" s="182">
        <v>42272</v>
      </c>
      <c r="F714" s="187" t="s">
        <v>443</v>
      </c>
      <c r="G714" s="811" t="s">
        <v>415</v>
      </c>
      <c r="H714" s="7"/>
      <c r="I714" s="243"/>
      <c r="J714" s="243"/>
      <c r="K714" s="573">
        <v>69996</v>
      </c>
      <c r="L714" s="192" t="s">
        <v>83</v>
      </c>
      <c r="M714" s="192" t="s">
        <v>24</v>
      </c>
      <c r="N714" s="51" t="str">
        <f>IF(AND('331-CT'!$E$7=TH!H714,OR(L714="331",M714="331")),"331",IF(AND(OR(L714="131",M714="131"),H714='131-CT'!$E$7),"131",""))</f>
        <v/>
      </c>
      <c r="O714" s="51" t="str">
        <f>IF(AND($B714&gt;='111'!$N$11,$B714&lt;='111'!$O$11,OR($L714=$O$7,$M714=$O$7)),"x","")</f>
        <v/>
      </c>
      <c r="P714" s="51" t="str">
        <f>IF(AND($L714=$O$7,$B714&lt;'111'!$N$11),"x","")</f>
        <v/>
      </c>
      <c r="Q714" s="51" t="str">
        <f>IF(AND($M714=$O$7,$B714&lt;'111'!$N$11),"x","")</f>
        <v/>
      </c>
      <c r="R714" s="51" t="str">
        <f>IF(ISERROR(FIND('112'!$M$9,G714,1)),"",IF((AND(FIND('112'!$M$9,G714,1)&gt;=1,$B714&gt;='112'!$N$8,$B714&lt;='112'!$O$8,OR($L714='112'!$I$6,$M714='112'!$I$6))),"x",""))</f>
        <v/>
      </c>
      <c r="S714" s="51" t="str">
        <f>IF(ISERROR(FIND('112'!$M$9,G714,1)),"",IF((AND(LEFT(G714,2)=LEFT('112'!$M$9,2),B714&lt;'112'!$N$8,$L714='112'!$I$6)),"x",""))</f>
        <v/>
      </c>
      <c r="T714" s="51" t="str">
        <f>IF(ISERROR(FIND('112'!$M$9,G714,1)),"",IF((AND(RIGHT(G714,2)=RIGHT('112'!$M$9,2),B714&lt;'112'!$N$8,$M714='112'!$I$6)),"x",""))</f>
        <v/>
      </c>
      <c r="U714" s="51" t="str">
        <f>IF(AND(L714="154",'154'!$O$5&lt;=B714,'154'!$P$5&gt;=B714),"154",IF(AND(L714="632",'632'!$L$5&lt;=B714,'632'!$M$5&gt;=B714),"632",IF(AND(L714="642",'642'!$N$5&lt;=B714,'642'!$O$5&gt;=B714),"642",IF(AND(L714="641",'641'!$N$5&lt;=B714,'641'!$O$5&gt;=B714),"641",""))))</f>
        <v/>
      </c>
      <c r="V714" s="51" t="str">
        <f>IF(OR(TH!L714=TH!$V$7,M714=TH!$V$7),"x","")</f>
        <v>x</v>
      </c>
      <c r="W714" s="51" t="str">
        <f>IF(AND(B714&gt;='IN-NX'!$P$3,B714&lt;='IN-NX'!$Q$3,'IN-NX'!$D$7=D714,OR(LEFT(L714,2)="15",AND(LEFT(M714,2)&lt;&gt;"15",LEFT(M714,2)&lt;&gt;"33"))),"x","")</f>
        <v/>
      </c>
      <c r="X714" s="51" t="str">
        <f>IF(AND(OR(LEFT(TH!L714,2)="15",LEFT(TH!M714,2)="15"),'152-CT'!$J$8=TH!F714),"x","")</f>
        <v/>
      </c>
      <c r="Y714" s="51" t="str">
        <f>IF(AND(OR(LEFT(TH!L714,2)="15",LEFT(TH!M714,2)="15"),TK!$E$7=TH!F714),"x","")</f>
        <v/>
      </c>
      <c r="Z714" s="51" t="str">
        <f>IF(AND(B714&lt;=NKC!$N$8,B714&gt;=NKC!$M$8),"x","")</f>
        <v>x</v>
      </c>
      <c r="AA714" s="803"/>
      <c r="AB714" s="565"/>
      <c r="AC714" s="565"/>
      <c r="AD714" s="565"/>
      <c r="AE714" s="565"/>
    </row>
    <row r="715" spans="1:31" ht="15.75" customHeight="1">
      <c r="A715" s="804" t="str">
        <f>IF(B715&lt;&gt;"",IF(AND(B715&gt;=_TM1,B715&lt;=_TM2,OR(TH!L715="1111",TH!M715="1111")),TH!D715,""),"")</f>
        <v/>
      </c>
      <c r="B715" s="36">
        <f t="shared" si="42"/>
        <v>9</v>
      </c>
      <c r="C715" s="189">
        <f t="shared" si="43"/>
        <v>42272</v>
      </c>
      <c r="D715" s="189" t="s">
        <v>1435</v>
      </c>
      <c r="E715" s="189">
        <v>42272</v>
      </c>
      <c r="F715" s="190" t="s">
        <v>1238</v>
      </c>
      <c r="G715" s="813" t="s">
        <v>684</v>
      </c>
      <c r="H715" s="191" t="s">
        <v>448</v>
      </c>
      <c r="I715" s="243">
        <v>2000</v>
      </c>
      <c r="J715" s="243">
        <v>11046</v>
      </c>
      <c r="K715" s="573">
        <f>ROUND(I715*J715,0)</f>
        <v>22092000</v>
      </c>
      <c r="L715" s="574" t="s">
        <v>417</v>
      </c>
      <c r="M715" s="574" t="s">
        <v>8</v>
      </c>
      <c r="N715" s="51" t="str">
        <f>IF(AND('331-CT'!$E$7=TH!H715,OR(L715="331",M715="331")),"331",IF(AND(OR(L715="131",M715="131"),H715='131-CT'!$E$7),"131",""))</f>
        <v/>
      </c>
      <c r="O715" s="51" t="str">
        <f>IF(AND($B715&gt;='111'!$N$11,$B715&lt;='111'!$O$11,OR($L715=$O$7,$M715=$O$7)),"x","")</f>
        <v/>
      </c>
      <c r="P715" s="51" t="str">
        <f>IF(AND($L715=$O$7,$B715&lt;'111'!$N$11),"x","")</f>
        <v/>
      </c>
      <c r="Q715" s="51" t="str">
        <f>IF(AND($M715=$O$7,$B715&lt;'111'!$N$11),"x","")</f>
        <v/>
      </c>
      <c r="R715" s="51" t="str">
        <f>IF(ISERROR(FIND('112'!$M$9,G715,1)),"",IF((AND(FIND('112'!$M$9,G715,1)&gt;=1,$B715&gt;='112'!$N$8,$B715&lt;='112'!$O$8,OR($L715='112'!$I$6,$M715='112'!$I$6))),"x",""))</f>
        <v/>
      </c>
      <c r="S715" s="51" t="str">
        <f>IF(ISERROR(FIND('112'!$M$9,G715,1)),"",IF((AND(LEFT(G715,2)=LEFT('112'!$M$9,2),B715&lt;'112'!$N$8,$L715='112'!$I$6)),"x",""))</f>
        <v/>
      </c>
      <c r="T715" s="51" t="str">
        <f>IF(ISERROR(FIND('112'!$M$9,G715,1)),"",IF((AND(RIGHT(G715,2)=RIGHT('112'!$M$9,2),B715&lt;'112'!$N$8,$M715='112'!$I$6)),"x",""))</f>
        <v/>
      </c>
      <c r="U715" s="51" t="str">
        <f>IF(AND(L715="154",'154'!$O$5&lt;=B715,'154'!$P$5&gt;=B715),"154",IF(AND(L715="632",'632'!$L$5&lt;=B715,'632'!$M$5&gt;=B715),"632",IF(AND(L715="642",'642'!$N$5&lt;=B715,'642'!$O$5&gt;=B715),"642",IF(AND(L715="641",'641'!$N$5&lt;=B715,'641'!$O$5&gt;=B715),"641",""))))</f>
        <v/>
      </c>
      <c r="V715" s="51" t="str">
        <f>IF(OR(TH!L715=TH!$V$7,M715=TH!$V$7),"x","")</f>
        <v/>
      </c>
      <c r="W715" s="51" t="str">
        <f>IF(AND(B715&gt;='IN-NX'!$P$3,B715&lt;='IN-NX'!$Q$3,'IN-NX'!$D$7=D715,OR(LEFT(L715,2)="15",AND(LEFT(M715,2)&lt;&gt;"15",LEFT(M715,2)&lt;&gt;"33"))),"x","")</f>
        <v/>
      </c>
      <c r="X715" s="51" t="str">
        <f>IF(AND(OR(LEFT(TH!L715,2)="15",LEFT(TH!M715,2)="15"),'152-CT'!$J$8=TH!F715),"x","")</f>
        <v>x</v>
      </c>
      <c r="Y715" s="51" t="str">
        <f>IF(AND(OR(LEFT(TH!L715,2)="15",LEFT(TH!M715,2)="15"),TK!$E$7=TH!F715),"x","")</f>
        <v/>
      </c>
      <c r="Z715" s="51" t="str">
        <f>IF(AND(B715&lt;=NKC!$N$8,B715&gt;=NKC!$M$8),"x","")</f>
        <v>x</v>
      </c>
      <c r="AA715" s="803"/>
      <c r="AB715" s="565"/>
    </row>
    <row r="716" spans="1:31" ht="15.75" customHeight="1">
      <c r="A716" s="804" t="str">
        <f>IF(B716&lt;&gt;"",IF(AND(B716&gt;=_TM1,B716&lt;=_TM2,OR(TH!L716="1111",TH!M716="1111")),TH!D716,""),"")</f>
        <v/>
      </c>
      <c r="B716" s="36">
        <f t="shared" si="42"/>
        <v>9</v>
      </c>
      <c r="C716" s="189">
        <f t="shared" si="43"/>
        <v>42272</v>
      </c>
      <c r="D716" s="189" t="s">
        <v>1435</v>
      </c>
      <c r="E716" s="189">
        <v>42272</v>
      </c>
      <c r="F716" s="190" t="s">
        <v>685</v>
      </c>
      <c r="G716" s="813" t="s">
        <v>684</v>
      </c>
      <c r="H716" s="191" t="s">
        <v>448</v>
      </c>
      <c r="I716" s="243">
        <v>100</v>
      </c>
      <c r="J716" s="243">
        <v>20844</v>
      </c>
      <c r="K716" s="573">
        <f>ROUND(I716*J716,0)</f>
        <v>2084400</v>
      </c>
      <c r="L716" s="574" t="s">
        <v>417</v>
      </c>
      <c r="M716" s="574" t="s">
        <v>8</v>
      </c>
      <c r="N716" s="51" t="str">
        <f>IF(AND('331-CT'!$E$7=TH!H716,OR(L716="331",M716="331")),"331",IF(AND(OR(L716="131",M716="131"),H716='131-CT'!$E$7),"131",""))</f>
        <v/>
      </c>
      <c r="O716" s="51" t="str">
        <f>IF(AND($B716&gt;='111'!$N$11,$B716&lt;='111'!$O$11,OR($L716=$O$7,$M716=$O$7)),"x","")</f>
        <v/>
      </c>
      <c r="P716" s="51" t="str">
        <f>IF(AND($L716=$O$7,$B716&lt;'111'!$N$11),"x","")</f>
        <v/>
      </c>
      <c r="Q716" s="51" t="str">
        <f>IF(AND($M716=$O$7,$B716&lt;'111'!$N$11),"x","")</f>
        <v/>
      </c>
      <c r="R716" s="51" t="str">
        <f>IF(ISERROR(FIND('112'!$M$9,G716,1)),"",IF((AND(FIND('112'!$M$9,G716,1)&gt;=1,$B716&gt;='112'!$N$8,$B716&lt;='112'!$O$8,OR($L716='112'!$I$6,$M716='112'!$I$6))),"x",""))</f>
        <v/>
      </c>
      <c r="S716" s="51" t="str">
        <f>IF(ISERROR(FIND('112'!$M$9,G716,1)),"",IF((AND(LEFT(G716,2)=LEFT('112'!$M$9,2),B716&lt;'112'!$N$8,$L716='112'!$I$6)),"x",""))</f>
        <v/>
      </c>
      <c r="T716" s="51" t="str">
        <f>IF(ISERROR(FIND('112'!$M$9,G716,1)),"",IF((AND(RIGHT(G716,2)=RIGHT('112'!$M$9,2),B716&lt;'112'!$N$8,$M716='112'!$I$6)),"x",""))</f>
        <v/>
      </c>
      <c r="U716" s="51" t="str">
        <f>IF(AND(L716="154",'154'!$O$5&lt;=B716,'154'!$P$5&gt;=B716),"154",IF(AND(L716="632",'632'!$L$5&lt;=B716,'632'!$M$5&gt;=B716),"632",IF(AND(L716="642",'642'!$N$5&lt;=B716,'642'!$O$5&gt;=B716),"642",IF(AND(L716="641",'641'!$N$5&lt;=B716,'641'!$O$5&gt;=B716),"641",""))))</f>
        <v/>
      </c>
      <c r="V716" s="51" t="str">
        <f>IF(OR(TH!L716=TH!$V$7,M716=TH!$V$7),"x","")</f>
        <v/>
      </c>
      <c r="W716" s="51" t="str">
        <f>IF(AND(B716&gt;='IN-NX'!$P$3,B716&lt;='IN-NX'!$Q$3,'IN-NX'!$D$7=D716,OR(LEFT(L716,2)="15",AND(LEFT(M716,2)&lt;&gt;"15",LEFT(M716,2)&lt;&gt;"33"))),"x","")</f>
        <v/>
      </c>
      <c r="X716" s="51" t="str">
        <f>IF(AND(OR(LEFT(TH!L716,2)="15",LEFT(TH!M716,2)="15"),'152-CT'!$J$8=TH!F716),"x","")</f>
        <v/>
      </c>
      <c r="Y716" s="51" t="str">
        <f>IF(AND(OR(LEFT(TH!L716,2)="15",LEFT(TH!M716,2)="15"),TK!$E$7=TH!F716),"x","")</f>
        <v/>
      </c>
      <c r="Z716" s="51" t="str">
        <f>IF(AND(B716&lt;=NKC!$N$8,B716&gt;=NKC!$M$8),"x","")</f>
        <v>x</v>
      </c>
      <c r="AA716" s="803"/>
      <c r="AB716" s="565"/>
    </row>
    <row r="717" spans="1:31" ht="15.75" customHeight="1">
      <c r="A717" s="804" t="str">
        <f>IF(B717&lt;&gt;"",IF(AND(B717&gt;=_TM1,B717&lt;=_TM2,OR(TH!L717="1111",TH!M717="1111")),TH!D717,""),"")</f>
        <v/>
      </c>
      <c r="B717" s="36">
        <f t="shared" si="42"/>
        <v>9</v>
      </c>
      <c r="C717" s="189">
        <f t="shared" si="43"/>
        <v>42272</v>
      </c>
      <c r="D717" s="189" t="s">
        <v>1435</v>
      </c>
      <c r="E717" s="189">
        <v>42272</v>
      </c>
      <c r="F717" s="190" t="s">
        <v>686</v>
      </c>
      <c r="G717" s="813" t="s">
        <v>684</v>
      </c>
      <c r="H717" s="191" t="s">
        <v>448</v>
      </c>
      <c r="I717" s="243">
        <v>140</v>
      </c>
      <c r="J717" s="243">
        <v>28932</v>
      </c>
      <c r="K717" s="573">
        <f>ROUND(I717*J717,0)</f>
        <v>4050480</v>
      </c>
      <c r="L717" s="574" t="s">
        <v>417</v>
      </c>
      <c r="M717" s="574" t="s">
        <v>8</v>
      </c>
      <c r="N717" s="51" t="str">
        <f>IF(AND('331-CT'!$E$7=TH!H717,OR(L717="331",M717="331")),"331",IF(AND(OR(L717="131",M717="131"),H717='131-CT'!$E$7),"131",""))</f>
        <v/>
      </c>
      <c r="O717" s="51" t="str">
        <f>IF(AND($B717&gt;='111'!$N$11,$B717&lt;='111'!$O$11,OR($L717=$O$7,$M717=$O$7)),"x","")</f>
        <v/>
      </c>
      <c r="P717" s="51" t="str">
        <f>IF(AND($L717=$O$7,$B717&lt;'111'!$N$11),"x","")</f>
        <v/>
      </c>
      <c r="Q717" s="51" t="str">
        <f>IF(AND($M717=$O$7,$B717&lt;'111'!$N$11),"x","")</f>
        <v/>
      </c>
      <c r="R717" s="51" t="str">
        <f>IF(ISERROR(FIND('112'!$M$9,G717,1)),"",IF((AND(FIND('112'!$M$9,G717,1)&gt;=1,$B717&gt;='112'!$N$8,$B717&lt;='112'!$O$8,OR($L717='112'!$I$6,$M717='112'!$I$6))),"x",""))</f>
        <v/>
      </c>
      <c r="S717" s="51" t="str">
        <f>IF(ISERROR(FIND('112'!$M$9,G717,1)),"",IF((AND(LEFT(G717,2)=LEFT('112'!$M$9,2),B717&lt;'112'!$N$8,$L717='112'!$I$6)),"x",""))</f>
        <v/>
      </c>
      <c r="T717" s="51" t="str">
        <f>IF(ISERROR(FIND('112'!$M$9,G717,1)),"",IF((AND(RIGHT(G717,2)=RIGHT('112'!$M$9,2),B717&lt;'112'!$N$8,$M717='112'!$I$6)),"x",""))</f>
        <v/>
      </c>
      <c r="U717" s="51" t="str">
        <f>IF(AND(L717="154",'154'!$O$5&lt;=B717,'154'!$P$5&gt;=B717),"154",IF(AND(L717="632",'632'!$L$5&lt;=B717,'632'!$M$5&gt;=B717),"632",IF(AND(L717="642",'642'!$N$5&lt;=B717,'642'!$O$5&gt;=B717),"642",IF(AND(L717="641",'641'!$N$5&lt;=B717,'641'!$O$5&gt;=B717),"641",""))))</f>
        <v/>
      </c>
      <c r="V717" s="51" t="str">
        <f>IF(OR(TH!L717=TH!$V$7,M717=TH!$V$7),"x","")</f>
        <v/>
      </c>
      <c r="W717" s="51" t="str">
        <f>IF(AND(B717&gt;='IN-NX'!$P$3,B717&lt;='IN-NX'!$Q$3,'IN-NX'!$D$7=D717,OR(LEFT(L717,2)="15",AND(LEFT(M717,2)&lt;&gt;"15",LEFT(M717,2)&lt;&gt;"33"))),"x","")</f>
        <v/>
      </c>
      <c r="X717" s="51" t="str">
        <f>IF(AND(OR(LEFT(TH!L717,2)="15",LEFT(TH!M717,2)="15"),'152-CT'!$J$8=TH!F717),"x","")</f>
        <v/>
      </c>
      <c r="Y717" s="51" t="str">
        <f>IF(AND(OR(LEFT(TH!L717,2)="15",LEFT(TH!M717,2)="15"),TK!$E$7=TH!F717),"x","")</f>
        <v/>
      </c>
      <c r="Z717" s="51" t="str">
        <f>IF(AND(B717&lt;=NKC!$N$8,B717&gt;=NKC!$M$8),"x","")</f>
        <v>x</v>
      </c>
      <c r="AA717" s="803"/>
      <c r="AB717" s="565"/>
    </row>
    <row r="718" spans="1:31" s="565" customFormat="1" ht="15.75" customHeight="1">
      <c r="A718" s="804" t="str">
        <f>IF(B718&lt;&gt;"",IF(AND(B718&gt;=_TM1,B718&lt;=_TM2,OR(TH!L718="1111",TH!M718="1111")),TH!D718,""),"")</f>
        <v/>
      </c>
      <c r="B718" s="36">
        <f t="shared" si="42"/>
        <v>9</v>
      </c>
      <c r="C718" s="189">
        <f t="shared" si="43"/>
        <v>42272</v>
      </c>
      <c r="D718" s="189" t="s">
        <v>1435</v>
      </c>
      <c r="E718" s="189">
        <v>42272</v>
      </c>
      <c r="F718" s="190" t="s">
        <v>468</v>
      </c>
      <c r="G718" s="813" t="s">
        <v>684</v>
      </c>
      <c r="H718" s="191" t="s">
        <v>448</v>
      </c>
      <c r="I718" s="243"/>
      <c r="J718" s="243"/>
      <c r="K718" s="573">
        <v>2822688</v>
      </c>
      <c r="L718" s="574" t="s">
        <v>9</v>
      </c>
      <c r="M718" s="574" t="s">
        <v>8</v>
      </c>
      <c r="N718" s="51" t="str">
        <f>IF(AND('331-CT'!$E$7=TH!H718,OR(L718="331",M718="331")),"331",IF(AND(OR(L718="131",M718="131"),H718='131-CT'!$E$7),"131",""))</f>
        <v/>
      </c>
      <c r="O718" s="51" t="str">
        <f>IF(AND($B718&gt;='111'!$N$11,$B718&lt;='111'!$O$11,OR($L718=$O$7,$M718=$O$7)),"x","")</f>
        <v/>
      </c>
      <c r="P718" s="51" t="str">
        <f>IF(AND($L718=$O$7,$B718&lt;'111'!$N$11),"x","")</f>
        <v/>
      </c>
      <c r="Q718" s="51" t="str">
        <f>IF(AND($M718=$O$7,$B718&lt;'111'!$N$11),"x","")</f>
        <v/>
      </c>
      <c r="R718" s="51" t="str">
        <f>IF(ISERROR(FIND('112'!$M$9,G718,1)),"",IF((AND(FIND('112'!$M$9,G718,1)&gt;=1,$B718&gt;='112'!$N$8,$B718&lt;='112'!$O$8,OR($L718='112'!$I$6,$M718='112'!$I$6))),"x",""))</f>
        <v/>
      </c>
      <c r="S718" s="51" t="str">
        <f>IF(ISERROR(FIND('112'!$M$9,G718,1)),"",IF((AND(LEFT(G718,2)=LEFT('112'!$M$9,2),B718&lt;'112'!$N$8,$L718='112'!$I$6)),"x",""))</f>
        <v/>
      </c>
      <c r="T718" s="51" t="str">
        <f>IF(ISERROR(FIND('112'!$M$9,G718,1)),"",IF((AND(RIGHT(G718,2)=RIGHT('112'!$M$9,2),B718&lt;'112'!$N$8,$M718='112'!$I$6)),"x",""))</f>
        <v/>
      </c>
      <c r="U718" s="51" t="str">
        <f>IF(AND(L718="154",'154'!$O$5&lt;=B718,'154'!$P$5&gt;=B718),"154",IF(AND(L718="632",'632'!$L$5&lt;=B718,'632'!$M$5&gt;=B718),"632",IF(AND(L718="642",'642'!$N$5&lt;=B718,'642'!$O$5&gt;=B718),"642",IF(AND(L718="641",'641'!$N$5&lt;=B718,'641'!$O$5&gt;=B718),"641",""))))</f>
        <v/>
      </c>
      <c r="V718" s="51" t="str">
        <f>IF(OR(TH!L718=TH!$V$7,M718=TH!$V$7),"x","")</f>
        <v/>
      </c>
      <c r="W718" s="51" t="str">
        <f>IF(AND(B718&gt;='IN-NX'!$P$3,B718&lt;='IN-NX'!$Q$3,'IN-NX'!$D$7=D718,OR(LEFT(L718,2)="15",AND(LEFT(M718,2)&lt;&gt;"15",LEFT(M718,2)&lt;&gt;"33"))),"x","")</f>
        <v/>
      </c>
      <c r="X718" s="51" t="str">
        <f>IF(AND(OR(LEFT(TH!L718,2)="15",LEFT(TH!M718,2)="15"),'152-CT'!$J$8=TH!F718),"x","")</f>
        <v/>
      </c>
      <c r="Y718" s="51" t="str">
        <f>IF(AND(OR(LEFT(TH!L718,2)="15",LEFT(TH!M718,2)="15"),TK!$E$7=TH!F718),"x","")</f>
        <v/>
      </c>
      <c r="Z718" s="51" t="str">
        <f>IF(AND(B718&lt;=NKC!$N$8,B718&gt;=NKC!$M$8),"x","")</f>
        <v>x</v>
      </c>
      <c r="AA718" s="803">
        <v>3</v>
      </c>
      <c r="AC718" s="203"/>
      <c r="AD718" s="203"/>
      <c r="AE718" s="203"/>
    </row>
    <row r="719" spans="1:31" s="565" customFormat="1" ht="15.75" customHeight="1">
      <c r="A719" s="804" t="str">
        <f>IF(B719&lt;&gt;"",IF(AND(B719&gt;=_TM1,B719&lt;=_TM2,OR(TH!L719="1111",TH!M719="1111")),TH!D719,""),"")</f>
        <v/>
      </c>
      <c r="B719" s="36">
        <f t="shared" si="42"/>
        <v>9</v>
      </c>
      <c r="C719" s="189">
        <f t="shared" si="43"/>
        <v>42272</v>
      </c>
      <c r="D719" s="189" t="s">
        <v>1446</v>
      </c>
      <c r="E719" s="189">
        <v>42272</v>
      </c>
      <c r="F719" s="190" t="s">
        <v>711</v>
      </c>
      <c r="G719" s="813" t="s">
        <v>710</v>
      </c>
      <c r="H719" s="191" t="s">
        <v>494</v>
      </c>
      <c r="I719" s="243">
        <v>200</v>
      </c>
      <c r="J719" s="243">
        <v>6720</v>
      </c>
      <c r="K719" s="573">
        <f t="shared" ref="K719:K735" si="48">ROUND(I719*J719,0)</f>
        <v>1344000</v>
      </c>
      <c r="L719" s="574" t="s">
        <v>417</v>
      </c>
      <c r="M719" s="574" t="s">
        <v>8</v>
      </c>
      <c r="N719" s="51" t="str">
        <f>IF(AND('331-CT'!$E$7=TH!H719,OR(L719="331",M719="331")),"331",IF(AND(OR(L719="131",M719="131"),H719='131-CT'!$E$7),"131",""))</f>
        <v/>
      </c>
      <c r="O719" s="51" t="str">
        <f>IF(AND($B719&gt;='111'!$N$11,$B719&lt;='111'!$O$11,OR($L719=$O$7,$M719=$O$7)),"x","")</f>
        <v/>
      </c>
      <c r="P719" s="51" t="str">
        <f>IF(AND($L719=$O$7,$B719&lt;'111'!$N$11),"x","")</f>
        <v/>
      </c>
      <c r="Q719" s="51" t="str">
        <f>IF(AND($M719=$O$7,$B719&lt;'111'!$N$11),"x","")</f>
        <v/>
      </c>
      <c r="R719" s="51" t="str">
        <f>IF(ISERROR(FIND('112'!$M$9,G719,1)),"",IF((AND(FIND('112'!$M$9,G719,1)&gt;=1,$B719&gt;='112'!$N$8,$B719&lt;='112'!$O$8,OR($L719='112'!$I$6,$M719='112'!$I$6))),"x",""))</f>
        <v/>
      </c>
      <c r="S719" s="51" t="str">
        <f>IF(ISERROR(FIND('112'!$M$9,G719,1)),"",IF((AND(LEFT(G719,2)=LEFT('112'!$M$9,2),B719&lt;'112'!$N$8,$L719='112'!$I$6)),"x",""))</f>
        <v/>
      </c>
      <c r="T719" s="51" t="str">
        <f>IF(ISERROR(FIND('112'!$M$9,G719,1)),"",IF((AND(RIGHT(G719,2)=RIGHT('112'!$M$9,2),B719&lt;'112'!$N$8,$M719='112'!$I$6)),"x",""))</f>
        <v/>
      </c>
      <c r="U719" s="51" t="str">
        <f>IF(AND(L719="154",'154'!$O$5&lt;=B719,'154'!$P$5&gt;=B719),"154",IF(AND(L719="632",'632'!$L$5&lt;=B719,'632'!$M$5&gt;=B719),"632",IF(AND(L719="642",'642'!$N$5&lt;=B719,'642'!$O$5&gt;=B719),"642",IF(AND(L719="641",'641'!$N$5&lt;=B719,'641'!$O$5&gt;=B719),"641",""))))</f>
        <v/>
      </c>
      <c r="V719" s="51" t="str">
        <f>IF(OR(TH!L719=TH!$V$7,M719=TH!$V$7),"x","")</f>
        <v/>
      </c>
      <c r="W719" s="51" t="str">
        <f>IF(AND(B719&gt;='IN-NX'!$P$3,B719&lt;='IN-NX'!$Q$3,'IN-NX'!$D$7=D719,OR(LEFT(L719,2)="15",AND(LEFT(M719,2)&lt;&gt;"15",LEFT(M719,2)&lt;&gt;"33"))),"x","")</f>
        <v/>
      </c>
      <c r="X719" s="51" t="str">
        <f>IF(AND(OR(LEFT(TH!L719,2)="15",LEFT(TH!M719,2)="15"),'152-CT'!$J$8=TH!F719),"x","")</f>
        <v/>
      </c>
      <c r="Y719" s="51" t="str">
        <f>IF(AND(OR(LEFT(TH!L719,2)="15",LEFT(TH!M719,2)="15"),TK!$E$7=TH!F719),"x","")</f>
        <v/>
      </c>
      <c r="Z719" s="51" t="str">
        <f>IF(AND(B719&lt;=NKC!$N$8,B719&gt;=NKC!$M$8),"x","")</f>
        <v>x</v>
      </c>
      <c r="AA719" s="803"/>
      <c r="AC719" s="203"/>
      <c r="AD719" s="203"/>
      <c r="AE719" s="203"/>
    </row>
    <row r="720" spans="1:31" s="565" customFormat="1" ht="15.75" customHeight="1">
      <c r="A720" s="804" t="str">
        <f>IF(B720&lt;&gt;"",IF(AND(B720&gt;=_TM1,B720&lt;=_TM2,OR(TH!L720="1111",TH!M720="1111")),TH!D720,""),"")</f>
        <v/>
      </c>
      <c r="B720" s="36">
        <f t="shared" si="42"/>
        <v>9</v>
      </c>
      <c r="C720" s="189">
        <f t="shared" si="43"/>
        <v>42272</v>
      </c>
      <c r="D720" s="189" t="s">
        <v>1446</v>
      </c>
      <c r="E720" s="189">
        <v>42272</v>
      </c>
      <c r="F720" s="190" t="s">
        <v>712</v>
      </c>
      <c r="G720" s="813" t="s">
        <v>710</v>
      </c>
      <c r="H720" s="191" t="s">
        <v>494</v>
      </c>
      <c r="I720" s="243">
        <v>350</v>
      </c>
      <c r="J720" s="243">
        <v>30835</v>
      </c>
      <c r="K720" s="573">
        <f t="shared" si="48"/>
        <v>10792250</v>
      </c>
      <c r="L720" s="574" t="s">
        <v>417</v>
      </c>
      <c r="M720" s="574" t="s">
        <v>8</v>
      </c>
      <c r="N720" s="51" t="str">
        <f>IF(AND('331-CT'!$E$7=TH!H720,OR(L720="331",M720="331")),"331",IF(AND(OR(L720="131",M720="131"),H720='131-CT'!$E$7),"131",""))</f>
        <v/>
      </c>
      <c r="O720" s="51" t="str">
        <f>IF(AND($B720&gt;='111'!$N$11,$B720&lt;='111'!$O$11,OR($L720=$O$7,$M720=$O$7)),"x","")</f>
        <v/>
      </c>
      <c r="P720" s="51" t="str">
        <f>IF(AND($L720=$O$7,$B720&lt;'111'!$N$11),"x","")</f>
        <v/>
      </c>
      <c r="Q720" s="51" t="str">
        <f>IF(AND($M720=$O$7,$B720&lt;'111'!$N$11),"x","")</f>
        <v/>
      </c>
      <c r="R720" s="51" t="str">
        <f>IF(ISERROR(FIND('112'!$M$9,G720,1)),"",IF((AND(FIND('112'!$M$9,G720,1)&gt;=1,$B720&gt;='112'!$N$8,$B720&lt;='112'!$O$8,OR($L720='112'!$I$6,$M720='112'!$I$6))),"x",""))</f>
        <v/>
      </c>
      <c r="S720" s="51" t="str">
        <f>IF(ISERROR(FIND('112'!$M$9,G720,1)),"",IF((AND(LEFT(G720,2)=LEFT('112'!$M$9,2),B720&lt;'112'!$N$8,$L720='112'!$I$6)),"x",""))</f>
        <v/>
      </c>
      <c r="T720" s="51" t="str">
        <f>IF(ISERROR(FIND('112'!$M$9,G720,1)),"",IF((AND(RIGHT(G720,2)=RIGHT('112'!$M$9,2),B720&lt;'112'!$N$8,$M720='112'!$I$6)),"x",""))</f>
        <v/>
      </c>
      <c r="U720" s="51" t="str">
        <f>IF(AND(L720="154",'154'!$O$5&lt;=B720,'154'!$P$5&gt;=B720),"154",IF(AND(L720="632",'632'!$L$5&lt;=B720,'632'!$M$5&gt;=B720),"632",IF(AND(L720="642",'642'!$N$5&lt;=B720,'642'!$O$5&gt;=B720),"642",IF(AND(L720="641",'641'!$N$5&lt;=B720,'641'!$O$5&gt;=B720),"641",""))))</f>
        <v/>
      </c>
      <c r="V720" s="51" t="str">
        <f>IF(OR(TH!L720=TH!$V$7,M720=TH!$V$7),"x","")</f>
        <v/>
      </c>
      <c r="W720" s="51" t="str">
        <f>IF(AND(B720&gt;='IN-NX'!$P$3,B720&lt;='IN-NX'!$Q$3,'IN-NX'!$D$7=D720,OR(LEFT(L720,2)="15",AND(LEFT(M720,2)&lt;&gt;"15",LEFT(M720,2)&lt;&gt;"33"))),"x","")</f>
        <v/>
      </c>
      <c r="X720" s="51" t="str">
        <f>IF(AND(OR(LEFT(TH!L720,2)="15",LEFT(TH!M720,2)="15"),'152-CT'!$J$8=TH!F720),"x","")</f>
        <v/>
      </c>
      <c r="Y720" s="51" t="str">
        <f>IF(AND(OR(LEFT(TH!L720,2)="15",LEFT(TH!M720,2)="15"),TK!$E$7=TH!F720),"x","")</f>
        <v/>
      </c>
      <c r="Z720" s="51" t="str">
        <f>IF(AND(B720&lt;=NKC!$N$8,B720&gt;=NKC!$M$8),"x","")</f>
        <v>x</v>
      </c>
      <c r="AA720" s="803"/>
      <c r="AC720" s="203"/>
      <c r="AD720" s="203"/>
      <c r="AE720" s="203"/>
    </row>
    <row r="721" spans="1:31" s="565" customFormat="1" ht="15.75" customHeight="1">
      <c r="A721" s="804" t="str">
        <f>IF(B721&lt;&gt;"",IF(AND(B721&gt;=_TM1,B721&lt;=_TM2,OR(TH!L721="1111",TH!M721="1111")),TH!D721,""),"")</f>
        <v/>
      </c>
      <c r="B721" s="36">
        <f t="shared" si="42"/>
        <v>9</v>
      </c>
      <c r="C721" s="189">
        <f t="shared" si="43"/>
        <v>42272</v>
      </c>
      <c r="D721" s="189" t="s">
        <v>1446</v>
      </c>
      <c r="E721" s="189">
        <v>42272</v>
      </c>
      <c r="F721" s="190" t="s">
        <v>1260</v>
      </c>
      <c r="G721" s="813" t="s">
        <v>710</v>
      </c>
      <c r="H721" s="191" t="s">
        <v>494</v>
      </c>
      <c r="I721" s="243">
        <v>1000</v>
      </c>
      <c r="J721" s="243">
        <v>6045</v>
      </c>
      <c r="K721" s="573">
        <f t="shared" si="48"/>
        <v>6045000</v>
      </c>
      <c r="L721" s="574" t="s">
        <v>417</v>
      </c>
      <c r="M721" s="574" t="s">
        <v>8</v>
      </c>
      <c r="N721" s="51" t="str">
        <f>IF(AND('331-CT'!$E$7=TH!H721,OR(L721="331",M721="331")),"331",IF(AND(OR(L721="131",M721="131"),H721='131-CT'!$E$7),"131",""))</f>
        <v/>
      </c>
      <c r="O721" s="51" t="str">
        <f>IF(AND($B721&gt;='111'!$N$11,$B721&lt;='111'!$O$11,OR($L721=$O$7,$M721=$O$7)),"x","")</f>
        <v/>
      </c>
      <c r="P721" s="51" t="str">
        <f>IF(AND($L721=$O$7,$B721&lt;'111'!$N$11),"x","")</f>
        <v/>
      </c>
      <c r="Q721" s="51" t="str">
        <f>IF(AND($M721=$O$7,$B721&lt;'111'!$N$11),"x","")</f>
        <v/>
      </c>
      <c r="R721" s="51" t="str">
        <f>IF(ISERROR(FIND('112'!$M$9,G721,1)),"",IF((AND(FIND('112'!$M$9,G721,1)&gt;=1,$B721&gt;='112'!$N$8,$B721&lt;='112'!$O$8,OR($L721='112'!$I$6,$M721='112'!$I$6))),"x",""))</f>
        <v/>
      </c>
      <c r="S721" s="51" t="str">
        <f>IF(ISERROR(FIND('112'!$M$9,G721,1)),"",IF((AND(LEFT(G721,2)=LEFT('112'!$M$9,2),B721&lt;'112'!$N$8,$L721='112'!$I$6)),"x",""))</f>
        <v/>
      </c>
      <c r="T721" s="51" t="str">
        <f>IF(ISERROR(FIND('112'!$M$9,G721,1)),"",IF((AND(RIGHT(G721,2)=RIGHT('112'!$M$9,2),B721&lt;'112'!$N$8,$M721='112'!$I$6)),"x",""))</f>
        <v/>
      </c>
      <c r="U721" s="51" t="str">
        <f>IF(AND(L721="154",'154'!$O$5&lt;=B721,'154'!$P$5&gt;=B721),"154",IF(AND(L721="632",'632'!$L$5&lt;=B721,'632'!$M$5&gt;=B721),"632",IF(AND(L721="642",'642'!$N$5&lt;=B721,'642'!$O$5&gt;=B721),"642",IF(AND(L721="641",'641'!$N$5&lt;=B721,'641'!$O$5&gt;=B721),"641",""))))</f>
        <v/>
      </c>
      <c r="V721" s="51" t="str">
        <f>IF(OR(TH!L721=TH!$V$7,M721=TH!$V$7),"x","")</f>
        <v/>
      </c>
      <c r="W721" s="51" t="str">
        <f>IF(AND(B721&gt;='IN-NX'!$P$3,B721&lt;='IN-NX'!$Q$3,'IN-NX'!$D$7=D721,OR(LEFT(L721,2)="15",AND(LEFT(M721,2)&lt;&gt;"15",LEFT(M721,2)&lt;&gt;"33"))),"x","")</f>
        <v/>
      </c>
      <c r="X721" s="51" t="str">
        <f>IF(AND(OR(LEFT(TH!L721,2)="15",LEFT(TH!M721,2)="15"),'152-CT'!$J$8=TH!F721),"x","")</f>
        <v/>
      </c>
      <c r="Y721" s="51" t="str">
        <f>IF(AND(OR(LEFT(TH!L721,2)="15",LEFT(TH!M721,2)="15"),TK!$E$7=TH!F721),"x","")</f>
        <v/>
      </c>
      <c r="Z721" s="51" t="str">
        <f>IF(AND(B721&lt;=NKC!$N$8,B721&gt;=NKC!$M$8),"x","")</f>
        <v>x</v>
      </c>
      <c r="AA721" s="803"/>
      <c r="AC721" s="203"/>
      <c r="AD721" s="203"/>
      <c r="AE721" s="203"/>
    </row>
    <row r="722" spans="1:31" s="565" customFormat="1" ht="15.75" customHeight="1">
      <c r="A722" s="804" t="str">
        <f>IF(B722&lt;&gt;"",IF(AND(B722&gt;=_TM1,B722&lt;=_TM2,OR(TH!L722="1111",TH!M722="1111")),TH!D722,""),"")</f>
        <v/>
      </c>
      <c r="B722" s="36">
        <f t="shared" si="42"/>
        <v>9</v>
      </c>
      <c r="C722" s="189">
        <f t="shared" si="43"/>
        <v>42272</v>
      </c>
      <c r="D722" s="189" t="s">
        <v>1446</v>
      </c>
      <c r="E722" s="189">
        <v>42272</v>
      </c>
      <c r="F722" s="190" t="s">
        <v>713</v>
      </c>
      <c r="G722" s="813" t="s">
        <v>710</v>
      </c>
      <c r="H722" s="191" t="s">
        <v>494</v>
      </c>
      <c r="I722" s="243">
        <v>430</v>
      </c>
      <c r="J722" s="243">
        <v>14400</v>
      </c>
      <c r="K722" s="573">
        <f t="shared" si="48"/>
        <v>6192000</v>
      </c>
      <c r="L722" s="574" t="s">
        <v>417</v>
      </c>
      <c r="M722" s="574" t="s">
        <v>8</v>
      </c>
      <c r="N722" s="51" t="str">
        <f>IF(AND('331-CT'!$E$7=TH!H722,OR(L722="331",M722="331")),"331",IF(AND(OR(L722="131",M722="131"),H722='131-CT'!$E$7),"131",""))</f>
        <v/>
      </c>
      <c r="O722" s="51" t="str">
        <f>IF(AND($B722&gt;='111'!$N$11,$B722&lt;='111'!$O$11,OR($L722=$O$7,$M722=$O$7)),"x","")</f>
        <v/>
      </c>
      <c r="P722" s="51" t="str">
        <f>IF(AND($L722=$O$7,$B722&lt;'111'!$N$11),"x","")</f>
        <v/>
      </c>
      <c r="Q722" s="51" t="str">
        <f>IF(AND($M722=$O$7,$B722&lt;'111'!$N$11),"x","")</f>
        <v/>
      </c>
      <c r="R722" s="51" t="str">
        <f>IF(ISERROR(FIND('112'!$M$9,G722,1)),"",IF((AND(FIND('112'!$M$9,G722,1)&gt;=1,$B722&gt;='112'!$N$8,$B722&lt;='112'!$O$8,OR($L722='112'!$I$6,$M722='112'!$I$6))),"x",""))</f>
        <v/>
      </c>
      <c r="S722" s="51" t="str">
        <f>IF(ISERROR(FIND('112'!$M$9,G722,1)),"",IF((AND(LEFT(G722,2)=LEFT('112'!$M$9,2),B722&lt;'112'!$N$8,$L722='112'!$I$6)),"x",""))</f>
        <v/>
      </c>
      <c r="T722" s="51" t="str">
        <f>IF(ISERROR(FIND('112'!$M$9,G722,1)),"",IF((AND(RIGHT(G722,2)=RIGHT('112'!$M$9,2),B722&lt;'112'!$N$8,$M722='112'!$I$6)),"x",""))</f>
        <v/>
      </c>
      <c r="U722" s="51" t="str">
        <f>IF(AND(L722="154",'154'!$O$5&lt;=B722,'154'!$P$5&gt;=B722),"154",IF(AND(L722="632",'632'!$L$5&lt;=B722,'632'!$M$5&gt;=B722),"632",IF(AND(L722="642",'642'!$N$5&lt;=B722,'642'!$O$5&gt;=B722),"642",IF(AND(L722="641",'641'!$N$5&lt;=B722,'641'!$O$5&gt;=B722),"641",""))))</f>
        <v/>
      </c>
      <c r="V722" s="51" t="str">
        <f>IF(OR(TH!L722=TH!$V$7,M722=TH!$V$7),"x","")</f>
        <v/>
      </c>
      <c r="W722" s="51" t="str">
        <f>IF(AND(B722&gt;='IN-NX'!$P$3,B722&lt;='IN-NX'!$Q$3,'IN-NX'!$D$7=D722,OR(LEFT(L722,2)="15",AND(LEFT(M722,2)&lt;&gt;"15",LEFT(M722,2)&lt;&gt;"33"))),"x","")</f>
        <v/>
      </c>
      <c r="X722" s="51" t="str">
        <f>IF(AND(OR(LEFT(TH!L722,2)="15",LEFT(TH!M722,2)="15"),'152-CT'!$J$8=TH!F722),"x","")</f>
        <v/>
      </c>
      <c r="Y722" s="51" t="str">
        <f>IF(AND(OR(LEFT(TH!L722,2)="15",LEFT(TH!M722,2)="15"),TK!$E$7=TH!F722),"x","")</f>
        <v/>
      </c>
      <c r="Z722" s="51" t="str">
        <f>IF(AND(B722&lt;=NKC!$N$8,B722&gt;=NKC!$M$8),"x","")</f>
        <v>x</v>
      </c>
      <c r="AA722" s="803"/>
      <c r="AC722" s="203"/>
      <c r="AD722" s="203"/>
      <c r="AE722" s="203"/>
    </row>
    <row r="723" spans="1:31" s="565" customFormat="1" ht="15.75" customHeight="1">
      <c r="A723" s="804" t="str">
        <f>IF(B723&lt;&gt;"",IF(AND(B723&gt;=_TM1,B723&lt;=_TM2,OR(TH!L723="1111",TH!M723="1111")),TH!D723,""),"")</f>
        <v/>
      </c>
      <c r="B723" s="36">
        <f t="shared" si="42"/>
        <v>9</v>
      </c>
      <c r="C723" s="189">
        <f t="shared" si="43"/>
        <v>42272</v>
      </c>
      <c r="D723" s="189" t="s">
        <v>1446</v>
      </c>
      <c r="E723" s="189">
        <v>42272</v>
      </c>
      <c r="F723" s="190" t="s">
        <v>713</v>
      </c>
      <c r="G723" s="813" t="s">
        <v>710</v>
      </c>
      <c r="H723" s="191" t="s">
        <v>494</v>
      </c>
      <c r="I723" s="243">
        <v>396</v>
      </c>
      <c r="J723" s="243">
        <v>14400</v>
      </c>
      <c r="K723" s="573">
        <f t="shared" si="48"/>
        <v>5702400</v>
      </c>
      <c r="L723" s="574" t="s">
        <v>417</v>
      </c>
      <c r="M723" s="574" t="s">
        <v>8</v>
      </c>
      <c r="N723" s="51" t="str">
        <f>IF(AND('331-CT'!$E$7=TH!H723,OR(L723="331",M723="331")),"331",IF(AND(OR(L723="131",M723="131"),H723='131-CT'!$E$7),"131",""))</f>
        <v/>
      </c>
      <c r="O723" s="51" t="str">
        <f>IF(AND($B723&gt;='111'!$N$11,$B723&lt;='111'!$O$11,OR($L723=$O$7,$M723=$O$7)),"x","")</f>
        <v/>
      </c>
      <c r="P723" s="51" t="str">
        <f>IF(AND($L723=$O$7,$B723&lt;'111'!$N$11),"x","")</f>
        <v/>
      </c>
      <c r="Q723" s="51" t="str">
        <f>IF(AND($M723=$O$7,$B723&lt;'111'!$N$11),"x","")</f>
        <v/>
      </c>
      <c r="R723" s="51" t="str">
        <f>IF(ISERROR(FIND('112'!$M$9,G723,1)),"",IF((AND(FIND('112'!$M$9,G723,1)&gt;=1,$B723&gt;='112'!$N$8,$B723&lt;='112'!$O$8,OR($L723='112'!$I$6,$M723='112'!$I$6))),"x",""))</f>
        <v/>
      </c>
      <c r="S723" s="51" t="str">
        <f>IF(ISERROR(FIND('112'!$M$9,G723,1)),"",IF((AND(LEFT(G723,2)=LEFT('112'!$M$9,2),B723&lt;'112'!$N$8,$L723='112'!$I$6)),"x",""))</f>
        <v/>
      </c>
      <c r="T723" s="51" t="str">
        <f>IF(ISERROR(FIND('112'!$M$9,G723,1)),"",IF((AND(RIGHT(G723,2)=RIGHT('112'!$M$9,2),B723&lt;'112'!$N$8,$M723='112'!$I$6)),"x",""))</f>
        <v/>
      </c>
      <c r="U723" s="51" t="str">
        <f>IF(AND(L723="154",'154'!$O$5&lt;=B723,'154'!$P$5&gt;=B723),"154",IF(AND(L723="632",'632'!$L$5&lt;=B723,'632'!$M$5&gt;=B723),"632",IF(AND(L723="642",'642'!$N$5&lt;=B723,'642'!$O$5&gt;=B723),"642",IF(AND(L723="641",'641'!$N$5&lt;=B723,'641'!$O$5&gt;=B723),"641",""))))</f>
        <v/>
      </c>
      <c r="V723" s="51" t="str">
        <f>IF(OR(TH!L723=TH!$V$7,M723=TH!$V$7),"x","")</f>
        <v/>
      </c>
      <c r="W723" s="51" t="str">
        <f>IF(AND(B723&gt;='IN-NX'!$P$3,B723&lt;='IN-NX'!$Q$3,'IN-NX'!$D$7=D723,OR(LEFT(L723,2)="15",AND(LEFT(M723,2)&lt;&gt;"15",LEFT(M723,2)&lt;&gt;"33"))),"x","")</f>
        <v/>
      </c>
      <c r="X723" s="51" t="str">
        <f>IF(AND(OR(LEFT(TH!L723,2)="15",LEFT(TH!M723,2)="15"),'152-CT'!$J$8=TH!F723),"x","")</f>
        <v/>
      </c>
      <c r="Y723" s="51" t="str">
        <f>IF(AND(OR(LEFT(TH!L723,2)="15",LEFT(TH!M723,2)="15"),TK!$E$7=TH!F723),"x","")</f>
        <v/>
      </c>
      <c r="Z723" s="51" t="str">
        <f>IF(AND(B723&lt;=NKC!$N$8,B723&gt;=NKC!$M$8),"x","")</f>
        <v>x</v>
      </c>
      <c r="AA723" s="803"/>
      <c r="AC723" s="203"/>
      <c r="AD723" s="203"/>
      <c r="AE723" s="203"/>
    </row>
    <row r="724" spans="1:31" s="565" customFormat="1" ht="15.75" customHeight="1">
      <c r="A724" s="804" t="str">
        <f>IF(B724&lt;&gt;"",IF(AND(B724&gt;=_TM1,B724&lt;=_TM2,OR(TH!L724="1111",TH!M724="1111")),TH!D724,""),"")</f>
        <v/>
      </c>
      <c r="B724" s="36">
        <f t="shared" si="42"/>
        <v>9</v>
      </c>
      <c r="C724" s="189">
        <f t="shared" si="43"/>
        <v>42272</v>
      </c>
      <c r="D724" s="189" t="s">
        <v>1446</v>
      </c>
      <c r="E724" s="189">
        <v>42272</v>
      </c>
      <c r="F724" s="190" t="s">
        <v>714</v>
      </c>
      <c r="G724" s="813" t="s">
        <v>710</v>
      </c>
      <c r="H724" s="191" t="s">
        <v>494</v>
      </c>
      <c r="I724" s="243">
        <v>100</v>
      </c>
      <c r="J724" s="243">
        <v>24000</v>
      </c>
      <c r="K724" s="573">
        <f t="shared" si="48"/>
        <v>2400000</v>
      </c>
      <c r="L724" s="574" t="s">
        <v>417</v>
      </c>
      <c r="M724" s="574" t="s">
        <v>8</v>
      </c>
      <c r="N724" s="51" t="str">
        <f>IF(AND('331-CT'!$E$7=TH!H724,OR(L724="331",M724="331")),"331",IF(AND(OR(L724="131",M724="131"),H724='131-CT'!$E$7),"131",""))</f>
        <v/>
      </c>
      <c r="O724" s="51" t="str">
        <f>IF(AND($B724&gt;='111'!$N$11,$B724&lt;='111'!$O$11,OR($L724=$O$7,$M724=$O$7)),"x","")</f>
        <v/>
      </c>
      <c r="P724" s="51" t="str">
        <f>IF(AND($L724=$O$7,$B724&lt;'111'!$N$11),"x","")</f>
        <v/>
      </c>
      <c r="Q724" s="51" t="str">
        <f>IF(AND($M724=$O$7,$B724&lt;'111'!$N$11),"x","")</f>
        <v/>
      </c>
      <c r="R724" s="51" t="str">
        <f>IF(ISERROR(FIND('112'!$M$9,G724,1)),"",IF((AND(FIND('112'!$M$9,G724,1)&gt;=1,$B724&gt;='112'!$N$8,$B724&lt;='112'!$O$8,OR($L724='112'!$I$6,$M724='112'!$I$6))),"x",""))</f>
        <v/>
      </c>
      <c r="S724" s="51" t="str">
        <f>IF(ISERROR(FIND('112'!$M$9,G724,1)),"",IF((AND(LEFT(G724,2)=LEFT('112'!$M$9,2),B724&lt;'112'!$N$8,$L724='112'!$I$6)),"x",""))</f>
        <v/>
      </c>
      <c r="T724" s="51" t="str">
        <f>IF(ISERROR(FIND('112'!$M$9,G724,1)),"",IF((AND(RIGHT(G724,2)=RIGHT('112'!$M$9,2),B724&lt;'112'!$N$8,$M724='112'!$I$6)),"x",""))</f>
        <v/>
      </c>
      <c r="U724" s="51" t="str">
        <f>IF(AND(L724="154",'154'!$O$5&lt;=B724,'154'!$P$5&gt;=B724),"154",IF(AND(L724="632",'632'!$L$5&lt;=B724,'632'!$M$5&gt;=B724),"632",IF(AND(L724="642",'642'!$N$5&lt;=B724,'642'!$O$5&gt;=B724),"642",IF(AND(L724="641",'641'!$N$5&lt;=B724,'641'!$O$5&gt;=B724),"641",""))))</f>
        <v/>
      </c>
      <c r="V724" s="51" t="str">
        <f>IF(OR(TH!L724=TH!$V$7,M724=TH!$V$7),"x","")</f>
        <v/>
      </c>
      <c r="W724" s="51" t="str">
        <f>IF(AND(B724&gt;='IN-NX'!$P$3,B724&lt;='IN-NX'!$Q$3,'IN-NX'!$D$7=D724,OR(LEFT(L724,2)="15",AND(LEFT(M724,2)&lt;&gt;"15",LEFT(M724,2)&lt;&gt;"33"))),"x","")</f>
        <v/>
      </c>
      <c r="X724" s="51" t="str">
        <f>IF(AND(OR(LEFT(TH!L724,2)="15",LEFT(TH!M724,2)="15"),'152-CT'!$J$8=TH!F724),"x","")</f>
        <v/>
      </c>
      <c r="Y724" s="51" t="str">
        <f>IF(AND(OR(LEFT(TH!L724,2)="15",LEFT(TH!M724,2)="15"),TK!$E$7=TH!F724),"x","")</f>
        <v/>
      </c>
      <c r="Z724" s="51" t="str">
        <f>IF(AND(B724&lt;=NKC!$N$8,B724&gt;=NKC!$M$8),"x","")</f>
        <v>x</v>
      </c>
      <c r="AA724" s="803"/>
      <c r="AC724" s="203"/>
      <c r="AD724" s="203"/>
      <c r="AE724" s="203"/>
    </row>
    <row r="725" spans="1:31" s="565" customFormat="1" ht="15.75" customHeight="1">
      <c r="A725" s="804" t="str">
        <f>IF(B725&lt;&gt;"",IF(AND(B725&gt;=_TM1,B725&lt;=_TM2,OR(TH!L725="1111",TH!M725="1111")),TH!D725,""),"")</f>
        <v/>
      </c>
      <c r="B725" s="36">
        <f t="shared" si="42"/>
        <v>9</v>
      </c>
      <c r="C725" s="189">
        <f t="shared" si="43"/>
        <v>42272</v>
      </c>
      <c r="D725" s="189" t="s">
        <v>1446</v>
      </c>
      <c r="E725" s="189">
        <v>42272</v>
      </c>
      <c r="F725" s="190" t="s">
        <v>715</v>
      </c>
      <c r="G725" s="813" t="s">
        <v>710</v>
      </c>
      <c r="H725" s="191" t="s">
        <v>494</v>
      </c>
      <c r="I725" s="243">
        <v>280</v>
      </c>
      <c r="J725" s="243">
        <v>20544</v>
      </c>
      <c r="K725" s="573">
        <f t="shared" si="48"/>
        <v>5752320</v>
      </c>
      <c r="L725" s="574" t="s">
        <v>417</v>
      </c>
      <c r="M725" s="574" t="s">
        <v>8</v>
      </c>
      <c r="N725" s="51" t="str">
        <f>IF(AND('331-CT'!$E$7=TH!H725,OR(L725="331",M725="331")),"331",IF(AND(OR(L725="131",M725="131"),H725='131-CT'!$E$7),"131",""))</f>
        <v/>
      </c>
      <c r="O725" s="51" t="str">
        <f>IF(AND($B725&gt;='111'!$N$11,$B725&lt;='111'!$O$11,OR($L725=$O$7,$M725=$O$7)),"x","")</f>
        <v/>
      </c>
      <c r="P725" s="51" t="str">
        <f>IF(AND($L725=$O$7,$B725&lt;'111'!$N$11),"x","")</f>
        <v/>
      </c>
      <c r="Q725" s="51" t="str">
        <f>IF(AND($M725=$O$7,$B725&lt;'111'!$N$11),"x","")</f>
        <v/>
      </c>
      <c r="R725" s="51" t="str">
        <f>IF(ISERROR(FIND('112'!$M$9,G725,1)),"",IF((AND(FIND('112'!$M$9,G725,1)&gt;=1,$B725&gt;='112'!$N$8,$B725&lt;='112'!$O$8,OR($L725='112'!$I$6,$M725='112'!$I$6))),"x",""))</f>
        <v/>
      </c>
      <c r="S725" s="51" t="str">
        <f>IF(ISERROR(FIND('112'!$M$9,G725,1)),"",IF((AND(LEFT(G725,2)=LEFT('112'!$M$9,2),B725&lt;'112'!$N$8,$L725='112'!$I$6)),"x",""))</f>
        <v/>
      </c>
      <c r="T725" s="51" t="str">
        <f>IF(ISERROR(FIND('112'!$M$9,G725,1)),"",IF((AND(RIGHT(G725,2)=RIGHT('112'!$M$9,2),B725&lt;'112'!$N$8,$M725='112'!$I$6)),"x",""))</f>
        <v/>
      </c>
      <c r="U725" s="51" t="str">
        <f>IF(AND(L725="154",'154'!$O$5&lt;=B725,'154'!$P$5&gt;=B725),"154",IF(AND(L725="632",'632'!$L$5&lt;=B725,'632'!$M$5&gt;=B725),"632",IF(AND(L725="642",'642'!$N$5&lt;=B725,'642'!$O$5&gt;=B725),"642",IF(AND(L725="641",'641'!$N$5&lt;=B725,'641'!$O$5&gt;=B725),"641",""))))</f>
        <v/>
      </c>
      <c r="V725" s="51" t="str">
        <f>IF(OR(TH!L725=TH!$V$7,M725=TH!$V$7),"x","")</f>
        <v/>
      </c>
      <c r="W725" s="51" t="str">
        <f>IF(AND(B725&gt;='IN-NX'!$P$3,B725&lt;='IN-NX'!$Q$3,'IN-NX'!$D$7=D725,OR(LEFT(L725,2)="15",AND(LEFT(M725,2)&lt;&gt;"15",LEFT(M725,2)&lt;&gt;"33"))),"x","")</f>
        <v/>
      </c>
      <c r="X725" s="51" t="str">
        <f>IF(AND(OR(LEFT(TH!L725,2)="15",LEFT(TH!M725,2)="15"),'152-CT'!$J$8=TH!F725),"x","")</f>
        <v/>
      </c>
      <c r="Y725" s="51" t="str">
        <f>IF(AND(OR(LEFT(TH!L725,2)="15",LEFT(TH!M725,2)="15"),TK!$E$7=TH!F725),"x","")</f>
        <v/>
      </c>
      <c r="Z725" s="51" t="str">
        <f>IF(AND(B725&lt;=NKC!$N$8,B725&gt;=NKC!$M$8),"x","")</f>
        <v>x</v>
      </c>
      <c r="AA725" s="803"/>
      <c r="AC725" s="203"/>
      <c r="AD725" s="203"/>
      <c r="AE725" s="203"/>
    </row>
    <row r="726" spans="1:31" s="565" customFormat="1" ht="15.75" customHeight="1">
      <c r="A726" s="804" t="str">
        <f>IF(B726&lt;&gt;"",IF(AND(B726&gt;=_TM1,B726&lt;=_TM2,OR(TH!L726="1111",TH!M726="1111")),TH!D726,""),"")</f>
        <v/>
      </c>
      <c r="B726" s="36">
        <f t="shared" si="42"/>
        <v>9</v>
      </c>
      <c r="C726" s="189">
        <f t="shared" si="43"/>
        <v>42272</v>
      </c>
      <c r="D726" s="189" t="s">
        <v>1446</v>
      </c>
      <c r="E726" s="189">
        <v>42272</v>
      </c>
      <c r="F726" s="190" t="s">
        <v>716</v>
      </c>
      <c r="G726" s="813" t="s">
        <v>710</v>
      </c>
      <c r="H726" s="191" t="s">
        <v>494</v>
      </c>
      <c r="I726" s="243">
        <v>225</v>
      </c>
      <c r="J726" s="243">
        <v>15148</v>
      </c>
      <c r="K726" s="573">
        <f t="shared" si="48"/>
        <v>3408300</v>
      </c>
      <c r="L726" s="574" t="s">
        <v>417</v>
      </c>
      <c r="M726" s="574" t="s">
        <v>8</v>
      </c>
      <c r="N726" s="51" t="str">
        <f>IF(AND('331-CT'!$E$7=TH!H726,OR(L726="331",M726="331")),"331",IF(AND(OR(L726="131",M726="131"),H726='131-CT'!$E$7),"131",""))</f>
        <v/>
      </c>
      <c r="O726" s="51" t="str">
        <f>IF(AND($B726&gt;='111'!$N$11,$B726&lt;='111'!$O$11,OR($L726=$O$7,$M726=$O$7)),"x","")</f>
        <v/>
      </c>
      <c r="P726" s="51" t="str">
        <f>IF(AND($L726=$O$7,$B726&lt;'111'!$N$11),"x","")</f>
        <v/>
      </c>
      <c r="Q726" s="51" t="str">
        <f>IF(AND($M726=$O$7,$B726&lt;'111'!$N$11),"x","")</f>
        <v/>
      </c>
      <c r="R726" s="51" t="str">
        <f>IF(ISERROR(FIND('112'!$M$9,G726,1)),"",IF((AND(FIND('112'!$M$9,G726,1)&gt;=1,$B726&gt;='112'!$N$8,$B726&lt;='112'!$O$8,OR($L726='112'!$I$6,$M726='112'!$I$6))),"x",""))</f>
        <v/>
      </c>
      <c r="S726" s="51" t="str">
        <f>IF(ISERROR(FIND('112'!$M$9,G726,1)),"",IF((AND(LEFT(G726,2)=LEFT('112'!$M$9,2),B726&lt;'112'!$N$8,$L726='112'!$I$6)),"x",""))</f>
        <v/>
      </c>
      <c r="T726" s="51" t="str">
        <f>IF(ISERROR(FIND('112'!$M$9,G726,1)),"",IF((AND(RIGHT(G726,2)=RIGHT('112'!$M$9,2),B726&lt;'112'!$N$8,$M726='112'!$I$6)),"x",""))</f>
        <v/>
      </c>
      <c r="U726" s="51" t="str">
        <f>IF(AND(L726="154",'154'!$O$5&lt;=B726,'154'!$P$5&gt;=B726),"154",IF(AND(L726="632",'632'!$L$5&lt;=B726,'632'!$M$5&gt;=B726),"632",IF(AND(L726="642",'642'!$N$5&lt;=B726,'642'!$O$5&gt;=B726),"642",IF(AND(L726="641",'641'!$N$5&lt;=B726,'641'!$O$5&gt;=B726),"641",""))))</f>
        <v/>
      </c>
      <c r="V726" s="51" t="str">
        <f>IF(OR(TH!L726=TH!$V$7,M726=TH!$V$7),"x","")</f>
        <v/>
      </c>
      <c r="W726" s="51" t="str">
        <f>IF(AND(B726&gt;='IN-NX'!$P$3,B726&lt;='IN-NX'!$Q$3,'IN-NX'!$D$7=D726,OR(LEFT(L726,2)="15",AND(LEFT(M726,2)&lt;&gt;"15",LEFT(M726,2)&lt;&gt;"33"))),"x","")</f>
        <v/>
      </c>
      <c r="X726" s="51" t="str">
        <f>IF(AND(OR(LEFT(TH!L726,2)="15",LEFT(TH!M726,2)="15"),'152-CT'!$J$8=TH!F726),"x","")</f>
        <v/>
      </c>
      <c r="Y726" s="51" t="str">
        <f>IF(AND(OR(LEFT(TH!L726,2)="15",LEFT(TH!M726,2)="15"),TK!$E$7=TH!F726),"x","")</f>
        <v/>
      </c>
      <c r="Z726" s="51" t="str">
        <f>IF(AND(B726&lt;=NKC!$N$8,B726&gt;=NKC!$M$8),"x","")</f>
        <v>x</v>
      </c>
      <c r="AA726" s="803"/>
      <c r="AC726" s="203"/>
      <c r="AD726" s="203"/>
      <c r="AE726" s="203"/>
    </row>
    <row r="727" spans="1:31" s="565" customFormat="1" ht="15.75" customHeight="1">
      <c r="A727" s="804" t="str">
        <f>IF(B727&lt;&gt;"",IF(AND(B727&gt;=_TM1,B727&lt;=_TM2,OR(TH!L727="1111",TH!M727="1111")),TH!D727,""),"")</f>
        <v/>
      </c>
      <c r="B727" s="36">
        <f t="shared" si="42"/>
        <v>9</v>
      </c>
      <c r="C727" s="189">
        <f t="shared" si="43"/>
        <v>42272</v>
      </c>
      <c r="D727" s="189" t="s">
        <v>1446</v>
      </c>
      <c r="E727" s="189">
        <v>42272</v>
      </c>
      <c r="F727" s="190" t="s">
        <v>717</v>
      </c>
      <c r="G727" s="813" t="s">
        <v>710</v>
      </c>
      <c r="H727" s="191" t="s">
        <v>494</v>
      </c>
      <c r="I727" s="243">
        <v>30</v>
      </c>
      <c r="J727" s="243">
        <v>52550</v>
      </c>
      <c r="K727" s="573">
        <f t="shared" si="48"/>
        <v>1576500</v>
      </c>
      <c r="L727" s="574" t="s">
        <v>417</v>
      </c>
      <c r="M727" s="574" t="s">
        <v>8</v>
      </c>
      <c r="N727" s="51" t="str">
        <f>IF(AND('331-CT'!$E$7=TH!H727,OR(L727="331",M727="331")),"331",IF(AND(OR(L727="131",M727="131"),H727='131-CT'!$E$7),"131",""))</f>
        <v/>
      </c>
      <c r="O727" s="51" t="str">
        <f>IF(AND($B727&gt;='111'!$N$11,$B727&lt;='111'!$O$11,OR($L727=$O$7,$M727=$O$7)),"x","")</f>
        <v/>
      </c>
      <c r="P727" s="51" t="str">
        <f>IF(AND($L727=$O$7,$B727&lt;'111'!$N$11),"x","")</f>
        <v/>
      </c>
      <c r="Q727" s="51" t="str">
        <f>IF(AND($M727=$O$7,$B727&lt;'111'!$N$11),"x","")</f>
        <v/>
      </c>
      <c r="R727" s="51" t="str">
        <f>IF(ISERROR(FIND('112'!$M$9,G727,1)),"",IF((AND(FIND('112'!$M$9,G727,1)&gt;=1,$B727&gt;='112'!$N$8,$B727&lt;='112'!$O$8,OR($L727='112'!$I$6,$M727='112'!$I$6))),"x",""))</f>
        <v/>
      </c>
      <c r="S727" s="51" t="str">
        <f>IF(ISERROR(FIND('112'!$M$9,G727,1)),"",IF((AND(LEFT(G727,2)=LEFT('112'!$M$9,2),B727&lt;'112'!$N$8,$L727='112'!$I$6)),"x",""))</f>
        <v/>
      </c>
      <c r="T727" s="51" t="str">
        <f>IF(ISERROR(FIND('112'!$M$9,G727,1)),"",IF((AND(RIGHT(G727,2)=RIGHT('112'!$M$9,2),B727&lt;'112'!$N$8,$M727='112'!$I$6)),"x",""))</f>
        <v/>
      </c>
      <c r="U727" s="51" t="str">
        <f>IF(AND(L727="154",'154'!$O$5&lt;=B727,'154'!$P$5&gt;=B727),"154",IF(AND(L727="632",'632'!$L$5&lt;=B727,'632'!$M$5&gt;=B727),"632",IF(AND(L727="642",'642'!$N$5&lt;=B727,'642'!$O$5&gt;=B727),"642",IF(AND(L727="641",'641'!$N$5&lt;=B727,'641'!$O$5&gt;=B727),"641",""))))</f>
        <v/>
      </c>
      <c r="V727" s="51" t="str">
        <f>IF(OR(TH!L727=TH!$V$7,M727=TH!$V$7),"x","")</f>
        <v/>
      </c>
      <c r="W727" s="51" t="str">
        <f>IF(AND(B727&gt;='IN-NX'!$P$3,B727&lt;='IN-NX'!$Q$3,'IN-NX'!$D$7=D727,OR(LEFT(L727,2)="15",AND(LEFT(M727,2)&lt;&gt;"15",LEFT(M727,2)&lt;&gt;"33"))),"x","")</f>
        <v/>
      </c>
      <c r="X727" s="51" t="str">
        <f>IF(AND(OR(LEFT(TH!L727,2)="15",LEFT(TH!M727,2)="15"),'152-CT'!$J$8=TH!F727),"x","")</f>
        <v/>
      </c>
      <c r="Y727" s="51" t="str">
        <f>IF(AND(OR(LEFT(TH!L727,2)="15",LEFT(TH!M727,2)="15"),TK!$E$7=TH!F727),"x","")</f>
        <v/>
      </c>
      <c r="Z727" s="51" t="str">
        <f>IF(AND(B727&lt;=NKC!$N$8,B727&gt;=NKC!$M$8),"x","")</f>
        <v>x</v>
      </c>
      <c r="AA727" s="803"/>
      <c r="AC727" s="203"/>
      <c r="AD727" s="203"/>
      <c r="AE727" s="203"/>
    </row>
    <row r="728" spans="1:31" s="565" customFormat="1" ht="15.75" customHeight="1">
      <c r="A728" s="804" t="str">
        <f>IF(B728&lt;&gt;"",IF(AND(B728&gt;=_TM1,B728&lt;=_TM2,OR(TH!L728="1111",TH!M728="1111")),TH!D728,""),"")</f>
        <v/>
      </c>
      <c r="B728" s="36">
        <f t="shared" si="42"/>
        <v>9</v>
      </c>
      <c r="C728" s="189">
        <f t="shared" si="43"/>
        <v>42272</v>
      </c>
      <c r="D728" s="189" t="s">
        <v>1446</v>
      </c>
      <c r="E728" s="189">
        <v>42272</v>
      </c>
      <c r="F728" s="190" t="s">
        <v>718</v>
      </c>
      <c r="G728" s="813" t="s">
        <v>710</v>
      </c>
      <c r="H728" s="191" t="s">
        <v>494</v>
      </c>
      <c r="I728" s="243">
        <v>33</v>
      </c>
      <c r="J728" s="243">
        <v>28671</v>
      </c>
      <c r="K728" s="573">
        <f t="shared" si="48"/>
        <v>946143</v>
      </c>
      <c r="L728" s="574" t="s">
        <v>417</v>
      </c>
      <c r="M728" s="574" t="s">
        <v>8</v>
      </c>
      <c r="N728" s="51" t="str">
        <f>IF(AND('331-CT'!$E$7=TH!H728,OR(L728="331",M728="331")),"331",IF(AND(OR(L728="131",M728="131"),H728='131-CT'!$E$7),"131",""))</f>
        <v/>
      </c>
      <c r="O728" s="51" t="str">
        <f>IF(AND($B728&gt;='111'!$N$11,$B728&lt;='111'!$O$11,OR($L728=$O$7,$M728=$O$7)),"x","")</f>
        <v/>
      </c>
      <c r="P728" s="51" t="str">
        <f>IF(AND($L728=$O$7,$B728&lt;'111'!$N$11),"x","")</f>
        <v/>
      </c>
      <c r="Q728" s="51" t="str">
        <f>IF(AND($M728=$O$7,$B728&lt;'111'!$N$11),"x","")</f>
        <v/>
      </c>
      <c r="R728" s="51" t="str">
        <f>IF(ISERROR(FIND('112'!$M$9,G728,1)),"",IF((AND(FIND('112'!$M$9,G728,1)&gt;=1,$B728&gt;='112'!$N$8,$B728&lt;='112'!$O$8,OR($L728='112'!$I$6,$M728='112'!$I$6))),"x",""))</f>
        <v/>
      </c>
      <c r="S728" s="51" t="str">
        <f>IF(ISERROR(FIND('112'!$M$9,G728,1)),"",IF((AND(LEFT(G728,2)=LEFT('112'!$M$9,2),B728&lt;'112'!$N$8,$L728='112'!$I$6)),"x",""))</f>
        <v/>
      </c>
      <c r="T728" s="51" t="str">
        <f>IF(ISERROR(FIND('112'!$M$9,G728,1)),"",IF((AND(RIGHT(G728,2)=RIGHT('112'!$M$9,2),B728&lt;'112'!$N$8,$M728='112'!$I$6)),"x",""))</f>
        <v/>
      </c>
      <c r="U728" s="51" t="str">
        <f>IF(AND(L728="154",'154'!$O$5&lt;=B728,'154'!$P$5&gt;=B728),"154",IF(AND(L728="632",'632'!$L$5&lt;=B728,'632'!$M$5&gt;=B728),"632",IF(AND(L728="642",'642'!$N$5&lt;=B728,'642'!$O$5&gt;=B728),"642",IF(AND(L728="641",'641'!$N$5&lt;=B728,'641'!$O$5&gt;=B728),"641",""))))</f>
        <v/>
      </c>
      <c r="V728" s="51" t="str">
        <f>IF(OR(TH!L728=TH!$V$7,M728=TH!$V$7),"x","")</f>
        <v/>
      </c>
      <c r="W728" s="51" t="str">
        <f>IF(AND(B728&gt;='IN-NX'!$P$3,B728&lt;='IN-NX'!$Q$3,'IN-NX'!$D$7=D728,OR(LEFT(L728,2)="15",AND(LEFT(M728,2)&lt;&gt;"15",LEFT(M728,2)&lt;&gt;"33"))),"x","")</f>
        <v/>
      </c>
      <c r="X728" s="51" t="str">
        <f>IF(AND(OR(LEFT(TH!L728,2)="15",LEFT(TH!M728,2)="15"),'152-CT'!$J$8=TH!F728),"x","")</f>
        <v/>
      </c>
      <c r="Y728" s="51" t="str">
        <f>IF(AND(OR(LEFT(TH!L728,2)="15",LEFT(TH!M728,2)="15"),TK!$E$7=TH!F728),"x","")</f>
        <v/>
      </c>
      <c r="Z728" s="51" t="str">
        <f>IF(AND(B728&lt;=NKC!$N$8,B728&gt;=NKC!$M$8),"x","")</f>
        <v>x</v>
      </c>
      <c r="AA728" s="803"/>
      <c r="AC728" s="203"/>
      <c r="AD728" s="203"/>
      <c r="AE728" s="203"/>
    </row>
    <row r="729" spans="1:31" s="565" customFormat="1" ht="15.75" customHeight="1">
      <c r="A729" s="804" t="str">
        <f>IF(B729&lt;&gt;"",IF(AND(B729&gt;=_TM1,B729&lt;=_TM2,OR(TH!L729="1111",TH!M729="1111")),TH!D729,""),"")</f>
        <v/>
      </c>
      <c r="B729" s="36">
        <f t="shared" si="42"/>
        <v>9</v>
      </c>
      <c r="C729" s="189">
        <f t="shared" si="43"/>
        <v>42272</v>
      </c>
      <c r="D729" s="189" t="s">
        <v>1446</v>
      </c>
      <c r="E729" s="189">
        <v>42272</v>
      </c>
      <c r="F729" s="190" t="s">
        <v>719</v>
      </c>
      <c r="G729" s="813" t="s">
        <v>710</v>
      </c>
      <c r="H729" s="191" t="s">
        <v>494</v>
      </c>
      <c r="I729" s="243">
        <v>33</v>
      </c>
      <c r="J729" s="243">
        <v>37036</v>
      </c>
      <c r="K729" s="573">
        <f t="shared" si="48"/>
        <v>1222188</v>
      </c>
      <c r="L729" s="574" t="s">
        <v>417</v>
      </c>
      <c r="M729" s="574" t="s">
        <v>8</v>
      </c>
      <c r="N729" s="51" t="str">
        <f>IF(AND('331-CT'!$E$7=TH!H729,OR(L729="331",M729="331")),"331",IF(AND(OR(L729="131",M729="131"),H729='131-CT'!$E$7),"131",""))</f>
        <v/>
      </c>
      <c r="O729" s="51" t="str">
        <f>IF(AND($B729&gt;='111'!$N$11,$B729&lt;='111'!$O$11,OR($L729=$O$7,$M729=$O$7)),"x","")</f>
        <v/>
      </c>
      <c r="P729" s="51" t="str">
        <f>IF(AND($L729=$O$7,$B729&lt;'111'!$N$11),"x","")</f>
        <v/>
      </c>
      <c r="Q729" s="51" t="str">
        <f>IF(AND($M729=$O$7,$B729&lt;'111'!$N$11),"x","")</f>
        <v/>
      </c>
      <c r="R729" s="51" t="str">
        <f>IF(ISERROR(FIND('112'!$M$9,G729,1)),"",IF((AND(FIND('112'!$M$9,G729,1)&gt;=1,$B729&gt;='112'!$N$8,$B729&lt;='112'!$O$8,OR($L729='112'!$I$6,$M729='112'!$I$6))),"x",""))</f>
        <v/>
      </c>
      <c r="S729" s="51" t="str">
        <f>IF(ISERROR(FIND('112'!$M$9,G729,1)),"",IF((AND(LEFT(G729,2)=LEFT('112'!$M$9,2),B729&lt;'112'!$N$8,$L729='112'!$I$6)),"x",""))</f>
        <v/>
      </c>
      <c r="T729" s="51" t="str">
        <f>IF(ISERROR(FIND('112'!$M$9,G729,1)),"",IF((AND(RIGHT(G729,2)=RIGHT('112'!$M$9,2),B729&lt;'112'!$N$8,$M729='112'!$I$6)),"x",""))</f>
        <v/>
      </c>
      <c r="U729" s="51" t="str">
        <f>IF(AND(L729="154",'154'!$O$5&lt;=B729,'154'!$P$5&gt;=B729),"154",IF(AND(L729="632",'632'!$L$5&lt;=B729,'632'!$M$5&gt;=B729),"632",IF(AND(L729="642",'642'!$N$5&lt;=B729,'642'!$O$5&gt;=B729),"642",IF(AND(L729="641",'641'!$N$5&lt;=B729,'641'!$O$5&gt;=B729),"641",""))))</f>
        <v/>
      </c>
      <c r="V729" s="51" t="str">
        <f>IF(OR(TH!L729=TH!$V$7,M729=TH!$V$7),"x","")</f>
        <v/>
      </c>
      <c r="W729" s="51" t="str">
        <f>IF(AND(B729&gt;='IN-NX'!$P$3,B729&lt;='IN-NX'!$Q$3,'IN-NX'!$D$7=D729,OR(LEFT(L729,2)="15",AND(LEFT(M729,2)&lt;&gt;"15",LEFT(M729,2)&lt;&gt;"33"))),"x","")</f>
        <v/>
      </c>
      <c r="X729" s="51" t="str">
        <f>IF(AND(OR(LEFT(TH!L729,2)="15",LEFT(TH!M729,2)="15"),'152-CT'!$J$8=TH!F729),"x","")</f>
        <v/>
      </c>
      <c r="Y729" s="51" t="str">
        <f>IF(AND(OR(LEFT(TH!L729,2)="15",LEFT(TH!M729,2)="15"),TK!$E$7=TH!F729),"x","")</f>
        <v/>
      </c>
      <c r="Z729" s="51" t="str">
        <f>IF(AND(B729&lt;=NKC!$N$8,B729&gt;=NKC!$M$8),"x","")</f>
        <v>x</v>
      </c>
      <c r="AA729" s="803"/>
      <c r="AC729" s="203"/>
      <c r="AD729" s="203"/>
      <c r="AE729" s="203"/>
    </row>
    <row r="730" spans="1:31" s="565" customFormat="1" ht="15.75" customHeight="1">
      <c r="A730" s="804" t="str">
        <f>IF(B730&lt;&gt;"",IF(AND(B730&gt;=_TM1,B730&lt;=_TM2,OR(TH!L730="1111",TH!M730="1111")),TH!D730,""),"")</f>
        <v/>
      </c>
      <c r="B730" s="36">
        <f t="shared" si="42"/>
        <v>9</v>
      </c>
      <c r="C730" s="189">
        <f t="shared" si="43"/>
        <v>42272</v>
      </c>
      <c r="D730" s="189" t="s">
        <v>1447</v>
      </c>
      <c r="E730" s="189">
        <v>42272</v>
      </c>
      <c r="F730" s="190" t="s">
        <v>720</v>
      </c>
      <c r="G730" s="813" t="s">
        <v>710</v>
      </c>
      <c r="H730" s="191" t="s">
        <v>494</v>
      </c>
      <c r="I730" s="243">
        <v>33</v>
      </c>
      <c r="J730" s="243">
        <v>39953</v>
      </c>
      <c r="K730" s="573">
        <f t="shared" si="48"/>
        <v>1318449</v>
      </c>
      <c r="L730" s="574" t="s">
        <v>417</v>
      </c>
      <c r="M730" s="574" t="s">
        <v>8</v>
      </c>
      <c r="N730" s="51" t="str">
        <f>IF(AND('331-CT'!$E$7=TH!H730,OR(L730="331",M730="331")),"331",IF(AND(OR(L730="131",M730="131"),H730='131-CT'!$E$7),"131",""))</f>
        <v/>
      </c>
      <c r="O730" s="51" t="str">
        <f>IF(AND($B730&gt;='111'!$N$11,$B730&lt;='111'!$O$11,OR($L730=$O$7,$M730=$O$7)),"x","")</f>
        <v/>
      </c>
      <c r="P730" s="51" t="str">
        <f>IF(AND($L730=$O$7,$B730&lt;'111'!$N$11),"x","")</f>
        <v/>
      </c>
      <c r="Q730" s="51" t="str">
        <f>IF(AND($M730=$O$7,$B730&lt;'111'!$N$11),"x","")</f>
        <v/>
      </c>
      <c r="R730" s="51" t="str">
        <f>IF(ISERROR(FIND('112'!$M$9,G730,1)),"",IF((AND(FIND('112'!$M$9,G730,1)&gt;=1,$B730&gt;='112'!$N$8,$B730&lt;='112'!$O$8,OR($L730='112'!$I$6,$M730='112'!$I$6))),"x",""))</f>
        <v/>
      </c>
      <c r="S730" s="51" t="str">
        <f>IF(ISERROR(FIND('112'!$M$9,G730,1)),"",IF((AND(LEFT(G730,2)=LEFT('112'!$M$9,2),B730&lt;'112'!$N$8,$L730='112'!$I$6)),"x",""))</f>
        <v/>
      </c>
      <c r="T730" s="51" t="str">
        <f>IF(ISERROR(FIND('112'!$M$9,G730,1)),"",IF((AND(RIGHT(G730,2)=RIGHT('112'!$M$9,2),B730&lt;'112'!$N$8,$M730='112'!$I$6)),"x",""))</f>
        <v/>
      </c>
      <c r="U730" s="51" t="str">
        <f>IF(AND(L730="154",'154'!$O$5&lt;=B730,'154'!$P$5&gt;=B730),"154",IF(AND(L730="632",'632'!$L$5&lt;=B730,'632'!$M$5&gt;=B730),"632",IF(AND(L730="642",'642'!$N$5&lt;=B730,'642'!$O$5&gt;=B730),"642",IF(AND(L730="641",'641'!$N$5&lt;=B730,'641'!$O$5&gt;=B730),"641",""))))</f>
        <v/>
      </c>
      <c r="V730" s="51" t="str">
        <f>IF(OR(TH!L730=TH!$V$7,M730=TH!$V$7),"x","")</f>
        <v/>
      </c>
      <c r="W730" s="51" t="str">
        <f>IF(AND(B730&gt;='IN-NX'!$P$3,B730&lt;='IN-NX'!$Q$3,'IN-NX'!$D$7=D730,OR(LEFT(L730,2)="15",AND(LEFT(M730,2)&lt;&gt;"15",LEFT(M730,2)&lt;&gt;"33"))),"x","")</f>
        <v/>
      </c>
      <c r="X730" s="51" t="str">
        <f>IF(AND(OR(LEFT(TH!L730,2)="15",LEFT(TH!M730,2)="15"),'152-CT'!$J$8=TH!F730),"x","")</f>
        <v/>
      </c>
      <c r="Y730" s="51" t="str">
        <f>IF(AND(OR(LEFT(TH!L730,2)="15",LEFT(TH!M730,2)="15"),TK!$E$7=TH!F730),"x","")</f>
        <v/>
      </c>
      <c r="Z730" s="51" t="str">
        <f>IF(AND(B730&lt;=NKC!$N$8,B730&gt;=NKC!$M$8),"x","")</f>
        <v>x</v>
      </c>
      <c r="AA730" s="803"/>
      <c r="AC730" s="203"/>
      <c r="AD730" s="203"/>
      <c r="AE730" s="203"/>
    </row>
    <row r="731" spans="1:31" s="565" customFormat="1" ht="15.75" customHeight="1">
      <c r="A731" s="804" t="str">
        <f>IF(B731&lt;&gt;"",IF(AND(B731&gt;=_TM1,B731&lt;=_TM2,OR(TH!L731="1111",TH!M731="1111")),TH!D731,""),"")</f>
        <v/>
      </c>
      <c r="B731" s="36">
        <f t="shared" si="42"/>
        <v>9</v>
      </c>
      <c r="C731" s="189">
        <f t="shared" si="43"/>
        <v>42272</v>
      </c>
      <c r="D731" s="189" t="s">
        <v>1447</v>
      </c>
      <c r="E731" s="189">
        <v>42272</v>
      </c>
      <c r="F731" s="190" t="s">
        <v>721</v>
      </c>
      <c r="G731" s="813" t="s">
        <v>710</v>
      </c>
      <c r="H731" s="191" t="s">
        <v>494</v>
      </c>
      <c r="I731" s="243">
        <v>33</v>
      </c>
      <c r="J731" s="243">
        <v>49959</v>
      </c>
      <c r="K731" s="573">
        <f t="shared" si="48"/>
        <v>1648647</v>
      </c>
      <c r="L731" s="574" t="s">
        <v>417</v>
      </c>
      <c r="M731" s="574" t="s">
        <v>8</v>
      </c>
      <c r="N731" s="51" t="str">
        <f>IF(AND('331-CT'!$E$7=TH!H731,OR(L731="331",M731="331")),"331",IF(AND(OR(L731="131",M731="131"),H731='131-CT'!$E$7),"131",""))</f>
        <v/>
      </c>
      <c r="O731" s="51" t="str">
        <f>IF(AND($B731&gt;='111'!$N$11,$B731&lt;='111'!$O$11,OR($L731=$O$7,$M731=$O$7)),"x","")</f>
        <v/>
      </c>
      <c r="P731" s="51" t="str">
        <f>IF(AND($L731=$O$7,$B731&lt;'111'!$N$11),"x","")</f>
        <v/>
      </c>
      <c r="Q731" s="51" t="str">
        <f>IF(AND($M731=$O$7,$B731&lt;'111'!$N$11),"x","")</f>
        <v/>
      </c>
      <c r="R731" s="51" t="str">
        <f>IF(ISERROR(FIND('112'!$M$9,G731,1)),"",IF((AND(FIND('112'!$M$9,G731,1)&gt;=1,$B731&gt;='112'!$N$8,$B731&lt;='112'!$O$8,OR($L731='112'!$I$6,$M731='112'!$I$6))),"x",""))</f>
        <v/>
      </c>
      <c r="S731" s="51" t="str">
        <f>IF(ISERROR(FIND('112'!$M$9,G731,1)),"",IF((AND(LEFT(G731,2)=LEFT('112'!$M$9,2),B731&lt;'112'!$N$8,$L731='112'!$I$6)),"x",""))</f>
        <v/>
      </c>
      <c r="T731" s="51" t="str">
        <f>IF(ISERROR(FIND('112'!$M$9,G731,1)),"",IF((AND(RIGHT(G731,2)=RIGHT('112'!$M$9,2),B731&lt;'112'!$N$8,$M731='112'!$I$6)),"x",""))</f>
        <v/>
      </c>
      <c r="U731" s="51" t="str">
        <f>IF(AND(L731="154",'154'!$O$5&lt;=B731,'154'!$P$5&gt;=B731),"154",IF(AND(L731="632",'632'!$L$5&lt;=B731,'632'!$M$5&gt;=B731),"632",IF(AND(L731="642",'642'!$N$5&lt;=B731,'642'!$O$5&gt;=B731),"642",IF(AND(L731="641",'641'!$N$5&lt;=B731,'641'!$O$5&gt;=B731),"641",""))))</f>
        <v/>
      </c>
      <c r="V731" s="51" t="str">
        <f>IF(OR(TH!L731=TH!$V$7,M731=TH!$V$7),"x","")</f>
        <v/>
      </c>
      <c r="W731" s="51" t="str">
        <f>IF(AND(B731&gt;='IN-NX'!$P$3,B731&lt;='IN-NX'!$Q$3,'IN-NX'!$D$7=D731,OR(LEFT(L731,2)="15",AND(LEFT(M731,2)&lt;&gt;"15",LEFT(M731,2)&lt;&gt;"33"))),"x","")</f>
        <v/>
      </c>
      <c r="X731" s="51" t="str">
        <f>IF(AND(OR(LEFT(TH!L731,2)="15",LEFT(TH!M731,2)="15"),'152-CT'!$J$8=TH!F731),"x","")</f>
        <v/>
      </c>
      <c r="Y731" s="51" t="str">
        <f>IF(AND(OR(LEFT(TH!L731,2)="15",LEFT(TH!M731,2)="15"),TK!$E$7=TH!F731),"x","")</f>
        <v/>
      </c>
      <c r="Z731" s="51" t="str">
        <f>IF(AND(B731&lt;=NKC!$N$8,B731&gt;=NKC!$M$8),"x","")</f>
        <v>x</v>
      </c>
      <c r="AA731" s="803"/>
      <c r="AC731" s="203"/>
      <c r="AD731" s="203"/>
      <c r="AE731" s="203"/>
    </row>
    <row r="732" spans="1:31" s="565" customFormat="1" ht="15.75" customHeight="1">
      <c r="A732" s="804" t="str">
        <f>IF(B732&lt;&gt;"",IF(AND(B732&gt;=_TM1,B732&lt;=_TM2,OR(TH!L732="1111",TH!M732="1111")),TH!D732,""),"")</f>
        <v/>
      </c>
      <c r="B732" s="36">
        <f t="shared" ref="B732:B795" si="49">IF(C732&lt;&gt;"",MONTH(C732),"")</f>
        <v>9</v>
      </c>
      <c r="C732" s="189">
        <f t="shared" ref="C732:C795" si="50">E732</f>
        <v>42272</v>
      </c>
      <c r="D732" s="189" t="s">
        <v>1447</v>
      </c>
      <c r="E732" s="189">
        <v>42272</v>
      </c>
      <c r="F732" s="190" t="s">
        <v>623</v>
      </c>
      <c r="G732" s="813" t="s">
        <v>710</v>
      </c>
      <c r="H732" s="191" t="s">
        <v>494</v>
      </c>
      <c r="I732" s="243">
        <v>650</v>
      </c>
      <c r="J732" s="243">
        <v>31000</v>
      </c>
      <c r="K732" s="573">
        <f t="shared" si="48"/>
        <v>20150000</v>
      </c>
      <c r="L732" s="574" t="s">
        <v>417</v>
      </c>
      <c r="M732" s="574" t="s">
        <v>8</v>
      </c>
      <c r="N732" s="51" t="str">
        <f>IF(AND('331-CT'!$E$7=TH!H732,OR(L732="331",M732="331")),"331",IF(AND(OR(L732="131",M732="131"),H732='131-CT'!$E$7),"131",""))</f>
        <v/>
      </c>
      <c r="O732" s="51" t="str">
        <f>IF(AND($B732&gt;='111'!$N$11,$B732&lt;='111'!$O$11,OR($L732=$O$7,$M732=$O$7)),"x","")</f>
        <v/>
      </c>
      <c r="P732" s="51" t="str">
        <f>IF(AND($L732=$O$7,$B732&lt;'111'!$N$11),"x","")</f>
        <v/>
      </c>
      <c r="Q732" s="51" t="str">
        <f>IF(AND($M732=$O$7,$B732&lt;'111'!$N$11),"x","")</f>
        <v/>
      </c>
      <c r="R732" s="51" t="str">
        <f>IF(ISERROR(FIND('112'!$M$9,G732,1)),"",IF((AND(FIND('112'!$M$9,G732,1)&gt;=1,$B732&gt;='112'!$N$8,$B732&lt;='112'!$O$8,OR($L732='112'!$I$6,$M732='112'!$I$6))),"x",""))</f>
        <v/>
      </c>
      <c r="S732" s="51" t="str">
        <f>IF(ISERROR(FIND('112'!$M$9,G732,1)),"",IF((AND(LEFT(G732,2)=LEFT('112'!$M$9,2),B732&lt;'112'!$N$8,$L732='112'!$I$6)),"x",""))</f>
        <v/>
      </c>
      <c r="T732" s="51" t="str">
        <f>IF(ISERROR(FIND('112'!$M$9,G732,1)),"",IF((AND(RIGHT(G732,2)=RIGHT('112'!$M$9,2),B732&lt;'112'!$N$8,$M732='112'!$I$6)),"x",""))</f>
        <v/>
      </c>
      <c r="U732" s="51" t="str">
        <f>IF(AND(L732="154",'154'!$O$5&lt;=B732,'154'!$P$5&gt;=B732),"154",IF(AND(L732="632",'632'!$L$5&lt;=B732,'632'!$M$5&gt;=B732),"632",IF(AND(L732="642",'642'!$N$5&lt;=B732,'642'!$O$5&gt;=B732),"642",IF(AND(L732="641",'641'!$N$5&lt;=B732,'641'!$O$5&gt;=B732),"641",""))))</f>
        <v/>
      </c>
      <c r="V732" s="51" t="str">
        <f>IF(OR(TH!L732=TH!$V$7,M732=TH!$V$7),"x","")</f>
        <v/>
      </c>
      <c r="W732" s="51" t="str">
        <f>IF(AND(B732&gt;='IN-NX'!$P$3,B732&lt;='IN-NX'!$Q$3,'IN-NX'!$D$7=D732,OR(LEFT(L732,2)="15",AND(LEFT(M732,2)&lt;&gt;"15",LEFT(M732,2)&lt;&gt;"33"))),"x","")</f>
        <v/>
      </c>
      <c r="X732" s="51" t="str">
        <f>IF(AND(OR(LEFT(TH!L732,2)="15",LEFT(TH!M732,2)="15"),'152-CT'!$J$8=TH!F732),"x","")</f>
        <v/>
      </c>
      <c r="Y732" s="51" t="str">
        <f>IF(AND(OR(LEFT(TH!L732,2)="15",LEFT(TH!M732,2)="15"),TK!$E$7=TH!F732),"x","")</f>
        <v/>
      </c>
      <c r="Z732" s="51" t="str">
        <f>IF(AND(B732&lt;=NKC!$N$8,B732&gt;=NKC!$M$8),"x","")</f>
        <v>x</v>
      </c>
      <c r="AA732" s="803"/>
      <c r="AC732" s="203"/>
      <c r="AD732" s="203"/>
      <c r="AE732" s="203"/>
    </row>
    <row r="733" spans="1:31" s="565" customFormat="1" ht="15.75" customHeight="1">
      <c r="A733" s="804" t="str">
        <f>IF(B733&lt;&gt;"",IF(AND(B733&gt;=_TM1,B733&lt;=_TM2,OR(TH!L733="1111",TH!M733="1111")),TH!D733,""),"")</f>
        <v/>
      </c>
      <c r="B733" s="36">
        <f t="shared" si="49"/>
        <v>9</v>
      </c>
      <c r="C733" s="189">
        <f t="shared" si="50"/>
        <v>42272</v>
      </c>
      <c r="D733" s="189" t="s">
        <v>1447</v>
      </c>
      <c r="E733" s="189">
        <v>42272</v>
      </c>
      <c r="F733" s="190" t="s">
        <v>624</v>
      </c>
      <c r="G733" s="813" t="s">
        <v>710</v>
      </c>
      <c r="H733" s="191" t="s">
        <v>494</v>
      </c>
      <c r="I733" s="243">
        <v>650</v>
      </c>
      <c r="J733" s="243">
        <v>30700</v>
      </c>
      <c r="K733" s="573">
        <f t="shared" si="48"/>
        <v>19955000</v>
      </c>
      <c r="L733" s="574" t="s">
        <v>417</v>
      </c>
      <c r="M733" s="574" t="s">
        <v>8</v>
      </c>
      <c r="N733" s="51" t="str">
        <f>IF(AND('331-CT'!$E$7=TH!H733,OR(L733="331",M733="331")),"331",IF(AND(OR(L733="131",M733="131"),H733='131-CT'!$E$7),"131",""))</f>
        <v/>
      </c>
      <c r="O733" s="51" t="str">
        <f>IF(AND($B733&gt;='111'!$N$11,$B733&lt;='111'!$O$11,OR($L733=$O$7,$M733=$O$7)),"x","")</f>
        <v/>
      </c>
      <c r="P733" s="51" t="str">
        <f>IF(AND($L733=$O$7,$B733&lt;'111'!$N$11),"x","")</f>
        <v/>
      </c>
      <c r="Q733" s="51" t="str">
        <f>IF(AND($M733=$O$7,$B733&lt;'111'!$N$11),"x","")</f>
        <v/>
      </c>
      <c r="R733" s="51" t="str">
        <f>IF(ISERROR(FIND('112'!$M$9,G733,1)),"",IF((AND(FIND('112'!$M$9,G733,1)&gt;=1,$B733&gt;='112'!$N$8,$B733&lt;='112'!$O$8,OR($L733='112'!$I$6,$M733='112'!$I$6))),"x",""))</f>
        <v/>
      </c>
      <c r="S733" s="51" t="str">
        <f>IF(ISERROR(FIND('112'!$M$9,G733,1)),"",IF((AND(LEFT(G733,2)=LEFT('112'!$M$9,2),B733&lt;'112'!$N$8,$L733='112'!$I$6)),"x",""))</f>
        <v/>
      </c>
      <c r="T733" s="51" t="str">
        <f>IF(ISERROR(FIND('112'!$M$9,G733,1)),"",IF((AND(RIGHT(G733,2)=RIGHT('112'!$M$9,2),B733&lt;'112'!$N$8,$M733='112'!$I$6)),"x",""))</f>
        <v/>
      </c>
      <c r="U733" s="51" t="str">
        <f>IF(AND(L733="154",'154'!$O$5&lt;=B733,'154'!$P$5&gt;=B733),"154",IF(AND(L733="632",'632'!$L$5&lt;=B733,'632'!$M$5&gt;=B733),"632",IF(AND(L733="642",'642'!$N$5&lt;=B733,'642'!$O$5&gt;=B733),"642",IF(AND(L733="641",'641'!$N$5&lt;=B733,'641'!$O$5&gt;=B733),"641",""))))</f>
        <v/>
      </c>
      <c r="V733" s="51" t="str">
        <f>IF(OR(TH!L733=TH!$V$7,M733=TH!$V$7),"x","")</f>
        <v/>
      </c>
      <c r="W733" s="51" t="str">
        <f>IF(AND(B733&gt;='IN-NX'!$P$3,B733&lt;='IN-NX'!$Q$3,'IN-NX'!$D$7=D733,OR(LEFT(L733,2)="15",AND(LEFT(M733,2)&lt;&gt;"15",LEFT(M733,2)&lt;&gt;"33"))),"x","")</f>
        <v/>
      </c>
      <c r="X733" s="51" t="str">
        <f>IF(AND(OR(LEFT(TH!L733,2)="15",LEFT(TH!M733,2)="15"),'152-CT'!$J$8=TH!F733),"x","")</f>
        <v/>
      </c>
      <c r="Y733" s="51" t="str">
        <f>IF(AND(OR(LEFT(TH!L733,2)="15",LEFT(TH!M733,2)="15"),TK!$E$7=TH!F733),"x","")</f>
        <v/>
      </c>
      <c r="Z733" s="51" t="str">
        <f>IF(AND(B733&lt;=NKC!$N$8,B733&gt;=NKC!$M$8),"x","")</f>
        <v>x</v>
      </c>
      <c r="AA733" s="803"/>
      <c r="AC733" s="203"/>
      <c r="AD733" s="203"/>
      <c r="AE733" s="203"/>
    </row>
    <row r="734" spans="1:31" s="565" customFormat="1" ht="15.75" customHeight="1">
      <c r="A734" s="804" t="str">
        <f>IF(B734&lt;&gt;"",IF(AND(B734&gt;=_TM1,B734&lt;=_TM2,OR(TH!L734="1111",TH!M734="1111")),TH!D734,""),"")</f>
        <v/>
      </c>
      <c r="B734" s="36">
        <f t="shared" si="49"/>
        <v>9</v>
      </c>
      <c r="C734" s="189">
        <f t="shared" si="50"/>
        <v>42272</v>
      </c>
      <c r="D734" s="189" t="s">
        <v>1447</v>
      </c>
      <c r="E734" s="189">
        <v>42272</v>
      </c>
      <c r="F734" s="190" t="s">
        <v>620</v>
      </c>
      <c r="G734" s="813" t="s">
        <v>710</v>
      </c>
      <c r="H734" s="191" t="s">
        <v>494</v>
      </c>
      <c r="I734" s="243">
        <v>2100</v>
      </c>
      <c r="J734" s="243">
        <v>14000</v>
      </c>
      <c r="K734" s="573">
        <f t="shared" si="48"/>
        <v>29400000</v>
      </c>
      <c r="L734" s="574" t="s">
        <v>417</v>
      </c>
      <c r="M734" s="574" t="s">
        <v>8</v>
      </c>
      <c r="N734" s="51" t="str">
        <f>IF(AND('331-CT'!$E$7=TH!H734,OR(L734="331",M734="331")),"331",IF(AND(OR(L734="131",M734="131"),H734='131-CT'!$E$7),"131",""))</f>
        <v/>
      </c>
      <c r="O734" s="51" t="str">
        <f>IF(AND($B734&gt;='111'!$N$11,$B734&lt;='111'!$O$11,OR($L734=$O$7,$M734=$O$7)),"x","")</f>
        <v/>
      </c>
      <c r="P734" s="51" t="str">
        <f>IF(AND($L734=$O$7,$B734&lt;'111'!$N$11),"x","")</f>
        <v/>
      </c>
      <c r="Q734" s="51" t="str">
        <f>IF(AND($M734=$O$7,$B734&lt;'111'!$N$11),"x","")</f>
        <v/>
      </c>
      <c r="R734" s="51" t="str">
        <f>IF(ISERROR(FIND('112'!$M$9,G734,1)),"",IF((AND(FIND('112'!$M$9,G734,1)&gt;=1,$B734&gt;='112'!$N$8,$B734&lt;='112'!$O$8,OR($L734='112'!$I$6,$M734='112'!$I$6))),"x",""))</f>
        <v/>
      </c>
      <c r="S734" s="51" t="str">
        <f>IF(ISERROR(FIND('112'!$M$9,G734,1)),"",IF((AND(LEFT(G734,2)=LEFT('112'!$M$9,2),B734&lt;'112'!$N$8,$L734='112'!$I$6)),"x",""))</f>
        <v/>
      </c>
      <c r="T734" s="51" t="str">
        <f>IF(ISERROR(FIND('112'!$M$9,G734,1)),"",IF((AND(RIGHT(G734,2)=RIGHT('112'!$M$9,2),B734&lt;'112'!$N$8,$M734='112'!$I$6)),"x",""))</f>
        <v/>
      </c>
      <c r="U734" s="51" t="str">
        <f>IF(AND(L734="154",'154'!$O$5&lt;=B734,'154'!$P$5&gt;=B734),"154",IF(AND(L734="632",'632'!$L$5&lt;=B734,'632'!$M$5&gt;=B734),"632",IF(AND(L734="642",'642'!$N$5&lt;=B734,'642'!$O$5&gt;=B734),"642",IF(AND(L734="641",'641'!$N$5&lt;=B734,'641'!$O$5&gt;=B734),"641",""))))</f>
        <v/>
      </c>
      <c r="V734" s="51" t="str">
        <f>IF(OR(TH!L734=TH!$V$7,M734=TH!$V$7),"x","")</f>
        <v/>
      </c>
      <c r="W734" s="51" t="str">
        <f>IF(AND(B734&gt;='IN-NX'!$P$3,B734&lt;='IN-NX'!$Q$3,'IN-NX'!$D$7=D734,OR(LEFT(L734,2)="15",AND(LEFT(M734,2)&lt;&gt;"15",LEFT(M734,2)&lt;&gt;"33"))),"x","")</f>
        <v/>
      </c>
      <c r="X734" s="51" t="str">
        <f>IF(AND(OR(LEFT(TH!L734,2)="15",LEFT(TH!M734,2)="15"),'152-CT'!$J$8=TH!F734),"x","")</f>
        <v/>
      </c>
      <c r="Y734" s="51" t="str">
        <f>IF(AND(OR(LEFT(TH!L734,2)="15",LEFT(TH!M734,2)="15"),TK!$E$7=TH!F734),"x","")</f>
        <v/>
      </c>
      <c r="Z734" s="51" t="str">
        <f>IF(AND(B734&lt;=NKC!$N$8,B734&gt;=NKC!$M$8),"x","")</f>
        <v>x</v>
      </c>
      <c r="AA734" s="803"/>
      <c r="AC734" s="203"/>
      <c r="AD734" s="203"/>
      <c r="AE734" s="203"/>
    </row>
    <row r="735" spans="1:31" s="565" customFormat="1" ht="15.75" customHeight="1">
      <c r="A735" s="804" t="str">
        <f>IF(B735&lt;&gt;"",IF(AND(B735&gt;=_TM1,B735&lt;=_TM2,OR(TH!L735="1111",TH!M735="1111")),TH!D735,""),"")</f>
        <v/>
      </c>
      <c r="B735" s="36">
        <f t="shared" si="49"/>
        <v>9</v>
      </c>
      <c r="C735" s="189">
        <f t="shared" si="50"/>
        <v>42272</v>
      </c>
      <c r="D735" s="189" t="s">
        <v>1447</v>
      </c>
      <c r="E735" s="189">
        <v>42272</v>
      </c>
      <c r="F735" s="190" t="s">
        <v>621</v>
      </c>
      <c r="G735" s="813" t="s">
        <v>710</v>
      </c>
      <c r="H735" s="191" t="s">
        <v>494</v>
      </c>
      <c r="I735" s="243">
        <v>228</v>
      </c>
      <c r="J735" s="243">
        <v>15511.404</v>
      </c>
      <c r="K735" s="573">
        <f t="shared" si="48"/>
        <v>3536600</v>
      </c>
      <c r="L735" s="574" t="s">
        <v>417</v>
      </c>
      <c r="M735" s="574" t="s">
        <v>8</v>
      </c>
      <c r="N735" s="51" t="str">
        <f>IF(AND('331-CT'!$E$7=TH!H735,OR(L735="331",M735="331")),"331",IF(AND(OR(L735="131",M735="131"),H735='131-CT'!$E$7),"131",""))</f>
        <v/>
      </c>
      <c r="O735" s="51" t="str">
        <f>IF(AND($B735&gt;='111'!$N$11,$B735&lt;='111'!$O$11,OR($L735=$O$7,$M735=$O$7)),"x","")</f>
        <v/>
      </c>
      <c r="P735" s="51" t="str">
        <f>IF(AND($L735=$O$7,$B735&lt;'111'!$N$11),"x","")</f>
        <v/>
      </c>
      <c r="Q735" s="51" t="str">
        <f>IF(AND($M735=$O$7,$B735&lt;'111'!$N$11),"x","")</f>
        <v/>
      </c>
      <c r="R735" s="51" t="str">
        <f>IF(ISERROR(FIND('112'!$M$9,G735,1)),"",IF((AND(FIND('112'!$M$9,G735,1)&gt;=1,$B735&gt;='112'!$N$8,$B735&lt;='112'!$O$8,OR($L735='112'!$I$6,$M735='112'!$I$6))),"x",""))</f>
        <v/>
      </c>
      <c r="S735" s="51" t="str">
        <f>IF(ISERROR(FIND('112'!$M$9,G735,1)),"",IF((AND(LEFT(G735,2)=LEFT('112'!$M$9,2),B735&lt;'112'!$N$8,$L735='112'!$I$6)),"x",""))</f>
        <v/>
      </c>
      <c r="T735" s="51" t="str">
        <f>IF(ISERROR(FIND('112'!$M$9,G735,1)),"",IF((AND(RIGHT(G735,2)=RIGHT('112'!$M$9,2),B735&lt;'112'!$N$8,$M735='112'!$I$6)),"x",""))</f>
        <v/>
      </c>
      <c r="U735" s="51" t="str">
        <f>IF(AND(L735="154",'154'!$O$5&lt;=B735,'154'!$P$5&gt;=B735),"154",IF(AND(L735="632",'632'!$L$5&lt;=B735,'632'!$M$5&gt;=B735),"632",IF(AND(L735="642",'642'!$N$5&lt;=B735,'642'!$O$5&gt;=B735),"642",IF(AND(L735="641",'641'!$N$5&lt;=B735,'641'!$O$5&gt;=B735),"641",""))))</f>
        <v/>
      </c>
      <c r="V735" s="51" t="str">
        <f>IF(OR(TH!L735=TH!$V$7,M735=TH!$V$7),"x","")</f>
        <v/>
      </c>
      <c r="W735" s="51" t="str">
        <f>IF(AND(B735&gt;='IN-NX'!$P$3,B735&lt;='IN-NX'!$Q$3,'IN-NX'!$D$7=D735,OR(LEFT(L735,2)="15",AND(LEFT(M735,2)&lt;&gt;"15",LEFT(M735,2)&lt;&gt;"33"))),"x","")</f>
        <v/>
      </c>
      <c r="X735" s="51" t="str">
        <f>IF(AND(OR(LEFT(TH!L735,2)="15",LEFT(TH!M735,2)="15"),'152-CT'!$J$8=TH!F735),"x","")</f>
        <v/>
      </c>
      <c r="Y735" s="51" t="str">
        <f>IF(AND(OR(LEFT(TH!L735,2)="15",LEFT(TH!M735,2)="15"),TK!$E$7=TH!F735),"x","")</f>
        <v/>
      </c>
      <c r="Z735" s="51" t="str">
        <f>IF(AND(B735&lt;=NKC!$N$8,B735&gt;=NKC!$M$8),"x","")</f>
        <v>x</v>
      </c>
      <c r="AA735" s="803"/>
      <c r="AC735" s="203"/>
      <c r="AD735" s="203"/>
      <c r="AE735" s="203"/>
    </row>
    <row r="736" spans="1:31" s="565" customFormat="1" ht="15.75" customHeight="1">
      <c r="A736" s="804" t="str">
        <f>IF(B736&lt;&gt;"",IF(AND(B736&gt;=_TM1,B736&lt;=_TM2,OR(TH!L736="1111",TH!M736="1111")),TH!D736,""),"")</f>
        <v/>
      </c>
      <c r="B736" s="36">
        <f t="shared" si="49"/>
        <v>9</v>
      </c>
      <c r="C736" s="189">
        <f t="shared" si="50"/>
        <v>42272</v>
      </c>
      <c r="D736" s="189" t="s">
        <v>1447</v>
      </c>
      <c r="E736" s="189">
        <v>42272</v>
      </c>
      <c r="F736" s="190" t="s">
        <v>496</v>
      </c>
      <c r="G736" s="813" t="s">
        <v>710</v>
      </c>
      <c r="H736" s="191" t="s">
        <v>494</v>
      </c>
      <c r="I736" s="243"/>
      <c r="J736" s="243"/>
      <c r="K736" s="573">
        <v>12138980</v>
      </c>
      <c r="L736" s="574" t="s">
        <v>9</v>
      </c>
      <c r="M736" s="574" t="s">
        <v>8</v>
      </c>
      <c r="N736" s="51" t="str">
        <f>IF(AND('331-CT'!$E$7=TH!H736,OR(L736="331",M736="331")),"331",IF(AND(OR(L736="131",M736="131"),H736='131-CT'!$E$7),"131",""))</f>
        <v/>
      </c>
      <c r="O736" s="51" t="str">
        <f>IF(AND($B736&gt;='111'!$N$11,$B736&lt;='111'!$O$11,OR($L736=$O$7,$M736=$O$7)),"x","")</f>
        <v/>
      </c>
      <c r="P736" s="51" t="str">
        <f>IF(AND($L736=$O$7,$B736&lt;'111'!$N$11),"x","")</f>
        <v/>
      </c>
      <c r="Q736" s="51" t="str">
        <f>IF(AND($M736=$O$7,$B736&lt;'111'!$N$11),"x","")</f>
        <v/>
      </c>
      <c r="R736" s="51" t="str">
        <f>IF(ISERROR(FIND('112'!$M$9,G736,1)),"",IF((AND(FIND('112'!$M$9,G736,1)&gt;=1,$B736&gt;='112'!$N$8,$B736&lt;='112'!$O$8,OR($L736='112'!$I$6,$M736='112'!$I$6))),"x",""))</f>
        <v/>
      </c>
      <c r="S736" s="51" t="str">
        <f>IF(ISERROR(FIND('112'!$M$9,G736,1)),"",IF((AND(LEFT(G736,2)=LEFT('112'!$M$9,2),B736&lt;'112'!$N$8,$L736='112'!$I$6)),"x",""))</f>
        <v/>
      </c>
      <c r="T736" s="51" t="str">
        <f>IF(ISERROR(FIND('112'!$M$9,G736,1)),"",IF((AND(RIGHT(G736,2)=RIGHT('112'!$M$9,2),B736&lt;'112'!$N$8,$M736='112'!$I$6)),"x",""))</f>
        <v/>
      </c>
      <c r="U736" s="51" t="str">
        <f>IF(AND(L736="154",'154'!$O$5&lt;=B736,'154'!$P$5&gt;=B736),"154",IF(AND(L736="632",'632'!$L$5&lt;=B736,'632'!$M$5&gt;=B736),"632",IF(AND(L736="642",'642'!$N$5&lt;=B736,'642'!$O$5&gt;=B736),"642",IF(AND(L736="641",'641'!$N$5&lt;=B736,'641'!$O$5&gt;=B736),"641",""))))</f>
        <v/>
      </c>
      <c r="V736" s="51" t="str">
        <f>IF(OR(TH!L736=TH!$V$7,M736=TH!$V$7),"x","")</f>
        <v/>
      </c>
      <c r="W736" s="51" t="str">
        <f>IF(AND(B736&gt;='IN-NX'!$P$3,B736&lt;='IN-NX'!$Q$3,'IN-NX'!$D$7=D736,OR(LEFT(L736,2)="15",AND(LEFT(M736,2)&lt;&gt;"15",LEFT(M736,2)&lt;&gt;"33"))),"x","")</f>
        <v/>
      </c>
      <c r="X736" s="51" t="str">
        <f>IF(AND(OR(LEFT(TH!L736,2)="15",LEFT(TH!M736,2)="15"),'152-CT'!$J$8=TH!F736),"x","")</f>
        <v/>
      </c>
      <c r="Y736" s="51" t="str">
        <f>IF(AND(OR(LEFT(TH!L736,2)="15",LEFT(TH!M736,2)="15"),TK!$E$7=TH!F736),"x","")</f>
        <v/>
      </c>
      <c r="Z736" s="51" t="str">
        <f>IF(AND(B736&lt;=NKC!$N$8,B736&gt;=NKC!$M$8),"x","")</f>
        <v>x</v>
      </c>
      <c r="AA736" s="803">
        <v>3</v>
      </c>
      <c r="AC736" s="203"/>
      <c r="AD736" s="203"/>
      <c r="AE736" s="203"/>
    </row>
    <row r="737" spans="1:31" s="565" customFormat="1" ht="15.75" customHeight="1">
      <c r="A737" s="804" t="str">
        <f>IF(B737&lt;&gt;"",IF(AND(B737&gt;=_TM1,B737&lt;=_TM2,OR(TH!L737="1111",TH!M737="1111")),TH!D737,""),"")</f>
        <v/>
      </c>
      <c r="B737" s="36">
        <f t="shared" si="49"/>
        <v>9</v>
      </c>
      <c r="C737" s="189">
        <f t="shared" si="50"/>
        <v>42272</v>
      </c>
      <c r="D737" s="189" t="s">
        <v>1310</v>
      </c>
      <c r="E737" s="189">
        <v>42272</v>
      </c>
      <c r="F737" s="190" t="s">
        <v>623</v>
      </c>
      <c r="G737" s="813" t="s">
        <v>1048</v>
      </c>
      <c r="H737" s="191" t="s">
        <v>413</v>
      </c>
      <c r="I737" s="243">
        <v>300</v>
      </c>
      <c r="J737" s="243">
        <v>32500</v>
      </c>
      <c r="K737" s="573">
        <f>ROUND(I737*J737,0)</f>
        <v>9750000</v>
      </c>
      <c r="L737" s="574" t="s">
        <v>250</v>
      </c>
      <c r="M737" s="574" t="s">
        <v>164</v>
      </c>
      <c r="N737" s="51" t="str">
        <f>IF(AND('331-CT'!$E$7=TH!H737,OR(L737="331",M737="331")),"331",IF(AND(OR(L737="131",M737="131"),H737='131-CT'!$E$7),"131",""))</f>
        <v/>
      </c>
      <c r="O737" s="51" t="str">
        <f>IF(AND($B737&gt;='111'!$N$11,$B737&lt;='111'!$O$11,OR($L737=$O$7,$M737=$O$7)),"x","")</f>
        <v/>
      </c>
      <c r="P737" s="51" t="str">
        <f>IF(AND($L737=$O$7,$B737&lt;'111'!$N$11),"x","")</f>
        <v/>
      </c>
      <c r="Q737" s="51" t="str">
        <f>IF(AND($M737=$O$7,$B737&lt;'111'!$N$11),"x","")</f>
        <v/>
      </c>
      <c r="R737" s="51" t="str">
        <f>IF(ISERROR(FIND('112'!$M$9,G737,1)),"",IF((AND(FIND('112'!$M$9,G737,1)&gt;=1,$B737&gt;='112'!$N$8,$B737&lt;='112'!$O$8,OR($L737='112'!$I$6,$M737='112'!$I$6))),"x",""))</f>
        <v/>
      </c>
      <c r="S737" s="51" t="str">
        <f>IF(ISERROR(FIND('112'!$M$9,G737,1)),"",IF((AND(LEFT(G737,2)=LEFT('112'!$M$9,2),B737&lt;'112'!$N$8,$L737='112'!$I$6)),"x",""))</f>
        <v/>
      </c>
      <c r="T737" s="51" t="str">
        <f>IF(ISERROR(FIND('112'!$M$9,G737,1)),"",IF((AND(RIGHT(G737,2)=RIGHT('112'!$M$9,2),B737&lt;'112'!$N$8,$M737='112'!$I$6)),"x",""))</f>
        <v/>
      </c>
      <c r="U737" s="51" t="str">
        <f>IF(AND(L737="154",'154'!$O$5&lt;=B737,'154'!$P$5&gt;=B737),"154",IF(AND(L737="632",'632'!$L$5&lt;=B737,'632'!$M$5&gt;=B737),"632",IF(AND(L737="642",'642'!$N$5&lt;=B737,'642'!$O$5&gt;=B737),"642",IF(AND(L737="641",'641'!$N$5&lt;=B737,'641'!$O$5&gt;=B737),"641",""))))</f>
        <v/>
      </c>
      <c r="V737" s="51" t="str">
        <f>IF(OR(TH!L737=TH!$V$7,M737=TH!$V$7),"x","")</f>
        <v/>
      </c>
      <c r="W737" s="51" t="str">
        <f>IF(AND(B737&gt;='IN-NX'!$P$3,B737&lt;='IN-NX'!$Q$3,'IN-NX'!$D$7=D737,OR(LEFT(L737,2)="15",AND(LEFT(M737,2)&lt;&gt;"15",LEFT(M737,2)&lt;&gt;"33"))),"x","")</f>
        <v/>
      </c>
      <c r="X737" s="51" t="str">
        <f>IF(AND(OR(LEFT(TH!L737,2)="15",LEFT(TH!M737,2)="15"),'152-CT'!$J$8=TH!F737),"x","")</f>
        <v/>
      </c>
      <c r="Y737" s="51" t="str">
        <f>IF(AND(OR(LEFT(TH!L737,2)="15",LEFT(TH!M737,2)="15"),TK!$E$7=TH!F737),"x","")</f>
        <v/>
      </c>
      <c r="Z737" s="51" t="str">
        <f>IF(AND(B737&lt;=NKC!$N$8,B737&gt;=NKC!$M$8),"x","")</f>
        <v>x</v>
      </c>
      <c r="AA737" s="803"/>
      <c r="AC737" s="203"/>
      <c r="AD737" s="203"/>
      <c r="AE737" s="203"/>
    </row>
    <row r="738" spans="1:31" s="565" customFormat="1" ht="15.75" customHeight="1">
      <c r="A738" s="804" t="str">
        <f>IF(B738&lt;&gt;"",IF(AND(B738&gt;=_TM1,B738&lt;=_TM2,OR(TH!L738="1111",TH!M738="1111")),TH!D738,""),"")</f>
        <v/>
      </c>
      <c r="B738" s="36">
        <f t="shared" si="49"/>
        <v>9</v>
      </c>
      <c r="C738" s="189">
        <f t="shared" si="50"/>
        <v>42272</v>
      </c>
      <c r="D738" s="189" t="s">
        <v>1310</v>
      </c>
      <c r="E738" s="189">
        <v>42272</v>
      </c>
      <c r="F738" s="190" t="s">
        <v>624</v>
      </c>
      <c r="G738" s="813" t="s">
        <v>1048</v>
      </c>
      <c r="H738" s="191" t="s">
        <v>413</v>
      </c>
      <c r="I738" s="243">
        <v>250</v>
      </c>
      <c r="J738" s="243">
        <v>31700</v>
      </c>
      <c r="K738" s="573">
        <f>ROUND(I738*J738,0)</f>
        <v>7925000</v>
      </c>
      <c r="L738" s="574" t="s">
        <v>250</v>
      </c>
      <c r="M738" s="574" t="s">
        <v>164</v>
      </c>
      <c r="N738" s="51" t="str">
        <f>IF(AND('331-CT'!$E$7=TH!H738,OR(L738="331",M738="331")),"331",IF(AND(OR(L738="131",M738="131"),H738='131-CT'!$E$7),"131",""))</f>
        <v/>
      </c>
      <c r="O738" s="51" t="str">
        <f>IF(AND($B738&gt;='111'!$N$11,$B738&lt;='111'!$O$11,OR($L738=$O$7,$M738=$O$7)),"x","")</f>
        <v/>
      </c>
      <c r="P738" s="51" t="str">
        <f>IF(AND($L738=$O$7,$B738&lt;'111'!$N$11),"x","")</f>
        <v/>
      </c>
      <c r="Q738" s="51" t="str">
        <f>IF(AND($M738=$O$7,$B738&lt;'111'!$N$11),"x","")</f>
        <v/>
      </c>
      <c r="R738" s="51" t="str">
        <f>IF(ISERROR(FIND('112'!$M$9,G738,1)),"",IF((AND(FIND('112'!$M$9,G738,1)&gt;=1,$B738&gt;='112'!$N$8,$B738&lt;='112'!$O$8,OR($L738='112'!$I$6,$M738='112'!$I$6))),"x",""))</f>
        <v/>
      </c>
      <c r="S738" s="51" t="str">
        <f>IF(ISERROR(FIND('112'!$M$9,G738,1)),"",IF((AND(LEFT(G738,2)=LEFT('112'!$M$9,2),B738&lt;'112'!$N$8,$L738='112'!$I$6)),"x",""))</f>
        <v/>
      </c>
      <c r="T738" s="51" t="str">
        <f>IF(ISERROR(FIND('112'!$M$9,G738,1)),"",IF((AND(RIGHT(G738,2)=RIGHT('112'!$M$9,2),B738&lt;'112'!$N$8,$M738='112'!$I$6)),"x",""))</f>
        <v/>
      </c>
      <c r="U738" s="51" t="str">
        <f>IF(AND(L738="154",'154'!$O$5&lt;=B738,'154'!$P$5&gt;=B738),"154",IF(AND(L738="632",'632'!$L$5&lt;=B738,'632'!$M$5&gt;=B738),"632",IF(AND(L738="642",'642'!$N$5&lt;=B738,'642'!$O$5&gt;=B738),"642",IF(AND(L738="641",'641'!$N$5&lt;=B738,'641'!$O$5&gt;=B738),"641",""))))</f>
        <v/>
      </c>
      <c r="V738" s="51" t="str">
        <f>IF(OR(TH!L738=TH!$V$7,M738=TH!$V$7),"x","")</f>
        <v/>
      </c>
      <c r="W738" s="51" t="str">
        <f>IF(AND(B738&gt;='IN-NX'!$P$3,B738&lt;='IN-NX'!$Q$3,'IN-NX'!$D$7=D738,OR(LEFT(L738,2)="15",AND(LEFT(M738,2)&lt;&gt;"15",LEFT(M738,2)&lt;&gt;"33"))),"x","")</f>
        <v/>
      </c>
      <c r="X738" s="51" t="str">
        <f>IF(AND(OR(LEFT(TH!L738,2)="15",LEFT(TH!M738,2)="15"),'152-CT'!$J$8=TH!F738),"x","")</f>
        <v/>
      </c>
      <c r="Y738" s="51" t="str">
        <f>IF(AND(OR(LEFT(TH!L738,2)="15",LEFT(TH!M738,2)="15"),TK!$E$7=TH!F738),"x","")</f>
        <v/>
      </c>
      <c r="Z738" s="51" t="str">
        <f>IF(AND(B738&lt;=NKC!$N$8,B738&gt;=NKC!$M$8),"x","")</f>
        <v>x</v>
      </c>
      <c r="AA738" s="803"/>
      <c r="AC738" s="203"/>
      <c r="AD738" s="203"/>
      <c r="AE738" s="203"/>
    </row>
    <row r="739" spans="1:31" s="565" customFormat="1" ht="15.75" customHeight="1">
      <c r="A739" s="804" t="str">
        <f>IF(B739&lt;&gt;"",IF(AND(B739&gt;=_TM1,B739&lt;=_TM2,OR(TH!L739="1111",TH!M739="1111")),TH!D739,""),"")</f>
        <v/>
      </c>
      <c r="B739" s="36">
        <f t="shared" si="49"/>
        <v>9</v>
      </c>
      <c r="C739" s="189">
        <f t="shared" si="50"/>
        <v>42272</v>
      </c>
      <c r="D739" s="189" t="s">
        <v>1310</v>
      </c>
      <c r="E739" s="189">
        <v>42272</v>
      </c>
      <c r="F739" s="190" t="s">
        <v>962</v>
      </c>
      <c r="G739" s="813" t="s">
        <v>1048</v>
      </c>
      <c r="H739" s="191" t="s">
        <v>413</v>
      </c>
      <c r="I739" s="243"/>
      <c r="J739" s="243"/>
      <c r="K739" s="573">
        <v>1767500</v>
      </c>
      <c r="L739" s="574" t="s">
        <v>250</v>
      </c>
      <c r="M739" s="574" t="s">
        <v>352</v>
      </c>
      <c r="N739" s="51" t="str">
        <f>IF(AND('331-CT'!$E$7=TH!H739,OR(L739="331",M739="331")),"331",IF(AND(OR(L739="131",M739="131"),H739='131-CT'!$E$7),"131",""))</f>
        <v/>
      </c>
      <c r="O739" s="51" t="str">
        <f>IF(AND($B739&gt;='111'!$N$11,$B739&lt;='111'!$O$11,OR($L739=$O$7,$M739=$O$7)),"x","")</f>
        <v/>
      </c>
      <c r="P739" s="51" t="str">
        <f>IF(AND($L739=$O$7,$B739&lt;'111'!$N$11),"x","")</f>
        <v/>
      </c>
      <c r="Q739" s="51" t="str">
        <f>IF(AND($M739=$O$7,$B739&lt;'111'!$N$11),"x","")</f>
        <v/>
      </c>
      <c r="R739" s="51" t="str">
        <f>IF(ISERROR(FIND('112'!$M$9,G739,1)),"",IF((AND(FIND('112'!$M$9,G739,1)&gt;=1,$B739&gt;='112'!$N$8,$B739&lt;='112'!$O$8,OR($L739='112'!$I$6,$M739='112'!$I$6))),"x",""))</f>
        <v/>
      </c>
      <c r="S739" s="51" t="str">
        <f>IF(ISERROR(FIND('112'!$M$9,G739,1)),"",IF((AND(LEFT(G739,2)=LEFT('112'!$M$9,2),B739&lt;'112'!$N$8,$L739='112'!$I$6)),"x",""))</f>
        <v/>
      </c>
      <c r="T739" s="51" t="str">
        <f>IF(ISERROR(FIND('112'!$M$9,G739,1)),"",IF((AND(RIGHT(G739,2)=RIGHT('112'!$M$9,2),B739&lt;'112'!$N$8,$M739='112'!$I$6)),"x",""))</f>
        <v/>
      </c>
      <c r="U739" s="51" t="str">
        <f>IF(AND(L739="154",'154'!$O$5&lt;=B739,'154'!$P$5&gt;=B739),"154",IF(AND(L739="632",'632'!$L$5&lt;=B739,'632'!$M$5&gt;=B739),"632",IF(AND(L739="642",'642'!$N$5&lt;=B739,'642'!$O$5&gt;=B739),"642",IF(AND(L739="641",'641'!$N$5&lt;=B739,'641'!$O$5&gt;=B739),"641",""))))</f>
        <v/>
      </c>
      <c r="V739" s="51" t="str">
        <f>IF(OR(TH!L739=TH!$V$7,M739=TH!$V$7),"x","")</f>
        <v/>
      </c>
      <c r="W739" s="51" t="str">
        <f>IF(AND(B739&gt;='IN-NX'!$P$3,B739&lt;='IN-NX'!$Q$3,'IN-NX'!$D$7=D739,OR(LEFT(L739,2)="15",AND(LEFT(M739,2)&lt;&gt;"15",LEFT(M739,2)&lt;&gt;"33"))),"x","")</f>
        <v/>
      </c>
      <c r="X739" s="51" t="str">
        <f>IF(AND(OR(LEFT(TH!L739,2)="15",LEFT(TH!M739,2)="15"),'152-CT'!$J$8=TH!F739),"x","")</f>
        <v/>
      </c>
      <c r="Y739" s="51" t="str">
        <f>IF(AND(OR(LEFT(TH!L739,2)="15",LEFT(TH!M739,2)="15"),TK!$E$7=TH!F739),"x","")</f>
        <v/>
      </c>
      <c r="Z739" s="51" t="str">
        <f>IF(AND(B739&lt;=NKC!$N$8,B739&gt;=NKC!$M$8),"x","")</f>
        <v>x</v>
      </c>
      <c r="AA739" s="803"/>
      <c r="AC739" s="203"/>
      <c r="AD739" s="203"/>
      <c r="AE739" s="203"/>
    </row>
    <row r="740" spans="1:31" s="565" customFormat="1" ht="15.75" customHeight="1">
      <c r="A740" s="804" t="str">
        <f>IF(B740&lt;&gt;"",IF(AND(B740&gt;=_TM1,B740&lt;=_TM2,OR(TH!L740="1111",TH!M740="1111")),TH!D740,""),"")</f>
        <v>T50</v>
      </c>
      <c r="B740" s="36">
        <f t="shared" si="49"/>
        <v>9</v>
      </c>
      <c r="C740" s="189">
        <f t="shared" si="50"/>
        <v>42272</v>
      </c>
      <c r="D740" s="189" t="s">
        <v>1429</v>
      </c>
      <c r="E740" s="189">
        <v>42272</v>
      </c>
      <c r="F740" s="190" t="s">
        <v>423</v>
      </c>
      <c r="G740" s="813" t="s">
        <v>1048</v>
      </c>
      <c r="H740" s="191" t="s">
        <v>413</v>
      </c>
      <c r="I740" s="243"/>
      <c r="J740" s="243"/>
      <c r="K740" s="573">
        <v>19442500</v>
      </c>
      <c r="L740" s="574" t="s">
        <v>47</v>
      </c>
      <c r="M740" s="574" t="s">
        <v>250</v>
      </c>
      <c r="N740" s="51" t="str">
        <f>IF(AND('331-CT'!$E$7=TH!H740,OR(L740="331",M740="331")),"331",IF(AND(OR(L740="131",M740="131"),H740='131-CT'!$E$7),"131",""))</f>
        <v/>
      </c>
      <c r="O740" s="51" t="str">
        <f>IF(AND($B740&gt;='111'!$N$11,$B740&lt;='111'!$O$11,OR($L740=$O$7,$M740=$O$7)),"x","")</f>
        <v/>
      </c>
      <c r="P740" s="51" t="str">
        <f>IF(AND($L740=$O$7,$B740&lt;'111'!$N$11),"x","")</f>
        <v>x</v>
      </c>
      <c r="Q740" s="51" t="str">
        <f>IF(AND($M740=$O$7,$B740&lt;'111'!$N$11),"x","")</f>
        <v/>
      </c>
      <c r="R740" s="51" t="str">
        <f>IF(ISERROR(FIND('112'!$M$9,G740,1)),"",IF((AND(FIND('112'!$M$9,G740,1)&gt;=1,$B740&gt;='112'!$N$8,$B740&lt;='112'!$O$8,OR($L740='112'!$I$6,$M740='112'!$I$6))),"x",""))</f>
        <v/>
      </c>
      <c r="S740" s="51" t="str">
        <f>IF(ISERROR(FIND('112'!$M$9,G740,1)),"",IF((AND(LEFT(G740,2)=LEFT('112'!$M$9,2),B740&lt;'112'!$N$8,$L740='112'!$I$6)),"x",""))</f>
        <v/>
      </c>
      <c r="T740" s="51" t="str">
        <f>IF(ISERROR(FIND('112'!$M$9,G740,1)),"",IF((AND(RIGHT(G740,2)=RIGHT('112'!$M$9,2),B740&lt;'112'!$N$8,$M740='112'!$I$6)),"x",""))</f>
        <v/>
      </c>
      <c r="U740" s="51" t="str">
        <f>IF(AND(L740="154",'154'!$O$5&lt;=B740,'154'!$P$5&gt;=B740),"154",IF(AND(L740="632",'632'!$L$5&lt;=B740,'632'!$M$5&gt;=B740),"632",IF(AND(L740="642",'642'!$N$5&lt;=B740,'642'!$O$5&gt;=B740),"642",IF(AND(L740="641",'641'!$N$5&lt;=B740,'641'!$O$5&gt;=B740),"641",""))))</f>
        <v/>
      </c>
      <c r="V740" s="51" t="str">
        <f>IF(OR(TH!L740=TH!$V$7,M740=TH!$V$7),"x","")</f>
        <v/>
      </c>
      <c r="W740" s="51" t="str">
        <f>IF(AND(B740&gt;='IN-NX'!$P$3,B740&lt;='IN-NX'!$Q$3,'IN-NX'!$D$7=D740,OR(LEFT(L740,2)="15",AND(LEFT(M740,2)&lt;&gt;"15",LEFT(M740,2)&lt;&gt;"33"))),"x","")</f>
        <v/>
      </c>
      <c r="X740" s="51" t="str">
        <f>IF(AND(OR(LEFT(TH!L740,2)="15",LEFT(TH!M740,2)="15"),'152-CT'!$J$8=TH!F740),"x","")</f>
        <v/>
      </c>
      <c r="Y740" s="51" t="str">
        <f>IF(AND(OR(LEFT(TH!L740,2)="15",LEFT(TH!M740,2)="15"),TK!$E$7=TH!F740),"x","")</f>
        <v/>
      </c>
      <c r="Z740" s="51" t="str">
        <f>IF(AND(B740&lt;=NKC!$N$8,B740&gt;=NKC!$M$8),"x","")</f>
        <v>x</v>
      </c>
      <c r="AA740" s="803"/>
      <c r="AC740" s="203"/>
      <c r="AD740" s="203"/>
      <c r="AE740" s="203"/>
    </row>
    <row r="741" spans="1:31" s="565" customFormat="1" ht="15.75" customHeight="1">
      <c r="A741" s="804" t="str">
        <f>IF(B741&lt;&gt;"",IF(AND(B741&gt;=_TM1,B741&lt;=_TM2,OR(TH!L741="1111",TH!M741="1111")),TH!D741,""),"")</f>
        <v/>
      </c>
      <c r="B741" s="36">
        <f t="shared" si="49"/>
        <v>9</v>
      </c>
      <c r="C741" s="189">
        <f t="shared" si="50"/>
        <v>42273</v>
      </c>
      <c r="D741" s="189" t="s">
        <v>1311</v>
      </c>
      <c r="E741" s="189">
        <v>42273</v>
      </c>
      <c r="F741" s="190" t="s">
        <v>714</v>
      </c>
      <c r="G741" s="813" t="s">
        <v>1049</v>
      </c>
      <c r="H741" s="191" t="s">
        <v>450</v>
      </c>
      <c r="I741" s="243">
        <v>100</v>
      </c>
      <c r="J741" s="243">
        <v>25000</v>
      </c>
      <c r="K741" s="573">
        <f>ROUND(I741*J741,0)</f>
        <v>2500000</v>
      </c>
      <c r="L741" s="574" t="s">
        <v>250</v>
      </c>
      <c r="M741" s="574" t="s">
        <v>164</v>
      </c>
      <c r="N741" s="51" t="str">
        <f>IF(AND('331-CT'!$E$7=TH!H741,OR(L741="331",M741="331")),"331",IF(AND(OR(L741="131",M741="131"),H741='131-CT'!$E$7),"131",""))</f>
        <v/>
      </c>
      <c r="O741" s="51" t="str">
        <f>IF(AND($B741&gt;='111'!$N$11,$B741&lt;='111'!$O$11,OR($L741=$O$7,$M741=$O$7)),"x","")</f>
        <v/>
      </c>
      <c r="P741" s="51" t="str">
        <f>IF(AND($L741=$O$7,$B741&lt;'111'!$N$11),"x","")</f>
        <v/>
      </c>
      <c r="Q741" s="51" t="str">
        <f>IF(AND($M741=$O$7,$B741&lt;'111'!$N$11),"x","")</f>
        <v/>
      </c>
      <c r="R741" s="51" t="str">
        <f>IF(ISERROR(FIND('112'!$M$9,G741,1)),"",IF((AND(FIND('112'!$M$9,G741,1)&gt;=1,$B741&gt;='112'!$N$8,$B741&lt;='112'!$O$8,OR($L741='112'!$I$6,$M741='112'!$I$6))),"x",""))</f>
        <v/>
      </c>
      <c r="S741" s="51" t="str">
        <f>IF(ISERROR(FIND('112'!$M$9,G741,1)),"",IF((AND(LEFT(G741,2)=LEFT('112'!$M$9,2),B741&lt;'112'!$N$8,$L741='112'!$I$6)),"x",""))</f>
        <v/>
      </c>
      <c r="T741" s="51" t="str">
        <f>IF(ISERROR(FIND('112'!$M$9,G741,1)),"",IF((AND(RIGHT(G741,2)=RIGHT('112'!$M$9,2),B741&lt;'112'!$N$8,$M741='112'!$I$6)),"x",""))</f>
        <v/>
      </c>
      <c r="U741" s="51" t="str">
        <f>IF(AND(L741="154",'154'!$O$5&lt;=B741,'154'!$P$5&gt;=B741),"154",IF(AND(L741="632",'632'!$L$5&lt;=B741,'632'!$M$5&gt;=B741),"632",IF(AND(L741="642",'642'!$N$5&lt;=B741,'642'!$O$5&gt;=B741),"642",IF(AND(L741="641",'641'!$N$5&lt;=B741,'641'!$O$5&gt;=B741),"641",""))))</f>
        <v/>
      </c>
      <c r="V741" s="51" t="str">
        <f>IF(OR(TH!L741=TH!$V$7,M741=TH!$V$7),"x","")</f>
        <v/>
      </c>
      <c r="W741" s="51" t="str">
        <f>IF(AND(B741&gt;='IN-NX'!$P$3,B741&lt;='IN-NX'!$Q$3,'IN-NX'!$D$7=D741,OR(LEFT(L741,2)="15",AND(LEFT(M741,2)&lt;&gt;"15",LEFT(M741,2)&lt;&gt;"33"))),"x","")</f>
        <v/>
      </c>
      <c r="X741" s="51" t="str">
        <f>IF(AND(OR(LEFT(TH!L741,2)="15",LEFT(TH!M741,2)="15"),'152-CT'!$J$8=TH!F741),"x","")</f>
        <v/>
      </c>
      <c r="Y741" s="51" t="str">
        <f>IF(AND(OR(LEFT(TH!L741,2)="15",LEFT(TH!M741,2)="15"),TK!$E$7=TH!F741),"x","")</f>
        <v/>
      </c>
      <c r="Z741" s="51" t="str">
        <f>IF(AND(B741&lt;=NKC!$N$8,B741&gt;=NKC!$M$8),"x","")</f>
        <v>x</v>
      </c>
      <c r="AA741" s="803"/>
      <c r="AC741" s="203"/>
      <c r="AD741" s="203"/>
      <c r="AE741" s="203"/>
    </row>
    <row r="742" spans="1:31" s="565" customFormat="1" ht="15.75" customHeight="1">
      <c r="A742" s="804" t="str">
        <f>IF(B742&lt;&gt;"",IF(AND(B742&gt;=_TM1,B742&lt;=_TM2,OR(TH!L742="1111",TH!M742="1111")),TH!D742,""),"")</f>
        <v/>
      </c>
      <c r="B742" s="36">
        <f t="shared" si="49"/>
        <v>9</v>
      </c>
      <c r="C742" s="189">
        <f t="shared" si="50"/>
        <v>42273</v>
      </c>
      <c r="D742" s="189" t="s">
        <v>1311</v>
      </c>
      <c r="E742" s="189">
        <v>42273</v>
      </c>
      <c r="F742" s="190" t="s">
        <v>715</v>
      </c>
      <c r="G742" s="813" t="s">
        <v>1049</v>
      </c>
      <c r="H742" s="191" t="s">
        <v>450</v>
      </c>
      <c r="I742" s="243">
        <v>280</v>
      </c>
      <c r="J742" s="243">
        <v>21400</v>
      </c>
      <c r="K742" s="573">
        <f>ROUND(I742*J742,0)</f>
        <v>5992000</v>
      </c>
      <c r="L742" s="574" t="s">
        <v>250</v>
      </c>
      <c r="M742" s="574" t="s">
        <v>164</v>
      </c>
      <c r="N742" s="51" t="str">
        <f>IF(AND('331-CT'!$E$7=TH!H742,OR(L742="331",M742="331")),"331",IF(AND(OR(L742="131",M742="131"),H742='131-CT'!$E$7),"131",""))</f>
        <v/>
      </c>
      <c r="O742" s="51" t="str">
        <f>IF(AND($B742&gt;='111'!$N$11,$B742&lt;='111'!$O$11,OR($L742=$O$7,$M742=$O$7)),"x","")</f>
        <v/>
      </c>
      <c r="P742" s="51" t="str">
        <f>IF(AND($L742=$O$7,$B742&lt;'111'!$N$11),"x","")</f>
        <v/>
      </c>
      <c r="Q742" s="51" t="str">
        <f>IF(AND($M742=$O$7,$B742&lt;'111'!$N$11),"x","")</f>
        <v/>
      </c>
      <c r="R742" s="51" t="str">
        <f>IF(ISERROR(FIND('112'!$M$9,G742,1)),"",IF((AND(FIND('112'!$M$9,G742,1)&gt;=1,$B742&gt;='112'!$N$8,$B742&lt;='112'!$O$8,OR($L742='112'!$I$6,$M742='112'!$I$6))),"x",""))</f>
        <v/>
      </c>
      <c r="S742" s="51" t="str">
        <f>IF(ISERROR(FIND('112'!$M$9,G742,1)),"",IF((AND(LEFT(G742,2)=LEFT('112'!$M$9,2),B742&lt;'112'!$N$8,$L742='112'!$I$6)),"x",""))</f>
        <v/>
      </c>
      <c r="T742" s="51" t="str">
        <f>IF(ISERROR(FIND('112'!$M$9,G742,1)),"",IF((AND(RIGHT(G742,2)=RIGHT('112'!$M$9,2),B742&lt;'112'!$N$8,$M742='112'!$I$6)),"x",""))</f>
        <v/>
      </c>
      <c r="U742" s="51" t="str">
        <f>IF(AND(L742="154",'154'!$O$5&lt;=B742,'154'!$P$5&gt;=B742),"154",IF(AND(L742="632",'632'!$L$5&lt;=B742,'632'!$M$5&gt;=B742),"632",IF(AND(L742="642",'642'!$N$5&lt;=B742,'642'!$O$5&gt;=B742),"642",IF(AND(L742="641",'641'!$N$5&lt;=B742,'641'!$O$5&gt;=B742),"641",""))))</f>
        <v/>
      </c>
      <c r="V742" s="51" t="str">
        <f>IF(OR(TH!L742=TH!$V$7,M742=TH!$V$7),"x","")</f>
        <v/>
      </c>
      <c r="W742" s="51" t="str">
        <f>IF(AND(B742&gt;='IN-NX'!$P$3,B742&lt;='IN-NX'!$Q$3,'IN-NX'!$D$7=D742,OR(LEFT(L742,2)="15",AND(LEFT(M742,2)&lt;&gt;"15",LEFT(M742,2)&lt;&gt;"33"))),"x","")</f>
        <v/>
      </c>
      <c r="X742" s="51" t="str">
        <f>IF(AND(OR(LEFT(TH!L742,2)="15",LEFT(TH!M742,2)="15"),'152-CT'!$J$8=TH!F742),"x","")</f>
        <v/>
      </c>
      <c r="Y742" s="51" t="str">
        <f>IF(AND(OR(LEFT(TH!L742,2)="15",LEFT(TH!M742,2)="15"),TK!$E$7=TH!F742),"x","")</f>
        <v/>
      </c>
      <c r="Z742" s="51" t="str">
        <f>IF(AND(B742&lt;=NKC!$N$8,B742&gt;=NKC!$M$8),"x","")</f>
        <v>x</v>
      </c>
      <c r="AA742" s="803"/>
      <c r="AC742" s="203"/>
      <c r="AD742" s="203"/>
      <c r="AE742" s="203"/>
    </row>
    <row r="743" spans="1:31" ht="15.75" customHeight="1">
      <c r="A743" s="804" t="str">
        <f>IF(B743&lt;&gt;"",IF(AND(B743&gt;=_TM1,B743&lt;=_TM2,OR(TH!L743="1111",TH!M743="1111")),TH!D743,""),"")</f>
        <v/>
      </c>
      <c r="B743" s="36">
        <f t="shared" si="49"/>
        <v>9</v>
      </c>
      <c r="C743" s="189">
        <f t="shared" si="50"/>
        <v>42273</v>
      </c>
      <c r="D743" s="189" t="s">
        <v>1311</v>
      </c>
      <c r="E743" s="189">
        <v>42273</v>
      </c>
      <c r="F743" s="190" t="s">
        <v>962</v>
      </c>
      <c r="G743" s="813" t="s">
        <v>1049</v>
      </c>
      <c r="H743" s="191" t="s">
        <v>450</v>
      </c>
      <c r="I743" s="243"/>
      <c r="J743" s="243"/>
      <c r="K743" s="573">
        <v>849200</v>
      </c>
      <c r="L743" s="574" t="s">
        <v>250</v>
      </c>
      <c r="M743" s="574" t="s">
        <v>352</v>
      </c>
      <c r="N743" s="51" t="str">
        <f>IF(AND('331-CT'!$E$7=TH!H743,OR(L743="331",M743="331")),"331",IF(AND(OR(L743="131",M743="131"),H743='131-CT'!$E$7),"131",""))</f>
        <v/>
      </c>
      <c r="O743" s="51" t="str">
        <f>IF(AND($B743&gt;='111'!$N$11,$B743&lt;='111'!$O$11,OR($L743=$O$7,$M743=$O$7)),"x","")</f>
        <v/>
      </c>
      <c r="P743" s="51" t="str">
        <f>IF(AND($L743=$O$7,$B743&lt;'111'!$N$11),"x","")</f>
        <v/>
      </c>
      <c r="Q743" s="51" t="str">
        <f>IF(AND($M743=$O$7,$B743&lt;'111'!$N$11),"x","")</f>
        <v/>
      </c>
      <c r="R743" s="51" t="str">
        <f>IF(ISERROR(FIND('112'!$M$9,G743,1)),"",IF((AND(FIND('112'!$M$9,G743,1)&gt;=1,$B743&gt;='112'!$N$8,$B743&lt;='112'!$O$8,OR($L743='112'!$I$6,$M743='112'!$I$6))),"x",""))</f>
        <v/>
      </c>
      <c r="S743" s="51" t="str">
        <f>IF(ISERROR(FIND('112'!$M$9,G743,1)),"",IF((AND(LEFT(G743,2)=LEFT('112'!$M$9,2),B743&lt;'112'!$N$8,$L743='112'!$I$6)),"x",""))</f>
        <v/>
      </c>
      <c r="T743" s="51" t="str">
        <f>IF(ISERROR(FIND('112'!$M$9,G743,1)),"",IF((AND(RIGHT(G743,2)=RIGHT('112'!$M$9,2),B743&lt;'112'!$N$8,$M743='112'!$I$6)),"x",""))</f>
        <v/>
      </c>
      <c r="U743" s="51" t="str">
        <f>IF(AND(L743="154",'154'!$O$5&lt;=B743,'154'!$P$5&gt;=B743),"154",IF(AND(L743="632",'632'!$L$5&lt;=B743,'632'!$M$5&gt;=B743),"632",IF(AND(L743="642",'642'!$N$5&lt;=B743,'642'!$O$5&gt;=B743),"642",IF(AND(L743="641",'641'!$N$5&lt;=B743,'641'!$O$5&gt;=B743),"641",""))))</f>
        <v/>
      </c>
      <c r="V743" s="51" t="str">
        <f>IF(OR(TH!L743=TH!$V$7,M743=TH!$V$7),"x","")</f>
        <v/>
      </c>
      <c r="W743" s="51" t="str">
        <f>IF(AND(B743&gt;='IN-NX'!$P$3,B743&lt;='IN-NX'!$Q$3,'IN-NX'!$D$7=D743,OR(LEFT(L743,2)="15",AND(LEFT(M743,2)&lt;&gt;"15",LEFT(M743,2)&lt;&gt;"33"))),"x","")</f>
        <v/>
      </c>
      <c r="X743" s="51" t="str">
        <f>IF(AND(OR(LEFT(TH!L743,2)="15",LEFT(TH!M743,2)="15"),'152-CT'!$J$8=TH!F743),"x","")</f>
        <v/>
      </c>
      <c r="Y743" s="51" t="str">
        <f>IF(AND(OR(LEFT(TH!L743,2)="15",LEFT(TH!M743,2)="15"),TK!$E$7=TH!F743),"x","")</f>
        <v/>
      </c>
      <c r="Z743" s="51" t="str">
        <f>IF(AND(B743&lt;=NKC!$N$8,B743&gt;=NKC!$M$8),"x","")</f>
        <v>x</v>
      </c>
      <c r="AA743" s="803"/>
      <c r="AB743" s="565"/>
    </row>
    <row r="744" spans="1:31" ht="15.75" customHeight="1">
      <c r="A744" s="804" t="str">
        <f>IF(B744&lt;&gt;"",IF(AND(B744&gt;=_TM1,B744&lt;=_TM2,OR(TH!L744="1111",TH!M744="1111")),TH!D744,""),"")</f>
        <v>T51</v>
      </c>
      <c r="B744" s="36">
        <f t="shared" si="49"/>
        <v>9</v>
      </c>
      <c r="C744" s="189">
        <f t="shared" si="50"/>
        <v>42273</v>
      </c>
      <c r="D744" s="189" t="s">
        <v>1430</v>
      </c>
      <c r="E744" s="189">
        <v>42273</v>
      </c>
      <c r="F744" s="926" t="s">
        <v>423</v>
      </c>
      <c r="G744" s="813" t="s">
        <v>1049</v>
      </c>
      <c r="H744" s="191" t="s">
        <v>450</v>
      </c>
      <c r="I744" s="243"/>
      <c r="J744" s="243"/>
      <c r="K744" s="573">
        <f>9341200+125000</f>
        <v>9466200</v>
      </c>
      <c r="L744" s="574" t="s">
        <v>47</v>
      </c>
      <c r="M744" s="574" t="s">
        <v>250</v>
      </c>
      <c r="N744" s="51" t="str">
        <f>IF(AND('331-CT'!$E$7=TH!H744,OR(L744="331",M744="331")),"331",IF(AND(OR(L744="131",M744="131"),H744='131-CT'!$E$7),"131",""))</f>
        <v/>
      </c>
      <c r="O744" s="51" t="str">
        <f>IF(AND($B744&gt;='111'!$N$11,$B744&lt;='111'!$O$11,OR($L744=$O$7,$M744=$O$7)),"x","")</f>
        <v/>
      </c>
      <c r="P744" s="51" t="str">
        <f>IF(AND($L744=$O$7,$B744&lt;'111'!$N$11),"x","")</f>
        <v>x</v>
      </c>
      <c r="Q744" s="51" t="str">
        <f>IF(AND($M744=$O$7,$B744&lt;'111'!$N$11),"x","")</f>
        <v/>
      </c>
      <c r="R744" s="51" t="str">
        <f>IF(ISERROR(FIND('112'!$M$9,G744,1)),"",IF((AND(FIND('112'!$M$9,G744,1)&gt;=1,$B744&gt;='112'!$N$8,$B744&lt;='112'!$O$8,OR($L744='112'!$I$6,$M744='112'!$I$6))),"x",""))</f>
        <v/>
      </c>
      <c r="S744" s="51" t="str">
        <f>IF(ISERROR(FIND('112'!$M$9,G744,1)),"",IF((AND(LEFT(G744,2)=LEFT('112'!$M$9,2),B744&lt;'112'!$N$8,$L744='112'!$I$6)),"x",""))</f>
        <v/>
      </c>
      <c r="T744" s="51" t="str">
        <f>IF(ISERROR(FIND('112'!$M$9,G744,1)),"",IF((AND(RIGHT(G744,2)=RIGHT('112'!$M$9,2),B744&lt;'112'!$N$8,$M744='112'!$I$6)),"x",""))</f>
        <v/>
      </c>
      <c r="U744" s="51" t="str">
        <f>IF(AND(L744="154",'154'!$O$5&lt;=B744,'154'!$P$5&gt;=B744),"154",IF(AND(L744="632",'632'!$L$5&lt;=B744,'632'!$M$5&gt;=B744),"632",IF(AND(L744="642",'642'!$N$5&lt;=B744,'642'!$O$5&gt;=B744),"642",IF(AND(L744="641",'641'!$N$5&lt;=B744,'641'!$O$5&gt;=B744),"641",""))))</f>
        <v/>
      </c>
      <c r="V744" s="51" t="str">
        <f>IF(OR(TH!L744=TH!$V$7,M744=TH!$V$7),"x","")</f>
        <v/>
      </c>
      <c r="W744" s="51" t="str">
        <f>IF(AND(B744&gt;='IN-NX'!$P$3,B744&lt;='IN-NX'!$Q$3,'IN-NX'!$D$7=D744,OR(LEFT(L744,2)="15",AND(LEFT(M744,2)&lt;&gt;"15",LEFT(M744,2)&lt;&gt;"33"))),"x","")</f>
        <v/>
      </c>
      <c r="X744" s="51" t="str">
        <f>IF(AND(OR(LEFT(TH!L744,2)="15",LEFT(TH!M744,2)="15"),'152-CT'!$J$8=TH!F744),"x","")</f>
        <v/>
      </c>
      <c r="Y744" s="51" t="str">
        <f>IF(AND(OR(LEFT(TH!L744,2)="15",LEFT(TH!M744,2)="15"),TK!$E$7=TH!F744),"x","")</f>
        <v/>
      </c>
      <c r="Z744" s="51" t="str">
        <f>IF(AND(B744&lt;=NKC!$N$8,B744&gt;=NKC!$M$8),"x","")</f>
        <v>x</v>
      </c>
      <c r="AA744" s="803"/>
      <c r="AB744" s="565"/>
    </row>
    <row r="745" spans="1:31" s="565" customFormat="1" ht="15.75" customHeight="1">
      <c r="A745" s="804" t="str">
        <f>IF(B745&lt;&gt;"",IF(AND(B745&gt;=_TM1,B745&lt;=_TM2,OR(TH!L745="1111",TH!M745="1111")),TH!D745,""),"")</f>
        <v/>
      </c>
      <c r="B745" s="36">
        <f t="shared" si="49"/>
        <v>9</v>
      </c>
      <c r="C745" s="189">
        <f t="shared" si="50"/>
        <v>42274</v>
      </c>
      <c r="D745" s="189" t="s">
        <v>1312</v>
      </c>
      <c r="E745" s="189">
        <v>42274</v>
      </c>
      <c r="F745" s="926" t="s">
        <v>716</v>
      </c>
      <c r="G745" s="813" t="s">
        <v>1050</v>
      </c>
      <c r="H745" s="191" t="s">
        <v>1051</v>
      </c>
      <c r="I745" s="243">
        <v>225</v>
      </c>
      <c r="J745" s="243">
        <v>15780</v>
      </c>
      <c r="K745" s="573">
        <f>ROUND(I745*J745,0)</f>
        <v>3550500</v>
      </c>
      <c r="L745" s="574" t="s">
        <v>250</v>
      </c>
      <c r="M745" s="574" t="s">
        <v>164</v>
      </c>
      <c r="N745" s="51" t="str">
        <f>IF(AND('331-CT'!$E$7=TH!H745,OR(L745="331",M745="331")),"331",IF(AND(OR(L745="131",M745="131"),H745='131-CT'!$E$7),"131",""))</f>
        <v/>
      </c>
      <c r="O745" s="51" t="str">
        <f>IF(AND($B745&gt;='111'!$N$11,$B745&lt;='111'!$O$11,OR($L745=$O$7,$M745=$O$7)),"x","")</f>
        <v/>
      </c>
      <c r="P745" s="51" t="str">
        <f>IF(AND($L745=$O$7,$B745&lt;'111'!$N$11),"x","")</f>
        <v/>
      </c>
      <c r="Q745" s="51" t="str">
        <f>IF(AND($M745=$O$7,$B745&lt;'111'!$N$11),"x","")</f>
        <v/>
      </c>
      <c r="R745" s="51" t="str">
        <f>IF(ISERROR(FIND('112'!$M$9,G745,1)),"",IF((AND(FIND('112'!$M$9,G745,1)&gt;=1,$B745&gt;='112'!$N$8,$B745&lt;='112'!$O$8,OR($L745='112'!$I$6,$M745='112'!$I$6))),"x",""))</f>
        <v/>
      </c>
      <c r="S745" s="51" t="str">
        <f>IF(ISERROR(FIND('112'!$M$9,G745,1)),"",IF((AND(LEFT(G745,2)=LEFT('112'!$M$9,2),B745&lt;'112'!$N$8,$L745='112'!$I$6)),"x",""))</f>
        <v/>
      </c>
      <c r="T745" s="51" t="str">
        <f>IF(ISERROR(FIND('112'!$M$9,G745,1)),"",IF((AND(RIGHT(G745,2)=RIGHT('112'!$M$9,2),B745&lt;'112'!$N$8,$M745='112'!$I$6)),"x",""))</f>
        <v/>
      </c>
      <c r="U745" s="51" t="str">
        <f>IF(AND(L745="154",'154'!$O$5&lt;=B745,'154'!$P$5&gt;=B745),"154",IF(AND(L745="632",'632'!$L$5&lt;=B745,'632'!$M$5&gt;=B745),"632",IF(AND(L745="642",'642'!$N$5&lt;=B745,'642'!$O$5&gt;=B745),"642",IF(AND(L745="641",'641'!$N$5&lt;=B745,'641'!$O$5&gt;=B745),"641",""))))</f>
        <v/>
      </c>
      <c r="V745" s="51" t="str">
        <f>IF(OR(TH!L745=TH!$V$7,M745=TH!$V$7),"x","")</f>
        <v/>
      </c>
      <c r="W745" s="51" t="str">
        <f>IF(AND(B745&gt;='IN-NX'!$P$3,B745&lt;='IN-NX'!$Q$3,'IN-NX'!$D$7=D745,OR(LEFT(L745,2)="15",AND(LEFT(M745,2)&lt;&gt;"15",LEFT(M745,2)&lt;&gt;"33"))),"x","")</f>
        <v/>
      </c>
      <c r="X745" s="51" t="str">
        <f>IF(AND(OR(LEFT(TH!L745,2)="15",LEFT(TH!M745,2)="15"),'152-CT'!$J$8=TH!F745),"x","")</f>
        <v/>
      </c>
      <c r="Y745" s="51" t="str">
        <f>IF(AND(OR(LEFT(TH!L745,2)="15",LEFT(TH!M745,2)="15"),TK!$E$7=TH!F745),"x","")</f>
        <v/>
      </c>
      <c r="Z745" s="51" t="str">
        <f>IF(AND(B745&lt;=NKC!$N$8,B745&gt;=NKC!$M$8),"x","")</f>
        <v>x</v>
      </c>
      <c r="AA745" s="803"/>
      <c r="AC745" s="203"/>
      <c r="AD745" s="203"/>
      <c r="AE745" s="203"/>
    </row>
    <row r="746" spans="1:31" s="565" customFormat="1" ht="15.75" customHeight="1">
      <c r="A746" s="804" t="str">
        <f>IF(B746&lt;&gt;"",IF(AND(B746&gt;=_TM1,B746&lt;=_TM2,OR(TH!L746="1111",TH!M746="1111")),TH!D746,""),"")</f>
        <v/>
      </c>
      <c r="B746" s="36">
        <f t="shared" si="49"/>
        <v>9</v>
      </c>
      <c r="C746" s="189">
        <f t="shared" si="50"/>
        <v>42274</v>
      </c>
      <c r="D746" s="189" t="s">
        <v>1312</v>
      </c>
      <c r="E746" s="189">
        <v>42274</v>
      </c>
      <c r="F746" s="922" t="s">
        <v>962</v>
      </c>
      <c r="G746" s="813" t="s">
        <v>1050</v>
      </c>
      <c r="H746" s="191" t="s">
        <v>1051</v>
      </c>
      <c r="I746" s="243"/>
      <c r="J746" s="243"/>
      <c r="K746" s="573">
        <v>355050</v>
      </c>
      <c r="L746" s="574" t="s">
        <v>250</v>
      </c>
      <c r="M746" s="574" t="s">
        <v>352</v>
      </c>
      <c r="N746" s="51" t="str">
        <f>IF(AND('331-CT'!$E$7=TH!H746,OR(L746="331",M746="331")),"331",IF(AND(OR(L746="131",M746="131"),H746='131-CT'!$E$7),"131",""))</f>
        <v/>
      </c>
      <c r="O746" s="51" t="str">
        <f>IF(AND($B746&gt;='111'!$N$11,$B746&lt;='111'!$O$11,OR($L746=$O$7,$M746=$O$7)),"x","")</f>
        <v/>
      </c>
      <c r="P746" s="51" t="str">
        <f>IF(AND($L746=$O$7,$B746&lt;'111'!$N$11),"x","")</f>
        <v/>
      </c>
      <c r="Q746" s="51" t="str">
        <f>IF(AND($M746=$O$7,$B746&lt;'111'!$N$11),"x","")</f>
        <v/>
      </c>
      <c r="R746" s="51" t="str">
        <f>IF(ISERROR(FIND('112'!$M$9,G746,1)),"",IF((AND(FIND('112'!$M$9,G746,1)&gt;=1,$B746&gt;='112'!$N$8,$B746&lt;='112'!$O$8,OR($L746='112'!$I$6,$M746='112'!$I$6))),"x",""))</f>
        <v/>
      </c>
      <c r="S746" s="51" t="str">
        <f>IF(ISERROR(FIND('112'!$M$9,G746,1)),"",IF((AND(LEFT(G746,2)=LEFT('112'!$M$9,2),B746&lt;'112'!$N$8,$L746='112'!$I$6)),"x",""))</f>
        <v/>
      </c>
      <c r="T746" s="51" t="str">
        <f>IF(ISERROR(FIND('112'!$M$9,G746,1)),"",IF((AND(RIGHT(G746,2)=RIGHT('112'!$M$9,2),B746&lt;'112'!$N$8,$M746='112'!$I$6)),"x",""))</f>
        <v/>
      </c>
      <c r="U746" s="51" t="str">
        <f>IF(AND(L746="154",'154'!$O$5&lt;=B746,'154'!$P$5&gt;=B746),"154",IF(AND(L746="632",'632'!$L$5&lt;=B746,'632'!$M$5&gt;=B746),"632",IF(AND(L746="642",'642'!$N$5&lt;=B746,'642'!$O$5&gt;=B746),"642",IF(AND(L746="641",'641'!$N$5&lt;=B746,'641'!$O$5&gt;=B746),"641",""))))</f>
        <v/>
      </c>
      <c r="V746" s="51" t="str">
        <f>IF(OR(TH!L746=TH!$V$7,M746=TH!$V$7),"x","")</f>
        <v/>
      </c>
      <c r="W746" s="51" t="str">
        <f>IF(AND(B746&gt;='IN-NX'!$P$3,B746&lt;='IN-NX'!$Q$3,'IN-NX'!$D$7=D746,OR(LEFT(L746,2)="15",AND(LEFT(M746,2)&lt;&gt;"15",LEFT(M746,2)&lt;&gt;"33"))),"x","")</f>
        <v/>
      </c>
      <c r="X746" s="51" t="str">
        <f>IF(AND(OR(LEFT(TH!L746,2)="15",LEFT(TH!M746,2)="15"),'152-CT'!$J$8=TH!F746),"x","")</f>
        <v/>
      </c>
      <c r="Y746" s="51" t="str">
        <f>IF(AND(OR(LEFT(TH!L746,2)="15",LEFT(TH!M746,2)="15"),TK!$E$7=TH!F746),"x","")</f>
        <v/>
      </c>
      <c r="Z746" s="51" t="str">
        <f>IF(AND(B746&lt;=NKC!$N$8,B746&gt;=NKC!$M$8),"x","")</f>
        <v>x</v>
      </c>
      <c r="AA746" s="803"/>
      <c r="AC746" s="203"/>
      <c r="AD746" s="203"/>
      <c r="AE746" s="203"/>
    </row>
    <row r="747" spans="1:31" s="565" customFormat="1" ht="15.75" customHeight="1">
      <c r="A747" s="804" t="str">
        <f>IF(B747&lt;&gt;"",IF(AND(B747&gt;=_TM1,B747&lt;=_TM2,OR(TH!L747="1111",TH!M747="1111")),TH!D747,""),"")</f>
        <v/>
      </c>
      <c r="B747" s="36">
        <f t="shared" si="49"/>
        <v>9</v>
      </c>
      <c r="C747" s="189">
        <f t="shared" si="50"/>
        <v>42275</v>
      </c>
      <c r="D747" s="189" t="s">
        <v>421</v>
      </c>
      <c r="E747" s="182">
        <v>42275</v>
      </c>
      <c r="F747" s="190" t="s">
        <v>423</v>
      </c>
      <c r="G747" s="811" t="s">
        <v>415</v>
      </c>
      <c r="H747" s="7" t="s">
        <v>444</v>
      </c>
      <c r="I747" s="243"/>
      <c r="J747" s="243"/>
      <c r="K747" s="573">
        <v>48536549</v>
      </c>
      <c r="L747" s="192" t="s">
        <v>24</v>
      </c>
      <c r="M747" s="192" t="s">
        <v>250</v>
      </c>
      <c r="N747" s="51" t="str">
        <f>IF(AND('331-CT'!$E$7=TH!H747,OR(L747="331",M747="331")),"331",IF(AND(OR(L747="131",M747="131"),H747='131-CT'!$E$7),"131",""))</f>
        <v/>
      </c>
      <c r="O747" s="51" t="str">
        <f>IF(AND($B747&gt;='111'!$N$11,$B747&lt;='111'!$O$11,OR($L747=$O$7,$M747=$O$7)),"x","")</f>
        <v/>
      </c>
      <c r="P747" s="51" t="str">
        <f>IF(AND($L747=$O$7,$B747&lt;'111'!$N$11),"x","")</f>
        <v/>
      </c>
      <c r="Q747" s="51" t="str">
        <f>IF(AND($M747=$O$7,$B747&lt;'111'!$N$11),"x","")</f>
        <v/>
      </c>
      <c r="R747" s="51" t="str">
        <f>IF(ISERROR(FIND('112'!$M$9,G747,1)),"",IF((AND(FIND('112'!$M$9,G747,1)&gt;=1,$B747&gt;='112'!$N$8,$B747&lt;='112'!$O$8,OR($L747='112'!$I$6,$M747='112'!$I$6))),"x",""))</f>
        <v/>
      </c>
      <c r="S747" s="51" t="str">
        <f>IF(ISERROR(FIND('112'!$M$9,G747,1)),"",IF((AND(LEFT(G747,2)=LEFT('112'!$M$9,2),B747&lt;'112'!$N$8,$L747='112'!$I$6)),"x",""))</f>
        <v/>
      </c>
      <c r="T747" s="51" t="str">
        <f>IF(ISERROR(FIND('112'!$M$9,G747,1)),"",IF((AND(RIGHT(G747,2)=RIGHT('112'!$M$9,2),B747&lt;'112'!$N$8,$M747='112'!$I$6)),"x",""))</f>
        <v/>
      </c>
      <c r="U747" s="51" t="str">
        <f>IF(AND(L747="154",'154'!$O$5&lt;=B747,'154'!$P$5&gt;=B747),"154",IF(AND(L747="632",'632'!$L$5&lt;=B747,'632'!$M$5&gt;=B747),"632",IF(AND(L747="642",'642'!$N$5&lt;=B747,'642'!$O$5&gt;=B747),"642",IF(AND(L747="641",'641'!$N$5&lt;=B747,'641'!$O$5&gt;=B747),"641",""))))</f>
        <v/>
      </c>
      <c r="V747" s="51" t="str">
        <f>IF(OR(TH!L747=TH!$V$7,M747=TH!$V$7),"x","")</f>
        <v/>
      </c>
      <c r="W747" s="51" t="str">
        <f>IF(AND(B747&gt;='IN-NX'!$P$3,B747&lt;='IN-NX'!$Q$3,'IN-NX'!$D$7=D747,OR(LEFT(L747,2)="15",AND(LEFT(M747,2)&lt;&gt;"15",LEFT(M747,2)&lt;&gt;"33"))),"x","")</f>
        <v/>
      </c>
      <c r="X747" s="51" t="str">
        <f>IF(AND(OR(LEFT(TH!L747,2)="15",LEFT(TH!M747,2)="15"),'152-CT'!$J$8=TH!F747),"x","")</f>
        <v/>
      </c>
      <c r="Y747" s="51" t="str">
        <f>IF(AND(OR(LEFT(TH!L747,2)="15",LEFT(TH!M747,2)="15"),TK!$E$7=TH!F747),"x","")</f>
        <v/>
      </c>
      <c r="Z747" s="51" t="str">
        <f>IF(AND(B747&lt;=NKC!$N$8,B747&gt;=NKC!$M$8),"x","")</f>
        <v>x</v>
      </c>
      <c r="AA747" s="803"/>
      <c r="AC747" s="203"/>
    </row>
    <row r="748" spans="1:31" s="565" customFormat="1" ht="15.75" customHeight="1">
      <c r="A748" s="804" t="str">
        <f>IF(B748&lt;&gt;"",IF(AND(B748&gt;=_TM1,B748&lt;=_TM2,OR(TH!L748="1111",TH!M748="1111")),TH!D748,""),"")</f>
        <v/>
      </c>
      <c r="B748" s="36">
        <f t="shared" si="49"/>
        <v>9</v>
      </c>
      <c r="C748" s="189">
        <f t="shared" si="50"/>
        <v>42275</v>
      </c>
      <c r="D748" s="189" t="s">
        <v>1312</v>
      </c>
      <c r="E748" s="189">
        <v>42275</v>
      </c>
      <c r="F748" s="190" t="s">
        <v>621</v>
      </c>
      <c r="G748" s="813" t="s">
        <v>1052</v>
      </c>
      <c r="H748" s="191" t="s">
        <v>413</v>
      </c>
      <c r="I748" s="243">
        <v>700</v>
      </c>
      <c r="J748" s="243">
        <v>16500</v>
      </c>
      <c r="K748" s="573">
        <f>ROUND(I748*J748,0)</f>
        <v>11550000</v>
      </c>
      <c r="L748" s="574" t="s">
        <v>250</v>
      </c>
      <c r="M748" s="574" t="s">
        <v>164</v>
      </c>
      <c r="N748" s="51" t="str">
        <f>IF(AND('331-CT'!$E$7=TH!H748,OR(L748="331",M748="331")),"331",IF(AND(OR(L748="131",M748="131"),H748='131-CT'!$E$7),"131",""))</f>
        <v/>
      </c>
      <c r="O748" s="51" t="str">
        <f>IF(AND($B748&gt;='111'!$N$11,$B748&lt;='111'!$O$11,OR($L748=$O$7,$M748=$O$7)),"x","")</f>
        <v/>
      </c>
      <c r="P748" s="51" t="str">
        <f>IF(AND($L748=$O$7,$B748&lt;'111'!$N$11),"x","")</f>
        <v/>
      </c>
      <c r="Q748" s="51" t="str">
        <f>IF(AND($M748=$O$7,$B748&lt;'111'!$N$11),"x","")</f>
        <v/>
      </c>
      <c r="R748" s="51" t="str">
        <f>IF(ISERROR(FIND('112'!$M$9,G748,1)),"",IF((AND(FIND('112'!$M$9,G748,1)&gt;=1,$B748&gt;='112'!$N$8,$B748&lt;='112'!$O$8,OR($L748='112'!$I$6,$M748='112'!$I$6))),"x",""))</f>
        <v/>
      </c>
      <c r="S748" s="51" t="str">
        <f>IF(ISERROR(FIND('112'!$M$9,G748,1)),"",IF((AND(LEFT(G748,2)=LEFT('112'!$M$9,2),B748&lt;'112'!$N$8,$L748='112'!$I$6)),"x",""))</f>
        <v/>
      </c>
      <c r="T748" s="51" t="str">
        <f>IF(ISERROR(FIND('112'!$M$9,G748,1)),"",IF((AND(RIGHT(G748,2)=RIGHT('112'!$M$9,2),B748&lt;'112'!$N$8,$M748='112'!$I$6)),"x",""))</f>
        <v/>
      </c>
      <c r="U748" s="51" t="str">
        <f>IF(AND(L748="154",'154'!$O$5&lt;=B748,'154'!$P$5&gt;=B748),"154",IF(AND(L748="632",'632'!$L$5&lt;=B748,'632'!$M$5&gt;=B748),"632",IF(AND(L748="642",'642'!$N$5&lt;=B748,'642'!$O$5&gt;=B748),"642",IF(AND(L748="641",'641'!$N$5&lt;=B748,'641'!$O$5&gt;=B748),"641",""))))</f>
        <v/>
      </c>
      <c r="V748" s="51" t="str">
        <f>IF(OR(TH!L748=TH!$V$7,M748=TH!$V$7),"x","")</f>
        <v/>
      </c>
      <c r="W748" s="51" t="str">
        <f>IF(AND(B748&gt;='IN-NX'!$P$3,B748&lt;='IN-NX'!$Q$3,'IN-NX'!$D$7=D748,OR(LEFT(L748,2)="15",AND(LEFT(M748,2)&lt;&gt;"15",LEFT(M748,2)&lt;&gt;"33"))),"x","")</f>
        <v/>
      </c>
      <c r="X748" s="51" t="str">
        <f>IF(AND(OR(LEFT(TH!L748,2)="15",LEFT(TH!M748,2)="15"),'152-CT'!$J$8=TH!F748),"x","")</f>
        <v/>
      </c>
      <c r="Y748" s="51" t="str">
        <f>IF(AND(OR(LEFT(TH!L748,2)="15",LEFT(TH!M748,2)="15"),TK!$E$7=TH!F748),"x","")</f>
        <v/>
      </c>
      <c r="Z748" s="51" t="str">
        <f>IF(AND(B748&lt;=NKC!$N$8,B748&gt;=NKC!$M$8),"x","")</f>
        <v>x</v>
      </c>
      <c r="AA748" s="803"/>
      <c r="AC748" s="203"/>
      <c r="AD748" s="203"/>
      <c r="AE748" s="203"/>
    </row>
    <row r="749" spans="1:31" s="565" customFormat="1" ht="15.75" customHeight="1">
      <c r="A749" s="804" t="str">
        <f>IF(B749&lt;&gt;"",IF(AND(B749&gt;=_TM1,B749&lt;=_TM2,OR(TH!L749="1111",TH!M749="1111")),TH!D749,""),"")</f>
        <v/>
      </c>
      <c r="B749" s="36">
        <f t="shared" si="49"/>
        <v>9</v>
      </c>
      <c r="C749" s="189">
        <f t="shared" si="50"/>
        <v>42275</v>
      </c>
      <c r="D749" s="189" t="s">
        <v>1312</v>
      </c>
      <c r="E749" s="189">
        <v>42275</v>
      </c>
      <c r="F749" s="190" t="s">
        <v>705</v>
      </c>
      <c r="G749" s="813" t="s">
        <v>1052</v>
      </c>
      <c r="H749" s="191" t="s">
        <v>413</v>
      </c>
      <c r="I749" s="243"/>
      <c r="J749" s="243"/>
      <c r="K749" s="573">
        <v>1155000</v>
      </c>
      <c r="L749" s="574" t="s">
        <v>250</v>
      </c>
      <c r="M749" s="574" t="s">
        <v>352</v>
      </c>
      <c r="N749" s="51" t="str">
        <f>IF(AND('331-CT'!$E$7=TH!H749,OR(L749="331",M749="331")),"331",IF(AND(OR(L749="131",M749="131"),H749='131-CT'!$E$7),"131",""))</f>
        <v/>
      </c>
      <c r="O749" s="51" t="str">
        <f>IF(AND($B749&gt;='111'!$N$11,$B749&lt;='111'!$O$11,OR($L749=$O$7,$M749=$O$7)),"x","")</f>
        <v/>
      </c>
      <c r="P749" s="51" t="str">
        <f>IF(AND($L749=$O$7,$B749&lt;'111'!$N$11),"x","")</f>
        <v/>
      </c>
      <c r="Q749" s="51" t="str">
        <f>IF(AND($M749=$O$7,$B749&lt;'111'!$N$11),"x","")</f>
        <v/>
      </c>
      <c r="R749" s="51" t="str">
        <f>IF(ISERROR(FIND('112'!$M$9,G749,1)),"",IF((AND(FIND('112'!$M$9,G749,1)&gt;=1,$B749&gt;='112'!$N$8,$B749&lt;='112'!$O$8,OR($L749='112'!$I$6,$M749='112'!$I$6))),"x",""))</f>
        <v/>
      </c>
      <c r="S749" s="51" t="str">
        <f>IF(ISERROR(FIND('112'!$M$9,G749,1)),"",IF((AND(LEFT(G749,2)=LEFT('112'!$M$9,2),B749&lt;'112'!$N$8,$L749='112'!$I$6)),"x",""))</f>
        <v/>
      </c>
      <c r="T749" s="51" t="str">
        <f>IF(ISERROR(FIND('112'!$M$9,G749,1)),"",IF((AND(RIGHT(G749,2)=RIGHT('112'!$M$9,2),B749&lt;'112'!$N$8,$M749='112'!$I$6)),"x",""))</f>
        <v/>
      </c>
      <c r="U749" s="51" t="str">
        <f>IF(AND(L749="154",'154'!$O$5&lt;=B749,'154'!$P$5&gt;=B749),"154",IF(AND(L749="632",'632'!$L$5&lt;=B749,'632'!$M$5&gt;=B749),"632",IF(AND(L749="642",'642'!$N$5&lt;=B749,'642'!$O$5&gt;=B749),"642",IF(AND(L749="641",'641'!$N$5&lt;=B749,'641'!$O$5&gt;=B749),"641",""))))</f>
        <v/>
      </c>
      <c r="V749" s="51" t="str">
        <f>IF(OR(TH!L749=TH!$V$7,M749=TH!$V$7),"x","")</f>
        <v/>
      </c>
      <c r="W749" s="51" t="str">
        <f>IF(AND(B749&gt;='IN-NX'!$P$3,B749&lt;='IN-NX'!$Q$3,'IN-NX'!$D$7=D749,OR(LEFT(L749,2)="15",AND(LEFT(M749,2)&lt;&gt;"15",LEFT(M749,2)&lt;&gt;"33"))),"x","")</f>
        <v/>
      </c>
      <c r="X749" s="51" t="str">
        <f>IF(AND(OR(LEFT(TH!L749,2)="15",LEFT(TH!M749,2)="15"),'152-CT'!$J$8=TH!F749),"x","")</f>
        <v/>
      </c>
      <c r="Y749" s="51" t="str">
        <f>IF(AND(OR(LEFT(TH!L749,2)="15",LEFT(TH!M749,2)="15"),TK!$E$7=TH!F749),"x","")</f>
        <v/>
      </c>
      <c r="Z749" s="51" t="str">
        <f>IF(AND(B749&lt;=NKC!$N$8,B749&gt;=NKC!$M$8),"x","")</f>
        <v>x</v>
      </c>
      <c r="AA749" s="803"/>
      <c r="AC749" s="203"/>
      <c r="AD749" s="203"/>
      <c r="AE749" s="203"/>
    </row>
    <row r="750" spans="1:31" ht="15.75" customHeight="1">
      <c r="A750" s="804" t="str">
        <f>IF(B750&lt;&gt;"",IF(AND(B750&gt;=_TM1,B750&lt;=_TM2,OR(TH!L750="1111",TH!M750="1111")),TH!D750,""),"")</f>
        <v>T52</v>
      </c>
      <c r="B750" s="36">
        <f t="shared" si="49"/>
        <v>9</v>
      </c>
      <c r="C750" s="189">
        <f t="shared" si="50"/>
        <v>42275</v>
      </c>
      <c r="D750" s="189" t="s">
        <v>1434</v>
      </c>
      <c r="E750" s="189">
        <v>42275</v>
      </c>
      <c r="F750" s="190" t="s">
        <v>423</v>
      </c>
      <c r="G750" s="813" t="s">
        <v>1052</v>
      </c>
      <c r="H750" s="191" t="s">
        <v>413</v>
      </c>
      <c r="I750" s="243"/>
      <c r="J750" s="243"/>
      <c r="K750" s="573">
        <v>12705000</v>
      </c>
      <c r="L750" s="574" t="s">
        <v>47</v>
      </c>
      <c r="M750" s="574" t="s">
        <v>250</v>
      </c>
      <c r="N750" s="51" t="str">
        <f>IF(AND('331-CT'!$E$7=TH!H750,OR(L750="331",M750="331")),"331",IF(AND(OR(L750="131",M750="131"),H750='131-CT'!$E$7),"131",""))</f>
        <v/>
      </c>
      <c r="O750" s="51" t="str">
        <f>IF(AND($B750&gt;='111'!$N$11,$B750&lt;='111'!$O$11,OR($L750=$O$7,$M750=$O$7)),"x","")</f>
        <v/>
      </c>
      <c r="P750" s="51" t="str">
        <f>IF(AND($L750=$O$7,$B750&lt;'111'!$N$11),"x","")</f>
        <v>x</v>
      </c>
      <c r="Q750" s="51" t="str">
        <f>IF(AND($M750=$O$7,$B750&lt;'111'!$N$11),"x","")</f>
        <v/>
      </c>
      <c r="R750" s="51" t="str">
        <f>IF(ISERROR(FIND('112'!$M$9,G750,1)),"",IF((AND(FIND('112'!$M$9,G750,1)&gt;=1,$B750&gt;='112'!$N$8,$B750&lt;='112'!$O$8,OR($L750='112'!$I$6,$M750='112'!$I$6))),"x",""))</f>
        <v/>
      </c>
      <c r="S750" s="51" t="str">
        <f>IF(ISERROR(FIND('112'!$M$9,G750,1)),"",IF((AND(LEFT(G750,2)=LEFT('112'!$M$9,2),B750&lt;'112'!$N$8,$L750='112'!$I$6)),"x",""))</f>
        <v/>
      </c>
      <c r="T750" s="51" t="str">
        <f>IF(ISERROR(FIND('112'!$M$9,G750,1)),"",IF((AND(RIGHT(G750,2)=RIGHT('112'!$M$9,2),B750&lt;'112'!$N$8,$M750='112'!$I$6)),"x",""))</f>
        <v/>
      </c>
      <c r="U750" s="51" t="str">
        <f>IF(AND(L750="154",'154'!$O$5&lt;=B750,'154'!$P$5&gt;=B750),"154",IF(AND(L750="632",'632'!$L$5&lt;=B750,'632'!$M$5&gt;=B750),"632",IF(AND(L750="642",'642'!$N$5&lt;=B750,'642'!$O$5&gt;=B750),"642",IF(AND(L750="641",'641'!$N$5&lt;=B750,'641'!$O$5&gt;=B750),"641",""))))</f>
        <v/>
      </c>
      <c r="V750" s="51" t="str">
        <f>IF(OR(TH!L750=TH!$V$7,M750=TH!$V$7),"x","")</f>
        <v/>
      </c>
      <c r="W750" s="51" t="str">
        <f>IF(AND(B750&gt;='IN-NX'!$P$3,B750&lt;='IN-NX'!$Q$3,'IN-NX'!$D$7=D750,OR(LEFT(L750,2)="15",AND(LEFT(M750,2)&lt;&gt;"15",LEFT(M750,2)&lt;&gt;"33"))),"x","")</f>
        <v/>
      </c>
      <c r="X750" s="51" t="str">
        <f>IF(AND(OR(LEFT(TH!L750,2)="15",LEFT(TH!M750,2)="15"),'152-CT'!$J$8=TH!F750),"x","")</f>
        <v/>
      </c>
      <c r="Y750" s="51" t="str">
        <f>IF(AND(OR(LEFT(TH!L750,2)="15",LEFT(TH!M750,2)="15"),TK!$E$7=TH!F750),"x","")</f>
        <v/>
      </c>
      <c r="Z750" s="51" t="str">
        <f>IF(AND(B750&lt;=NKC!$N$8,B750&gt;=NKC!$M$8),"x","")</f>
        <v>x</v>
      </c>
      <c r="AA750" s="803"/>
      <c r="AB750" s="565"/>
    </row>
    <row r="751" spans="1:31" ht="15.75" customHeight="1">
      <c r="A751" s="804" t="str">
        <f>IF(B751&lt;&gt;"",IF(AND(B751&gt;=_TM1,B751&lt;=_TM2,OR(TH!L751="1111",TH!M751="1111")),TH!D751,""),"")</f>
        <v/>
      </c>
      <c r="B751" s="36">
        <f t="shared" si="49"/>
        <v>9</v>
      </c>
      <c r="C751" s="189">
        <f t="shared" si="50"/>
        <v>42276</v>
      </c>
      <c r="D751" s="189" t="s">
        <v>421</v>
      </c>
      <c r="E751" s="182">
        <v>42276</v>
      </c>
      <c r="F751" s="190" t="s">
        <v>423</v>
      </c>
      <c r="G751" s="811" t="s">
        <v>415</v>
      </c>
      <c r="H751" s="7" t="s">
        <v>445</v>
      </c>
      <c r="I751" s="243"/>
      <c r="J751" s="243"/>
      <c r="K751" s="573">
        <v>9427900</v>
      </c>
      <c r="L751" s="192" t="s">
        <v>24</v>
      </c>
      <c r="M751" s="192" t="s">
        <v>250</v>
      </c>
      <c r="N751" s="51" t="str">
        <f>IF(AND('331-CT'!$E$7=TH!H751,OR(L751="331",M751="331")),"331",IF(AND(OR(L751="131",M751="131"),H751='131-CT'!$E$7),"131",""))</f>
        <v/>
      </c>
      <c r="O751" s="51" t="str">
        <f>IF(AND($B751&gt;='111'!$N$11,$B751&lt;='111'!$O$11,OR($L751=$O$7,$M751=$O$7)),"x","")</f>
        <v/>
      </c>
      <c r="P751" s="51" t="str">
        <f>IF(AND($L751=$O$7,$B751&lt;'111'!$N$11),"x","")</f>
        <v/>
      </c>
      <c r="Q751" s="51" t="str">
        <f>IF(AND($M751=$O$7,$B751&lt;'111'!$N$11),"x","")</f>
        <v/>
      </c>
      <c r="R751" s="51" t="str">
        <f>IF(ISERROR(FIND('112'!$M$9,G751,1)),"",IF((AND(FIND('112'!$M$9,G751,1)&gt;=1,$B751&gt;='112'!$N$8,$B751&lt;='112'!$O$8,OR($L751='112'!$I$6,$M751='112'!$I$6))),"x",""))</f>
        <v/>
      </c>
      <c r="S751" s="51" t="str">
        <f>IF(ISERROR(FIND('112'!$M$9,G751,1)),"",IF((AND(LEFT(G751,2)=LEFT('112'!$M$9,2),B751&lt;'112'!$N$8,$L751='112'!$I$6)),"x",""))</f>
        <v/>
      </c>
      <c r="T751" s="51" t="str">
        <f>IF(ISERROR(FIND('112'!$M$9,G751,1)),"",IF((AND(RIGHT(G751,2)=RIGHT('112'!$M$9,2),B751&lt;'112'!$N$8,$M751='112'!$I$6)),"x",""))</f>
        <v/>
      </c>
      <c r="U751" s="51" t="str">
        <f>IF(AND(L751="154",'154'!$O$5&lt;=B751,'154'!$P$5&gt;=B751),"154",IF(AND(L751="632",'632'!$L$5&lt;=B751,'632'!$M$5&gt;=B751),"632",IF(AND(L751="642",'642'!$N$5&lt;=B751,'642'!$O$5&gt;=B751),"642",IF(AND(L751="641",'641'!$N$5&lt;=B751,'641'!$O$5&gt;=B751),"641",""))))</f>
        <v/>
      </c>
      <c r="V751" s="51" t="str">
        <f>IF(OR(TH!L751=TH!$V$7,M751=TH!$V$7),"x","")</f>
        <v/>
      </c>
      <c r="W751" s="51" t="str">
        <f>IF(AND(B751&gt;='IN-NX'!$P$3,B751&lt;='IN-NX'!$Q$3,'IN-NX'!$D$7=D751,OR(LEFT(L751,2)="15",AND(LEFT(M751,2)&lt;&gt;"15",LEFT(M751,2)&lt;&gt;"33"))),"x","")</f>
        <v/>
      </c>
      <c r="X751" s="51" t="str">
        <f>IF(AND(OR(LEFT(TH!L751,2)="15",LEFT(TH!M751,2)="15"),'152-CT'!$J$8=TH!F751),"x","")</f>
        <v/>
      </c>
      <c r="Y751" s="51" t="str">
        <f>IF(AND(OR(LEFT(TH!L751,2)="15",LEFT(TH!M751,2)="15"),TK!$E$7=TH!F751),"x","")</f>
        <v/>
      </c>
      <c r="Z751" s="51" t="str">
        <f>IF(AND(B751&lt;=NKC!$N$8,B751&gt;=NKC!$M$8),"x","")</f>
        <v>x</v>
      </c>
      <c r="AA751" s="803"/>
      <c r="AB751" s="565"/>
      <c r="AD751" s="565"/>
      <c r="AE751" s="565"/>
    </row>
    <row r="752" spans="1:31" ht="15.75" customHeight="1">
      <c r="A752" s="804" t="str">
        <f>IF(B752&lt;&gt;"",IF(AND(B752&gt;=_TM1,B752&lt;=_TM2,OR(TH!L752="1111",TH!M752="1111")),TH!D752,""),"")</f>
        <v>T53</v>
      </c>
      <c r="B752" s="36">
        <f t="shared" si="49"/>
        <v>9</v>
      </c>
      <c r="C752" s="189">
        <f t="shared" si="50"/>
        <v>42276</v>
      </c>
      <c r="D752" s="189" t="s">
        <v>1437</v>
      </c>
      <c r="E752" s="182">
        <v>42276</v>
      </c>
      <c r="F752" s="187" t="s">
        <v>427</v>
      </c>
      <c r="G752" s="811" t="s">
        <v>415</v>
      </c>
      <c r="H752" s="7" t="s">
        <v>437</v>
      </c>
      <c r="I752" s="243"/>
      <c r="J752" s="243"/>
      <c r="K752" s="573">
        <v>12000000</v>
      </c>
      <c r="L752" s="574" t="s">
        <v>47</v>
      </c>
      <c r="M752" s="192" t="s">
        <v>24</v>
      </c>
      <c r="N752" s="51" t="str">
        <f>IF(AND('331-CT'!$E$7=TH!H752,OR(L752="331",M752="331")),"331",IF(AND(OR(L752="131",M752="131"),H752='131-CT'!$E$7),"131",""))</f>
        <v/>
      </c>
      <c r="O752" s="51" t="str">
        <f>IF(AND($B752&gt;='111'!$N$11,$B752&lt;='111'!$O$11,OR($L752=$O$7,$M752=$O$7)),"x","")</f>
        <v/>
      </c>
      <c r="P752" s="51" t="str">
        <f>IF(AND($L752=$O$7,$B752&lt;'111'!$N$11),"x","")</f>
        <v>x</v>
      </c>
      <c r="Q752" s="51" t="str">
        <f>IF(AND($M752=$O$7,$B752&lt;'111'!$N$11),"x","")</f>
        <v/>
      </c>
      <c r="R752" s="51" t="str">
        <f>IF(ISERROR(FIND('112'!$M$9,G752,1)),"",IF((AND(FIND('112'!$M$9,G752,1)&gt;=1,$B752&gt;='112'!$N$8,$B752&lt;='112'!$O$8,OR($L752='112'!$I$6,$M752='112'!$I$6))),"x",""))</f>
        <v/>
      </c>
      <c r="S752" s="51" t="str">
        <f>IF(ISERROR(FIND('112'!$M$9,G752,1)),"",IF((AND(LEFT(G752,2)=LEFT('112'!$M$9,2),B752&lt;'112'!$N$8,$L752='112'!$I$6)),"x",""))</f>
        <v/>
      </c>
      <c r="T752" s="51" t="str">
        <f>IF(ISERROR(FIND('112'!$M$9,G752,1)),"",IF((AND(RIGHT(G752,2)=RIGHT('112'!$M$9,2),B752&lt;'112'!$N$8,$M752='112'!$I$6)),"x",""))</f>
        <v/>
      </c>
      <c r="U752" s="51" t="str">
        <f>IF(AND(L752="154",'154'!$O$5&lt;=B752,'154'!$P$5&gt;=B752),"154",IF(AND(L752="632",'632'!$L$5&lt;=B752,'632'!$M$5&gt;=B752),"632",IF(AND(L752="642",'642'!$N$5&lt;=B752,'642'!$O$5&gt;=B752),"642",IF(AND(L752="641",'641'!$N$5&lt;=B752,'641'!$O$5&gt;=B752),"641",""))))</f>
        <v/>
      </c>
      <c r="V752" s="51" t="str">
        <f>IF(OR(TH!L752=TH!$V$7,M752=TH!$V$7),"x","")</f>
        <v/>
      </c>
      <c r="W752" s="51" t="str">
        <f>IF(AND(B752&gt;='IN-NX'!$P$3,B752&lt;='IN-NX'!$Q$3,'IN-NX'!$D$7=D752,OR(LEFT(L752,2)="15",AND(LEFT(M752,2)&lt;&gt;"15",LEFT(M752,2)&lt;&gt;"33"))),"x","")</f>
        <v/>
      </c>
      <c r="X752" s="51" t="str">
        <f>IF(AND(OR(LEFT(TH!L752,2)="15",LEFT(TH!M752,2)="15"),'152-CT'!$J$8=TH!F752),"x","")</f>
        <v/>
      </c>
      <c r="Y752" s="51" t="str">
        <f>IF(AND(OR(LEFT(TH!L752,2)="15",LEFT(TH!M752,2)="15"),TK!$E$7=TH!F752),"x","")</f>
        <v/>
      </c>
      <c r="Z752" s="51" t="str">
        <f>IF(AND(B752&lt;=NKC!$N$8,B752&gt;=NKC!$M$8),"x","")</f>
        <v>x</v>
      </c>
      <c r="AA752" s="803"/>
      <c r="AB752" s="565"/>
      <c r="AE752" s="565"/>
    </row>
    <row r="753" spans="1:31" s="565" customFormat="1" ht="15.75" customHeight="1">
      <c r="A753" s="804" t="str">
        <f>IF(B753&lt;&gt;"",IF(AND(B753&gt;=_TM1,B753&lt;=_TM2,OR(TH!L753="1111",TH!M753="1111")),TH!D753,""),"")</f>
        <v/>
      </c>
      <c r="B753" s="36">
        <f t="shared" si="49"/>
        <v>9</v>
      </c>
      <c r="C753" s="189">
        <f t="shared" si="50"/>
        <v>42276</v>
      </c>
      <c r="D753" s="189" t="s">
        <v>422</v>
      </c>
      <c r="E753" s="182">
        <v>42276</v>
      </c>
      <c r="F753" s="187" t="s">
        <v>438</v>
      </c>
      <c r="G753" s="811" t="s">
        <v>415</v>
      </c>
      <c r="H753" s="191" t="s">
        <v>959</v>
      </c>
      <c r="I753" s="243"/>
      <c r="J753" s="243"/>
      <c r="K753" s="573">
        <v>29101914</v>
      </c>
      <c r="L753" s="574" t="s">
        <v>8</v>
      </c>
      <c r="M753" s="192" t="s">
        <v>24</v>
      </c>
      <c r="N753" s="51" t="str">
        <f>IF(AND('331-CT'!$E$7=TH!H753,OR(L753="331",M753="331")),"331",IF(AND(OR(L753="131",M753="131"),H753='131-CT'!$E$7),"131",""))</f>
        <v>331</v>
      </c>
      <c r="O753" s="51" t="str">
        <f>IF(AND($B753&gt;='111'!$N$11,$B753&lt;='111'!$O$11,OR($L753=$O$7,$M753=$O$7)),"x","")</f>
        <v/>
      </c>
      <c r="P753" s="51" t="str">
        <f>IF(AND($L753=$O$7,$B753&lt;'111'!$N$11),"x","")</f>
        <v/>
      </c>
      <c r="Q753" s="51" t="str">
        <f>IF(AND($M753=$O$7,$B753&lt;'111'!$N$11),"x","")</f>
        <v/>
      </c>
      <c r="R753" s="51" t="str">
        <f>IF(ISERROR(FIND('112'!$M$9,G753,1)),"",IF((AND(FIND('112'!$M$9,G753,1)&gt;=1,$B753&gt;='112'!$N$8,$B753&lt;='112'!$O$8,OR($L753='112'!$I$6,$M753='112'!$I$6))),"x",""))</f>
        <v/>
      </c>
      <c r="S753" s="51" t="str">
        <f>IF(ISERROR(FIND('112'!$M$9,G753,1)),"",IF((AND(LEFT(G753,2)=LEFT('112'!$M$9,2),B753&lt;'112'!$N$8,$L753='112'!$I$6)),"x",""))</f>
        <v/>
      </c>
      <c r="T753" s="51" t="str">
        <f>IF(ISERROR(FIND('112'!$M$9,G753,1)),"",IF((AND(RIGHT(G753,2)=RIGHT('112'!$M$9,2),B753&lt;'112'!$N$8,$M753='112'!$I$6)),"x",""))</f>
        <v/>
      </c>
      <c r="U753" s="51" t="str">
        <f>IF(AND(L753="154",'154'!$O$5&lt;=B753,'154'!$P$5&gt;=B753),"154",IF(AND(L753="632",'632'!$L$5&lt;=B753,'632'!$M$5&gt;=B753),"632",IF(AND(L753="642",'642'!$N$5&lt;=B753,'642'!$O$5&gt;=B753),"642",IF(AND(L753="641",'641'!$N$5&lt;=B753,'641'!$O$5&gt;=B753),"641",""))))</f>
        <v/>
      </c>
      <c r="V753" s="51" t="str">
        <f>IF(OR(TH!L753=TH!$V$7,M753=TH!$V$7),"x","")</f>
        <v/>
      </c>
      <c r="W753" s="51" t="str">
        <f>IF(AND(B753&gt;='IN-NX'!$P$3,B753&lt;='IN-NX'!$Q$3,'IN-NX'!$D$7=D753,OR(LEFT(L753,2)="15",AND(LEFT(M753,2)&lt;&gt;"15",LEFT(M753,2)&lt;&gt;"33"))),"x","")</f>
        <v/>
      </c>
      <c r="X753" s="51" t="str">
        <f>IF(AND(OR(LEFT(TH!L753,2)="15",LEFT(TH!M753,2)="15"),'152-CT'!$J$8=TH!F753),"x","")</f>
        <v/>
      </c>
      <c r="Y753" s="51" t="str">
        <f>IF(AND(OR(LEFT(TH!L753,2)="15",LEFT(TH!M753,2)="15"),TK!$E$7=TH!F753),"x","")</f>
        <v/>
      </c>
      <c r="Z753" s="51" t="str">
        <f>IF(AND(B753&lt;=NKC!$N$8,B753&gt;=NKC!$M$8),"x","")</f>
        <v>x</v>
      </c>
      <c r="AA753" s="803"/>
      <c r="AC753" s="203"/>
      <c r="AD753" s="203"/>
    </row>
    <row r="754" spans="1:31" s="565" customFormat="1" ht="15.75" customHeight="1">
      <c r="A754" s="804" t="str">
        <f>IF(B754&lt;&gt;"",IF(AND(B754&gt;=_TM1,B754&lt;=_TM2,OR(TH!L754="1111",TH!M754="1111")),TH!D754,""),"")</f>
        <v/>
      </c>
      <c r="B754" s="36">
        <f t="shared" si="49"/>
        <v>9</v>
      </c>
      <c r="C754" s="189">
        <f t="shared" si="50"/>
        <v>42276</v>
      </c>
      <c r="D754" s="189" t="s">
        <v>1313</v>
      </c>
      <c r="E754" s="189">
        <v>42276</v>
      </c>
      <c r="F754" s="926" t="s">
        <v>717</v>
      </c>
      <c r="G754" s="813" t="s">
        <v>924</v>
      </c>
      <c r="H754" s="202" t="s">
        <v>424</v>
      </c>
      <c r="I754" s="243">
        <v>30</v>
      </c>
      <c r="J754" s="243">
        <v>54740</v>
      </c>
      <c r="K754" s="573">
        <f>ROUND(I754*J754,0)</f>
        <v>1642200</v>
      </c>
      <c r="L754" s="574" t="s">
        <v>250</v>
      </c>
      <c r="M754" s="574" t="s">
        <v>164</v>
      </c>
      <c r="N754" s="51" t="str">
        <f>IF(AND('331-CT'!$E$7=TH!H754,OR(L754="331",M754="331")),"331",IF(AND(OR(L754="131",M754="131"),H754='131-CT'!$E$7),"131",""))</f>
        <v/>
      </c>
      <c r="O754" s="51" t="str">
        <f>IF(AND($B754&gt;='111'!$N$11,$B754&lt;='111'!$O$11,OR($L754=$O$7,$M754=$O$7)),"x","")</f>
        <v/>
      </c>
      <c r="P754" s="51" t="str">
        <f>IF(AND($L754=$O$7,$B754&lt;'111'!$N$11),"x","")</f>
        <v/>
      </c>
      <c r="Q754" s="51" t="str">
        <f>IF(AND($M754=$O$7,$B754&lt;'111'!$N$11),"x","")</f>
        <v/>
      </c>
      <c r="R754" s="51" t="str">
        <f>IF(ISERROR(FIND('112'!$M$9,G754,1)),"",IF((AND(FIND('112'!$M$9,G754,1)&gt;=1,$B754&gt;='112'!$N$8,$B754&lt;='112'!$O$8,OR($L754='112'!$I$6,$M754='112'!$I$6))),"x",""))</f>
        <v/>
      </c>
      <c r="S754" s="51" t="str">
        <f>IF(ISERROR(FIND('112'!$M$9,G754,1)),"",IF((AND(LEFT(G754,2)=LEFT('112'!$M$9,2),B754&lt;'112'!$N$8,$L754='112'!$I$6)),"x",""))</f>
        <v/>
      </c>
      <c r="T754" s="51" t="str">
        <f>IF(ISERROR(FIND('112'!$M$9,G754,1)),"",IF((AND(RIGHT(G754,2)=RIGHT('112'!$M$9,2),B754&lt;'112'!$N$8,$M754='112'!$I$6)),"x",""))</f>
        <v/>
      </c>
      <c r="U754" s="51" t="str">
        <f>IF(AND(L754="154",'154'!$O$5&lt;=B754,'154'!$P$5&gt;=B754),"154",IF(AND(L754="632",'632'!$L$5&lt;=B754,'632'!$M$5&gt;=B754),"632",IF(AND(L754="642",'642'!$N$5&lt;=B754,'642'!$O$5&gt;=B754),"642",IF(AND(L754="641",'641'!$N$5&lt;=B754,'641'!$O$5&gt;=B754),"641",""))))</f>
        <v/>
      </c>
      <c r="V754" s="51" t="str">
        <f>IF(OR(TH!L754=TH!$V$7,M754=TH!$V$7),"x","")</f>
        <v/>
      </c>
      <c r="W754" s="51" t="str">
        <f>IF(AND(B754&gt;='IN-NX'!$P$3,B754&lt;='IN-NX'!$Q$3,'IN-NX'!$D$7=D754,OR(LEFT(L754,2)="15",AND(LEFT(M754,2)&lt;&gt;"15",LEFT(M754,2)&lt;&gt;"33"))),"x","")</f>
        <v/>
      </c>
      <c r="X754" s="51" t="str">
        <f>IF(AND(OR(LEFT(TH!L754,2)="15",LEFT(TH!M754,2)="15"),'152-CT'!$J$8=TH!F754),"x","")</f>
        <v/>
      </c>
      <c r="Y754" s="51" t="str">
        <f>IF(AND(OR(LEFT(TH!L754,2)="15",LEFT(TH!M754,2)="15"),TK!$E$7=TH!F754),"x","")</f>
        <v/>
      </c>
      <c r="Z754" s="51" t="str">
        <f>IF(AND(B754&lt;=NKC!$N$8,B754&gt;=NKC!$M$8),"x","")</f>
        <v>x</v>
      </c>
      <c r="AA754" s="803"/>
      <c r="AC754" s="203"/>
      <c r="AD754" s="203"/>
      <c r="AE754" s="203"/>
    </row>
    <row r="755" spans="1:31" s="565" customFormat="1" ht="15.75" customHeight="1">
      <c r="A755" s="804" t="str">
        <f>IF(B755&lt;&gt;"",IF(AND(B755&gt;=_TM1,B755&lt;=_TM2,OR(TH!L755="1111",TH!M755="1111")),TH!D755,""),"")</f>
        <v/>
      </c>
      <c r="B755" s="36">
        <f t="shared" si="49"/>
        <v>9</v>
      </c>
      <c r="C755" s="189">
        <f t="shared" si="50"/>
        <v>42276</v>
      </c>
      <c r="D755" s="189" t="s">
        <v>1313</v>
      </c>
      <c r="E755" s="189">
        <v>42276</v>
      </c>
      <c r="F755" s="926" t="s">
        <v>718</v>
      </c>
      <c r="G755" s="813" t="s">
        <v>924</v>
      </c>
      <c r="H755" s="202" t="s">
        <v>424</v>
      </c>
      <c r="I755" s="243">
        <v>33</v>
      </c>
      <c r="J755" s="243">
        <v>29866</v>
      </c>
      <c r="K755" s="573">
        <f>ROUND(I755*J755,0)</f>
        <v>985578</v>
      </c>
      <c r="L755" s="574" t="s">
        <v>250</v>
      </c>
      <c r="M755" s="574" t="s">
        <v>164</v>
      </c>
      <c r="N755" s="51" t="str">
        <f>IF(AND('331-CT'!$E$7=TH!H755,OR(L755="331",M755="331")),"331",IF(AND(OR(L755="131",M755="131"),H755='131-CT'!$E$7),"131",""))</f>
        <v/>
      </c>
      <c r="O755" s="51" t="str">
        <f>IF(AND($B755&gt;='111'!$N$11,$B755&lt;='111'!$O$11,OR($L755=$O$7,$M755=$O$7)),"x","")</f>
        <v/>
      </c>
      <c r="P755" s="51" t="str">
        <f>IF(AND($L755=$O$7,$B755&lt;'111'!$N$11),"x","")</f>
        <v/>
      </c>
      <c r="Q755" s="51" t="str">
        <f>IF(AND($M755=$O$7,$B755&lt;'111'!$N$11),"x","")</f>
        <v/>
      </c>
      <c r="R755" s="51" t="str">
        <f>IF(ISERROR(FIND('112'!$M$9,G755,1)),"",IF((AND(FIND('112'!$M$9,G755,1)&gt;=1,$B755&gt;='112'!$N$8,$B755&lt;='112'!$O$8,OR($L755='112'!$I$6,$M755='112'!$I$6))),"x",""))</f>
        <v/>
      </c>
      <c r="S755" s="51" t="str">
        <f>IF(ISERROR(FIND('112'!$M$9,G755,1)),"",IF((AND(LEFT(G755,2)=LEFT('112'!$M$9,2),B755&lt;'112'!$N$8,$L755='112'!$I$6)),"x",""))</f>
        <v/>
      </c>
      <c r="T755" s="51" t="str">
        <f>IF(ISERROR(FIND('112'!$M$9,G755,1)),"",IF((AND(RIGHT(G755,2)=RIGHT('112'!$M$9,2),B755&lt;'112'!$N$8,$M755='112'!$I$6)),"x",""))</f>
        <v/>
      </c>
      <c r="U755" s="51" t="str">
        <f>IF(AND(L755="154",'154'!$O$5&lt;=B755,'154'!$P$5&gt;=B755),"154",IF(AND(L755="632",'632'!$L$5&lt;=B755,'632'!$M$5&gt;=B755),"632",IF(AND(L755="642",'642'!$N$5&lt;=B755,'642'!$O$5&gt;=B755),"642",IF(AND(L755="641",'641'!$N$5&lt;=B755,'641'!$O$5&gt;=B755),"641",""))))</f>
        <v/>
      </c>
      <c r="V755" s="51" t="str">
        <f>IF(OR(TH!L755=TH!$V$7,M755=TH!$V$7),"x","")</f>
        <v/>
      </c>
      <c r="W755" s="51" t="str">
        <f>IF(AND(B755&gt;='IN-NX'!$P$3,B755&lt;='IN-NX'!$Q$3,'IN-NX'!$D$7=D755,OR(LEFT(L755,2)="15",AND(LEFT(M755,2)&lt;&gt;"15",LEFT(M755,2)&lt;&gt;"33"))),"x","")</f>
        <v/>
      </c>
      <c r="X755" s="51" t="str">
        <f>IF(AND(OR(LEFT(TH!L755,2)="15",LEFT(TH!M755,2)="15"),'152-CT'!$J$8=TH!F755),"x","")</f>
        <v/>
      </c>
      <c r="Y755" s="51" t="str">
        <f>IF(AND(OR(LEFT(TH!L755,2)="15",LEFT(TH!M755,2)="15"),TK!$E$7=TH!F755),"x","")</f>
        <v/>
      </c>
      <c r="Z755" s="51" t="str">
        <f>IF(AND(B755&lt;=NKC!$N$8,B755&gt;=NKC!$M$8),"x","")</f>
        <v>x</v>
      </c>
      <c r="AA755" s="803"/>
      <c r="AC755" s="203"/>
      <c r="AD755" s="203"/>
      <c r="AE755" s="203"/>
    </row>
    <row r="756" spans="1:31" s="565" customFormat="1" ht="15.75" customHeight="1">
      <c r="A756" s="804" t="str">
        <f>IF(B756&lt;&gt;"",IF(AND(B756&gt;=_TM1,B756&lt;=_TM2,OR(TH!L756="1111",TH!M756="1111")),TH!D756,""),"")</f>
        <v/>
      </c>
      <c r="B756" s="36">
        <f t="shared" si="49"/>
        <v>9</v>
      </c>
      <c r="C756" s="189">
        <f t="shared" si="50"/>
        <v>42276</v>
      </c>
      <c r="D756" s="189" t="s">
        <v>1313</v>
      </c>
      <c r="E756" s="189">
        <v>42276</v>
      </c>
      <c r="F756" s="922" t="s">
        <v>719</v>
      </c>
      <c r="G756" s="811" t="s">
        <v>924</v>
      </c>
      <c r="H756" s="202" t="s">
        <v>424</v>
      </c>
      <c r="I756" s="243">
        <v>33</v>
      </c>
      <c r="J756" s="243">
        <v>38580</v>
      </c>
      <c r="K756" s="573">
        <f>ROUND(I756*J756,0)</f>
        <v>1273140</v>
      </c>
      <c r="L756" s="574" t="s">
        <v>250</v>
      </c>
      <c r="M756" s="574" t="s">
        <v>164</v>
      </c>
      <c r="N756" s="51" t="str">
        <f>IF(AND('331-CT'!$E$7=TH!H756,OR(L756="331",M756="331")),"331",IF(AND(OR(L756="131",M756="131"),H756='131-CT'!$E$7),"131",""))</f>
        <v/>
      </c>
      <c r="O756" s="51" t="str">
        <f>IF(AND($B756&gt;='111'!$N$11,$B756&lt;='111'!$O$11,OR($L756=$O$7,$M756=$O$7)),"x","")</f>
        <v/>
      </c>
      <c r="P756" s="51" t="str">
        <f>IF(AND($L756=$O$7,$B756&lt;'111'!$N$11),"x","")</f>
        <v/>
      </c>
      <c r="Q756" s="51" t="str">
        <f>IF(AND($M756=$O$7,$B756&lt;'111'!$N$11),"x","")</f>
        <v/>
      </c>
      <c r="R756" s="51" t="str">
        <f>IF(ISERROR(FIND('112'!$M$9,G756,1)),"",IF((AND(FIND('112'!$M$9,G756,1)&gt;=1,$B756&gt;='112'!$N$8,$B756&lt;='112'!$O$8,OR($L756='112'!$I$6,$M756='112'!$I$6))),"x",""))</f>
        <v/>
      </c>
      <c r="S756" s="51" t="str">
        <f>IF(ISERROR(FIND('112'!$M$9,G756,1)),"",IF((AND(LEFT(G756,2)=LEFT('112'!$M$9,2),B756&lt;'112'!$N$8,$L756='112'!$I$6)),"x",""))</f>
        <v/>
      </c>
      <c r="T756" s="51" t="str">
        <f>IF(ISERROR(FIND('112'!$M$9,G756,1)),"",IF((AND(RIGHT(G756,2)=RIGHT('112'!$M$9,2),B756&lt;'112'!$N$8,$M756='112'!$I$6)),"x",""))</f>
        <v/>
      </c>
      <c r="U756" s="51" t="str">
        <f>IF(AND(L756="154",'154'!$O$5&lt;=B756,'154'!$P$5&gt;=B756),"154",IF(AND(L756="632",'632'!$L$5&lt;=B756,'632'!$M$5&gt;=B756),"632",IF(AND(L756="642",'642'!$N$5&lt;=B756,'642'!$O$5&gt;=B756),"642",IF(AND(L756="641",'641'!$N$5&lt;=B756,'641'!$O$5&gt;=B756),"641",""))))</f>
        <v/>
      </c>
      <c r="V756" s="51" t="str">
        <f>IF(OR(TH!L756=TH!$V$7,M756=TH!$V$7),"x","")</f>
        <v/>
      </c>
      <c r="W756" s="51" t="str">
        <f>IF(AND(B756&gt;='IN-NX'!$P$3,B756&lt;='IN-NX'!$Q$3,'IN-NX'!$D$7=D756,OR(LEFT(L756,2)="15",AND(LEFT(M756,2)&lt;&gt;"15",LEFT(M756,2)&lt;&gt;"33"))),"x","")</f>
        <v/>
      </c>
      <c r="X756" s="51" t="str">
        <f>IF(AND(OR(LEFT(TH!L756,2)="15",LEFT(TH!M756,2)="15"),'152-CT'!$J$8=TH!F756),"x","")</f>
        <v/>
      </c>
      <c r="Y756" s="51" t="str">
        <f>IF(AND(OR(LEFT(TH!L756,2)="15",LEFT(TH!M756,2)="15"),TK!$E$7=TH!F756),"x","")</f>
        <v/>
      </c>
      <c r="Z756" s="51" t="str">
        <f>IF(AND(B756&lt;=NKC!$N$8,B756&gt;=NKC!$M$8),"x","")</f>
        <v>x</v>
      </c>
      <c r="AA756" s="803"/>
      <c r="AC756" s="203"/>
      <c r="AD756" s="203"/>
      <c r="AE756" s="203"/>
    </row>
    <row r="757" spans="1:31" s="565" customFormat="1" ht="15.75" customHeight="1">
      <c r="A757" s="804" t="str">
        <f>IF(B757&lt;&gt;"",IF(AND(B757&gt;=_TM1,B757&lt;=_TM2,OR(TH!L757="1111",TH!M757="1111")),TH!D757,""),"")</f>
        <v/>
      </c>
      <c r="B757" s="36">
        <f t="shared" si="49"/>
        <v>9</v>
      </c>
      <c r="C757" s="189">
        <f t="shared" si="50"/>
        <v>42276</v>
      </c>
      <c r="D757" s="189" t="s">
        <v>1313</v>
      </c>
      <c r="E757" s="189">
        <v>42276</v>
      </c>
      <c r="F757" s="190" t="s">
        <v>720</v>
      </c>
      <c r="G757" s="811" t="s">
        <v>924</v>
      </c>
      <c r="H757" s="202" t="s">
        <v>424</v>
      </c>
      <c r="I757" s="243">
        <v>33</v>
      </c>
      <c r="J757" s="243">
        <v>41618</v>
      </c>
      <c r="K757" s="573">
        <f>ROUND(I757*J757,0)</f>
        <v>1373394</v>
      </c>
      <c r="L757" s="574" t="s">
        <v>250</v>
      </c>
      <c r="M757" s="574" t="s">
        <v>164</v>
      </c>
      <c r="N757" s="51" t="str">
        <f>IF(AND('331-CT'!$E$7=TH!H757,OR(L757="331",M757="331")),"331",IF(AND(OR(L757="131",M757="131"),H757='131-CT'!$E$7),"131",""))</f>
        <v/>
      </c>
      <c r="O757" s="51" t="str">
        <f>IF(AND($B757&gt;='111'!$N$11,$B757&lt;='111'!$O$11,OR($L757=$O$7,$M757=$O$7)),"x","")</f>
        <v/>
      </c>
      <c r="P757" s="51" t="str">
        <f>IF(AND($L757=$O$7,$B757&lt;'111'!$N$11),"x","")</f>
        <v/>
      </c>
      <c r="Q757" s="51" t="str">
        <f>IF(AND($M757=$O$7,$B757&lt;'111'!$N$11),"x","")</f>
        <v/>
      </c>
      <c r="R757" s="51" t="str">
        <f>IF(ISERROR(FIND('112'!$M$9,G757,1)),"",IF((AND(FIND('112'!$M$9,G757,1)&gt;=1,$B757&gt;='112'!$N$8,$B757&lt;='112'!$O$8,OR($L757='112'!$I$6,$M757='112'!$I$6))),"x",""))</f>
        <v/>
      </c>
      <c r="S757" s="51" t="str">
        <f>IF(ISERROR(FIND('112'!$M$9,G757,1)),"",IF((AND(LEFT(G757,2)=LEFT('112'!$M$9,2),B757&lt;'112'!$N$8,$L757='112'!$I$6)),"x",""))</f>
        <v/>
      </c>
      <c r="T757" s="51" t="str">
        <f>IF(ISERROR(FIND('112'!$M$9,G757,1)),"",IF((AND(RIGHT(G757,2)=RIGHT('112'!$M$9,2),B757&lt;'112'!$N$8,$M757='112'!$I$6)),"x",""))</f>
        <v/>
      </c>
      <c r="U757" s="51" t="str">
        <f>IF(AND(L757="154",'154'!$O$5&lt;=B757,'154'!$P$5&gt;=B757),"154",IF(AND(L757="632",'632'!$L$5&lt;=B757,'632'!$M$5&gt;=B757),"632",IF(AND(L757="642",'642'!$N$5&lt;=B757,'642'!$O$5&gt;=B757),"642",IF(AND(L757="641",'641'!$N$5&lt;=B757,'641'!$O$5&gt;=B757),"641",""))))</f>
        <v/>
      </c>
      <c r="V757" s="51" t="str">
        <f>IF(OR(TH!L757=TH!$V$7,M757=TH!$V$7),"x","")</f>
        <v/>
      </c>
      <c r="W757" s="51" t="str">
        <f>IF(AND(B757&gt;='IN-NX'!$P$3,B757&lt;='IN-NX'!$Q$3,'IN-NX'!$D$7=D757,OR(LEFT(L757,2)="15",AND(LEFT(M757,2)&lt;&gt;"15",LEFT(M757,2)&lt;&gt;"33"))),"x","")</f>
        <v/>
      </c>
      <c r="X757" s="51" t="str">
        <f>IF(AND(OR(LEFT(TH!L757,2)="15",LEFT(TH!M757,2)="15"),'152-CT'!$J$8=TH!F757),"x","")</f>
        <v/>
      </c>
      <c r="Y757" s="51" t="str">
        <f>IF(AND(OR(LEFT(TH!L757,2)="15",LEFT(TH!M757,2)="15"),TK!$E$7=TH!F757),"x","")</f>
        <v/>
      </c>
      <c r="Z757" s="51" t="str">
        <f>IF(AND(B757&lt;=NKC!$N$8,B757&gt;=NKC!$M$8),"x","")</f>
        <v>x</v>
      </c>
      <c r="AA757" s="803"/>
      <c r="AC757" s="203"/>
      <c r="AD757" s="203"/>
      <c r="AE757" s="203"/>
    </row>
    <row r="758" spans="1:31" s="565" customFormat="1" ht="15.75" customHeight="1">
      <c r="A758" s="804" t="str">
        <f>IF(B758&lt;&gt;"",IF(AND(B758&gt;=_TM1,B758&lt;=_TM2,OR(TH!L758="1111",TH!M758="1111")),TH!D758,""),"")</f>
        <v/>
      </c>
      <c r="B758" s="36">
        <f t="shared" si="49"/>
        <v>9</v>
      </c>
      <c r="C758" s="189">
        <f t="shared" si="50"/>
        <v>42276</v>
      </c>
      <c r="D758" s="189" t="s">
        <v>1313</v>
      </c>
      <c r="E758" s="189">
        <v>42276</v>
      </c>
      <c r="F758" s="190" t="s">
        <v>721</v>
      </c>
      <c r="G758" s="811" t="s">
        <v>924</v>
      </c>
      <c r="H758" s="202" t="s">
        <v>424</v>
      </c>
      <c r="I758" s="243">
        <v>33</v>
      </c>
      <c r="J758" s="243">
        <v>52041</v>
      </c>
      <c r="K758" s="573">
        <f>ROUND(I758*J758,0)</f>
        <v>1717353</v>
      </c>
      <c r="L758" s="574" t="s">
        <v>250</v>
      </c>
      <c r="M758" s="574" t="s">
        <v>164</v>
      </c>
      <c r="N758" s="51" t="str">
        <f>IF(AND('331-CT'!$E$7=TH!H758,OR(L758="331",M758="331")),"331",IF(AND(OR(L758="131",M758="131"),H758='131-CT'!$E$7),"131",""))</f>
        <v/>
      </c>
      <c r="O758" s="51" t="str">
        <f>IF(AND($B758&gt;='111'!$N$11,$B758&lt;='111'!$O$11,OR($L758=$O$7,$M758=$O$7)),"x","")</f>
        <v/>
      </c>
      <c r="P758" s="51" t="str">
        <f>IF(AND($L758=$O$7,$B758&lt;'111'!$N$11),"x","")</f>
        <v/>
      </c>
      <c r="Q758" s="51" t="str">
        <f>IF(AND($M758=$O$7,$B758&lt;'111'!$N$11),"x","")</f>
        <v/>
      </c>
      <c r="R758" s="51" t="str">
        <f>IF(ISERROR(FIND('112'!$M$9,G758,1)),"",IF((AND(FIND('112'!$M$9,G758,1)&gt;=1,$B758&gt;='112'!$N$8,$B758&lt;='112'!$O$8,OR($L758='112'!$I$6,$M758='112'!$I$6))),"x",""))</f>
        <v/>
      </c>
      <c r="S758" s="51" t="str">
        <f>IF(ISERROR(FIND('112'!$M$9,G758,1)),"",IF((AND(LEFT(G758,2)=LEFT('112'!$M$9,2),B758&lt;'112'!$N$8,$L758='112'!$I$6)),"x",""))</f>
        <v/>
      </c>
      <c r="T758" s="51" t="str">
        <f>IF(ISERROR(FIND('112'!$M$9,G758,1)),"",IF((AND(RIGHT(G758,2)=RIGHT('112'!$M$9,2),B758&lt;'112'!$N$8,$M758='112'!$I$6)),"x",""))</f>
        <v/>
      </c>
      <c r="U758" s="51" t="str">
        <f>IF(AND(L758="154",'154'!$O$5&lt;=B758,'154'!$P$5&gt;=B758),"154",IF(AND(L758="632",'632'!$L$5&lt;=B758,'632'!$M$5&gt;=B758),"632",IF(AND(L758="642",'642'!$N$5&lt;=B758,'642'!$O$5&gt;=B758),"642",IF(AND(L758="641",'641'!$N$5&lt;=B758,'641'!$O$5&gt;=B758),"641",""))))</f>
        <v/>
      </c>
      <c r="V758" s="51" t="str">
        <f>IF(OR(TH!L758=TH!$V$7,M758=TH!$V$7),"x","")</f>
        <v/>
      </c>
      <c r="W758" s="51" t="str">
        <f>IF(AND(B758&gt;='IN-NX'!$P$3,B758&lt;='IN-NX'!$Q$3,'IN-NX'!$D$7=D758,OR(LEFT(L758,2)="15",AND(LEFT(M758,2)&lt;&gt;"15",LEFT(M758,2)&lt;&gt;"33"))),"x","")</f>
        <v/>
      </c>
      <c r="X758" s="51" t="str">
        <f>IF(AND(OR(LEFT(TH!L758,2)="15",LEFT(TH!M758,2)="15"),'152-CT'!$J$8=TH!F758),"x","")</f>
        <v/>
      </c>
      <c r="Y758" s="51" t="str">
        <f>IF(AND(OR(LEFT(TH!L758,2)="15",LEFT(TH!M758,2)="15"),TK!$E$7=TH!F758),"x","")</f>
        <v/>
      </c>
      <c r="Z758" s="51" t="str">
        <f>IF(AND(B758&lt;=NKC!$N$8,B758&gt;=NKC!$M$8),"x","")</f>
        <v>x</v>
      </c>
      <c r="AA758" s="803"/>
      <c r="AC758" s="203"/>
      <c r="AD758" s="203"/>
      <c r="AE758" s="203"/>
    </row>
    <row r="759" spans="1:31" s="565" customFormat="1" ht="15.75" customHeight="1">
      <c r="A759" s="804" t="str">
        <f>IF(B759&lt;&gt;"",IF(AND(B759&gt;=_TM1,B759&lt;=_TM2,OR(TH!L759="1111",TH!M759="1111")),TH!D759,""),"")</f>
        <v/>
      </c>
      <c r="B759" s="36">
        <f t="shared" si="49"/>
        <v>9</v>
      </c>
      <c r="C759" s="189">
        <f t="shared" si="50"/>
        <v>42276</v>
      </c>
      <c r="D759" s="189" t="s">
        <v>1313</v>
      </c>
      <c r="E759" s="189">
        <v>42276</v>
      </c>
      <c r="F759" s="190" t="s">
        <v>962</v>
      </c>
      <c r="G759" s="811" t="s">
        <v>924</v>
      </c>
      <c r="H759" s="202" t="s">
        <v>424</v>
      </c>
      <c r="I759" s="243"/>
      <c r="J759" s="243"/>
      <c r="K759" s="573">
        <v>699166</v>
      </c>
      <c r="L759" s="574" t="s">
        <v>250</v>
      </c>
      <c r="M759" s="574" t="s">
        <v>352</v>
      </c>
      <c r="N759" s="51" t="str">
        <f>IF(AND('331-CT'!$E$7=TH!H759,OR(L759="331",M759="331")),"331",IF(AND(OR(L759="131",M759="131"),H759='131-CT'!$E$7),"131",""))</f>
        <v/>
      </c>
      <c r="O759" s="51" t="str">
        <f>IF(AND($B759&gt;='111'!$N$11,$B759&lt;='111'!$O$11,OR($L759=$O$7,$M759=$O$7)),"x","")</f>
        <v/>
      </c>
      <c r="P759" s="51" t="str">
        <f>IF(AND($L759=$O$7,$B759&lt;'111'!$N$11),"x","")</f>
        <v/>
      </c>
      <c r="Q759" s="51" t="str">
        <f>IF(AND($M759=$O$7,$B759&lt;'111'!$N$11),"x","")</f>
        <v/>
      </c>
      <c r="R759" s="51" t="str">
        <f>IF(ISERROR(FIND('112'!$M$9,G759,1)),"",IF((AND(FIND('112'!$M$9,G759,1)&gt;=1,$B759&gt;='112'!$N$8,$B759&lt;='112'!$O$8,OR($L759='112'!$I$6,$M759='112'!$I$6))),"x",""))</f>
        <v/>
      </c>
      <c r="S759" s="51" t="str">
        <f>IF(ISERROR(FIND('112'!$M$9,G759,1)),"",IF((AND(LEFT(G759,2)=LEFT('112'!$M$9,2),B759&lt;'112'!$N$8,$L759='112'!$I$6)),"x",""))</f>
        <v/>
      </c>
      <c r="T759" s="51" t="str">
        <f>IF(ISERROR(FIND('112'!$M$9,G759,1)),"",IF((AND(RIGHT(G759,2)=RIGHT('112'!$M$9,2),B759&lt;'112'!$N$8,$M759='112'!$I$6)),"x",""))</f>
        <v/>
      </c>
      <c r="U759" s="51" t="str">
        <f>IF(AND(L759="154",'154'!$O$5&lt;=B759,'154'!$P$5&gt;=B759),"154",IF(AND(L759="632",'632'!$L$5&lt;=B759,'632'!$M$5&gt;=B759),"632",IF(AND(L759="642",'642'!$N$5&lt;=B759,'642'!$O$5&gt;=B759),"642",IF(AND(L759="641",'641'!$N$5&lt;=B759,'641'!$O$5&gt;=B759),"641",""))))</f>
        <v/>
      </c>
      <c r="V759" s="51" t="str">
        <f>IF(OR(TH!L759=TH!$V$7,M759=TH!$V$7),"x","")</f>
        <v/>
      </c>
      <c r="W759" s="51" t="str">
        <f>IF(AND(B759&gt;='IN-NX'!$P$3,B759&lt;='IN-NX'!$Q$3,'IN-NX'!$D$7=D759,OR(LEFT(L759,2)="15",AND(LEFT(M759,2)&lt;&gt;"15",LEFT(M759,2)&lt;&gt;"33"))),"x","")</f>
        <v/>
      </c>
      <c r="X759" s="51" t="str">
        <f>IF(AND(OR(LEFT(TH!L759,2)="15",LEFT(TH!M759,2)="15"),'152-CT'!$J$8=TH!F759),"x","")</f>
        <v/>
      </c>
      <c r="Y759" s="51" t="str">
        <f>IF(AND(OR(LEFT(TH!L759,2)="15",LEFT(TH!M759,2)="15"),TK!$E$7=TH!F759),"x","")</f>
        <v/>
      </c>
      <c r="Z759" s="51" t="str">
        <f>IF(AND(B759&lt;=NKC!$N$8,B759&gt;=NKC!$M$8),"x","")</f>
        <v>x</v>
      </c>
      <c r="AA759" s="803"/>
      <c r="AC759" s="203"/>
      <c r="AD759" s="203"/>
      <c r="AE759" s="203"/>
    </row>
    <row r="760" spans="1:31" s="565" customFormat="1" ht="15.75" customHeight="1">
      <c r="A760" s="804" t="str">
        <f>IF(B760&lt;&gt;"",IF(AND(B760&gt;=_TM1,B760&lt;=_TM2,OR(TH!L760="1111",TH!M760="1111")),TH!D760,""),"")</f>
        <v>T54</v>
      </c>
      <c r="B760" s="36">
        <f t="shared" si="49"/>
        <v>9</v>
      </c>
      <c r="C760" s="189">
        <f t="shared" si="50"/>
        <v>42277</v>
      </c>
      <c r="D760" s="189" t="s">
        <v>1438</v>
      </c>
      <c r="E760" s="182">
        <v>42277</v>
      </c>
      <c r="F760" s="187" t="s">
        <v>427</v>
      </c>
      <c r="G760" s="811" t="s">
        <v>415</v>
      </c>
      <c r="H760" s="7" t="s">
        <v>437</v>
      </c>
      <c r="I760" s="243"/>
      <c r="J760" s="243"/>
      <c r="K760" s="573">
        <v>6000000</v>
      </c>
      <c r="L760" s="574" t="s">
        <v>47</v>
      </c>
      <c r="M760" s="192" t="s">
        <v>24</v>
      </c>
      <c r="N760" s="51" t="str">
        <f>IF(AND('331-CT'!$E$7=TH!H760,OR(L760="331",M760="331")),"331",IF(AND(OR(L760="131",M760="131"),H760='131-CT'!$E$7),"131",""))</f>
        <v/>
      </c>
      <c r="O760" s="51" t="str">
        <f>IF(AND($B760&gt;='111'!$N$11,$B760&lt;='111'!$O$11,OR($L760=$O$7,$M760=$O$7)),"x","")</f>
        <v/>
      </c>
      <c r="P760" s="51" t="str">
        <f>IF(AND($L760=$O$7,$B760&lt;'111'!$N$11),"x","")</f>
        <v>x</v>
      </c>
      <c r="Q760" s="51" t="str">
        <f>IF(AND($M760=$O$7,$B760&lt;'111'!$N$11),"x","")</f>
        <v/>
      </c>
      <c r="R760" s="51" t="str">
        <f>IF(ISERROR(FIND('112'!$M$9,G760,1)),"",IF((AND(FIND('112'!$M$9,G760,1)&gt;=1,$B760&gt;='112'!$N$8,$B760&lt;='112'!$O$8,OR($L760='112'!$I$6,$M760='112'!$I$6))),"x",""))</f>
        <v/>
      </c>
      <c r="S760" s="51" t="str">
        <f>IF(ISERROR(FIND('112'!$M$9,G760,1)),"",IF((AND(LEFT(G760,2)=LEFT('112'!$M$9,2),B760&lt;'112'!$N$8,$L760='112'!$I$6)),"x",""))</f>
        <v/>
      </c>
      <c r="T760" s="51" t="str">
        <f>IF(ISERROR(FIND('112'!$M$9,G760,1)),"",IF((AND(RIGHT(G760,2)=RIGHT('112'!$M$9,2),B760&lt;'112'!$N$8,$M760='112'!$I$6)),"x",""))</f>
        <v/>
      </c>
      <c r="U760" s="51" t="str">
        <f>IF(AND(L760="154",'154'!$O$5&lt;=B760,'154'!$P$5&gt;=B760),"154",IF(AND(L760="632",'632'!$L$5&lt;=B760,'632'!$M$5&gt;=B760),"632",IF(AND(L760="642",'642'!$N$5&lt;=B760,'642'!$O$5&gt;=B760),"642",IF(AND(L760="641",'641'!$N$5&lt;=B760,'641'!$O$5&gt;=B760),"641",""))))</f>
        <v/>
      </c>
      <c r="V760" s="51" t="str">
        <f>IF(OR(TH!L760=TH!$V$7,M760=TH!$V$7),"x","")</f>
        <v/>
      </c>
      <c r="W760" s="51" t="str">
        <f>IF(AND(B760&gt;='IN-NX'!$P$3,B760&lt;='IN-NX'!$Q$3,'IN-NX'!$D$7=D760,OR(LEFT(L760,2)="15",AND(LEFT(M760,2)&lt;&gt;"15",LEFT(M760,2)&lt;&gt;"33"))),"x","")</f>
        <v/>
      </c>
      <c r="X760" s="51" t="str">
        <f>IF(AND(OR(LEFT(TH!L760,2)="15",LEFT(TH!M760,2)="15"),'152-CT'!$J$8=TH!F760),"x","")</f>
        <v/>
      </c>
      <c r="Y760" s="51" t="str">
        <f>IF(AND(OR(LEFT(TH!L760,2)="15",LEFT(TH!M760,2)="15"),TK!$E$7=TH!F760),"x","")</f>
        <v/>
      </c>
      <c r="Z760" s="51" t="str">
        <f>IF(AND(B760&lt;=NKC!$N$8,B760&gt;=NKC!$M$8),"x","")</f>
        <v>x</v>
      </c>
      <c r="AA760" s="803"/>
    </row>
    <row r="761" spans="1:31" s="565" customFormat="1" ht="15.75" customHeight="1">
      <c r="A761" s="804" t="str">
        <f>IF(B761&lt;&gt;"",IF(AND(B761&gt;=_TM1,B761&lt;=_TM2,OR(TH!L761="1111",TH!M761="1111")),TH!D761,""),"")</f>
        <v/>
      </c>
      <c r="B761" s="36">
        <f t="shared" si="49"/>
        <v>9</v>
      </c>
      <c r="C761" s="853">
        <f t="shared" si="50"/>
        <v>42277</v>
      </c>
      <c r="D761" s="853" t="s">
        <v>319</v>
      </c>
      <c r="E761" s="853">
        <v>42277</v>
      </c>
      <c r="F761" s="854" t="s">
        <v>1262</v>
      </c>
      <c r="G761" s="855"/>
      <c r="H761" s="856"/>
      <c r="I761" s="857"/>
      <c r="J761" s="857"/>
      <c r="K761" s="858">
        <v>9994047</v>
      </c>
      <c r="L761" s="859" t="s">
        <v>83</v>
      </c>
      <c r="M761" s="859" t="s">
        <v>252</v>
      </c>
      <c r="N761" s="51" t="str">
        <f>IF(AND('331-CT'!$E$7=TH!H761,OR(L761="331",M761="331")),"331",IF(AND(OR(L761="131",M761="131"),H761='131-CT'!$E$7),"131",""))</f>
        <v/>
      </c>
      <c r="O761" s="51" t="str">
        <f>IF(AND($B761&gt;='111'!$N$11,$B761&lt;='111'!$O$11,OR($L761=$O$7,$M761=$O$7)),"x","")</f>
        <v/>
      </c>
      <c r="P761" s="51" t="str">
        <f>IF(AND($L761=$O$7,$B761&lt;'111'!$N$11),"x","")</f>
        <v/>
      </c>
      <c r="Q761" s="51" t="str">
        <f>IF(AND($M761=$O$7,$B761&lt;'111'!$N$11),"x","")</f>
        <v/>
      </c>
      <c r="R761" s="51" t="str">
        <f>IF(ISERROR(FIND('112'!$M$9,G761,1)),"",IF((AND(FIND('112'!$M$9,G761,1)&gt;=1,$B761&gt;='112'!$N$8,$B761&lt;='112'!$O$8,OR($L761='112'!$I$6,$M761='112'!$I$6))),"x",""))</f>
        <v/>
      </c>
      <c r="S761" s="51" t="str">
        <f>IF(ISERROR(FIND('112'!$M$9,G761,1)),"",IF((AND(LEFT(G761,2)=LEFT('112'!$M$9,2),B761&lt;'112'!$N$8,$L761='112'!$I$6)),"x",""))</f>
        <v/>
      </c>
      <c r="T761" s="51" t="str">
        <f>IF(ISERROR(FIND('112'!$M$9,G761,1)),"",IF((AND(RIGHT(G761,2)=RIGHT('112'!$M$9,2),B761&lt;'112'!$N$8,$M761='112'!$I$6)),"x",""))</f>
        <v/>
      </c>
      <c r="U761" s="51" t="str">
        <f>IF(AND(L761="154",'154'!$O$5&lt;=B761,'154'!$P$5&gt;=B761),"154",IF(AND(L761="632",'632'!$L$5&lt;=B761,'632'!$M$5&gt;=B761),"632",IF(AND(L761="642",'642'!$N$5&lt;=B761,'642'!$O$5&gt;=B761),"642",IF(AND(L761="641",'641'!$N$5&lt;=B761,'641'!$O$5&gt;=B761),"641",""))))</f>
        <v/>
      </c>
      <c r="V761" s="51" t="str">
        <f>IF(OR(TH!L761=TH!$V$7,M761=TH!$V$7),"x","")</f>
        <v>x</v>
      </c>
      <c r="W761" s="51" t="str">
        <f>IF(AND(B761&gt;='IN-NX'!$P$3,B761&lt;='IN-NX'!$Q$3,'IN-NX'!$D$7=D761,OR(LEFT(L761,2)="15",AND(LEFT(M761,2)&lt;&gt;"15",LEFT(M761,2)&lt;&gt;"33"))),"x","")</f>
        <v/>
      </c>
      <c r="X761" s="51" t="str">
        <f>IF(AND(OR(LEFT(TH!L761,2)="15",LEFT(TH!M761,2)="15"),'152-CT'!$J$8=TH!F761),"x","")</f>
        <v/>
      </c>
      <c r="Y761" s="51" t="str">
        <f>IF(AND(OR(LEFT(TH!L761,2)="15",LEFT(TH!M761,2)="15"),TK!$E$7=TH!F761),"x","")</f>
        <v/>
      </c>
      <c r="Z761" s="51" t="str">
        <f>IF(AND(B761&lt;=NKC!$N$8,B761&gt;=NKC!$M$8),"x","")</f>
        <v>x</v>
      </c>
      <c r="AA761" s="860"/>
      <c r="AC761" s="203"/>
      <c r="AD761" s="203"/>
    </row>
    <row r="762" spans="1:31" s="565" customFormat="1" ht="15.75" customHeight="1">
      <c r="A762" s="804" t="str">
        <f>IF(B762&lt;&gt;"",IF(AND(B762&gt;=_TM1,B762&lt;=_TM2,OR(TH!L762="1111",TH!M762="1111")),TH!D762,""),"")</f>
        <v/>
      </c>
      <c r="B762" s="36">
        <f t="shared" si="49"/>
        <v>9</v>
      </c>
      <c r="C762" s="853">
        <f t="shared" si="50"/>
        <v>42277</v>
      </c>
      <c r="D762" s="853" t="s">
        <v>319</v>
      </c>
      <c r="E762" s="853">
        <v>42277</v>
      </c>
      <c r="F762" s="854" t="s">
        <v>1263</v>
      </c>
      <c r="G762" s="855"/>
      <c r="H762" s="856"/>
      <c r="I762" s="857"/>
      <c r="J762" s="857"/>
      <c r="K762" s="858">
        <v>3000000</v>
      </c>
      <c r="L762" s="859" t="s">
        <v>160</v>
      </c>
      <c r="M762" s="859" t="s">
        <v>252</v>
      </c>
      <c r="N762" s="51" t="str">
        <f>IF(AND('331-CT'!$E$7=TH!H762,OR(L762="331",M762="331")),"331",IF(AND(OR(L762="131",M762="131"),H762='131-CT'!$E$7),"131",""))</f>
        <v/>
      </c>
      <c r="O762" s="51" t="str">
        <f>IF(AND($B762&gt;='111'!$N$11,$B762&lt;='111'!$O$11,OR($L762=$O$7,$M762=$O$7)),"x","")</f>
        <v/>
      </c>
      <c r="P762" s="51" t="str">
        <f>IF(AND($L762=$O$7,$B762&lt;'111'!$N$11),"x","")</f>
        <v/>
      </c>
      <c r="Q762" s="51" t="str">
        <f>IF(AND($M762=$O$7,$B762&lt;'111'!$N$11),"x","")</f>
        <v/>
      </c>
      <c r="R762" s="51" t="str">
        <f>IF(ISERROR(FIND('112'!$M$9,G762,1)),"",IF((AND(FIND('112'!$M$9,G762,1)&gt;=1,$B762&gt;='112'!$N$8,$B762&lt;='112'!$O$8,OR($L762='112'!$I$6,$M762='112'!$I$6))),"x",""))</f>
        <v/>
      </c>
      <c r="S762" s="51" t="str">
        <f>IF(ISERROR(FIND('112'!$M$9,G762,1)),"",IF((AND(LEFT(G762,2)=LEFT('112'!$M$9,2),B762&lt;'112'!$N$8,$L762='112'!$I$6)),"x",""))</f>
        <v/>
      </c>
      <c r="T762" s="51" t="str">
        <f>IF(ISERROR(FIND('112'!$M$9,G762,1)),"",IF((AND(RIGHT(G762,2)=RIGHT('112'!$M$9,2),B762&lt;'112'!$N$8,$M762='112'!$I$6)),"x",""))</f>
        <v/>
      </c>
      <c r="U762" s="51" t="str">
        <f>IF(AND(L762="154",'154'!$O$5&lt;=B762,'154'!$P$5&gt;=B762),"154",IF(AND(L762="632",'632'!$L$5&lt;=B762,'632'!$M$5&gt;=B762),"632",IF(AND(L762="642",'642'!$N$5&lt;=B762,'642'!$O$5&gt;=B762),"642",IF(AND(L762="641",'641'!$N$5&lt;=B762,'641'!$O$5&gt;=B762),"641",""))))</f>
        <v/>
      </c>
      <c r="V762" s="51" t="str">
        <f>IF(OR(TH!L762=TH!$V$7,M762=TH!$V$7),"x","")</f>
        <v/>
      </c>
      <c r="W762" s="51" t="str">
        <f>IF(AND(B762&gt;='IN-NX'!$P$3,B762&lt;='IN-NX'!$Q$3,'IN-NX'!$D$7=D762,OR(LEFT(L762,2)="15",AND(LEFT(M762,2)&lt;&gt;"15",LEFT(M762,2)&lt;&gt;"33"))),"x","")</f>
        <v/>
      </c>
      <c r="X762" s="51" t="str">
        <f>IF(AND(OR(LEFT(TH!L762,2)="15",LEFT(TH!M762,2)="15"),'152-CT'!$J$8=TH!F762),"x","")</f>
        <v/>
      </c>
      <c r="Y762" s="51" t="str">
        <f>IF(AND(OR(LEFT(TH!L762,2)="15",LEFT(TH!M762,2)="15"),TK!$E$7=TH!F762),"x","")</f>
        <v/>
      </c>
      <c r="Z762" s="51" t="str">
        <f>IF(AND(B762&lt;=NKC!$N$8,B762&gt;=NKC!$M$8),"x","")</f>
        <v>x</v>
      </c>
      <c r="AA762" s="860"/>
      <c r="AC762" s="203"/>
      <c r="AD762" s="203"/>
    </row>
    <row r="763" spans="1:31" s="565" customFormat="1" ht="15.75" customHeight="1">
      <c r="A763" s="804" t="str">
        <f>IF(B763&lt;&gt;"",IF(AND(B763&gt;=_TM1,B763&lt;=_TM2,OR(TH!L763="1111",TH!M763="1111")),TH!D763,""),"")</f>
        <v>C34</v>
      </c>
      <c r="B763" s="36">
        <f t="shared" si="49"/>
        <v>9</v>
      </c>
      <c r="C763" s="853">
        <f t="shared" si="50"/>
        <v>42277</v>
      </c>
      <c r="D763" s="861" t="s">
        <v>1431</v>
      </c>
      <c r="E763" s="853">
        <v>42277</v>
      </c>
      <c r="F763" s="854" t="s">
        <v>1269</v>
      </c>
      <c r="G763" s="855"/>
      <c r="H763" s="7" t="s">
        <v>437</v>
      </c>
      <c r="I763" s="857"/>
      <c r="J763" s="857"/>
      <c r="K763" s="858">
        <f>K761+K762</f>
        <v>12994047</v>
      </c>
      <c r="L763" s="859" t="s">
        <v>252</v>
      </c>
      <c r="M763" s="859" t="s">
        <v>47</v>
      </c>
      <c r="N763" s="51" t="str">
        <f>IF(AND('331-CT'!$E$7=TH!H763,OR(L763="331",M763="331")),"331",IF(AND(OR(L763="131",M763="131"),H763='131-CT'!$E$7),"131",""))</f>
        <v/>
      </c>
      <c r="O763" s="51" t="str">
        <f>IF(AND($B763&gt;='111'!$N$11,$B763&lt;='111'!$O$11,OR($L763=$O$7,$M763=$O$7)),"x","")</f>
        <v/>
      </c>
      <c r="P763" s="51" t="str">
        <f>IF(AND($L763=$O$7,$B763&lt;'111'!$N$11),"x","")</f>
        <v/>
      </c>
      <c r="Q763" s="51" t="str">
        <f>IF(AND($M763=$O$7,$B763&lt;'111'!$N$11),"x","")</f>
        <v>x</v>
      </c>
      <c r="R763" s="51" t="str">
        <f>IF(ISERROR(FIND('112'!$M$9,G763,1)),"",IF((AND(FIND('112'!$M$9,G763,1)&gt;=1,$B763&gt;='112'!$N$8,$B763&lt;='112'!$O$8,OR($L763='112'!$I$6,$M763='112'!$I$6))),"x",""))</f>
        <v/>
      </c>
      <c r="S763" s="51" t="str">
        <f>IF(ISERROR(FIND('112'!$M$9,G763,1)),"",IF((AND(LEFT(G763,2)=LEFT('112'!$M$9,2),B763&lt;'112'!$N$8,$L763='112'!$I$6)),"x",""))</f>
        <v/>
      </c>
      <c r="T763" s="51" t="str">
        <f>IF(ISERROR(FIND('112'!$M$9,G763,1)),"",IF((AND(RIGHT(G763,2)=RIGHT('112'!$M$9,2),B763&lt;'112'!$N$8,$M763='112'!$I$6)),"x",""))</f>
        <v/>
      </c>
      <c r="U763" s="51" t="str">
        <f>IF(AND(L763="154",'154'!$O$5&lt;=B763,'154'!$P$5&gt;=B763),"154",IF(AND(L763="632",'632'!$L$5&lt;=B763,'632'!$M$5&gt;=B763),"632",IF(AND(L763="642",'642'!$N$5&lt;=B763,'642'!$O$5&gt;=B763),"642",IF(AND(L763="641",'641'!$N$5&lt;=B763,'641'!$O$5&gt;=B763),"641",""))))</f>
        <v/>
      </c>
      <c r="V763" s="51" t="str">
        <f>IF(OR(TH!L763=TH!$V$7,M763=TH!$V$7),"x","")</f>
        <v/>
      </c>
      <c r="W763" s="51" t="str">
        <f>IF(AND(B763&gt;='IN-NX'!$P$3,B763&lt;='IN-NX'!$Q$3,'IN-NX'!$D$7=D763,OR(LEFT(L763,2)="15",AND(LEFT(M763,2)&lt;&gt;"15",LEFT(M763,2)&lt;&gt;"33"))),"x","")</f>
        <v/>
      </c>
      <c r="X763" s="51" t="str">
        <f>IF(AND(OR(LEFT(TH!L763,2)="15",LEFT(TH!M763,2)="15"),'152-CT'!$J$8=TH!F763),"x","")</f>
        <v/>
      </c>
      <c r="Y763" s="51" t="str">
        <f>IF(AND(OR(LEFT(TH!L763,2)="15",LEFT(TH!M763,2)="15"),TK!$E$7=TH!F763),"x","")</f>
        <v/>
      </c>
      <c r="Z763" s="51" t="str">
        <f>IF(AND(B763&lt;=NKC!$N$8,B763&gt;=NKC!$M$8),"x","")</f>
        <v>x</v>
      </c>
      <c r="AA763" s="860"/>
      <c r="AC763" s="203"/>
      <c r="AD763" s="203"/>
    </row>
    <row r="764" spans="1:31" s="565" customFormat="1" ht="15.75" customHeight="1">
      <c r="A764" s="804" t="str">
        <f>IF(B764&lt;&gt;"",IF(AND(B764&gt;=_TM1,B764&lt;=_TM2,OR(TH!L764="1111",TH!M764="1111")),TH!D764,""),"")</f>
        <v>C35</v>
      </c>
      <c r="B764" s="36">
        <f t="shared" si="49"/>
        <v>9</v>
      </c>
      <c r="C764" s="189">
        <f t="shared" si="50"/>
        <v>42277</v>
      </c>
      <c r="D764" s="189" t="s">
        <v>1432</v>
      </c>
      <c r="E764" s="189">
        <v>42277</v>
      </c>
      <c r="F764" s="922" t="s">
        <v>460</v>
      </c>
      <c r="G764" s="813" t="s">
        <v>630</v>
      </c>
      <c r="H764" s="191" t="s">
        <v>492</v>
      </c>
      <c r="I764" s="243"/>
      <c r="J764" s="243"/>
      <c r="K764" s="573">
        <v>2727294</v>
      </c>
      <c r="L764" s="574" t="s">
        <v>83</v>
      </c>
      <c r="M764" s="574" t="s">
        <v>47</v>
      </c>
      <c r="N764" s="51" t="str">
        <f>IF(AND('331-CT'!$E$7=TH!H764,OR(L764="331",M764="331")),"331",IF(AND(OR(L764="131",M764="131"),H764='131-CT'!$E$7),"131",""))</f>
        <v/>
      </c>
      <c r="O764" s="51" t="str">
        <f>IF(AND($B764&gt;='111'!$N$11,$B764&lt;='111'!$O$11,OR($L764=$O$7,$M764=$O$7)),"x","")</f>
        <v/>
      </c>
      <c r="P764" s="51" t="str">
        <f>IF(AND($L764=$O$7,$B764&lt;'111'!$N$11),"x","")</f>
        <v/>
      </c>
      <c r="Q764" s="51" t="str">
        <f>IF(AND($M764=$O$7,$B764&lt;'111'!$N$11),"x","")</f>
        <v>x</v>
      </c>
      <c r="R764" s="51" t="str">
        <f>IF(ISERROR(FIND('112'!$M$9,G764,1)),"",IF((AND(FIND('112'!$M$9,G764,1)&gt;=1,$B764&gt;='112'!$N$8,$B764&lt;='112'!$O$8,OR($L764='112'!$I$6,$M764='112'!$I$6))),"x",""))</f>
        <v/>
      </c>
      <c r="S764" s="51" t="str">
        <f>IF(ISERROR(FIND('112'!$M$9,G764,1)),"",IF((AND(LEFT(G764,2)=LEFT('112'!$M$9,2),B764&lt;'112'!$N$8,$L764='112'!$I$6)),"x",""))</f>
        <v/>
      </c>
      <c r="T764" s="51" t="str">
        <f>IF(ISERROR(FIND('112'!$M$9,G764,1)),"",IF((AND(RIGHT(G764,2)=RIGHT('112'!$M$9,2),B764&lt;'112'!$N$8,$M764='112'!$I$6)),"x",""))</f>
        <v/>
      </c>
      <c r="U764" s="51" t="str">
        <f>IF(AND(L764="154",'154'!$O$5&lt;=B764,'154'!$P$5&gt;=B764),"154",IF(AND(L764="632",'632'!$L$5&lt;=B764,'632'!$M$5&gt;=B764),"632",IF(AND(L764="642",'642'!$N$5&lt;=B764,'642'!$O$5&gt;=B764),"642",IF(AND(L764="641",'641'!$N$5&lt;=B764,'641'!$O$5&gt;=B764),"641",""))))</f>
        <v/>
      </c>
      <c r="V764" s="51" t="str">
        <f>IF(OR(TH!L764=TH!$V$7,M764=TH!$V$7),"x","")</f>
        <v>x</v>
      </c>
      <c r="W764" s="51" t="str">
        <f>IF(AND(B764&gt;='IN-NX'!$P$3,B764&lt;='IN-NX'!$Q$3,'IN-NX'!$D$7=D764,OR(LEFT(L764,2)="15",AND(LEFT(M764,2)&lt;&gt;"15",LEFT(M764,2)&lt;&gt;"33"))),"x","")</f>
        <v/>
      </c>
      <c r="X764" s="51" t="str">
        <f>IF(AND(OR(LEFT(TH!L764,2)="15",LEFT(TH!M764,2)="15"),'152-CT'!$J$8=TH!F764),"x","")</f>
        <v/>
      </c>
      <c r="Y764" s="51" t="str">
        <f>IF(AND(OR(LEFT(TH!L764,2)="15",LEFT(TH!M764,2)="15"),TK!$E$7=TH!F764),"x","")</f>
        <v/>
      </c>
      <c r="Z764" s="51" t="str">
        <f>IF(AND(B764&lt;=NKC!$N$8,B764&gt;=NKC!$M$8),"x","")</f>
        <v>x</v>
      </c>
      <c r="AA764" s="803"/>
      <c r="AC764" s="203"/>
      <c r="AD764" s="203"/>
      <c r="AE764" s="203"/>
    </row>
    <row r="765" spans="1:31" s="565" customFormat="1" ht="15.75" customHeight="1">
      <c r="A765" s="804" t="str">
        <f>IF(B765&lt;&gt;"",IF(AND(B765&gt;=_TM1,B765&lt;=_TM2,OR(TH!L765="1111",TH!M765="1111")),TH!D765,""),"")</f>
        <v>C35</v>
      </c>
      <c r="B765" s="36">
        <f t="shared" si="49"/>
        <v>9</v>
      </c>
      <c r="C765" s="189">
        <f t="shared" si="50"/>
        <v>42277</v>
      </c>
      <c r="D765" s="189" t="s">
        <v>1432</v>
      </c>
      <c r="E765" s="189">
        <v>42277</v>
      </c>
      <c r="F765" s="190" t="s">
        <v>461</v>
      </c>
      <c r="G765" s="813" t="s">
        <v>630</v>
      </c>
      <c r="H765" s="191" t="s">
        <v>492</v>
      </c>
      <c r="I765" s="243"/>
      <c r="J765" s="243"/>
      <c r="K765" s="573">
        <v>272729</v>
      </c>
      <c r="L765" s="574" t="s">
        <v>9</v>
      </c>
      <c r="M765" s="574" t="s">
        <v>47</v>
      </c>
      <c r="N765" s="51" t="str">
        <f>IF(AND('331-CT'!$E$7=TH!H765,OR(L765="331",M765="331")),"331",IF(AND(OR(L765="131",M765="131"),H765='131-CT'!$E$7),"131",""))</f>
        <v/>
      </c>
      <c r="O765" s="51" t="str">
        <f>IF(AND($B765&gt;='111'!$N$11,$B765&lt;='111'!$O$11,OR($L765=$O$7,$M765=$O$7)),"x","")</f>
        <v/>
      </c>
      <c r="P765" s="51" t="str">
        <f>IF(AND($L765=$O$7,$B765&lt;'111'!$N$11),"x","")</f>
        <v/>
      </c>
      <c r="Q765" s="51" t="str">
        <f>IF(AND($M765=$O$7,$B765&lt;'111'!$N$11),"x","")</f>
        <v>x</v>
      </c>
      <c r="R765" s="51" t="str">
        <f>IF(ISERROR(FIND('112'!$M$9,G765,1)),"",IF((AND(FIND('112'!$M$9,G765,1)&gt;=1,$B765&gt;='112'!$N$8,$B765&lt;='112'!$O$8,OR($L765='112'!$I$6,$M765='112'!$I$6))),"x",""))</f>
        <v/>
      </c>
      <c r="S765" s="51" t="str">
        <f>IF(ISERROR(FIND('112'!$M$9,G765,1)),"",IF((AND(LEFT(G765,2)=LEFT('112'!$M$9,2),B765&lt;'112'!$N$8,$L765='112'!$I$6)),"x",""))</f>
        <v/>
      </c>
      <c r="T765" s="51" t="str">
        <f>IF(ISERROR(FIND('112'!$M$9,G765,1)),"",IF((AND(RIGHT(G765,2)=RIGHT('112'!$M$9,2),B765&lt;'112'!$N$8,$M765='112'!$I$6)),"x",""))</f>
        <v/>
      </c>
      <c r="U765" s="51" t="str">
        <f>IF(AND(L765="154",'154'!$O$5&lt;=B765,'154'!$P$5&gt;=B765),"154",IF(AND(L765="632",'632'!$L$5&lt;=B765,'632'!$M$5&gt;=B765),"632",IF(AND(L765="642",'642'!$N$5&lt;=B765,'642'!$O$5&gt;=B765),"642",IF(AND(L765="641",'641'!$N$5&lt;=B765,'641'!$O$5&gt;=B765),"641",""))))</f>
        <v/>
      </c>
      <c r="V765" s="51" t="str">
        <f>IF(OR(TH!L765=TH!$V$7,M765=TH!$V$7),"x","")</f>
        <v/>
      </c>
      <c r="W765" s="51" t="str">
        <f>IF(AND(B765&gt;='IN-NX'!$P$3,B765&lt;='IN-NX'!$Q$3,'IN-NX'!$D$7=D765,OR(LEFT(L765,2)="15",AND(LEFT(M765,2)&lt;&gt;"15",LEFT(M765,2)&lt;&gt;"33"))),"x","")</f>
        <v/>
      </c>
      <c r="X765" s="51" t="str">
        <f>IF(AND(OR(LEFT(TH!L765,2)="15",LEFT(TH!M765,2)="15"),'152-CT'!$J$8=TH!F765),"x","")</f>
        <v/>
      </c>
      <c r="Y765" s="51" t="str">
        <f>IF(AND(OR(LEFT(TH!L765,2)="15",LEFT(TH!M765,2)="15"),TK!$E$7=TH!F765),"x","")</f>
        <v/>
      </c>
      <c r="Z765" s="51" t="str">
        <f>IF(AND(B765&lt;=NKC!$N$8,B765&gt;=NKC!$M$8),"x","")</f>
        <v>x</v>
      </c>
      <c r="AA765" s="803">
        <v>3</v>
      </c>
      <c r="AC765" s="203"/>
      <c r="AD765" s="203"/>
      <c r="AE765" s="203"/>
    </row>
    <row r="766" spans="1:31" s="565" customFormat="1" ht="15.75" customHeight="1">
      <c r="A766" s="804" t="str">
        <f>IF(B766&lt;&gt;"",IF(AND(B766&gt;=_TM1,B766&lt;=_TM2,OR(TH!L766="1111",TH!M766="1111")),TH!D766,""),"")</f>
        <v/>
      </c>
      <c r="B766" s="36">
        <f t="shared" si="49"/>
        <v>9</v>
      </c>
      <c r="C766" s="189">
        <f t="shared" si="50"/>
        <v>42277</v>
      </c>
      <c r="D766" s="189" t="s">
        <v>1449</v>
      </c>
      <c r="E766" s="189">
        <v>42277</v>
      </c>
      <c r="F766" s="190" t="s">
        <v>688</v>
      </c>
      <c r="G766" s="813" t="s">
        <v>687</v>
      </c>
      <c r="H766" s="191" t="s">
        <v>448</v>
      </c>
      <c r="I766" s="243">
        <v>50</v>
      </c>
      <c r="J766" s="243">
        <v>33882</v>
      </c>
      <c r="K766" s="573">
        <f>ROUND(I766*J766,0)</f>
        <v>1694100</v>
      </c>
      <c r="L766" s="574" t="s">
        <v>417</v>
      </c>
      <c r="M766" s="574" t="s">
        <v>8</v>
      </c>
      <c r="N766" s="51" t="str">
        <f>IF(AND('331-CT'!$E$7=TH!H766,OR(L766="331",M766="331")),"331",IF(AND(OR(L766="131",M766="131"),H766='131-CT'!$E$7),"131",""))</f>
        <v/>
      </c>
      <c r="O766" s="51" t="str">
        <f>IF(AND($B766&gt;='111'!$N$11,$B766&lt;='111'!$O$11,OR($L766=$O$7,$M766=$O$7)),"x","")</f>
        <v/>
      </c>
      <c r="P766" s="51" t="str">
        <f>IF(AND($L766=$O$7,$B766&lt;'111'!$N$11),"x","")</f>
        <v/>
      </c>
      <c r="Q766" s="51" t="str">
        <f>IF(AND($M766=$O$7,$B766&lt;'111'!$N$11),"x","")</f>
        <v/>
      </c>
      <c r="R766" s="51" t="str">
        <f>IF(ISERROR(FIND('112'!$M$9,G766,1)),"",IF((AND(FIND('112'!$M$9,G766,1)&gt;=1,$B766&gt;='112'!$N$8,$B766&lt;='112'!$O$8,OR($L766='112'!$I$6,$M766='112'!$I$6))),"x",""))</f>
        <v/>
      </c>
      <c r="S766" s="51" t="str">
        <f>IF(ISERROR(FIND('112'!$M$9,G766,1)),"",IF((AND(LEFT(G766,2)=LEFT('112'!$M$9,2),B766&lt;'112'!$N$8,$L766='112'!$I$6)),"x",""))</f>
        <v/>
      </c>
      <c r="T766" s="51" t="str">
        <f>IF(ISERROR(FIND('112'!$M$9,G766,1)),"",IF((AND(RIGHT(G766,2)=RIGHT('112'!$M$9,2),B766&lt;'112'!$N$8,$M766='112'!$I$6)),"x",""))</f>
        <v/>
      </c>
      <c r="U766" s="51" t="str">
        <f>IF(AND(L766="154",'154'!$O$5&lt;=B766,'154'!$P$5&gt;=B766),"154",IF(AND(L766="632",'632'!$L$5&lt;=B766,'632'!$M$5&gt;=B766),"632",IF(AND(L766="642",'642'!$N$5&lt;=B766,'642'!$O$5&gt;=B766),"642",IF(AND(L766="641",'641'!$N$5&lt;=B766,'641'!$O$5&gt;=B766),"641",""))))</f>
        <v/>
      </c>
      <c r="V766" s="51" t="str">
        <f>IF(OR(TH!L766=TH!$V$7,M766=TH!$V$7),"x","")</f>
        <v/>
      </c>
      <c r="W766" s="51" t="str">
        <f>IF(AND(B766&gt;='IN-NX'!$P$3,B766&lt;='IN-NX'!$Q$3,'IN-NX'!$D$7=D766,OR(LEFT(L766,2)="15",AND(LEFT(M766,2)&lt;&gt;"15",LEFT(M766,2)&lt;&gt;"33"))),"x","")</f>
        <v/>
      </c>
      <c r="X766" s="51" t="str">
        <f>IF(AND(OR(LEFT(TH!L766,2)="15",LEFT(TH!M766,2)="15"),'152-CT'!$J$8=TH!F766),"x","")</f>
        <v/>
      </c>
      <c r="Y766" s="51" t="str">
        <f>IF(AND(OR(LEFT(TH!L766,2)="15",LEFT(TH!M766,2)="15"),TK!$E$7=TH!F766),"x","")</f>
        <v/>
      </c>
      <c r="Z766" s="51" t="str">
        <f>IF(AND(B766&lt;=NKC!$N$8,B766&gt;=NKC!$M$8),"x","")</f>
        <v>x</v>
      </c>
      <c r="AA766" s="803"/>
      <c r="AC766" s="203"/>
      <c r="AD766" s="203"/>
      <c r="AE766" s="203"/>
    </row>
    <row r="767" spans="1:31" s="565" customFormat="1" ht="15.75" customHeight="1">
      <c r="A767" s="804" t="str">
        <f>IF(B767&lt;&gt;"",IF(AND(B767&gt;=_TM1,B767&lt;=_TM2,OR(TH!L767="1111",TH!M767="1111")),TH!D767,""),"")</f>
        <v/>
      </c>
      <c r="B767" s="36">
        <f t="shared" si="49"/>
        <v>9</v>
      </c>
      <c r="C767" s="189">
        <f t="shared" si="50"/>
        <v>42277</v>
      </c>
      <c r="D767" s="189" t="s">
        <v>1449</v>
      </c>
      <c r="E767" s="189">
        <v>42277</v>
      </c>
      <c r="F767" s="190" t="s">
        <v>689</v>
      </c>
      <c r="G767" s="813" t="s">
        <v>687</v>
      </c>
      <c r="H767" s="191" t="s">
        <v>448</v>
      </c>
      <c r="I767" s="243">
        <v>250</v>
      </c>
      <c r="J767" s="243">
        <v>9882</v>
      </c>
      <c r="K767" s="573">
        <f>ROUND(I767*J767,0)</f>
        <v>2470500</v>
      </c>
      <c r="L767" s="574" t="s">
        <v>417</v>
      </c>
      <c r="M767" s="574" t="s">
        <v>8</v>
      </c>
      <c r="N767" s="51" t="str">
        <f>IF(AND('331-CT'!$E$7=TH!H767,OR(L767="331",M767="331")),"331",IF(AND(OR(L767="131",M767="131"),H767='131-CT'!$E$7),"131",""))</f>
        <v/>
      </c>
      <c r="O767" s="51" t="str">
        <f>IF(AND($B767&gt;='111'!$N$11,$B767&lt;='111'!$O$11,OR($L767=$O$7,$M767=$O$7)),"x","")</f>
        <v/>
      </c>
      <c r="P767" s="51" t="str">
        <f>IF(AND($L767=$O$7,$B767&lt;'111'!$N$11),"x","")</f>
        <v/>
      </c>
      <c r="Q767" s="51" t="str">
        <f>IF(AND($M767=$O$7,$B767&lt;'111'!$N$11),"x","")</f>
        <v/>
      </c>
      <c r="R767" s="51" t="str">
        <f>IF(ISERROR(FIND('112'!$M$9,G767,1)),"",IF((AND(FIND('112'!$M$9,G767,1)&gt;=1,$B767&gt;='112'!$N$8,$B767&lt;='112'!$O$8,OR($L767='112'!$I$6,$M767='112'!$I$6))),"x",""))</f>
        <v/>
      </c>
      <c r="S767" s="51" t="str">
        <f>IF(ISERROR(FIND('112'!$M$9,G767,1)),"",IF((AND(LEFT(G767,2)=LEFT('112'!$M$9,2),B767&lt;'112'!$N$8,$L767='112'!$I$6)),"x",""))</f>
        <v/>
      </c>
      <c r="T767" s="51" t="str">
        <f>IF(ISERROR(FIND('112'!$M$9,G767,1)),"",IF((AND(RIGHT(G767,2)=RIGHT('112'!$M$9,2),B767&lt;'112'!$N$8,$M767='112'!$I$6)),"x",""))</f>
        <v/>
      </c>
      <c r="U767" s="51" t="str">
        <f>IF(AND(L767="154",'154'!$O$5&lt;=B767,'154'!$P$5&gt;=B767),"154",IF(AND(L767="632",'632'!$L$5&lt;=B767,'632'!$M$5&gt;=B767),"632",IF(AND(L767="642",'642'!$N$5&lt;=B767,'642'!$O$5&gt;=B767),"642",IF(AND(L767="641",'641'!$N$5&lt;=B767,'641'!$O$5&gt;=B767),"641",""))))</f>
        <v/>
      </c>
      <c r="V767" s="51" t="str">
        <f>IF(OR(TH!L767=TH!$V$7,M767=TH!$V$7),"x","")</f>
        <v/>
      </c>
      <c r="W767" s="51" t="str">
        <f>IF(AND(B767&gt;='IN-NX'!$P$3,B767&lt;='IN-NX'!$Q$3,'IN-NX'!$D$7=D767,OR(LEFT(L767,2)="15",AND(LEFT(M767,2)&lt;&gt;"15",LEFT(M767,2)&lt;&gt;"33"))),"x","")</f>
        <v/>
      </c>
      <c r="X767" s="51" t="str">
        <f>IF(AND(OR(LEFT(TH!L767,2)="15",LEFT(TH!M767,2)="15"),'152-CT'!$J$8=TH!F767),"x","")</f>
        <v/>
      </c>
      <c r="Y767" s="51" t="str">
        <f>IF(AND(OR(LEFT(TH!L767,2)="15",LEFT(TH!M767,2)="15"),TK!$E$7=TH!F767),"x","")</f>
        <v/>
      </c>
      <c r="Z767" s="51" t="str">
        <f>IF(AND(B767&lt;=NKC!$N$8,B767&gt;=NKC!$M$8),"x","")</f>
        <v>x</v>
      </c>
      <c r="AA767" s="803"/>
      <c r="AC767" s="203"/>
      <c r="AD767" s="203"/>
      <c r="AE767" s="203"/>
    </row>
    <row r="768" spans="1:31" s="565" customFormat="1" ht="15.75" customHeight="1">
      <c r="A768" s="804" t="str">
        <f>IF(B768&lt;&gt;"",IF(AND(B768&gt;=_TM1,B768&lt;=_TM2,OR(TH!L768="1111",TH!M768="1111")),TH!D768,""),"")</f>
        <v/>
      </c>
      <c r="B768" s="36">
        <f t="shared" si="49"/>
        <v>9</v>
      </c>
      <c r="C768" s="189">
        <f t="shared" si="50"/>
        <v>42277</v>
      </c>
      <c r="D768" s="189" t="s">
        <v>1449</v>
      </c>
      <c r="E768" s="189">
        <v>42277</v>
      </c>
      <c r="F768" s="190" t="s">
        <v>468</v>
      </c>
      <c r="G768" s="813" t="s">
        <v>687</v>
      </c>
      <c r="H768" s="191" t="s">
        <v>448</v>
      </c>
      <c r="I768" s="243"/>
      <c r="J768" s="243"/>
      <c r="K768" s="573">
        <v>416460</v>
      </c>
      <c r="L768" s="574" t="s">
        <v>9</v>
      </c>
      <c r="M768" s="574" t="s">
        <v>8</v>
      </c>
      <c r="N768" s="51" t="str">
        <f>IF(AND('331-CT'!$E$7=TH!H768,OR(L768="331",M768="331")),"331",IF(AND(OR(L768="131",M768="131"),H768='131-CT'!$E$7),"131",""))</f>
        <v/>
      </c>
      <c r="O768" s="51" t="str">
        <f>IF(AND($B768&gt;='111'!$N$11,$B768&lt;='111'!$O$11,OR($L768=$O$7,$M768=$O$7)),"x","")</f>
        <v/>
      </c>
      <c r="P768" s="51" t="str">
        <f>IF(AND($L768=$O$7,$B768&lt;'111'!$N$11),"x","")</f>
        <v/>
      </c>
      <c r="Q768" s="51" t="str">
        <f>IF(AND($M768=$O$7,$B768&lt;'111'!$N$11),"x","")</f>
        <v/>
      </c>
      <c r="R768" s="51" t="str">
        <f>IF(ISERROR(FIND('112'!$M$9,G768,1)),"",IF((AND(FIND('112'!$M$9,G768,1)&gt;=1,$B768&gt;='112'!$N$8,$B768&lt;='112'!$O$8,OR($L768='112'!$I$6,$M768='112'!$I$6))),"x",""))</f>
        <v/>
      </c>
      <c r="S768" s="51" t="str">
        <f>IF(ISERROR(FIND('112'!$M$9,G768,1)),"",IF((AND(LEFT(G768,2)=LEFT('112'!$M$9,2),B768&lt;'112'!$N$8,$L768='112'!$I$6)),"x",""))</f>
        <v/>
      </c>
      <c r="T768" s="51" t="str">
        <f>IF(ISERROR(FIND('112'!$M$9,G768,1)),"",IF((AND(RIGHT(G768,2)=RIGHT('112'!$M$9,2),B768&lt;'112'!$N$8,$M768='112'!$I$6)),"x",""))</f>
        <v/>
      </c>
      <c r="U768" s="51" t="str">
        <f>IF(AND(L768="154",'154'!$O$5&lt;=B768,'154'!$P$5&gt;=B768),"154",IF(AND(L768="632",'632'!$L$5&lt;=B768,'632'!$M$5&gt;=B768),"632",IF(AND(L768="642",'642'!$N$5&lt;=B768,'642'!$O$5&gt;=B768),"642",IF(AND(L768="641",'641'!$N$5&lt;=B768,'641'!$O$5&gt;=B768),"641",""))))</f>
        <v/>
      </c>
      <c r="V768" s="51" t="str">
        <f>IF(OR(TH!L768=TH!$V$7,M768=TH!$V$7),"x","")</f>
        <v/>
      </c>
      <c r="W768" s="51" t="str">
        <f>IF(AND(B768&gt;='IN-NX'!$P$3,B768&lt;='IN-NX'!$Q$3,'IN-NX'!$D$7=D768,OR(LEFT(L768,2)="15",AND(LEFT(M768,2)&lt;&gt;"15",LEFT(M768,2)&lt;&gt;"33"))),"x","")</f>
        <v/>
      </c>
      <c r="X768" s="51" t="str">
        <f>IF(AND(OR(LEFT(TH!L768,2)="15",LEFT(TH!M768,2)="15"),'152-CT'!$J$8=TH!F768),"x","")</f>
        <v/>
      </c>
      <c r="Y768" s="51" t="str">
        <f>IF(AND(OR(LEFT(TH!L768,2)="15",LEFT(TH!M768,2)="15"),TK!$E$7=TH!F768),"x","")</f>
        <v/>
      </c>
      <c r="Z768" s="51" t="str">
        <f>IF(AND(B768&lt;=NKC!$N$8,B768&gt;=NKC!$M$8),"x","")</f>
        <v>x</v>
      </c>
      <c r="AA768" s="803">
        <v>3</v>
      </c>
      <c r="AC768" s="203"/>
      <c r="AD768" s="203"/>
      <c r="AE768" s="203"/>
    </row>
    <row r="769" spans="1:31" s="565" customFormat="1" ht="15.75" customHeight="1">
      <c r="A769" s="804" t="str">
        <f>IF(B769&lt;&gt;"",IF(AND(B769&gt;=_TM1,B769&lt;=_TM2,OR(TH!L769="1111",TH!M769="1111")),TH!D769,""),"")</f>
        <v>T55</v>
      </c>
      <c r="B769" s="36">
        <f t="shared" si="49"/>
        <v>9</v>
      </c>
      <c r="C769" s="189">
        <f t="shared" si="50"/>
        <v>42277</v>
      </c>
      <c r="D769" s="189" t="s">
        <v>1439</v>
      </c>
      <c r="E769" s="189">
        <v>42277</v>
      </c>
      <c r="F769" s="190" t="s">
        <v>964</v>
      </c>
      <c r="G769" s="811" t="s">
        <v>1053</v>
      </c>
      <c r="H769" s="191" t="s">
        <v>413</v>
      </c>
      <c r="I769" s="243"/>
      <c r="J769" s="243"/>
      <c r="K769" s="573">
        <v>18050000</v>
      </c>
      <c r="L769" s="574" t="s">
        <v>47</v>
      </c>
      <c r="M769" s="574" t="s">
        <v>408</v>
      </c>
      <c r="N769" s="51" t="str">
        <f>IF(AND('331-CT'!$E$7=TH!H769,OR(L769="331",M769="331")),"331",IF(AND(OR(L769="131",M769="131"),H769='131-CT'!$E$7),"131",""))</f>
        <v/>
      </c>
      <c r="O769" s="51" t="str">
        <f>IF(AND($B769&gt;='111'!$N$11,$B769&lt;='111'!$O$11,OR($L769=$O$7,$M769=$O$7)),"x","")</f>
        <v/>
      </c>
      <c r="P769" s="51" t="str">
        <f>IF(AND($L769=$O$7,$B769&lt;'111'!$N$11),"x","")</f>
        <v>x</v>
      </c>
      <c r="Q769" s="51" t="str">
        <f>IF(AND($M769=$O$7,$B769&lt;'111'!$N$11),"x","")</f>
        <v/>
      </c>
      <c r="R769" s="51" t="str">
        <f>IF(ISERROR(FIND('112'!$M$9,G769,1)),"",IF((AND(FIND('112'!$M$9,G769,1)&gt;=1,$B769&gt;='112'!$N$8,$B769&lt;='112'!$O$8,OR($L769='112'!$I$6,$M769='112'!$I$6))),"x",""))</f>
        <v/>
      </c>
      <c r="S769" s="51" t="str">
        <f>IF(ISERROR(FIND('112'!$M$9,G769,1)),"",IF((AND(LEFT(G769,2)=LEFT('112'!$M$9,2),B769&lt;'112'!$N$8,$L769='112'!$I$6)),"x",""))</f>
        <v/>
      </c>
      <c r="T769" s="51" t="str">
        <f>IF(ISERROR(FIND('112'!$M$9,G769,1)),"",IF((AND(RIGHT(G769,2)=RIGHT('112'!$M$9,2),B769&lt;'112'!$N$8,$M769='112'!$I$6)),"x",""))</f>
        <v/>
      </c>
      <c r="U769" s="51" t="str">
        <f>IF(AND(L769="154",'154'!$O$5&lt;=B769,'154'!$P$5&gt;=B769),"154",IF(AND(L769="632",'632'!$L$5&lt;=B769,'632'!$M$5&gt;=B769),"632",IF(AND(L769="642",'642'!$N$5&lt;=B769,'642'!$O$5&gt;=B769),"642",IF(AND(L769="641",'641'!$N$5&lt;=B769,'641'!$O$5&gt;=B769),"641",""))))</f>
        <v/>
      </c>
      <c r="V769" s="51" t="str">
        <f>IF(OR(TH!L769=TH!$V$7,M769=TH!$V$7),"x","")</f>
        <v/>
      </c>
      <c r="W769" s="51" t="str">
        <f>IF(AND(B769&gt;='IN-NX'!$P$3,B769&lt;='IN-NX'!$Q$3,'IN-NX'!$D$7=D769,OR(LEFT(L769,2)="15",AND(LEFT(M769,2)&lt;&gt;"15",LEFT(M769,2)&lt;&gt;"33"))),"x","")</f>
        <v/>
      </c>
      <c r="X769" s="51" t="str">
        <f>IF(AND(OR(LEFT(TH!L769,2)="15",LEFT(TH!M769,2)="15"),'152-CT'!$J$8=TH!F769),"x","")</f>
        <v/>
      </c>
      <c r="Y769" s="51" t="str">
        <f>IF(AND(OR(LEFT(TH!L769,2)="15",LEFT(TH!M769,2)="15"),TK!$E$7=TH!F769),"x","")</f>
        <v/>
      </c>
      <c r="Z769" s="51" t="str">
        <f>IF(AND(B769&lt;=NKC!$N$8,B769&gt;=NKC!$M$8),"x","")</f>
        <v>x</v>
      </c>
      <c r="AA769" s="803"/>
      <c r="AC769" s="203"/>
      <c r="AD769" s="203"/>
      <c r="AE769" s="203"/>
    </row>
    <row r="770" spans="1:31" s="565" customFormat="1" ht="15.75" customHeight="1">
      <c r="A770" s="804" t="str">
        <f>IF(B770&lt;&gt;"",IF(AND(B770&gt;=_TM1,B770&lt;=_TM2,OR(TH!L770="1111",TH!M770="1111")),TH!D770,""),"")</f>
        <v>T55</v>
      </c>
      <c r="B770" s="36">
        <f t="shared" si="49"/>
        <v>9</v>
      </c>
      <c r="C770" s="189">
        <f t="shared" si="50"/>
        <v>42277</v>
      </c>
      <c r="D770" s="189" t="s">
        <v>1439</v>
      </c>
      <c r="E770" s="189">
        <v>42277</v>
      </c>
      <c r="F770" s="190" t="s">
        <v>1110</v>
      </c>
      <c r="G770" s="811" t="s">
        <v>1053</v>
      </c>
      <c r="H770" s="191" t="s">
        <v>413</v>
      </c>
      <c r="I770" s="243"/>
      <c r="J770" s="243"/>
      <c r="K770" s="573">
        <v>1805000</v>
      </c>
      <c r="L770" s="574" t="s">
        <v>47</v>
      </c>
      <c r="M770" s="574" t="s">
        <v>352</v>
      </c>
      <c r="N770" s="51" t="str">
        <f>IF(AND('331-CT'!$E$7=TH!H770,OR(L770="331",M770="331")),"331",IF(AND(OR(L770="131",M770="131"),H770='131-CT'!$E$7),"131",""))</f>
        <v/>
      </c>
      <c r="O770" s="51" t="str">
        <f>IF(AND($B770&gt;='111'!$N$11,$B770&lt;='111'!$O$11,OR($L770=$O$7,$M770=$O$7)),"x","")</f>
        <v/>
      </c>
      <c r="P770" s="51" t="str">
        <f>IF(AND($L770=$O$7,$B770&lt;'111'!$N$11),"x","")</f>
        <v>x</v>
      </c>
      <c r="Q770" s="51" t="str">
        <f>IF(AND($M770=$O$7,$B770&lt;'111'!$N$11),"x","")</f>
        <v/>
      </c>
      <c r="R770" s="51" t="str">
        <f>IF(ISERROR(FIND('112'!$M$9,G770,1)),"",IF((AND(FIND('112'!$M$9,G770,1)&gt;=1,$B770&gt;='112'!$N$8,$B770&lt;='112'!$O$8,OR($L770='112'!$I$6,$M770='112'!$I$6))),"x",""))</f>
        <v/>
      </c>
      <c r="S770" s="51" t="str">
        <f>IF(ISERROR(FIND('112'!$M$9,G770,1)),"",IF((AND(LEFT(G770,2)=LEFT('112'!$M$9,2),B770&lt;'112'!$N$8,$L770='112'!$I$6)),"x",""))</f>
        <v/>
      </c>
      <c r="T770" s="51" t="str">
        <f>IF(ISERROR(FIND('112'!$M$9,G770,1)),"",IF((AND(RIGHT(G770,2)=RIGHT('112'!$M$9,2),B770&lt;'112'!$N$8,$M770='112'!$I$6)),"x",""))</f>
        <v/>
      </c>
      <c r="U770" s="51" t="str">
        <f>IF(AND(L770="154",'154'!$O$5&lt;=B770,'154'!$P$5&gt;=B770),"154",IF(AND(L770="632",'632'!$L$5&lt;=B770,'632'!$M$5&gt;=B770),"632",IF(AND(L770="642",'642'!$N$5&lt;=B770,'642'!$O$5&gt;=B770),"642",IF(AND(L770="641",'641'!$N$5&lt;=B770,'641'!$O$5&gt;=B770),"641",""))))</f>
        <v/>
      </c>
      <c r="V770" s="51" t="str">
        <f>IF(OR(TH!L770=TH!$V$7,M770=TH!$V$7),"x","")</f>
        <v/>
      </c>
      <c r="W770" s="51" t="str">
        <f>IF(AND(B770&gt;='IN-NX'!$P$3,B770&lt;='IN-NX'!$Q$3,'IN-NX'!$D$7=D770,OR(LEFT(L770,2)="15",AND(LEFT(M770,2)&lt;&gt;"15",LEFT(M770,2)&lt;&gt;"33"))),"x","")</f>
        <v/>
      </c>
      <c r="X770" s="51" t="str">
        <f>IF(AND(OR(LEFT(TH!L770,2)="15",LEFT(TH!M770,2)="15"),'152-CT'!$J$8=TH!F770),"x","")</f>
        <v/>
      </c>
      <c r="Y770" s="51" t="str">
        <f>IF(AND(OR(LEFT(TH!L770,2)="15",LEFT(TH!M770,2)="15"),TK!$E$7=TH!F770),"x","")</f>
        <v/>
      </c>
      <c r="Z770" s="51" t="str">
        <f>IF(AND(B770&lt;=NKC!$N$8,B770&gt;=NKC!$M$8),"x","")</f>
        <v>x</v>
      </c>
      <c r="AA770" s="803"/>
      <c r="AC770" s="203"/>
      <c r="AD770" s="203"/>
      <c r="AE770" s="203"/>
    </row>
    <row r="771" spans="1:31" s="565" customFormat="1" ht="15.75" customHeight="1">
      <c r="A771" s="804" t="str">
        <f>IF(B771&lt;&gt;"",IF(AND(B771&gt;=_TM1,B771&lt;=_TM2,OR(TH!L771="1111",TH!M771="1111")),TH!D771,""),"")</f>
        <v>C36</v>
      </c>
      <c r="B771" s="661">
        <f t="shared" si="49"/>
        <v>9</v>
      </c>
      <c r="C771" s="830">
        <f t="shared" si="50"/>
        <v>42277</v>
      </c>
      <c r="D771" s="830" t="s">
        <v>1436</v>
      </c>
      <c r="E771" s="830">
        <v>42277</v>
      </c>
      <c r="F771" s="836" t="s">
        <v>1467</v>
      </c>
      <c r="G771" s="849"/>
      <c r="H771" s="914" t="s">
        <v>437</v>
      </c>
      <c r="I771" s="241"/>
      <c r="J771" s="241"/>
      <c r="K771" s="834">
        <v>5000000</v>
      </c>
      <c r="L771" s="851" t="s">
        <v>83</v>
      </c>
      <c r="M771" s="851" t="s">
        <v>47</v>
      </c>
      <c r="N771" s="51" t="str">
        <f>IF(AND('331-CT'!$E$7=TH!H771,OR(L771="331",M771="331")),"331",IF(AND(OR(L771="131",M771="131"),H771='131-CT'!$E$7),"131",""))</f>
        <v/>
      </c>
      <c r="O771" s="51" t="str">
        <f>IF(AND($B771&gt;='111'!$N$11,$B771&lt;='111'!$O$11,OR($L771=$O$7,$M771=$O$7)),"x","")</f>
        <v/>
      </c>
      <c r="P771" s="51" t="str">
        <f>IF(AND($L771=$O$7,$B771&lt;'111'!$N$11),"x","")</f>
        <v/>
      </c>
      <c r="Q771" s="51" t="str">
        <f>IF(AND($M771=$O$7,$B771&lt;'111'!$N$11),"x","")</f>
        <v>x</v>
      </c>
      <c r="R771" s="51" t="str">
        <f>IF(ISERROR(FIND('112'!$M$9,G771,1)),"",IF((AND(FIND('112'!$M$9,G771,1)&gt;=1,$B771&gt;='112'!$N$8,$B771&lt;='112'!$O$8,OR($L771='112'!$I$6,$M771='112'!$I$6))),"x",""))</f>
        <v/>
      </c>
      <c r="S771" s="51" t="str">
        <f>IF(ISERROR(FIND('112'!$M$9,G771,1)),"",IF((AND(LEFT(G771,2)=LEFT('112'!$M$9,2),B771&lt;'112'!$N$8,$L771='112'!$I$6)),"x",""))</f>
        <v/>
      </c>
      <c r="T771" s="51" t="str">
        <f>IF(ISERROR(FIND('112'!$M$9,G771,1)),"",IF((AND(RIGHT(G771,2)=RIGHT('112'!$M$9,2),B771&lt;'112'!$N$8,$M771='112'!$I$6)),"x",""))</f>
        <v/>
      </c>
      <c r="U771" s="51" t="str">
        <f>IF(AND(L771="154",'154'!$O$5&lt;=B771,'154'!$P$5&gt;=B771),"154",IF(AND(L771="632",'632'!$L$5&lt;=B771,'632'!$M$5&gt;=B771),"632",IF(AND(L771="642",'642'!$N$5&lt;=B771,'642'!$O$5&gt;=B771),"642",IF(AND(L771="641",'641'!$N$5&lt;=B771,'641'!$O$5&gt;=B771),"641",""))))</f>
        <v/>
      </c>
      <c r="V771" s="51" t="str">
        <f>IF(OR(TH!L771=TH!$V$7,M771=TH!$V$7),"x","")</f>
        <v>x</v>
      </c>
      <c r="W771" s="51" t="str">
        <f>IF(AND(B771&gt;='IN-NX'!$P$3,B771&lt;='IN-NX'!$Q$3,'IN-NX'!$D$7=D771,OR(LEFT(L771,2)="15",AND(LEFT(M771,2)&lt;&gt;"15",LEFT(M771,2)&lt;&gt;"33"))),"x","")</f>
        <v/>
      </c>
      <c r="X771" s="51" t="str">
        <f>IF(AND(OR(LEFT(TH!L771,2)="15",LEFT(TH!M771,2)="15"),'152-CT'!$J$8=TH!F771),"x","")</f>
        <v/>
      </c>
      <c r="Y771" s="51" t="str">
        <f>IF(AND(OR(LEFT(TH!L771,2)="15",LEFT(TH!M771,2)="15"),TK!$E$7=TH!F771),"x","")</f>
        <v/>
      </c>
      <c r="Z771" s="51" t="str">
        <f>IF(AND(B771&lt;=NKC!$N$8,B771&gt;=NKC!$M$8),"x","")</f>
        <v>x</v>
      </c>
      <c r="AA771" s="915"/>
      <c r="AB771" s="662"/>
      <c r="AC771" s="916"/>
      <c r="AD771" s="916"/>
    </row>
    <row r="772" spans="1:31" s="565" customFormat="1" ht="15.75" customHeight="1">
      <c r="A772" s="804" t="str">
        <f>IF(B772&lt;&gt;"",IF(AND(B772&gt;=_TM1,B772&lt;=_TM2,OR(TH!L772="1111",TH!M772="1111")),TH!D772,""),"")</f>
        <v/>
      </c>
      <c r="B772" s="36">
        <f t="shared" si="49"/>
        <v>10</v>
      </c>
      <c r="C772" s="189">
        <f t="shared" si="50"/>
        <v>42279</v>
      </c>
      <c r="D772" s="189" t="s">
        <v>422</v>
      </c>
      <c r="E772" s="182">
        <v>42279</v>
      </c>
      <c r="F772" s="187" t="s">
        <v>425</v>
      </c>
      <c r="G772" s="811" t="s">
        <v>415</v>
      </c>
      <c r="H772" s="7"/>
      <c r="I772" s="243"/>
      <c r="J772" s="243"/>
      <c r="K772" s="573">
        <v>55000</v>
      </c>
      <c r="L772" s="574" t="s">
        <v>83</v>
      </c>
      <c r="M772" s="574" t="s">
        <v>24</v>
      </c>
      <c r="N772" s="51" t="str">
        <f>IF(AND('331-CT'!$E$7=TH!H772,OR(L772="331",M772="331")),"331",IF(AND(OR(L772="131",M772="131"),H772='131-CT'!$E$7),"131",""))</f>
        <v/>
      </c>
      <c r="O772" s="51" t="str">
        <f>IF(AND($B772&gt;='111'!$N$11,$B772&lt;='111'!$O$11,OR($L772=$O$7,$M772=$O$7)),"x","")</f>
        <v/>
      </c>
      <c r="P772" s="51" t="str">
        <f>IF(AND($L772=$O$7,$B772&lt;'111'!$N$11),"x","")</f>
        <v/>
      </c>
      <c r="Q772" s="51" t="str">
        <f>IF(AND($M772=$O$7,$B772&lt;'111'!$N$11),"x","")</f>
        <v/>
      </c>
      <c r="R772" s="51" t="str">
        <f>IF(ISERROR(FIND('112'!$M$9,G772,1)),"",IF((AND(FIND('112'!$M$9,G772,1)&gt;=1,$B772&gt;='112'!$N$8,$B772&lt;='112'!$O$8,OR($L772='112'!$I$6,$M772='112'!$I$6))),"x",""))</f>
        <v/>
      </c>
      <c r="S772" s="51" t="str">
        <f>IF(ISERROR(FIND('112'!$M$9,G772,1)),"",IF((AND(LEFT(G772,2)=LEFT('112'!$M$9,2),B772&lt;'112'!$N$8,$L772='112'!$I$6)),"x",""))</f>
        <v/>
      </c>
      <c r="T772" s="51" t="str">
        <f>IF(ISERROR(FIND('112'!$M$9,G772,1)),"",IF((AND(RIGHT(G772,2)=RIGHT('112'!$M$9,2),B772&lt;'112'!$N$8,$M772='112'!$I$6)),"x",""))</f>
        <v/>
      </c>
      <c r="U772" s="51" t="str">
        <f>IF(AND(L772="154",'154'!$O$5&lt;=B772,'154'!$P$5&gt;=B772),"154",IF(AND(L772="632",'632'!$L$5&lt;=B772,'632'!$M$5&gt;=B772),"632",IF(AND(L772="642",'642'!$N$5&lt;=B772,'642'!$O$5&gt;=B772),"642",IF(AND(L772="641",'641'!$N$5&lt;=B772,'641'!$O$5&gt;=B772),"641",""))))</f>
        <v/>
      </c>
      <c r="V772" s="51" t="str">
        <f>IF(OR(TH!L772=TH!$V$7,M772=TH!$V$7),"x","")</f>
        <v>x</v>
      </c>
      <c r="W772" s="51" t="str">
        <f>IF(AND(B772&gt;='IN-NX'!$P$3,B772&lt;='IN-NX'!$Q$3,'IN-NX'!$D$7=D772,OR(LEFT(L772,2)="15",AND(LEFT(M772,2)&lt;&gt;"15",LEFT(M772,2)&lt;&gt;"33"))),"x","")</f>
        <v/>
      </c>
      <c r="X772" s="51" t="str">
        <f>IF(AND(OR(LEFT(TH!L772,2)="15",LEFT(TH!M772,2)="15"),'152-CT'!$J$8=TH!F772),"x","")</f>
        <v/>
      </c>
      <c r="Y772" s="51" t="str">
        <f>IF(AND(OR(LEFT(TH!L772,2)="15",LEFT(TH!M772,2)="15"),TK!$E$7=TH!F772),"x","")</f>
        <v/>
      </c>
      <c r="Z772" s="51" t="str">
        <f>IF(AND(B772&lt;=NKC!$N$8,B772&gt;=NKC!$M$8),"x","")</f>
        <v/>
      </c>
      <c r="AA772" s="803"/>
      <c r="AC772" s="203"/>
      <c r="AD772" s="203"/>
    </row>
    <row r="773" spans="1:31" s="565" customFormat="1" ht="15.75" customHeight="1">
      <c r="A773" s="804" t="str">
        <f>IF(B773&lt;&gt;"",IF(AND(B773&gt;=_TM1,B773&lt;=_TM2,OR(TH!L773="1111",TH!M773="1111")),TH!D773,""),"")</f>
        <v/>
      </c>
      <c r="B773" s="36">
        <f t="shared" si="49"/>
        <v>10</v>
      </c>
      <c r="C773" s="189">
        <f t="shared" si="50"/>
        <v>42279</v>
      </c>
      <c r="D773" s="189" t="s">
        <v>1334</v>
      </c>
      <c r="E773" s="189">
        <v>42279</v>
      </c>
      <c r="F773" s="926" t="s">
        <v>742</v>
      </c>
      <c r="G773" s="813" t="s">
        <v>741</v>
      </c>
      <c r="H773" s="191" t="s">
        <v>509</v>
      </c>
      <c r="I773" s="243">
        <v>60</v>
      </c>
      <c r="J773" s="243">
        <v>17664</v>
      </c>
      <c r="K773" s="573">
        <f t="shared" ref="K773:K779" si="51">ROUND(I773*J773,0)</f>
        <v>1059840</v>
      </c>
      <c r="L773" s="574" t="s">
        <v>417</v>
      </c>
      <c r="M773" s="574" t="s">
        <v>8</v>
      </c>
      <c r="N773" s="51" t="str">
        <f>IF(AND('331-CT'!$E$7=TH!H773,OR(L773="331",M773="331")),"331",IF(AND(OR(L773="131",M773="131"),H773='131-CT'!$E$7),"131",""))</f>
        <v/>
      </c>
      <c r="O773" s="51" t="str">
        <f>IF(AND($B773&gt;='111'!$N$11,$B773&lt;='111'!$O$11,OR($L773=$O$7,$M773=$O$7)),"x","")</f>
        <v/>
      </c>
      <c r="P773" s="51" t="str">
        <f>IF(AND($L773=$O$7,$B773&lt;'111'!$N$11),"x","")</f>
        <v/>
      </c>
      <c r="Q773" s="51" t="str">
        <f>IF(AND($M773=$O$7,$B773&lt;'111'!$N$11),"x","")</f>
        <v/>
      </c>
      <c r="R773" s="51" t="str">
        <f>IF(ISERROR(FIND('112'!$M$9,G773,1)),"",IF((AND(FIND('112'!$M$9,G773,1)&gt;=1,$B773&gt;='112'!$N$8,$B773&lt;='112'!$O$8,OR($L773='112'!$I$6,$M773='112'!$I$6))),"x",""))</f>
        <v/>
      </c>
      <c r="S773" s="51" t="str">
        <f>IF(ISERROR(FIND('112'!$M$9,G773,1)),"",IF((AND(LEFT(G773,2)=LEFT('112'!$M$9,2),B773&lt;'112'!$N$8,$L773='112'!$I$6)),"x",""))</f>
        <v/>
      </c>
      <c r="T773" s="51" t="str">
        <f>IF(ISERROR(FIND('112'!$M$9,G773,1)),"",IF((AND(RIGHT(G773,2)=RIGHT('112'!$M$9,2),B773&lt;'112'!$N$8,$M773='112'!$I$6)),"x",""))</f>
        <v/>
      </c>
      <c r="U773" s="51" t="str">
        <f>IF(AND(L773="154",'154'!$O$5&lt;=B773,'154'!$P$5&gt;=B773),"154",IF(AND(L773="632",'632'!$L$5&lt;=B773,'632'!$M$5&gt;=B773),"632",IF(AND(L773="642",'642'!$N$5&lt;=B773,'642'!$O$5&gt;=B773),"642",IF(AND(L773="641",'641'!$N$5&lt;=B773,'641'!$O$5&gt;=B773),"641",""))))</f>
        <v/>
      </c>
      <c r="V773" s="51" t="str">
        <f>IF(OR(TH!L773=TH!$V$7,M773=TH!$V$7),"x","")</f>
        <v/>
      </c>
      <c r="W773" s="51" t="str">
        <f>IF(AND(B773&gt;='IN-NX'!$P$3,B773&lt;='IN-NX'!$Q$3,'IN-NX'!$D$7=D773,OR(LEFT(L773,2)="15",AND(LEFT(M773,2)&lt;&gt;"15",LEFT(M773,2)&lt;&gt;"33"))),"x","")</f>
        <v>x</v>
      </c>
      <c r="X773" s="51" t="str">
        <f>IF(AND(OR(LEFT(TH!L773,2)="15",LEFT(TH!M773,2)="15"),'152-CT'!$J$8=TH!F773),"x","")</f>
        <v/>
      </c>
      <c r="Y773" s="51" t="str">
        <f>IF(AND(OR(LEFT(TH!L773,2)="15",LEFT(TH!M773,2)="15"),TK!$E$7=TH!F773),"x","")</f>
        <v/>
      </c>
      <c r="Z773" s="51" t="str">
        <f>IF(AND(B773&lt;=NKC!$N$8,B773&gt;=NKC!$M$8),"x","")</f>
        <v/>
      </c>
      <c r="AA773" s="803"/>
      <c r="AC773" s="203"/>
      <c r="AD773" s="203"/>
      <c r="AE773" s="203"/>
    </row>
    <row r="774" spans="1:31" s="565" customFormat="1" ht="15.75" customHeight="1">
      <c r="A774" s="804" t="str">
        <f>IF(B774&lt;&gt;"",IF(AND(B774&gt;=_TM1,B774&lt;=_TM2,OR(TH!L774="1111",TH!M774="1111")),TH!D774,""),"")</f>
        <v/>
      </c>
      <c r="B774" s="36">
        <f t="shared" si="49"/>
        <v>10</v>
      </c>
      <c r="C774" s="189">
        <f t="shared" si="50"/>
        <v>42279</v>
      </c>
      <c r="D774" s="189" t="s">
        <v>1334</v>
      </c>
      <c r="E774" s="189">
        <v>42279</v>
      </c>
      <c r="F774" s="926" t="s">
        <v>743</v>
      </c>
      <c r="G774" s="813" t="s">
        <v>741</v>
      </c>
      <c r="H774" s="191" t="s">
        <v>509</v>
      </c>
      <c r="I774" s="243">
        <v>61</v>
      </c>
      <c r="J774" s="243">
        <v>18819</v>
      </c>
      <c r="K774" s="573">
        <f t="shared" si="51"/>
        <v>1147959</v>
      </c>
      <c r="L774" s="574" t="s">
        <v>417</v>
      </c>
      <c r="M774" s="574" t="s">
        <v>8</v>
      </c>
      <c r="N774" s="51" t="str">
        <f>IF(AND('331-CT'!$E$7=TH!H774,OR(L774="331",M774="331")),"331",IF(AND(OR(L774="131",M774="131"),H774='131-CT'!$E$7),"131",""))</f>
        <v/>
      </c>
      <c r="O774" s="51" t="str">
        <f>IF(AND($B774&gt;='111'!$N$11,$B774&lt;='111'!$O$11,OR($L774=$O$7,$M774=$O$7)),"x","")</f>
        <v/>
      </c>
      <c r="P774" s="51" t="str">
        <f>IF(AND($L774=$O$7,$B774&lt;'111'!$N$11),"x","")</f>
        <v/>
      </c>
      <c r="Q774" s="51" t="str">
        <f>IF(AND($M774=$O$7,$B774&lt;'111'!$N$11),"x","")</f>
        <v/>
      </c>
      <c r="R774" s="51" t="str">
        <f>IF(ISERROR(FIND('112'!$M$9,G774,1)),"",IF((AND(FIND('112'!$M$9,G774,1)&gt;=1,$B774&gt;='112'!$N$8,$B774&lt;='112'!$O$8,OR($L774='112'!$I$6,$M774='112'!$I$6))),"x",""))</f>
        <v/>
      </c>
      <c r="S774" s="51" t="str">
        <f>IF(ISERROR(FIND('112'!$M$9,G774,1)),"",IF((AND(LEFT(G774,2)=LEFT('112'!$M$9,2),B774&lt;'112'!$N$8,$L774='112'!$I$6)),"x",""))</f>
        <v/>
      </c>
      <c r="T774" s="51" t="str">
        <f>IF(ISERROR(FIND('112'!$M$9,G774,1)),"",IF((AND(RIGHT(G774,2)=RIGHT('112'!$M$9,2),B774&lt;'112'!$N$8,$M774='112'!$I$6)),"x",""))</f>
        <v/>
      </c>
      <c r="U774" s="51" t="str">
        <f>IF(AND(L774="154",'154'!$O$5&lt;=B774,'154'!$P$5&gt;=B774),"154",IF(AND(L774="632",'632'!$L$5&lt;=B774,'632'!$M$5&gt;=B774),"632",IF(AND(L774="642",'642'!$N$5&lt;=B774,'642'!$O$5&gt;=B774),"642",IF(AND(L774="641",'641'!$N$5&lt;=B774,'641'!$O$5&gt;=B774),"641",""))))</f>
        <v/>
      </c>
      <c r="V774" s="51" t="str">
        <f>IF(OR(TH!L774=TH!$V$7,M774=TH!$V$7),"x","")</f>
        <v/>
      </c>
      <c r="W774" s="51" t="str">
        <f>IF(AND(B774&gt;='IN-NX'!$P$3,B774&lt;='IN-NX'!$Q$3,'IN-NX'!$D$7=D774,OR(LEFT(L774,2)="15",AND(LEFT(M774,2)&lt;&gt;"15",LEFT(M774,2)&lt;&gt;"33"))),"x","")</f>
        <v>x</v>
      </c>
      <c r="X774" s="51" t="str">
        <f>IF(AND(OR(LEFT(TH!L774,2)="15",LEFT(TH!M774,2)="15"),'152-CT'!$J$8=TH!F774),"x","")</f>
        <v/>
      </c>
      <c r="Y774" s="51" t="str">
        <f>IF(AND(OR(LEFT(TH!L774,2)="15",LEFT(TH!M774,2)="15"),TK!$E$7=TH!F774),"x","")</f>
        <v/>
      </c>
      <c r="Z774" s="51" t="str">
        <f>IF(AND(B774&lt;=NKC!$N$8,B774&gt;=NKC!$M$8),"x","")</f>
        <v/>
      </c>
      <c r="AA774" s="803"/>
      <c r="AC774" s="203"/>
      <c r="AD774" s="203"/>
      <c r="AE774" s="203"/>
    </row>
    <row r="775" spans="1:31" s="565" customFormat="1" ht="15.75" customHeight="1">
      <c r="A775" s="804" t="str">
        <f>IF(B775&lt;&gt;"",IF(AND(B775&gt;=_TM1,B775&lt;=_TM2,OR(TH!L775="1111",TH!M775="1111")),TH!D775,""),"")</f>
        <v/>
      </c>
      <c r="B775" s="36">
        <f t="shared" si="49"/>
        <v>10</v>
      </c>
      <c r="C775" s="189">
        <f t="shared" si="50"/>
        <v>42279</v>
      </c>
      <c r="D775" s="189" t="s">
        <v>1334</v>
      </c>
      <c r="E775" s="189">
        <v>42279</v>
      </c>
      <c r="F775" s="922" t="s">
        <v>744</v>
      </c>
      <c r="G775" s="813" t="s">
        <v>741</v>
      </c>
      <c r="H775" s="191" t="s">
        <v>509</v>
      </c>
      <c r="I775" s="243">
        <v>61</v>
      </c>
      <c r="J775" s="243">
        <v>27141</v>
      </c>
      <c r="K775" s="573">
        <f t="shared" si="51"/>
        <v>1655601</v>
      </c>
      <c r="L775" s="574" t="s">
        <v>417</v>
      </c>
      <c r="M775" s="574" t="s">
        <v>8</v>
      </c>
      <c r="N775" s="51" t="str">
        <f>IF(AND('331-CT'!$E$7=TH!H775,OR(L775="331",M775="331")),"331",IF(AND(OR(L775="131",M775="131"),H775='131-CT'!$E$7),"131",""))</f>
        <v/>
      </c>
      <c r="O775" s="51" t="str">
        <f>IF(AND($B775&gt;='111'!$N$11,$B775&lt;='111'!$O$11,OR($L775=$O$7,$M775=$O$7)),"x","")</f>
        <v/>
      </c>
      <c r="P775" s="51" t="str">
        <f>IF(AND($L775=$O$7,$B775&lt;'111'!$N$11),"x","")</f>
        <v/>
      </c>
      <c r="Q775" s="51" t="str">
        <f>IF(AND($M775=$O$7,$B775&lt;'111'!$N$11),"x","")</f>
        <v/>
      </c>
      <c r="R775" s="51" t="str">
        <f>IF(ISERROR(FIND('112'!$M$9,G775,1)),"",IF((AND(FIND('112'!$M$9,G775,1)&gt;=1,$B775&gt;='112'!$N$8,$B775&lt;='112'!$O$8,OR($L775='112'!$I$6,$M775='112'!$I$6))),"x",""))</f>
        <v/>
      </c>
      <c r="S775" s="51" t="str">
        <f>IF(ISERROR(FIND('112'!$M$9,G775,1)),"",IF((AND(LEFT(G775,2)=LEFT('112'!$M$9,2),B775&lt;'112'!$N$8,$L775='112'!$I$6)),"x",""))</f>
        <v/>
      </c>
      <c r="T775" s="51" t="str">
        <f>IF(ISERROR(FIND('112'!$M$9,G775,1)),"",IF((AND(RIGHT(G775,2)=RIGHT('112'!$M$9,2),B775&lt;'112'!$N$8,$M775='112'!$I$6)),"x",""))</f>
        <v/>
      </c>
      <c r="U775" s="51" t="str">
        <f>IF(AND(L775="154",'154'!$O$5&lt;=B775,'154'!$P$5&gt;=B775),"154",IF(AND(L775="632",'632'!$L$5&lt;=B775,'632'!$M$5&gt;=B775),"632",IF(AND(L775="642",'642'!$N$5&lt;=B775,'642'!$O$5&gt;=B775),"642",IF(AND(L775="641",'641'!$N$5&lt;=B775,'641'!$O$5&gt;=B775),"641",""))))</f>
        <v/>
      </c>
      <c r="V775" s="51" t="str">
        <f>IF(OR(TH!L775=TH!$V$7,M775=TH!$V$7),"x","")</f>
        <v/>
      </c>
      <c r="W775" s="51" t="str">
        <f>IF(AND(B775&gt;='IN-NX'!$P$3,B775&lt;='IN-NX'!$Q$3,'IN-NX'!$D$7=D775,OR(LEFT(L775,2)="15",AND(LEFT(M775,2)&lt;&gt;"15",LEFT(M775,2)&lt;&gt;"33"))),"x","")</f>
        <v>x</v>
      </c>
      <c r="X775" s="51" t="str">
        <f>IF(AND(OR(LEFT(TH!L775,2)="15",LEFT(TH!M775,2)="15"),'152-CT'!$J$8=TH!F775),"x","")</f>
        <v/>
      </c>
      <c r="Y775" s="51" t="str">
        <f>IF(AND(OR(LEFT(TH!L775,2)="15",LEFT(TH!M775,2)="15"),TK!$E$7=TH!F775),"x","")</f>
        <v/>
      </c>
      <c r="Z775" s="51" t="str">
        <f>IF(AND(B775&lt;=NKC!$N$8,B775&gt;=NKC!$M$8),"x","")</f>
        <v/>
      </c>
      <c r="AA775" s="803"/>
      <c r="AC775" s="203"/>
      <c r="AD775" s="203"/>
      <c r="AE775" s="203"/>
    </row>
    <row r="776" spans="1:31" s="565" customFormat="1" ht="15.75" customHeight="1">
      <c r="A776" s="804" t="str">
        <f>IF(B776&lt;&gt;"",IF(AND(B776&gt;=_TM1,B776&lt;=_TM2,OR(TH!L776="1111",TH!M776="1111")),TH!D776,""),"")</f>
        <v/>
      </c>
      <c r="B776" s="36">
        <f t="shared" si="49"/>
        <v>10</v>
      </c>
      <c r="C776" s="189">
        <f t="shared" si="50"/>
        <v>42279</v>
      </c>
      <c r="D776" s="189" t="s">
        <v>1334</v>
      </c>
      <c r="E776" s="189">
        <v>42279</v>
      </c>
      <c r="F776" s="190" t="s">
        <v>745</v>
      </c>
      <c r="G776" s="813" t="s">
        <v>741</v>
      </c>
      <c r="H776" s="191" t="s">
        <v>509</v>
      </c>
      <c r="I776" s="243">
        <v>244</v>
      </c>
      <c r="J776" s="243">
        <v>9031</v>
      </c>
      <c r="K776" s="573">
        <f t="shared" si="51"/>
        <v>2203564</v>
      </c>
      <c r="L776" s="574" t="s">
        <v>417</v>
      </c>
      <c r="M776" s="574" t="s">
        <v>8</v>
      </c>
      <c r="N776" s="51" t="str">
        <f>IF(AND('331-CT'!$E$7=TH!H776,OR(L776="331",M776="331")),"331",IF(AND(OR(L776="131",M776="131"),H776='131-CT'!$E$7),"131",""))</f>
        <v/>
      </c>
      <c r="O776" s="51" t="str">
        <f>IF(AND($B776&gt;='111'!$N$11,$B776&lt;='111'!$O$11,OR($L776=$O$7,$M776=$O$7)),"x","")</f>
        <v/>
      </c>
      <c r="P776" s="51" t="str">
        <f>IF(AND($L776=$O$7,$B776&lt;'111'!$N$11),"x","")</f>
        <v/>
      </c>
      <c r="Q776" s="51" t="str">
        <f>IF(AND($M776=$O$7,$B776&lt;'111'!$N$11),"x","")</f>
        <v/>
      </c>
      <c r="R776" s="51" t="str">
        <f>IF(ISERROR(FIND('112'!$M$9,G776,1)),"",IF((AND(FIND('112'!$M$9,G776,1)&gt;=1,$B776&gt;='112'!$N$8,$B776&lt;='112'!$O$8,OR($L776='112'!$I$6,$M776='112'!$I$6))),"x",""))</f>
        <v/>
      </c>
      <c r="S776" s="51" t="str">
        <f>IF(ISERROR(FIND('112'!$M$9,G776,1)),"",IF((AND(LEFT(G776,2)=LEFT('112'!$M$9,2),B776&lt;'112'!$N$8,$L776='112'!$I$6)),"x",""))</f>
        <v/>
      </c>
      <c r="T776" s="51" t="str">
        <f>IF(ISERROR(FIND('112'!$M$9,G776,1)),"",IF((AND(RIGHT(G776,2)=RIGHT('112'!$M$9,2),B776&lt;'112'!$N$8,$M776='112'!$I$6)),"x",""))</f>
        <v/>
      </c>
      <c r="U776" s="51" t="str">
        <f>IF(AND(L776="154",'154'!$O$5&lt;=B776,'154'!$P$5&gt;=B776),"154",IF(AND(L776="632",'632'!$L$5&lt;=B776,'632'!$M$5&gt;=B776),"632",IF(AND(L776="642",'642'!$N$5&lt;=B776,'642'!$O$5&gt;=B776),"642",IF(AND(L776="641",'641'!$N$5&lt;=B776,'641'!$O$5&gt;=B776),"641",""))))</f>
        <v/>
      </c>
      <c r="V776" s="51" t="str">
        <f>IF(OR(TH!L776=TH!$V$7,M776=TH!$V$7),"x","")</f>
        <v/>
      </c>
      <c r="W776" s="51" t="str">
        <f>IF(AND(B776&gt;='IN-NX'!$P$3,B776&lt;='IN-NX'!$Q$3,'IN-NX'!$D$7=D776,OR(LEFT(L776,2)="15",AND(LEFT(M776,2)&lt;&gt;"15",LEFT(M776,2)&lt;&gt;"33"))),"x","")</f>
        <v>x</v>
      </c>
      <c r="X776" s="51" t="str">
        <f>IF(AND(OR(LEFT(TH!L776,2)="15",LEFT(TH!M776,2)="15"),'152-CT'!$J$8=TH!F776),"x","")</f>
        <v/>
      </c>
      <c r="Y776" s="51" t="str">
        <f>IF(AND(OR(LEFT(TH!L776,2)="15",LEFT(TH!M776,2)="15"),TK!$E$7=TH!F776),"x","")</f>
        <v/>
      </c>
      <c r="Z776" s="51" t="str">
        <f>IF(AND(B776&lt;=NKC!$N$8,B776&gt;=NKC!$M$8),"x","")</f>
        <v/>
      </c>
      <c r="AA776" s="803"/>
      <c r="AC776" s="203"/>
      <c r="AD776" s="203"/>
      <c r="AE776" s="203"/>
    </row>
    <row r="777" spans="1:31" s="565" customFormat="1" ht="15.75" customHeight="1">
      <c r="A777" s="804" t="str">
        <f>IF(B777&lt;&gt;"",IF(AND(B777&gt;=_TM1,B777&lt;=_TM2,OR(TH!L777="1111",TH!M777="1111")),TH!D777,""),"")</f>
        <v/>
      </c>
      <c r="B777" s="36">
        <f t="shared" si="49"/>
        <v>10</v>
      </c>
      <c r="C777" s="189">
        <f t="shared" si="50"/>
        <v>42279</v>
      </c>
      <c r="D777" s="189" t="s">
        <v>1334</v>
      </c>
      <c r="E777" s="189">
        <v>42279</v>
      </c>
      <c r="F777" s="190" t="s">
        <v>746</v>
      </c>
      <c r="G777" s="813" t="s">
        <v>741</v>
      </c>
      <c r="H777" s="191" t="s">
        <v>509</v>
      </c>
      <c r="I777" s="243">
        <v>24</v>
      </c>
      <c r="J777" s="243">
        <v>24840</v>
      </c>
      <c r="K777" s="573">
        <f t="shared" si="51"/>
        <v>596160</v>
      </c>
      <c r="L777" s="574" t="s">
        <v>417</v>
      </c>
      <c r="M777" s="574" t="s">
        <v>8</v>
      </c>
      <c r="N777" s="51" t="str">
        <f>IF(AND('331-CT'!$E$7=TH!H777,OR(L777="331",M777="331")),"331",IF(AND(OR(L777="131",M777="131"),H777='131-CT'!$E$7),"131",""))</f>
        <v/>
      </c>
      <c r="O777" s="51" t="str">
        <f>IF(AND($B777&gt;='111'!$N$11,$B777&lt;='111'!$O$11,OR($L777=$O$7,$M777=$O$7)),"x","")</f>
        <v/>
      </c>
      <c r="P777" s="51" t="str">
        <f>IF(AND($L777=$O$7,$B777&lt;'111'!$N$11),"x","")</f>
        <v/>
      </c>
      <c r="Q777" s="51" t="str">
        <f>IF(AND($M777=$O$7,$B777&lt;'111'!$N$11),"x","")</f>
        <v/>
      </c>
      <c r="R777" s="51" t="str">
        <f>IF(ISERROR(FIND('112'!$M$9,G777,1)),"",IF((AND(FIND('112'!$M$9,G777,1)&gt;=1,$B777&gt;='112'!$N$8,$B777&lt;='112'!$O$8,OR($L777='112'!$I$6,$M777='112'!$I$6))),"x",""))</f>
        <v/>
      </c>
      <c r="S777" s="51" t="str">
        <f>IF(ISERROR(FIND('112'!$M$9,G777,1)),"",IF((AND(LEFT(G777,2)=LEFT('112'!$M$9,2),B777&lt;'112'!$N$8,$L777='112'!$I$6)),"x",""))</f>
        <v/>
      </c>
      <c r="T777" s="51" t="str">
        <f>IF(ISERROR(FIND('112'!$M$9,G777,1)),"",IF((AND(RIGHT(G777,2)=RIGHT('112'!$M$9,2),B777&lt;'112'!$N$8,$M777='112'!$I$6)),"x",""))</f>
        <v/>
      </c>
      <c r="U777" s="51" t="str">
        <f>IF(AND(L777="154",'154'!$O$5&lt;=B777,'154'!$P$5&gt;=B777),"154",IF(AND(L777="632",'632'!$L$5&lt;=B777,'632'!$M$5&gt;=B777),"632",IF(AND(L777="642",'642'!$N$5&lt;=B777,'642'!$O$5&gt;=B777),"642",IF(AND(L777="641",'641'!$N$5&lt;=B777,'641'!$O$5&gt;=B777),"641",""))))</f>
        <v/>
      </c>
      <c r="V777" s="51" t="str">
        <f>IF(OR(TH!L777=TH!$V$7,M777=TH!$V$7),"x","")</f>
        <v/>
      </c>
      <c r="W777" s="51" t="str">
        <f>IF(AND(B777&gt;='IN-NX'!$P$3,B777&lt;='IN-NX'!$Q$3,'IN-NX'!$D$7=D777,OR(LEFT(L777,2)="15",AND(LEFT(M777,2)&lt;&gt;"15",LEFT(M777,2)&lt;&gt;"33"))),"x","")</f>
        <v>x</v>
      </c>
      <c r="X777" s="51" t="str">
        <f>IF(AND(OR(LEFT(TH!L777,2)="15",LEFT(TH!M777,2)="15"),'152-CT'!$J$8=TH!F777),"x","")</f>
        <v/>
      </c>
      <c r="Y777" s="51" t="str">
        <f>IF(AND(OR(LEFT(TH!L777,2)="15",LEFT(TH!M777,2)="15"),TK!$E$7=TH!F777),"x","")</f>
        <v/>
      </c>
      <c r="Z777" s="51" t="str">
        <f>IF(AND(B777&lt;=NKC!$N$8,B777&gt;=NKC!$M$8),"x","")</f>
        <v/>
      </c>
      <c r="AA777" s="803"/>
      <c r="AC777" s="203"/>
      <c r="AD777" s="203"/>
      <c r="AE777" s="203"/>
    </row>
    <row r="778" spans="1:31" s="565" customFormat="1" ht="15.75" customHeight="1">
      <c r="A778" s="804" t="str">
        <f>IF(B778&lt;&gt;"",IF(AND(B778&gt;=_TM1,B778&lt;=_TM2,OR(TH!L778="1111",TH!M778="1111")),TH!D778,""),"")</f>
        <v/>
      </c>
      <c r="B778" s="36">
        <f t="shared" si="49"/>
        <v>10</v>
      </c>
      <c r="C778" s="189">
        <f t="shared" si="50"/>
        <v>42279</v>
      </c>
      <c r="D778" s="189" t="s">
        <v>1334</v>
      </c>
      <c r="E778" s="189">
        <v>42279</v>
      </c>
      <c r="F778" s="190" t="s">
        <v>747</v>
      </c>
      <c r="G778" s="813" t="s">
        <v>741</v>
      </c>
      <c r="H778" s="191" t="s">
        <v>509</v>
      </c>
      <c r="I778" s="243">
        <v>15</v>
      </c>
      <c r="J778" s="243">
        <v>22356</v>
      </c>
      <c r="K778" s="573">
        <f t="shared" si="51"/>
        <v>335340</v>
      </c>
      <c r="L778" s="574" t="s">
        <v>417</v>
      </c>
      <c r="M778" s="574" t="s">
        <v>8</v>
      </c>
      <c r="N778" s="51" t="str">
        <f>IF(AND('331-CT'!$E$7=TH!H778,OR(L778="331",M778="331")),"331",IF(AND(OR(L778="131",M778="131"),H778='131-CT'!$E$7),"131",""))</f>
        <v/>
      </c>
      <c r="O778" s="51" t="str">
        <f>IF(AND($B778&gt;='111'!$N$11,$B778&lt;='111'!$O$11,OR($L778=$O$7,$M778=$O$7)),"x","")</f>
        <v/>
      </c>
      <c r="P778" s="51" t="str">
        <f>IF(AND($L778=$O$7,$B778&lt;'111'!$N$11),"x","")</f>
        <v/>
      </c>
      <c r="Q778" s="51" t="str">
        <f>IF(AND($M778=$O$7,$B778&lt;'111'!$N$11),"x","")</f>
        <v/>
      </c>
      <c r="R778" s="51" t="str">
        <f>IF(ISERROR(FIND('112'!$M$9,G778,1)),"",IF((AND(FIND('112'!$M$9,G778,1)&gt;=1,$B778&gt;='112'!$N$8,$B778&lt;='112'!$O$8,OR($L778='112'!$I$6,$M778='112'!$I$6))),"x",""))</f>
        <v/>
      </c>
      <c r="S778" s="51" t="str">
        <f>IF(ISERROR(FIND('112'!$M$9,G778,1)),"",IF((AND(LEFT(G778,2)=LEFT('112'!$M$9,2),B778&lt;'112'!$N$8,$L778='112'!$I$6)),"x",""))</f>
        <v/>
      </c>
      <c r="T778" s="51" t="str">
        <f>IF(ISERROR(FIND('112'!$M$9,G778,1)),"",IF((AND(RIGHT(G778,2)=RIGHT('112'!$M$9,2),B778&lt;'112'!$N$8,$M778='112'!$I$6)),"x",""))</f>
        <v/>
      </c>
      <c r="U778" s="51" t="str">
        <f>IF(AND(L778="154",'154'!$O$5&lt;=B778,'154'!$P$5&gt;=B778),"154",IF(AND(L778="632",'632'!$L$5&lt;=B778,'632'!$M$5&gt;=B778),"632",IF(AND(L778="642",'642'!$N$5&lt;=B778,'642'!$O$5&gt;=B778),"642",IF(AND(L778="641",'641'!$N$5&lt;=B778,'641'!$O$5&gt;=B778),"641",""))))</f>
        <v/>
      </c>
      <c r="V778" s="51" t="str">
        <f>IF(OR(TH!L778=TH!$V$7,M778=TH!$V$7),"x","")</f>
        <v/>
      </c>
      <c r="W778" s="51" t="str">
        <f>IF(AND(B778&gt;='IN-NX'!$P$3,B778&lt;='IN-NX'!$Q$3,'IN-NX'!$D$7=D778,OR(LEFT(L778,2)="15",AND(LEFT(M778,2)&lt;&gt;"15",LEFT(M778,2)&lt;&gt;"33"))),"x","")</f>
        <v>x</v>
      </c>
      <c r="X778" s="51" t="str">
        <f>IF(AND(OR(LEFT(TH!L778,2)="15",LEFT(TH!M778,2)="15"),'152-CT'!$J$8=TH!F778),"x","")</f>
        <v/>
      </c>
      <c r="Y778" s="51" t="str">
        <f>IF(AND(OR(LEFT(TH!L778,2)="15",LEFT(TH!M778,2)="15"),TK!$E$7=TH!F778),"x","")</f>
        <v/>
      </c>
      <c r="Z778" s="51" t="str">
        <f>IF(AND(B778&lt;=NKC!$N$8,B778&gt;=NKC!$M$8),"x","")</f>
        <v/>
      </c>
      <c r="AA778" s="803"/>
      <c r="AC778" s="203"/>
      <c r="AD778" s="203"/>
      <c r="AE778" s="203"/>
    </row>
    <row r="779" spans="1:31" s="565" customFormat="1" ht="15.75" customHeight="1">
      <c r="A779" s="804" t="str">
        <f>IF(B779&lt;&gt;"",IF(AND(B779&gt;=_TM1,B779&lt;=_TM2,OR(TH!L779="1111",TH!M779="1111")),TH!D779,""),"")</f>
        <v/>
      </c>
      <c r="B779" s="36">
        <f t="shared" si="49"/>
        <v>10</v>
      </c>
      <c r="C779" s="189">
        <f t="shared" si="50"/>
        <v>42279</v>
      </c>
      <c r="D779" s="189" t="s">
        <v>1334</v>
      </c>
      <c r="E779" s="189">
        <v>42279</v>
      </c>
      <c r="F779" s="190" t="s">
        <v>748</v>
      </c>
      <c r="G779" s="813" t="s">
        <v>741</v>
      </c>
      <c r="H779" s="191" t="s">
        <v>509</v>
      </c>
      <c r="I779" s="243">
        <v>10</v>
      </c>
      <c r="J779" s="243">
        <v>26703</v>
      </c>
      <c r="K779" s="573">
        <f t="shared" si="51"/>
        <v>267030</v>
      </c>
      <c r="L779" s="574" t="s">
        <v>417</v>
      </c>
      <c r="M779" s="574" t="s">
        <v>8</v>
      </c>
      <c r="N779" s="51" t="str">
        <f>IF(AND('331-CT'!$E$7=TH!H779,OR(L779="331",M779="331")),"331",IF(AND(OR(L779="131",M779="131"),H779='131-CT'!$E$7),"131",""))</f>
        <v/>
      </c>
      <c r="O779" s="51" t="str">
        <f>IF(AND($B779&gt;='111'!$N$11,$B779&lt;='111'!$O$11,OR($L779=$O$7,$M779=$O$7)),"x","")</f>
        <v/>
      </c>
      <c r="P779" s="51" t="str">
        <f>IF(AND($L779=$O$7,$B779&lt;'111'!$N$11),"x","")</f>
        <v/>
      </c>
      <c r="Q779" s="51" t="str">
        <f>IF(AND($M779=$O$7,$B779&lt;'111'!$N$11),"x","")</f>
        <v/>
      </c>
      <c r="R779" s="51" t="str">
        <f>IF(ISERROR(FIND('112'!$M$9,G779,1)),"",IF((AND(FIND('112'!$M$9,G779,1)&gt;=1,$B779&gt;='112'!$N$8,$B779&lt;='112'!$O$8,OR($L779='112'!$I$6,$M779='112'!$I$6))),"x",""))</f>
        <v/>
      </c>
      <c r="S779" s="51" t="str">
        <f>IF(ISERROR(FIND('112'!$M$9,G779,1)),"",IF((AND(LEFT(G779,2)=LEFT('112'!$M$9,2),B779&lt;'112'!$N$8,$L779='112'!$I$6)),"x",""))</f>
        <v/>
      </c>
      <c r="T779" s="51" t="str">
        <f>IF(ISERROR(FIND('112'!$M$9,G779,1)),"",IF((AND(RIGHT(G779,2)=RIGHT('112'!$M$9,2),B779&lt;'112'!$N$8,$M779='112'!$I$6)),"x",""))</f>
        <v/>
      </c>
      <c r="U779" s="51" t="str">
        <f>IF(AND(L779="154",'154'!$O$5&lt;=B779,'154'!$P$5&gt;=B779),"154",IF(AND(L779="632",'632'!$L$5&lt;=B779,'632'!$M$5&gt;=B779),"632",IF(AND(L779="642",'642'!$N$5&lt;=B779,'642'!$O$5&gt;=B779),"642",IF(AND(L779="641",'641'!$N$5&lt;=B779,'641'!$O$5&gt;=B779),"641",""))))</f>
        <v/>
      </c>
      <c r="V779" s="51" t="str">
        <f>IF(OR(TH!L779=TH!$V$7,M779=TH!$V$7),"x","")</f>
        <v/>
      </c>
      <c r="W779" s="51" t="str">
        <f>IF(AND(B779&gt;='IN-NX'!$P$3,B779&lt;='IN-NX'!$Q$3,'IN-NX'!$D$7=D779,OR(LEFT(L779,2)="15",AND(LEFT(M779,2)&lt;&gt;"15",LEFT(M779,2)&lt;&gt;"33"))),"x","")</f>
        <v>x</v>
      </c>
      <c r="X779" s="51" t="str">
        <f>IF(AND(OR(LEFT(TH!L779,2)="15",LEFT(TH!M779,2)="15"),'152-CT'!$J$8=TH!F779),"x","")</f>
        <v/>
      </c>
      <c r="Y779" s="51" t="str">
        <f>IF(AND(OR(LEFT(TH!L779,2)="15",LEFT(TH!M779,2)="15"),TK!$E$7=TH!F779),"x","")</f>
        <v/>
      </c>
      <c r="Z779" s="51" t="str">
        <f>IF(AND(B779&lt;=NKC!$N$8,B779&gt;=NKC!$M$8),"x","")</f>
        <v/>
      </c>
      <c r="AA779" s="803"/>
      <c r="AC779" s="203"/>
      <c r="AD779" s="203"/>
      <c r="AE779" s="203"/>
    </row>
    <row r="780" spans="1:31" s="565" customFormat="1" ht="15.75" customHeight="1">
      <c r="A780" s="804" t="str">
        <f>IF(B780&lt;&gt;"",IF(AND(B780&gt;=_TM1,B780&lt;=_TM2,OR(TH!L780="1111",TH!M780="1111")),TH!D780,""),"")</f>
        <v/>
      </c>
      <c r="B780" s="36">
        <f t="shared" si="49"/>
        <v>10</v>
      </c>
      <c r="C780" s="189">
        <f t="shared" si="50"/>
        <v>42279</v>
      </c>
      <c r="D780" s="189" t="s">
        <v>1334</v>
      </c>
      <c r="E780" s="189">
        <v>42279</v>
      </c>
      <c r="F780" s="190" t="s">
        <v>468</v>
      </c>
      <c r="G780" s="813" t="s">
        <v>741</v>
      </c>
      <c r="H780" s="191" t="s">
        <v>509</v>
      </c>
      <c r="I780" s="243"/>
      <c r="J780" s="243"/>
      <c r="K780" s="573">
        <v>726549</v>
      </c>
      <c r="L780" s="574" t="s">
        <v>9</v>
      </c>
      <c r="M780" s="574" t="s">
        <v>8</v>
      </c>
      <c r="N780" s="51" t="str">
        <f>IF(AND('331-CT'!$E$7=TH!H780,OR(L780="331",M780="331")),"331",IF(AND(OR(L780="131",M780="131"),H780='131-CT'!$E$7),"131",""))</f>
        <v/>
      </c>
      <c r="O780" s="51" t="str">
        <f>IF(AND($B780&gt;='111'!$N$11,$B780&lt;='111'!$O$11,OR($L780=$O$7,$M780=$O$7)),"x","")</f>
        <v/>
      </c>
      <c r="P780" s="51" t="str">
        <f>IF(AND($L780=$O$7,$B780&lt;'111'!$N$11),"x","")</f>
        <v/>
      </c>
      <c r="Q780" s="51" t="str">
        <f>IF(AND($M780=$O$7,$B780&lt;'111'!$N$11),"x","")</f>
        <v/>
      </c>
      <c r="R780" s="51" t="str">
        <f>IF(ISERROR(FIND('112'!$M$9,G780,1)),"",IF((AND(FIND('112'!$M$9,G780,1)&gt;=1,$B780&gt;='112'!$N$8,$B780&lt;='112'!$O$8,OR($L780='112'!$I$6,$M780='112'!$I$6))),"x",""))</f>
        <v/>
      </c>
      <c r="S780" s="51" t="str">
        <f>IF(ISERROR(FIND('112'!$M$9,G780,1)),"",IF((AND(LEFT(G780,2)=LEFT('112'!$M$9,2),B780&lt;'112'!$N$8,$L780='112'!$I$6)),"x",""))</f>
        <v/>
      </c>
      <c r="T780" s="51" t="str">
        <f>IF(ISERROR(FIND('112'!$M$9,G780,1)),"",IF((AND(RIGHT(G780,2)=RIGHT('112'!$M$9,2),B780&lt;'112'!$N$8,$M780='112'!$I$6)),"x",""))</f>
        <v/>
      </c>
      <c r="U780" s="51" t="str">
        <f>IF(AND(L780="154",'154'!$O$5&lt;=B780,'154'!$P$5&gt;=B780),"154",IF(AND(L780="632",'632'!$L$5&lt;=B780,'632'!$M$5&gt;=B780),"632",IF(AND(L780="642",'642'!$N$5&lt;=B780,'642'!$O$5&gt;=B780),"642",IF(AND(L780="641",'641'!$N$5&lt;=B780,'641'!$O$5&gt;=B780),"641",""))))</f>
        <v/>
      </c>
      <c r="V780" s="51" t="str">
        <f>IF(OR(TH!L780=TH!$V$7,M780=TH!$V$7),"x","")</f>
        <v/>
      </c>
      <c r="W780" s="51" t="str">
        <f>IF(AND(B780&gt;='IN-NX'!$P$3,B780&lt;='IN-NX'!$Q$3,'IN-NX'!$D$7=D780,OR(LEFT(L780,2)="15",AND(LEFT(M780,2)&lt;&gt;"15",LEFT(M780,2)&lt;&gt;"33"))),"x","")</f>
        <v/>
      </c>
      <c r="X780" s="51" t="str">
        <f>IF(AND(OR(LEFT(TH!L780,2)="15",LEFT(TH!M780,2)="15"),'152-CT'!$J$8=TH!F780),"x","")</f>
        <v/>
      </c>
      <c r="Y780" s="51" t="str">
        <f>IF(AND(OR(LEFT(TH!L780,2)="15",LEFT(TH!M780,2)="15"),TK!$E$7=TH!F780),"x","")</f>
        <v/>
      </c>
      <c r="Z780" s="51" t="str">
        <f>IF(AND(B780&lt;=NKC!$N$8,B780&gt;=NKC!$M$8),"x","")</f>
        <v/>
      </c>
      <c r="AA780" s="803">
        <v>4</v>
      </c>
      <c r="AE780" s="203"/>
    </row>
    <row r="781" spans="1:31" s="565" customFormat="1" ht="15.75" customHeight="1">
      <c r="A781" s="804" t="str">
        <f>IF(B781&lt;&gt;"",IF(AND(B781&gt;=_TM1,B781&lt;=_TM2,OR(TH!L781="1111",TH!M781="1111")),TH!D781,""),"")</f>
        <v/>
      </c>
      <c r="B781" s="36">
        <f t="shared" si="49"/>
        <v>10</v>
      </c>
      <c r="C781" s="189">
        <f t="shared" si="50"/>
        <v>42279</v>
      </c>
      <c r="D781" s="189" t="s">
        <v>1335</v>
      </c>
      <c r="E781" s="189">
        <v>42279</v>
      </c>
      <c r="F781" s="187" t="s">
        <v>438</v>
      </c>
      <c r="G781" s="813" t="s">
        <v>741</v>
      </c>
      <c r="H781" s="191" t="s">
        <v>509</v>
      </c>
      <c r="I781" s="243"/>
      <c r="J781" s="243"/>
      <c r="K781" s="573">
        <v>7992043</v>
      </c>
      <c r="L781" s="574" t="s">
        <v>8</v>
      </c>
      <c r="M781" s="574" t="s">
        <v>47</v>
      </c>
      <c r="N781" s="51" t="str">
        <f>IF(AND('331-CT'!$E$7=TH!H781,OR(L781="331",M781="331")),"331",IF(AND(OR(L781="131",M781="131"),H781='131-CT'!$E$7),"131",""))</f>
        <v/>
      </c>
      <c r="O781" s="51" t="str">
        <f>IF(AND($B781&gt;='111'!$N$11,$B781&lt;='111'!$O$11,OR($L781=$O$7,$M781=$O$7)),"x","")</f>
        <v>x</v>
      </c>
      <c r="P781" s="51" t="str">
        <f>IF(AND($L781=$O$7,$B781&lt;'111'!$N$11),"x","")</f>
        <v/>
      </c>
      <c r="Q781" s="51" t="str">
        <f>IF(AND($M781=$O$7,$B781&lt;'111'!$N$11),"x","")</f>
        <v/>
      </c>
      <c r="R781" s="51" t="str">
        <f>IF(ISERROR(FIND('112'!$M$9,G781,1)),"",IF((AND(FIND('112'!$M$9,G781,1)&gt;=1,$B781&gt;='112'!$N$8,$B781&lt;='112'!$O$8,OR($L781='112'!$I$6,$M781='112'!$I$6))),"x",""))</f>
        <v/>
      </c>
      <c r="S781" s="51" t="str">
        <f>IF(ISERROR(FIND('112'!$M$9,G781,1)),"",IF((AND(LEFT(G781,2)=LEFT('112'!$M$9,2),B781&lt;'112'!$N$8,$L781='112'!$I$6)),"x",""))</f>
        <v/>
      </c>
      <c r="T781" s="51" t="str">
        <f>IF(ISERROR(FIND('112'!$M$9,G781,1)),"",IF((AND(RIGHT(G781,2)=RIGHT('112'!$M$9,2),B781&lt;'112'!$N$8,$M781='112'!$I$6)),"x",""))</f>
        <v/>
      </c>
      <c r="U781" s="51" t="str">
        <f>IF(AND(L781="154",'154'!$O$5&lt;=B781,'154'!$P$5&gt;=B781),"154",IF(AND(L781="632",'632'!$L$5&lt;=B781,'632'!$M$5&gt;=B781),"632",IF(AND(L781="642",'642'!$N$5&lt;=B781,'642'!$O$5&gt;=B781),"642",IF(AND(L781="641",'641'!$N$5&lt;=B781,'641'!$O$5&gt;=B781),"641",""))))</f>
        <v/>
      </c>
      <c r="V781" s="51" t="str">
        <f>IF(OR(TH!L781=TH!$V$7,M781=TH!$V$7),"x","")</f>
        <v/>
      </c>
      <c r="W781" s="51" t="str">
        <f>IF(AND(B781&gt;='IN-NX'!$P$3,B781&lt;='IN-NX'!$Q$3,'IN-NX'!$D$7=D781,OR(LEFT(L781,2)="15",AND(LEFT(M781,2)&lt;&gt;"15",LEFT(M781,2)&lt;&gt;"33"))),"x","")</f>
        <v/>
      </c>
      <c r="X781" s="51" t="str">
        <f>IF(AND(OR(LEFT(TH!L781,2)="15",LEFT(TH!M781,2)="15"),'152-CT'!$J$8=TH!F781),"x","")</f>
        <v/>
      </c>
      <c r="Y781" s="51" t="str">
        <f>IF(AND(OR(LEFT(TH!L781,2)="15",LEFT(TH!M781,2)="15"),TK!$E$7=TH!F781),"x","")</f>
        <v/>
      </c>
      <c r="Z781" s="51" t="str">
        <f>IF(AND(B781&lt;=NKC!$N$8,B781&gt;=NKC!$M$8),"x","")</f>
        <v/>
      </c>
      <c r="AA781" s="803"/>
      <c r="AE781" s="203"/>
    </row>
    <row r="782" spans="1:31" s="565" customFormat="1" ht="15.75" customHeight="1">
      <c r="A782" s="804" t="str">
        <f>IF(B782&lt;&gt;"",IF(AND(B782&gt;=_TM1,B782&lt;=_TM2,OR(TH!L782="1111",TH!M782="1111")),TH!D782,""),"")</f>
        <v/>
      </c>
      <c r="B782" s="36">
        <f t="shared" si="49"/>
        <v>10</v>
      </c>
      <c r="C782" s="189">
        <f t="shared" si="50"/>
        <v>42282</v>
      </c>
      <c r="D782" s="189" t="s">
        <v>1337</v>
      </c>
      <c r="E782" s="182">
        <v>42282</v>
      </c>
      <c r="F782" s="187" t="s">
        <v>433</v>
      </c>
      <c r="G782" s="811" t="s">
        <v>415</v>
      </c>
      <c r="H782" s="7" t="s">
        <v>437</v>
      </c>
      <c r="I782" s="243"/>
      <c r="J782" s="243"/>
      <c r="K782" s="573">
        <v>10500000</v>
      </c>
      <c r="L782" s="192" t="s">
        <v>24</v>
      </c>
      <c r="M782" s="192" t="s">
        <v>47</v>
      </c>
      <c r="N782" s="51" t="str">
        <f>IF(AND('331-CT'!$E$7=TH!H782,OR(L782="331",M782="331")),"331",IF(AND(OR(L782="131",M782="131"),H782='131-CT'!$E$7),"131",""))</f>
        <v/>
      </c>
      <c r="O782" s="51" t="str">
        <f>IF(AND($B782&gt;='111'!$N$11,$B782&lt;='111'!$O$11,OR($L782=$O$7,$M782=$O$7)),"x","")</f>
        <v>x</v>
      </c>
      <c r="P782" s="51" t="str">
        <f>IF(AND($L782=$O$7,$B782&lt;'111'!$N$11),"x","")</f>
        <v/>
      </c>
      <c r="Q782" s="51" t="str">
        <f>IF(AND($M782=$O$7,$B782&lt;'111'!$N$11),"x","")</f>
        <v/>
      </c>
      <c r="R782" s="51" t="str">
        <f>IF(ISERROR(FIND('112'!$M$9,G782,1)),"",IF((AND(FIND('112'!$M$9,G782,1)&gt;=1,$B782&gt;='112'!$N$8,$B782&lt;='112'!$O$8,OR($L782='112'!$I$6,$M782='112'!$I$6))),"x",""))</f>
        <v/>
      </c>
      <c r="S782" s="51" t="str">
        <f>IF(ISERROR(FIND('112'!$M$9,G782,1)),"",IF((AND(LEFT(G782,2)=LEFT('112'!$M$9,2),B782&lt;'112'!$N$8,$L782='112'!$I$6)),"x",""))</f>
        <v/>
      </c>
      <c r="T782" s="51" t="str">
        <f>IF(ISERROR(FIND('112'!$M$9,G782,1)),"",IF((AND(RIGHT(G782,2)=RIGHT('112'!$M$9,2),B782&lt;'112'!$N$8,$M782='112'!$I$6)),"x",""))</f>
        <v/>
      </c>
      <c r="U782" s="51" t="str">
        <f>IF(AND(L782="154",'154'!$O$5&lt;=B782,'154'!$P$5&gt;=B782),"154",IF(AND(L782="632",'632'!$L$5&lt;=B782,'632'!$M$5&gt;=B782),"632",IF(AND(L782="642",'642'!$N$5&lt;=B782,'642'!$O$5&gt;=B782),"642",IF(AND(L782="641",'641'!$N$5&lt;=B782,'641'!$O$5&gt;=B782),"641",""))))</f>
        <v/>
      </c>
      <c r="V782" s="51" t="str">
        <f>IF(OR(TH!L782=TH!$V$7,M782=TH!$V$7),"x","")</f>
        <v/>
      </c>
      <c r="W782" s="51" t="str">
        <f>IF(AND(B782&gt;='IN-NX'!$P$3,B782&lt;='IN-NX'!$Q$3,'IN-NX'!$D$7=D782,OR(LEFT(L782,2)="15",AND(LEFT(M782,2)&lt;&gt;"15",LEFT(M782,2)&lt;&gt;"33"))),"x","")</f>
        <v/>
      </c>
      <c r="X782" s="51" t="str">
        <f>IF(AND(OR(LEFT(TH!L782,2)="15",LEFT(TH!M782,2)="15"),'152-CT'!$J$8=TH!F782),"x","")</f>
        <v/>
      </c>
      <c r="Y782" s="51" t="str">
        <f>IF(AND(OR(LEFT(TH!L782,2)="15",LEFT(TH!M782,2)="15"),TK!$E$7=TH!F782),"x","")</f>
        <v/>
      </c>
      <c r="Z782" s="51" t="str">
        <f>IF(AND(B782&lt;=NKC!$N$8,B782&gt;=NKC!$M$8),"x","")</f>
        <v/>
      </c>
      <c r="AA782" s="803"/>
    </row>
    <row r="783" spans="1:31" s="565" customFormat="1" ht="15.75" customHeight="1">
      <c r="A783" s="804" t="str">
        <f>IF(B783&lt;&gt;"",IF(AND(B783&gt;=_TM1,B783&lt;=_TM2,OR(TH!L783="1111",TH!M783="1111")),TH!D783,""),"")</f>
        <v/>
      </c>
      <c r="B783" s="36">
        <f t="shared" si="49"/>
        <v>10</v>
      </c>
      <c r="C783" s="189">
        <f t="shared" si="50"/>
        <v>42282</v>
      </c>
      <c r="D783" s="189" t="s">
        <v>422</v>
      </c>
      <c r="E783" s="182">
        <v>42282</v>
      </c>
      <c r="F783" s="187" t="s">
        <v>438</v>
      </c>
      <c r="G783" s="811" t="s">
        <v>415</v>
      </c>
      <c r="H783" s="7" t="s">
        <v>448</v>
      </c>
      <c r="I783" s="243"/>
      <c r="J783" s="243"/>
      <c r="K783" s="573">
        <v>23557215</v>
      </c>
      <c r="L783" s="574" t="s">
        <v>8</v>
      </c>
      <c r="M783" s="574" t="s">
        <v>24</v>
      </c>
      <c r="N783" s="51" t="str">
        <f>IF(AND('331-CT'!$E$7=TH!H783,OR(L783="331",M783="331")),"331",IF(AND(OR(L783="131",M783="131"),H783='131-CT'!$E$7),"131",""))</f>
        <v/>
      </c>
      <c r="O783" s="51" t="str">
        <f>IF(AND($B783&gt;='111'!$N$11,$B783&lt;='111'!$O$11,OR($L783=$O$7,$M783=$O$7)),"x","")</f>
        <v/>
      </c>
      <c r="P783" s="51" t="str">
        <f>IF(AND($L783=$O$7,$B783&lt;'111'!$N$11),"x","")</f>
        <v/>
      </c>
      <c r="Q783" s="51" t="str">
        <f>IF(AND($M783=$O$7,$B783&lt;'111'!$N$11),"x","")</f>
        <v/>
      </c>
      <c r="R783" s="51" t="str">
        <f>IF(ISERROR(FIND('112'!$M$9,G783,1)),"",IF((AND(FIND('112'!$M$9,G783,1)&gt;=1,$B783&gt;='112'!$N$8,$B783&lt;='112'!$O$8,OR($L783='112'!$I$6,$M783='112'!$I$6))),"x",""))</f>
        <v/>
      </c>
      <c r="S783" s="51" t="str">
        <f>IF(ISERROR(FIND('112'!$M$9,G783,1)),"",IF((AND(LEFT(G783,2)=LEFT('112'!$M$9,2),B783&lt;'112'!$N$8,$L783='112'!$I$6)),"x",""))</f>
        <v/>
      </c>
      <c r="T783" s="51" t="str">
        <f>IF(ISERROR(FIND('112'!$M$9,G783,1)),"",IF((AND(RIGHT(G783,2)=RIGHT('112'!$M$9,2),B783&lt;'112'!$N$8,$M783='112'!$I$6)),"x",""))</f>
        <v/>
      </c>
      <c r="U783" s="51" t="str">
        <f>IF(AND(L783="154",'154'!$O$5&lt;=B783,'154'!$P$5&gt;=B783),"154",IF(AND(L783="632",'632'!$L$5&lt;=B783,'632'!$M$5&gt;=B783),"632",IF(AND(L783="642",'642'!$N$5&lt;=B783,'642'!$O$5&gt;=B783),"642",IF(AND(L783="641",'641'!$N$5&lt;=B783,'641'!$O$5&gt;=B783),"641",""))))</f>
        <v/>
      </c>
      <c r="V783" s="51" t="str">
        <f>IF(OR(TH!L783=TH!$V$7,M783=TH!$V$7),"x","")</f>
        <v/>
      </c>
      <c r="W783" s="51" t="str">
        <f>IF(AND(B783&gt;='IN-NX'!$P$3,B783&lt;='IN-NX'!$Q$3,'IN-NX'!$D$7=D783,OR(LEFT(L783,2)="15",AND(LEFT(M783,2)&lt;&gt;"15",LEFT(M783,2)&lt;&gt;"33"))),"x","")</f>
        <v/>
      </c>
      <c r="X783" s="51" t="str">
        <f>IF(AND(OR(LEFT(TH!L783,2)="15",LEFT(TH!M783,2)="15"),'152-CT'!$J$8=TH!F783),"x","")</f>
        <v/>
      </c>
      <c r="Y783" s="51" t="str">
        <f>IF(AND(OR(LEFT(TH!L783,2)="15",LEFT(TH!M783,2)="15"),TK!$E$7=TH!F783),"x","")</f>
        <v/>
      </c>
      <c r="Z783" s="51" t="str">
        <f>IF(AND(B783&lt;=NKC!$N$8,B783&gt;=NKC!$M$8),"x","")</f>
        <v/>
      </c>
      <c r="AA783" s="803"/>
      <c r="AB783" s="203"/>
      <c r="AC783" s="203"/>
      <c r="AD783" s="203"/>
    </row>
    <row r="784" spans="1:31" ht="15.75" customHeight="1">
      <c r="A784" s="804" t="str">
        <f>IF(B784&lt;&gt;"",IF(AND(B784&gt;=_TM1,B784&lt;=_TM2,OR(TH!L784="1111",TH!M784="1111")),TH!D784,""),"")</f>
        <v/>
      </c>
      <c r="B784" s="36">
        <f t="shared" si="49"/>
        <v>10</v>
      </c>
      <c r="C784" s="189">
        <f t="shared" si="50"/>
        <v>42282</v>
      </c>
      <c r="D784" s="189" t="s">
        <v>1341</v>
      </c>
      <c r="E784" s="189">
        <v>42282</v>
      </c>
      <c r="F784" s="190" t="s">
        <v>451</v>
      </c>
      <c r="G784" s="813" t="s">
        <v>723</v>
      </c>
      <c r="H784" s="191" t="s">
        <v>523</v>
      </c>
      <c r="I784" s="243"/>
      <c r="J784" s="243"/>
      <c r="K784" s="573">
        <f>194687+224254+397611</f>
        <v>816552</v>
      </c>
      <c r="L784" s="574" t="s">
        <v>83</v>
      </c>
      <c r="M784" s="574" t="s">
        <v>47</v>
      </c>
      <c r="N784" s="51" t="str">
        <f>IF(AND('331-CT'!$E$7=TH!H784,OR(L784="331",M784="331")),"331",IF(AND(OR(L784="131",M784="131"),H784='131-CT'!$E$7),"131",""))</f>
        <v/>
      </c>
      <c r="O784" s="51" t="str">
        <f>IF(AND($B784&gt;='111'!$N$11,$B784&lt;='111'!$O$11,OR($L784=$O$7,$M784=$O$7)),"x","")</f>
        <v>x</v>
      </c>
      <c r="P784" s="51" t="str">
        <f>IF(AND($L784=$O$7,$B784&lt;'111'!$N$11),"x","")</f>
        <v/>
      </c>
      <c r="Q784" s="51" t="str">
        <f>IF(AND($M784=$O$7,$B784&lt;'111'!$N$11),"x","")</f>
        <v/>
      </c>
      <c r="R784" s="51" t="str">
        <f>IF(ISERROR(FIND('112'!$M$9,G784,1)),"",IF((AND(FIND('112'!$M$9,G784,1)&gt;=1,$B784&gt;='112'!$N$8,$B784&lt;='112'!$O$8,OR($L784='112'!$I$6,$M784='112'!$I$6))),"x",""))</f>
        <v/>
      </c>
      <c r="S784" s="51" t="str">
        <f>IF(ISERROR(FIND('112'!$M$9,G784,1)),"",IF((AND(LEFT(G784,2)=LEFT('112'!$M$9,2),B784&lt;'112'!$N$8,$L784='112'!$I$6)),"x",""))</f>
        <v/>
      </c>
      <c r="T784" s="51" t="str">
        <f>IF(ISERROR(FIND('112'!$M$9,G784,1)),"",IF((AND(RIGHT(G784,2)=RIGHT('112'!$M$9,2),B784&lt;'112'!$N$8,$M784='112'!$I$6)),"x",""))</f>
        <v/>
      </c>
      <c r="U784" s="51" t="str">
        <f>IF(AND(L784="154",'154'!$O$5&lt;=B784,'154'!$P$5&gt;=B784),"154",IF(AND(L784="632",'632'!$L$5&lt;=B784,'632'!$M$5&gt;=B784),"632",IF(AND(L784="642",'642'!$N$5&lt;=B784,'642'!$O$5&gt;=B784),"642",IF(AND(L784="641",'641'!$N$5&lt;=B784,'641'!$O$5&gt;=B784),"641",""))))</f>
        <v/>
      </c>
      <c r="V784" s="51" t="str">
        <f>IF(OR(TH!L784=TH!$V$7,M784=TH!$V$7),"x","")</f>
        <v>x</v>
      </c>
      <c r="W784" s="51" t="str">
        <f>IF(AND(B784&gt;='IN-NX'!$P$3,B784&lt;='IN-NX'!$Q$3,'IN-NX'!$D$7=D784,OR(LEFT(L784,2)="15",AND(LEFT(M784,2)&lt;&gt;"15",LEFT(M784,2)&lt;&gt;"33"))),"x","")</f>
        <v/>
      </c>
      <c r="X784" s="51" t="str">
        <f>IF(AND(OR(LEFT(TH!L784,2)="15",LEFT(TH!M784,2)="15"),'152-CT'!$J$8=TH!F784),"x","")</f>
        <v/>
      </c>
      <c r="Y784" s="51" t="str">
        <f>IF(AND(OR(LEFT(TH!L784,2)="15",LEFT(TH!M784,2)="15"),TK!$E$7=TH!F784),"x","")</f>
        <v/>
      </c>
      <c r="Z784" s="51" t="str">
        <f>IF(AND(B784&lt;=NKC!$N$8,B784&gt;=NKC!$M$8),"x","")</f>
        <v/>
      </c>
      <c r="AA784" s="803"/>
      <c r="AB784" s="565"/>
    </row>
    <row r="785" spans="1:31" ht="15.75" customHeight="1">
      <c r="A785" s="804" t="str">
        <f>IF(B785&lt;&gt;"",IF(AND(B785&gt;=_TM1,B785&lt;=_TM2,OR(TH!L785="1111",TH!M785="1111")),TH!D785,""),"")</f>
        <v/>
      </c>
      <c r="B785" s="36">
        <f t="shared" si="49"/>
        <v>10</v>
      </c>
      <c r="C785" s="189">
        <f t="shared" si="50"/>
        <v>42282</v>
      </c>
      <c r="D785" s="189" t="s">
        <v>1341</v>
      </c>
      <c r="E785" s="189">
        <v>42282</v>
      </c>
      <c r="F785" s="190" t="s">
        <v>453</v>
      </c>
      <c r="G785" s="813" t="s">
        <v>723</v>
      </c>
      <c r="H785" s="191" t="s">
        <v>523</v>
      </c>
      <c r="I785" s="243"/>
      <c r="J785" s="243"/>
      <c r="K785" s="573">
        <f>19469+22425+39761</f>
        <v>81655</v>
      </c>
      <c r="L785" s="574" t="s">
        <v>9</v>
      </c>
      <c r="M785" s="574" t="s">
        <v>47</v>
      </c>
      <c r="N785" s="51" t="str">
        <f>IF(AND('331-CT'!$E$7=TH!H785,OR(L785="331",M785="331")),"331",IF(AND(OR(L785="131",M785="131"),H785='131-CT'!$E$7),"131",""))</f>
        <v/>
      </c>
      <c r="O785" s="51" t="str">
        <f>IF(AND($B785&gt;='111'!$N$11,$B785&lt;='111'!$O$11,OR($L785=$O$7,$M785=$O$7)),"x","")</f>
        <v>x</v>
      </c>
      <c r="P785" s="51" t="str">
        <f>IF(AND($L785=$O$7,$B785&lt;'111'!$N$11),"x","")</f>
        <v/>
      </c>
      <c r="Q785" s="51" t="str">
        <f>IF(AND($M785=$O$7,$B785&lt;'111'!$N$11),"x","")</f>
        <v/>
      </c>
      <c r="R785" s="51" t="str">
        <f>IF(ISERROR(FIND('112'!$M$9,G785,1)),"",IF((AND(FIND('112'!$M$9,G785,1)&gt;=1,$B785&gt;='112'!$N$8,$B785&lt;='112'!$O$8,OR($L785='112'!$I$6,$M785='112'!$I$6))),"x",""))</f>
        <v/>
      </c>
      <c r="S785" s="51" t="str">
        <f>IF(ISERROR(FIND('112'!$M$9,G785,1)),"",IF((AND(LEFT(G785,2)=LEFT('112'!$M$9,2),B785&lt;'112'!$N$8,$L785='112'!$I$6)),"x",""))</f>
        <v/>
      </c>
      <c r="T785" s="51" t="str">
        <f>IF(ISERROR(FIND('112'!$M$9,G785,1)),"",IF((AND(RIGHT(G785,2)=RIGHT('112'!$M$9,2),B785&lt;'112'!$N$8,$M785='112'!$I$6)),"x",""))</f>
        <v/>
      </c>
      <c r="U785" s="51" t="str">
        <f>IF(AND(L785="154",'154'!$O$5&lt;=B785,'154'!$P$5&gt;=B785),"154",IF(AND(L785="632",'632'!$L$5&lt;=B785,'632'!$M$5&gt;=B785),"632",IF(AND(L785="642",'642'!$N$5&lt;=B785,'642'!$O$5&gt;=B785),"642",IF(AND(L785="641",'641'!$N$5&lt;=B785,'641'!$O$5&gt;=B785),"641",""))))</f>
        <v/>
      </c>
      <c r="V785" s="51" t="str">
        <f>IF(OR(TH!L785=TH!$V$7,M785=TH!$V$7),"x","")</f>
        <v/>
      </c>
      <c r="W785" s="51" t="str">
        <f>IF(AND(B785&gt;='IN-NX'!$P$3,B785&lt;='IN-NX'!$Q$3,'IN-NX'!$D$7=D785,OR(LEFT(L785,2)="15",AND(LEFT(M785,2)&lt;&gt;"15",LEFT(M785,2)&lt;&gt;"33"))),"x","")</f>
        <v/>
      </c>
      <c r="X785" s="51" t="str">
        <f>IF(AND(OR(LEFT(TH!L785,2)="15",LEFT(TH!M785,2)="15"),'152-CT'!$J$8=TH!F785),"x","")</f>
        <v/>
      </c>
      <c r="Y785" s="51" t="str">
        <f>IF(AND(OR(LEFT(TH!L785,2)="15",LEFT(TH!M785,2)="15"),TK!$E$7=TH!F785),"x","")</f>
        <v/>
      </c>
      <c r="Z785" s="51" t="str">
        <f>IF(AND(B785&lt;=NKC!$N$8,B785&gt;=NKC!$M$8),"x","")</f>
        <v/>
      </c>
      <c r="AA785" s="803">
        <v>4</v>
      </c>
      <c r="AB785" s="565"/>
      <c r="AD785" s="565"/>
    </row>
    <row r="786" spans="1:31" s="565" customFormat="1" ht="15.75" customHeight="1">
      <c r="A786" s="804" t="str">
        <f>IF(B786&lt;&gt;"",IF(AND(B786&gt;=_TM1,B786&lt;=_TM2,OR(TH!L786="1111",TH!M786="1111")),TH!D786,""),"")</f>
        <v/>
      </c>
      <c r="B786" s="36">
        <f t="shared" si="49"/>
        <v>10</v>
      </c>
      <c r="C786" s="189">
        <f t="shared" si="50"/>
        <v>42282</v>
      </c>
      <c r="D786" s="189" t="s">
        <v>1283</v>
      </c>
      <c r="E786" s="189">
        <v>42282</v>
      </c>
      <c r="F786" s="190" t="s">
        <v>692</v>
      </c>
      <c r="G786" s="811" t="s">
        <v>1054</v>
      </c>
      <c r="H786" s="191" t="s">
        <v>1027</v>
      </c>
      <c r="I786" s="243">
        <v>200</v>
      </c>
      <c r="J786" s="243">
        <v>13300</v>
      </c>
      <c r="K786" s="573">
        <f>ROUND(I786*J786,0)</f>
        <v>2660000</v>
      </c>
      <c r="L786" s="574" t="s">
        <v>250</v>
      </c>
      <c r="M786" s="574" t="s">
        <v>164</v>
      </c>
      <c r="N786" s="51" t="str">
        <f>IF(AND('331-CT'!$E$7=TH!H786,OR(L786="331",M786="331")),"331",IF(AND(OR(L786="131",M786="131"),H786='131-CT'!$E$7),"131",""))</f>
        <v>131</v>
      </c>
      <c r="O786" s="51" t="str">
        <f>IF(AND($B786&gt;='111'!$N$11,$B786&lt;='111'!$O$11,OR($L786=$O$7,$M786=$O$7)),"x","")</f>
        <v/>
      </c>
      <c r="P786" s="51" t="str">
        <f>IF(AND($L786=$O$7,$B786&lt;'111'!$N$11),"x","")</f>
        <v/>
      </c>
      <c r="Q786" s="51" t="str">
        <f>IF(AND($M786=$O$7,$B786&lt;'111'!$N$11),"x","")</f>
        <v/>
      </c>
      <c r="R786" s="51" t="str">
        <f>IF(ISERROR(FIND('112'!$M$9,G786,1)),"",IF((AND(FIND('112'!$M$9,G786,1)&gt;=1,$B786&gt;='112'!$N$8,$B786&lt;='112'!$O$8,OR($L786='112'!$I$6,$M786='112'!$I$6))),"x",""))</f>
        <v/>
      </c>
      <c r="S786" s="51" t="str">
        <f>IF(ISERROR(FIND('112'!$M$9,G786,1)),"",IF((AND(LEFT(G786,2)=LEFT('112'!$M$9,2),B786&lt;'112'!$N$8,$L786='112'!$I$6)),"x",""))</f>
        <v/>
      </c>
      <c r="T786" s="51" t="str">
        <f>IF(ISERROR(FIND('112'!$M$9,G786,1)),"",IF((AND(RIGHT(G786,2)=RIGHT('112'!$M$9,2),B786&lt;'112'!$N$8,$M786='112'!$I$6)),"x",""))</f>
        <v/>
      </c>
      <c r="U786" s="51" t="str">
        <f>IF(AND(L786="154",'154'!$O$5&lt;=B786,'154'!$P$5&gt;=B786),"154",IF(AND(L786="632",'632'!$L$5&lt;=B786,'632'!$M$5&gt;=B786),"632",IF(AND(L786="642",'642'!$N$5&lt;=B786,'642'!$O$5&gt;=B786),"642",IF(AND(L786="641",'641'!$N$5&lt;=B786,'641'!$O$5&gt;=B786),"641",""))))</f>
        <v/>
      </c>
      <c r="V786" s="51" t="str">
        <f>IF(OR(TH!L786=TH!$V$7,M786=TH!$V$7),"x","")</f>
        <v/>
      </c>
      <c r="W786" s="51" t="str">
        <f>IF(AND(B786&gt;='IN-NX'!$P$3,B786&lt;='IN-NX'!$Q$3,'IN-NX'!$D$7=D786,OR(LEFT(L786,2)="15",AND(LEFT(M786,2)&lt;&gt;"15",LEFT(M786,2)&lt;&gt;"33"))),"x","")</f>
        <v/>
      </c>
      <c r="X786" s="51" t="str">
        <f>IF(AND(OR(LEFT(TH!L786,2)="15",LEFT(TH!M786,2)="15"),'152-CT'!$J$8=TH!F786),"x","")</f>
        <v/>
      </c>
      <c r="Y786" s="51" t="str">
        <f>IF(AND(OR(LEFT(TH!L786,2)="15",LEFT(TH!M786,2)="15"),TK!$E$7=TH!F786),"x","")</f>
        <v/>
      </c>
      <c r="Z786" s="51" t="str">
        <f>IF(AND(B786&lt;=NKC!$N$8,B786&gt;=NKC!$M$8),"x","")</f>
        <v/>
      </c>
      <c r="AA786" s="803"/>
      <c r="AC786" s="203"/>
      <c r="AD786" s="203"/>
      <c r="AE786" s="203"/>
    </row>
    <row r="787" spans="1:31" s="565" customFormat="1" ht="15.75" customHeight="1">
      <c r="A787" s="804" t="str">
        <f>IF(B787&lt;&gt;"",IF(AND(B787&gt;=_TM1,B787&lt;=_TM2,OR(TH!L787="1111",TH!M787="1111")),TH!D787,""),"")</f>
        <v/>
      </c>
      <c r="B787" s="36">
        <f t="shared" si="49"/>
        <v>10</v>
      </c>
      <c r="C787" s="189">
        <f t="shared" si="50"/>
        <v>42282</v>
      </c>
      <c r="D787" s="189" t="s">
        <v>1283</v>
      </c>
      <c r="E787" s="189">
        <v>42282</v>
      </c>
      <c r="F787" s="190" t="s">
        <v>962</v>
      </c>
      <c r="G787" s="811" t="s">
        <v>1054</v>
      </c>
      <c r="H787" s="191" t="s">
        <v>1027</v>
      </c>
      <c r="I787" s="243"/>
      <c r="J787" s="243"/>
      <c r="K787" s="573">
        <v>266000</v>
      </c>
      <c r="L787" s="574" t="s">
        <v>250</v>
      </c>
      <c r="M787" s="574" t="s">
        <v>352</v>
      </c>
      <c r="N787" s="51" t="str">
        <f>IF(AND('331-CT'!$E$7=TH!H787,OR(L787="331",M787="331")),"331",IF(AND(OR(L787="131",M787="131"),H787='131-CT'!$E$7),"131",""))</f>
        <v>131</v>
      </c>
      <c r="O787" s="51" t="str">
        <f>IF(AND($B787&gt;='111'!$N$11,$B787&lt;='111'!$O$11,OR($L787=$O$7,$M787=$O$7)),"x","")</f>
        <v/>
      </c>
      <c r="P787" s="51" t="str">
        <f>IF(AND($L787=$O$7,$B787&lt;'111'!$N$11),"x","")</f>
        <v/>
      </c>
      <c r="Q787" s="51" t="str">
        <f>IF(AND($M787=$O$7,$B787&lt;'111'!$N$11),"x","")</f>
        <v/>
      </c>
      <c r="R787" s="51" t="str">
        <f>IF(ISERROR(FIND('112'!$M$9,G787,1)),"",IF((AND(FIND('112'!$M$9,G787,1)&gt;=1,$B787&gt;='112'!$N$8,$B787&lt;='112'!$O$8,OR($L787='112'!$I$6,$M787='112'!$I$6))),"x",""))</f>
        <v/>
      </c>
      <c r="S787" s="51" t="str">
        <f>IF(ISERROR(FIND('112'!$M$9,G787,1)),"",IF((AND(LEFT(G787,2)=LEFT('112'!$M$9,2),B787&lt;'112'!$N$8,$L787='112'!$I$6)),"x",""))</f>
        <v/>
      </c>
      <c r="T787" s="51" t="str">
        <f>IF(ISERROR(FIND('112'!$M$9,G787,1)),"",IF((AND(RIGHT(G787,2)=RIGHT('112'!$M$9,2),B787&lt;'112'!$N$8,$M787='112'!$I$6)),"x",""))</f>
        <v/>
      </c>
      <c r="U787" s="51" t="str">
        <f>IF(AND(L787="154",'154'!$O$5&lt;=B787,'154'!$P$5&gt;=B787),"154",IF(AND(L787="632",'632'!$L$5&lt;=B787,'632'!$M$5&gt;=B787),"632",IF(AND(L787="642",'642'!$N$5&lt;=B787,'642'!$O$5&gt;=B787),"642",IF(AND(L787="641",'641'!$N$5&lt;=B787,'641'!$O$5&gt;=B787),"641",""))))</f>
        <v/>
      </c>
      <c r="V787" s="51" t="str">
        <f>IF(OR(TH!L787=TH!$V$7,M787=TH!$V$7),"x","")</f>
        <v/>
      </c>
      <c r="W787" s="51" t="str">
        <f>IF(AND(B787&gt;='IN-NX'!$P$3,B787&lt;='IN-NX'!$Q$3,'IN-NX'!$D$7=D787,OR(LEFT(L787,2)="15",AND(LEFT(M787,2)&lt;&gt;"15",LEFT(M787,2)&lt;&gt;"33"))),"x","")</f>
        <v/>
      </c>
      <c r="X787" s="51" t="str">
        <f>IF(AND(OR(LEFT(TH!L787,2)="15",LEFT(TH!M787,2)="15"),'152-CT'!$J$8=TH!F787),"x","")</f>
        <v/>
      </c>
      <c r="Y787" s="51" t="str">
        <f>IF(AND(OR(LEFT(TH!L787,2)="15",LEFT(TH!M787,2)="15"),TK!$E$7=TH!F787),"x","")</f>
        <v/>
      </c>
      <c r="Z787" s="51" t="str">
        <f>IF(AND(B787&lt;=NKC!$N$8,B787&gt;=NKC!$M$8),"x","")</f>
        <v/>
      </c>
      <c r="AA787" s="803"/>
      <c r="AC787" s="203"/>
      <c r="AD787" s="203"/>
      <c r="AE787" s="203"/>
    </row>
    <row r="788" spans="1:31" s="565" customFormat="1" ht="15.75" customHeight="1">
      <c r="A788" s="804" t="str">
        <f>IF(B788&lt;&gt;"",IF(AND(B788&gt;=_TM1,B788&lt;=_TM2,OR(TH!L788="1111",TH!M788="1111")),TH!D788,""),"")</f>
        <v/>
      </c>
      <c r="B788" s="36">
        <f t="shared" si="49"/>
        <v>10</v>
      </c>
      <c r="C788" s="189">
        <f t="shared" si="50"/>
        <v>42282</v>
      </c>
      <c r="D788" s="189" t="s">
        <v>339</v>
      </c>
      <c r="E788" s="189">
        <v>42282</v>
      </c>
      <c r="F788" s="190" t="s">
        <v>423</v>
      </c>
      <c r="G788" s="811" t="s">
        <v>1054</v>
      </c>
      <c r="H788" s="191" t="s">
        <v>1027</v>
      </c>
      <c r="I788" s="243"/>
      <c r="J788" s="243"/>
      <c r="K788" s="573">
        <v>2926000</v>
      </c>
      <c r="L788" s="574" t="s">
        <v>47</v>
      </c>
      <c r="M788" s="574" t="s">
        <v>250</v>
      </c>
      <c r="N788" s="51" t="str">
        <f>IF(AND('331-CT'!$E$7=TH!H788,OR(L788="331",M788="331")),"331",IF(AND(OR(L788="131",M788="131"),H788='131-CT'!$E$7),"131",""))</f>
        <v>131</v>
      </c>
      <c r="O788" s="51" t="str">
        <f>IF(AND($B788&gt;='111'!$N$11,$B788&lt;='111'!$O$11,OR($L788=$O$7,$M788=$O$7)),"x","")</f>
        <v>x</v>
      </c>
      <c r="P788" s="51" t="str">
        <f>IF(AND($L788=$O$7,$B788&lt;'111'!$N$11),"x","")</f>
        <v/>
      </c>
      <c r="Q788" s="51" t="str">
        <f>IF(AND($M788=$O$7,$B788&lt;'111'!$N$11),"x","")</f>
        <v/>
      </c>
      <c r="R788" s="51" t="str">
        <f>IF(ISERROR(FIND('112'!$M$9,G788,1)),"",IF((AND(FIND('112'!$M$9,G788,1)&gt;=1,$B788&gt;='112'!$N$8,$B788&lt;='112'!$O$8,OR($L788='112'!$I$6,$M788='112'!$I$6))),"x",""))</f>
        <v/>
      </c>
      <c r="S788" s="51" t="str">
        <f>IF(ISERROR(FIND('112'!$M$9,G788,1)),"",IF((AND(LEFT(G788,2)=LEFT('112'!$M$9,2),B788&lt;'112'!$N$8,$L788='112'!$I$6)),"x",""))</f>
        <v/>
      </c>
      <c r="T788" s="51" t="str">
        <f>IF(ISERROR(FIND('112'!$M$9,G788,1)),"",IF((AND(RIGHT(G788,2)=RIGHT('112'!$M$9,2),B788&lt;'112'!$N$8,$M788='112'!$I$6)),"x",""))</f>
        <v/>
      </c>
      <c r="U788" s="51" t="str">
        <f>IF(AND(L788="154",'154'!$O$5&lt;=B788,'154'!$P$5&gt;=B788),"154",IF(AND(L788="632",'632'!$L$5&lt;=B788,'632'!$M$5&gt;=B788),"632",IF(AND(L788="642",'642'!$N$5&lt;=B788,'642'!$O$5&gt;=B788),"642",IF(AND(L788="641",'641'!$N$5&lt;=B788,'641'!$O$5&gt;=B788),"641",""))))</f>
        <v/>
      </c>
      <c r="V788" s="51" t="str">
        <f>IF(OR(TH!L788=TH!$V$7,M788=TH!$V$7),"x","")</f>
        <v/>
      </c>
      <c r="W788" s="51" t="str">
        <f>IF(AND(B788&gt;='IN-NX'!$P$3,B788&lt;='IN-NX'!$Q$3,'IN-NX'!$D$7=D788,OR(LEFT(L788,2)="15",AND(LEFT(M788,2)&lt;&gt;"15",LEFT(M788,2)&lt;&gt;"33"))),"x","")</f>
        <v/>
      </c>
      <c r="X788" s="51" t="str">
        <f>IF(AND(OR(LEFT(TH!L788,2)="15",LEFT(TH!M788,2)="15"),'152-CT'!$J$8=TH!F788),"x","")</f>
        <v/>
      </c>
      <c r="Y788" s="51" t="str">
        <f>IF(AND(OR(LEFT(TH!L788,2)="15",LEFT(TH!M788,2)="15"),TK!$E$7=TH!F788),"x","")</f>
        <v/>
      </c>
      <c r="Z788" s="51" t="str">
        <f>IF(AND(B788&lt;=NKC!$N$8,B788&gt;=NKC!$M$8),"x","")</f>
        <v/>
      </c>
      <c r="AA788" s="803"/>
      <c r="AC788" s="203"/>
      <c r="AD788" s="203"/>
      <c r="AE788" s="203"/>
    </row>
    <row r="789" spans="1:31" s="565" customFormat="1" ht="15.75" customHeight="1">
      <c r="A789" s="804" t="str">
        <f>IF(B789&lt;&gt;"",IF(AND(B789&gt;=_TM1,B789&lt;=_TM2,OR(TH!L789="1111",TH!M789="1111")),TH!D789,""),"")</f>
        <v/>
      </c>
      <c r="B789" s="36">
        <f t="shared" si="49"/>
        <v>10</v>
      </c>
      <c r="C789" s="189">
        <f t="shared" si="50"/>
        <v>42283</v>
      </c>
      <c r="D789" s="189" t="s">
        <v>1336</v>
      </c>
      <c r="E789" s="189">
        <v>42283</v>
      </c>
      <c r="F789" s="190" t="s">
        <v>750</v>
      </c>
      <c r="G789" s="813" t="s">
        <v>749</v>
      </c>
      <c r="H789" s="191" t="s">
        <v>494</v>
      </c>
      <c r="I789" s="243">
        <v>45</v>
      </c>
      <c r="J789" s="243">
        <v>384000</v>
      </c>
      <c r="K789" s="573">
        <f t="shared" ref="K789:K798" si="52">ROUND(I789*J789,0)</f>
        <v>17280000</v>
      </c>
      <c r="L789" s="574" t="s">
        <v>417</v>
      </c>
      <c r="M789" s="574" t="s">
        <v>8</v>
      </c>
      <c r="N789" s="51" t="str">
        <f>IF(AND('331-CT'!$E$7=TH!H789,OR(L789="331",M789="331")),"331",IF(AND(OR(L789="131",M789="131"),H789='131-CT'!$E$7),"131",""))</f>
        <v/>
      </c>
      <c r="O789" s="51" t="str">
        <f>IF(AND($B789&gt;='111'!$N$11,$B789&lt;='111'!$O$11,OR($L789=$O$7,$M789=$O$7)),"x","")</f>
        <v/>
      </c>
      <c r="P789" s="51" t="str">
        <f>IF(AND($L789=$O$7,$B789&lt;'111'!$N$11),"x","")</f>
        <v/>
      </c>
      <c r="Q789" s="51" t="str">
        <f>IF(AND($M789=$O$7,$B789&lt;'111'!$N$11),"x","")</f>
        <v/>
      </c>
      <c r="R789" s="51" t="str">
        <f>IF(ISERROR(FIND('112'!$M$9,G789,1)),"",IF((AND(FIND('112'!$M$9,G789,1)&gt;=1,$B789&gt;='112'!$N$8,$B789&lt;='112'!$O$8,OR($L789='112'!$I$6,$M789='112'!$I$6))),"x",""))</f>
        <v/>
      </c>
      <c r="S789" s="51" t="str">
        <f>IF(ISERROR(FIND('112'!$M$9,G789,1)),"",IF((AND(LEFT(G789,2)=LEFT('112'!$M$9,2),B789&lt;'112'!$N$8,$L789='112'!$I$6)),"x",""))</f>
        <v/>
      </c>
      <c r="T789" s="51" t="str">
        <f>IF(ISERROR(FIND('112'!$M$9,G789,1)),"",IF((AND(RIGHT(G789,2)=RIGHT('112'!$M$9,2),B789&lt;'112'!$N$8,$M789='112'!$I$6)),"x",""))</f>
        <v/>
      </c>
      <c r="U789" s="51" t="str">
        <f>IF(AND(L789="154",'154'!$O$5&lt;=B789,'154'!$P$5&gt;=B789),"154",IF(AND(L789="632",'632'!$L$5&lt;=B789,'632'!$M$5&gt;=B789),"632",IF(AND(L789="642",'642'!$N$5&lt;=B789,'642'!$O$5&gt;=B789),"642",IF(AND(L789="641",'641'!$N$5&lt;=B789,'641'!$O$5&gt;=B789),"641",""))))</f>
        <v/>
      </c>
      <c r="V789" s="51" t="str">
        <f>IF(OR(TH!L789=TH!$V$7,M789=TH!$V$7),"x","")</f>
        <v/>
      </c>
      <c r="W789" s="51" t="str">
        <f>IF(AND(B789&gt;='IN-NX'!$P$3,B789&lt;='IN-NX'!$Q$3,'IN-NX'!$D$7=D789,OR(LEFT(L789,2)="15",AND(LEFT(M789,2)&lt;&gt;"15",LEFT(M789,2)&lt;&gt;"33"))),"x","")</f>
        <v/>
      </c>
      <c r="X789" s="51" t="str">
        <f>IF(AND(OR(LEFT(TH!L789,2)="15",LEFT(TH!M789,2)="15"),'152-CT'!$J$8=TH!F789),"x","")</f>
        <v/>
      </c>
      <c r="Y789" s="51" t="str">
        <f>IF(AND(OR(LEFT(TH!L789,2)="15",LEFT(TH!M789,2)="15"),TK!$E$7=TH!F789),"x","")</f>
        <v/>
      </c>
      <c r="Z789" s="51" t="str">
        <f>IF(AND(B789&lt;=NKC!$N$8,B789&gt;=NKC!$M$8),"x","")</f>
        <v/>
      </c>
      <c r="AA789" s="803"/>
      <c r="AC789" s="203"/>
      <c r="AD789" s="203"/>
      <c r="AE789" s="203"/>
    </row>
    <row r="790" spans="1:31" ht="15.75" customHeight="1">
      <c r="A790" s="804" t="str">
        <f>IF(B790&lt;&gt;"",IF(AND(B790&gt;=_TM1,B790&lt;=_TM2,OR(TH!L790="1111",TH!M790="1111")),TH!D790,""),"")</f>
        <v/>
      </c>
      <c r="B790" s="36">
        <f t="shared" si="49"/>
        <v>10</v>
      </c>
      <c r="C790" s="189">
        <f t="shared" si="50"/>
        <v>42283</v>
      </c>
      <c r="D790" s="189" t="s">
        <v>1336</v>
      </c>
      <c r="E790" s="189">
        <v>42283</v>
      </c>
      <c r="F790" s="190" t="s">
        <v>751</v>
      </c>
      <c r="G790" s="813" t="s">
        <v>749</v>
      </c>
      <c r="H790" s="191" t="s">
        <v>494</v>
      </c>
      <c r="I790" s="243">
        <v>22</v>
      </c>
      <c r="J790" s="243">
        <v>84883</v>
      </c>
      <c r="K790" s="573">
        <f t="shared" si="52"/>
        <v>1867426</v>
      </c>
      <c r="L790" s="574" t="s">
        <v>417</v>
      </c>
      <c r="M790" s="574" t="s">
        <v>8</v>
      </c>
      <c r="N790" s="51" t="str">
        <f>IF(AND('331-CT'!$E$7=TH!H790,OR(L790="331",M790="331")),"331",IF(AND(OR(L790="131",M790="131"),H790='131-CT'!$E$7),"131",""))</f>
        <v/>
      </c>
      <c r="O790" s="51" t="str">
        <f>IF(AND($B790&gt;='111'!$N$11,$B790&lt;='111'!$O$11,OR($L790=$O$7,$M790=$O$7)),"x","")</f>
        <v/>
      </c>
      <c r="P790" s="51" t="str">
        <f>IF(AND($L790=$O$7,$B790&lt;'111'!$N$11),"x","")</f>
        <v/>
      </c>
      <c r="Q790" s="51" t="str">
        <f>IF(AND($M790=$O$7,$B790&lt;'111'!$N$11),"x","")</f>
        <v/>
      </c>
      <c r="R790" s="51" t="str">
        <f>IF(ISERROR(FIND('112'!$M$9,G790,1)),"",IF((AND(FIND('112'!$M$9,G790,1)&gt;=1,$B790&gt;='112'!$N$8,$B790&lt;='112'!$O$8,OR($L790='112'!$I$6,$M790='112'!$I$6))),"x",""))</f>
        <v/>
      </c>
      <c r="S790" s="51" t="str">
        <f>IF(ISERROR(FIND('112'!$M$9,G790,1)),"",IF((AND(LEFT(G790,2)=LEFT('112'!$M$9,2),B790&lt;'112'!$N$8,$L790='112'!$I$6)),"x",""))</f>
        <v/>
      </c>
      <c r="T790" s="51" t="str">
        <f>IF(ISERROR(FIND('112'!$M$9,G790,1)),"",IF((AND(RIGHT(G790,2)=RIGHT('112'!$M$9,2),B790&lt;'112'!$N$8,$M790='112'!$I$6)),"x",""))</f>
        <v/>
      </c>
      <c r="U790" s="51" t="str">
        <f>IF(AND(L790="154",'154'!$O$5&lt;=B790,'154'!$P$5&gt;=B790),"154",IF(AND(L790="632",'632'!$L$5&lt;=B790,'632'!$M$5&gt;=B790),"632",IF(AND(L790="642",'642'!$N$5&lt;=B790,'642'!$O$5&gt;=B790),"642",IF(AND(L790="641",'641'!$N$5&lt;=B790,'641'!$O$5&gt;=B790),"641",""))))</f>
        <v/>
      </c>
      <c r="V790" s="51" t="str">
        <f>IF(OR(TH!L790=TH!$V$7,M790=TH!$V$7),"x","")</f>
        <v/>
      </c>
      <c r="W790" s="51" t="str">
        <f>IF(AND(B790&gt;='IN-NX'!$P$3,B790&lt;='IN-NX'!$Q$3,'IN-NX'!$D$7=D790,OR(LEFT(L790,2)="15",AND(LEFT(M790,2)&lt;&gt;"15",LEFT(M790,2)&lt;&gt;"33"))),"x","")</f>
        <v/>
      </c>
      <c r="X790" s="51" t="str">
        <f>IF(AND(OR(LEFT(TH!L790,2)="15",LEFT(TH!M790,2)="15"),'152-CT'!$J$8=TH!F790),"x","")</f>
        <v/>
      </c>
      <c r="Y790" s="51" t="str">
        <f>IF(AND(OR(LEFT(TH!L790,2)="15",LEFT(TH!M790,2)="15"),TK!$E$7=TH!F790),"x","")</f>
        <v/>
      </c>
      <c r="Z790" s="51" t="str">
        <f>IF(AND(B790&lt;=NKC!$N$8,B790&gt;=NKC!$M$8),"x","")</f>
        <v/>
      </c>
      <c r="AA790" s="803"/>
      <c r="AB790" s="565"/>
    </row>
    <row r="791" spans="1:31" ht="15.75" customHeight="1">
      <c r="A791" s="804" t="str">
        <f>IF(B791&lt;&gt;"",IF(AND(B791&gt;=_TM1,B791&lt;=_TM2,OR(TH!L791="1111",TH!M791="1111")),TH!D791,""),"")</f>
        <v/>
      </c>
      <c r="B791" s="36">
        <f t="shared" si="49"/>
        <v>10</v>
      </c>
      <c r="C791" s="189">
        <f t="shared" si="50"/>
        <v>42283</v>
      </c>
      <c r="D791" s="189" t="s">
        <v>1336</v>
      </c>
      <c r="E791" s="189">
        <v>42283</v>
      </c>
      <c r="F791" s="190" t="s">
        <v>752</v>
      </c>
      <c r="G791" s="813" t="s">
        <v>749</v>
      </c>
      <c r="H791" s="191" t="s">
        <v>494</v>
      </c>
      <c r="I791" s="243">
        <v>40</v>
      </c>
      <c r="J791" s="243">
        <v>48309</v>
      </c>
      <c r="K791" s="573">
        <f t="shared" si="52"/>
        <v>1932360</v>
      </c>
      <c r="L791" s="574" t="s">
        <v>417</v>
      </c>
      <c r="M791" s="574" t="s">
        <v>8</v>
      </c>
      <c r="N791" s="51" t="str">
        <f>IF(AND('331-CT'!$E$7=TH!H791,OR(L791="331",M791="331")),"331",IF(AND(OR(L791="131",M791="131"),H791='131-CT'!$E$7),"131",""))</f>
        <v/>
      </c>
      <c r="O791" s="51" t="str">
        <f>IF(AND($B791&gt;='111'!$N$11,$B791&lt;='111'!$O$11,OR($L791=$O$7,$M791=$O$7)),"x","")</f>
        <v/>
      </c>
      <c r="P791" s="51" t="str">
        <f>IF(AND($L791=$O$7,$B791&lt;'111'!$N$11),"x","")</f>
        <v/>
      </c>
      <c r="Q791" s="51" t="str">
        <f>IF(AND($M791=$O$7,$B791&lt;'111'!$N$11),"x","")</f>
        <v/>
      </c>
      <c r="R791" s="51" t="str">
        <f>IF(ISERROR(FIND('112'!$M$9,G791,1)),"",IF((AND(FIND('112'!$M$9,G791,1)&gt;=1,$B791&gt;='112'!$N$8,$B791&lt;='112'!$O$8,OR($L791='112'!$I$6,$M791='112'!$I$6))),"x",""))</f>
        <v/>
      </c>
      <c r="S791" s="51" t="str">
        <f>IF(ISERROR(FIND('112'!$M$9,G791,1)),"",IF((AND(LEFT(G791,2)=LEFT('112'!$M$9,2),B791&lt;'112'!$N$8,$L791='112'!$I$6)),"x",""))</f>
        <v/>
      </c>
      <c r="T791" s="51" t="str">
        <f>IF(ISERROR(FIND('112'!$M$9,G791,1)),"",IF((AND(RIGHT(G791,2)=RIGHT('112'!$M$9,2),B791&lt;'112'!$N$8,$M791='112'!$I$6)),"x",""))</f>
        <v/>
      </c>
      <c r="U791" s="51" t="str">
        <f>IF(AND(L791="154",'154'!$O$5&lt;=B791,'154'!$P$5&gt;=B791),"154",IF(AND(L791="632",'632'!$L$5&lt;=B791,'632'!$M$5&gt;=B791),"632",IF(AND(L791="642",'642'!$N$5&lt;=B791,'642'!$O$5&gt;=B791),"642",IF(AND(L791="641",'641'!$N$5&lt;=B791,'641'!$O$5&gt;=B791),"641",""))))</f>
        <v/>
      </c>
      <c r="V791" s="51" t="str">
        <f>IF(OR(TH!L791=TH!$V$7,M791=TH!$V$7),"x","")</f>
        <v/>
      </c>
      <c r="W791" s="51" t="str">
        <f>IF(AND(B791&gt;='IN-NX'!$P$3,B791&lt;='IN-NX'!$Q$3,'IN-NX'!$D$7=D791,OR(LEFT(L791,2)="15",AND(LEFT(M791,2)&lt;&gt;"15",LEFT(M791,2)&lt;&gt;"33"))),"x","")</f>
        <v/>
      </c>
      <c r="X791" s="51" t="str">
        <f>IF(AND(OR(LEFT(TH!L791,2)="15",LEFT(TH!M791,2)="15"),'152-CT'!$J$8=TH!F791),"x","")</f>
        <v/>
      </c>
      <c r="Y791" s="51" t="str">
        <f>IF(AND(OR(LEFT(TH!L791,2)="15",LEFT(TH!M791,2)="15"),TK!$E$7=TH!F791),"x","")</f>
        <v/>
      </c>
      <c r="Z791" s="51" t="str">
        <f>IF(AND(B791&lt;=NKC!$N$8,B791&gt;=NKC!$M$8),"x","")</f>
        <v/>
      </c>
      <c r="AA791" s="803"/>
      <c r="AB791" s="565"/>
    </row>
    <row r="792" spans="1:31" ht="15.75" customHeight="1">
      <c r="A792" s="804" t="str">
        <f>IF(B792&lt;&gt;"",IF(AND(B792&gt;=_TM1,B792&lt;=_TM2,OR(TH!L792="1111",TH!M792="1111")),TH!D792,""),"")</f>
        <v/>
      </c>
      <c r="B792" s="36">
        <f t="shared" si="49"/>
        <v>10</v>
      </c>
      <c r="C792" s="189">
        <f t="shared" si="50"/>
        <v>42283</v>
      </c>
      <c r="D792" s="189" t="s">
        <v>1336</v>
      </c>
      <c r="E792" s="189">
        <v>42283</v>
      </c>
      <c r="F792" s="190" t="s">
        <v>1208</v>
      </c>
      <c r="G792" s="813" t="s">
        <v>749</v>
      </c>
      <c r="H792" s="191" t="s">
        <v>494</v>
      </c>
      <c r="I792" s="243">
        <v>44</v>
      </c>
      <c r="J792" s="243">
        <v>576</v>
      </c>
      <c r="K792" s="573">
        <f t="shared" si="52"/>
        <v>25344</v>
      </c>
      <c r="L792" s="574" t="s">
        <v>417</v>
      </c>
      <c r="M792" s="574" t="s">
        <v>8</v>
      </c>
      <c r="N792" s="51" t="str">
        <f>IF(AND('331-CT'!$E$7=TH!H792,OR(L792="331",M792="331")),"331",IF(AND(OR(L792="131",M792="131"),H792='131-CT'!$E$7),"131",""))</f>
        <v/>
      </c>
      <c r="O792" s="51" t="str">
        <f>IF(AND($B792&gt;='111'!$N$11,$B792&lt;='111'!$O$11,OR($L792=$O$7,$M792=$O$7)),"x","")</f>
        <v/>
      </c>
      <c r="P792" s="51" t="str">
        <f>IF(AND($L792=$O$7,$B792&lt;'111'!$N$11),"x","")</f>
        <v/>
      </c>
      <c r="Q792" s="51" t="str">
        <f>IF(AND($M792=$O$7,$B792&lt;'111'!$N$11),"x","")</f>
        <v/>
      </c>
      <c r="R792" s="51" t="str">
        <f>IF(ISERROR(FIND('112'!$M$9,G792,1)),"",IF((AND(FIND('112'!$M$9,G792,1)&gt;=1,$B792&gt;='112'!$N$8,$B792&lt;='112'!$O$8,OR($L792='112'!$I$6,$M792='112'!$I$6))),"x",""))</f>
        <v/>
      </c>
      <c r="S792" s="51" t="str">
        <f>IF(ISERROR(FIND('112'!$M$9,G792,1)),"",IF((AND(LEFT(G792,2)=LEFT('112'!$M$9,2),B792&lt;'112'!$N$8,$L792='112'!$I$6)),"x",""))</f>
        <v/>
      </c>
      <c r="T792" s="51" t="str">
        <f>IF(ISERROR(FIND('112'!$M$9,G792,1)),"",IF((AND(RIGHT(G792,2)=RIGHT('112'!$M$9,2),B792&lt;'112'!$N$8,$M792='112'!$I$6)),"x",""))</f>
        <v/>
      </c>
      <c r="U792" s="51" t="str">
        <f>IF(AND(L792="154",'154'!$O$5&lt;=B792,'154'!$P$5&gt;=B792),"154",IF(AND(L792="632",'632'!$L$5&lt;=B792,'632'!$M$5&gt;=B792),"632",IF(AND(L792="642",'642'!$N$5&lt;=B792,'642'!$O$5&gt;=B792),"642",IF(AND(L792="641",'641'!$N$5&lt;=B792,'641'!$O$5&gt;=B792),"641",""))))</f>
        <v/>
      </c>
      <c r="V792" s="51" t="str">
        <f>IF(OR(TH!L792=TH!$V$7,M792=TH!$V$7),"x","")</f>
        <v/>
      </c>
      <c r="W792" s="51" t="str">
        <f>IF(AND(B792&gt;='IN-NX'!$P$3,B792&lt;='IN-NX'!$Q$3,'IN-NX'!$D$7=D792,OR(LEFT(L792,2)="15",AND(LEFT(M792,2)&lt;&gt;"15",LEFT(M792,2)&lt;&gt;"33"))),"x","")</f>
        <v/>
      </c>
      <c r="X792" s="51" t="str">
        <f>IF(AND(OR(LEFT(TH!L792,2)="15",LEFT(TH!M792,2)="15"),'152-CT'!$J$8=TH!F792),"x","")</f>
        <v/>
      </c>
      <c r="Y792" s="51" t="str">
        <f>IF(AND(OR(LEFT(TH!L792,2)="15",LEFT(TH!M792,2)="15"),TK!$E$7=TH!F792),"x","")</f>
        <v/>
      </c>
      <c r="Z792" s="51" t="str">
        <f>IF(AND(B792&lt;=NKC!$N$8,B792&gt;=NKC!$M$8),"x","")</f>
        <v/>
      </c>
      <c r="AA792" s="803"/>
      <c r="AB792" s="565"/>
    </row>
    <row r="793" spans="1:31" s="565" customFormat="1" ht="15.75" customHeight="1">
      <c r="A793" s="804" t="str">
        <f>IF(B793&lt;&gt;"",IF(AND(B793&gt;=_TM1,B793&lt;=_TM2,OR(TH!L793="1111",TH!M793="1111")),TH!D793,""),"")</f>
        <v/>
      </c>
      <c r="B793" s="36">
        <f t="shared" si="49"/>
        <v>10</v>
      </c>
      <c r="C793" s="189">
        <f t="shared" si="50"/>
        <v>42283</v>
      </c>
      <c r="D793" s="189" t="s">
        <v>1336</v>
      </c>
      <c r="E793" s="189">
        <v>42283</v>
      </c>
      <c r="F793" s="190" t="s">
        <v>1207</v>
      </c>
      <c r="G793" s="813" t="s">
        <v>749</v>
      </c>
      <c r="H793" s="191" t="s">
        <v>494</v>
      </c>
      <c r="I793" s="243">
        <v>22</v>
      </c>
      <c r="J793" s="243">
        <v>1152</v>
      </c>
      <c r="K793" s="573">
        <f t="shared" si="52"/>
        <v>25344</v>
      </c>
      <c r="L793" s="574" t="s">
        <v>417</v>
      </c>
      <c r="M793" s="574" t="s">
        <v>8</v>
      </c>
      <c r="N793" s="51" t="str">
        <f>IF(AND('331-CT'!$E$7=TH!H793,OR(L793="331",M793="331")),"331",IF(AND(OR(L793="131",M793="131"),H793='131-CT'!$E$7),"131",""))</f>
        <v/>
      </c>
      <c r="O793" s="51" t="str">
        <f>IF(AND($B793&gt;='111'!$N$11,$B793&lt;='111'!$O$11,OR($L793=$O$7,$M793=$O$7)),"x","")</f>
        <v/>
      </c>
      <c r="P793" s="51" t="str">
        <f>IF(AND($L793=$O$7,$B793&lt;'111'!$N$11),"x","")</f>
        <v/>
      </c>
      <c r="Q793" s="51" t="str">
        <f>IF(AND($M793=$O$7,$B793&lt;'111'!$N$11),"x","")</f>
        <v/>
      </c>
      <c r="R793" s="51" t="str">
        <f>IF(ISERROR(FIND('112'!$M$9,G793,1)),"",IF((AND(FIND('112'!$M$9,G793,1)&gt;=1,$B793&gt;='112'!$N$8,$B793&lt;='112'!$O$8,OR($L793='112'!$I$6,$M793='112'!$I$6))),"x",""))</f>
        <v/>
      </c>
      <c r="S793" s="51" t="str">
        <f>IF(ISERROR(FIND('112'!$M$9,G793,1)),"",IF((AND(LEFT(G793,2)=LEFT('112'!$M$9,2),B793&lt;'112'!$N$8,$L793='112'!$I$6)),"x",""))</f>
        <v/>
      </c>
      <c r="T793" s="51" t="str">
        <f>IF(ISERROR(FIND('112'!$M$9,G793,1)),"",IF((AND(RIGHT(G793,2)=RIGHT('112'!$M$9,2),B793&lt;'112'!$N$8,$M793='112'!$I$6)),"x",""))</f>
        <v/>
      </c>
      <c r="U793" s="51" t="str">
        <f>IF(AND(L793="154",'154'!$O$5&lt;=B793,'154'!$P$5&gt;=B793),"154",IF(AND(L793="632",'632'!$L$5&lt;=B793,'632'!$M$5&gt;=B793),"632",IF(AND(L793="642",'642'!$N$5&lt;=B793,'642'!$O$5&gt;=B793),"642",IF(AND(L793="641",'641'!$N$5&lt;=B793,'641'!$O$5&gt;=B793),"641",""))))</f>
        <v/>
      </c>
      <c r="V793" s="51" t="str">
        <f>IF(OR(TH!L793=TH!$V$7,M793=TH!$V$7),"x","")</f>
        <v/>
      </c>
      <c r="W793" s="51" t="str">
        <f>IF(AND(B793&gt;='IN-NX'!$P$3,B793&lt;='IN-NX'!$Q$3,'IN-NX'!$D$7=D793,OR(LEFT(L793,2)="15",AND(LEFT(M793,2)&lt;&gt;"15",LEFT(M793,2)&lt;&gt;"33"))),"x","")</f>
        <v/>
      </c>
      <c r="X793" s="51" t="str">
        <f>IF(AND(OR(LEFT(TH!L793,2)="15",LEFT(TH!M793,2)="15"),'152-CT'!$J$8=TH!F793),"x","")</f>
        <v/>
      </c>
      <c r="Y793" s="51" t="str">
        <f>IF(AND(OR(LEFT(TH!L793,2)="15",LEFT(TH!M793,2)="15"),TK!$E$7=TH!F793),"x","")</f>
        <v/>
      </c>
      <c r="Z793" s="51" t="str">
        <f>IF(AND(B793&lt;=NKC!$N$8,B793&gt;=NKC!$M$8),"x","")</f>
        <v/>
      </c>
      <c r="AA793" s="803"/>
      <c r="AC793" s="203"/>
      <c r="AD793" s="203"/>
      <c r="AE793" s="203"/>
    </row>
    <row r="794" spans="1:31" s="565" customFormat="1" ht="15.75" customHeight="1">
      <c r="A794" s="804" t="str">
        <f>IF(B794&lt;&gt;"",IF(AND(B794&gt;=_TM1,B794&lt;=_TM2,OR(TH!L794="1111",TH!M794="1111")),TH!D794,""),"")</f>
        <v/>
      </c>
      <c r="B794" s="36">
        <f t="shared" si="49"/>
        <v>10</v>
      </c>
      <c r="C794" s="189">
        <f t="shared" si="50"/>
        <v>42283</v>
      </c>
      <c r="D794" s="189" t="s">
        <v>1336</v>
      </c>
      <c r="E794" s="189">
        <v>42283</v>
      </c>
      <c r="F794" s="190" t="s">
        <v>1144</v>
      </c>
      <c r="G794" s="813" t="s">
        <v>749</v>
      </c>
      <c r="H794" s="191" t="s">
        <v>494</v>
      </c>
      <c r="I794" s="243">
        <v>22</v>
      </c>
      <c r="J794" s="243">
        <v>5700</v>
      </c>
      <c r="K794" s="573">
        <f t="shared" si="52"/>
        <v>125400</v>
      </c>
      <c r="L794" s="574" t="s">
        <v>417</v>
      </c>
      <c r="M794" s="574" t="s">
        <v>8</v>
      </c>
      <c r="N794" s="51" t="str">
        <f>IF(AND('331-CT'!$E$7=TH!H794,OR(L794="331",M794="331")),"331",IF(AND(OR(L794="131",M794="131"),H794='131-CT'!$E$7),"131",""))</f>
        <v/>
      </c>
      <c r="O794" s="51" t="str">
        <f>IF(AND($B794&gt;='111'!$N$11,$B794&lt;='111'!$O$11,OR($L794=$O$7,$M794=$O$7)),"x","")</f>
        <v/>
      </c>
      <c r="P794" s="51" t="str">
        <f>IF(AND($L794=$O$7,$B794&lt;'111'!$N$11),"x","")</f>
        <v/>
      </c>
      <c r="Q794" s="51" t="str">
        <f>IF(AND($M794=$O$7,$B794&lt;'111'!$N$11),"x","")</f>
        <v/>
      </c>
      <c r="R794" s="51" t="str">
        <f>IF(ISERROR(FIND('112'!$M$9,G794,1)),"",IF((AND(FIND('112'!$M$9,G794,1)&gt;=1,$B794&gt;='112'!$N$8,$B794&lt;='112'!$O$8,OR($L794='112'!$I$6,$M794='112'!$I$6))),"x",""))</f>
        <v/>
      </c>
      <c r="S794" s="51" t="str">
        <f>IF(ISERROR(FIND('112'!$M$9,G794,1)),"",IF((AND(LEFT(G794,2)=LEFT('112'!$M$9,2),B794&lt;'112'!$N$8,$L794='112'!$I$6)),"x",""))</f>
        <v/>
      </c>
      <c r="T794" s="51" t="str">
        <f>IF(ISERROR(FIND('112'!$M$9,G794,1)),"",IF((AND(RIGHT(G794,2)=RIGHT('112'!$M$9,2),B794&lt;'112'!$N$8,$M794='112'!$I$6)),"x",""))</f>
        <v/>
      </c>
      <c r="U794" s="51" t="str">
        <f>IF(AND(L794="154",'154'!$O$5&lt;=B794,'154'!$P$5&gt;=B794),"154",IF(AND(L794="632",'632'!$L$5&lt;=B794,'632'!$M$5&gt;=B794),"632",IF(AND(L794="642",'642'!$N$5&lt;=B794,'642'!$O$5&gt;=B794),"642",IF(AND(L794="641",'641'!$N$5&lt;=B794,'641'!$O$5&gt;=B794),"641",""))))</f>
        <v/>
      </c>
      <c r="V794" s="51" t="str">
        <f>IF(OR(TH!L794=TH!$V$7,M794=TH!$V$7),"x","")</f>
        <v/>
      </c>
      <c r="W794" s="51" t="str">
        <f>IF(AND(B794&gt;='IN-NX'!$P$3,B794&lt;='IN-NX'!$Q$3,'IN-NX'!$D$7=D794,OR(LEFT(L794,2)="15",AND(LEFT(M794,2)&lt;&gt;"15",LEFT(M794,2)&lt;&gt;"33"))),"x","")</f>
        <v/>
      </c>
      <c r="X794" s="51" t="str">
        <f>IF(AND(OR(LEFT(TH!L794,2)="15",LEFT(TH!M794,2)="15"),'152-CT'!$J$8=TH!F794),"x","")</f>
        <v/>
      </c>
      <c r="Y794" s="51" t="str">
        <f>IF(AND(OR(LEFT(TH!L794,2)="15",LEFT(TH!M794,2)="15"),TK!$E$7=TH!F794),"x","")</f>
        <v/>
      </c>
      <c r="Z794" s="51" t="str">
        <f>IF(AND(B794&lt;=NKC!$N$8,B794&gt;=NKC!$M$8),"x","")</f>
        <v/>
      </c>
      <c r="AA794" s="803"/>
      <c r="AC794" s="203"/>
      <c r="AD794" s="203"/>
      <c r="AE794" s="203"/>
    </row>
    <row r="795" spans="1:31" s="565" customFormat="1" ht="15.75" customHeight="1">
      <c r="A795" s="804" t="str">
        <f>IF(B795&lt;&gt;"",IF(AND(B795&gt;=_TM1,B795&lt;=_TM2,OR(TH!L795="1111",TH!M795="1111")),TH!D795,""),"")</f>
        <v/>
      </c>
      <c r="B795" s="36">
        <f t="shared" si="49"/>
        <v>10</v>
      </c>
      <c r="C795" s="189">
        <f t="shared" si="50"/>
        <v>42283</v>
      </c>
      <c r="D795" s="189" t="s">
        <v>1336</v>
      </c>
      <c r="E795" s="189">
        <v>42283</v>
      </c>
      <c r="F795" s="190" t="s">
        <v>620</v>
      </c>
      <c r="G795" s="813" t="s">
        <v>749</v>
      </c>
      <c r="H795" s="191" t="s">
        <v>494</v>
      </c>
      <c r="I795" s="243">
        <v>156</v>
      </c>
      <c r="J795" s="243">
        <v>10080</v>
      </c>
      <c r="K795" s="573">
        <f t="shared" si="52"/>
        <v>1572480</v>
      </c>
      <c r="L795" s="574" t="s">
        <v>417</v>
      </c>
      <c r="M795" s="574" t="s">
        <v>8</v>
      </c>
      <c r="N795" s="51" t="str">
        <f>IF(AND('331-CT'!$E$7=TH!H795,OR(L795="331",M795="331")),"331",IF(AND(OR(L795="131",M795="131"),H795='131-CT'!$E$7),"131",""))</f>
        <v/>
      </c>
      <c r="O795" s="51" t="str">
        <f>IF(AND($B795&gt;='111'!$N$11,$B795&lt;='111'!$O$11,OR($L795=$O$7,$M795=$O$7)),"x","")</f>
        <v/>
      </c>
      <c r="P795" s="51" t="str">
        <f>IF(AND($L795=$O$7,$B795&lt;'111'!$N$11),"x","")</f>
        <v/>
      </c>
      <c r="Q795" s="51" t="str">
        <f>IF(AND($M795=$O$7,$B795&lt;'111'!$N$11),"x","")</f>
        <v/>
      </c>
      <c r="R795" s="51" t="str">
        <f>IF(ISERROR(FIND('112'!$M$9,G795,1)),"",IF((AND(FIND('112'!$M$9,G795,1)&gt;=1,$B795&gt;='112'!$N$8,$B795&lt;='112'!$O$8,OR($L795='112'!$I$6,$M795='112'!$I$6))),"x",""))</f>
        <v/>
      </c>
      <c r="S795" s="51" t="str">
        <f>IF(ISERROR(FIND('112'!$M$9,G795,1)),"",IF((AND(LEFT(G795,2)=LEFT('112'!$M$9,2),B795&lt;'112'!$N$8,$L795='112'!$I$6)),"x",""))</f>
        <v/>
      </c>
      <c r="T795" s="51" t="str">
        <f>IF(ISERROR(FIND('112'!$M$9,G795,1)),"",IF((AND(RIGHT(G795,2)=RIGHT('112'!$M$9,2),B795&lt;'112'!$N$8,$M795='112'!$I$6)),"x",""))</f>
        <v/>
      </c>
      <c r="U795" s="51" t="str">
        <f>IF(AND(L795="154",'154'!$O$5&lt;=B795,'154'!$P$5&gt;=B795),"154",IF(AND(L795="632",'632'!$L$5&lt;=B795,'632'!$M$5&gt;=B795),"632",IF(AND(L795="642",'642'!$N$5&lt;=B795,'642'!$O$5&gt;=B795),"642",IF(AND(L795="641",'641'!$N$5&lt;=B795,'641'!$O$5&gt;=B795),"641",""))))</f>
        <v/>
      </c>
      <c r="V795" s="51" t="str">
        <f>IF(OR(TH!L795=TH!$V$7,M795=TH!$V$7),"x","")</f>
        <v/>
      </c>
      <c r="W795" s="51" t="str">
        <f>IF(AND(B795&gt;='IN-NX'!$P$3,B795&lt;='IN-NX'!$Q$3,'IN-NX'!$D$7=D795,OR(LEFT(L795,2)="15",AND(LEFT(M795,2)&lt;&gt;"15",LEFT(M795,2)&lt;&gt;"33"))),"x","")</f>
        <v/>
      </c>
      <c r="X795" s="51" t="str">
        <f>IF(AND(OR(LEFT(TH!L795,2)="15",LEFT(TH!M795,2)="15"),'152-CT'!$J$8=TH!F795),"x","")</f>
        <v/>
      </c>
      <c r="Y795" s="51" t="str">
        <f>IF(AND(OR(LEFT(TH!L795,2)="15",LEFT(TH!M795,2)="15"),TK!$E$7=TH!F795),"x","")</f>
        <v/>
      </c>
      <c r="Z795" s="51" t="str">
        <f>IF(AND(B795&lt;=NKC!$N$8,B795&gt;=NKC!$M$8),"x","")</f>
        <v/>
      </c>
      <c r="AA795" s="803"/>
      <c r="AC795" s="203"/>
      <c r="AD795" s="203"/>
      <c r="AE795" s="203"/>
    </row>
    <row r="796" spans="1:31" s="565" customFormat="1" ht="15.75" customHeight="1">
      <c r="A796" s="804" t="str">
        <f>IF(B796&lt;&gt;"",IF(AND(B796&gt;=_TM1,B796&lt;=_TM2,OR(TH!L796="1111",TH!M796="1111")),TH!D796,""),"")</f>
        <v/>
      </c>
      <c r="B796" s="36">
        <f t="shared" ref="B796:B859" si="53">IF(C796&lt;&gt;"",MONTH(C796),"")</f>
        <v>10</v>
      </c>
      <c r="C796" s="189">
        <f t="shared" ref="C796:C859" si="54">E796</f>
        <v>42283</v>
      </c>
      <c r="D796" s="189" t="s">
        <v>1336</v>
      </c>
      <c r="E796" s="189">
        <v>42283</v>
      </c>
      <c r="F796" s="190" t="s">
        <v>753</v>
      </c>
      <c r="G796" s="813" t="s">
        <v>749</v>
      </c>
      <c r="H796" s="191" t="s">
        <v>494</v>
      </c>
      <c r="I796" s="243">
        <v>122</v>
      </c>
      <c r="J796" s="243">
        <v>12336</v>
      </c>
      <c r="K796" s="573">
        <f t="shared" si="52"/>
        <v>1504992</v>
      </c>
      <c r="L796" s="574" t="s">
        <v>417</v>
      </c>
      <c r="M796" s="574" t="s">
        <v>8</v>
      </c>
      <c r="N796" s="51" t="str">
        <f>IF(AND('331-CT'!$E$7=TH!H796,OR(L796="331",M796="331")),"331",IF(AND(OR(L796="131",M796="131"),H796='131-CT'!$E$7),"131",""))</f>
        <v/>
      </c>
      <c r="O796" s="51" t="str">
        <f>IF(AND($B796&gt;='111'!$N$11,$B796&lt;='111'!$O$11,OR($L796=$O$7,$M796=$O$7)),"x","")</f>
        <v/>
      </c>
      <c r="P796" s="51" t="str">
        <f>IF(AND($L796=$O$7,$B796&lt;'111'!$N$11),"x","")</f>
        <v/>
      </c>
      <c r="Q796" s="51" t="str">
        <f>IF(AND($M796=$O$7,$B796&lt;'111'!$N$11),"x","")</f>
        <v/>
      </c>
      <c r="R796" s="51" t="str">
        <f>IF(ISERROR(FIND('112'!$M$9,G796,1)),"",IF((AND(FIND('112'!$M$9,G796,1)&gt;=1,$B796&gt;='112'!$N$8,$B796&lt;='112'!$O$8,OR($L796='112'!$I$6,$M796='112'!$I$6))),"x",""))</f>
        <v/>
      </c>
      <c r="S796" s="51" t="str">
        <f>IF(ISERROR(FIND('112'!$M$9,G796,1)),"",IF((AND(LEFT(G796,2)=LEFT('112'!$M$9,2),B796&lt;'112'!$N$8,$L796='112'!$I$6)),"x",""))</f>
        <v/>
      </c>
      <c r="T796" s="51" t="str">
        <f>IF(ISERROR(FIND('112'!$M$9,G796,1)),"",IF((AND(RIGHT(G796,2)=RIGHT('112'!$M$9,2),B796&lt;'112'!$N$8,$M796='112'!$I$6)),"x",""))</f>
        <v/>
      </c>
      <c r="U796" s="51" t="str">
        <f>IF(AND(L796="154",'154'!$O$5&lt;=B796,'154'!$P$5&gt;=B796),"154",IF(AND(L796="632",'632'!$L$5&lt;=B796,'632'!$M$5&gt;=B796),"632",IF(AND(L796="642",'642'!$N$5&lt;=B796,'642'!$O$5&gt;=B796),"642",IF(AND(L796="641",'641'!$N$5&lt;=B796,'641'!$O$5&gt;=B796),"641",""))))</f>
        <v/>
      </c>
      <c r="V796" s="51" t="str">
        <f>IF(OR(TH!L796=TH!$V$7,M796=TH!$V$7),"x","")</f>
        <v/>
      </c>
      <c r="W796" s="51" t="str">
        <f>IF(AND(B796&gt;='IN-NX'!$P$3,B796&lt;='IN-NX'!$Q$3,'IN-NX'!$D$7=D796,OR(LEFT(L796,2)="15",AND(LEFT(M796,2)&lt;&gt;"15",LEFT(M796,2)&lt;&gt;"33"))),"x","")</f>
        <v/>
      </c>
      <c r="X796" s="51" t="str">
        <f>IF(AND(OR(LEFT(TH!L796,2)="15",LEFT(TH!M796,2)="15"),'152-CT'!$J$8=TH!F796),"x","")</f>
        <v/>
      </c>
      <c r="Y796" s="51" t="str">
        <f>IF(AND(OR(LEFT(TH!L796,2)="15",LEFT(TH!M796,2)="15"),TK!$E$7=TH!F796),"x","")</f>
        <v/>
      </c>
      <c r="Z796" s="51" t="str">
        <f>IF(AND(B796&lt;=NKC!$N$8,B796&gt;=NKC!$M$8),"x","")</f>
        <v/>
      </c>
      <c r="AA796" s="803"/>
      <c r="AC796" s="203"/>
      <c r="AD796" s="203"/>
      <c r="AE796" s="203"/>
    </row>
    <row r="797" spans="1:31" s="565" customFormat="1" ht="15.75" customHeight="1">
      <c r="A797" s="804" t="str">
        <f>IF(B797&lt;&gt;"",IF(AND(B797&gt;=_TM1,B797&lt;=_TM2,OR(TH!L797="1111",TH!M797="1111")),TH!D797,""),"")</f>
        <v/>
      </c>
      <c r="B797" s="36">
        <f t="shared" si="53"/>
        <v>10</v>
      </c>
      <c r="C797" s="189">
        <f t="shared" si="54"/>
        <v>42283</v>
      </c>
      <c r="D797" s="189" t="s">
        <v>1336</v>
      </c>
      <c r="E797" s="189">
        <v>42283</v>
      </c>
      <c r="F797" s="190" t="s">
        <v>754</v>
      </c>
      <c r="G797" s="813" t="s">
        <v>749</v>
      </c>
      <c r="H797" s="191" t="s">
        <v>494</v>
      </c>
      <c r="I797" s="243">
        <v>122</v>
      </c>
      <c r="J797" s="243">
        <v>17741</v>
      </c>
      <c r="K797" s="573">
        <f t="shared" si="52"/>
        <v>2164402</v>
      </c>
      <c r="L797" s="574" t="s">
        <v>417</v>
      </c>
      <c r="M797" s="574" t="s">
        <v>8</v>
      </c>
      <c r="N797" s="51" t="str">
        <f>IF(AND('331-CT'!$E$7=TH!H797,OR(L797="331",M797="331")),"331",IF(AND(OR(L797="131",M797="131"),H797='131-CT'!$E$7),"131",""))</f>
        <v/>
      </c>
      <c r="O797" s="51" t="str">
        <f>IF(AND($B797&gt;='111'!$N$11,$B797&lt;='111'!$O$11,OR($L797=$O$7,$M797=$O$7)),"x","")</f>
        <v/>
      </c>
      <c r="P797" s="51" t="str">
        <f>IF(AND($L797=$O$7,$B797&lt;'111'!$N$11),"x","")</f>
        <v/>
      </c>
      <c r="Q797" s="51" t="str">
        <f>IF(AND($M797=$O$7,$B797&lt;'111'!$N$11),"x","")</f>
        <v/>
      </c>
      <c r="R797" s="51" t="str">
        <f>IF(ISERROR(FIND('112'!$M$9,G797,1)),"",IF((AND(FIND('112'!$M$9,G797,1)&gt;=1,$B797&gt;='112'!$N$8,$B797&lt;='112'!$O$8,OR($L797='112'!$I$6,$M797='112'!$I$6))),"x",""))</f>
        <v/>
      </c>
      <c r="S797" s="51" t="str">
        <f>IF(ISERROR(FIND('112'!$M$9,G797,1)),"",IF((AND(LEFT(G797,2)=LEFT('112'!$M$9,2),B797&lt;'112'!$N$8,$L797='112'!$I$6)),"x",""))</f>
        <v/>
      </c>
      <c r="T797" s="51" t="str">
        <f>IF(ISERROR(FIND('112'!$M$9,G797,1)),"",IF((AND(RIGHT(G797,2)=RIGHT('112'!$M$9,2),B797&lt;'112'!$N$8,$M797='112'!$I$6)),"x",""))</f>
        <v/>
      </c>
      <c r="U797" s="51" t="str">
        <f>IF(AND(L797="154",'154'!$O$5&lt;=B797,'154'!$P$5&gt;=B797),"154",IF(AND(L797="632",'632'!$L$5&lt;=B797,'632'!$M$5&gt;=B797),"632",IF(AND(L797="642",'642'!$N$5&lt;=B797,'642'!$O$5&gt;=B797),"642",IF(AND(L797="641",'641'!$N$5&lt;=B797,'641'!$O$5&gt;=B797),"641",""))))</f>
        <v/>
      </c>
      <c r="V797" s="51" t="str">
        <f>IF(OR(TH!L797=TH!$V$7,M797=TH!$V$7),"x","")</f>
        <v/>
      </c>
      <c r="W797" s="51" t="str">
        <f>IF(AND(B797&gt;='IN-NX'!$P$3,B797&lt;='IN-NX'!$Q$3,'IN-NX'!$D$7=D797,OR(LEFT(L797,2)="15",AND(LEFT(M797,2)&lt;&gt;"15",LEFT(M797,2)&lt;&gt;"33"))),"x","")</f>
        <v/>
      </c>
      <c r="X797" s="51" t="str">
        <f>IF(AND(OR(LEFT(TH!L797,2)="15",LEFT(TH!M797,2)="15"),'152-CT'!$J$8=TH!F797),"x","")</f>
        <v/>
      </c>
      <c r="Y797" s="51" t="str">
        <f>IF(AND(OR(LEFT(TH!L797,2)="15",LEFT(TH!M797,2)="15"),TK!$E$7=TH!F797),"x","")</f>
        <v/>
      </c>
      <c r="Z797" s="51" t="str">
        <f>IF(AND(B797&lt;=NKC!$N$8,B797&gt;=NKC!$M$8),"x","")</f>
        <v/>
      </c>
      <c r="AA797" s="803"/>
      <c r="AC797" s="203"/>
      <c r="AD797" s="203"/>
      <c r="AE797" s="203"/>
    </row>
    <row r="798" spans="1:31" s="565" customFormat="1" ht="15.75" customHeight="1">
      <c r="A798" s="804" t="str">
        <f>IF(B798&lt;&gt;"",IF(AND(B798&gt;=_TM1,B798&lt;=_TM2,OR(TH!L798="1111",TH!M798="1111")),TH!D798,""),"")</f>
        <v/>
      </c>
      <c r="B798" s="36">
        <f t="shared" si="53"/>
        <v>10</v>
      </c>
      <c r="C798" s="189">
        <f t="shared" si="54"/>
        <v>42283</v>
      </c>
      <c r="D798" s="189" t="s">
        <v>1336</v>
      </c>
      <c r="E798" s="189">
        <v>42283</v>
      </c>
      <c r="F798" s="190" t="s">
        <v>755</v>
      </c>
      <c r="G798" s="813" t="s">
        <v>749</v>
      </c>
      <c r="H798" s="191" t="s">
        <v>494</v>
      </c>
      <c r="I798" s="243">
        <v>122</v>
      </c>
      <c r="J798" s="243">
        <v>22358</v>
      </c>
      <c r="K798" s="573">
        <f t="shared" si="52"/>
        <v>2727676</v>
      </c>
      <c r="L798" s="574" t="s">
        <v>417</v>
      </c>
      <c r="M798" s="574" t="s">
        <v>8</v>
      </c>
      <c r="N798" s="51" t="str">
        <f>IF(AND('331-CT'!$E$7=TH!H798,OR(L798="331",M798="331")),"331",IF(AND(OR(L798="131",M798="131"),H798='131-CT'!$E$7),"131",""))</f>
        <v/>
      </c>
      <c r="O798" s="51" t="str">
        <f>IF(AND($B798&gt;='111'!$N$11,$B798&lt;='111'!$O$11,OR($L798=$O$7,$M798=$O$7)),"x","")</f>
        <v/>
      </c>
      <c r="P798" s="51" t="str">
        <f>IF(AND($L798=$O$7,$B798&lt;'111'!$N$11),"x","")</f>
        <v/>
      </c>
      <c r="Q798" s="51" t="str">
        <f>IF(AND($M798=$O$7,$B798&lt;'111'!$N$11),"x","")</f>
        <v/>
      </c>
      <c r="R798" s="51" t="str">
        <f>IF(ISERROR(FIND('112'!$M$9,G798,1)),"",IF((AND(FIND('112'!$M$9,G798,1)&gt;=1,$B798&gt;='112'!$N$8,$B798&lt;='112'!$O$8,OR($L798='112'!$I$6,$M798='112'!$I$6))),"x",""))</f>
        <v/>
      </c>
      <c r="S798" s="51" t="str">
        <f>IF(ISERROR(FIND('112'!$M$9,G798,1)),"",IF((AND(LEFT(G798,2)=LEFT('112'!$M$9,2),B798&lt;'112'!$N$8,$L798='112'!$I$6)),"x",""))</f>
        <v/>
      </c>
      <c r="T798" s="51" t="str">
        <f>IF(ISERROR(FIND('112'!$M$9,G798,1)),"",IF((AND(RIGHT(G798,2)=RIGHT('112'!$M$9,2),B798&lt;'112'!$N$8,$M798='112'!$I$6)),"x",""))</f>
        <v/>
      </c>
      <c r="U798" s="51" t="str">
        <f>IF(AND(L798="154",'154'!$O$5&lt;=B798,'154'!$P$5&gt;=B798),"154",IF(AND(L798="632",'632'!$L$5&lt;=B798,'632'!$M$5&gt;=B798),"632",IF(AND(L798="642",'642'!$N$5&lt;=B798,'642'!$O$5&gt;=B798),"642",IF(AND(L798="641",'641'!$N$5&lt;=B798,'641'!$O$5&gt;=B798),"641",""))))</f>
        <v/>
      </c>
      <c r="V798" s="51" t="str">
        <f>IF(OR(TH!L798=TH!$V$7,M798=TH!$V$7),"x","")</f>
        <v/>
      </c>
      <c r="W798" s="51" t="str">
        <f>IF(AND(B798&gt;='IN-NX'!$P$3,B798&lt;='IN-NX'!$Q$3,'IN-NX'!$D$7=D798,OR(LEFT(L798,2)="15",AND(LEFT(M798,2)&lt;&gt;"15",LEFT(M798,2)&lt;&gt;"33"))),"x","")</f>
        <v/>
      </c>
      <c r="X798" s="51" t="str">
        <f>IF(AND(OR(LEFT(TH!L798,2)="15",LEFT(TH!M798,2)="15"),'152-CT'!$J$8=TH!F798),"x","")</f>
        <v/>
      </c>
      <c r="Y798" s="51" t="str">
        <f>IF(AND(OR(LEFT(TH!L798,2)="15",LEFT(TH!M798,2)="15"),TK!$E$7=TH!F798),"x","")</f>
        <v/>
      </c>
      <c r="Z798" s="51" t="str">
        <f>IF(AND(B798&lt;=NKC!$N$8,B798&gt;=NKC!$M$8),"x","")</f>
        <v/>
      </c>
      <c r="AA798" s="803"/>
      <c r="AC798" s="203"/>
      <c r="AD798" s="203"/>
      <c r="AE798" s="203"/>
    </row>
    <row r="799" spans="1:31" s="565" customFormat="1" ht="15.75" customHeight="1">
      <c r="A799" s="804" t="str">
        <f>IF(B799&lt;&gt;"",IF(AND(B799&gt;=_TM1,B799&lt;=_TM2,OR(TH!L799="1111",TH!M799="1111")),TH!D799,""),"")</f>
        <v/>
      </c>
      <c r="B799" s="36">
        <f t="shared" si="53"/>
        <v>10</v>
      </c>
      <c r="C799" s="189">
        <f t="shared" si="54"/>
        <v>42283</v>
      </c>
      <c r="D799" s="189" t="s">
        <v>1336</v>
      </c>
      <c r="E799" s="189">
        <v>42283</v>
      </c>
      <c r="F799" s="190" t="s">
        <v>496</v>
      </c>
      <c r="G799" s="813" t="s">
        <v>749</v>
      </c>
      <c r="H799" s="191" t="s">
        <v>494</v>
      </c>
      <c r="I799" s="243"/>
      <c r="J799" s="243"/>
      <c r="K799" s="573">
        <v>2922542</v>
      </c>
      <c r="L799" s="574" t="s">
        <v>9</v>
      </c>
      <c r="M799" s="574" t="s">
        <v>8</v>
      </c>
      <c r="N799" s="51" t="str">
        <f>IF(AND('331-CT'!$E$7=TH!H799,OR(L799="331",M799="331")),"331",IF(AND(OR(L799="131",M799="131"),H799='131-CT'!$E$7),"131",""))</f>
        <v/>
      </c>
      <c r="O799" s="51" t="str">
        <f>IF(AND($B799&gt;='111'!$N$11,$B799&lt;='111'!$O$11,OR($L799=$O$7,$M799=$O$7)),"x","")</f>
        <v/>
      </c>
      <c r="P799" s="51" t="str">
        <f>IF(AND($L799=$O$7,$B799&lt;'111'!$N$11),"x","")</f>
        <v/>
      </c>
      <c r="Q799" s="51" t="str">
        <f>IF(AND($M799=$O$7,$B799&lt;'111'!$N$11),"x","")</f>
        <v/>
      </c>
      <c r="R799" s="51" t="str">
        <f>IF(ISERROR(FIND('112'!$M$9,G799,1)),"",IF((AND(FIND('112'!$M$9,G799,1)&gt;=1,$B799&gt;='112'!$N$8,$B799&lt;='112'!$O$8,OR($L799='112'!$I$6,$M799='112'!$I$6))),"x",""))</f>
        <v/>
      </c>
      <c r="S799" s="51" t="str">
        <f>IF(ISERROR(FIND('112'!$M$9,G799,1)),"",IF((AND(LEFT(G799,2)=LEFT('112'!$M$9,2),B799&lt;'112'!$N$8,$L799='112'!$I$6)),"x",""))</f>
        <v/>
      </c>
      <c r="T799" s="51" t="str">
        <f>IF(ISERROR(FIND('112'!$M$9,G799,1)),"",IF((AND(RIGHT(G799,2)=RIGHT('112'!$M$9,2),B799&lt;'112'!$N$8,$M799='112'!$I$6)),"x",""))</f>
        <v/>
      </c>
      <c r="U799" s="51" t="str">
        <f>IF(AND(L799="154",'154'!$O$5&lt;=B799,'154'!$P$5&gt;=B799),"154",IF(AND(L799="632",'632'!$L$5&lt;=B799,'632'!$M$5&gt;=B799),"632",IF(AND(L799="642",'642'!$N$5&lt;=B799,'642'!$O$5&gt;=B799),"642",IF(AND(L799="641",'641'!$N$5&lt;=B799,'641'!$O$5&gt;=B799),"641",""))))</f>
        <v/>
      </c>
      <c r="V799" s="51" t="str">
        <f>IF(OR(TH!L799=TH!$V$7,M799=TH!$V$7),"x","")</f>
        <v/>
      </c>
      <c r="W799" s="51" t="str">
        <f>IF(AND(B799&gt;='IN-NX'!$P$3,B799&lt;='IN-NX'!$Q$3,'IN-NX'!$D$7=D799,OR(LEFT(L799,2)="15",AND(LEFT(M799,2)&lt;&gt;"15",LEFT(M799,2)&lt;&gt;"33"))),"x","")</f>
        <v/>
      </c>
      <c r="X799" s="51" t="str">
        <f>IF(AND(OR(LEFT(TH!L799,2)="15",LEFT(TH!M799,2)="15"),'152-CT'!$J$8=TH!F799),"x","")</f>
        <v/>
      </c>
      <c r="Y799" s="51" t="str">
        <f>IF(AND(OR(LEFT(TH!L799,2)="15",LEFT(TH!M799,2)="15"),TK!$E$7=TH!F799),"x","")</f>
        <v/>
      </c>
      <c r="Z799" s="51" t="str">
        <f>IF(AND(B799&lt;=NKC!$N$8,B799&gt;=NKC!$M$8),"x","")</f>
        <v/>
      </c>
      <c r="AA799" s="803">
        <v>4</v>
      </c>
      <c r="AC799" s="203"/>
      <c r="AD799" s="203"/>
      <c r="AE799" s="203"/>
    </row>
    <row r="800" spans="1:31" s="565" customFormat="1" ht="15.75" customHeight="1">
      <c r="A800" s="804" t="str">
        <f>IF(B800&lt;&gt;"",IF(AND(B800&gt;=_TM1,B800&lt;=_TM2,OR(TH!L800="1111",TH!M800="1111")),TH!D800,""),"")</f>
        <v/>
      </c>
      <c r="B800" s="36">
        <f t="shared" si="53"/>
        <v>10</v>
      </c>
      <c r="C800" s="189">
        <f t="shared" si="54"/>
        <v>42283</v>
      </c>
      <c r="D800" s="189" t="s">
        <v>1284</v>
      </c>
      <c r="E800" s="189">
        <v>42283</v>
      </c>
      <c r="F800" s="190" t="s">
        <v>750</v>
      </c>
      <c r="G800" s="811" t="s">
        <v>1055</v>
      </c>
      <c r="H800" s="191" t="s">
        <v>1056</v>
      </c>
      <c r="I800" s="243">
        <v>45</v>
      </c>
      <c r="J800" s="243">
        <v>400000</v>
      </c>
      <c r="K800" s="573">
        <f>ROUND(I800*J800,0)</f>
        <v>18000000</v>
      </c>
      <c r="L800" s="574" t="s">
        <v>250</v>
      </c>
      <c r="M800" s="574" t="s">
        <v>164</v>
      </c>
      <c r="N800" s="51" t="str">
        <f>IF(AND('331-CT'!$E$7=TH!H800,OR(L800="331",M800="331")),"331",IF(AND(OR(L800="131",M800="131"),H800='131-CT'!$E$7),"131",""))</f>
        <v/>
      </c>
      <c r="O800" s="51" t="str">
        <f>IF(AND($B800&gt;='111'!$N$11,$B800&lt;='111'!$O$11,OR($L800=$O$7,$M800=$O$7)),"x","")</f>
        <v/>
      </c>
      <c r="P800" s="51" t="str">
        <f>IF(AND($L800=$O$7,$B800&lt;'111'!$N$11),"x","")</f>
        <v/>
      </c>
      <c r="Q800" s="51" t="str">
        <f>IF(AND($M800=$O$7,$B800&lt;'111'!$N$11),"x","")</f>
        <v/>
      </c>
      <c r="R800" s="51" t="str">
        <f>IF(ISERROR(FIND('112'!$M$9,G800,1)),"",IF((AND(FIND('112'!$M$9,G800,1)&gt;=1,$B800&gt;='112'!$N$8,$B800&lt;='112'!$O$8,OR($L800='112'!$I$6,$M800='112'!$I$6))),"x",""))</f>
        <v/>
      </c>
      <c r="S800" s="51" t="str">
        <f>IF(ISERROR(FIND('112'!$M$9,G800,1)),"",IF((AND(LEFT(G800,2)=LEFT('112'!$M$9,2),B800&lt;'112'!$N$8,$L800='112'!$I$6)),"x",""))</f>
        <v/>
      </c>
      <c r="T800" s="51" t="str">
        <f>IF(ISERROR(FIND('112'!$M$9,G800,1)),"",IF((AND(RIGHT(G800,2)=RIGHT('112'!$M$9,2),B800&lt;'112'!$N$8,$M800='112'!$I$6)),"x",""))</f>
        <v/>
      </c>
      <c r="U800" s="51" t="str">
        <f>IF(AND(L800="154",'154'!$O$5&lt;=B800,'154'!$P$5&gt;=B800),"154",IF(AND(L800="632",'632'!$L$5&lt;=B800,'632'!$M$5&gt;=B800),"632",IF(AND(L800="642",'642'!$N$5&lt;=B800,'642'!$O$5&gt;=B800),"642",IF(AND(L800="641",'641'!$N$5&lt;=B800,'641'!$O$5&gt;=B800),"641",""))))</f>
        <v/>
      </c>
      <c r="V800" s="51" t="str">
        <f>IF(OR(TH!L800=TH!$V$7,M800=TH!$V$7),"x","")</f>
        <v/>
      </c>
      <c r="W800" s="51" t="str">
        <f>IF(AND(B800&gt;='IN-NX'!$P$3,B800&lt;='IN-NX'!$Q$3,'IN-NX'!$D$7=D800,OR(LEFT(L800,2)="15",AND(LEFT(M800,2)&lt;&gt;"15",LEFT(M800,2)&lt;&gt;"33"))),"x","")</f>
        <v/>
      </c>
      <c r="X800" s="51" t="str">
        <f>IF(AND(OR(LEFT(TH!L800,2)="15",LEFT(TH!M800,2)="15"),'152-CT'!$J$8=TH!F800),"x","")</f>
        <v/>
      </c>
      <c r="Y800" s="51" t="str">
        <f>IF(AND(OR(LEFT(TH!L800,2)="15",LEFT(TH!M800,2)="15"),TK!$E$7=TH!F800),"x","")</f>
        <v/>
      </c>
      <c r="Z800" s="51" t="str">
        <f>IF(AND(B800&lt;=NKC!$N$8,B800&gt;=NKC!$M$8),"x","")</f>
        <v/>
      </c>
      <c r="AA800" s="803"/>
      <c r="AC800" s="203"/>
      <c r="AD800" s="203"/>
      <c r="AE800" s="203"/>
    </row>
    <row r="801" spans="1:31" s="565" customFormat="1" ht="15.75" customHeight="1">
      <c r="A801" s="804" t="str">
        <f>IF(B801&lt;&gt;"",IF(AND(B801&gt;=_TM1,B801&lt;=_TM2,OR(TH!L801="1111",TH!M801="1111")),TH!D801,""),"")</f>
        <v/>
      </c>
      <c r="B801" s="36">
        <f t="shared" si="53"/>
        <v>10</v>
      </c>
      <c r="C801" s="189">
        <f t="shared" si="54"/>
        <v>42283</v>
      </c>
      <c r="D801" s="189" t="s">
        <v>1284</v>
      </c>
      <c r="E801" s="189">
        <v>42283</v>
      </c>
      <c r="F801" s="190" t="s">
        <v>962</v>
      </c>
      <c r="G801" s="811" t="s">
        <v>1055</v>
      </c>
      <c r="H801" s="191" t="s">
        <v>1056</v>
      </c>
      <c r="I801" s="243"/>
      <c r="J801" s="243"/>
      <c r="K801" s="573">
        <v>1800000</v>
      </c>
      <c r="L801" s="574" t="s">
        <v>250</v>
      </c>
      <c r="M801" s="574" t="s">
        <v>352</v>
      </c>
      <c r="N801" s="51" t="str">
        <f>IF(AND('331-CT'!$E$7=TH!H801,OR(L801="331",M801="331")),"331",IF(AND(OR(L801="131",M801="131"),H801='131-CT'!$E$7),"131",""))</f>
        <v/>
      </c>
      <c r="O801" s="51" t="str">
        <f>IF(AND($B801&gt;='111'!$N$11,$B801&lt;='111'!$O$11,OR($L801=$O$7,$M801=$O$7)),"x","")</f>
        <v/>
      </c>
      <c r="P801" s="51" t="str">
        <f>IF(AND($L801=$O$7,$B801&lt;'111'!$N$11),"x","")</f>
        <v/>
      </c>
      <c r="Q801" s="51" t="str">
        <f>IF(AND($M801=$O$7,$B801&lt;'111'!$N$11),"x","")</f>
        <v/>
      </c>
      <c r="R801" s="51" t="str">
        <f>IF(ISERROR(FIND('112'!$M$9,G801,1)),"",IF((AND(FIND('112'!$M$9,G801,1)&gt;=1,$B801&gt;='112'!$N$8,$B801&lt;='112'!$O$8,OR($L801='112'!$I$6,$M801='112'!$I$6))),"x",""))</f>
        <v/>
      </c>
      <c r="S801" s="51" t="str">
        <f>IF(ISERROR(FIND('112'!$M$9,G801,1)),"",IF((AND(LEFT(G801,2)=LEFT('112'!$M$9,2),B801&lt;'112'!$N$8,$L801='112'!$I$6)),"x",""))</f>
        <v/>
      </c>
      <c r="T801" s="51" t="str">
        <f>IF(ISERROR(FIND('112'!$M$9,G801,1)),"",IF((AND(RIGHT(G801,2)=RIGHT('112'!$M$9,2),B801&lt;'112'!$N$8,$M801='112'!$I$6)),"x",""))</f>
        <v/>
      </c>
      <c r="U801" s="51" t="str">
        <f>IF(AND(L801="154",'154'!$O$5&lt;=B801,'154'!$P$5&gt;=B801),"154",IF(AND(L801="632",'632'!$L$5&lt;=B801,'632'!$M$5&gt;=B801),"632",IF(AND(L801="642",'642'!$N$5&lt;=B801,'642'!$O$5&gt;=B801),"642",IF(AND(L801="641",'641'!$N$5&lt;=B801,'641'!$O$5&gt;=B801),"641",""))))</f>
        <v/>
      </c>
      <c r="V801" s="51" t="str">
        <f>IF(OR(TH!L801=TH!$V$7,M801=TH!$V$7),"x","")</f>
        <v/>
      </c>
      <c r="W801" s="51" t="str">
        <f>IF(AND(B801&gt;='IN-NX'!$P$3,B801&lt;='IN-NX'!$Q$3,'IN-NX'!$D$7=D801,OR(LEFT(L801,2)="15",AND(LEFT(M801,2)&lt;&gt;"15",LEFT(M801,2)&lt;&gt;"33"))),"x","")</f>
        <v/>
      </c>
      <c r="X801" s="51" t="str">
        <f>IF(AND(OR(LEFT(TH!L801,2)="15",LEFT(TH!M801,2)="15"),'152-CT'!$J$8=TH!F801),"x","")</f>
        <v/>
      </c>
      <c r="Y801" s="51" t="str">
        <f>IF(AND(OR(LEFT(TH!L801,2)="15",LEFT(TH!M801,2)="15"),TK!$E$7=TH!F801),"x","")</f>
        <v/>
      </c>
      <c r="Z801" s="51" t="str">
        <f>IF(AND(B801&lt;=NKC!$N$8,B801&gt;=NKC!$M$8),"x","")</f>
        <v/>
      </c>
      <c r="AA801" s="803"/>
      <c r="AC801" s="203"/>
      <c r="AD801" s="203"/>
      <c r="AE801" s="203"/>
    </row>
    <row r="802" spans="1:31" s="565" customFormat="1" ht="15.75" customHeight="1">
      <c r="A802" s="804" t="str">
        <f>IF(B802&lt;&gt;"",IF(AND(B802&gt;=_TM1,B802&lt;=_TM2,OR(TH!L802="1111",TH!M802="1111")),TH!D802,""),"")</f>
        <v/>
      </c>
      <c r="B802" s="36">
        <f t="shared" si="53"/>
        <v>10</v>
      </c>
      <c r="C802" s="189">
        <f t="shared" si="54"/>
        <v>42283</v>
      </c>
      <c r="D802" s="189" t="s">
        <v>340</v>
      </c>
      <c r="E802" s="189">
        <v>42283</v>
      </c>
      <c r="F802" s="190" t="s">
        <v>423</v>
      </c>
      <c r="G802" s="811" t="s">
        <v>1055</v>
      </c>
      <c r="H802" s="191" t="s">
        <v>1056</v>
      </c>
      <c r="I802" s="243"/>
      <c r="J802" s="243"/>
      <c r="K802" s="573">
        <v>19800000</v>
      </c>
      <c r="L802" s="574" t="s">
        <v>47</v>
      </c>
      <c r="M802" s="574" t="s">
        <v>250</v>
      </c>
      <c r="N802" s="51" t="str">
        <f>IF(AND('331-CT'!$E$7=TH!H802,OR(L802="331",M802="331")),"331",IF(AND(OR(L802="131",M802="131"),H802='131-CT'!$E$7),"131",""))</f>
        <v/>
      </c>
      <c r="O802" s="51" t="str">
        <f>IF(AND($B802&gt;='111'!$N$11,$B802&lt;='111'!$O$11,OR($L802=$O$7,$M802=$O$7)),"x","")</f>
        <v>x</v>
      </c>
      <c r="P802" s="51" t="str">
        <f>IF(AND($L802=$O$7,$B802&lt;'111'!$N$11),"x","")</f>
        <v/>
      </c>
      <c r="Q802" s="51" t="str">
        <f>IF(AND($M802=$O$7,$B802&lt;'111'!$N$11),"x","")</f>
        <v/>
      </c>
      <c r="R802" s="51" t="str">
        <f>IF(ISERROR(FIND('112'!$M$9,G802,1)),"",IF((AND(FIND('112'!$M$9,G802,1)&gt;=1,$B802&gt;='112'!$N$8,$B802&lt;='112'!$O$8,OR($L802='112'!$I$6,$M802='112'!$I$6))),"x",""))</f>
        <v/>
      </c>
      <c r="S802" s="51" t="str">
        <f>IF(ISERROR(FIND('112'!$M$9,G802,1)),"",IF((AND(LEFT(G802,2)=LEFT('112'!$M$9,2),B802&lt;'112'!$N$8,$L802='112'!$I$6)),"x",""))</f>
        <v/>
      </c>
      <c r="T802" s="51" t="str">
        <f>IF(ISERROR(FIND('112'!$M$9,G802,1)),"",IF((AND(RIGHT(G802,2)=RIGHT('112'!$M$9,2),B802&lt;'112'!$N$8,$M802='112'!$I$6)),"x",""))</f>
        <v/>
      </c>
      <c r="U802" s="51" t="str">
        <f>IF(AND(L802="154",'154'!$O$5&lt;=B802,'154'!$P$5&gt;=B802),"154",IF(AND(L802="632",'632'!$L$5&lt;=B802,'632'!$M$5&gt;=B802),"632",IF(AND(L802="642",'642'!$N$5&lt;=B802,'642'!$O$5&gt;=B802),"642",IF(AND(L802="641",'641'!$N$5&lt;=B802,'641'!$O$5&gt;=B802),"641",""))))</f>
        <v/>
      </c>
      <c r="V802" s="51" t="str">
        <f>IF(OR(TH!L802=TH!$V$7,M802=TH!$V$7),"x","")</f>
        <v/>
      </c>
      <c r="W802" s="51" t="str">
        <f>IF(AND(B802&gt;='IN-NX'!$P$3,B802&lt;='IN-NX'!$Q$3,'IN-NX'!$D$7=D802,OR(LEFT(L802,2)="15",AND(LEFT(M802,2)&lt;&gt;"15",LEFT(M802,2)&lt;&gt;"33"))),"x","")</f>
        <v/>
      </c>
      <c r="X802" s="51" t="str">
        <f>IF(AND(OR(LEFT(TH!L802,2)="15",LEFT(TH!M802,2)="15"),'152-CT'!$J$8=TH!F802),"x","")</f>
        <v/>
      </c>
      <c r="Y802" s="51" t="str">
        <f>IF(AND(OR(LEFT(TH!L802,2)="15",LEFT(TH!M802,2)="15"),TK!$E$7=TH!F802),"x","")</f>
        <v/>
      </c>
      <c r="Z802" s="51" t="str">
        <f>IF(AND(B802&lt;=NKC!$N$8,B802&gt;=NKC!$M$8),"x","")</f>
        <v/>
      </c>
      <c r="AA802" s="803"/>
      <c r="AC802" s="203"/>
      <c r="AD802" s="203"/>
      <c r="AE802" s="203"/>
    </row>
    <row r="803" spans="1:31" s="565" customFormat="1" ht="15.75" customHeight="1">
      <c r="A803" s="804" t="str">
        <f>IF(B803&lt;&gt;"",IF(AND(B803&gt;=_TM1,B803&lt;=_TM2,OR(TH!L803="1111",TH!M803="1111")),TH!D803,""),"")</f>
        <v/>
      </c>
      <c r="B803" s="36">
        <f t="shared" si="53"/>
        <v>10</v>
      </c>
      <c r="C803" s="189">
        <f t="shared" si="54"/>
        <v>42283</v>
      </c>
      <c r="D803" s="189" t="s">
        <v>344</v>
      </c>
      <c r="E803" s="189">
        <v>42283</v>
      </c>
      <c r="F803" s="190" t="s">
        <v>964</v>
      </c>
      <c r="G803" s="811" t="s">
        <v>1057</v>
      </c>
      <c r="H803" s="191" t="s">
        <v>1058</v>
      </c>
      <c r="I803" s="243"/>
      <c r="J803" s="243"/>
      <c r="K803" s="573">
        <v>15000000</v>
      </c>
      <c r="L803" s="574" t="s">
        <v>47</v>
      </c>
      <c r="M803" s="574" t="s">
        <v>408</v>
      </c>
      <c r="N803" s="51" t="str">
        <f>IF(AND('331-CT'!$E$7=TH!H803,OR(L803="331",M803="331")),"331",IF(AND(OR(L803="131",M803="131"),H803='131-CT'!$E$7),"131",""))</f>
        <v/>
      </c>
      <c r="O803" s="51" t="str">
        <f>IF(AND($B803&gt;='111'!$N$11,$B803&lt;='111'!$O$11,OR($L803=$O$7,$M803=$O$7)),"x","")</f>
        <v>x</v>
      </c>
      <c r="P803" s="51" t="str">
        <f>IF(AND($L803=$O$7,$B803&lt;'111'!$N$11),"x","")</f>
        <v/>
      </c>
      <c r="Q803" s="51" t="str">
        <f>IF(AND($M803=$O$7,$B803&lt;'111'!$N$11),"x","")</f>
        <v/>
      </c>
      <c r="R803" s="51" t="str">
        <f>IF(ISERROR(FIND('112'!$M$9,G803,1)),"",IF((AND(FIND('112'!$M$9,G803,1)&gt;=1,$B803&gt;='112'!$N$8,$B803&lt;='112'!$O$8,OR($L803='112'!$I$6,$M803='112'!$I$6))),"x",""))</f>
        <v/>
      </c>
      <c r="S803" s="51" t="str">
        <f>IF(ISERROR(FIND('112'!$M$9,G803,1)),"",IF((AND(LEFT(G803,2)=LEFT('112'!$M$9,2),B803&lt;'112'!$N$8,$L803='112'!$I$6)),"x",""))</f>
        <v/>
      </c>
      <c r="T803" s="51" t="str">
        <f>IF(ISERROR(FIND('112'!$M$9,G803,1)),"",IF((AND(RIGHT(G803,2)=RIGHT('112'!$M$9,2),B803&lt;'112'!$N$8,$M803='112'!$I$6)),"x",""))</f>
        <v/>
      </c>
      <c r="U803" s="51" t="str">
        <f>IF(AND(L803="154",'154'!$O$5&lt;=B803,'154'!$P$5&gt;=B803),"154",IF(AND(L803="632",'632'!$L$5&lt;=B803,'632'!$M$5&gt;=B803),"632",IF(AND(L803="642",'642'!$N$5&lt;=B803,'642'!$O$5&gt;=B803),"642",IF(AND(L803="641",'641'!$N$5&lt;=B803,'641'!$O$5&gt;=B803),"641",""))))</f>
        <v/>
      </c>
      <c r="V803" s="51" t="str">
        <f>IF(OR(TH!L803=TH!$V$7,M803=TH!$V$7),"x","")</f>
        <v/>
      </c>
      <c r="W803" s="51" t="str">
        <f>IF(AND(B803&gt;='IN-NX'!$P$3,B803&lt;='IN-NX'!$Q$3,'IN-NX'!$D$7=D803,OR(LEFT(L803,2)="15",AND(LEFT(M803,2)&lt;&gt;"15",LEFT(M803,2)&lt;&gt;"33"))),"x","")</f>
        <v/>
      </c>
      <c r="X803" s="51" t="str">
        <f>IF(AND(OR(LEFT(TH!L803,2)="15",LEFT(TH!M803,2)="15"),'152-CT'!$J$8=TH!F803),"x","")</f>
        <v/>
      </c>
      <c r="Y803" s="51" t="str">
        <f>IF(AND(OR(LEFT(TH!L803,2)="15",LEFT(TH!M803,2)="15"),TK!$E$7=TH!F803),"x","")</f>
        <v/>
      </c>
      <c r="Z803" s="51" t="str">
        <f>IF(AND(B803&lt;=NKC!$N$8,B803&gt;=NKC!$M$8),"x","")</f>
        <v/>
      </c>
      <c r="AA803" s="803"/>
      <c r="AC803" s="203"/>
      <c r="AD803" s="203"/>
      <c r="AE803" s="203"/>
    </row>
    <row r="804" spans="1:31" s="565" customFormat="1" ht="15.75" customHeight="1">
      <c r="A804" s="804" t="str">
        <f>IF(B804&lt;&gt;"",IF(AND(B804&gt;=_TM1,B804&lt;=_TM2,OR(TH!L804="1111",TH!M804="1111")),TH!D804,""),"")</f>
        <v/>
      </c>
      <c r="B804" s="36">
        <f t="shared" si="53"/>
        <v>10</v>
      </c>
      <c r="C804" s="189">
        <f t="shared" si="54"/>
        <v>42283</v>
      </c>
      <c r="D804" s="189" t="s">
        <v>344</v>
      </c>
      <c r="E804" s="189">
        <v>42283</v>
      </c>
      <c r="F804" s="190" t="s">
        <v>1110</v>
      </c>
      <c r="G804" s="811" t="s">
        <v>1057</v>
      </c>
      <c r="H804" s="191" t="s">
        <v>1058</v>
      </c>
      <c r="I804" s="243"/>
      <c r="J804" s="243"/>
      <c r="K804" s="573">
        <v>1500000</v>
      </c>
      <c r="L804" s="574" t="s">
        <v>47</v>
      </c>
      <c r="M804" s="574" t="s">
        <v>352</v>
      </c>
      <c r="N804" s="51" t="str">
        <f>IF(AND('331-CT'!$E$7=TH!H804,OR(L804="331",M804="331")),"331",IF(AND(OR(L804="131",M804="131"),H804='131-CT'!$E$7),"131",""))</f>
        <v/>
      </c>
      <c r="O804" s="51" t="str">
        <f>IF(AND($B804&gt;='111'!$N$11,$B804&lt;='111'!$O$11,OR($L804=$O$7,$M804=$O$7)),"x","")</f>
        <v>x</v>
      </c>
      <c r="P804" s="51" t="str">
        <f>IF(AND($L804=$O$7,$B804&lt;'111'!$N$11),"x","")</f>
        <v/>
      </c>
      <c r="Q804" s="51" t="str">
        <f>IF(AND($M804=$O$7,$B804&lt;'111'!$N$11),"x","")</f>
        <v/>
      </c>
      <c r="R804" s="51" t="str">
        <f>IF(ISERROR(FIND('112'!$M$9,G804,1)),"",IF((AND(FIND('112'!$M$9,G804,1)&gt;=1,$B804&gt;='112'!$N$8,$B804&lt;='112'!$O$8,OR($L804='112'!$I$6,$M804='112'!$I$6))),"x",""))</f>
        <v/>
      </c>
      <c r="S804" s="51" t="str">
        <f>IF(ISERROR(FIND('112'!$M$9,G804,1)),"",IF((AND(LEFT(G804,2)=LEFT('112'!$M$9,2),B804&lt;'112'!$N$8,$L804='112'!$I$6)),"x",""))</f>
        <v/>
      </c>
      <c r="T804" s="51" t="str">
        <f>IF(ISERROR(FIND('112'!$M$9,G804,1)),"",IF((AND(RIGHT(G804,2)=RIGHT('112'!$M$9,2),B804&lt;'112'!$N$8,$M804='112'!$I$6)),"x",""))</f>
        <v/>
      </c>
      <c r="U804" s="51" t="str">
        <f>IF(AND(L804="154",'154'!$O$5&lt;=B804,'154'!$P$5&gt;=B804),"154",IF(AND(L804="632",'632'!$L$5&lt;=B804,'632'!$M$5&gt;=B804),"632",IF(AND(L804="642",'642'!$N$5&lt;=B804,'642'!$O$5&gt;=B804),"642",IF(AND(L804="641",'641'!$N$5&lt;=B804,'641'!$O$5&gt;=B804),"641",""))))</f>
        <v/>
      </c>
      <c r="V804" s="51" t="str">
        <f>IF(OR(TH!L804=TH!$V$7,M804=TH!$V$7),"x","")</f>
        <v/>
      </c>
      <c r="W804" s="51" t="str">
        <f>IF(AND(B804&gt;='IN-NX'!$P$3,B804&lt;='IN-NX'!$Q$3,'IN-NX'!$D$7=D804,OR(LEFT(L804,2)="15",AND(LEFT(M804,2)&lt;&gt;"15",LEFT(M804,2)&lt;&gt;"33"))),"x","")</f>
        <v/>
      </c>
      <c r="X804" s="51" t="str">
        <f>IF(AND(OR(LEFT(TH!L804,2)="15",LEFT(TH!M804,2)="15"),'152-CT'!$J$8=TH!F804),"x","")</f>
        <v/>
      </c>
      <c r="Y804" s="51" t="str">
        <f>IF(AND(OR(LEFT(TH!L804,2)="15",LEFT(TH!M804,2)="15"),TK!$E$7=TH!F804),"x","")</f>
        <v/>
      </c>
      <c r="Z804" s="51" t="str">
        <f>IF(AND(B804&lt;=NKC!$N$8,B804&gt;=NKC!$M$8),"x","")</f>
        <v/>
      </c>
      <c r="AA804" s="803"/>
      <c r="AC804" s="203"/>
      <c r="AD804" s="203"/>
      <c r="AE804" s="203"/>
    </row>
    <row r="805" spans="1:31" s="565" customFormat="1" ht="15.75" customHeight="1">
      <c r="A805" s="804" t="str">
        <f>IF(B805&lt;&gt;"",IF(AND(B805&gt;=_TM1,B805&lt;=_TM2,OR(TH!L805="1111",TH!M805="1111")),TH!D805,""),"")</f>
        <v/>
      </c>
      <c r="B805" s="36">
        <f t="shared" si="53"/>
        <v>10</v>
      </c>
      <c r="C805" s="189">
        <f t="shared" si="54"/>
        <v>42284</v>
      </c>
      <c r="D805" s="189" t="s">
        <v>1344</v>
      </c>
      <c r="E805" s="189">
        <v>42284</v>
      </c>
      <c r="F805" s="190" t="s">
        <v>558</v>
      </c>
      <c r="G805" s="813" t="s">
        <v>724</v>
      </c>
      <c r="H805" s="191" t="s">
        <v>725</v>
      </c>
      <c r="I805" s="243"/>
      <c r="J805" s="243"/>
      <c r="K805" s="573">
        <v>500000</v>
      </c>
      <c r="L805" s="574" t="s">
        <v>83</v>
      </c>
      <c r="M805" s="574" t="s">
        <v>47</v>
      </c>
      <c r="N805" s="51" t="str">
        <f>IF(AND('331-CT'!$E$7=TH!H805,OR(L805="331",M805="331")),"331",IF(AND(OR(L805="131",M805="131"),H805='131-CT'!$E$7),"131",""))</f>
        <v/>
      </c>
      <c r="O805" s="51" t="str">
        <f>IF(AND($B805&gt;='111'!$N$11,$B805&lt;='111'!$O$11,OR($L805=$O$7,$M805=$O$7)),"x","")</f>
        <v>x</v>
      </c>
      <c r="P805" s="51" t="str">
        <f>IF(AND($L805=$O$7,$B805&lt;'111'!$N$11),"x","")</f>
        <v/>
      </c>
      <c r="Q805" s="51" t="str">
        <f>IF(AND($M805=$O$7,$B805&lt;'111'!$N$11),"x","")</f>
        <v/>
      </c>
      <c r="R805" s="51" t="str">
        <f>IF(ISERROR(FIND('112'!$M$9,G805,1)),"",IF((AND(FIND('112'!$M$9,G805,1)&gt;=1,$B805&gt;='112'!$N$8,$B805&lt;='112'!$O$8,OR($L805='112'!$I$6,$M805='112'!$I$6))),"x",""))</f>
        <v/>
      </c>
      <c r="S805" s="51" t="str">
        <f>IF(ISERROR(FIND('112'!$M$9,G805,1)),"",IF((AND(LEFT(G805,2)=LEFT('112'!$M$9,2),B805&lt;'112'!$N$8,$L805='112'!$I$6)),"x",""))</f>
        <v/>
      </c>
      <c r="T805" s="51" t="str">
        <f>IF(ISERROR(FIND('112'!$M$9,G805,1)),"",IF((AND(RIGHT(G805,2)=RIGHT('112'!$M$9,2),B805&lt;'112'!$N$8,$M805='112'!$I$6)),"x",""))</f>
        <v/>
      </c>
      <c r="U805" s="51" t="str">
        <f>IF(AND(L805="154",'154'!$O$5&lt;=B805,'154'!$P$5&gt;=B805),"154",IF(AND(L805="632",'632'!$L$5&lt;=B805,'632'!$M$5&gt;=B805),"632",IF(AND(L805="642",'642'!$N$5&lt;=B805,'642'!$O$5&gt;=B805),"642",IF(AND(L805="641",'641'!$N$5&lt;=B805,'641'!$O$5&gt;=B805),"641",""))))</f>
        <v/>
      </c>
      <c r="V805" s="51" t="str">
        <f>IF(OR(TH!L805=TH!$V$7,M805=TH!$V$7),"x","")</f>
        <v>x</v>
      </c>
      <c r="W805" s="51" t="str">
        <f>IF(AND(B805&gt;='IN-NX'!$P$3,B805&lt;='IN-NX'!$Q$3,'IN-NX'!$D$7=D805,OR(LEFT(L805,2)="15",AND(LEFT(M805,2)&lt;&gt;"15",LEFT(M805,2)&lt;&gt;"33"))),"x","")</f>
        <v/>
      </c>
      <c r="X805" s="51" t="str">
        <f>IF(AND(OR(LEFT(TH!L805,2)="15",LEFT(TH!M805,2)="15"),'152-CT'!$J$8=TH!F805),"x","")</f>
        <v/>
      </c>
      <c r="Y805" s="51" t="str">
        <f>IF(AND(OR(LEFT(TH!L805,2)="15",LEFT(TH!M805,2)="15"),TK!$E$7=TH!F805),"x","")</f>
        <v/>
      </c>
      <c r="Z805" s="51" t="str">
        <f>IF(AND(B805&lt;=NKC!$N$8,B805&gt;=NKC!$M$8),"x","")</f>
        <v/>
      </c>
      <c r="AA805" s="803"/>
      <c r="AE805" s="203"/>
    </row>
    <row r="806" spans="1:31" s="565" customFormat="1" ht="15.75" customHeight="1">
      <c r="A806" s="804" t="str">
        <f>IF(B806&lt;&gt;"",IF(AND(B806&gt;=_TM1,B806&lt;=_TM2,OR(TH!L806="1111",TH!M806="1111")),TH!D806,""),"")</f>
        <v/>
      </c>
      <c r="B806" s="36">
        <f t="shared" si="53"/>
        <v>10</v>
      </c>
      <c r="C806" s="189">
        <f t="shared" si="54"/>
        <v>42284</v>
      </c>
      <c r="D806" s="189" t="s">
        <v>1290</v>
      </c>
      <c r="E806" s="189">
        <v>42284</v>
      </c>
      <c r="F806" s="190" t="s">
        <v>751</v>
      </c>
      <c r="G806" s="811" t="s">
        <v>1059</v>
      </c>
      <c r="H806" s="7" t="s">
        <v>444</v>
      </c>
      <c r="I806" s="243">
        <v>22</v>
      </c>
      <c r="J806" s="243">
        <v>88420</v>
      </c>
      <c r="K806" s="573">
        <f>ROUND(I806*J806,0)</f>
        <v>1945240</v>
      </c>
      <c r="L806" s="574" t="s">
        <v>250</v>
      </c>
      <c r="M806" s="574" t="s">
        <v>164</v>
      </c>
      <c r="N806" s="51" t="str">
        <f>IF(AND('331-CT'!$E$7=TH!H806,OR(L806="331",M806="331")),"331",IF(AND(OR(L806="131",M806="131"),H806='131-CT'!$E$7),"131",""))</f>
        <v/>
      </c>
      <c r="O806" s="51" t="str">
        <f>IF(AND($B806&gt;='111'!$N$11,$B806&lt;='111'!$O$11,OR($L806=$O$7,$M806=$O$7)),"x","")</f>
        <v/>
      </c>
      <c r="P806" s="51" t="str">
        <f>IF(AND($L806=$O$7,$B806&lt;'111'!$N$11),"x","")</f>
        <v/>
      </c>
      <c r="Q806" s="51" t="str">
        <f>IF(AND($M806=$O$7,$B806&lt;'111'!$N$11),"x","")</f>
        <v/>
      </c>
      <c r="R806" s="51" t="str">
        <f>IF(ISERROR(FIND('112'!$M$9,G806,1)),"",IF((AND(FIND('112'!$M$9,G806,1)&gt;=1,$B806&gt;='112'!$N$8,$B806&lt;='112'!$O$8,OR($L806='112'!$I$6,$M806='112'!$I$6))),"x",""))</f>
        <v/>
      </c>
      <c r="S806" s="51" t="str">
        <f>IF(ISERROR(FIND('112'!$M$9,G806,1)),"",IF((AND(LEFT(G806,2)=LEFT('112'!$M$9,2),B806&lt;'112'!$N$8,$L806='112'!$I$6)),"x",""))</f>
        <v/>
      </c>
      <c r="T806" s="51" t="str">
        <f>IF(ISERROR(FIND('112'!$M$9,G806,1)),"",IF((AND(RIGHT(G806,2)=RIGHT('112'!$M$9,2),B806&lt;'112'!$N$8,$M806='112'!$I$6)),"x",""))</f>
        <v/>
      </c>
      <c r="U806" s="51" t="str">
        <f>IF(AND(L806="154",'154'!$O$5&lt;=B806,'154'!$P$5&gt;=B806),"154",IF(AND(L806="632",'632'!$L$5&lt;=B806,'632'!$M$5&gt;=B806),"632",IF(AND(L806="642",'642'!$N$5&lt;=B806,'642'!$O$5&gt;=B806),"642",IF(AND(L806="641",'641'!$N$5&lt;=B806,'641'!$O$5&gt;=B806),"641",""))))</f>
        <v/>
      </c>
      <c r="V806" s="51" t="str">
        <f>IF(OR(TH!L806=TH!$V$7,M806=TH!$V$7),"x","")</f>
        <v/>
      </c>
      <c r="W806" s="51" t="str">
        <f>IF(AND(B806&gt;='IN-NX'!$P$3,B806&lt;='IN-NX'!$Q$3,'IN-NX'!$D$7=D806,OR(LEFT(L806,2)="15",AND(LEFT(M806,2)&lt;&gt;"15",LEFT(M806,2)&lt;&gt;"33"))),"x","")</f>
        <v/>
      </c>
      <c r="X806" s="51" t="str">
        <f>IF(AND(OR(LEFT(TH!L806,2)="15",LEFT(TH!M806,2)="15"),'152-CT'!$J$8=TH!F806),"x","")</f>
        <v/>
      </c>
      <c r="Y806" s="51" t="str">
        <f>IF(AND(OR(LEFT(TH!L806,2)="15",LEFT(TH!M806,2)="15"),TK!$E$7=TH!F806),"x","")</f>
        <v/>
      </c>
      <c r="Z806" s="51" t="str">
        <f>IF(AND(B806&lt;=NKC!$N$8,B806&gt;=NKC!$M$8),"x","")</f>
        <v/>
      </c>
      <c r="AA806" s="803"/>
      <c r="AC806" s="203"/>
      <c r="AD806" s="203"/>
      <c r="AE806" s="203"/>
    </row>
    <row r="807" spans="1:31" s="565" customFormat="1" ht="15.75" customHeight="1">
      <c r="A807" s="804" t="str">
        <f>IF(B807&lt;&gt;"",IF(AND(B807&gt;=_TM1,B807&lt;=_TM2,OR(TH!L807="1111",TH!M807="1111")),TH!D807,""),"")</f>
        <v/>
      </c>
      <c r="B807" s="36">
        <f t="shared" si="53"/>
        <v>10</v>
      </c>
      <c r="C807" s="189">
        <f t="shared" si="54"/>
        <v>42284</v>
      </c>
      <c r="D807" s="189" t="s">
        <v>1290</v>
      </c>
      <c r="E807" s="189">
        <v>42284</v>
      </c>
      <c r="F807" s="190" t="s">
        <v>752</v>
      </c>
      <c r="G807" s="811" t="s">
        <v>1059</v>
      </c>
      <c r="H807" s="7" t="s">
        <v>444</v>
      </c>
      <c r="I807" s="243">
        <v>40</v>
      </c>
      <c r="J807" s="243">
        <v>50322</v>
      </c>
      <c r="K807" s="573">
        <f>ROUND(I807*J807,0)</f>
        <v>2012880</v>
      </c>
      <c r="L807" s="574" t="s">
        <v>250</v>
      </c>
      <c r="M807" s="574" t="s">
        <v>164</v>
      </c>
      <c r="N807" s="51" t="str">
        <f>IF(AND('331-CT'!$E$7=TH!H807,OR(L807="331",M807="331")),"331",IF(AND(OR(L807="131",M807="131"),H807='131-CT'!$E$7),"131",""))</f>
        <v/>
      </c>
      <c r="O807" s="51" t="str">
        <f>IF(AND($B807&gt;='111'!$N$11,$B807&lt;='111'!$O$11,OR($L807=$O$7,$M807=$O$7)),"x","")</f>
        <v/>
      </c>
      <c r="P807" s="51" t="str">
        <f>IF(AND($L807=$O$7,$B807&lt;'111'!$N$11),"x","")</f>
        <v/>
      </c>
      <c r="Q807" s="51" t="str">
        <f>IF(AND($M807=$O$7,$B807&lt;'111'!$N$11),"x","")</f>
        <v/>
      </c>
      <c r="R807" s="51" t="str">
        <f>IF(ISERROR(FIND('112'!$M$9,G807,1)),"",IF((AND(FIND('112'!$M$9,G807,1)&gt;=1,$B807&gt;='112'!$N$8,$B807&lt;='112'!$O$8,OR($L807='112'!$I$6,$M807='112'!$I$6))),"x",""))</f>
        <v/>
      </c>
      <c r="S807" s="51" t="str">
        <f>IF(ISERROR(FIND('112'!$M$9,G807,1)),"",IF((AND(LEFT(G807,2)=LEFT('112'!$M$9,2),B807&lt;'112'!$N$8,$L807='112'!$I$6)),"x",""))</f>
        <v/>
      </c>
      <c r="T807" s="51" t="str">
        <f>IF(ISERROR(FIND('112'!$M$9,G807,1)),"",IF((AND(RIGHT(G807,2)=RIGHT('112'!$M$9,2),B807&lt;'112'!$N$8,$M807='112'!$I$6)),"x",""))</f>
        <v/>
      </c>
      <c r="U807" s="51" t="str">
        <f>IF(AND(L807="154",'154'!$O$5&lt;=B807,'154'!$P$5&gt;=B807),"154",IF(AND(L807="632",'632'!$L$5&lt;=B807,'632'!$M$5&gt;=B807),"632",IF(AND(L807="642",'642'!$N$5&lt;=B807,'642'!$O$5&gt;=B807),"642",IF(AND(L807="641",'641'!$N$5&lt;=B807,'641'!$O$5&gt;=B807),"641",""))))</f>
        <v/>
      </c>
      <c r="V807" s="51" t="str">
        <f>IF(OR(TH!L807=TH!$V$7,M807=TH!$V$7),"x","")</f>
        <v/>
      </c>
      <c r="W807" s="51" t="str">
        <f>IF(AND(B807&gt;='IN-NX'!$P$3,B807&lt;='IN-NX'!$Q$3,'IN-NX'!$D$7=D807,OR(LEFT(L807,2)="15",AND(LEFT(M807,2)&lt;&gt;"15",LEFT(M807,2)&lt;&gt;"33"))),"x","")</f>
        <v/>
      </c>
      <c r="X807" s="51" t="str">
        <f>IF(AND(OR(LEFT(TH!L807,2)="15",LEFT(TH!M807,2)="15"),'152-CT'!$J$8=TH!F807),"x","")</f>
        <v/>
      </c>
      <c r="Y807" s="51" t="str">
        <f>IF(AND(OR(LEFT(TH!L807,2)="15",LEFT(TH!M807,2)="15"),TK!$E$7=TH!F807),"x","")</f>
        <v/>
      </c>
      <c r="Z807" s="51" t="str">
        <f>IF(AND(B807&lt;=NKC!$N$8,B807&gt;=NKC!$M$8),"x","")</f>
        <v/>
      </c>
      <c r="AA807" s="803"/>
      <c r="AC807" s="203"/>
      <c r="AD807" s="203"/>
      <c r="AE807" s="203"/>
    </row>
    <row r="808" spans="1:31" s="565" customFormat="1" ht="15.75" customHeight="1">
      <c r="A808" s="804" t="str">
        <f>IF(B808&lt;&gt;"",IF(AND(B808&gt;=_TM1,B808&lt;=_TM2,OR(TH!L808="1111",TH!M808="1111")),TH!D808,""),"")</f>
        <v/>
      </c>
      <c r="B808" s="36">
        <f t="shared" si="53"/>
        <v>10</v>
      </c>
      <c r="C808" s="189">
        <f t="shared" si="54"/>
        <v>42284</v>
      </c>
      <c r="D808" s="189" t="s">
        <v>1290</v>
      </c>
      <c r="E808" s="189">
        <v>42284</v>
      </c>
      <c r="F808" s="190" t="s">
        <v>1208</v>
      </c>
      <c r="G808" s="811" t="s">
        <v>1059</v>
      </c>
      <c r="H808" s="7" t="s">
        <v>444</v>
      </c>
      <c r="I808" s="243">
        <v>44</v>
      </c>
      <c r="J808" s="243">
        <v>600</v>
      </c>
      <c r="K808" s="573">
        <f>ROUND(I808*J808,0)</f>
        <v>26400</v>
      </c>
      <c r="L808" s="574" t="s">
        <v>250</v>
      </c>
      <c r="M808" s="574" t="s">
        <v>164</v>
      </c>
      <c r="N808" s="51" t="str">
        <f>IF(AND('331-CT'!$E$7=TH!H808,OR(L808="331",M808="331")),"331",IF(AND(OR(L808="131",M808="131"),H808='131-CT'!$E$7),"131",""))</f>
        <v/>
      </c>
      <c r="O808" s="51" t="str">
        <f>IF(AND($B808&gt;='111'!$N$11,$B808&lt;='111'!$O$11,OR($L808=$O$7,$M808=$O$7)),"x","")</f>
        <v/>
      </c>
      <c r="P808" s="51" t="str">
        <f>IF(AND($L808=$O$7,$B808&lt;'111'!$N$11),"x","")</f>
        <v/>
      </c>
      <c r="Q808" s="51" t="str">
        <f>IF(AND($M808=$O$7,$B808&lt;'111'!$N$11),"x","")</f>
        <v/>
      </c>
      <c r="R808" s="51" t="str">
        <f>IF(ISERROR(FIND('112'!$M$9,G808,1)),"",IF((AND(FIND('112'!$M$9,G808,1)&gt;=1,$B808&gt;='112'!$N$8,$B808&lt;='112'!$O$8,OR($L808='112'!$I$6,$M808='112'!$I$6))),"x",""))</f>
        <v/>
      </c>
      <c r="S808" s="51" t="str">
        <f>IF(ISERROR(FIND('112'!$M$9,G808,1)),"",IF((AND(LEFT(G808,2)=LEFT('112'!$M$9,2),B808&lt;'112'!$N$8,$L808='112'!$I$6)),"x",""))</f>
        <v/>
      </c>
      <c r="T808" s="51" t="str">
        <f>IF(ISERROR(FIND('112'!$M$9,G808,1)),"",IF((AND(RIGHT(G808,2)=RIGHT('112'!$M$9,2),B808&lt;'112'!$N$8,$M808='112'!$I$6)),"x",""))</f>
        <v/>
      </c>
      <c r="U808" s="51" t="str">
        <f>IF(AND(L808="154",'154'!$O$5&lt;=B808,'154'!$P$5&gt;=B808),"154",IF(AND(L808="632",'632'!$L$5&lt;=B808,'632'!$M$5&gt;=B808),"632",IF(AND(L808="642",'642'!$N$5&lt;=B808,'642'!$O$5&gt;=B808),"642",IF(AND(L808="641",'641'!$N$5&lt;=B808,'641'!$O$5&gt;=B808),"641",""))))</f>
        <v/>
      </c>
      <c r="V808" s="51" t="str">
        <f>IF(OR(TH!L808=TH!$V$7,M808=TH!$V$7),"x","")</f>
        <v/>
      </c>
      <c r="W808" s="51" t="str">
        <f>IF(AND(B808&gt;='IN-NX'!$P$3,B808&lt;='IN-NX'!$Q$3,'IN-NX'!$D$7=D808,OR(LEFT(L808,2)="15",AND(LEFT(M808,2)&lt;&gt;"15",LEFT(M808,2)&lt;&gt;"33"))),"x","")</f>
        <v/>
      </c>
      <c r="X808" s="51" t="str">
        <f>IF(AND(OR(LEFT(TH!L808,2)="15",LEFT(TH!M808,2)="15"),'152-CT'!$J$8=TH!F808),"x","")</f>
        <v/>
      </c>
      <c r="Y808" s="51" t="str">
        <f>IF(AND(OR(LEFT(TH!L808,2)="15",LEFT(TH!M808,2)="15"),TK!$E$7=TH!F808),"x","")</f>
        <v/>
      </c>
      <c r="Z808" s="51" t="str">
        <f>IF(AND(B808&lt;=NKC!$N$8,B808&gt;=NKC!$M$8),"x","")</f>
        <v/>
      </c>
      <c r="AA808" s="803"/>
      <c r="AC808" s="203"/>
      <c r="AD808" s="203"/>
      <c r="AE808" s="203"/>
    </row>
    <row r="809" spans="1:31" s="565" customFormat="1" ht="15.75" customHeight="1">
      <c r="A809" s="804" t="str">
        <f>IF(B809&lt;&gt;"",IF(AND(B809&gt;=_TM1,B809&lt;=_TM2,OR(TH!L809="1111",TH!M809="1111")),TH!D809,""),"")</f>
        <v/>
      </c>
      <c r="B809" s="36">
        <f t="shared" si="53"/>
        <v>10</v>
      </c>
      <c r="C809" s="189">
        <f t="shared" si="54"/>
        <v>42284</v>
      </c>
      <c r="D809" s="189" t="s">
        <v>1290</v>
      </c>
      <c r="E809" s="189">
        <v>42284</v>
      </c>
      <c r="F809" s="190" t="s">
        <v>1207</v>
      </c>
      <c r="G809" s="811" t="s">
        <v>1059</v>
      </c>
      <c r="H809" s="7" t="s">
        <v>444</v>
      </c>
      <c r="I809" s="243">
        <v>22</v>
      </c>
      <c r="J809" s="243">
        <v>1200</v>
      </c>
      <c r="K809" s="573">
        <f>ROUND(I809*J809,0)</f>
        <v>26400</v>
      </c>
      <c r="L809" s="574" t="s">
        <v>250</v>
      </c>
      <c r="M809" s="574" t="s">
        <v>164</v>
      </c>
      <c r="N809" s="51" t="str">
        <f>IF(AND('331-CT'!$E$7=TH!H809,OR(L809="331",M809="331")),"331",IF(AND(OR(L809="131",M809="131"),H809='131-CT'!$E$7),"131",""))</f>
        <v/>
      </c>
      <c r="O809" s="51" t="str">
        <f>IF(AND($B809&gt;='111'!$N$11,$B809&lt;='111'!$O$11,OR($L809=$O$7,$M809=$O$7)),"x","")</f>
        <v/>
      </c>
      <c r="P809" s="51" t="str">
        <f>IF(AND($L809=$O$7,$B809&lt;'111'!$N$11),"x","")</f>
        <v/>
      </c>
      <c r="Q809" s="51" t="str">
        <f>IF(AND($M809=$O$7,$B809&lt;'111'!$N$11),"x","")</f>
        <v/>
      </c>
      <c r="R809" s="51" t="str">
        <f>IF(ISERROR(FIND('112'!$M$9,G809,1)),"",IF((AND(FIND('112'!$M$9,G809,1)&gt;=1,$B809&gt;='112'!$N$8,$B809&lt;='112'!$O$8,OR($L809='112'!$I$6,$M809='112'!$I$6))),"x",""))</f>
        <v/>
      </c>
      <c r="S809" s="51" t="str">
        <f>IF(ISERROR(FIND('112'!$M$9,G809,1)),"",IF((AND(LEFT(G809,2)=LEFT('112'!$M$9,2),B809&lt;'112'!$N$8,$L809='112'!$I$6)),"x",""))</f>
        <v/>
      </c>
      <c r="T809" s="51" t="str">
        <f>IF(ISERROR(FIND('112'!$M$9,G809,1)),"",IF((AND(RIGHT(G809,2)=RIGHT('112'!$M$9,2),B809&lt;'112'!$N$8,$M809='112'!$I$6)),"x",""))</f>
        <v/>
      </c>
      <c r="U809" s="51" t="str">
        <f>IF(AND(L809="154",'154'!$O$5&lt;=B809,'154'!$P$5&gt;=B809),"154",IF(AND(L809="632",'632'!$L$5&lt;=B809,'632'!$M$5&gt;=B809),"632",IF(AND(L809="642",'642'!$N$5&lt;=B809,'642'!$O$5&gt;=B809),"642",IF(AND(L809="641",'641'!$N$5&lt;=B809,'641'!$O$5&gt;=B809),"641",""))))</f>
        <v/>
      </c>
      <c r="V809" s="51" t="str">
        <f>IF(OR(TH!L809=TH!$V$7,M809=TH!$V$7),"x","")</f>
        <v/>
      </c>
      <c r="W809" s="51" t="str">
        <f>IF(AND(B809&gt;='IN-NX'!$P$3,B809&lt;='IN-NX'!$Q$3,'IN-NX'!$D$7=D809,OR(LEFT(L809,2)="15",AND(LEFT(M809,2)&lt;&gt;"15",LEFT(M809,2)&lt;&gt;"33"))),"x","")</f>
        <v/>
      </c>
      <c r="X809" s="51" t="str">
        <f>IF(AND(OR(LEFT(TH!L809,2)="15",LEFT(TH!M809,2)="15"),'152-CT'!$J$8=TH!F809),"x","")</f>
        <v/>
      </c>
      <c r="Y809" s="51" t="str">
        <f>IF(AND(OR(LEFT(TH!L809,2)="15",LEFT(TH!M809,2)="15"),TK!$E$7=TH!F809),"x","")</f>
        <v/>
      </c>
      <c r="Z809" s="51" t="str">
        <f>IF(AND(B809&lt;=NKC!$N$8,B809&gt;=NKC!$M$8),"x","")</f>
        <v/>
      </c>
      <c r="AA809" s="803"/>
      <c r="AC809" s="203"/>
      <c r="AD809" s="203"/>
      <c r="AE809" s="203"/>
    </row>
    <row r="810" spans="1:31" s="565" customFormat="1" ht="15.75" customHeight="1">
      <c r="A810" s="804" t="str">
        <f>IF(B810&lt;&gt;"",IF(AND(B810&gt;=_TM1,B810&lt;=_TM2,OR(TH!L810="1111",TH!M810="1111")),TH!D810,""),"")</f>
        <v/>
      </c>
      <c r="B810" s="36">
        <f t="shared" si="53"/>
        <v>10</v>
      </c>
      <c r="C810" s="189">
        <f t="shared" si="54"/>
        <v>42284</v>
      </c>
      <c r="D810" s="189" t="s">
        <v>1290</v>
      </c>
      <c r="E810" s="189">
        <v>42284</v>
      </c>
      <c r="F810" s="190" t="s">
        <v>1144</v>
      </c>
      <c r="G810" s="811" t="s">
        <v>1059</v>
      </c>
      <c r="H810" s="7" t="s">
        <v>444</v>
      </c>
      <c r="I810" s="243">
        <v>22</v>
      </c>
      <c r="J810" s="243">
        <v>6000</v>
      </c>
      <c r="K810" s="573">
        <f>ROUND(I810*J810,0)</f>
        <v>132000</v>
      </c>
      <c r="L810" s="574" t="s">
        <v>250</v>
      </c>
      <c r="M810" s="574" t="s">
        <v>164</v>
      </c>
      <c r="N810" s="51" t="str">
        <f>IF(AND('331-CT'!$E$7=TH!H810,OR(L810="331",M810="331")),"331",IF(AND(OR(L810="131",M810="131"),H810='131-CT'!$E$7),"131",""))</f>
        <v/>
      </c>
      <c r="O810" s="51" t="str">
        <f>IF(AND($B810&gt;='111'!$N$11,$B810&lt;='111'!$O$11,OR($L810=$O$7,$M810=$O$7)),"x","")</f>
        <v/>
      </c>
      <c r="P810" s="51" t="str">
        <f>IF(AND($L810=$O$7,$B810&lt;'111'!$N$11),"x","")</f>
        <v/>
      </c>
      <c r="Q810" s="51" t="str">
        <f>IF(AND($M810=$O$7,$B810&lt;'111'!$N$11),"x","")</f>
        <v/>
      </c>
      <c r="R810" s="51" t="str">
        <f>IF(ISERROR(FIND('112'!$M$9,G810,1)),"",IF((AND(FIND('112'!$M$9,G810,1)&gt;=1,$B810&gt;='112'!$N$8,$B810&lt;='112'!$O$8,OR($L810='112'!$I$6,$M810='112'!$I$6))),"x",""))</f>
        <v/>
      </c>
      <c r="S810" s="51" t="str">
        <f>IF(ISERROR(FIND('112'!$M$9,G810,1)),"",IF((AND(LEFT(G810,2)=LEFT('112'!$M$9,2),B810&lt;'112'!$N$8,$L810='112'!$I$6)),"x",""))</f>
        <v/>
      </c>
      <c r="T810" s="51" t="str">
        <f>IF(ISERROR(FIND('112'!$M$9,G810,1)),"",IF((AND(RIGHT(G810,2)=RIGHT('112'!$M$9,2),B810&lt;'112'!$N$8,$M810='112'!$I$6)),"x",""))</f>
        <v/>
      </c>
      <c r="U810" s="51" t="str">
        <f>IF(AND(L810="154",'154'!$O$5&lt;=B810,'154'!$P$5&gt;=B810),"154",IF(AND(L810="632",'632'!$L$5&lt;=B810,'632'!$M$5&gt;=B810),"632",IF(AND(L810="642",'642'!$N$5&lt;=B810,'642'!$O$5&gt;=B810),"642",IF(AND(L810="641",'641'!$N$5&lt;=B810,'641'!$O$5&gt;=B810),"641",""))))</f>
        <v/>
      </c>
      <c r="V810" s="51" t="str">
        <f>IF(OR(TH!L810=TH!$V$7,M810=TH!$V$7),"x","")</f>
        <v/>
      </c>
      <c r="W810" s="51" t="str">
        <f>IF(AND(B810&gt;='IN-NX'!$P$3,B810&lt;='IN-NX'!$Q$3,'IN-NX'!$D$7=D810,OR(LEFT(L810,2)="15",AND(LEFT(M810,2)&lt;&gt;"15",LEFT(M810,2)&lt;&gt;"33"))),"x","")</f>
        <v/>
      </c>
      <c r="X810" s="51" t="str">
        <f>IF(AND(OR(LEFT(TH!L810,2)="15",LEFT(TH!M810,2)="15"),'152-CT'!$J$8=TH!F810),"x","")</f>
        <v/>
      </c>
      <c r="Y810" s="51" t="str">
        <f>IF(AND(OR(LEFT(TH!L810,2)="15",LEFT(TH!M810,2)="15"),TK!$E$7=TH!F810),"x","")</f>
        <v/>
      </c>
      <c r="Z810" s="51" t="str">
        <f>IF(AND(B810&lt;=NKC!$N$8,B810&gt;=NKC!$M$8),"x","")</f>
        <v/>
      </c>
      <c r="AA810" s="803"/>
      <c r="AC810" s="203"/>
      <c r="AD810" s="203"/>
      <c r="AE810" s="203"/>
    </row>
    <row r="811" spans="1:31" s="565" customFormat="1" ht="15.75" customHeight="1">
      <c r="A811" s="804" t="str">
        <f>IF(B811&lt;&gt;"",IF(AND(B811&gt;=_TM1,B811&lt;=_TM2,OR(TH!L811="1111",TH!M811="1111")),TH!D811,""),"")</f>
        <v/>
      </c>
      <c r="B811" s="36">
        <f t="shared" si="53"/>
        <v>10</v>
      </c>
      <c r="C811" s="189">
        <f t="shared" si="54"/>
        <v>42284</v>
      </c>
      <c r="D811" s="189" t="s">
        <v>1290</v>
      </c>
      <c r="E811" s="189">
        <v>42284</v>
      </c>
      <c r="F811" s="190" t="s">
        <v>962</v>
      </c>
      <c r="G811" s="811" t="s">
        <v>1059</v>
      </c>
      <c r="H811" s="7" t="s">
        <v>444</v>
      </c>
      <c r="I811" s="243"/>
      <c r="J811" s="243"/>
      <c r="K811" s="573">
        <v>414292</v>
      </c>
      <c r="L811" s="574" t="s">
        <v>250</v>
      </c>
      <c r="M811" s="574" t="s">
        <v>352</v>
      </c>
      <c r="N811" s="51" t="str">
        <f>IF(AND('331-CT'!$E$7=TH!H811,OR(L811="331",M811="331")),"331",IF(AND(OR(L811="131",M811="131"),H811='131-CT'!$E$7),"131",""))</f>
        <v/>
      </c>
      <c r="O811" s="51" t="str">
        <f>IF(AND($B811&gt;='111'!$N$11,$B811&lt;='111'!$O$11,OR($L811=$O$7,$M811=$O$7)),"x","")</f>
        <v/>
      </c>
      <c r="P811" s="51" t="str">
        <f>IF(AND($L811=$O$7,$B811&lt;'111'!$N$11),"x","")</f>
        <v/>
      </c>
      <c r="Q811" s="51" t="str">
        <f>IF(AND($M811=$O$7,$B811&lt;'111'!$N$11),"x","")</f>
        <v/>
      </c>
      <c r="R811" s="51" t="str">
        <f>IF(ISERROR(FIND('112'!$M$9,G811,1)),"",IF((AND(FIND('112'!$M$9,G811,1)&gt;=1,$B811&gt;='112'!$N$8,$B811&lt;='112'!$O$8,OR($L811='112'!$I$6,$M811='112'!$I$6))),"x",""))</f>
        <v/>
      </c>
      <c r="S811" s="51" t="str">
        <f>IF(ISERROR(FIND('112'!$M$9,G811,1)),"",IF((AND(LEFT(G811,2)=LEFT('112'!$M$9,2),B811&lt;'112'!$N$8,$L811='112'!$I$6)),"x",""))</f>
        <v/>
      </c>
      <c r="T811" s="51" t="str">
        <f>IF(ISERROR(FIND('112'!$M$9,G811,1)),"",IF((AND(RIGHT(G811,2)=RIGHT('112'!$M$9,2),B811&lt;'112'!$N$8,$M811='112'!$I$6)),"x",""))</f>
        <v/>
      </c>
      <c r="U811" s="51" t="str">
        <f>IF(AND(L811="154",'154'!$O$5&lt;=B811,'154'!$P$5&gt;=B811),"154",IF(AND(L811="632",'632'!$L$5&lt;=B811,'632'!$M$5&gt;=B811),"632",IF(AND(L811="642",'642'!$N$5&lt;=B811,'642'!$O$5&gt;=B811),"642",IF(AND(L811="641",'641'!$N$5&lt;=B811,'641'!$O$5&gt;=B811),"641",""))))</f>
        <v/>
      </c>
      <c r="V811" s="51" t="str">
        <f>IF(OR(TH!L811=TH!$V$7,M811=TH!$V$7),"x","")</f>
        <v/>
      </c>
      <c r="W811" s="51" t="str">
        <f>IF(AND(B811&gt;='IN-NX'!$P$3,B811&lt;='IN-NX'!$Q$3,'IN-NX'!$D$7=D811,OR(LEFT(L811,2)="15",AND(LEFT(M811,2)&lt;&gt;"15",LEFT(M811,2)&lt;&gt;"33"))),"x","")</f>
        <v/>
      </c>
      <c r="X811" s="51" t="str">
        <f>IF(AND(OR(LEFT(TH!L811,2)="15",LEFT(TH!M811,2)="15"),'152-CT'!$J$8=TH!F811),"x","")</f>
        <v/>
      </c>
      <c r="Y811" s="51" t="str">
        <f>IF(AND(OR(LEFT(TH!L811,2)="15",LEFT(TH!M811,2)="15"),TK!$E$7=TH!F811),"x","")</f>
        <v/>
      </c>
      <c r="Z811" s="51" t="str">
        <f>IF(AND(B811&lt;=NKC!$N$8,B811&gt;=NKC!$M$8),"x","")</f>
        <v/>
      </c>
      <c r="AA811" s="803"/>
      <c r="AC811" s="203"/>
      <c r="AD811" s="203"/>
      <c r="AE811" s="203"/>
    </row>
    <row r="812" spans="1:31" s="565" customFormat="1" ht="15.75" customHeight="1">
      <c r="A812" s="804" t="str">
        <f>IF(B812&lt;&gt;"",IF(AND(B812&gt;=_TM1,B812&lt;=_TM2,OR(TH!L812="1111",TH!M812="1111")),TH!D812,""),"")</f>
        <v/>
      </c>
      <c r="B812" s="36">
        <f t="shared" si="53"/>
        <v>10</v>
      </c>
      <c r="C812" s="189">
        <f t="shared" si="54"/>
        <v>42284</v>
      </c>
      <c r="D812" s="189" t="s">
        <v>1338</v>
      </c>
      <c r="E812" s="189">
        <v>42284</v>
      </c>
      <c r="F812" s="922" t="s">
        <v>423</v>
      </c>
      <c r="G812" s="811" t="s">
        <v>1059</v>
      </c>
      <c r="H812" s="7" t="s">
        <v>444</v>
      </c>
      <c r="I812" s="243"/>
      <c r="J812" s="243"/>
      <c r="K812" s="573">
        <v>4557212</v>
      </c>
      <c r="L812" s="574" t="s">
        <v>47</v>
      </c>
      <c r="M812" s="574" t="s">
        <v>250</v>
      </c>
      <c r="N812" s="51" t="str">
        <f>IF(AND('331-CT'!$E$7=TH!H812,OR(L812="331",M812="331")),"331",IF(AND(OR(L812="131",M812="131"),H812='131-CT'!$E$7),"131",""))</f>
        <v/>
      </c>
      <c r="O812" s="51" t="str">
        <f>IF(AND($B812&gt;='111'!$N$11,$B812&lt;='111'!$O$11,OR($L812=$O$7,$M812=$O$7)),"x","")</f>
        <v>x</v>
      </c>
      <c r="P812" s="51" t="str">
        <f>IF(AND($L812=$O$7,$B812&lt;'111'!$N$11),"x","")</f>
        <v/>
      </c>
      <c r="Q812" s="51" t="str">
        <f>IF(AND($M812=$O$7,$B812&lt;'111'!$N$11),"x","")</f>
        <v/>
      </c>
      <c r="R812" s="51" t="str">
        <f>IF(ISERROR(FIND('112'!$M$9,G812,1)),"",IF((AND(FIND('112'!$M$9,G812,1)&gt;=1,$B812&gt;='112'!$N$8,$B812&lt;='112'!$O$8,OR($L812='112'!$I$6,$M812='112'!$I$6))),"x",""))</f>
        <v/>
      </c>
      <c r="S812" s="51" t="str">
        <f>IF(ISERROR(FIND('112'!$M$9,G812,1)),"",IF((AND(LEFT(G812,2)=LEFT('112'!$M$9,2),B812&lt;'112'!$N$8,$L812='112'!$I$6)),"x",""))</f>
        <v/>
      </c>
      <c r="T812" s="51" t="str">
        <f>IF(ISERROR(FIND('112'!$M$9,G812,1)),"",IF((AND(RIGHT(G812,2)=RIGHT('112'!$M$9,2),B812&lt;'112'!$N$8,$M812='112'!$I$6)),"x",""))</f>
        <v/>
      </c>
      <c r="U812" s="51" t="str">
        <f>IF(AND(L812="154",'154'!$O$5&lt;=B812,'154'!$P$5&gt;=B812),"154",IF(AND(L812="632",'632'!$L$5&lt;=B812,'632'!$M$5&gt;=B812),"632",IF(AND(L812="642",'642'!$N$5&lt;=B812,'642'!$O$5&gt;=B812),"642",IF(AND(L812="641",'641'!$N$5&lt;=B812,'641'!$O$5&gt;=B812),"641",""))))</f>
        <v/>
      </c>
      <c r="V812" s="51" t="str">
        <f>IF(OR(TH!L812=TH!$V$7,M812=TH!$V$7),"x","")</f>
        <v/>
      </c>
      <c r="W812" s="51" t="str">
        <f>IF(AND(B812&gt;='IN-NX'!$P$3,B812&lt;='IN-NX'!$Q$3,'IN-NX'!$D$7=D812,OR(LEFT(L812,2)="15",AND(LEFT(M812,2)&lt;&gt;"15",LEFT(M812,2)&lt;&gt;"33"))),"x","")</f>
        <v/>
      </c>
      <c r="X812" s="51" t="str">
        <f>IF(AND(OR(LEFT(TH!L812,2)="15",LEFT(TH!M812,2)="15"),'152-CT'!$J$8=TH!F812),"x","")</f>
        <v/>
      </c>
      <c r="Y812" s="51" t="str">
        <f>IF(AND(OR(LEFT(TH!L812,2)="15",LEFT(TH!M812,2)="15"),TK!$E$7=TH!F812),"x","")</f>
        <v/>
      </c>
      <c r="Z812" s="51" t="str">
        <f>IF(AND(B812&lt;=NKC!$N$8,B812&gt;=NKC!$M$8),"x","")</f>
        <v/>
      </c>
      <c r="AA812" s="803"/>
      <c r="AC812" s="203"/>
      <c r="AD812" s="203"/>
      <c r="AE812" s="203"/>
    </row>
    <row r="813" spans="1:31" s="565" customFormat="1" ht="15.75" customHeight="1">
      <c r="A813" s="804" t="str">
        <f>IF(B813&lt;&gt;"",IF(AND(B813&gt;=_TM1,B813&lt;=_TM2,OR(TH!L813="1111",TH!M813="1111")),TH!D813,""),"")</f>
        <v/>
      </c>
      <c r="B813" s="36">
        <f t="shared" si="53"/>
        <v>10</v>
      </c>
      <c r="C813" s="189">
        <f t="shared" si="54"/>
        <v>42284</v>
      </c>
      <c r="D813" s="189" t="s">
        <v>1339</v>
      </c>
      <c r="E813" s="189">
        <v>42284</v>
      </c>
      <c r="F813" s="190" t="s">
        <v>964</v>
      </c>
      <c r="G813" s="811" t="s">
        <v>1060</v>
      </c>
      <c r="H813" s="191" t="s">
        <v>1058</v>
      </c>
      <c r="I813" s="243"/>
      <c r="J813" s="243"/>
      <c r="K813" s="573">
        <v>13000000</v>
      </c>
      <c r="L813" s="574" t="s">
        <v>47</v>
      </c>
      <c r="M813" s="574" t="s">
        <v>408</v>
      </c>
      <c r="N813" s="51" t="str">
        <f>IF(AND('331-CT'!$E$7=TH!H813,OR(L813="331",M813="331")),"331",IF(AND(OR(L813="131",M813="131"),H813='131-CT'!$E$7),"131",""))</f>
        <v/>
      </c>
      <c r="O813" s="51" t="str">
        <f>IF(AND($B813&gt;='111'!$N$11,$B813&lt;='111'!$O$11,OR($L813=$O$7,$M813=$O$7)),"x","")</f>
        <v>x</v>
      </c>
      <c r="P813" s="51" t="str">
        <f>IF(AND($L813=$O$7,$B813&lt;'111'!$N$11),"x","")</f>
        <v/>
      </c>
      <c r="Q813" s="51" t="str">
        <f>IF(AND($M813=$O$7,$B813&lt;'111'!$N$11),"x","")</f>
        <v/>
      </c>
      <c r="R813" s="51" t="str">
        <f>IF(ISERROR(FIND('112'!$M$9,G813,1)),"",IF((AND(FIND('112'!$M$9,G813,1)&gt;=1,$B813&gt;='112'!$N$8,$B813&lt;='112'!$O$8,OR($L813='112'!$I$6,$M813='112'!$I$6))),"x",""))</f>
        <v/>
      </c>
      <c r="S813" s="51" t="str">
        <f>IF(ISERROR(FIND('112'!$M$9,G813,1)),"",IF((AND(LEFT(G813,2)=LEFT('112'!$M$9,2),B813&lt;'112'!$N$8,$L813='112'!$I$6)),"x",""))</f>
        <v/>
      </c>
      <c r="T813" s="51" t="str">
        <f>IF(ISERROR(FIND('112'!$M$9,G813,1)),"",IF((AND(RIGHT(G813,2)=RIGHT('112'!$M$9,2),B813&lt;'112'!$N$8,$M813='112'!$I$6)),"x",""))</f>
        <v/>
      </c>
      <c r="U813" s="51" t="str">
        <f>IF(AND(L813="154",'154'!$O$5&lt;=B813,'154'!$P$5&gt;=B813),"154",IF(AND(L813="632",'632'!$L$5&lt;=B813,'632'!$M$5&gt;=B813),"632",IF(AND(L813="642",'642'!$N$5&lt;=B813,'642'!$O$5&gt;=B813),"642",IF(AND(L813="641",'641'!$N$5&lt;=B813,'641'!$O$5&gt;=B813),"641",""))))</f>
        <v/>
      </c>
      <c r="V813" s="51" t="str">
        <f>IF(OR(TH!L813=TH!$V$7,M813=TH!$V$7),"x","")</f>
        <v/>
      </c>
      <c r="W813" s="51" t="str">
        <f>IF(AND(B813&gt;='IN-NX'!$P$3,B813&lt;='IN-NX'!$Q$3,'IN-NX'!$D$7=D813,OR(LEFT(L813,2)="15",AND(LEFT(M813,2)&lt;&gt;"15",LEFT(M813,2)&lt;&gt;"33"))),"x","")</f>
        <v/>
      </c>
      <c r="X813" s="51" t="str">
        <f>IF(AND(OR(LEFT(TH!L813,2)="15",LEFT(TH!M813,2)="15"),'152-CT'!$J$8=TH!F813),"x","")</f>
        <v/>
      </c>
      <c r="Y813" s="51" t="str">
        <f>IF(AND(OR(LEFT(TH!L813,2)="15",LEFT(TH!M813,2)="15"),TK!$E$7=TH!F813),"x","")</f>
        <v/>
      </c>
      <c r="Z813" s="51" t="str">
        <f>IF(AND(B813&lt;=NKC!$N$8,B813&gt;=NKC!$M$8),"x","")</f>
        <v/>
      </c>
      <c r="AA813" s="803"/>
      <c r="AC813" s="203"/>
      <c r="AD813" s="203"/>
      <c r="AE813" s="203"/>
    </row>
    <row r="814" spans="1:31" s="565" customFormat="1" ht="15.75" customHeight="1">
      <c r="A814" s="804" t="str">
        <f>IF(B814&lt;&gt;"",IF(AND(B814&gt;=_TM1,B814&lt;=_TM2,OR(TH!L814="1111",TH!M814="1111")),TH!D814,""),"")</f>
        <v/>
      </c>
      <c r="B814" s="36">
        <f t="shared" si="53"/>
        <v>10</v>
      </c>
      <c r="C814" s="189">
        <f t="shared" si="54"/>
        <v>42284</v>
      </c>
      <c r="D814" s="189" t="s">
        <v>1339</v>
      </c>
      <c r="E814" s="189">
        <v>42284</v>
      </c>
      <c r="F814" s="190" t="s">
        <v>1110</v>
      </c>
      <c r="G814" s="811" t="s">
        <v>1060</v>
      </c>
      <c r="H814" s="191" t="s">
        <v>1058</v>
      </c>
      <c r="I814" s="243"/>
      <c r="J814" s="243"/>
      <c r="K814" s="573">
        <v>1300000</v>
      </c>
      <c r="L814" s="574" t="s">
        <v>47</v>
      </c>
      <c r="M814" s="574" t="s">
        <v>352</v>
      </c>
      <c r="N814" s="51" t="str">
        <f>IF(AND('331-CT'!$E$7=TH!H814,OR(L814="331",M814="331")),"331",IF(AND(OR(L814="131",M814="131"),H814='131-CT'!$E$7),"131",""))</f>
        <v/>
      </c>
      <c r="O814" s="51" t="str">
        <f>IF(AND($B814&gt;='111'!$N$11,$B814&lt;='111'!$O$11,OR($L814=$O$7,$M814=$O$7)),"x","")</f>
        <v>x</v>
      </c>
      <c r="P814" s="51" t="str">
        <f>IF(AND($L814=$O$7,$B814&lt;'111'!$N$11),"x","")</f>
        <v/>
      </c>
      <c r="Q814" s="51" t="str">
        <f>IF(AND($M814=$O$7,$B814&lt;'111'!$N$11),"x","")</f>
        <v/>
      </c>
      <c r="R814" s="51" t="str">
        <f>IF(ISERROR(FIND('112'!$M$9,G814,1)),"",IF((AND(FIND('112'!$M$9,G814,1)&gt;=1,$B814&gt;='112'!$N$8,$B814&lt;='112'!$O$8,OR($L814='112'!$I$6,$M814='112'!$I$6))),"x",""))</f>
        <v/>
      </c>
      <c r="S814" s="51" t="str">
        <f>IF(ISERROR(FIND('112'!$M$9,G814,1)),"",IF((AND(LEFT(G814,2)=LEFT('112'!$M$9,2),B814&lt;'112'!$N$8,$L814='112'!$I$6)),"x",""))</f>
        <v/>
      </c>
      <c r="T814" s="51" t="str">
        <f>IF(ISERROR(FIND('112'!$M$9,G814,1)),"",IF((AND(RIGHT(G814,2)=RIGHT('112'!$M$9,2),B814&lt;'112'!$N$8,$M814='112'!$I$6)),"x",""))</f>
        <v/>
      </c>
      <c r="U814" s="51" t="str">
        <f>IF(AND(L814="154",'154'!$O$5&lt;=B814,'154'!$P$5&gt;=B814),"154",IF(AND(L814="632",'632'!$L$5&lt;=B814,'632'!$M$5&gt;=B814),"632",IF(AND(L814="642",'642'!$N$5&lt;=B814,'642'!$O$5&gt;=B814),"642",IF(AND(L814="641",'641'!$N$5&lt;=B814,'641'!$O$5&gt;=B814),"641",""))))</f>
        <v/>
      </c>
      <c r="V814" s="51" t="str">
        <f>IF(OR(TH!L814=TH!$V$7,M814=TH!$V$7),"x","")</f>
        <v/>
      </c>
      <c r="W814" s="51" t="str">
        <f>IF(AND(B814&gt;='IN-NX'!$P$3,B814&lt;='IN-NX'!$Q$3,'IN-NX'!$D$7=D814,OR(LEFT(L814,2)="15",AND(LEFT(M814,2)&lt;&gt;"15",LEFT(M814,2)&lt;&gt;"33"))),"x","")</f>
        <v/>
      </c>
      <c r="X814" s="51" t="str">
        <f>IF(AND(OR(LEFT(TH!L814,2)="15",LEFT(TH!M814,2)="15"),'152-CT'!$J$8=TH!F814),"x","")</f>
        <v/>
      </c>
      <c r="Y814" s="51" t="str">
        <f>IF(AND(OR(LEFT(TH!L814,2)="15",LEFT(TH!M814,2)="15"),TK!$E$7=TH!F814),"x","")</f>
        <v/>
      </c>
      <c r="Z814" s="51" t="str">
        <f>IF(AND(B814&lt;=NKC!$N$8,B814&gt;=NKC!$M$8),"x","")</f>
        <v/>
      </c>
      <c r="AA814" s="803"/>
      <c r="AC814" s="203"/>
      <c r="AD814" s="203"/>
      <c r="AE814" s="203"/>
    </row>
    <row r="815" spans="1:31" s="565" customFormat="1" ht="15.75" customHeight="1">
      <c r="A815" s="804" t="str">
        <f>IF(B815&lt;&gt;"",IF(AND(B815&gt;=_TM1,B815&lt;=_TM2,OR(TH!L815="1111",TH!M815="1111")),TH!D815,""),"")</f>
        <v/>
      </c>
      <c r="B815" s="36">
        <f t="shared" si="53"/>
        <v>10</v>
      </c>
      <c r="C815" s="189">
        <f t="shared" si="54"/>
        <v>42285</v>
      </c>
      <c r="D815" s="189" t="s">
        <v>1264</v>
      </c>
      <c r="E815" s="189">
        <v>42285</v>
      </c>
      <c r="F815" s="190" t="s">
        <v>558</v>
      </c>
      <c r="G815" s="813" t="s">
        <v>740</v>
      </c>
      <c r="H815" s="7" t="s">
        <v>559</v>
      </c>
      <c r="I815" s="243"/>
      <c r="J815" s="243"/>
      <c r="K815" s="573">
        <v>436364</v>
      </c>
      <c r="L815" s="574" t="s">
        <v>83</v>
      </c>
      <c r="M815" s="574" t="s">
        <v>47</v>
      </c>
      <c r="N815" s="51" t="str">
        <f>IF(AND('331-CT'!$E$7=TH!H815,OR(L815="331",M815="331")),"331",IF(AND(OR(L815="131",M815="131"),H815='131-CT'!$E$7),"131",""))</f>
        <v/>
      </c>
      <c r="O815" s="51" t="str">
        <f>IF(AND($B815&gt;='111'!$N$11,$B815&lt;='111'!$O$11,OR($L815=$O$7,$M815=$O$7)),"x","")</f>
        <v>x</v>
      </c>
      <c r="P815" s="51" t="str">
        <f>IF(AND($L815=$O$7,$B815&lt;'111'!$N$11),"x","")</f>
        <v/>
      </c>
      <c r="Q815" s="51" t="str">
        <f>IF(AND($M815=$O$7,$B815&lt;'111'!$N$11),"x","")</f>
        <v/>
      </c>
      <c r="R815" s="51" t="str">
        <f>IF(ISERROR(FIND('112'!$M$9,G815,1)),"",IF((AND(FIND('112'!$M$9,G815,1)&gt;=1,$B815&gt;='112'!$N$8,$B815&lt;='112'!$O$8,OR($L815='112'!$I$6,$M815='112'!$I$6))),"x",""))</f>
        <v/>
      </c>
      <c r="S815" s="51" t="str">
        <f>IF(ISERROR(FIND('112'!$M$9,G815,1)),"",IF((AND(LEFT(G815,2)=LEFT('112'!$M$9,2),B815&lt;'112'!$N$8,$L815='112'!$I$6)),"x",""))</f>
        <v/>
      </c>
      <c r="T815" s="51" t="str">
        <f>IF(ISERROR(FIND('112'!$M$9,G815,1)),"",IF((AND(RIGHT(G815,2)=RIGHT('112'!$M$9,2),B815&lt;'112'!$N$8,$M815='112'!$I$6)),"x",""))</f>
        <v/>
      </c>
      <c r="U815" s="51" t="str">
        <f>IF(AND(L815="154",'154'!$O$5&lt;=B815,'154'!$P$5&gt;=B815),"154",IF(AND(L815="632",'632'!$L$5&lt;=B815,'632'!$M$5&gt;=B815),"632",IF(AND(L815="642",'642'!$N$5&lt;=B815,'642'!$O$5&gt;=B815),"642",IF(AND(L815="641",'641'!$N$5&lt;=B815,'641'!$O$5&gt;=B815),"641",""))))</f>
        <v/>
      </c>
      <c r="V815" s="51" t="str">
        <f>IF(OR(TH!L815=TH!$V$7,M815=TH!$V$7),"x","")</f>
        <v>x</v>
      </c>
      <c r="W815" s="51" t="str">
        <f>IF(AND(B815&gt;='IN-NX'!$P$3,B815&lt;='IN-NX'!$Q$3,'IN-NX'!$D$7=D815,OR(LEFT(L815,2)="15",AND(LEFT(M815,2)&lt;&gt;"15",LEFT(M815,2)&lt;&gt;"33"))),"x","")</f>
        <v/>
      </c>
      <c r="X815" s="51" t="str">
        <f>IF(AND(OR(LEFT(TH!L815,2)="15",LEFT(TH!M815,2)="15"),'152-CT'!$J$8=TH!F815),"x","")</f>
        <v/>
      </c>
      <c r="Y815" s="51" t="str">
        <f>IF(AND(OR(LEFT(TH!L815,2)="15",LEFT(TH!M815,2)="15"),TK!$E$7=TH!F815),"x","")</f>
        <v/>
      </c>
      <c r="Z815" s="51" t="str">
        <f>IF(AND(B815&lt;=NKC!$N$8,B815&gt;=NKC!$M$8),"x","")</f>
        <v/>
      </c>
      <c r="AA815" s="803"/>
      <c r="AC815" s="203"/>
      <c r="AD815" s="203"/>
      <c r="AE815" s="203"/>
    </row>
    <row r="816" spans="1:31" s="565" customFormat="1" ht="15.75" customHeight="1">
      <c r="A816" s="804" t="str">
        <f>IF(B816&lt;&gt;"",IF(AND(B816&gt;=_TM1,B816&lt;=_TM2,OR(TH!L816="1111",TH!M816="1111")),TH!D816,""),"")</f>
        <v/>
      </c>
      <c r="B816" s="36">
        <f t="shared" si="53"/>
        <v>10</v>
      </c>
      <c r="C816" s="189">
        <f t="shared" si="54"/>
        <v>42285</v>
      </c>
      <c r="D816" s="189" t="s">
        <v>1264</v>
      </c>
      <c r="E816" s="189">
        <v>42285</v>
      </c>
      <c r="F816" s="190" t="s">
        <v>560</v>
      </c>
      <c r="G816" s="813" t="s">
        <v>740</v>
      </c>
      <c r="H816" s="7" t="s">
        <v>559</v>
      </c>
      <c r="I816" s="243"/>
      <c r="J816" s="243"/>
      <c r="K816" s="573">
        <v>43636</v>
      </c>
      <c r="L816" s="574" t="s">
        <v>9</v>
      </c>
      <c r="M816" s="574" t="s">
        <v>47</v>
      </c>
      <c r="N816" s="51" t="str">
        <f>IF(AND('331-CT'!$E$7=TH!H816,OR(L816="331",M816="331")),"331",IF(AND(OR(L816="131",M816="131"),H816='131-CT'!$E$7),"131",""))</f>
        <v/>
      </c>
      <c r="O816" s="51" t="str">
        <f>IF(AND($B816&gt;='111'!$N$11,$B816&lt;='111'!$O$11,OR($L816=$O$7,$M816=$O$7)),"x","")</f>
        <v>x</v>
      </c>
      <c r="P816" s="51" t="str">
        <f>IF(AND($L816=$O$7,$B816&lt;'111'!$N$11),"x","")</f>
        <v/>
      </c>
      <c r="Q816" s="51" t="str">
        <f>IF(AND($M816=$O$7,$B816&lt;'111'!$N$11),"x","")</f>
        <v/>
      </c>
      <c r="R816" s="51" t="str">
        <f>IF(ISERROR(FIND('112'!$M$9,G816,1)),"",IF((AND(FIND('112'!$M$9,G816,1)&gt;=1,$B816&gt;='112'!$N$8,$B816&lt;='112'!$O$8,OR($L816='112'!$I$6,$M816='112'!$I$6))),"x",""))</f>
        <v/>
      </c>
      <c r="S816" s="51" t="str">
        <f>IF(ISERROR(FIND('112'!$M$9,G816,1)),"",IF((AND(LEFT(G816,2)=LEFT('112'!$M$9,2),B816&lt;'112'!$N$8,$L816='112'!$I$6)),"x",""))</f>
        <v/>
      </c>
      <c r="T816" s="51" t="str">
        <f>IF(ISERROR(FIND('112'!$M$9,G816,1)),"",IF((AND(RIGHT(G816,2)=RIGHT('112'!$M$9,2),B816&lt;'112'!$N$8,$M816='112'!$I$6)),"x",""))</f>
        <v/>
      </c>
      <c r="U816" s="51" t="str">
        <f>IF(AND(L816="154",'154'!$O$5&lt;=B816,'154'!$P$5&gt;=B816),"154",IF(AND(L816="632",'632'!$L$5&lt;=B816,'632'!$M$5&gt;=B816),"632",IF(AND(L816="642",'642'!$N$5&lt;=B816,'642'!$O$5&gt;=B816),"642",IF(AND(L816="641",'641'!$N$5&lt;=B816,'641'!$O$5&gt;=B816),"641",""))))</f>
        <v/>
      </c>
      <c r="V816" s="51" t="str">
        <f>IF(OR(TH!L816=TH!$V$7,M816=TH!$V$7),"x","")</f>
        <v/>
      </c>
      <c r="W816" s="51" t="str">
        <f>IF(AND(B816&gt;='IN-NX'!$P$3,B816&lt;='IN-NX'!$Q$3,'IN-NX'!$D$7=D816,OR(LEFT(L816,2)="15",AND(LEFT(M816,2)&lt;&gt;"15",LEFT(M816,2)&lt;&gt;"33"))),"x","")</f>
        <v/>
      </c>
      <c r="X816" s="51" t="str">
        <f>IF(AND(OR(LEFT(TH!L816,2)="15",LEFT(TH!M816,2)="15"),'152-CT'!$J$8=TH!F816),"x","")</f>
        <v/>
      </c>
      <c r="Y816" s="51" t="str">
        <f>IF(AND(OR(LEFT(TH!L816,2)="15",LEFT(TH!M816,2)="15"),TK!$E$7=TH!F816),"x","")</f>
        <v/>
      </c>
      <c r="Z816" s="51" t="str">
        <f>IF(AND(B816&lt;=NKC!$N$8,B816&gt;=NKC!$M$8),"x","")</f>
        <v/>
      </c>
      <c r="AA816" s="803">
        <v>4</v>
      </c>
      <c r="AE816" s="203"/>
    </row>
    <row r="817" spans="1:31" s="565" customFormat="1" ht="15.75" customHeight="1">
      <c r="A817" s="804" t="str">
        <f>IF(B817&lt;&gt;"",IF(AND(B817&gt;=_TM1,B817&lt;=_TM2,OR(TH!L817="1111",TH!M817="1111")),TH!D817,""),"")</f>
        <v/>
      </c>
      <c r="B817" s="36">
        <f t="shared" si="53"/>
        <v>10</v>
      </c>
      <c r="C817" s="189">
        <f t="shared" si="54"/>
        <v>42285</v>
      </c>
      <c r="D817" s="189" t="s">
        <v>1342</v>
      </c>
      <c r="E817" s="189">
        <v>42285</v>
      </c>
      <c r="F817" s="190" t="s">
        <v>964</v>
      </c>
      <c r="G817" s="811" t="s">
        <v>1061</v>
      </c>
      <c r="H817" s="191" t="s">
        <v>1058</v>
      </c>
      <c r="I817" s="243"/>
      <c r="J817" s="243"/>
      <c r="K817" s="573">
        <v>12055000</v>
      </c>
      <c r="L817" s="574" t="s">
        <v>47</v>
      </c>
      <c r="M817" s="574" t="s">
        <v>408</v>
      </c>
      <c r="N817" s="51" t="str">
        <f>IF(AND('331-CT'!$E$7=TH!H817,OR(L817="331",M817="331")),"331",IF(AND(OR(L817="131",M817="131"),H817='131-CT'!$E$7),"131",""))</f>
        <v/>
      </c>
      <c r="O817" s="51" t="str">
        <f>IF(AND($B817&gt;='111'!$N$11,$B817&lt;='111'!$O$11,OR($L817=$O$7,$M817=$O$7)),"x","")</f>
        <v>x</v>
      </c>
      <c r="P817" s="51" t="str">
        <f>IF(AND($L817=$O$7,$B817&lt;'111'!$N$11),"x","")</f>
        <v/>
      </c>
      <c r="Q817" s="51" t="str">
        <f>IF(AND($M817=$O$7,$B817&lt;'111'!$N$11),"x","")</f>
        <v/>
      </c>
      <c r="R817" s="51" t="str">
        <f>IF(ISERROR(FIND('112'!$M$9,G817,1)),"",IF((AND(FIND('112'!$M$9,G817,1)&gt;=1,$B817&gt;='112'!$N$8,$B817&lt;='112'!$O$8,OR($L817='112'!$I$6,$M817='112'!$I$6))),"x",""))</f>
        <v/>
      </c>
      <c r="S817" s="51" t="str">
        <f>IF(ISERROR(FIND('112'!$M$9,G817,1)),"",IF((AND(LEFT(G817,2)=LEFT('112'!$M$9,2),B817&lt;'112'!$N$8,$L817='112'!$I$6)),"x",""))</f>
        <v/>
      </c>
      <c r="T817" s="51" t="str">
        <f>IF(ISERROR(FIND('112'!$M$9,G817,1)),"",IF((AND(RIGHT(G817,2)=RIGHT('112'!$M$9,2),B817&lt;'112'!$N$8,$M817='112'!$I$6)),"x",""))</f>
        <v/>
      </c>
      <c r="U817" s="51" t="str">
        <f>IF(AND(L817="154",'154'!$O$5&lt;=B817,'154'!$P$5&gt;=B817),"154",IF(AND(L817="632",'632'!$L$5&lt;=B817,'632'!$M$5&gt;=B817),"632",IF(AND(L817="642",'642'!$N$5&lt;=B817,'642'!$O$5&gt;=B817),"642",IF(AND(L817="641",'641'!$N$5&lt;=B817,'641'!$O$5&gt;=B817),"641",""))))</f>
        <v/>
      </c>
      <c r="V817" s="51" t="str">
        <f>IF(OR(TH!L817=TH!$V$7,M817=TH!$V$7),"x","")</f>
        <v/>
      </c>
      <c r="W817" s="51" t="str">
        <f>IF(AND(B817&gt;='IN-NX'!$P$3,B817&lt;='IN-NX'!$Q$3,'IN-NX'!$D$7=D817,OR(LEFT(L817,2)="15",AND(LEFT(M817,2)&lt;&gt;"15",LEFT(M817,2)&lt;&gt;"33"))),"x","")</f>
        <v/>
      </c>
      <c r="X817" s="51" t="str">
        <f>IF(AND(OR(LEFT(TH!L817,2)="15",LEFT(TH!M817,2)="15"),'152-CT'!$J$8=TH!F817),"x","")</f>
        <v/>
      </c>
      <c r="Y817" s="51" t="str">
        <f>IF(AND(OR(LEFT(TH!L817,2)="15",LEFT(TH!M817,2)="15"),TK!$E$7=TH!F817),"x","")</f>
        <v/>
      </c>
      <c r="Z817" s="51" t="str">
        <f>IF(AND(B817&lt;=NKC!$N$8,B817&gt;=NKC!$M$8),"x","")</f>
        <v/>
      </c>
      <c r="AA817" s="803"/>
      <c r="AC817" s="203"/>
      <c r="AD817" s="203"/>
      <c r="AE817" s="203"/>
    </row>
    <row r="818" spans="1:31" s="565" customFormat="1" ht="15.75" customHeight="1">
      <c r="A818" s="804" t="str">
        <f>IF(B818&lt;&gt;"",IF(AND(B818&gt;=_TM1,B818&lt;=_TM2,OR(TH!L818="1111",TH!M818="1111")),TH!D818,""),"")</f>
        <v/>
      </c>
      <c r="B818" s="36">
        <f t="shared" si="53"/>
        <v>10</v>
      </c>
      <c r="C818" s="189">
        <f t="shared" si="54"/>
        <v>42285</v>
      </c>
      <c r="D818" s="189" t="s">
        <v>1342</v>
      </c>
      <c r="E818" s="189">
        <v>42285</v>
      </c>
      <c r="F818" s="190" t="s">
        <v>1110</v>
      </c>
      <c r="G818" s="811" t="s">
        <v>1061</v>
      </c>
      <c r="H818" s="191" t="s">
        <v>1058</v>
      </c>
      <c r="I818" s="243"/>
      <c r="J818" s="243"/>
      <c r="K818" s="573">
        <v>1205500</v>
      </c>
      <c r="L818" s="574" t="s">
        <v>47</v>
      </c>
      <c r="M818" s="574" t="s">
        <v>352</v>
      </c>
      <c r="N818" s="51" t="str">
        <f>IF(AND('331-CT'!$E$7=TH!H818,OR(L818="331",M818="331")),"331",IF(AND(OR(L818="131",M818="131"),H818='131-CT'!$E$7),"131",""))</f>
        <v/>
      </c>
      <c r="O818" s="51" t="str">
        <f>IF(AND($B818&gt;='111'!$N$11,$B818&lt;='111'!$O$11,OR($L818=$O$7,$M818=$O$7)),"x","")</f>
        <v>x</v>
      </c>
      <c r="P818" s="51" t="str">
        <f>IF(AND($L818=$O$7,$B818&lt;'111'!$N$11),"x","")</f>
        <v/>
      </c>
      <c r="Q818" s="51" t="str">
        <f>IF(AND($M818=$O$7,$B818&lt;'111'!$N$11),"x","")</f>
        <v/>
      </c>
      <c r="R818" s="51" t="str">
        <f>IF(ISERROR(FIND('112'!$M$9,G818,1)),"",IF((AND(FIND('112'!$M$9,G818,1)&gt;=1,$B818&gt;='112'!$N$8,$B818&lt;='112'!$O$8,OR($L818='112'!$I$6,$M818='112'!$I$6))),"x",""))</f>
        <v/>
      </c>
      <c r="S818" s="51" t="str">
        <f>IF(ISERROR(FIND('112'!$M$9,G818,1)),"",IF((AND(LEFT(G818,2)=LEFT('112'!$M$9,2),B818&lt;'112'!$N$8,$L818='112'!$I$6)),"x",""))</f>
        <v/>
      </c>
      <c r="T818" s="51" t="str">
        <f>IF(ISERROR(FIND('112'!$M$9,G818,1)),"",IF((AND(RIGHT(G818,2)=RIGHT('112'!$M$9,2),B818&lt;'112'!$N$8,$M818='112'!$I$6)),"x",""))</f>
        <v/>
      </c>
      <c r="U818" s="51" t="str">
        <f>IF(AND(L818="154",'154'!$O$5&lt;=B818,'154'!$P$5&gt;=B818),"154",IF(AND(L818="632",'632'!$L$5&lt;=B818,'632'!$M$5&gt;=B818),"632",IF(AND(L818="642",'642'!$N$5&lt;=B818,'642'!$O$5&gt;=B818),"642",IF(AND(L818="641",'641'!$N$5&lt;=B818,'641'!$O$5&gt;=B818),"641",""))))</f>
        <v/>
      </c>
      <c r="V818" s="51" t="str">
        <f>IF(OR(TH!L818=TH!$V$7,M818=TH!$V$7),"x","")</f>
        <v/>
      </c>
      <c r="W818" s="51" t="str">
        <f>IF(AND(B818&gt;='IN-NX'!$P$3,B818&lt;='IN-NX'!$Q$3,'IN-NX'!$D$7=D818,OR(LEFT(L818,2)="15",AND(LEFT(M818,2)&lt;&gt;"15",LEFT(M818,2)&lt;&gt;"33"))),"x","")</f>
        <v/>
      </c>
      <c r="X818" s="51" t="str">
        <f>IF(AND(OR(LEFT(TH!L818,2)="15",LEFT(TH!M818,2)="15"),'152-CT'!$J$8=TH!F818),"x","")</f>
        <v/>
      </c>
      <c r="Y818" s="51" t="str">
        <f>IF(AND(OR(LEFT(TH!L818,2)="15",LEFT(TH!M818,2)="15"),TK!$E$7=TH!F818),"x","")</f>
        <v/>
      </c>
      <c r="Z818" s="51" t="str">
        <f>IF(AND(B818&lt;=NKC!$N$8,B818&gt;=NKC!$M$8),"x","")</f>
        <v/>
      </c>
      <c r="AA818" s="803"/>
      <c r="AC818" s="203"/>
      <c r="AD818" s="203"/>
      <c r="AE818" s="203"/>
    </row>
    <row r="819" spans="1:31" s="565" customFormat="1" ht="15.75" customHeight="1">
      <c r="A819" s="804" t="str">
        <f>IF(B819&lt;&gt;"",IF(AND(B819&gt;=_TM1,B819&lt;=_TM2,OR(TH!L819="1111",TH!M819="1111")),TH!D819,""),"")</f>
        <v/>
      </c>
      <c r="B819" s="36">
        <f t="shared" si="53"/>
        <v>10</v>
      </c>
      <c r="C819" s="189">
        <f t="shared" si="54"/>
        <v>42285</v>
      </c>
      <c r="D819" s="189" t="s">
        <v>1291</v>
      </c>
      <c r="E819" s="189">
        <v>42285</v>
      </c>
      <c r="F819" s="190" t="s">
        <v>1209</v>
      </c>
      <c r="G819" s="811" t="s">
        <v>1062</v>
      </c>
      <c r="H819" s="191" t="s">
        <v>1063</v>
      </c>
      <c r="I819" s="243">
        <v>800</v>
      </c>
      <c r="J819" s="243">
        <v>9800</v>
      </c>
      <c r="K819" s="573">
        <f>ROUND(I819*J819,0)</f>
        <v>7840000</v>
      </c>
      <c r="L819" s="574" t="s">
        <v>250</v>
      </c>
      <c r="M819" s="574" t="s">
        <v>164</v>
      </c>
      <c r="N819" s="51" t="str">
        <f>IF(AND('331-CT'!$E$7=TH!H819,OR(L819="331",M819="331")),"331",IF(AND(OR(L819="131",M819="131"),H819='131-CT'!$E$7),"131",""))</f>
        <v/>
      </c>
      <c r="O819" s="51" t="str">
        <f>IF(AND($B819&gt;='111'!$N$11,$B819&lt;='111'!$O$11,OR($L819=$O$7,$M819=$O$7)),"x","")</f>
        <v/>
      </c>
      <c r="P819" s="51" t="str">
        <f>IF(AND($L819=$O$7,$B819&lt;'111'!$N$11),"x","")</f>
        <v/>
      </c>
      <c r="Q819" s="51" t="str">
        <f>IF(AND($M819=$O$7,$B819&lt;'111'!$N$11),"x","")</f>
        <v/>
      </c>
      <c r="R819" s="51" t="str">
        <f>IF(ISERROR(FIND('112'!$M$9,G819,1)),"",IF((AND(FIND('112'!$M$9,G819,1)&gt;=1,$B819&gt;='112'!$N$8,$B819&lt;='112'!$O$8,OR($L819='112'!$I$6,$M819='112'!$I$6))),"x",""))</f>
        <v/>
      </c>
      <c r="S819" s="51" t="str">
        <f>IF(ISERROR(FIND('112'!$M$9,G819,1)),"",IF((AND(LEFT(G819,2)=LEFT('112'!$M$9,2),B819&lt;'112'!$N$8,$L819='112'!$I$6)),"x",""))</f>
        <v/>
      </c>
      <c r="T819" s="51" t="str">
        <f>IF(ISERROR(FIND('112'!$M$9,G819,1)),"",IF((AND(RIGHT(G819,2)=RIGHT('112'!$M$9,2),B819&lt;'112'!$N$8,$M819='112'!$I$6)),"x",""))</f>
        <v/>
      </c>
      <c r="U819" s="51" t="str">
        <f>IF(AND(L819="154",'154'!$O$5&lt;=B819,'154'!$P$5&gt;=B819),"154",IF(AND(L819="632",'632'!$L$5&lt;=B819,'632'!$M$5&gt;=B819),"632",IF(AND(L819="642",'642'!$N$5&lt;=B819,'642'!$O$5&gt;=B819),"642",IF(AND(L819="641",'641'!$N$5&lt;=B819,'641'!$O$5&gt;=B819),"641",""))))</f>
        <v/>
      </c>
      <c r="V819" s="51" t="str">
        <f>IF(OR(TH!L819=TH!$V$7,M819=TH!$V$7),"x","")</f>
        <v/>
      </c>
      <c r="W819" s="51" t="str">
        <f>IF(AND(B819&gt;='IN-NX'!$P$3,B819&lt;='IN-NX'!$Q$3,'IN-NX'!$D$7=D819,OR(LEFT(L819,2)="15",AND(LEFT(M819,2)&lt;&gt;"15",LEFT(M819,2)&lt;&gt;"33"))),"x","")</f>
        <v/>
      </c>
      <c r="X819" s="51" t="str">
        <f>IF(AND(OR(LEFT(TH!L819,2)="15",LEFT(TH!M819,2)="15"),'152-CT'!$J$8=TH!F819),"x","")</f>
        <v/>
      </c>
      <c r="Y819" s="51" t="str">
        <f>IF(AND(OR(LEFT(TH!L819,2)="15",LEFT(TH!M819,2)="15"),TK!$E$7=TH!F819),"x","")</f>
        <v/>
      </c>
      <c r="Z819" s="51" t="str">
        <f>IF(AND(B819&lt;=NKC!$N$8,B819&gt;=NKC!$M$8),"x","")</f>
        <v/>
      </c>
      <c r="AA819" s="803"/>
      <c r="AC819" s="203"/>
      <c r="AD819" s="203"/>
      <c r="AE819" s="203"/>
    </row>
    <row r="820" spans="1:31" s="565" customFormat="1" ht="15.75" customHeight="1">
      <c r="A820" s="804" t="str">
        <f>IF(B820&lt;&gt;"",IF(AND(B820&gt;=_TM1,B820&lt;=_TM2,OR(TH!L820="1111",TH!M820="1111")),TH!D820,""),"")</f>
        <v/>
      </c>
      <c r="B820" s="36">
        <f t="shared" si="53"/>
        <v>10</v>
      </c>
      <c r="C820" s="189">
        <f t="shared" si="54"/>
        <v>42285</v>
      </c>
      <c r="D820" s="189" t="s">
        <v>1291</v>
      </c>
      <c r="E820" s="189">
        <v>42285</v>
      </c>
      <c r="F820" s="190" t="s">
        <v>962</v>
      </c>
      <c r="G820" s="811" t="s">
        <v>1062</v>
      </c>
      <c r="H820" s="191" t="s">
        <v>1063</v>
      </c>
      <c r="I820" s="243"/>
      <c r="J820" s="243"/>
      <c r="K820" s="573">
        <v>784000</v>
      </c>
      <c r="L820" s="574" t="s">
        <v>250</v>
      </c>
      <c r="M820" s="574" t="s">
        <v>352</v>
      </c>
      <c r="N820" s="51" t="str">
        <f>IF(AND('331-CT'!$E$7=TH!H820,OR(L820="331",M820="331")),"331",IF(AND(OR(L820="131",M820="131"),H820='131-CT'!$E$7),"131",""))</f>
        <v/>
      </c>
      <c r="O820" s="51" t="str">
        <f>IF(AND($B820&gt;='111'!$N$11,$B820&lt;='111'!$O$11,OR($L820=$O$7,$M820=$O$7)),"x","")</f>
        <v/>
      </c>
      <c r="P820" s="51" t="str">
        <f>IF(AND($L820=$O$7,$B820&lt;'111'!$N$11),"x","")</f>
        <v/>
      </c>
      <c r="Q820" s="51" t="str">
        <f>IF(AND($M820=$O$7,$B820&lt;'111'!$N$11),"x","")</f>
        <v/>
      </c>
      <c r="R820" s="51" t="str">
        <f>IF(ISERROR(FIND('112'!$M$9,G820,1)),"",IF((AND(FIND('112'!$M$9,G820,1)&gt;=1,$B820&gt;='112'!$N$8,$B820&lt;='112'!$O$8,OR($L820='112'!$I$6,$M820='112'!$I$6))),"x",""))</f>
        <v/>
      </c>
      <c r="S820" s="51" t="str">
        <f>IF(ISERROR(FIND('112'!$M$9,G820,1)),"",IF((AND(LEFT(G820,2)=LEFT('112'!$M$9,2),B820&lt;'112'!$N$8,$L820='112'!$I$6)),"x",""))</f>
        <v/>
      </c>
      <c r="T820" s="51" t="str">
        <f>IF(ISERROR(FIND('112'!$M$9,G820,1)),"",IF((AND(RIGHT(G820,2)=RIGHT('112'!$M$9,2),B820&lt;'112'!$N$8,$M820='112'!$I$6)),"x",""))</f>
        <v/>
      </c>
      <c r="U820" s="51" t="str">
        <f>IF(AND(L820="154",'154'!$O$5&lt;=B820,'154'!$P$5&gt;=B820),"154",IF(AND(L820="632",'632'!$L$5&lt;=B820,'632'!$M$5&gt;=B820),"632",IF(AND(L820="642",'642'!$N$5&lt;=B820,'642'!$O$5&gt;=B820),"642",IF(AND(L820="641",'641'!$N$5&lt;=B820,'641'!$O$5&gt;=B820),"641",""))))</f>
        <v/>
      </c>
      <c r="V820" s="51" t="str">
        <f>IF(OR(TH!L820=TH!$V$7,M820=TH!$V$7),"x","")</f>
        <v/>
      </c>
      <c r="W820" s="51" t="str">
        <f>IF(AND(B820&gt;='IN-NX'!$P$3,B820&lt;='IN-NX'!$Q$3,'IN-NX'!$D$7=D820,OR(LEFT(L820,2)="15",AND(LEFT(M820,2)&lt;&gt;"15",LEFT(M820,2)&lt;&gt;"33"))),"x","")</f>
        <v/>
      </c>
      <c r="X820" s="51" t="str">
        <f>IF(AND(OR(LEFT(TH!L820,2)="15",LEFT(TH!M820,2)="15"),'152-CT'!$J$8=TH!F820),"x","")</f>
        <v/>
      </c>
      <c r="Y820" s="51" t="str">
        <f>IF(AND(OR(LEFT(TH!L820,2)="15",LEFT(TH!M820,2)="15"),TK!$E$7=TH!F820),"x","")</f>
        <v/>
      </c>
      <c r="Z820" s="51" t="str">
        <f>IF(AND(B820&lt;=NKC!$N$8,B820&gt;=NKC!$M$8),"x","")</f>
        <v/>
      </c>
      <c r="AA820" s="803"/>
      <c r="AC820" s="203"/>
      <c r="AD820" s="203"/>
      <c r="AE820" s="203"/>
    </row>
    <row r="821" spans="1:31" s="565" customFormat="1" ht="15.75" customHeight="1">
      <c r="A821" s="804" t="str">
        <f>IF(B821&lt;&gt;"",IF(AND(B821&gt;=_TM1,B821&lt;=_TM2,OR(TH!L821="1111",TH!M821="1111")),TH!D821,""),"")</f>
        <v/>
      </c>
      <c r="B821" s="36">
        <f t="shared" si="53"/>
        <v>10</v>
      </c>
      <c r="C821" s="189">
        <f t="shared" si="54"/>
        <v>42285</v>
      </c>
      <c r="D821" s="189" t="s">
        <v>1345</v>
      </c>
      <c r="E821" s="189">
        <v>42285</v>
      </c>
      <c r="F821" s="190" t="s">
        <v>423</v>
      </c>
      <c r="G821" s="811" t="s">
        <v>1062</v>
      </c>
      <c r="H821" s="191" t="s">
        <v>1063</v>
      </c>
      <c r="I821" s="243"/>
      <c r="J821" s="243"/>
      <c r="K821" s="573">
        <v>8624000</v>
      </c>
      <c r="L821" s="574" t="s">
        <v>47</v>
      </c>
      <c r="M821" s="574" t="s">
        <v>250</v>
      </c>
      <c r="N821" s="51" t="str">
        <f>IF(AND('331-CT'!$E$7=TH!H821,OR(L821="331",M821="331")),"331",IF(AND(OR(L821="131",M821="131"),H821='131-CT'!$E$7),"131",""))</f>
        <v/>
      </c>
      <c r="O821" s="51" t="str">
        <f>IF(AND($B821&gt;='111'!$N$11,$B821&lt;='111'!$O$11,OR($L821=$O$7,$M821=$O$7)),"x","")</f>
        <v>x</v>
      </c>
      <c r="P821" s="51" t="str">
        <f>IF(AND($L821=$O$7,$B821&lt;'111'!$N$11),"x","")</f>
        <v/>
      </c>
      <c r="Q821" s="51" t="str">
        <f>IF(AND($M821=$O$7,$B821&lt;'111'!$N$11),"x","")</f>
        <v/>
      </c>
      <c r="R821" s="51" t="str">
        <f>IF(ISERROR(FIND('112'!$M$9,G821,1)),"",IF((AND(FIND('112'!$M$9,G821,1)&gt;=1,$B821&gt;='112'!$N$8,$B821&lt;='112'!$O$8,OR($L821='112'!$I$6,$M821='112'!$I$6))),"x",""))</f>
        <v/>
      </c>
      <c r="S821" s="51" t="str">
        <f>IF(ISERROR(FIND('112'!$M$9,G821,1)),"",IF((AND(LEFT(G821,2)=LEFT('112'!$M$9,2),B821&lt;'112'!$N$8,$L821='112'!$I$6)),"x",""))</f>
        <v/>
      </c>
      <c r="T821" s="51" t="str">
        <f>IF(ISERROR(FIND('112'!$M$9,G821,1)),"",IF((AND(RIGHT(G821,2)=RIGHT('112'!$M$9,2),B821&lt;'112'!$N$8,$M821='112'!$I$6)),"x",""))</f>
        <v/>
      </c>
      <c r="U821" s="51" t="str">
        <f>IF(AND(L821="154",'154'!$O$5&lt;=B821,'154'!$P$5&gt;=B821),"154",IF(AND(L821="632",'632'!$L$5&lt;=B821,'632'!$M$5&gt;=B821),"632",IF(AND(L821="642",'642'!$N$5&lt;=B821,'642'!$O$5&gt;=B821),"642",IF(AND(L821="641",'641'!$N$5&lt;=B821,'641'!$O$5&gt;=B821),"641",""))))</f>
        <v/>
      </c>
      <c r="V821" s="51" t="str">
        <f>IF(OR(TH!L821=TH!$V$7,M821=TH!$V$7),"x","")</f>
        <v/>
      </c>
      <c r="W821" s="51" t="str">
        <f>IF(AND(B821&gt;='IN-NX'!$P$3,B821&lt;='IN-NX'!$Q$3,'IN-NX'!$D$7=D821,OR(LEFT(L821,2)="15",AND(LEFT(M821,2)&lt;&gt;"15",LEFT(M821,2)&lt;&gt;"33"))),"x","")</f>
        <v/>
      </c>
      <c r="X821" s="51" t="str">
        <f>IF(AND(OR(LEFT(TH!L821,2)="15",LEFT(TH!M821,2)="15"),'152-CT'!$J$8=TH!F821),"x","")</f>
        <v/>
      </c>
      <c r="Y821" s="51" t="str">
        <f>IF(AND(OR(LEFT(TH!L821,2)="15",LEFT(TH!M821,2)="15"),TK!$E$7=TH!F821),"x","")</f>
        <v/>
      </c>
      <c r="Z821" s="51" t="str">
        <f>IF(AND(B821&lt;=NKC!$N$8,B821&gt;=NKC!$M$8),"x","")</f>
        <v/>
      </c>
      <c r="AA821" s="803"/>
      <c r="AC821" s="203"/>
      <c r="AD821" s="203"/>
      <c r="AE821" s="203"/>
    </row>
    <row r="822" spans="1:31" s="565" customFormat="1" ht="15.75" customHeight="1">
      <c r="A822" s="804" t="str">
        <f>IF(B822&lt;&gt;"",IF(AND(B822&gt;=_TM1,B822&lt;=_TM2,OR(TH!L822="1111",TH!M822="1111")),TH!D822,""),"")</f>
        <v/>
      </c>
      <c r="B822" s="36">
        <f t="shared" si="53"/>
        <v>10</v>
      </c>
      <c r="C822" s="189">
        <f t="shared" si="54"/>
        <v>42287</v>
      </c>
      <c r="D822" s="189" t="s">
        <v>1346</v>
      </c>
      <c r="E822" s="189">
        <v>42287</v>
      </c>
      <c r="F822" s="190" t="s">
        <v>964</v>
      </c>
      <c r="G822" s="811" t="s">
        <v>1064</v>
      </c>
      <c r="H822" s="191" t="s">
        <v>1058</v>
      </c>
      <c r="I822" s="243"/>
      <c r="J822" s="243"/>
      <c r="K822" s="573">
        <v>2000000</v>
      </c>
      <c r="L822" s="574" t="s">
        <v>47</v>
      </c>
      <c r="M822" s="574" t="s">
        <v>408</v>
      </c>
      <c r="N822" s="51" t="str">
        <f>IF(AND('331-CT'!$E$7=TH!H822,OR(L822="331",M822="331")),"331",IF(AND(OR(L822="131",M822="131"),H822='131-CT'!$E$7),"131",""))</f>
        <v/>
      </c>
      <c r="O822" s="51" t="str">
        <f>IF(AND($B822&gt;='111'!$N$11,$B822&lt;='111'!$O$11,OR($L822=$O$7,$M822=$O$7)),"x","")</f>
        <v>x</v>
      </c>
      <c r="P822" s="51" t="str">
        <f>IF(AND($L822=$O$7,$B822&lt;'111'!$N$11),"x","")</f>
        <v/>
      </c>
      <c r="Q822" s="51" t="str">
        <f>IF(AND($M822=$O$7,$B822&lt;'111'!$N$11),"x","")</f>
        <v/>
      </c>
      <c r="R822" s="51" t="str">
        <f>IF(ISERROR(FIND('112'!$M$9,G822,1)),"",IF((AND(FIND('112'!$M$9,G822,1)&gt;=1,$B822&gt;='112'!$N$8,$B822&lt;='112'!$O$8,OR($L822='112'!$I$6,$M822='112'!$I$6))),"x",""))</f>
        <v/>
      </c>
      <c r="S822" s="51" t="str">
        <f>IF(ISERROR(FIND('112'!$M$9,G822,1)),"",IF((AND(LEFT(G822,2)=LEFT('112'!$M$9,2),B822&lt;'112'!$N$8,$L822='112'!$I$6)),"x",""))</f>
        <v/>
      </c>
      <c r="T822" s="51" t="str">
        <f>IF(ISERROR(FIND('112'!$M$9,G822,1)),"",IF((AND(RIGHT(G822,2)=RIGHT('112'!$M$9,2),B822&lt;'112'!$N$8,$M822='112'!$I$6)),"x",""))</f>
        <v/>
      </c>
      <c r="U822" s="51" t="str">
        <f>IF(AND(L822="154",'154'!$O$5&lt;=B822,'154'!$P$5&gt;=B822),"154",IF(AND(L822="632",'632'!$L$5&lt;=B822,'632'!$M$5&gt;=B822),"632",IF(AND(L822="642",'642'!$N$5&lt;=B822,'642'!$O$5&gt;=B822),"642",IF(AND(L822="641",'641'!$N$5&lt;=B822,'641'!$O$5&gt;=B822),"641",""))))</f>
        <v/>
      </c>
      <c r="V822" s="51" t="str">
        <f>IF(OR(TH!L822=TH!$V$7,M822=TH!$V$7),"x","")</f>
        <v/>
      </c>
      <c r="W822" s="51" t="str">
        <f>IF(AND(B822&gt;='IN-NX'!$P$3,B822&lt;='IN-NX'!$Q$3,'IN-NX'!$D$7=D822,OR(LEFT(L822,2)="15",AND(LEFT(M822,2)&lt;&gt;"15",LEFT(M822,2)&lt;&gt;"33"))),"x","")</f>
        <v/>
      </c>
      <c r="X822" s="51" t="str">
        <f>IF(AND(OR(LEFT(TH!L822,2)="15",LEFT(TH!M822,2)="15"),'152-CT'!$J$8=TH!F822),"x","")</f>
        <v/>
      </c>
      <c r="Y822" s="51" t="str">
        <f>IF(AND(OR(LEFT(TH!L822,2)="15",LEFT(TH!M822,2)="15"),TK!$E$7=TH!F822),"x","")</f>
        <v/>
      </c>
      <c r="Z822" s="51" t="str">
        <f>IF(AND(B822&lt;=NKC!$N$8,B822&gt;=NKC!$M$8),"x","")</f>
        <v/>
      </c>
      <c r="AA822" s="803"/>
      <c r="AC822" s="203"/>
      <c r="AD822" s="203"/>
      <c r="AE822" s="203"/>
    </row>
    <row r="823" spans="1:31" s="565" customFormat="1" ht="15.75" customHeight="1">
      <c r="A823" s="804" t="str">
        <f>IF(B823&lt;&gt;"",IF(AND(B823&gt;=_TM1,B823&lt;=_TM2,OR(TH!L823="1111",TH!M823="1111")),TH!D823,""),"")</f>
        <v/>
      </c>
      <c r="B823" s="36">
        <f t="shared" si="53"/>
        <v>10</v>
      </c>
      <c r="C823" s="189">
        <f t="shared" si="54"/>
        <v>42287</v>
      </c>
      <c r="D823" s="189" t="s">
        <v>1346</v>
      </c>
      <c r="E823" s="189">
        <v>42287</v>
      </c>
      <c r="F823" s="190" t="s">
        <v>1110</v>
      </c>
      <c r="G823" s="811" t="s">
        <v>1064</v>
      </c>
      <c r="H823" s="191" t="s">
        <v>1058</v>
      </c>
      <c r="I823" s="243"/>
      <c r="J823" s="243"/>
      <c r="K823" s="573">
        <v>200000</v>
      </c>
      <c r="L823" s="574" t="s">
        <v>47</v>
      </c>
      <c r="M823" s="574" t="s">
        <v>352</v>
      </c>
      <c r="N823" s="51" t="str">
        <f>IF(AND('331-CT'!$E$7=TH!H823,OR(L823="331",M823="331")),"331",IF(AND(OR(L823="131",M823="131"),H823='131-CT'!$E$7),"131",""))</f>
        <v/>
      </c>
      <c r="O823" s="51" t="str">
        <f>IF(AND($B823&gt;='111'!$N$11,$B823&lt;='111'!$O$11,OR($L823=$O$7,$M823=$O$7)),"x","")</f>
        <v>x</v>
      </c>
      <c r="P823" s="51" t="str">
        <f>IF(AND($L823=$O$7,$B823&lt;'111'!$N$11),"x","")</f>
        <v/>
      </c>
      <c r="Q823" s="51" t="str">
        <f>IF(AND($M823=$O$7,$B823&lt;'111'!$N$11),"x","")</f>
        <v/>
      </c>
      <c r="R823" s="51" t="str">
        <f>IF(ISERROR(FIND('112'!$M$9,G823,1)),"",IF((AND(FIND('112'!$M$9,G823,1)&gt;=1,$B823&gt;='112'!$N$8,$B823&lt;='112'!$O$8,OR($L823='112'!$I$6,$M823='112'!$I$6))),"x",""))</f>
        <v/>
      </c>
      <c r="S823" s="51" t="str">
        <f>IF(ISERROR(FIND('112'!$M$9,G823,1)),"",IF((AND(LEFT(G823,2)=LEFT('112'!$M$9,2),B823&lt;'112'!$N$8,$L823='112'!$I$6)),"x",""))</f>
        <v/>
      </c>
      <c r="T823" s="51" t="str">
        <f>IF(ISERROR(FIND('112'!$M$9,G823,1)),"",IF((AND(RIGHT(G823,2)=RIGHT('112'!$M$9,2),B823&lt;'112'!$N$8,$M823='112'!$I$6)),"x",""))</f>
        <v/>
      </c>
      <c r="U823" s="51" t="str">
        <f>IF(AND(L823="154",'154'!$O$5&lt;=B823,'154'!$P$5&gt;=B823),"154",IF(AND(L823="632",'632'!$L$5&lt;=B823,'632'!$M$5&gt;=B823),"632",IF(AND(L823="642",'642'!$N$5&lt;=B823,'642'!$O$5&gt;=B823),"642",IF(AND(L823="641",'641'!$N$5&lt;=B823,'641'!$O$5&gt;=B823),"641",""))))</f>
        <v/>
      </c>
      <c r="V823" s="51" t="str">
        <f>IF(OR(TH!L823=TH!$V$7,M823=TH!$V$7),"x","")</f>
        <v/>
      </c>
      <c r="W823" s="51" t="str">
        <f>IF(AND(B823&gt;='IN-NX'!$P$3,B823&lt;='IN-NX'!$Q$3,'IN-NX'!$D$7=D823,OR(LEFT(L823,2)="15",AND(LEFT(M823,2)&lt;&gt;"15",LEFT(M823,2)&lt;&gt;"33"))),"x","")</f>
        <v/>
      </c>
      <c r="X823" s="51" t="str">
        <f>IF(AND(OR(LEFT(TH!L823,2)="15",LEFT(TH!M823,2)="15"),'152-CT'!$J$8=TH!F823),"x","")</f>
        <v/>
      </c>
      <c r="Y823" s="51" t="str">
        <f>IF(AND(OR(LEFT(TH!L823,2)="15",LEFT(TH!M823,2)="15"),TK!$E$7=TH!F823),"x","")</f>
        <v/>
      </c>
      <c r="Z823" s="51" t="str">
        <f>IF(AND(B823&lt;=NKC!$N$8,B823&gt;=NKC!$M$8),"x","")</f>
        <v/>
      </c>
      <c r="AA823" s="803"/>
      <c r="AC823" s="203"/>
      <c r="AD823" s="203"/>
      <c r="AE823" s="203"/>
    </row>
    <row r="824" spans="1:31" ht="15.75" customHeight="1">
      <c r="A824" s="804" t="str">
        <f>IF(B824&lt;&gt;"",IF(AND(B824&gt;=_TM1,B824&lt;=_TM2,OR(TH!L824="1111",TH!M824="1111")),TH!D824,""),"")</f>
        <v/>
      </c>
      <c r="B824" s="36">
        <f t="shared" si="53"/>
        <v>10</v>
      </c>
      <c r="C824" s="189">
        <f t="shared" si="54"/>
        <v>42288</v>
      </c>
      <c r="D824" s="189" t="s">
        <v>1292</v>
      </c>
      <c r="E824" s="189">
        <v>42288</v>
      </c>
      <c r="F824" s="190" t="s">
        <v>714</v>
      </c>
      <c r="G824" s="811" t="s">
        <v>1065</v>
      </c>
      <c r="H824" s="191" t="s">
        <v>450</v>
      </c>
      <c r="I824" s="243">
        <v>60</v>
      </c>
      <c r="J824" s="243">
        <v>25000</v>
      </c>
      <c r="K824" s="573">
        <f>ROUND(I824*J824,0)</f>
        <v>1500000</v>
      </c>
      <c r="L824" s="574" t="s">
        <v>250</v>
      </c>
      <c r="M824" s="574" t="s">
        <v>164</v>
      </c>
      <c r="N824" s="51" t="str">
        <f>IF(AND('331-CT'!$E$7=TH!H824,OR(L824="331",M824="331")),"331",IF(AND(OR(L824="131",M824="131"),H824='131-CT'!$E$7),"131",""))</f>
        <v/>
      </c>
      <c r="O824" s="51" t="str">
        <f>IF(AND($B824&gt;='111'!$N$11,$B824&lt;='111'!$O$11,OR($L824=$O$7,$M824=$O$7)),"x","")</f>
        <v/>
      </c>
      <c r="P824" s="51" t="str">
        <f>IF(AND($L824=$O$7,$B824&lt;'111'!$N$11),"x","")</f>
        <v/>
      </c>
      <c r="Q824" s="51" t="str">
        <f>IF(AND($M824=$O$7,$B824&lt;'111'!$N$11),"x","")</f>
        <v/>
      </c>
      <c r="R824" s="51" t="str">
        <f>IF(ISERROR(FIND('112'!$M$9,G824,1)),"",IF((AND(FIND('112'!$M$9,G824,1)&gt;=1,$B824&gt;='112'!$N$8,$B824&lt;='112'!$O$8,OR($L824='112'!$I$6,$M824='112'!$I$6))),"x",""))</f>
        <v/>
      </c>
      <c r="S824" s="51" t="str">
        <f>IF(ISERROR(FIND('112'!$M$9,G824,1)),"",IF((AND(LEFT(G824,2)=LEFT('112'!$M$9,2),B824&lt;'112'!$N$8,$L824='112'!$I$6)),"x",""))</f>
        <v/>
      </c>
      <c r="T824" s="51" t="str">
        <f>IF(ISERROR(FIND('112'!$M$9,G824,1)),"",IF((AND(RIGHT(G824,2)=RIGHT('112'!$M$9,2),B824&lt;'112'!$N$8,$M824='112'!$I$6)),"x",""))</f>
        <v/>
      </c>
      <c r="U824" s="51" t="str">
        <f>IF(AND(L824="154",'154'!$O$5&lt;=B824,'154'!$P$5&gt;=B824),"154",IF(AND(L824="632",'632'!$L$5&lt;=B824,'632'!$M$5&gt;=B824),"632",IF(AND(L824="642",'642'!$N$5&lt;=B824,'642'!$O$5&gt;=B824),"642",IF(AND(L824="641",'641'!$N$5&lt;=B824,'641'!$O$5&gt;=B824),"641",""))))</f>
        <v/>
      </c>
      <c r="V824" s="51" t="str">
        <f>IF(OR(TH!L824=TH!$V$7,M824=TH!$V$7),"x","")</f>
        <v/>
      </c>
      <c r="W824" s="51" t="str">
        <f>IF(AND(B824&gt;='IN-NX'!$P$3,B824&lt;='IN-NX'!$Q$3,'IN-NX'!$D$7=D824,OR(LEFT(L824,2)="15",AND(LEFT(M824,2)&lt;&gt;"15",LEFT(M824,2)&lt;&gt;"33"))),"x","")</f>
        <v/>
      </c>
      <c r="X824" s="51" t="str">
        <f>IF(AND(OR(LEFT(TH!L824,2)="15",LEFT(TH!M824,2)="15"),'152-CT'!$J$8=TH!F824),"x","")</f>
        <v/>
      </c>
      <c r="Y824" s="51" t="str">
        <f>IF(AND(OR(LEFT(TH!L824,2)="15",LEFT(TH!M824,2)="15"),TK!$E$7=TH!F824),"x","")</f>
        <v/>
      </c>
      <c r="Z824" s="51" t="str">
        <f>IF(AND(B824&lt;=NKC!$N$8,B824&gt;=NKC!$M$8),"x","")</f>
        <v/>
      </c>
      <c r="AA824" s="803"/>
      <c r="AB824" s="565"/>
    </row>
    <row r="825" spans="1:31" ht="15.75" customHeight="1">
      <c r="A825" s="804" t="str">
        <f>IF(B825&lt;&gt;"",IF(AND(B825&gt;=_TM1,B825&lt;=_TM2,OR(TH!L825="1111",TH!M825="1111")),TH!D825,""),"")</f>
        <v/>
      </c>
      <c r="B825" s="36">
        <f t="shared" si="53"/>
        <v>10</v>
      </c>
      <c r="C825" s="189">
        <f t="shared" si="54"/>
        <v>42288</v>
      </c>
      <c r="D825" s="189" t="s">
        <v>1292</v>
      </c>
      <c r="E825" s="189">
        <v>42288</v>
      </c>
      <c r="F825" s="190" t="s">
        <v>1210</v>
      </c>
      <c r="G825" s="811" t="s">
        <v>1065</v>
      </c>
      <c r="H825" s="191" t="s">
        <v>450</v>
      </c>
      <c r="I825" s="243">
        <v>190</v>
      </c>
      <c r="J825" s="243">
        <v>21400</v>
      </c>
      <c r="K825" s="573">
        <f>ROUND(I825*J825,0)</f>
        <v>4066000</v>
      </c>
      <c r="L825" s="574" t="s">
        <v>250</v>
      </c>
      <c r="M825" s="574" t="s">
        <v>164</v>
      </c>
      <c r="N825" s="51" t="str">
        <f>IF(AND('331-CT'!$E$7=TH!H825,OR(L825="331",M825="331")),"331",IF(AND(OR(L825="131",M825="131"),H825='131-CT'!$E$7),"131",""))</f>
        <v/>
      </c>
      <c r="O825" s="51" t="str">
        <f>IF(AND($B825&gt;='111'!$N$11,$B825&lt;='111'!$O$11,OR($L825=$O$7,$M825=$O$7)),"x","")</f>
        <v/>
      </c>
      <c r="P825" s="51" t="str">
        <f>IF(AND($L825=$O$7,$B825&lt;'111'!$N$11),"x","")</f>
        <v/>
      </c>
      <c r="Q825" s="51" t="str">
        <f>IF(AND($M825=$O$7,$B825&lt;'111'!$N$11),"x","")</f>
        <v/>
      </c>
      <c r="R825" s="51" t="str">
        <f>IF(ISERROR(FIND('112'!$M$9,G825,1)),"",IF((AND(FIND('112'!$M$9,G825,1)&gt;=1,$B825&gt;='112'!$N$8,$B825&lt;='112'!$O$8,OR($L825='112'!$I$6,$M825='112'!$I$6))),"x",""))</f>
        <v/>
      </c>
      <c r="S825" s="51" t="str">
        <f>IF(ISERROR(FIND('112'!$M$9,G825,1)),"",IF((AND(LEFT(G825,2)=LEFT('112'!$M$9,2),B825&lt;'112'!$N$8,$L825='112'!$I$6)),"x",""))</f>
        <v/>
      </c>
      <c r="T825" s="51" t="str">
        <f>IF(ISERROR(FIND('112'!$M$9,G825,1)),"",IF((AND(RIGHT(G825,2)=RIGHT('112'!$M$9,2),B825&lt;'112'!$N$8,$M825='112'!$I$6)),"x",""))</f>
        <v/>
      </c>
      <c r="U825" s="51" t="str">
        <f>IF(AND(L825="154",'154'!$O$5&lt;=B825,'154'!$P$5&gt;=B825),"154",IF(AND(L825="632",'632'!$L$5&lt;=B825,'632'!$M$5&gt;=B825),"632",IF(AND(L825="642",'642'!$N$5&lt;=B825,'642'!$O$5&gt;=B825),"642",IF(AND(L825="641",'641'!$N$5&lt;=B825,'641'!$O$5&gt;=B825),"641",""))))</f>
        <v/>
      </c>
      <c r="V825" s="51" t="str">
        <f>IF(OR(TH!L825=TH!$V$7,M825=TH!$V$7),"x","")</f>
        <v/>
      </c>
      <c r="W825" s="51" t="str">
        <f>IF(AND(B825&gt;='IN-NX'!$P$3,B825&lt;='IN-NX'!$Q$3,'IN-NX'!$D$7=D825,OR(LEFT(L825,2)="15",AND(LEFT(M825,2)&lt;&gt;"15",LEFT(M825,2)&lt;&gt;"33"))),"x","")</f>
        <v/>
      </c>
      <c r="X825" s="51" t="str">
        <f>IF(AND(OR(LEFT(TH!L825,2)="15",LEFT(TH!M825,2)="15"),'152-CT'!$J$8=TH!F825),"x","")</f>
        <v/>
      </c>
      <c r="Y825" s="51" t="str">
        <f>IF(AND(OR(LEFT(TH!L825,2)="15",LEFT(TH!M825,2)="15"),TK!$E$7=TH!F825),"x","")</f>
        <v/>
      </c>
      <c r="Z825" s="51" t="str">
        <f>IF(AND(B825&lt;=NKC!$N$8,B825&gt;=NKC!$M$8),"x","")</f>
        <v/>
      </c>
      <c r="AA825" s="803"/>
      <c r="AB825" s="565"/>
    </row>
    <row r="826" spans="1:31" ht="15.75" customHeight="1">
      <c r="A826" s="804" t="str">
        <f>IF(B826&lt;&gt;"",IF(AND(B826&gt;=_TM1,B826&lt;=_TM2,OR(TH!L826="1111",TH!M826="1111")),TH!D826,""),"")</f>
        <v/>
      </c>
      <c r="B826" s="36">
        <f t="shared" si="53"/>
        <v>10</v>
      </c>
      <c r="C826" s="189">
        <f t="shared" si="54"/>
        <v>42288</v>
      </c>
      <c r="D826" s="189" t="s">
        <v>1292</v>
      </c>
      <c r="E826" s="189">
        <v>42288</v>
      </c>
      <c r="F826" s="190" t="s">
        <v>962</v>
      </c>
      <c r="G826" s="811" t="s">
        <v>1065</v>
      </c>
      <c r="H826" s="191" t="s">
        <v>450</v>
      </c>
      <c r="I826" s="243"/>
      <c r="J826" s="243"/>
      <c r="K826" s="573">
        <v>556600</v>
      </c>
      <c r="L826" s="574" t="s">
        <v>250</v>
      </c>
      <c r="M826" s="574" t="s">
        <v>352</v>
      </c>
      <c r="N826" s="51" t="str">
        <f>IF(AND('331-CT'!$E$7=TH!H826,OR(L826="331",M826="331")),"331",IF(AND(OR(L826="131",M826="131"),H826='131-CT'!$E$7),"131",""))</f>
        <v/>
      </c>
      <c r="O826" s="51" t="str">
        <f>IF(AND($B826&gt;='111'!$N$11,$B826&lt;='111'!$O$11,OR($L826=$O$7,$M826=$O$7)),"x","")</f>
        <v/>
      </c>
      <c r="P826" s="51" t="str">
        <f>IF(AND($L826=$O$7,$B826&lt;'111'!$N$11),"x","")</f>
        <v/>
      </c>
      <c r="Q826" s="51" t="str">
        <f>IF(AND($M826=$O$7,$B826&lt;'111'!$N$11),"x","")</f>
        <v/>
      </c>
      <c r="R826" s="51" t="str">
        <f>IF(ISERROR(FIND('112'!$M$9,G826,1)),"",IF((AND(FIND('112'!$M$9,G826,1)&gt;=1,$B826&gt;='112'!$N$8,$B826&lt;='112'!$O$8,OR($L826='112'!$I$6,$M826='112'!$I$6))),"x",""))</f>
        <v/>
      </c>
      <c r="S826" s="51" t="str">
        <f>IF(ISERROR(FIND('112'!$M$9,G826,1)),"",IF((AND(LEFT(G826,2)=LEFT('112'!$M$9,2),B826&lt;'112'!$N$8,$L826='112'!$I$6)),"x",""))</f>
        <v/>
      </c>
      <c r="T826" s="51" t="str">
        <f>IF(ISERROR(FIND('112'!$M$9,G826,1)),"",IF((AND(RIGHT(G826,2)=RIGHT('112'!$M$9,2),B826&lt;'112'!$N$8,$M826='112'!$I$6)),"x",""))</f>
        <v/>
      </c>
      <c r="U826" s="51" t="str">
        <f>IF(AND(L826="154",'154'!$O$5&lt;=B826,'154'!$P$5&gt;=B826),"154",IF(AND(L826="632",'632'!$L$5&lt;=B826,'632'!$M$5&gt;=B826),"632",IF(AND(L826="642",'642'!$N$5&lt;=B826,'642'!$O$5&gt;=B826),"642",IF(AND(L826="641",'641'!$N$5&lt;=B826,'641'!$O$5&gt;=B826),"641",""))))</f>
        <v/>
      </c>
      <c r="V826" s="51" t="str">
        <f>IF(OR(TH!L826=TH!$V$7,M826=TH!$V$7),"x","")</f>
        <v/>
      </c>
      <c r="W826" s="51" t="str">
        <f>IF(AND(B826&gt;='IN-NX'!$P$3,B826&lt;='IN-NX'!$Q$3,'IN-NX'!$D$7=D826,OR(LEFT(L826,2)="15",AND(LEFT(M826,2)&lt;&gt;"15",LEFT(M826,2)&lt;&gt;"33"))),"x","")</f>
        <v/>
      </c>
      <c r="X826" s="51" t="str">
        <f>IF(AND(OR(LEFT(TH!L826,2)="15",LEFT(TH!M826,2)="15"),'152-CT'!$J$8=TH!F826),"x","")</f>
        <v/>
      </c>
      <c r="Y826" s="51" t="str">
        <f>IF(AND(OR(LEFT(TH!L826,2)="15",LEFT(TH!M826,2)="15"),TK!$E$7=TH!F826),"x","")</f>
        <v/>
      </c>
      <c r="Z826" s="51" t="str">
        <f>IF(AND(B826&lt;=NKC!$N$8,B826&gt;=NKC!$M$8),"x","")</f>
        <v/>
      </c>
      <c r="AA826" s="803"/>
      <c r="AB826" s="565"/>
    </row>
    <row r="827" spans="1:31" s="565" customFormat="1" ht="15.75" customHeight="1">
      <c r="A827" s="804" t="str">
        <f>IF(B827&lt;&gt;"",IF(AND(B827&gt;=_TM1,B827&lt;=_TM2,OR(TH!L827="1111",TH!M827="1111")),TH!D827,""),"")</f>
        <v/>
      </c>
      <c r="B827" s="36">
        <f t="shared" si="53"/>
        <v>10</v>
      </c>
      <c r="C827" s="189">
        <f t="shared" si="54"/>
        <v>42289</v>
      </c>
      <c r="D827" s="189" t="s">
        <v>1293</v>
      </c>
      <c r="E827" s="189">
        <v>42289</v>
      </c>
      <c r="F827" s="190" t="s">
        <v>753</v>
      </c>
      <c r="G827" s="811" t="s">
        <v>1066</v>
      </c>
      <c r="H827" s="202" t="s">
        <v>424</v>
      </c>
      <c r="I827" s="243">
        <v>122</v>
      </c>
      <c r="J827" s="243">
        <v>12850</v>
      </c>
      <c r="K827" s="573">
        <f>ROUND(I827*J827,0)</f>
        <v>1567700</v>
      </c>
      <c r="L827" s="574" t="s">
        <v>250</v>
      </c>
      <c r="M827" s="574" t="s">
        <v>164</v>
      </c>
      <c r="N827" s="51" t="str">
        <f>IF(AND('331-CT'!$E$7=TH!H827,OR(L827="331",M827="331")),"331",IF(AND(OR(L827="131",M827="131"),H827='131-CT'!$E$7),"131",""))</f>
        <v/>
      </c>
      <c r="O827" s="51" t="str">
        <f>IF(AND($B827&gt;='111'!$N$11,$B827&lt;='111'!$O$11,OR($L827=$O$7,$M827=$O$7)),"x","")</f>
        <v/>
      </c>
      <c r="P827" s="51" t="str">
        <f>IF(AND($L827=$O$7,$B827&lt;'111'!$N$11),"x","")</f>
        <v/>
      </c>
      <c r="Q827" s="51" t="str">
        <f>IF(AND($M827=$O$7,$B827&lt;'111'!$N$11),"x","")</f>
        <v/>
      </c>
      <c r="R827" s="51" t="str">
        <f>IF(ISERROR(FIND('112'!$M$9,G827,1)),"",IF((AND(FIND('112'!$M$9,G827,1)&gt;=1,$B827&gt;='112'!$N$8,$B827&lt;='112'!$O$8,OR($L827='112'!$I$6,$M827='112'!$I$6))),"x",""))</f>
        <v/>
      </c>
      <c r="S827" s="51" t="str">
        <f>IF(ISERROR(FIND('112'!$M$9,G827,1)),"",IF((AND(LEFT(G827,2)=LEFT('112'!$M$9,2),B827&lt;'112'!$N$8,$L827='112'!$I$6)),"x",""))</f>
        <v/>
      </c>
      <c r="T827" s="51" t="str">
        <f>IF(ISERROR(FIND('112'!$M$9,G827,1)),"",IF((AND(RIGHT(G827,2)=RIGHT('112'!$M$9,2),B827&lt;'112'!$N$8,$M827='112'!$I$6)),"x",""))</f>
        <v/>
      </c>
      <c r="U827" s="51" t="str">
        <f>IF(AND(L827="154",'154'!$O$5&lt;=B827,'154'!$P$5&gt;=B827),"154",IF(AND(L827="632",'632'!$L$5&lt;=B827,'632'!$M$5&gt;=B827),"632",IF(AND(L827="642",'642'!$N$5&lt;=B827,'642'!$O$5&gt;=B827),"642",IF(AND(L827="641",'641'!$N$5&lt;=B827,'641'!$O$5&gt;=B827),"641",""))))</f>
        <v/>
      </c>
      <c r="V827" s="51" t="str">
        <f>IF(OR(TH!L827=TH!$V$7,M827=TH!$V$7),"x","")</f>
        <v/>
      </c>
      <c r="W827" s="51" t="str">
        <f>IF(AND(B827&gt;='IN-NX'!$P$3,B827&lt;='IN-NX'!$Q$3,'IN-NX'!$D$7=D827,OR(LEFT(L827,2)="15",AND(LEFT(M827,2)&lt;&gt;"15",LEFT(M827,2)&lt;&gt;"33"))),"x","")</f>
        <v/>
      </c>
      <c r="X827" s="51" t="str">
        <f>IF(AND(OR(LEFT(TH!L827,2)="15",LEFT(TH!M827,2)="15"),'152-CT'!$J$8=TH!F827),"x","")</f>
        <v/>
      </c>
      <c r="Y827" s="51" t="str">
        <f>IF(AND(OR(LEFT(TH!L827,2)="15",LEFT(TH!M827,2)="15"),TK!$E$7=TH!F827),"x","")</f>
        <v/>
      </c>
      <c r="Z827" s="51" t="str">
        <f>IF(AND(B827&lt;=NKC!$N$8,B827&gt;=NKC!$M$8),"x","")</f>
        <v/>
      </c>
      <c r="AA827" s="803"/>
      <c r="AC827" s="203"/>
      <c r="AD827" s="203"/>
      <c r="AE827" s="203"/>
    </row>
    <row r="828" spans="1:31" ht="15.75" customHeight="1">
      <c r="A828" s="804" t="str">
        <f>IF(B828&lt;&gt;"",IF(AND(B828&gt;=_TM1,B828&lt;=_TM2,OR(TH!L828="1111",TH!M828="1111")),TH!D828,""),"")</f>
        <v/>
      </c>
      <c r="B828" s="36">
        <f t="shared" si="53"/>
        <v>10</v>
      </c>
      <c r="C828" s="189">
        <f t="shared" si="54"/>
        <v>42289</v>
      </c>
      <c r="D828" s="189" t="s">
        <v>1293</v>
      </c>
      <c r="E828" s="189">
        <v>42289</v>
      </c>
      <c r="F828" s="190" t="s">
        <v>754</v>
      </c>
      <c r="G828" s="811" t="s">
        <v>1066</v>
      </c>
      <c r="H828" s="202" t="s">
        <v>424</v>
      </c>
      <c r="I828" s="243">
        <v>122</v>
      </c>
      <c r="J828" s="243">
        <v>18480</v>
      </c>
      <c r="K828" s="573">
        <f>ROUND(I828*J828,0)</f>
        <v>2254560</v>
      </c>
      <c r="L828" s="574" t="s">
        <v>250</v>
      </c>
      <c r="M828" s="574" t="s">
        <v>164</v>
      </c>
      <c r="N828" s="51" t="str">
        <f>IF(AND('331-CT'!$E$7=TH!H828,OR(L828="331",M828="331")),"331",IF(AND(OR(L828="131",M828="131"),H828='131-CT'!$E$7),"131",""))</f>
        <v/>
      </c>
      <c r="O828" s="51" t="str">
        <f>IF(AND($B828&gt;='111'!$N$11,$B828&lt;='111'!$O$11,OR($L828=$O$7,$M828=$O$7)),"x","")</f>
        <v/>
      </c>
      <c r="P828" s="51" t="str">
        <f>IF(AND($L828=$O$7,$B828&lt;'111'!$N$11),"x","")</f>
        <v/>
      </c>
      <c r="Q828" s="51" t="str">
        <f>IF(AND($M828=$O$7,$B828&lt;'111'!$N$11),"x","")</f>
        <v/>
      </c>
      <c r="R828" s="51" t="str">
        <f>IF(ISERROR(FIND('112'!$M$9,G828,1)),"",IF((AND(FIND('112'!$M$9,G828,1)&gt;=1,$B828&gt;='112'!$N$8,$B828&lt;='112'!$O$8,OR($L828='112'!$I$6,$M828='112'!$I$6))),"x",""))</f>
        <v/>
      </c>
      <c r="S828" s="51" t="str">
        <f>IF(ISERROR(FIND('112'!$M$9,G828,1)),"",IF((AND(LEFT(G828,2)=LEFT('112'!$M$9,2),B828&lt;'112'!$N$8,$L828='112'!$I$6)),"x",""))</f>
        <v/>
      </c>
      <c r="T828" s="51" t="str">
        <f>IF(ISERROR(FIND('112'!$M$9,G828,1)),"",IF((AND(RIGHT(G828,2)=RIGHT('112'!$M$9,2),B828&lt;'112'!$N$8,$M828='112'!$I$6)),"x",""))</f>
        <v/>
      </c>
      <c r="U828" s="51" t="str">
        <f>IF(AND(L828="154",'154'!$O$5&lt;=B828,'154'!$P$5&gt;=B828),"154",IF(AND(L828="632",'632'!$L$5&lt;=B828,'632'!$M$5&gt;=B828),"632",IF(AND(L828="642",'642'!$N$5&lt;=B828,'642'!$O$5&gt;=B828),"642",IF(AND(L828="641",'641'!$N$5&lt;=B828,'641'!$O$5&gt;=B828),"641",""))))</f>
        <v/>
      </c>
      <c r="V828" s="51" t="str">
        <f>IF(OR(TH!L828=TH!$V$7,M828=TH!$V$7),"x","")</f>
        <v/>
      </c>
      <c r="W828" s="51" t="str">
        <f>IF(AND(B828&gt;='IN-NX'!$P$3,B828&lt;='IN-NX'!$Q$3,'IN-NX'!$D$7=D828,OR(LEFT(L828,2)="15",AND(LEFT(M828,2)&lt;&gt;"15",LEFT(M828,2)&lt;&gt;"33"))),"x","")</f>
        <v/>
      </c>
      <c r="X828" s="51" t="str">
        <f>IF(AND(OR(LEFT(TH!L828,2)="15",LEFT(TH!M828,2)="15"),'152-CT'!$J$8=TH!F828),"x","")</f>
        <v/>
      </c>
      <c r="Y828" s="51" t="str">
        <f>IF(AND(OR(LEFT(TH!L828,2)="15",LEFT(TH!M828,2)="15"),TK!$E$7=TH!F828),"x","")</f>
        <v/>
      </c>
      <c r="Z828" s="51" t="str">
        <f>IF(AND(B828&lt;=NKC!$N$8,B828&gt;=NKC!$M$8),"x","")</f>
        <v/>
      </c>
      <c r="AA828" s="803"/>
      <c r="AB828" s="565"/>
    </row>
    <row r="829" spans="1:31" ht="15.75" customHeight="1">
      <c r="A829" s="804" t="str">
        <f>IF(B829&lt;&gt;"",IF(AND(B829&gt;=_TM1,B829&lt;=_TM2,OR(TH!L829="1111",TH!M829="1111")),TH!D829,""),"")</f>
        <v/>
      </c>
      <c r="B829" s="36">
        <f t="shared" si="53"/>
        <v>10</v>
      </c>
      <c r="C829" s="189">
        <f t="shared" si="54"/>
        <v>42289</v>
      </c>
      <c r="D829" s="189" t="s">
        <v>1293</v>
      </c>
      <c r="E829" s="189">
        <v>42289</v>
      </c>
      <c r="F829" s="190" t="s">
        <v>755</v>
      </c>
      <c r="G829" s="811" t="s">
        <v>1066</v>
      </c>
      <c r="H829" s="202" t="s">
        <v>424</v>
      </c>
      <c r="I829" s="243">
        <v>122</v>
      </c>
      <c r="J829" s="243">
        <v>23290</v>
      </c>
      <c r="K829" s="573">
        <f>ROUND(I829*J829,0)</f>
        <v>2841380</v>
      </c>
      <c r="L829" s="574" t="s">
        <v>250</v>
      </c>
      <c r="M829" s="574" t="s">
        <v>164</v>
      </c>
      <c r="N829" s="51" t="str">
        <f>IF(AND('331-CT'!$E$7=TH!H829,OR(L829="331",M829="331")),"331",IF(AND(OR(L829="131",M829="131"),H829='131-CT'!$E$7),"131",""))</f>
        <v/>
      </c>
      <c r="O829" s="51" t="str">
        <f>IF(AND($B829&gt;='111'!$N$11,$B829&lt;='111'!$O$11,OR($L829=$O$7,$M829=$O$7)),"x","")</f>
        <v/>
      </c>
      <c r="P829" s="51" t="str">
        <f>IF(AND($L829=$O$7,$B829&lt;'111'!$N$11),"x","")</f>
        <v/>
      </c>
      <c r="Q829" s="51" t="str">
        <f>IF(AND($M829=$O$7,$B829&lt;'111'!$N$11),"x","")</f>
        <v/>
      </c>
      <c r="R829" s="51" t="str">
        <f>IF(ISERROR(FIND('112'!$M$9,G829,1)),"",IF((AND(FIND('112'!$M$9,G829,1)&gt;=1,$B829&gt;='112'!$N$8,$B829&lt;='112'!$O$8,OR($L829='112'!$I$6,$M829='112'!$I$6))),"x",""))</f>
        <v/>
      </c>
      <c r="S829" s="51" t="str">
        <f>IF(ISERROR(FIND('112'!$M$9,G829,1)),"",IF((AND(LEFT(G829,2)=LEFT('112'!$M$9,2),B829&lt;'112'!$N$8,$L829='112'!$I$6)),"x",""))</f>
        <v/>
      </c>
      <c r="T829" s="51" t="str">
        <f>IF(ISERROR(FIND('112'!$M$9,G829,1)),"",IF((AND(RIGHT(G829,2)=RIGHT('112'!$M$9,2),B829&lt;'112'!$N$8,$M829='112'!$I$6)),"x",""))</f>
        <v/>
      </c>
      <c r="U829" s="51" t="str">
        <f>IF(AND(L829="154",'154'!$O$5&lt;=B829,'154'!$P$5&gt;=B829),"154",IF(AND(L829="632",'632'!$L$5&lt;=B829,'632'!$M$5&gt;=B829),"632",IF(AND(L829="642",'642'!$N$5&lt;=B829,'642'!$O$5&gt;=B829),"642",IF(AND(L829="641",'641'!$N$5&lt;=B829,'641'!$O$5&gt;=B829),"641",""))))</f>
        <v/>
      </c>
      <c r="V829" s="51" t="str">
        <f>IF(OR(TH!L829=TH!$V$7,M829=TH!$V$7),"x","")</f>
        <v/>
      </c>
      <c r="W829" s="51" t="str">
        <f>IF(AND(B829&gt;='IN-NX'!$P$3,B829&lt;='IN-NX'!$Q$3,'IN-NX'!$D$7=D829,OR(LEFT(L829,2)="15",AND(LEFT(M829,2)&lt;&gt;"15",LEFT(M829,2)&lt;&gt;"33"))),"x","")</f>
        <v/>
      </c>
      <c r="X829" s="51" t="str">
        <f>IF(AND(OR(LEFT(TH!L829,2)="15",LEFT(TH!M829,2)="15"),'152-CT'!$J$8=TH!F829),"x","")</f>
        <v/>
      </c>
      <c r="Y829" s="51" t="str">
        <f>IF(AND(OR(LEFT(TH!L829,2)="15",LEFT(TH!M829,2)="15"),TK!$E$7=TH!F829),"x","")</f>
        <v/>
      </c>
      <c r="Z829" s="51" t="str">
        <f>IF(AND(B829&lt;=NKC!$N$8,B829&gt;=NKC!$M$8),"x","")</f>
        <v/>
      </c>
      <c r="AA829" s="803"/>
      <c r="AB829" s="565"/>
    </row>
    <row r="830" spans="1:31" ht="15.75" customHeight="1">
      <c r="A830" s="804" t="str">
        <f>IF(B830&lt;&gt;"",IF(AND(B830&gt;=_TM1,B830&lt;=_TM2,OR(TH!L830="1111",TH!M830="1111")),TH!D830,""),"")</f>
        <v/>
      </c>
      <c r="B830" s="36">
        <f t="shared" si="53"/>
        <v>10</v>
      </c>
      <c r="C830" s="189">
        <f t="shared" si="54"/>
        <v>42289</v>
      </c>
      <c r="D830" s="189" t="s">
        <v>1293</v>
      </c>
      <c r="E830" s="189">
        <v>42289</v>
      </c>
      <c r="F830" s="190" t="s">
        <v>962</v>
      </c>
      <c r="G830" s="811" t="s">
        <v>1066</v>
      </c>
      <c r="H830" s="202" t="s">
        <v>424</v>
      </c>
      <c r="I830" s="243"/>
      <c r="J830" s="243"/>
      <c r="K830" s="573">
        <v>666364</v>
      </c>
      <c r="L830" s="574" t="s">
        <v>250</v>
      </c>
      <c r="M830" s="574" t="s">
        <v>352</v>
      </c>
      <c r="N830" s="51" t="str">
        <f>IF(AND('331-CT'!$E$7=TH!H830,OR(L830="331",M830="331")),"331",IF(AND(OR(L830="131",M830="131"),H830='131-CT'!$E$7),"131",""))</f>
        <v/>
      </c>
      <c r="O830" s="51" t="str">
        <f>IF(AND($B830&gt;='111'!$N$11,$B830&lt;='111'!$O$11,OR($L830=$O$7,$M830=$O$7)),"x","")</f>
        <v/>
      </c>
      <c r="P830" s="51" t="str">
        <f>IF(AND($L830=$O$7,$B830&lt;'111'!$N$11),"x","")</f>
        <v/>
      </c>
      <c r="Q830" s="51" t="str">
        <f>IF(AND($M830=$O$7,$B830&lt;'111'!$N$11),"x","")</f>
        <v/>
      </c>
      <c r="R830" s="51" t="str">
        <f>IF(ISERROR(FIND('112'!$M$9,G830,1)),"",IF((AND(FIND('112'!$M$9,G830,1)&gt;=1,$B830&gt;='112'!$N$8,$B830&lt;='112'!$O$8,OR($L830='112'!$I$6,$M830='112'!$I$6))),"x",""))</f>
        <v/>
      </c>
      <c r="S830" s="51" t="str">
        <f>IF(ISERROR(FIND('112'!$M$9,G830,1)),"",IF((AND(LEFT(G830,2)=LEFT('112'!$M$9,2),B830&lt;'112'!$N$8,$L830='112'!$I$6)),"x",""))</f>
        <v/>
      </c>
      <c r="T830" s="51" t="str">
        <f>IF(ISERROR(FIND('112'!$M$9,G830,1)),"",IF((AND(RIGHT(G830,2)=RIGHT('112'!$M$9,2),B830&lt;'112'!$N$8,$M830='112'!$I$6)),"x",""))</f>
        <v/>
      </c>
      <c r="U830" s="51" t="str">
        <f>IF(AND(L830="154",'154'!$O$5&lt;=B830,'154'!$P$5&gt;=B830),"154",IF(AND(L830="632",'632'!$L$5&lt;=B830,'632'!$M$5&gt;=B830),"632",IF(AND(L830="642",'642'!$N$5&lt;=B830,'642'!$O$5&gt;=B830),"642",IF(AND(L830="641",'641'!$N$5&lt;=B830,'641'!$O$5&gt;=B830),"641",""))))</f>
        <v/>
      </c>
      <c r="V830" s="51" t="str">
        <f>IF(OR(TH!L830=TH!$V$7,M830=TH!$V$7),"x","")</f>
        <v/>
      </c>
      <c r="W830" s="51" t="str">
        <f>IF(AND(B830&gt;='IN-NX'!$P$3,B830&lt;='IN-NX'!$Q$3,'IN-NX'!$D$7=D830,OR(LEFT(L830,2)="15",AND(LEFT(M830,2)&lt;&gt;"15",LEFT(M830,2)&lt;&gt;"33"))),"x","")</f>
        <v/>
      </c>
      <c r="X830" s="51" t="str">
        <f>IF(AND(OR(LEFT(TH!L830,2)="15",LEFT(TH!M830,2)="15"),'152-CT'!$J$8=TH!F830),"x","")</f>
        <v/>
      </c>
      <c r="Y830" s="51" t="str">
        <f>IF(AND(OR(LEFT(TH!L830,2)="15",LEFT(TH!M830,2)="15"),TK!$E$7=TH!F830),"x","")</f>
        <v/>
      </c>
      <c r="Z830" s="51" t="str">
        <f>IF(AND(B830&lt;=NKC!$N$8,B830&gt;=NKC!$M$8),"x","")</f>
        <v/>
      </c>
      <c r="AA830" s="803"/>
      <c r="AB830" s="565"/>
    </row>
    <row r="831" spans="1:31" ht="15.75" customHeight="1">
      <c r="A831" s="804" t="str">
        <f>IF(B831&lt;&gt;"",IF(AND(B831&gt;=_TM1,B831&lt;=_TM2,OR(TH!L831="1111",TH!M831="1111")),TH!D831,""),"")</f>
        <v/>
      </c>
      <c r="B831" s="36">
        <f t="shared" si="53"/>
        <v>10</v>
      </c>
      <c r="C831" s="189">
        <f t="shared" si="54"/>
        <v>42289</v>
      </c>
      <c r="D831" s="189" t="s">
        <v>1294</v>
      </c>
      <c r="E831" s="189">
        <v>42289</v>
      </c>
      <c r="F831" s="190" t="s">
        <v>1209</v>
      </c>
      <c r="G831" s="811" t="s">
        <v>1067</v>
      </c>
      <c r="H831" s="191" t="s">
        <v>1063</v>
      </c>
      <c r="I831" s="243">
        <v>1200</v>
      </c>
      <c r="J831" s="243">
        <v>9800</v>
      </c>
      <c r="K831" s="573">
        <f>ROUND(I831*J831,0)</f>
        <v>11760000</v>
      </c>
      <c r="L831" s="574" t="s">
        <v>250</v>
      </c>
      <c r="M831" s="574" t="s">
        <v>164</v>
      </c>
      <c r="N831" s="51" t="str">
        <f>IF(AND('331-CT'!$E$7=TH!H831,OR(L831="331",M831="331")),"331",IF(AND(OR(L831="131",M831="131"),H831='131-CT'!$E$7),"131",""))</f>
        <v/>
      </c>
      <c r="O831" s="51" t="str">
        <f>IF(AND($B831&gt;='111'!$N$11,$B831&lt;='111'!$O$11,OR($L831=$O$7,$M831=$O$7)),"x","")</f>
        <v/>
      </c>
      <c r="P831" s="51" t="str">
        <f>IF(AND($L831=$O$7,$B831&lt;'111'!$N$11),"x","")</f>
        <v/>
      </c>
      <c r="Q831" s="51" t="str">
        <f>IF(AND($M831=$O$7,$B831&lt;'111'!$N$11),"x","")</f>
        <v/>
      </c>
      <c r="R831" s="51" t="str">
        <f>IF(ISERROR(FIND('112'!$M$9,G831,1)),"",IF((AND(FIND('112'!$M$9,G831,1)&gt;=1,$B831&gt;='112'!$N$8,$B831&lt;='112'!$O$8,OR($L831='112'!$I$6,$M831='112'!$I$6))),"x",""))</f>
        <v/>
      </c>
      <c r="S831" s="51" t="str">
        <f>IF(ISERROR(FIND('112'!$M$9,G831,1)),"",IF((AND(LEFT(G831,2)=LEFT('112'!$M$9,2),B831&lt;'112'!$N$8,$L831='112'!$I$6)),"x",""))</f>
        <v/>
      </c>
      <c r="T831" s="51" t="str">
        <f>IF(ISERROR(FIND('112'!$M$9,G831,1)),"",IF((AND(RIGHT(G831,2)=RIGHT('112'!$M$9,2),B831&lt;'112'!$N$8,$M831='112'!$I$6)),"x",""))</f>
        <v/>
      </c>
      <c r="U831" s="51" t="str">
        <f>IF(AND(L831="154",'154'!$O$5&lt;=B831,'154'!$P$5&gt;=B831),"154",IF(AND(L831="632",'632'!$L$5&lt;=B831,'632'!$M$5&gt;=B831),"632",IF(AND(L831="642",'642'!$N$5&lt;=B831,'642'!$O$5&gt;=B831),"642",IF(AND(L831="641",'641'!$N$5&lt;=B831,'641'!$O$5&gt;=B831),"641",""))))</f>
        <v/>
      </c>
      <c r="V831" s="51" t="str">
        <f>IF(OR(TH!L831=TH!$V$7,M831=TH!$V$7),"x","")</f>
        <v/>
      </c>
      <c r="W831" s="51" t="str">
        <f>IF(AND(B831&gt;='IN-NX'!$P$3,B831&lt;='IN-NX'!$Q$3,'IN-NX'!$D$7=D831,OR(LEFT(L831,2)="15",AND(LEFT(M831,2)&lt;&gt;"15",LEFT(M831,2)&lt;&gt;"33"))),"x","")</f>
        <v/>
      </c>
      <c r="X831" s="51" t="str">
        <f>IF(AND(OR(LEFT(TH!L831,2)="15",LEFT(TH!M831,2)="15"),'152-CT'!$J$8=TH!F831),"x","")</f>
        <v/>
      </c>
      <c r="Y831" s="51" t="str">
        <f>IF(AND(OR(LEFT(TH!L831,2)="15",LEFT(TH!M831,2)="15"),TK!$E$7=TH!F831),"x","")</f>
        <v/>
      </c>
      <c r="Z831" s="51" t="str">
        <f>IF(AND(B831&lt;=NKC!$N$8,B831&gt;=NKC!$M$8),"x","")</f>
        <v/>
      </c>
      <c r="AA831" s="803"/>
      <c r="AB831" s="565"/>
    </row>
    <row r="832" spans="1:31" ht="15.75" customHeight="1">
      <c r="A832" s="804" t="str">
        <f>IF(B832&lt;&gt;"",IF(AND(B832&gt;=_TM1,B832&lt;=_TM2,OR(TH!L832="1111",TH!M832="1111")),TH!D832,""),"")</f>
        <v/>
      </c>
      <c r="B832" s="36">
        <f t="shared" si="53"/>
        <v>10</v>
      </c>
      <c r="C832" s="189">
        <f t="shared" si="54"/>
        <v>42289</v>
      </c>
      <c r="D832" s="189" t="s">
        <v>1294</v>
      </c>
      <c r="E832" s="189">
        <v>42289</v>
      </c>
      <c r="F832" s="190" t="s">
        <v>962</v>
      </c>
      <c r="G832" s="811" t="s">
        <v>1067</v>
      </c>
      <c r="H832" s="191" t="s">
        <v>1063</v>
      </c>
      <c r="I832" s="243"/>
      <c r="J832" s="243"/>
      <c r="K832" s="573">
        <v>1176000</v>
      </c>
      <c r="L832" s="574" t="s">
        <v>250</v>
      </c>
      <c r="M832" s="574" t="s">
        <v>352</v>
      </c>
      <c r="N832" s="51" t="str">
        <f>IF(AND('331-CT'!$E$7=TH!H832,OR(L832="331",M832="331")),"331",IF(AND(OR(L832="131",M832="131"),H832='131-CT'!$E$7),"131",""))</f>
        <v/>
      </c>
      <c r="O832" s="51" t="str">
        <f>IF(AND($B832&gt;='111'!$N$11,$B832&lt;='111'!$O$11,OR($L832=$O$7,$M832=$O$7)),"x","")</f>
        <v/>
      </c>
      <c r="P832" s="51" t="str">
        <f>IF(AND($L832=$O$7,$B832&lt;'111'!$N$11),"x","")</f>
        <v/>
      </c>
      <c r="Q832" s="51" t="str">
        <f>IF(AND($M832=$O$7,$B832&lt;'111'!$N$11),"x","")</f>
        <v/>
      </c>
      <c r="R832" s="51" t="str">
        <f>IF(ISERROR(FIND('112'!$M$9,G832,1)),"",IF((AND(FIND('112'!$M$9,G832,1)&gt;=1,$B832&gt;='112'!$N$8,$B832&lt;='112'!$O$8,OR($L832='112'!$I$6,$M832='112'!$I$6))),"x",""))</f>
        <v/>
      </c>
      <c r="S832" s="51" t="str">
        <f>IF(ISERROR(FIND('112'!$M$9,G832,1)),"",IF((AND(LEFT(G832,2)=LEFT('112'!$M$9,2),B832&lt;'112'!$N$8,$L832='112'!$I$6)),"x",""))</f>
        <v/>
      </c>
      <c r="T832" s="51" t="str">
        <f>IF(ISERROR(FIND('112'!$M$9,G832,1)),"",IF((AND(RIGHT(G832,2)=RIGHT('112'!$M$9,2),B832&lt;'112'!$N$8,$M832='112'!$I$6)),"x",""))</f>
        <v/>
      </c>
      <c r="U832" s="51" t="str">
        <f>IF(AND(L832="154",'154'!$O$5&lt;=B832,'154'!$P$5&gt;=B832),"154",IF(AND(L832="632",'632'!$L$5&lt;=B832,'632'!$M$5&gt;=B832),"632",IF(AND(L832="642",'642'!$N$5&lt;=B832,'642'!$O$5&gt;=B832),"642",IF(AND(L832="641",'641'!$N$5&lt;=B832,'641'!$O$5&gt;=B832),"641",""))))</f>
        <v/>
      </c>
      <c r="V832" s="51" t="str">
        <f>IF(OR(TH!L832=TH!$V$7,M832=TH!$V$7),"x","")</f>
        <v/>
      </c>
      <c r="W832" s="51" t="str">
        <f>IF(AND(B832&gt;='IN-NX'!$P$3,B832&lt;='IN-NX'!$Q$3,'IN-NX'!$D$7=D832,OR(LEFT(L832,2)="15",AND(LEFT(M832,2)&lt;&gt;"15",LEFT(M832,2)&lt;&gt;"33"))),"x","")</f>
        <v/>
      </c>
      <c r="X832" s="51" t="str">
        <f>IF(AND(OR(LEFT(TH!L832,2)="15",LEFT(TH!M832,2)="15"),'152-CT'!$J$8=TH!F832),"x","")</f>
        <v/>
      </c>
      <c r="Y832" s="51" t="str">
        <f>IF(AND(OR(LEFT(TH!L832,2)="15",LEFT(TH!M832,2)="15"),TK!$E$7=TH!F832),"x","")</f>
        <v/>
      </c>
      <c r="Z832" s="51" t="str">
        <f>IF(AND(B832&lt;=NKC!$N$8,B832&gt;=NKC!$M$8),"x","")</f>
        <v/>
      </c>
      <c r="AA832" s="803"/>
      <c r="AB832" s="565"/>
    </row>
    <row r="833" spans="1:31" ht="15.75" customHeight="1">
      <c r="A833" s="804" t="str">
        <f>IF(B833&lt;&gt;"",IF(AND(B833&gt;=_TM1,B833&lt;=_TM2,OR(TH!L833="1111",TH!M833="1111")),TH!D833,""),"")</f>
        <v/>
      </c>
      <c r="B833" s="36">
        <f t="shared" si="53"/>
        <v>10</v>
      </c>
      <c r="C833" s="189">
        <f t="shared" si="54"/>
        <v>42289</v>
      </c>
      <c r="D833" s="189" t="s">
        <v>1347</v>
      </c>
      <c r="E833" s="189">
        <v>42289</v>
      </c>
      <c r="F833" s="190" t="s">
        <v>423</v>
      </c>
      <c r="G833" s="811" t="s">
        <v>1067</v>
      </c>
      <c r="H833" s="191" t="s">
        <v>1063</v>
      </c>
      <c r="I833" s="243"/>
      <c r="J833" s="243"/>
      <c r="K833" s="573">
        <f>K831+K832</f>
        <v>12936000</v>
      </c>
      <c r="L833" s="574" t="s">
        <v>47</v>
      </c>
      <c r="M833" s="574" t="s">
        <v>250</v>
      </c>
      <c r="N833" s="51" t="str">
        <f>IF(AND('331-CT'!$E$7=TH!H833,OR(L833="331",M833="331")),"331",IF(AND(OR(L833="131",M833="131"),H833='131-CT'!$E$7),"131",""))</f>
        <v/>
      </c>
      <c r="O833" s="51" t="str">
        <f>IF(AND($B833&gt;='111'!$N$11,$B833&lt;='111'!$O$11,OR($L833=$O$7,$M833=$O$7)),"x","")</f>
        <v>x</v>
      </c>
      <c r="P833" s="51" t="str">
        <f>IF(AND($L833=$O$7,$B833&lt;'111'!$N$11),"x","")</f>
        <v/>
      </c>
      <c r="Q833" s="51" t="str">
        <f>IF(AND($M833=$O$7,$B833&lt;'111'!$N$11),"x","")</f>
        <v/>
      </c>
      <c r="R833" s="51" t="str">
        <f>IF(ISERROR(FIND('112'!$M$9,G833,1)),"",IF((AND(FIND('112'!$M$9,G833,1)&gt;=1,$B833&gt;='112'!$N$8,$B833&lt;='112'!$O$8,OR($L833='112'!$I$6,$M833='112'!$I$6))),"x",""))</f>
        <v/>
      </c>
      <c r="S833" s="51" t="str">
        <f>IF(ISERROR(FIND('112'!$M$9,G833,1)),"",IF((AND(LEFT(G833,2)=LEFT('112'!$M$9,2),B833&lt;'112'!$N$8,$L833='112'!$I$6)),"x",""))</f>
        <v/>
      </c>
      <c r="T833" s="51" t="str">
        <f>IF(ISERROR(FIND('112'!$M$9,G833,1)),"",IF((AND(RIGHT(G833,2)=RIGHT('112'!$M$9,2),B833&lt;'112'!$N$8,$M833='112'!$I$6)),"x",""))</f>
        <v/>
      </c>
      <c r="U833" s="51" t="str">
        <f>IF(AND(L833="154",'154'!$O$5&lt;=B833,'154'!$P$5&gt;=B833),"154",IF(AND(L833="632",'632'!$L$5&lt;=B833,'632'!$M$5&gt;=B833),"632",IF(AND(L833="642",'642'!$N$5&lt;=B833,'642'!$O$5&gt;=B833),"642",IF(AND(L833="641",'641'!$N$5&lt;=B833,'641'!$O$5&gt;=B833),"641",""))))</f>
        <v/>
      </c>
      <c r="V833" s="51" t="str">
        <f>IF(OR(TH!L833=TH!$V$7,M833=TH!$V$7),"x","")</f>
        <v/>
      </c>
      <c r="W833" s="51" t="str">
        <f>IF(AND(B833&gt;='IN-NX'!$P$3,B833&lt;='IN-NX'!$Q$3,'IN-NX'!$D$7=D833,OR(LEFT(L833,2)="15",AND(LEFT(M833,2)&lt;&gt;"15",LEFT(M833,2)&lt;&gt;"33"))),"x","")</f>
        <v/>
      </c>
      <c r="X833" s="51" t="str">
        <f>IF(AND(OR(LEFT(TH!L833,2)="15",LEFT(TH!M833,2)="15"),'152-CT'!$J$8=TH!F833),"x","")</f>
        <v/>
      </c>
      <c r="Y833" s="51" t="str">
        <f>IF(AND(OR(LEFT(TH!L833,2)="15",LEFT(TH!M833,2)="15"),TK!$E$7=TH!F833),"x","")</f>
        <v/>
      </c>
      <c r="Z833" s="51" t="str">
        <f>IF(AND(B833&lt;=NKC!$N$8,B833&gt;=NKC!$M$8),"x","")</f>
        <v/>
      </c>
      <c r="AA833" s="803"/>
      <c r="AB833" s="565"/>
    </row>
    <row r="834" spans="1:31" ht="15.75" customHeight="1">
      <c r="A834" s="804" t="str">
        <f>IF(B834&lt;&gt;"",IF(AND(B834&gt;=_TM1,B834&lt;=_TM2,OR(TH!L834="1111",TH!M834="1111")),TH!D834,""),"")</f>
        <v/>
      </c>
      <c r="B834" s="36">
        <f t="shared" si="53"/>
        <v>10</v>
      </c>
      <c r="C834" s="189">
        <f t="shared" si="54"/>
        <v>42290</v>
      </c>
      <c r="D834" s="189" t="s">
        <v>1295</v>
      </c>
      <c r="E834" s="189">
        <v>42290</v>
      </c>
      <c r="F834" s="190" t="s">
        <v>1211</v>
      </c>
      <c r="G834" s="811" t="s">
        <v>1068</v>
      </c>
      <c r="H834" s="202" t="s">
        <v>424</v>
      </c>
      <c r="I834" s="243">
        <v>5</v>
      </c>
      <c r="J834" s="243">
        <v>265497</v>
      </c>
      <c r="K834" s="573">
        <f t="shared" ref="K834:K840" si="55">ROUND(I834*J834,0)</f>
        <v>1327485</v>
      </c>
      <c r="L834" s="574" t="s">
        <v>250</v>
      </c>
      <c r="M834" s="574" t="s">
        <v>164</v>
      </c>
      <c r="N834" s="51" t="str">
        <f>IF(AND('331-CT'!$E$7=TH!H834,OR(L834="331",M834="331")),"331",IF(AND(OR(L834="131",M834="131"),H834='131-CT'!$E$7),"131",""))</f>
        <v/>
      </c>
      <c r="O834" s="51" t="str">
        <f>IF(AND($B834&gt;='111'!$N$11,$B834&lt;='111'!$O$11,OR($L834=$O$7,$M834=$O$7)),"x","")</f>
        <v/>
      </c>
      <c r="P834" s="51" t="str">
        <f>IF(AND($L834=$O$7,$B834&lt;'111'!$N$11),"x","")</f>
        <v/>
      </c>
      <c r="Q834" s="51" t="str">
        <f>IF(AND($M834=$O$7,$B834&lt;'111'!$N$11),"x","")</f>
        <v/>
      </c>
      <c r="R834" s="51" t="str">
        <f>IF(ISERROR(FIND('112'!$M$9,G834,1)),"",IF((AND(FIND('112'!$M$9,G834,1)&gt;=1,$B834&gt;='112'!$N$8,$B834&lt;='112'!$O$8,OR($L834='112'!$I$6,$M834='112'!$I$6))),"x",""))</f>
        <v/>
      </c>
      <c r="S834" s="51" t="str">
        <f>IF(ISERROR(FIND('112'!$M$9,G834,1)),"",IF((AND(LEFT(G834,2)=LEFT('112'!$M$9,2),B834&lt;'112'!$N$8,$L834='112'!$I$6)),"x",""))</f>
        <v/>
      </c>
      <c r="T834" s="51" t="str">
        <f>IF(ISERROR(FIND('112'!$M$9,G834,1)),"",IF((AND(RIGHT(G834,2)=RIGHT('112'!$M$9,2),B834&lt;'112'!$N$8,$M834='112'!$I$6)),"x",""))</f>
        <v/>
      </c>
      <c r="U834" s="51" t="str">
        <f>IF(AND(L834="154",'154'!$O$5&lt;=B834,'154'!$P$5&gt;=B834),"154",IF(AND(L834="632",'632'!$L$5&lt;=B834,'632'!$M$5&gt;=B834),"632",IF(AND(L834="642",'642'!$N$5&lt;=B834,'642'!$O$5&gt;=B834),"642",IF(AND(L834="641",'641'!$N$5&lt;=B834,'641'!$O$5&gt;=B834),"641",""))))</f>
        <v/>
      </c>
      <c r="V834" s="51" t="str">
        <f>IF(OR(TH!L834=TH!$V$7,M834=TH!$V$7),"x","")</f>
        <v/>
      </c>
      <c r="W834" s="51" t="str">
        <f>IF(AND(B834&gt;='IN-NX'!$P$3,B834&lt;='IN-NX'!$Q$3,'IN-NX'!$D$7=D834,OR(LEFT(L834,2)="15",AND(LEFT(M834,2)&lt;&gt;"15",LEFT(M834,2)&lt;&gt;"33"))),"x","")</f>
        <v/>
      </c>
      <c r="X834" s="51" t="str">
        <f>IF(AND(OR(LEFT(TH!L834,2)="15",LEFT(TH!M834,2)="15"),'152-CT'!$J$8=TH!F834),"x","")</f>
        <v/>
      </c>
      <c r="Y834" s="51" t="str">
        <f>IF(AND(OR(LEFT(TH!L834,2)="15",LEFT(TH!M834,2)="15"),TK!$E$7=TH!F834),"x","")</f>
        <v/>
      </c>
      <c r="Z834" s="51" t="str">
        <f>IF(AND(B834&lt;=NKC!$N$8,B834&gt;=NKC!$M$8),"x","")</f>
        <v/>
      </c>
      <c r="AA834" s="803"/>
      <c r="AB834" s="565"/>
    </row>
    <row r="835" spans="1:31" ht="15.75" customHeight="1">
      <c r="A835" s="804" t="str">
        <f>IF(B835&lt;&gt;"",IF(AND(B835&gt;=_TM1,B835&lt;=_TM2,OR(TH!L835="1111",TH!M835="1111")),TH!D835,""),"")</f>
        <v/>
      </c>
      <c r="B835" s="36">
        <f t="shared" si="53"/>
        <v>10</v>
      </c>
      <c r="C835" s="189">
        <f t="shared" si="54"/>
        <v>42290</v>
      </c>
      <c r="D835" s="189" t="s">
        <v>1295</v>
      </c>
      <c r="E835" s="189">
        <v>42290</v>
      </c>
      <c r="F835" s="190" t="s">
        <v>1212</v>
      </c>
      <c r="G835" s="811" t="s">
        <v>1068</v>
      </c>
      <c r="H835" s="202" t="s">
        <v>424</v>
      </c>
      <c r="I835" s="243">
        <v>7</v>
      </c>
      <c r="J835" s="243">
        <v>144585</v>
      </c>
      <c r="K835" s="573">
        <f t="shared" si="55"/>
        <v>1012095</v>
      </c>
      <c r="L835" s="574" t="s">
        <v>250</v>
      </c>
      <c r="M835" s="574" t="s">
        <v>164</v>
      </c>
      <c r="N835" s="51" t="str">
        <f>IF(AND('331-CT'!$E$7=TH!H835,OR(L835="331",M835="331")),"331",IF(AND(OR(L835="131",M835="131"),H835='131-CT'!$E$7),"131",""))</f>
        <v/>
      </c>
      <c r="O835" s="51" t="str">
        <f>IF(AND($B835&gt;='111'!$N$11,$B835&lt;='111'!$O$11,OR($L835=$O$7,$M835=$O$7)),"x","")</f>
        <v/>
      </c>
      <c r="P835" s="51" t="str">
        <f>IF(AND($L835=$O$7,$B835&lt;'111'!$N$11),"x","")</f>
        <v/>
      </c>
      <c r="Q835" s="51" t="str">
        <f>IF(AND($M835=$O$7,$B835&lt;'111'!$N$11),"x","")</f>
        <v/>
      </c>
      <c r="R835" s="51" t="str">
        <f>IF(ISERROR(FIND('112'!$M$9,G835,1)),"",IF((AND(FIND('112'!$M$9,G835,1)&gt;=1,$B835&gt;='112'!$N$8,$B835&lt;='112'!$O$8,OR($L835='112'!$I$6,$M835='112'!$I$6))),"x",""))</f>
        <v/>
      </c>
      <c r="S835" s="51" t="str">
        <f>IF(ISERROR(FIND('112'!$M$9,G835,1)),"",IF((AND(LEFT(G835,2)=LEFT('112'!$M$9,2),B835&lt;'112'!$N$8,$L835='112'!$I$6)),"x",""))</f>
        <v/>
      </c>
      <c r="T835" s="51" t="str">
        <f>IF(ISERROR(FIND('112'!$M$9,G835,1)),"",IF((AND(RIGHT(G835,2)=RIGHT('112'!$M$9,2),B835&lt;'112'!$N$8,$M835='112'!$I$6)),"x",""))</f>
        <v/>
      </c>
      <c r="U835" s="51" t="str">
        <f>IF(AND(L835="154",'154'!$O$5&lt;=B835,'154'!$P$5&gt;=B835),"154",IF(AND(L835="632",'632'!$L$5&lt;=B835,'632'!$M$5&gt;=B835),"632",IF(AND(L835="642",'642'!$N$5&lt;=B835,'642'!$O$5&gt;=B835),"642",IF(AND(L835="641",'641'!$N$5&lt;=B835,'641'!$O$5&gt;=B835),"641",""))))</f>
        <v/>
      </c>
      <c r="V835" s="51" t="str">
        <f>IF(OR(TH!L835=TH!$V$7,M835=TH!$V$7),"x","")</f>
        <v/>
      </c>
      <c r="W835" s="51" t="str">
        <f>IF(AND(B835&gt;='IN-NX'!$P$3,B835&lt;='IN-NX'!$Q$3,'IN-NX'!$D$7=D835,OR(LEFT(L835,2)="15",AND(LEFT(M835,2)&lt;&gt;"15",LEFT(M835,2)&lt;&gt;"33"))),"x","")</f>
        <v/>
      </c>
      <c r="X835" s="51" t="str">
        <f>IF(AND(OR(LEFT(TH!L835,2)="15",LEFT(TH!M835,2)="15"),'152-CT'!$J$8=TH!F835),"x","")</f>
        <v/>
      </c>
      <c r="Y835" s="51" t="str">
        <f>IF(AND(OR(LEFT(TH!L835,2)="15",LEFT(TH!M835,2)="15"),TK!$E$7=TH!F835),"x","")</f>
        <v/>
      </c>
      <c r="Z835" s="51" t="str">
        <f>IF(AND(B835&lt;=NKC!$N$8,B835&gt;=NKC!$M$8),"x","")</f>
        <v/>
      </c>
      <c r="AA835" s="803"/>
      <c r="AB835" s="565"/>
    </row>
    <row r="836" spans="1:31" ht="15.75" customHeight="1">
      <c r="A836" s="804" t="str">
        <f>IF(B836&lt;&gt;"",IF(AND(B836&gt;=_TM1,B836&lt;=_TM2,OR(TH!L836="1111",TH!M836="1111")),TH!D836,""),"")</f>
        <v/>
      </c>
      <c r="B836" s="36">
        <f t="shared" si="53"/>
        <v>10</v>
      </c>
      <c r="C836" s="189">
        <f t="shared" si="54"/>
        <v>42290</v>
      </c>
      <c r="D836" s="189" t="s">
        <v>1295</v>
      </c>
      <c r="E836" s="189">
        <v>42290</v>
      </c>
      <c r="F836" s="926" t="s">
        <v>1213</v>
      </c>
      <c r="G836" s="811" t="s">
        <v>1068</v>
      </c>
      <c r="H836" s="202" t="s">
        <v>424</v>
      </c>
      <c r="I836" s="243">
        <v>3</v>
      </c>
      <c r="J836" s="243">
        <v>193781</v>
      </c>
      <c r="K836" s="573">
        <f t="shared" si="55"/>
        <v>581343</v>
      </c>
      <c r="L836" s="574" t="s">
        <v>250</v>
      </c>
      <c r="M836" s="574" t="s">
        <v>164</v>
      </c>
      <c r="N836" s="51" t="str">
        <f>IF(AND('331-CT'!$E$7=TH!H836,OR(L836="331",M836="331")),"331",IF(AND(OR(L836="131",M836="131"),H836='131-CT'!$E$7),"131",""))</f>
        <v/>
      </c>
      <c r="O836" s="51" t="str">
        <f>IF(AND($B836&gt;='111'!$N$11,$B836&lt;='111'!$O$11,OR($L836=$O$7,$M836=$O$7)),"x","")</f>
        <v/>
      </c>
      <c r="P836" s="51" t="str">
        <f>IF(AND($L836=$O$7,$B836&lt;'111'!$N$11),"x","")</f>
        <v/>
      </c>
      <c r="Q836" s="51" t="str">
        <f>IF(AND($M836=$O$7,$B836&lt;'111'!$N$11),"x","")</f>
        <v/>
      </c>
      <c r="R836" s="51" t="str">
        <f>IF(ISERROR(FIND('112'!$M$9,G836,1)),"",IF((AND(FIND('112'!$M$9,G836,1)&gt;=1,$B836&gt;='112'!$N$8,$B836&lt;='112'!$O$8,OR($L836='112'!$I$6,$M836='112'!$I$6))),"x",""))</f>
        <v/>
      </c>
      <c r="S836" s="51" t="str">
        <f>IF(ISERROR(FIND('112'!$M$9,G836,1)),"",IF((AND(LEFT(G836,2)=LEFT('112'!$M$9,2),B836&lt;'112'!$N$8,$L836='112'!$I$6)),"x",""))</f>
        <v/>
      </c>
      <c r="T836" s="51" t="str">
        <f>IF(ISERROR(FIND('112'!$M$9,G836,1)),"",IF((AND(RIGHT(G836,2)=RIGHT('112'!$M$9,2),B836&lt;'112'!$N$8,$M836='112'!$I$6)),"x",""))</f>
        <v/>
      </c>
      <c r="U836" s="51" t="str">
        <f>IF(AND(L836="154",'154'!$O$5&lt;=B836,'154'!$P$5&gt;=B836),"154",IF(AND(L836="632",'632'!$L$5&lt;=B836,'632'!$M$5&gt;=B836),"632",IF(AND(L836="642",'642'!$N$5&lt;=B836,'642'!$O$5&gt;=B836),"642",IF(AND(L836="641",'641'!$N$5&lt;=B836,'641'!$O$5&gt;=B836),"641",""))))</f>
        <v/>
      </c>
      <c r="V836" s="51" t="str">
        <f>IF(OR(TH!L836=TH!$V$7,M836=TH!$V$7),"x","")</f>
        <v/>
      </c>
      <c r="W836" s="51" t="str">
        <f>IF(AND(B836&gt;='IN-NX'!$P$3,B836&lt;='IN-NX'!$Q$3,'IN-NX'!$D$7=D836,OR(LEFT(L836,2)="15",AND(LEFT(M836,2)&lt;&gt;"15",LEFT(M836,2)&lt;&gt;"33"))),"x","")</f>
        <v/>
      </c>
      <c r="X836" s="51" t="str">
        <f>IF(AND(OR(LEFT(TH!L836,2)="15",LEFT(TH!M836,2)="15"),'152-CT'!$J$8=TH!F836),"x","")</f>
        <v/>
      </c>
      <c r="Y836" s="51" t="str">
        <f>IF(AND(OR(LEFT(TH!L836,2)="15",LEFT(TH!M836,2)="15"),TK!$E$7=TH!F836),"x","")</f>
        <v/>
      </c>
      <c r="Z836" s="51" t="str">
        <f>IF(AND(B836&lt;=NKC!$N$8,B836&gt;=NKC!$M$8),"x","")</f>
        <v/>
      </c>
      <c r="AA836" s="803"/>
      <c r="AB836" s="565"/>
    </row>
    <row r="837" spans="1:31" ht="15.75" customHeight="1">
      <c r="A837" s="804" t="str">
        <f>IF(B837&lt;&gt;"",IF(AND(B837&gt;=_TM1,B837&lt;=_TM2,OR(TH!L837="1111",TH!M837="1111")),TH!D837,""),"")</f>
        <v/>
      </c>
      <c r="B837" s="36">
        <f t="shared" si="53"/>
        <v>10</v>
      </c>
      <c r="C837" s="189">
        <f t="shared" si="54"/>
        <v>42290</v>
      </c>
      <c r="D837" s="189" t="s">
        <v>1295</v>
      </c>
      <c r="E837" s="189">
        <v>42290</v>
      </c>
      <c r="F837" s="922" t="s">
        <v>1185</v>
      </c>
      <c r="G837" s="811" t="s">
        <v>1068</v>
      </c>
      <c r="H837" s="202" t="s">
        <v>424</v>
      </c>
      <c r="I837" s="243">
        <v>15</v>
      </c>
      <c r="J837" s="243">
        <v>76931</v>
      </c>
      <c r="K837" s="573">
        <f t="shared" si="55"/>
        <v>1153965</v>
      </c>
      <c r="L837" s="574" t="s">
        <v>250</v>
      </c>
      <c r="M837" s="574" t="s">
        <v>164</v>
      </c>
      <c r="N837" s="51" t="str">
        <f>IF(AND('331-CT'!$E$7=TH!H837,OR(L837="331",M837="331")),"331",IF(AND(OR(L837="131",M837="131"),H837='131-CT'!$E$7),"131",""))</f>
        <v/>
      </c>
      <c r="O837" s="51" t="str">
        <f>IF(AND($B837&gt;='111'!$N$11,$B837&lt;='111'!$O$11,OR($L837=$O$7,$M837=$O$7)),"x","")</f>
        <v/>
      </c>
      <c r="P837" s="51" t="str">
        <f>IF(AND($L837=$O$7,$B837&lt;'111'!$N$11),"x","")</f>
        <v/>
      </c>
      <c r="Q837" s="51" t="str">
        <f>IF(AND($M837=$O$7,$B837&lt;'111'!$N$11),"x","")</f>
        <v/>
      </c>
      <c r="R837" s="51" t="str">
        <f>IF(ISERROR(FIND('112'!$M$9,G837,1)),"",IF((AND(FIND('112'!$M$9,G837,1)&gt;=1,$B837&gt;='112'!$N$8,$B837&lt;='112'!$O$8,OR($L837='112'!$I$6,$M837='112'!$I$6))),"x",""))</f>
        <v/>
      </c>
      <c r="S837" s="51" t="str">
        <f>IF(ISERROR(FIND('112'!$M$9,G837,1)),"",IF((AND(LEFT(G837,2)=LEFT('112'!$M$9,2),B837&lt;'112'!$N$8,$L837='112'!$I$6)),"x",""))</f>
        <v/>
      </c>
      <c r="T837" s="51" t="str">
        <f>IF(ISERROR(FIND('112'!$M$9,G837,1)),"",IF((AND(RIGHT(G837,2)=RIGHT('112'!$M$9,2),B837&lt;'112'!$N$8,$M837='112'!$I$6)),"x",""))</f>
        <v/>
      </c>
      <c r="U837" s="51" t="str">
        <f>IF(AND(L837="154",'154'!$O$5&lt;=B837,'154'!$P$5&gt;=B837),"154",IF(AND(L837="632",'632'!$L$5&lt;=B837,'632'!$M$5&gt;=B837),"632",IF(AND(L837="642",'642'!$N$5&lt;=B837,'642'!$O$5&gt;=B837),"642",IF(AND(L837="641",'641'!$N$5&lt;=B837,'641'!$O$5&gt;=B837),"641",""))))</f>
        <v/>
      </c>
      <c r="V837" s="51" t="str">
        <f>IF(OR(TH!L837=TH!$V$7,M837=TH!$V$7),"x","")</f>
        <v/>
      </c>
      <c r="W837" s="51" t="str">
        <f>IF(AND(B837&gt;='IN-NX'!$P$3,B837&lt;='IN-NX'!$Q$3,'IN-NX'!$D$7=D837,OR(LEFT(L837,2)="15",AND(LEFT(M837,2)&lt;&gt;"15",LEFT(M837,2)&lt;&gt;"33"))),"x","")</f>
        <v/>
      </c>
      <c r="X837" s="51" t="str">
        <f>IF(AND(OR(LEFT(TH!L837,2)="15",LEFT(TH!M837,2)="15"),'152-CT'!$J$8=TH!F837),"x","")</f>
        <v/>
      </c>
      <c r="Y837" s="51" t="str">
        <f>IF(AND(OR(LEFT(TH!L837,2)="15",LEFT(TH!M837,2)="15"),TK!$E$7=TH!F837),"x","")</f>
        <v/>
      </c>
      <c r="Z837" s="51" t="str">
        <f>IF(AND(B837&lt;=NKC!$N$8,B837&gt;=NKC!$M$8),"x","")</f>
        <v/>
      </c>
      <c r="AA837" s="803"/>
      <c r="AB837" s="565"/>
    </row>
    <row r="838" spans="1:31" ht="15.75" customHeight="1">
      <c r="A838" s="804" t="str">
        <f>IF(B838&lt;&gt;"",IF(AND(B838&gt;=_TM1,B838&lt;=_TM2,OR(TH!L838="1111",TH!M838="1111")),TH!D838,""),"")</f>
        <v/>
      </c>
      <c r="B838" s="36">
        <f t="shared" si="53"/>
        <v>10</v>
      </c>
      <c r="C838" s="189">
        <f t="shared" si="54"/>
        <v>42290</v>
      </c>
      <c r="D838" s="189" t="s">
        <v>1295</v>
      </c>
      <c r="E838" s="189">
        <v>42290</v>
      </c>
      <c r="F838" s="190" t="s">
        <v>1214</v>
      </c>
      <c r="G838" s="811" t="s">
        <v>1068</v>
      </c>
      <c r="H838" s="202" t="s">
        <v>424</v>
      </c>
      <c r="I838" s="243">
        <v>12</v>
      </c>
      <c r="J838" s="243">
        <v>320749</v>
      </c>
      <c r="K838" s="573">
        <f t="shared" si="55"/>
        <v>3848988</v>
      </c>
      <c r="L838" s="574" t="s">
        <v>250</v>
      </c>
      <c r="M838" s="574" t="s">
        <v>164</v>
      </c>
      <c r="N838" s="51" t="str">
        <f>IF(AND('331-CT'!$E$7=TH!H838,OR(L838="331",M838="331")),"331",IF(AND(OR(L838="131",M838="131"),H838='131-CT'!$E$7),"131",""))</f>
        <v/>
      </c>
      <c r="O838" s="51" t="str">
        <f>IF(AND($B838&gt;='111'!$N$11,$B838&lt;='111'!$O$11,OR($L838=$O$7,$M838=$O$7)),"x","")</f>
        <v/>
      </c>
      <c r="P838" s="51" t="str">
        <f>IF(AND($L838=$O$7,$B838&lt;'111'!$N$11),"x","")</f>
        <v/>
      </c>
      <c r="Q838" s="51" t="str">
        <f>IF(AND($M838=$O$7,$B838&lt;'111'!$N$11),"x","")</f>
        <v/>
      </c>
      <c r="R838" s="51" t="str">
        <f>IF(ISERROR(FIND('112'!$M$9,G838,1)),"",IF((AND(FIND('112'!$M$9,G838,1)&gt;=1,$B838&gt;='112'!$N$8,$B838&lt;='112'!$O$8,OR($L838='112'!$I$6,$M838='112'!$I$6))),"x",""))</f>
        <v/>
      </c>
      <c r="S838" s="51" t="str">
        <f>IF(ISERROR(FIND('112'!$M$9,G838,1)),"",IF((AND(LEFT(G838,2)=LEFT('112'!$M$9,2),B838&lt;'112'!$N$8,$L838='112'!$I$6)),"x",""))</f>
        <v/>
      </c>
      <c r="T838" s="51" t="str">
        <f>IF(ISERROR(FIND('112'!$M$9,G838,1)),"",IF((AND(RIGHT(G838,2)=RIGHT('112'!$M$9,2),B838&lt;'112'!$N$8,$M838='112'!$I$6)),"x",""))</f>
        <v/>
      </c>
      <c r="U838" s="51" t="str">
        <f>IF(AND(L838="154",'154'!$O$5&lt;=B838,'154'!$P$5&gt;=B838),"154",IF(AND(L838="632",'632'!$L$5&lt;=B838,'632'!$M$5&gt;=B838),"632",IF(AND(L838="642",'642'!$N$5&lt;=B838,'642'!$O$5&gt;=B838),"642",IF(AND(L838="641",'641'!$N$5&lt;=B838,'641'!$O$5&gt;=B838),"641",""))))</f>
        <v/>
      </c>
      <c r="V838" s="51" t="str">
        <f>IF(OR(TH!L838=TH!$V$7,M838=TH!$V$7),"x","")</f>
        <v/>
      </c>
      <c r="W838" s="51" t="str">
        <f>IF(AND(B838&gt;='IN-NX'!$P$3,B838&lt;='IN-NX'!$Q$3,'IN-NX'!$D$7=D838,OR(LEFT(L838,2)="15",AND(LEFT(M838,2)&lt;&gt;"15",LEFT(M838,2)&lt;&gt;"33"))),"x","")</f>
        <v/>
      </c>
      <c r="X838" s="51" t="str">
        <f>IF(AND(OR(LEFT(TH!L838,2)="15",LEFT(TH!M838,2)="15"),'152-CT'!$J$8=TH!F838),"x","")</f>
        <v/>
      </c>
      <c r="Y838" s="51" t="str">
        <f>IF(AND(OR(LEFT(TH!L838,2)="15",LEFT(TH!M838,2)="15"),TK!$E$7=TH!F838),"x","")</f>
        <v/>
      </c>
      <c r="Z838" s="51" t="str">
        <f>IF(AND(B838&lt;=NKC!$N$8,B838&gt;=NKC!$M$8),"x","")</f>
        <v/>
      </c>
      <c r="AA838" s="803"/>
      <c r="AB838" s="565"/>
    </row>
    <row r="839" spans="1:31" ht="15.75" customHeight="1">
      <c r="A839" s="804" t="str">
        <f>IF(B839&lt;&gt;"",IF(AND(B839&gt;=_TM1,B839&lt;=_TM2,OR(TH!L839="1111",TH!M839="1111")),TH!D839,""),"")</f>
        <v/>
      </c>
      <c r="B839" s="36">
        <f t="shared" si="53"/>
        <v>10</v>
      </c>
      <c r="C839" s="189">
        <f t="shared" si="54"/>
        <v>42290</v>
      </c>
      <c r="D839" s="189" t="s">
        <v>1295</v>
      </c>
      <c r="E839" s="189">
        <v>42290</v>
      </c>
      <c r="F839" s="922" t="s">
        <v>1215</v>
      </c>
      <c r="G839" s="811" t="s">
        <v>1068</v>
      </c>
      <c r="H839" s="202" t="s">
        <v>424</v>
      </c>
      <c r="I839" s="243">
        <v>17</v>
      </c>
      <c r="J839" s="243">
        <v>155049</v>
      </c>
      <c r="K839" s="573">
        <f t="shared" si="55"/>
        <v>2635833</v>
      </c>
      <c r="L839" s="574" t="s">
        <v>250</v>
      </c>
      <c r="M839" s="574" t="s">
        <v>164</v>
      </c>
      <c r="N839" s="51" t="str">
        <f>IF(AND('331-CT'!$E$7=TH!H839,OR(L839="331",M839="331")),"331",IF(AND(OR(L839="131",M839="131"),H839='131-CT'!$E$7),"131",""))</f>
        <v/>
      </c>
      <c r="O839" s="51" t="str">
        <f>IF(AND($B839&gt;='111'!$N$11,$B839&lt;='111'!$O$11,OR($L839=$O$7,$M839=$O$7)),"x","")</f>
        <v/>
      </c>
      <c r="P839" s="51" t="str">
        <f>IF(AND($L839=$O$7,$B839&lt;'111'!$N$11),"x","")</f>
        <v/>
      </c>
      <c r="Q839" s="51" t="str">
        <f>IF(AND($M839=$O$7,$B839&lt;'111'!$N$11),"x","")</f>
        <v/>
      </c>
      <c r="R839" s="51" t="str">
        <f>IF(ISERROR(FIND('112'!$M$9,G839,1)),"",IF((AND(FIND('112'!$M$9,G839,1)&gt;=1,$B839&gt;='112'!$N$8,$B839&lt;='112'!$O$8,OR($L839='112'!$I$6,$M839='112'!$I$6))),"x",""))</f>
        <v/>
      </c>
      <c r="S839" s="51" t="str">
        <f>IF(ISERROR(FIND('112'!$M$9,G839,1)),"",IF((AND(LEFT(G839,2)=LEFT('112'!$M$9,2),B839&lt;'112'!$N$8,$L839='112'!$I$6)),"x",""))</f>
        <v/>
      </c>
      <c r="T839" s="51" t="str">
        <f>IF(ISERROR(FIND('112'!$M$9,G839,1)),"",IF((AND(RIGHT(G839,2)=RIGHT('112'!$M$9,2),B839&lt;'112'!$N$8,$M839='112'!$I$6)),"x",""))</f>
        <v/>
      </c>
      <c r="U839" s="51" t="str">
        <f>IF(AND(L839="154",'154'!$O$5&lt;=B839,'154'!$P$5&gt;=B839),"154",IF(AND(L839="632",'632'!$L$5&lt;=B839,'632'!$M$5&gt;=B839),"632",IF(AND(L839="642",'642'!$N$5&lt;=B839,'642'!$O$5&gt;=B839),"642",IF(AND(L839="641",'641'!$N$5&lt;=B839,'641'!$O$5&gt;=B839),"641",""))))</f>
        <v/>
      </c>
      <c r="V839" s="51" t="str">
        <f>IF(OR(TH!L839=TH!$V$7,M839=TH!$V$7),"x","")</f>
        <v/>
      </c>
      <c r="W839" s="51" t="str">
        <f>IF(AND(B839&gt;='IN-NX'!$P$3,B839&lt;='IN-NX'!$Q$3,'IN-NX'!$D$7=D839,OR(LEFT(L839,2)="15",AND(LEFT(M839,2)&lt;&gt;"15",LEFT(M839,2)&lt;&gt;"33"))),"x","")</f>
        <v/>
      </c>
      <c r="X839" s="51" t="str">
        <f>IF(AND(OR(LEFT(TH!L839,2)="15",LEFT(TH!M839,2)="15"),'152-CT'!$J$8=TH!F839),"x","")</f>
        <v/>
      </c>
      <c r="Y839" s="51" t="str">
        <f>IF(AND(OR(LEFT(TH!L839,2)="15",LEFT(TH!M839,2)="15"),TK!$E$7=TH!F839),"x","")</f>
        <v/>
      </c>
      <c r="Z839" s="51" t="str">
        <f>IF(AND(B839&lt;=NKC!$N$8,B839&gt;=NKC!$M$8),"x","")</f>
        <v/>
      </c>
      <c r="AA839" s="803"/>
      <c r="AB839" s="565"/>
    </row>
    <row r="840" spans="1:31" ht="15.75" customHeight="1">
      <c r="A840" s="804" t="str">
        <f>IF(B840&lt;&gt;"",IF(AND(B840&gt;=_TM1,B840&lt;=_TM2,OR(TH!L840="1111",TH!M840="1111")),TH!D840,""),"")</f>
        <v/>
      </c>
      <c r="B840" s="36">
        <f t="shared" si="53"/>
        <v>10</v>
      </c>
      <c r="C840" s="189">
        <f t="shared" si="54"/>
        <v>42290</v>
      </c>
      <c r="D840" s="189" t="s">
        <v>1295</v>
      </c>
      <c r="E840" s="189">
        <v>42290</v>
      </c>
      <c r="F840" s="922" t="s">
        <v>1216</v>
      </c>
      <c r="G840" s="811" t="s">
        <v>1068</v>
      </c>
      <c r="H840" s="202" t="s">
        <v>424</v>
      </c>
      <c r="I840" s="243">
        <v>17</v>
      </c>
      <c r="J840" s="243">
        <v>39460</v>
      </c>
      <c r="K840" s="573">
        <f t="shared" si="55"/>
        <v>670820</v>
      </c>
      <c r="L840" s="574" t="s">
        <v>250</v>
      </c>
      <c r="M840" s="574" t="s">
        <v>164</v>
      </c>
      <c r="N840" s="51" t="str">
        <f>IF(AND('331-CT'!$E$7=TH!H840,OR(L840="331",M840="331")),"331",IF(AND(OR(L840="131",M840="131"),H840='131-CT'!$E$7),"131",""))</f>
        <v/>
      </c>
      <c r="O840" s="51" t="str">
        <f>IF(AND($B840&gt;='111'!$N$11,$B840&lt;='111'!$O$11,OR($L840=$O$7,$M840=$O$7)),"x","")</f>
        <v/>
      </c>
      <c r="P840" s="51" t="str">
        <f>IF(AND($L840=$O$7,$B840&lt;'111'!$N$11),"x","")</f>
        <v/>
      </c>
      <c r="Q840" s="51" t="str">
        <f>IF(AND($M840=$O$7,$B840&lt;'111'!$N$11),"x","")</f>
        <v/>
      </c>
      <c r="R840" s="51" t="str">
        <f>IF(ISERROR(FIND('112'!$M$9,G840,1)),"",IF((AND(FIND('112'!$M$9,G840,1)&gt;=1,$B840&gt;='112'!$N$8,$B840&lt;='112'!$O$8,OR($L840='112'!$I$6,$M840='112'!$I$6))),"x",""))</f>
        <v/>
      </c>
      <c r="S840" s="51" t="str">
        <f>IF(ISERROR(FIND('112'!$M$9,G840,1)),"",IF((AND(LEFT(G840,2)=LEFT('112'!$M$9,2),B840&lt;'112'!$N$8,$L840='112'!$I$6)),"x",""))</f>
        <v/>
      </c>
      <c r="T840" s="51" t="str">
        <f>IF(ISERROR(FIND('112'!$M$9,G840,1)),"",IF((AND(RIGHT(G840,2)=RIGHT('112'!$M$9,2),B840&lt;'112'!$N$8,$M840='112'!$I$6)),"x",""))</f>
        <v/>
      </c>
      <c r="U840" s="51" t="str">
        <f>IF(AND(L840="154",'154'!$O$5&lt;=B840,'154'!$P$5&gt;=B840),"154",IF(AND(L840="632",'632'!$L$5&lt;=B840,'632'!$M$5&gt;=B840),"632",IF(AND(L840="642",'642'!$N$5&lt;=B840,'642'!$O$5&gt;=B840),"642",IF(AND(L840="641",'641'!$N$5&lt;=B840,'641'!$O$5&gt;=B840),"641",""))))</f>
        <v/>
      </c>
      <c r="V840" s="51" t="str">
        <f>IF(OR(TH!L840=TH!$V$7,M840=TH!$V$7),"x","")</f>
        <v/>
      </c>
      <c r="W840" s="51" t="str">
        <f>IF(AND(B840&gt;='IN-NX'!$P$3,B840&lt;='IN-NX'!$Q$3,'IN-NX'!$D$7=D840,OR(LEFT(L840,2)="15",AND(LEFT(M840,2)&lt;&gt;"15",LEFT(M840,2)&lt;&gt;"33"))),"x","")</f>
        <v/>
      </c>
      <c r="X840" s="51" t="str">
        <f>IF(AND(OR(LEFT(TH!L840,2)="15",LEFT(TH!M840,2)="15"),'152-CT'!$J$8=TH!F840),"x","")</f>
        <v/>
      </c>
      <c r="Y840" s="51" t="str">
        <f>IF(AND(OR(LEFT(TH!L840,2)="15",LEFT(TH!M840,2)="15"),TK!$E$7=TH!F840),"x","")</f>
        <v/>
      </c>
      <c r="Z840" s="51" t="str">
        <f>IF(AND(B840&lt;=NKC!$N$8,B840&gt;=NKC!$M$8),"x","")</f>
        <v/>
      </c>
      <c r="AA840" s="803"/>
      <c r="AB840" s="565"/>
    </row>
    <row r="841" spans="1:31" ht="15.75" customHeight="1">
      <c r="A841" s="804" t="str">
        <f>IF(B841&lt;&gt;"",IF(AND(B841&gt;=_TM1,B841&lt;=_TM2,OR(TH!L841="1111",TH!M841="1111")),TH!D841,""),"")</f>
        <v/>
      </c>
      <c r="B841" s="36">
        <f t="shared" si="53"/>
        <v>10</v>
      </c>
      <c r="C841" s="189">
        <f t="shared" si="54"/>
        <v>42290</v>
      </c>
      <c r="D841" s="189" t="s">
        <v>1295</v>
      </c>
      <c r="E841" s="189">
        <v>42290</v>
      </c>
      <c r="F841" s="922" t="s">
        <v>962</v>
      </c>
      <c r="G841" s="811" t="s">
        <v>1068</v>
      </c>
      <c r="H841" s="202" t="s">
        <v>424</v>
      </c>
      <c r="I841" s="243"/>
      <c r="J841" s="243"/>
      <c r="K841" s="573">
        <v>1123052</v>
      </c>
      <c r="L841" s="574" t="s">
        <v>250</v>
      </c>
      <c r="M841" s="574" t="s">
        <v>352</v>
      </c>
      <c r="N841" s="51" t="str">
        <f>IF(AND('331-CT'!$E$7=TH!H841,OR(L841="331",M841="331")),"331",IF(AND(OR(L841="131",M841="131"),H841='131-CT'!$E$7),"131",""))</f>
        <v/>
      </c>
      <c r="O841" s="51" t="str">
        <f>IF(AND($B841&gt;='111'!$N$11,$B841&lt;='111'!$O$11,OR($L841=$O$7,$M841=$O$7)),"x","")</f>
        <v/>
      </c>
      <c r="P841" s="51" t="str">
        <f>IF(AND($L841=$O$7,$B841&lt;'111'!$N$11),"x","")</f>
        <v/>
      </c>
      <c r="Q841" s="51" t="str">
        <f>IF(AND($M841=$O$7,$B841&lt;'111'!$N$11),"x","")</f>
        <v/>
      </c>
      <c r="R841" s="51" t="str">
        <f>IF(ISERROR(FIND('112'!$M$9,G841,1)),"",IF((AND(FIND('112'!$M$9,G841,1)&gt;=1,$B841&gt;='112'!$N$8,$B841&lt;='112'!$O$8,OR($L841='112'!$I$6,$M841='112'!$I$6))),"x",""))</f>
        <v/>
      </c>
      <c r="S841" s="51" t="str">
        <f>IF(ISERROR(FIND('112'!$M$9,G841,1)),"",IF((AND(LEFT(G841,2)=LEFT('112'!$M$9,2),B841&lt;'112'!$N$8,$L841='112'!$I$6)),"x",""))</f>
        <v/>
      </c>
      <c r="T841" s="51" t="str">
        <f>IF(ISERROR(FIND('112'!$M$9,G841,1)),"",IF((AND(RIGHT(G841,2)=RIGHT('112'!$M$9,2),B841&lt;'112'!$N$8,$M841='112'!$I$6)),"x",""))</f>
        <v/>
      </c>
      <c r="U841" s="51" t="str">
        <f>IF(AND(L841="154",'154'!$O$5&lt;=B841,'154'!$P$5&gt;=B841),"154",IF(AND(L841="632",'632'!$L$5&lt;=B841,'632'!$M$5&gt;=B841),"632",IF(AND(L841="642",'642'!$N$5&lt;=B841,'642'!$O$5&gt;=B841),"642",IF(AND(L841="641",'641'!$N$5&lt;=B841,'641'!$O$5&gt;=B841),"641",""))))</f>
        <v/>
      </c>
      <c r="V841" s="51" t="str">
        <f>IF(OR(TH!L841=TH!$V$7,M841=TH!$V$7),"x","")</f>
        <v/>
      </c>
      <c r="W841" s="51" t="str">
        <f>IF(AND(B841&gt;='IN-NX'!$P$3,B841&lt;='IN-NX'!$Q$3,'IN-NX'!$D$7=D841,OR(LEFT(L841,2)="15",AND(LEFT(M841,2)&lt;&gt;"15",LEFT(M841,2)&lt;&gt;"33"))),"x","")</f>
        <v/>
      </c>
      <c r="X841" s="51" t="str">
        <f>IF(AND(OR(LEFT(TH!L841,2)="15",LEFT(TH!M841,2)="15"),'152-CT'!$J$8=TH!F841),"x","")</f>
        <v/>
      </c>
      <c r="Y841" s="51" t="str">
        <f>IF(AND(OR(LEFT(TH!L841,2)="15",LEFT(TH!M841,2)="15"),TK!$E$7=TH!F841),"x","")</f>
        <v/>
      </c>
      <c r="Z841" s="51" t="str">
        <f>IF(AND(B841&lt;=NKC!$N$8,B841&gt;=NKC!$M$8),"x","")</f>
        <v/>
      </c>
      <c r="AA841" s="803"/>
      <c r="AB841" s="565"/>
    </row>
    <row r="842" spans="1:31" ht="15.75" customHeight="1">
      <c r="A842" s="804" t="str">
        <f>IF(B842&lt;&gt;"",IF(AND(B842&gt;=_TM1,B842&lt;=_TM2,OR(TH!L842="1111",TH!M842="1111")),TH!D842,""),"")</f>
        <v/>
      </c>
      <c r="B842" s="36">
        <f t="shared" si="53"/>
        <v>10</v>
      </c>
      <c r="C842" s="189">
        <f t="shared" si="54"/>
        <v>42290</v>
      </c>
      <c r="D842" s="189" t="s">
        <v>1296</v>
      </c>
      <c r="E842" s="189">
        <v>42290</v>
      </c>
      <c r="F842" s="922" t="s">
        <v>620</v>
      </c>
      <c r="G842" s="811" t="s">
        <v>1069</v>
      </c>
      <c r="H842" s="191" t="s">
        <v>1070</v>
      </c>
      <c r="I842" s="243">
        <v>156</v>
      </c>
      <c r="J842" s="243">
        <v>10500</v>
      </c>
      <c r="K842" s="573">
        <f>ROUND(I842*J842,0)</f>
        <v>1638000</v>
      </c>
      <c r="L842" s="574" t="s">
        <v>250</v>
      </c>
      <c r="M842" s="574" t="s">
        <v>164</v>
      </c>
      <c r="N842" s="51" t="str">
        <f>IF(AND('331-CT'!$E$7=TH!H842,OR(L842="331",M842="331")),"331",IF(AND(OR(L842="131",M842="131"),H842='131-CT'!$E$7),"131",""))</f>
        <v/>
      </c>
      <c r="O842" s="51" t="str">
        <f>IF(AND($B842&gt;='111'!$N$11,$B842&lt;='111'!$O$11,OR($L842=$O$7,$M842=$O$7)),"x","")</f>
        <v/>
      </c>
      <c r="P842" s="51" t="str">
        <f>IF(AND($L842=$O$7,$B842&lt;'111'!$N$11),"x","")</f>
        <v/>
      </c>
      <c r="Q842" s="51" t="str">
        <f>IF(AND($M842=$O$7,$B842&lt;'111'!$N$11),"x","")</f>
        <v/>
      </c>
      <c r="R842" s="51" t="str">
        <f>IF(ISERROR(FIND('112'!$M$9,G842,1)),"",IF((AND(FIND('112'!$M$9,G842,1)&gt;=1,$B842&gt;='112'!$N$8,$B842&lt;='112'!$O$8,OR($L842='112'!$I$6,$M842='112'!$I$6))),"x",""))</f>
        <v/>
      </c>
      <c r="S842" s="51" t="str">
        <f>IF(ISERROR(FIND('112'!$M$9,G842,1)),"",IF((AND(LEFT(G842,2)=LEFT('112'!$M$9,2),B842&lt;'112'!$N$8,$L842='112'!$I$6)),"x",""))</f>
        <v/>
      </c>
      <c r="T842" s="51" t="str">
        <f>IF(ISERROR(FIND('112'!$M$9,G842,1)),"",IF((AND(RIGHT(G842,2)=RIGHT('112'!$M$9,2),B842&lt;'112'!$N$8,$M842='112'!$I$6)),"x",""))</f>
        <v/>
      </c>
      <c r="U842" s="51" t="str">
        <f>IF(AND(L842="154",'154'!$O$5&lt;=B842,'154'!$P$5&gt;=B842),"154",IF(AND(L842="632",'632'!$L$5&lt;=B842,'632'!$M$5&gt;=B842),"632",IF(AND(L842="642",'642'!$N$5&lt;=B842,'642'!$O$5&gt;=B842),"642",IF(AND(L842="641",'641'!$N$5&lt;=B842,'641'!$O$5&gt;=B842),"641",""))))</f>
        <v/>
      </c>
      <c r="V842" s="51" t="str">
        <f>IF(OR(TH!L842=TH!$V$7,M842=TH!$V$7),"x","")</f>
        <v/>
      </c>
      <c r="W842" s="51" t="str">
        <f>IF(AND(B842&gt;='IN-NX'!$P$3,B842&lt;='IN-NX'!$Q$3,'IN-NX'!$D$7=D842,OR(LEFT(L842,2)="15",AND(LEFT(M842,2)&lt;&gt;"15",LEFT(M842,2)&lt;&gt;"33"))),"x","")</f>
        <v/>
      </c>
      <c r="X842" s="51" t="str">
        <f>IF(AND(OR(LEFT(TH!L842,2)="15",LEFT(TH!M842,2)="15"),'152-CT'!$J$8=TH!F842),"x","")</f>
        <v/>
      </c>
      <c r="Y842" s="51" t="str">
        <f>IF(AND(OR(LEFT(TH!L842,2)="15",LEFT(TH!M842,2)="15"),TK!$E$7=TH!F842),"x","")</f>
        <v/>
      </c>
      <c r="Z842" s="51" t="str">
        <f>IF(AND(B842&lt;=NKC!$N$8,B842&gt;=NKC!$M$8),"x","")</f>
        <v/>
      </c>
      <c r="AA842" s="803"/>
      <c r="AB842" s="565"/>
    </row>
    <row r="843" spans="1:31" ht="15.75" customHeight="1">
      <c r="A843" s="804" t="str">
        <f>IF(B843&lt;&gt;"",IF(AND(B843&gt;=_TM1,B843&lt;=_TM2,OR(TH!L843="1111",TH!M843="1111")),TH!D843,""),"")</f>
        <v/>
      </c>
      <c r="B843" s="36">
        <f t="shared" si="53"/>
        <v>10</v>
      </c>
      <c r="C843" s="189">
        <f t="shared" si="54"/>
        <v>42290</v>
      </c>
      <c r="D843" s="189" t="s">
        <v>1296</v>
      </c>
      <c r="E843" s="189">
        <v>42290</v>
      </c>
      <c r="F843" s="922" t="s">
        <v>705</v>
      </c>
      <c r="G843" s="811" t="s">
        <v>1069</v>
      </c>
      <c r="H843" s="191" t="s">
        <v>1070</v>
      </c>
      <c r="I843" s="243"/>
      <c r="J843" s="243"/>
      <c r="K843" s="573">
        <v>163800</v>
      </c>
      <c r="L843" s="574" t="s">
        <v>250</v>
      </c>
      <c r="M843" s="574" t="s">
        <v>352</v>
      </c>
      <c r="N843" s="51" t="str">
        <f>IF(AND('331-CT'!$E$7=TH!H843,OR(L843="331",M843="331")),"331",IF(AND(OR(L843="131",M843="131"),H843='131-CT'!$E$7),"131",""))</f>
        <v/>
      </c>
      <c r="O843" s="51" t="str">
        <f>IF(AND($B843&gt;='111'!$N$11,$B843&lt;='111'!$O$11,OR($L843=$O$7,$M843=$O$7)),"x","")</f>
        <v/>
      </c>
      <c r="P843" s="51" t="str">
        <f>IF(AND($L843=$O$7,$B843&lt;'111'!$N$11),"x","")</f>
        <v/>
      </c>
      <c r="Q843" s="51" t="str">
        <f>IF(AND($M843=$O$7,$B843&lt;'111'!$N$11),"x","")</f>
        <v/>
      </c>
      <c r="R843" s="51" t="str">
        <f>IF(ISERROR(FIND('112'!$M$9,G843,1)),"",IF((AND(FIND('112'!$M$9,G843,1)&gt;=1,$B843&gt;='112'!$N$8,$B843&lt;='112'!$O$8,OR($L843='112'!$I$6,$M843='112'!$I$6))),"x",""))</f>
        <v/>
      </c>
      <c r="S843" s="51" t="str">
        <f>IF(ISERROR(FIND('112'!$M$9,G843,1)),"",IF((AND(LEFT(G843,2)=LEFT('112'!$M$9,2),B843&lt;'112'!$N$8,$L843='112'!$I$6)),"x",""))</f>
        <v/>
      </c>
      <c r="T843" s="51" t="str">
        <f>IF(ISERROR(FIND('112'!$M$9,G843,1)),"",IF((AND(RIGHT(G843,2)=RIGHT('112'!$M$9,2),B843&lt;'112'!$N$8,$M843='112'!$I$6)),"x",""))</f>
        <v/>
      </c>
      <c r="U843" s="51" t="str">
        <f>IF(AND(L843="154",'154'!$O$5&lt;=B843,'154'!$P$5&gt;=B843),"154",IF(AND(L843="632",'632'!$L$5&lt;=B843,'632'!$M$5&gt;=B843),"632",IF(AND(L843="642",'642'!$N$5&lt;=B843,'642'!$O$5&gt;=B843),"642",IF(AND(L843="641",'641'!$N$5&lt;=B843,'641'!$O$5&gt;=B843),"641",""))))</f>
        <v/>
      </c>
      <c r="V843" s="51" t="str">
        <f>IF(OR(TH!L843=TH!$V$7,M843=TH!$V$7),"x","")</f>
        <v/>
      </c>
      <c r="W843" s="51" t="str">
        <f>IF(AND(B843&gt;='IN-NX'!$P$3,B843&lt;='IN-NX'!$Q$3,'IN-NX'!$D$7=D843,OR(LEFT(L843,2)="15",AND(LEFT(M843,2)&lt;&gt;"15",LEFT(M843,2)&lt;&gt;"33"))),"x","")</f>
        <v/>
      </c>
      <c r="X843" s="51" t="str">
        <f>IF(AND(OR(LEFT(TH!L843,2)="15",LEFT(TH!M843,2)="15"),'152-CT'!$J$8=TH!F843),"x","")</f>
        <v/>
      </c>
      <c r="Y843" s="51" t="str">
        <f>IF(AND(OR(LEFT(TH!L843,2)="15",LEFT(TH!M843,2)="15"),TK!$E$7=TH!F843),"x","")</f>
        <v/>
      </c>
      <c r="Z843" s="51" t="str">
        <f>IF(AND(B843&lt;=NKC!$N$8,B843&gt;=NKC!$M$8),"x","")</f>
        <v/>
      </c>
      <c r="AA843" s="803"/>
      <c r="AB843" s="565"/>
    </row>
    <row r="844" spans="1:31" ht="15.75" customHeight="1">
      <c r="A844" s="804" t="str">
        <f>IF(B844&lt;&gt;"",IF(AND(B844&gt;=_TM1,B844&lt;=_TM2,OR(TH!L844="1111",TH!M844="1111")),TH!D844,""),"")</f>
        <v/>
      </c>
      <c r="B844" s="36">
        <f t="shared" si="53"/>
        <v>10</v>
      </c>
      <c r="C844" s="189">
        <f t="shared" si="54"/>
        <v>42290</v>
      </c>
      <c r="D844" s="189" t="s">
        <v>1350</v>
      </c>
      <c r="E844" s="189">
        <v>42290</v>
      </c>
      <c r="F844" s="922" t="s">
        <v>423</v>
      </c>
      <c r="G844" s="811" t="s">
        <v>1069</v>
      </c>
      <c r="H844" s="191" t="s">
        <v>1070</v>
      </c>
      <c r="I844" s="243"/>
      <c r="J844" s="243"/>
      <c r="K844" s="573">
        <v>1801800</v>
      </c>
      <c r="L844" s="574" t="s">
        <v>47</v>
      </c>
      <c r="M844" s="574" t="s">
        <v>250</v>
      </c>
      <c r="N844" s="51" t="str">
        <f>IF(AND('331-CT'!$E$7=TH!H844,OR(L844="331",M844="331")),"331",IF(AND(OR(L844="131",M844="131"),H844='131-CT'!$E$7),"131",""))</f>
        <v/>
      </c>
      <c r="O844" s="51" t="str">
        <f>IF(AND($B844&gt;='111'!$N$11,$B844&lt;='111'!$O$11,OR($L844=$O$7,$M844=$O$7)),"x","")</f>
        <v>x</v>
      </c>
      <c r="P844" s="51" t="str">
        <f>IF(AND($L844=$O$7,$B844&lt;'111'!$N$11),"x","")</f>
        <v/>
      </c>
      <c r="Q844" s="51" t="str">
        <f>IF(AND($M844=$O$7,$B844&lt;'111'!$N$11),"x","")</f>
        <v/>
      </c>
      <c r="R844" s="51" t="str">
        <f>IF(ISERROR(FIND('112'!$M$9,G844,1)),"",IF((AND(FIND('112'!$M$9,G844,1)&gt;=1,$B844&gt;='112'!$N$8,$B844&lt;='112'!$O$8,OR($L844='112'!$I$6,$M844='112'!$I$6))),"x",""))</f>
        <v/>
      </c>
      <c r="S844" s="51" t="str">
        <f>IF(ISERROR(FIND('112'!$M$9,G844,1)),"",IF((AND(LEFT(G844,2)=LEFT('112'!$M$9,2),B844&lt;'112'!$N$8,$L844='112'!$I$6)),"x",""))</f>
        <v/>
      </c>
      <c r="T844" s="51" t="str">
        <f>IF(ISERROR(FIND('112'!$M$9,G844,1)),"",IF((AND(RIGHT(G844,2)=RIGHT('112'!$M$9,2),B844&lt;'112'!$N$8,$M844='112'!$I$6)),"x",""))</f>
        <v/>
      </c>
      <c r="U844" s="51" t="str">
        <f>IF(AND(L844="154",'154'!$O$5&lt;=B844,'154'!$P$5&gt;=B844),"154",IF(AND(L844="632",'632'!$L$5&lt;=B844,'632'!$M$5&gt;=B844),"632",IF(AND(L844="642",'642'!$N$5&lt;=B844,'642'!$O$5&gt;=B844),"642",IF(AND(L844="641",'641'!$N$5&lt;=B844,'641'!$O$5&gt;=B844),"641",""))))</f>
        <v/>
      </c>
      <c r="V844" s="51" t="str">
        <f>IF(OR(TH!L844=TH!$V$7,M844=TH!$V$7),"x","")</f>
        <v/>
      </c>
      <c r="W844" s="51" t="str">
        <f>IF(AND(B844&gt;='IN-NX'!$P$3,B844&lt;='IN-NX'!$Q$3,'IN-NX'!$D$7=D844,OR(LEFT(L844,2)="15",AND(LEFT(M844,2)&lt;&gt;"15",LEFT(M844,2)&lt;&gt;"33"))),"x","")</f>
        <v/>
      </c>
      <c r="X844" s="51" t="str">
        <f>IF(AND(OR(LEFT(TH!L844,2)="15",LEFT(TH!M844,2)="15"),'152-CT'!$J$8=TH!F844),"x","")</f>
        <v/>
      </c>
      <c r="Y844" s="51" t="str">
        <f>IF(AND(OR(LEFT(TH!L844,2)="15",LEFT(TH!M844,2)="15"),TK!$E$7=TH!F844),"x","")</f>
        <v/>
      </c>
      <c r="Z844" s="51" t="str">
        <f>IF(AND(B844&lt;=NKC!$N$8,B844&gt;=NKC!$M$8),"x","")</f>
        <v/>
      </c>
      <c r="AA844" s="803"/>
      <c r="AB844" s="565"/>
    </row>
    <row r="845" spans="1:31" ht="15.75" customHeight="1">
      <c r="A845" s="804" t="str">
        <f>IF(B845&lt;&gt;"",IF(AND(B845&gt;=_TM1,B845&lt;=_TM2,OR(TH!L845="1111",TH!M845="1111")),TH!D845,""),"")</f>
        <v/>
      </c>
      <c r="B845" s="36">
        <f t="shared" si="53"/>
        <v>10</v>
      </c>
      <c r="C845" s="189">
        <f t="shared" si="54"/>
        <v>42291</v>
      </c>
      <c r="D845" s="189" t="s">
        <v>1352</v>
      </c>
      <c r="E845" s="182">
        <v>42291</v>
      </c>
      <c r="F845" s="187" t="s">
        <v>427</v>
      </c>
      <c r="G845" s="811" t="s">
        <v>415</v>
      </c>
      <c r="H845" s="7" t="s">
        <v>437</v>
      </c>
      <c r="I845" s="243"/>
      <c r="J845" s="243"/>
      <c r="K845" s="573">
        <v>4700000</v>
      </c>
      <c r="L845" s="574" t="s">
        <v>47</v>
      </c>
      <c r="M845" s="574" t="s">
        <v>24</v>
      </c>
      <c r="N845" s="51" t="str">
        <f>IF(AND('331-CT'!$E$7=TH!H845,OR(L845="331",M845="331")),"331",IF(AND(OR(L845="131",M845="131"),H845='131-CT'!$E$7),"131",""))</f>
        <v/>
      </c>
      <c r="O845" s="51" t="str">
        <f>IF(AND($B845&gt;='111'!$N$11,$B845&lt;='111'!$O$11,OR($L845=$O$7,$M845=$O$7)),"x","")</f>
        <v>x</v>
      </c>
      <c r="P845" s="51" t="str">
        <f>IF(AND($L845=$O$7,$B845&lt;'111'!$N$11),"x","")</f>
        <v/>
      </c>
      <c r="Q845" s="51" t="str">
        <f>IF(AND($M845=$O$7,$B845&lt;'111'!$N$11),"x","")</f>
        <v/>
      </c>
      <c r="R845" s="51" t="str">
        <f>IF(ISERROR(FIND('112'!$M$9,G845,1)),"",IF((AND(FIND('112'!$M$9,G845,1)&gt;=1,$B845&gt;='112'!$N$8,$B845&lt;='112'!$O$8,OR($L845='112'!$I$6,$M845='112'!$I$6))),"x",""))</f>
        <v/>
      </c>
      <c r="S845" s="51" t="str">
        <f>IF(ISERROR(FIND('112'!$M$9,G845,1)),"",IF((AND(LEFT(G845,2)=LEFT('112'!$M$9,2),B845&lt;'112'!$N$8,$L845='112'!$I$6)),"x",""))</f>
        <v/>
      </c>
      <c r="T845" s="51" t="str">
        <f>IF(ISERROR(FIND('112'!$M$9,G845,1)),"",IF((AND(RIGHT(G845,2)=RIGHT('112'!$M$9,2),B845&lt;'112'!$N$8,$M845='112'!$I$6)),"x",""))</f>
        <v/>
      </c>
      <c r="U845" s="51" t="str">
        <f>IF(AND(L845="154",'154'!$O$5&lt;=B845,'154'!$P$5&gt;=B845),"154",IF(AND(L845="632",'632'!$L$5&lt;=B845,'632'!$M$5&gt;=B845),"632",IF(AND(L845="642",'642'!$N$5&lt;=B845,'642'!$O$5&gt;=B845),"642",IF(AND(L845="641",'641'!$N$5&lt;=B845,'641'!$O$5&gt;=B845),"641",""))))</f>
        <v/>
      </c>
      <c r="V845" s="51" t="str">
        <f>IF(OR(TH!L845=TH!$V$7,M845=TH!$V$7),"x","")</f>
        <v/>
      </c>
      <c r="W845" s="51" t="str">
        <f>IF(AND(B845&gt;='IN-NX'!$P$3,B845&lt;='IN-NX'!$Q$3,'IN-NX'!$D$7=D845,OR(LEFT(L845,2)="15",AND(LEFT(M845,2)&lt;&gt;"15",LEFT(M845,2)&lt;&gt;"33"))),"x","")</f>
        <v/>
      </c>
      <c r="X845" s="51" t="str">
        <f>IF(AND(OR(LEFT(TH!L845,2)="15",LEFT(TH!M845,2)="15"),'152-CT'!$J$8=TH!F845),"x","")</f>
        <v/>
      </c>
      <c r="Y845" s="51" t="str">
        <f>IF(AND(OR(LEFT(TH!L845,2)="15",LEFT(TH!M845,2)="15"),TK!$E$7=TH!F845),"x","")</f>
        <v/>
      </c>
      <c r="Z845" s="51" t="str">
        <f>IF(AND(B845&lt;=NKC!$N$8,B845&gt;=NKC!$M$8),"x","")</f>
        <v/>
      </c>
      <c r="AA845" s="803"/>
      <c r="AB845" s="565"/>
      <c r="AE845" s="565"/>
    </row>
    <row r="846" spans="1:31" ht="15.75" customHeight="1">
      <c r="A846" s="804" t="str">
        <f>IF(B846&lt;&gt;"",IF(AND(B846&gt;=_TM1,B846&lt;=_TM2,OR(TH!L846="1111",TH!M846="1111")),TH!D846,""),"")</f>
        <v/>
      </c>
      <c r="B846" s="36">
        <f t="shared" si="53"/>
        <v>10</v>
      </c>
      <c r="C846" s="189">
        <f t="shared" si="54"/>
        <v>42292</v>
      </c>
      <c r="D846" s="189" t="s">
        <v>1297</v>
      </c>
      <c r="E846" s="189">
        <v>42292</v>
      </c>
      <c r="F846" s="922" t="s">
        <v>623</v>
      </c>
      <c r="G846" s="811" t="s">
        <v>1071</v>
      </c>
      <c r="H846" s="191" t="s">
        <v>413</v>
      </c>
      <c r="I846" s="243">
        <v>650</v>
      </c>
      <c r="J846" s="243">
        <v>32500</v>
      </c>
      <c r="K846" s="573">
        <f>ROUND(I846*J846,0)</f>
        <v>21125000</v>
      </c>
      <c r="L846" s="574" t="s">
        <v>250</v>
      </c>
      <c r="M846" s="574" t="s">
        <v>164</v>
      </c>
      <c r="N846" s="51" t="str">
        <f>IF(AND('331-CT'!$E$7=TH!H846,OR(L846="331",M846="331")),"331",IF(AND(OR(L846="131",M846="131"),H846='131-CT'!$E$7),"131",""))</f>
        <v/>
      </c>
      <c r="O846" s="51" t="str">
        <f>IF(AND($B846&gt;='111'!$N$11,$B846&lt;='111'!$O$11,OR($L846=$O$7,$M846=$O$7)),"x","")</f>
        <v/>
      </c>
      <c r="P846" s="51" t="str">
        <f>IF(AND($L846=$O$7,$B846&lt;'111'!$N$11),"x","")</f>
        <v/>
      </c>
      <c r="Q846" s="51" t="str">
        <f>IF(AND($M846=$O$7,$B846&lt;'111'!$N$11),"x","")</f>
        <v/>
      </c>
      <c r="R846" s="51" t="str">
        <f>IF(ISERROR(FIND('112'!$M$9,G846,1)),"",IF((AND(FIND('112'!$M$9,G846,1)&gt;=1,$B846&gt;='112'!$N$8,$B846&lt;='112'!$O$8,OR($L846='112'!$I$6,$M846='112'!$I$6))),"x",""))</f>
        <v/>
      </c>
      <c r="S846" s="51" t="str">
        <f>IF(ISERROR(FIND('112'!$M$9,G846,1)),"",IF((AND(LEFT(G846,2)=LEFT('112'!$M$9,2),B846&lt;'112'!$N$8,$L846='112'!$I$6)),"x",""))</f>
        <v/>
      </c>
      <c r="T846" s="51" t="str">
        <f>IF(ISERROR(FIND('112'!$M$9,G846,1)),"",IF((AND(RIGHT(G846,2)=RIGHT('112'!$M$9,2),B846&lt;'112'!$N$8,$M846='112'!$I$6)),"x",""))</f>
        <v/>
      </c>
      <c r="U846" s="51" t="str">
        <f>IF(AND(L846="154",'154'!$O$5&lt;=B846,'154'!$P$5&gt;=B846),"154",IF(AND(L846="632",'632'!$L$5&lt;=B846,'632'!$M$5&gt;=B846),"632",IF(AND(L846="642",'642'!$N$5&lt;=B846,'642'!$O$5&gt;=B846),"642",IF(AND(L846="641",'641'!$N$5&lt;=B846,'641'!$O$5&gt;=B846),"641",""))))</f>
        <v/>
      </c>
      <c r="V846" s="51" t="str">
        <f>IF(OR(TH!L846=TH!$V$7,M846=TH!$V$7),"x","")</f>
        <v/>
      </c>
      <c r="W846" s="51" t="str">
        <f>IF(AND(B846&gt;='IN-NX'!$P$3,B846&lt;='IN-NX'!$Q$3,'IN-NX'!$D$7=D846,OR(LEFT(L846,2)="15",AND(LEFT(M846,2)&lt;&gt;"15",LEFT(M846,2)&lt;&gt;"33"))),"x","")</f>
        <v/>
      </c>
      <c r="X846" s="51" t="str">
        <f>IF(AND(OR(LEFT(TH!L846,2)="15",LEFT(TH!M846,2)="15"),'152-CT'!$J$8=TH!F846),"x","")</f>
        <v/>
      </c>
      <c r="Y846" s="51" t="str">
        <f>IF(AND(OR(LEFT(TH!L846,2)="15",LEFT(TH!M846,2)="15"),TK!$E$7=TH!F846),"x","")</f>
        <v/>
      </c>
      <c r="Z846" s="51" t="str">
        <f>IF(AND(B846&lt;=NKC!$N$8,B846&gt;=NKC!$M$8),"x","")</f>
        <v/>
      </c>
      <c r="AA846" s="803"/>
      <c r="AB846" s="565"/>
    </row>
    <row r="847" spans="1:31" ht="15.75" customHeight="1">
      <c r="A847" s="804" t="str">
        <f>IF(B847&lt;&gt;"",IF(AND(B847&gt;=_TM1,B847&lt;=_TM2,OR(TH!L847="1111",TH!M847="1111")),TH!D847,""),"")</f>
        <v/>
      </c>
      <c r="B847" s="36">
        <f t="shared" si="53"/>
        <v>10</v>
      </c>
      <c r="C847" s="189">
        <f t="shared" si="54"/>
        <v>42292</v>
      </c>
      <c r="D847" s="189" t="s">
        <v>1297</v>
      </c>
      <c r="E847" s="189">
        <v>42292</v>
      </c>
      <c r="F847" s="922" t="s">
        <v>624</v>
      </c>
      <c r="G847" s="811" t="s">
        <v>1071</v>
      </c>
      <c r="H847" s="191" t="s">
        <v>413</v>
      </c>
      <c r="I847" s="243">
        <v>650</v>
      </c>
      <c r="J847" s="243">
        <v>31700</v>
      </c>
      <c r="K847" s="573">
        <f>ROUND(I847*J847,0)</f>
        <v>20605000</v>
      </c>
      <c r="L847" s="574" t="s">
        <v>250</v>
      </c>
      <c r="M847" s="574" t="s">
        <v>164</v>
      </c>
      <c r="N847" s="51" t="str">
        <f>IF(AND('331-CT'!$E$7=TH!H847,OR(L847="331",M847="331")),"331",IF(AND(OR(L847="131",M847="131"),H847='131-CT'!$E$7),"131",""))</f>
        <v/>
      </c>
      <c r="O847" s="51" t="str">
        <f>IF(AND($B847&gt;='111'!$N$11,$B847&lt;='111'!$O$11,OR($L847=$O$7,$M847=$O$7)),"x","")</f>
        <v/>
      </c>
      <c r="P847" s="51" t="str">
        <f>IF(AND($L847=$O$7,$B847&lt;'111'!$N$11),"x","")</f>
        <v/>
      </c>
      <c r="Q847" s="51" t="str">
        <f>IF(AND($M847=$O$7,$B847&lt;'111'!$N$11),"x","")</f>
        <v/>
      </c>
      <c r="R847" s="51" t="str">
        <f>IF(ISERROR(FIND('112'!$M$9,G847,1)),"",IF((AND(FIND('112'!$M$9,G847,1)&gt;=1,$B847&gt;='112'!$N$8,$B847&lt;='112'!$O$8,OR($L847='112'!$I$6,$M847='112'!$I$6))),"x",""))</f>
        <v/>
      </c>
      <c r="S847" s="51" t="str">
        <f>IF(ISERROR(FIND('112'!$M$9,G847,1)),"",IF((AND(LEFT(G847,2)=LEFT('112'!$M$9,2),B847&lt;'112'!$N$8,$L847='112'!$I$6)),"x",""))</f>
        <v/>
      </c>
      <c r="T847" s="51" t="str">
        <f>IF(ISERROR(FIND('112'!$M$9,G847,1)),"",IF((AND(RIGHT(G847,2)=RIGHT('112'!$M$9,2),B847&lt;'112'!$N$8,$M847='112'!$I$6)),"x",""))</f>
        <v/>
      </c>
      <c r="U847" s="51" t="str">
        <f>IF(AND(L847="154",'154'!$O$5&lt;=B847,'154'!$P$5&gt;=B847),"154",IF(AND(L847="632",'632'!$L$5&lt;=B847,'632'!$M$5&gt;=B847),"632",IF(AND(L847="642",'642'!$N$5&lt;=B847,'642'!$O$5&gt;=B847),"642",IF(AND(L847="641",'641'!$N$5&lt;=B847,'641'!$O$5&gt;=B847),"641",""))))</f>
        <v/>
      </c>
      <c r="V847" s="51" t="str">
        <f>IF(OR(TH!L847=TH!$V$7,M847=TH!$V$7),"x","")</f>
        <v/>
      </c>
      <c r="W847" s="51" t="str">
        <f>IF(AND(B847&gt;='IN-NX'!$P$3,B847&lt;='IN-NX'!$Q$3,'IN-NX'!$D$7=D847,OR(LEFT(L847,2)="15",AND(LEFT(M847,2)&lt;&gt;"15",LEFT(M847,2)&lt;&gt;"33"))),"x","")</f>
        <v/>
      </c>
      <c r="X847" s="51" t="str">
        <f>IF(AND(OR(LEFT(TH!L847,2)="15",LEFT(TH!M847,2)="15"),'152-CT'!$J$8=TH!F847),"x","")</f>
        <v/>
      </c>
      <c r="Y847" s="51" t="str">
        <f>IF(AND(OR(LEFT(TH!L847,2)="15",LEFT(TH!M847,2)="15"),TK!$E$7=TH!F847),"x","")</f>
        <v/>
      </c>
      <c r="Z847" s="51" t="str">
        <f>IF(AND(B847&lt;=NKC!$N$8,B847&gt;=NKC!$M$8),"x","")</f>
        <v/>
      </c>
      <c r="AA847" s="803"/>
      <c r="AB847" s="565"/>
    </row>
    <row r="848" spans="1:31" ht="15.75" customHeight="1">
      <c r="A848" s="804" t="str">
        <f>IF(B848&lt;&gt;"",IF(AND(B848&gt;=_TM1,B848&lt;=_TM2,OR(TH!L848="1111",TH!M848="1111")),TH!D848,""),"")</f>
        <v/>
      </c>
      <c r="B848" s="36">
        <f t="shared" si="53"/>
        <v>10</v>
      </c>
      <c r="C848" s="189">
        <f t="shared" si="54"/>
        <v>42292</v>
      </c>
      <c r="D848" s="189" t="s">
        <v>1297</v>
      </c>
      <c r="E848" s="189">
        <v>42292</v>
      </c>
      <c r="F848" s="922" t="s">
        <v>620</v>
      </c>
      <c r="G848" s="811" t="s">
        <v>1071</v>
      </c>
      <c r="H848" s="191" t="s">
        <v>413</v>
      </c>
      <c r="I848" s="243">
        <v>2100</v>
      </c>
      <c r="J848" s="243">
        <v>15000</v>
      </c>
      <c r="K848" s="573">
        <f>ROUND(I848*J848,0)</f>
        <v>31500000</v>
      </c>
      <c r="L848" s="574" t="s">
        <v>250</v>
      </c>
      <c r="M848" s="574" t="s">
        <v>164</v>
      </c>
      <c r="N848" s="51" t="str">
        <f>IF(AND('331-CT'!$E$7=TH!H848,OR(L848="331",M848="331")),"331",IF(AND(OR(L848="131",M848="131"),H848='131-CT'!$E$7),"131",""))</f>
        <v/>
      </c>
      <c r="O848" s="51" t="str">
        <f>IF(AND($B848&gt;='111'!$N$11,$B848&lt;='111'!$O$11,OR($L848=$O$7,$M848=$O$7)),"x","")</f>
        <v/>
      </c>
      <c r="P848" s="51" t="str">
        <f>IF(AND($L848=$O$7,$B848&lt;'111'!$N$11),"x","")</f>
        <v/>
      </c>
      <c r="Q848" s="51" t="str">
        <f>IF(AND($M848=$O$7,$B848&lt;'111'!$N$11),"x","")</f>
        <v/>
      </c>
      <c r="R848" s="51" t="str">
        <f>IF(ISERROR(FIND('112'!$M$9,G848,1)),"",IF((AND(FIND('112'!$M$9,G848,1)&gt;=1,$B848&gt;='112'!$N$8,$B848&lt;='112'!$O$8,OR($L848='112'!$I$6,$M848='112'!$I$6))),"x",""))</f>
        <v/>
      </c>
      <c r="S848" s="51" t="str">
        <f>IF(ISERROR(FIND('112'!$M$9,G848,1)),"",IF((AND(LEFT(G848,2)=LEFT('112'!$M$9,2),B848&lt;'112'!$N$8,$L848='112'!$I$6)),"x",""))</f>
        <v/>
      </c>
      <c r="T848" s="51" t="str">
        <f>IF(ISERROR(FIND('112'!$M$9,G848,1)),"",IF((AND(RIGHT(G848,2)=RIGHT('112'!$M$9,2),B848&lt;'112'!$N$8,$M848='112'!$I$6)),"x",""))</f>
        <v/>
      </c>
      <c r="U848" s="51" t="str">
        <f>IF(AND(L848="154",'154'!$O$5&lt;=B848,'154'!$P$5&gt;=B848),"154",IF(AND(L848="632",'632'!$L$5&lt;=B848,'632'!$M$5&gt;=B848),"632",IF(AND(L848="642",'642'!$N$5&lt;=B848,'642'!$O$5&gt;=B848),"642",IF(AND(L848="641",'641'!$N$5&lt;=B848,'641'!$O$5&gt;=B848),"641",""))))</f>
        <v/>
      </c>
      <c r="V848" s="51" t="str">
        <f>IF(OR(TH!L848=TH!$V$7,M848=TH!$V$7),"x","")</f>
        <v/>
      </c>
      <c r="W848" s="51" t="str">
        <f>IF(AND(B848&gt;='IN-NX'!$P$3,B848&lt;='IN-NX'!$Q$3,'IN-NX'!$D$7=D848,OR(LEFT(L848,2)="15",AND(LEFT(M848,2)&lt;&gt;"15",LEFT(M848,2)&lt;&gt;"33"))),"x","")</f>
        <v/>
      </c>
      <c r="X848" s="51" t="str">
        <f>IF(AND(OR(LEFT(TH!L848,2)="15",LEFT(TH!M848,2)="15"),'152-CT'!$J$8=TH!F848),"x","")</f>
        <v/>
      </c>
      <c r="Y848" s="51" t="str">
        <f>IF(AND(OR(LEFT(TH!L848,2)="15",LEFT(TH!M848,2)="15"),TK!$E$7=TH!F848),"x","")</f>
        <v/>
      </c>
      <c r="Z848" s="51" t="str">
        <f>IF(AND(B848&lt;=NKC!$N$8,B848&gt;=NKC!$M$8),"x","")</f>
        <v/>
      </c>
      <c r="AA848" s="803"/>
      <c r="AB848" s="565"/>
    </row>
    <row r="849" spans="1:28" ht="15.75" customHeight="1">
      <c r="A849" s="804" t="str">
        <f>IF(B849&lt;&gt;"",IF(AND(B849&gt;=_TM1,B849&lt;=_TM2,OR(TH!L849="1111",TH!M849="1111")),TH!D849,""),"")</f>
        <v/>
      </c>
      <c r="B849" s="36">
        <f t="shared" si="53"/>
        <v>10</v>
      </c>
      <c r="C849" s="189">
        <f t="shared" si="54"/>
        <v>42292</v>
      </c>
      <c r="D849" s="189" t="s">
        <v>1297</v>
      </c>
      <c r="E849" s="189">
        <v>42292</v>
      </c>
      <c r="F849" s="922" t="s">
        <v>621</v>
      </c>
      <c r="G849" s="811" t="s">
        <v>1071</v>
      </c>
      <c r="H849" s="191" t="s">
        <v>413</v>
      </c>
      <c r="I849" s="243">
        <v>2700</v>
      </c>
      <c r="J849" s="243">
        <v>16500</v>
      </c>
      <c r="K849" s="573">
        <f>ROUND(I849*J849,0)</f>
        <v>44550000</v>
      </c>
      <c r="L849" s="574" t="s">
        <v>250</v>
      </c>
      <c r="M849" s="574" t="s">
        <v>164</v>
      </c>
      <c r="N849" s="51" t="str">
        <f>IF(AND('331-CT'!$E$7=TH!H849,OR(L849="331",M849="331")),"331",IF(AND(OR(L849="131",M849="131"),H849='131-CT'!$E$7),"131",""))</f>
        <v/>
      </c>
      <c r="O849" s="51" t="str">
        <f>IF(AND($B849&gt;='111'!$N$11,$B849&lt;='111'!$O$11,OR($L849=$O$7,$M849=$O$7)),"x","")</f>
        <v/>
      </c>
      <c r="P849" s="51" t="str">
        <f>IF(AND($L849=$O$7,$B849&lt;'111'!$N$11),"x","")</f>
        <v/>
      </c>
      <c r="Q849" s="51" t="str">
        <f>IF(AND($M849=$O$7,$B849&lt;'111'!$N$11),"x","")</f>
        <v/>
      </c>
      <c r="R849" s="51" t="str">
        <f>IF(ISERROR(FIND('112'!$M$9,G849,1)),"",IF((AND(FIND('112'!$M$9,G849,1)&gt;=1,$B849&gt;='112'!$N$8,$B849&lt;='112'!$O$8,OR($L849='112'!$I$6,$M849='112'!$I$6))),"x",""))</f>
        <v/>
      </c>
      <c r="S849" s="51" t="str">
        <f>IF(ISERROR(FIND('112'!$M$9,G849,1)),"",IF((AND(LEFT(G849,2)=LEFT('112'!$M$9,2),B849&lt;'112'!$N$8,$L849='112'!$I$6)),"x",""))</f>
        <v/>
      </c>
      <c r="T849" s="51" t="str">
        <f>IF(ISERROR(FIND('112'!$M$9,G849,1)),"",IF((AND(RIGHT(G849,2)=RIGHT('112'!$M$9,2),B849&lt;'112'!$N$8,$M849='112'!$I$6)),"x",""))</f>
        <v/>
      </c>
      <c r="U849" s="51" t="str">
        <f>IF(AND(L849="154",'154'!$O$5&lt;=B849,'154'!$P$5&gt;=B849),"154",IF(AND(L849="632",'632'!$L$5&lt;=B849,'632'!$M$5&gt;=B849),"632",IF(AND(L849="642",'642'!$N$5&lt;=B849,'642'!$O$5&gt;=B849),"642",IF(AND(L849="641",'641'!$N$5&lt;=B849,'641'!$O$5&gt;=B849),"641",""))))</f>
        <v/>
      </c>
      <c r="V849" s="51" t="str">
        <f>IF(OR(TH!L849=TH!$V$7,M849=TH!$V$7),"x","")</f>
        <v/>
      </c>
      <c r="W849" s="51" t="str">
        <f>IF(AND(B849&gt;='IN-NX'!$P$3,B849&lt;='IN-NX'!$Q$3,'IN-NX'!$D$7=D849,OR(LEFT(L849,2)="15",AND(LEFT(M849,2)&lt;&gt;"15",LEFT(M849,2)&lt;&gt;"33"))),"x","")</f>
        <v/>
      </c>
      <c r="X849" s="51" t="str">
        <f>IF(AND(OR(LEFT(TH!L849,2)="15",LEFT(TH!M849,2)="15"),'152-CT'!$J$8=TH!F849),"x","")</f>
        <v/>
      </c>
      <c r="Y849" s="51" t="str">
        <f>IF(AND(OR(LEFT(TH!L849,2)="15",LEFT(TH!M849,2)="15"),TK!$E$7=TH!F849),"x","")</f>
        <v/>
      </c>
      <c r="Z849" s="51" t="str">
        <f>IF(AND(B849&lt;=NKC!$N$8,B849&gt;=NKC!$M$8),"x","")</f>
        <v/>
      </c>
      <c r="AA849" s="803"/>
      <c r="AB849" s="565"/>
    </row>
    <row r="850" spans="1:28" ht="15.75" customHeight="1">
      <c r="A850" s="804" t="str">
        <f>IF(B850&lt;&gt;"",IF(AND(B850&gt;=_TM1,B850&lt;=_TM2,OR(TH!L850="1111",TH!M850="1111")),TH!D850,""),"")</f>
        <v/>
      </c>
      <c r="B850" s="36">
        <f t="shared" si="53"/>
        <v>10</v>
      </c>
      <c r="C850" s="189">
        <f t="shared" si="54"/>
        <v>42292</v>
      </c>
      <c r="D850" s="189" t="s">
        <v>1297</v>
      </c>
      <c r="E850" s="189">
        <v>42292</v>
      </c>
      <c r="F850" s="922" t="s">
        <v>962</v>
      </c>
      <c r="G850" s="811" t="s">
        <v>1071</v>
      </c>
      <c r="H850" s="191" t="s">
        <v>413</v>
      </c>
      <c r="I850" s="243"/>
      <c r="J850" s="243"/>
      <c r="K850" s="573">
        <v>11778000</v>
      </c>
      <c r="L850" s="574" t="s">
        <v>250</v>
      </c>
      <c r="M850" s="574" t="s">
        <v>352</v>
      </c>
      <c r="N850" s="51" t="str">
        <f>IF(AND('331-CT'!$E$7=TH!H850,OR(L850="331",M850="331")),"331",IF(AND(OR(L850="131",M850="131"),H850='131-CT'!$E$7),"131",""))</f>
        <v/>
      </c>
      <c r="O850" s="51" t="str">
        <f>IF(AND($B850&gt;='111'!$N$11,$B850&lt;='111'!$O$11,OR($L850=$O$7,$M850=$O$7)),"x","")</f>
        <v/>
      </c>
      <c r="P850" s="51" t="str">
        <f>IF(AND($L850=$O$7,$B850&lt;'111'!$N$11),"x","")</f>
        <v/>
      </c>
      <c r="Q850" s="51" t="str">
        <f>IF(AND($M850=$O$7,$B850&lt;'111'!$N$11),"x","")</f>
        <v/>
      </c>
      <c r="R850" s="51" t="str">
        <f>IF(ISERROR(FIND('112'!$M$9,G850,1)),"",IF((AND(FIND('112'!$M$9,G850,1)&gt;=1,$B850&gt;='112'!$N$8,$B850&lt;='112'!$O$8,OR($L850='112'!$I$6,$M850='112'!$I$6))),"x",""))</f>
        <v/>
      </c>
      <c r="S850" s="51" t="str">
        <f>IF(ISERROR(FIND('112'!$M$9,G850,1)),"",IF((AND(LEFT(G850,2)=LEFT('112'!$M$9,2),B850&lt;'112'!$N$8,$L850='112'!$I$6)),"x",""))</f>
        <v/>
      </c>
      <c r="T850" s="51" t="str">
        <f>IF(ISERROR(FIND('112'!$M$9,G850,1)),"",IF((AND(RIGHT(G850,2)=RIGHT('112'!$M$9,2),B850&lt;'112'!$N$8,$M850='112'!$I$6)),"x",""))</f>
        <v/>
      </c>
      <c r="U850" s="51" t="str">
        <f>IF(AND(L850="154",'154'!$O$5&lt;=B850,'154'!$P$5&gt;=B850),"154",IF(AND(L850="632",'632'!$L$5&lt;=B850,'632'!$M$5&gt;=B850),"632",IF(AND(L850="642",'642'!$N$5&lt;=B850,'642'!$O$5&gt;=B850),"642",IF(AND(L850="641",'641'!$N$5&lt;=B850,'641'!$O$5&gt;=B850),"641",""))))</f>
        <v/>
      </c>
      <c r="V850" s="51" t="str">
        <f>IF(OR(TH!L850=TH!$V$7,M850=TH!$V$7),"x","")</f>
        <v/>
      </c>
      <c r="W850" s="51" t="str">
        <f>IF(AND(B850&gt;='IN-NX'!$P$3,B850&lt;='IN-NX'!$Q$3,'IN-NX'!$D$7=D850,OR(LEFT(L850,2)="15",AND(LEFT(M850,2)&lt;&gt;"15",LEFT(M850,2)&lt;&gt;"33"))),"x","")</f>
        <v/>
      </c>
      <c r="X850" s="51" t="str">
        <f>IF(AND(OR(LEFT(TH!L850,2)="15",LEFT(TH!M850,2)="15"),'152-CT'!$J$8=TH!F850),"x","")</f>
        <v/>
      </c>
      <c r="Y850" s="51" t="str">
        <f>IF(AND(OR(LEFT(TH!L850,2)="15",LEFT(TH!M850,2)="15"),TK!$E$7=TH!F850),"x","")</f>
        <v/>
      </c>
      <c r="Z850" s="51" t="str">
        <f>IF(AND(B850&lt;=NKC!$N$8,B850&gt;=NKC!$M$8),"x","")</f>
        <v/>
      </c>
      <c r="AA850" s="803"/>
      <c r="AB850" s="565"/>
    </row>
    <row r="851" spans="1:28" ht="15.75" customHeight="1">
      <c r="A851" s="804" t="str">
        <f>IF(B851&lt;&gt;"",IF(AND(B851&gt;=_TM1,B851&lt;=_TM2,OR(TH!L851="1111",TH!M851="1111")),TH!D851,""),"")</f>
        <v/>
      </c>
      <c r="B851" s="36">
        <f t="shared" si="53"/>
        <v>10</v>
      </c>
      <c r="C851" s="189">
        <f t="shared" si="54"/>
        <v>42293</v>
      </c>
      <c r="D851" s="189" t="s">
        <v>1340</v>
      </c>
      <c r="E851" s="189">
        <v>42293</v>
      </c>
      <c r="F851" s="922" t="s">
        <v>688</v>
      </c>
      <c r="G851" s="813" t="s">
        <v>777</v>
      </c>
      <c r="H851" s="191" t="s">
        <v>448</v>
      </c>
      <c r="I851" s="243">
        <v>30</v>
      </c>
      <c r="J851" s="243">
        <v>33882</v>
      </c>
      <c r="K851" s="573">
        <f>ROUND(I851*J851,0)</f>
        <v>1016460</v>
      </c>
      <c r="L851" s="574" t="s">
        <v>417</v>
      </c>
      <c r="M851" s="574" t="s">
        <v>8</v>
      </c>
      <c r="N851" s="51" t="str">
        <f>IF(AND('331-CT'!$E$7=TH!H851,OR(L851="331",M851="331")),"331",IF(AND(OR(L851="131",M851="131"),H851='131-CT'!$E$7),"131",""))</f>
        <v/>
      </c>
      <c r="O851" s="51" t="str">
        <f>IF(AND($B851&gt;='111'!$N$11,$B851&lt;='111'!$O$11,OR($L851=$O$7,$M851=$O$7)),"x","")</f>
        <v/>
      </c>
      <c r="P851" s="51" t="str">
        <f>IF(AND($L851=$O$7,$B851&lt;'111'!$N$11),"x","")</f>
        <v/>
      </c>
      <c r="Q851" s="51" t="str">
        <f>IF(AND($M851=$O$7,$B851&lt;'111'!$N$11),"x","")</f>
        <v/>
      </c>
      <c r="R851" s="51" t="str">
        <f>IF(ISERROR(FIND('112'!$M$9,G851,1)),"",IF((AND(FIND('112'!$M$9,G851,1)&gt;=1,$B851&gt;='112'!$N$8,$B851&lt;='112'!$O$8,OR($L851='112'!$I$6,$M851='112'!$I$6))),"x",""))</f>
        <v/>
      </c>
      <c r="S851" s="51" t="str">
        <f>IF(ISERROR(FIND('112'!$M$9,G851,1)),"",IF((AND(LEFT(G851,2)=LEFT('112'!$M$9,2),B851&lt;'112'!$N$8,$L851='112'!$I$6)),"x",""))</f>
        <v/>
      </c>
      <c r="T851" s="51" t="str">
        <f>IF(ISERROR(FIND('112'!$M$9,G851,1)),"",IF((AND(RIGHT(G851,2)=RIGHT('112'!$M$9,2),B851&lt;'112'!$N$8,$M851='112'!$I$6)),"x",""))</f>
        <v/>
      </c>
      <c r="U851" s="51" t="str">
        <f>IF(AND(L851="154",'154'!$O$5&lt;=B851,'154'!$P$5&gt;=B851),"154",IF(AND(L851="632",'632'!$L$5&lt;=B851,'632'!$M$5&gt;=B851),"632",IF(AND(L851="642",'642'!$N$5&lt;=B851,'642'!$O$5&gt;=B851),"642",IF(AND(L851="641",'641'!$N$5&lt;=B851,'641'!$O$5&gt;=B851),"641",""))))</f>
        <v/>
      </c>
      <c r="V851" s="51" t="str">
        <f>IF(OR(TH!L851=TH!$V$7,M851=TH!$V$7),"x","")</f>
        <v/>
      </c>
      <c r="W851" s="51" t="str">
        <f>IF(AND(B851&gt;='IN-NX'!$P$3,B851&lt;='IN-NX'!$Q$3,'IN-NX'!$D$7=D851,OR(LEFT(L851,2)="15",AND(LEFT(M851,2)&lt;&gt;"15",LEFT(M851,2)&lt;&gt;"33"))),"x","")</f>
        <v/>
      </c>
      <c r="X851" s="51" t="str">
        <f>IF(AND(OR(LEFT(TH!L851,2)="15",LEFT(TH!M851,2)="15"),'152-CT'!$J$8=TH!F851),"x","")</f>
        <v/>
      </c>
      <c r="Y851" s="51" t="str">
        <f>IF(AND(OR(LEFT(TH!L851,2)="15",LEFT(TH!M851,2)="15"),TK!$E$7=TH!F851),"x","")</f>
        <v/>
      </c>
      <c r="Z851" s="51" t="str">
        <f>IF(AND(B851&lt;=NKC!$N$8,B851&gt;=NKC!$M$8),"x","")</f>
        <v/>
      </c>
      <c r="AA851" s="803"/>
      <c r="AB851" s="565"/>
    </row>
    <row r="852" spans="1:28" ht="15.75" customHeight="1">
      <c r="A852" s="804" t="str">
        <f>IF(B852&lt;&gt;"",IF(AND(B852&gt;=_TM1,B852&lt;=_TM2,OR(TH!L852="1111",TH!M852="1111")),TH!D852,""),"")</f>
        <v/>
      </c>
      <c r="B852" s="36">
        <f t="shared" si="53"/>
        <v>10</v>
      </c>
      <c r="C852" s="189">
        <f t="shared" si="54"/>
        <v>42293</v>
      </c>
      <c r="D852" s="189" t="s">
        <v>1340</v>
      </c>
      <c r="E852" s="189">
        <v>42293</v>
      </c>
      <c r="F852" s="922" t="s">
        <v>686</v>
      </c>
      <c r="G852" s="813" t="s">
        <v>777</v>
      </c>
      <c r="H852" s="191" t="s">
        <v>448</v>
      </c>
      <c r="I852" s="243">
        <v>35</v>
      </c>
      <c r="J852" s="243">
        <v>28932</v>
      </c>
      <c r="K852" s="573">
        <f>ROUND(I852*J852,0)</f>
        <v>1012620</v>
      </c>
      <c r="L852" s="574" t="s">
        <v>417</v>
      </c>
      <c r="M852" s="574" t="s">
        <v>8</v>
      </c>
      <c r="N852" s="51" t="str">
        <f>IF(AND('331-CT'!$E$7=TH!H852,OR(L852="331",M852="331")),"331",IF(AND(OR(L852="131",M852="131"),H852='131-CT'!$E$7),"131",""))</f>
        <v/>
      </c>
      <c r="O852" s="51" t="str">
        <f>IF(AND($B852&gt;='111'!$N$11,$B852&lt;='111'!$O$11,OR($L852=$O$7,$M852=$O$7)),"x","")</f>
        <v/>
      </c>
      <c r="P852" s="51" t="str">
        <f>IF(AND($L852=$O$7,$B852&lt;'111'!$N$11),"x","")</f>
        <v/>
      </c>
      <c r="Q852" s="51" t="str">
        <f>IF(AND($M852=$O$7,$B852&lt;'111'!$N$11),"x","")</f>
        <v/>
      </c>
      <c r="R852" s="51" t="str">
        <f>IF(ISERROR(FIND('112'!$M$9,G852,1)),"",IF((AND(FIND('112'!$M$9,G852,1)&gt;=1,$B852&gt;='112'!$N$8,$B852&lt;='112'!$O$8,OR($L852='112'!$I$6,$M852='112'!$I$6))),"x",""))</f>
        <v/>
      </c>
      <c r="S852" s="51" t="str">
        <f>IF(ISERROR(FIND('112'!$M$9,G852,1)),"",IF((AND(LEFT(G852,2)=LEFT('112'!$M$9,2),B852&lt;'112'!$N$8,$L852='112'!$I$6)),"x",""))</f>
        <v/>
      </c>
      <c r="T852" s="51" t="str">
        <f>IF(ISERROR(FIND('112'!$M$9,G852,1)),"",IF((AND(RIGHT(G852,2)=RIGHT('112'!$M$9,2),B852&lt;'112'!$N$8,$M852='112'!$I$6)),"x",""))</f>
        <v/>
      </c>
      <c r="U852" s="51" t="str">
        <f>IF(AND(L852="154",'154'!$O$5&lt;=B852,'154'!$P$5&gt;=B852),"154",IF(AND(L852="632",'632'!$L$5&lt;=B852,'632'!$M$5&gt;=B852),"632",IF(AND(L852="642",'642'!$N$5&lt;=B852,'642'!$O$5&gt;=B852),"642",IF(AND(L852="641",'641'!$N$5&lt;=B852,'641'!$O$5&gt;=B852),"641",""))))</f>
        <v/>
      </c>
      <c r="V852" s="51" t="str">
        <f>IF(OR(TH!L852=TH!$V$7,M852=TH!$V$7),"x","")</f>
        <v/>
      </c>
      <c r="W852" s="51" t="str">
        <f>IF(AND(B852&gt;='IN-NX'!$P$3,B852&lt;='IN-NX'!$Q$3,'IN-NX'!$D$7=D852,OR(LEFT(L852,2)="15",AND(LEFT(M852,2)&lt;&gt;"15",LEFT(M852,2)&lt;&gt;"33"))),"x","")</f>
        <v/>
      </c>
      <c r="X852" s="51" t="str">
        <f>IF(AND(OR(LEFT(TH!L852,2)="15",LEFT(TH!M852,2)="15"),'152-CT'!$J$8=TH!F852),"x","")</f>
        <v/>
      </c>
      <c r="Y852" s="51" t="str">
        <f>IF(AND(OR(LEFT(TH!L852,2)="15",LEFT(TH!M852,2)="15"),TK!$E$7=TH!F852),"x","")</f>
        <v/>
      </c>
      <c r="Z852" s="51" t="str">
        <f>IF(AND(B852&lt;=NKC!$N$8,B852&gt;=NKC!$M$8),"x","")</f>
        <v/>
      </c>
      <c r="AA852" s="803"/>
      <c r="AB852" s="565"/>
    </row>
    <row r="853" spans="1:28" ht="15.75" customHeight="1">
      <c r="A853" s="804" t="str">
        <f>IF(B853&lt;&gt;"",IF(AND(B853&gt;=_TM1,B853&lt;=_TM2,OR(TH!L853="1111",TH!M853="1111")),TH!D853,""),"")</f>
        <v/>
      </c>
      <c r="B853" s="36">
        <f t="shared" si="53"/>
        <v>10</v>
      </c>
      <c r="C853" s="189">
        <f t="shared" si="54"/>
        <v>42293</v>
      </c>
      <c r="D853" s="189" t="s">
        <v>1340</v>
      </c>
      <c r="E853" s="189">
        <v>42293</v>
      </c>
      <c r="F853" s="922" t="s">
        <v>779</v>
      </c>
      <c r="G853" s="813" t="s">
        <v>777</v>
      </c>
      <c r="H853" s="191" t="s">
        <v>448</v>
      </c>
      <c r="I853" s="243">
        <v>82</v>
      </c>
      <c r="J853" s="243">
        <v>13221</v>
      </c>
      <c r="K853" s="573">
        <f>ROUND(I853*J853,0)</f>
        <v>1084122</v>
      </c>
      <c r="L853" s="574" t="s">
        <v>417</v>
      </c>
      <c r="M853" s="574" t="s">
        <v>8</v>
      </c>
      <c r="N853" s="51" t="str">
        <f>IF(AND('331-CT'!$E$7=TH!H853,OR(L853="331",M853="331")),"331",IF(AND(OR(L853="131",M853="131"),H853='131-CT'!$E$7),"131",""))</f>
        <v/>
      </c>
      <c r="O853" s="51" t="str">
        <f>IF(AND($B853&gt;='111'!$N$11,$B853&lt;='111'!$O$11,OR($L853=$O$7,$M853=$O$7)),"x","")</f>
        <v/>
      </c>
      <c r="P853" s="51" t="str">
        <f>IF(AND($L853=$O$7,$B853&lt;'111'!$N$11),"x","")</f>
        <v/>
      </c>
      <c r="Q853" s="51" t="str">
        <f>IF(AND($M853=$O$7,$B853&lt;'111'!$N$11),"x","")</f>
        <v/>
      </c>
      <c r="R853" s="51" t="str">
        <f>IF(ISERROR(FIND('112'!$M$9,G853,1)),"",IF((AND(FIND('112'!$M$9,G853,1)&gt;=1,$B853&gt;='112'!$N$8,$B853&lt;='112'!$O$8,OR($L853='112'!$I$6,$M853='112'!$I$6))),"x",""))</f>
        <v/>
      </c>
      <c r="S853" s="51" t="str">
        <f>IF(ISERROR(FIND('112'!$M$9,G853,1)),"",IF((AND(LEFT(G853,2)=LEFT('112'!$M$9,2),B853&lt;'112'!$N$8,$L853='112'!$I$6)),"x",""))</f>
        <v/>
      </c>
      <c r="T853" s="51" t="str">
        <f>IF(ISERROR(FIND('112'!$M$9,G853,1)),"",IF((AND(RIGHT(G853,2)=RIGHT('112'!$M$9,2),B853&lt;'112'!$N$8,$M853='112'!$I$6)),"x",""))</f>
        <v/>
      </c>
      <c r="U853" s="51" t="str">
        <f>IF(AND(L853="154",'154'!$O$5&lt;=B853,'154'!$P$5&gt;=B853),"154",IF(AND(L853="632",'632'!$L$5&lt;=B853,'632'!$M$5&gt;=B853),"632",IF(AND(L853="642",'642'!$N$5&lt;=B853,'642'!$O$5&gt;=B853),"642",IF(AND(L853="641",'641'!$N$5&lt;=B853,'641'!$O$5&gt;=B853),"641",""))))</f>
        <v/>
      </c>
      <c r="V853" s="51" t="str">
        <f>IF(OR(TH!L853=TH!$V$7,M853=TH!$V$7),"x","")</f>
        <v/>
      </c>
      <c r="W853" s="51" t="str">
        <f>IF(AND(B853&gt;='IN-NX'!$P$3,B853&lt;='IN-NX'!$Q$3,'IN-NX'!$D$7=D853,OR(LEFT(L853,2)="15",AND(LEFT(M853,2)&lt;&gt;"15",LEFT(M853,2)&lt;&gt;"33"))),"x","")</f>
        <v/>
      </c>
      <c r="X853" s="51" t="str">
        <f>IF(AND(OR(LEFT(TH!L853,2)="15",LEFT(TH!M853,2)="15"),'152-CT'!$J$8=TH!F853),"x","")</f>
        <v/>
      </c>
      <c r="Y853" s="51" t="str">
        <f>IF(AND(OR(LEFT(TH!L853,2)="15",LEFT(TH!M853,2)="15"),TK!$E$7=TH!F853),"x","")</f>
        <v/>
      </c>
      <c r="Z853" s="51" t="str">
        <f>IF(AND(B853&lt;=NKC!$N$8,B853&gt;=NKC!$M$8),"x","")</f>
        <v/>
      </c>
      <c r="AA853" s="803"/>
      <c r="AB853" s="565"/>
    </row>
    <row r="854" spans="1:28" ht="15.75" customHeight="1">
      <c r="A854" s="804" t="str">
        <f>IF(B854&lt;&gt;"",IF(AND(B854&gt;=_TM1,B854&lt;=_TM2,OR(TH!L854="1111",TH!M854="1111")),TH!D854,""),"")</f>
        <v/>
      </c>
      <c r="B854" s="36">
        <f t="shared" si="53"/>
        <v>10</v>
      </c>
      <c r="C854" s="189">
        <f t="shared" si="54"/>
        <v>42293</v>
      </c>
      <c r="D854" s="189" t="s">
        <v>1340</v>
      </c>
      <c r="E854" s="189">
        <v>42293</v>
      </c>
      <c r="F854" s="922" t="s">
        <v>686</v>
      </c>
      <c r="G854" s="813" t="s">
        <v>777</v>
      </c>
      <c r="H854" s="191" t="s">
        <v>448</v>
      </c>
      <c r="I854" s="243">
        <v>60</v>
      </c>
      <c r="J854" s="243">
        <v>28932</v>
      </c>
      <c r="K854" s="573">
        <f>ROUND(I854*J854,0)</f>
        <v>1735920</v>
      </c>
      <c r="L854" s="574" t="s">
        <v>417</v>
      </c>
      <c r="M854" s="574" t="s">
        <v>8</v>
      </c>
      <c r="N854" s="51" t="str">
        <f>IF(AND('331-CT'!$E$7=TH!H854,OR(L854="331",M854="331")),"331",IF(AND(OR(L854="131",M854="131"),H854='131-CT'!$E$7),"131",""))</f>
        <v/>
      </c>
      <c r="O854" s="51" t="str">
        <f>IF(AND($B854&gt;='111'!$N$11,$B854&lt;='111'!$O$11,OR($L854=$O$7,$M854=$O$7)),"x","")</f>
        <v/>
      </c>
      <c r="P854" s="51" t="str">
        <f>IF(AND($L854=$O$7,$B854&lt;'111'!$N$11),"x","")</f>
        <v/>
      </c>
      <c r="Q854" s="51" t="str">
        <f>IF(AND($M854=$O$7,$B854&lt;'111'!$N$11),"x","")</f>
        <v/>
      </c>
      <c r="R854" s="51" t="str">
        <f>IF(ISERROR(FIND('112'!$M$9,G854,1)),"",IF((AND(FIND('112'!$M$9,G854,1)&gt;=1,$B854&gt;='112'!$N$8,$B854&lt;='112'!$O$8,OR($L854='112'!$I$6,$M854='112'!$I$6))),"x",""))</f>
        <v/>
      </c>
      <c r="S854" s="51" t="str">
        <f>IF(ISERROR(FIND('112'!$M$9,G854,1)),"",IF((AND(LEFT(G854,2)=LEFT('112'!$M$9,2),B854&lt;'112'!$N$8,$L854='112'!$I$6)),"x",""))</f>
        <v/>
      </c>
      <c r="T854" s="51" t="str">
        <f>IF(ISERROR(FIND('112'!$M$9,G854,1)),"",IF((AND(RIGHT(G854,2)=RIGHT('112'!$M$9,2),B854&lt;'112'!$N$8,$M854='112'!$I$6)),"x",""))</f>
        <v/>
      </c>
      <c r="U854" s="51" t="str">
        <f>IF(AND(L854="154",'154'!$O$5&lt;=B854,'154'!$P$5&gt;=B854),"154",IF(AND(L854="632",'632'!$L$5&lt;=B854,'632'!$M$5&gt;=B854),"632",IF(AND(L854="642",'642'!$N$5&lt;=B854,'642'!$O$5&gt;=B854),"642",IF(AND(L854="641",'641'!$N$5&lt;=B854,'641'!$O$5&gt;=B854),"641",""))))</f>
        <v/>
      </c>
      <c r="V854" s="51" t="str">
        <f>IF(OR(TH!L854=TH!$V$7,M854=TH!$V$7),"x","")</f>
        <v/>
      </c>
      <c r="W854" s="51" t="str">
        <f>IF(AND(B854&gt;='IN-NX'!$P$3,B854&lt;='IN-NX'!$Q$3,'IN-NX'!$D$7=D854,OR(LEFT(L854,2)="15",AND(LEFT(M854,2)&lt;&gt;"15",LEFT(M854,2)&lt;&gt;"33"))),"x","")</f>
        <v/>
      </c>
      <c r="X854" s="51" t="str">
        <f>IF(AND(OR(LEFT(TH!L854,2)="15",LEFT(TH!M854,2)="15"),'152-CT'!$J$8=TH!F854),"x","")</f>
        <v/>
      </c>
      <c r="Y854" s="51" t="str">
        <f>IF(AND(OR(LEFT(TH!L854,2)="15",LEFT(TH!M854,2)="15"),TK!$E$7=TH!F854),"x","")</f>
        <v/>
      </c>
      <c r="Z854" s="51" t="str">
        <f>IF(AND(B854&lt;=NKC!$N$8,B854&gt;=NKC!$M$8),"x","")</f>
        <v/>
      </c>
      <c r="AA854" s="803"/>
      <c r="AB854" s="565"/>
    </row>
    <row r="855" spans="1:28" ht="15.75" customHeight="1">
      <c r="A855" s="804" t="str">
        <f>IF(B855&lt;&gt;"",IF(AND(B855&gt;=_TM1,B855&lt;=_TM2,OR(TH!L855="1111",TH!M855="1111")),TH!D855,""),"")</f>
        <v/>
      </c>
      <c r="B855" s="36">
        <f t="shared" si="53"/>
        <v>10</v>
      </c>
      <c r="C855" s="189">
        <f t="shared" si="54"/>
        <v>42293</v>
      </c>
      <c r="D855" s="189" t="s">
        <v>1340</v>
      </c>
      <c r="E855" s="189">
        <v>42293</v>
      </c>
      <c r="F855" s="922" t="s">
        <v>778</v>
      </c>
      <c r="G855" s="813" t="s">
        <v>777</v>
      </c>
      <c r="H855" s="191" t="s">
        <v>448</v>
      </c>
      <c r="I855" s="243"/>
      <c r="J855" s="243"/>
      <c r="K855" s="573">
        <v>484912</v>
      </c>
      <c r="L855" s="574" t="s">
        <v>9</v>
      </c>
      <c r="M855" s="574" t="s">
        <v>8</v>
      </c>
      <c r="N855" s="51" t="str">
        <f>IF(AND('331-CT'!$E$7=TH!H855,OR(L855="331",M855="331")),"331",IF(AND(OR(L855="131",M855="131"),H855='131-CT'!$E$7),"131",""))</f>
        <v/>
      </c>
      <c r="O855" s="51" t="str">
        <f>IF(AND($B855&gt;='111'!$N$11,$B855&lt;='111'!$O$11,OR($L855=$O$7,$M855=$O$7)),"x","")</f>
        <v/>
      </c>
      <c r="P855" s="51" t="str">
        <f>IF(AND($L855=$O$7,$B855&lt;'111'!$N$11),"x","")</f>
        <v/>
      </c>
      <c r="Q855" s="51" t="str">
        <f>IF(AND($M855=$O$7,$B855&lt;'111'!$N$11),"x","")</f>
        <v/>
      </c>
      <c r="R855" s="51" t="str">
        <f>IF(ISERROR(FIND('112'!$M$9,G855,1)),"",IF((AND(FIND('112'!$M$9,G855,1)&gt;=1,$B855&gt;='112'!$N$8,$B855&lt;='112'!$O$8,OR($L855='112'!$I$6,$M855='112'!$I$6))),"x",""))</f>
        <v/>
      </c>
      <c r="S855" s="51" t="str">
        <f>IF(ISERROR(FIND('112'!$M$9,G855,1)),"",IF((AND(LEFT(G855,2)=LEFT('112'!$M$9,2),B855&lt;'112'!$N$8,$L855='112'!$I$6)),"x",""))</f>
        <v/>
      </c>
      <c r="T855" s="51" t="str">
        <f>IF(ISERROR(FIND('112'!$M$9,G855,1)),"",IF((AND(RIGHT(G855,2)=RIGHT('112'!$M$9,2),B855&lt;'112'!$N$8,$M855='112'!$I$6)),"x",""))</f>
        <v/>
      </c>
      <c r="U855" s="51" t="str">
        <f>IF(AND(L855="154",'154'!$O$5&lt;=B855,'154'!$P$5&gt;=B855),"154",IF(AND(L855="632",'632'!$L$5&lt;=B855,'632'!$M$5&gt;=B855),"632",IF(AND(L855="642",'642'!$N$5&lt;=B855,'642'!$O$5&gt;=B855),"642",IF(AND(L855="641",'641'!$N$5&lt;=B855,'641'!$O$5&gt;=B855),"641",""))))</f>
        <v/>
      </c>
      <c r="V855" s="51" t="str">
        <f>IF(OR(TH!L855=TH!$V$7,M855=TH!$V$7),"x","")</f>
        <v/>
      </c>
      <c r="W855" s="51" t="str">
        <f>IF(AND(B855&gt;='IN-NX'!$P$3,B855&lt;='IN-NX'!$Q$3,'IN-NX'!$D$7=D855,OR(LEFT(L855,2)="15",AND(LEFT(M855,2)&lt;&gt;"15",LEFT(M855,2)&lt;&gt;"33"))),"x","")</f>
        <v/>
      </c>
      <c r="X855" s="51" t="str">
        <f>IF(AND(OR(LEFT(TH!L855,2)="15",LEFT(TH!M855,2)="15"),'152-CT'!$J$8=TH!F855),"x","")</f>
        <v/>
      </c>
      <c r="Y855" s="51" t="str">
        <f>IF(AND(OR(LEFT(TH!L855,2)="15",LEFT(TH!M855,2)="15"),TK!$E$7=TH!F855),"x","")</f>
        <v/>
      </c>
      <c r="Z855" s="51" t="str">
        <f>IF(AND(B855&lt;=NKC!$N$8,B855&gt;=NKC!$M$8),"x","")</f>
        <v/>
      </c>
      <c r="AA855" s="803">
        <v>4</v>
      </c>
      <c r="AB855" s="565"/>
    </row>
    <row r="856" spans="1:28" ht="15.75" customHeight="1">
      <c r="A856" s="804" t="str">
        <f>IF(B856&lt;&gt;"",IF(AND(B856&gt;=_TM1,B856&lt;=_TM2,OR(TH!L856="1111",TH!M856="1111")),TH!D856,""),"")</f>
        <v/>
      </c>
      <c r="B856" s="36">
        <f t="shared" si="53"/>
        <v>10</v>
      </c>
      <c r="C856" s="189">
        <f t="shared" si="54"/>
        <v>42297</v>
      </c>
      <c r="D856" s="189" t="s">
        <v>319</v>
      </c>
      <c r="E856" s="189">
        <v>42297</v>
      </c>
      <c r="F856" s="922" t="s">
        <v>734</v>
      </c>
      <c r="G856" s="813" t="s">
        <v>733</v>
      </c>
      <c r="H856" s="191" t="s">
        <v>732</v>
      </c>
      <c r="I856" s="243"/>
      <c r="J856" s="243"/>
      <c r="K856" s="573">
        <v>50005120</v>
      </c>
      <c r="L856" s="574" t="s">
        <v>83</v>
      </c>
      <c r="M856" s="574" t="s">
        <v>8</v>
      </c>
      <c r="N856" s="51" t="str">
        <f>IF(AND('331-CT'!$E$7=TH!H856,OR(L856="331",M856="331")),"331",IF(AND(OR(L856="131",M856="131"),H856='131-CT'!$E$7),"131",""))</f>
        <v/>
      </c>
      <c r="O856" s="51" t="str">
        <f>IF(AND($B856&gt;='111'!$N$11,$B856&lt;='111'!$O$11,OR($L856=$O$7,$M856=$O$7)),"x","")</f>
        <v/>
      </c>
      <c r="P856" s="51" t="str">
        <f>IF(AND($L856=$O$7,$B856&lt;'111'!$N$11),"x","")</f>
        <v/>
      </c>
      <c r="Q856" s="51" t="str">
        <f>IF(AND($M856=$O$7,$B856&lt;'111'!$N$11),"x","")</f>
        <v/>
      </c>
      <c r="R856" s="51" t="str">
        <f>IF(ISERROR(FIND('112'!$M$9,G856,1)),"",IF((AND(FIND('112'!$M$9,G856,1)&gt;=1,$B856&gt;='112'!$N$8,$B856&lt;='112'!$O$8,OR($L856='112'!$I$6,$M856='112'!$I$6))),"x",""))</f>
        <v/>
      </c>
      <c r="S856" s="51" t="str">
        <f>IF(ISERROR(FIND('112'!$M$9,G856,1)),"",IF((AND(LEFT(G856,2)=LEFT('112'!$M$9,2),B856&lt;'112'!$N$8,$L856='112'!$I$6)),"x",""))</f>
        <v/>
      </c>
      <c r="T856" s="51" t="str">
        <f>IF(ISERROR(FIND('112'!$M$9,G856,1)),"",IF((AND(RIGHT(G856,2)=RIGHT('112'!$M$9,2),B856&lt;'112'!$N$8,$M856='112'!$I$6)),"x",""))</f>
        <v/>
      </c>
      <c r="U856" s="51" t="str">
        <f>IF(AND(L856="154",'154'!$O$5&lt;=B856,'154'!$P$5&gt;=B856),"154",IF(AND(L856="632",'632'!$L$5&lt;=B856,'632'!$M$5&gt;=B856),"632",IF(AND(L856="642",'642'!$N$5&lt;=B856,'642'!$O$5&gt;=B856),"642",IF(AND(L856="641",'641'!$N$5&lt;=B856,'641'!$O$5&gt;=B856),"641",""))))</f>
        <v/>
      </c>
      <c r="V856" s="51" t="str">
        <f>IF(OR(TH!L856=TH!$V$7,M856=TH!$V$7),"x","")</f>
        <v>x</v>
      </c>
      <c r="W856" s="51" t="str">
        <f>IF(AND(B856&gt;='IN-NX'!$P$3,B856&lt;='IN-NX'!$Q$3,'IN-NX'!$D$7=D856,OR(LEFT(L856,2)="15",AND(LEFT(M856,2)&lt;&gt;"15",LEFT(M856,2)&lt;&gt;"33"))),"x","")</f>
        <v/>
      </c>
      <c r="X856" s="51" t="str">
        <f>IF(AND(OR(LEFT(TH!L856,2)="15",LEFT(TH!M856,2)="15"),'152-CT'!$J$8=TH!F856),"x","")</f>
        <v/>
      </c>
      <c r="Y856" s="51" t="str">
        <f>IF(AND(OR(LEFT(TH!L856,2)="15",LEFT(TH!M856,2)="15"),TK!$E$7=TH!F856),"x","")</f>
        <v/>
      </c>
      <c r="Z856" s="51" t="str">
        <f>IF(AND(B856&lt;=NKC!$N$8,B856&gt;=NKC!$M$8),"x","")</f>
        <v/>
      </c>
      <c r="AA856" s="803"/>
      <c r="AB856" s="565"/>
    </row>
    <row r="857" spans="1:28" ht="15.75" customHeight="1">
      <c r="A857" s="804" t="str">
        <f>IF(B857&lt;&gt;"",IF(AND(B857&gt;=_TM1,B857&lt;=_TM2,OR(TH!L857="1111",TH!M857="1111")),TH!D857,""),"")</f>
        <v/>
      </c>
      <c r="B857" s="36">
        <f t="shared" si="53"/>
        <v>10</v>
      </c>
      <c r="C857" s="189">
        <f t="shared" si="54"/>
        <v>42297</v>
      </c>
      <c r="D857" s="189" t="s">
        <v>319</v>
      </c>
      <c r="E857" s="189">
        <v>42297</v>
      </c>
      <c r="F857" s="922" t="s">
        <v>735</v>
      </c>
      <c r="G857" s="813" t="s">
        <v>733</v>
      </c>
      <c r="H857" s="191" t="s">
        <v>732</v>
      </c>
      <c r="I857" s="243"/>
      <c r="J857" s="243"/>
      <c r="K857" s="573">
        <v>5000512</v>
      </c>
      <c r="L857" s="574" t="s">
        <v>9</v>
      </c>
      <c r="M857" s="574" t="s">
        <v>8</v>
      </c>
      <c r="N857" s="51" t="str">
        <f>IF(AND('331-CT'!$E$7=TH!H857,OR(L857="331",M857="331")),"331",IF(AND(OR(L857="131",M857="131"),H857='131-CT'!$E$7),"131",""))</f>
        <v/>
      </c>
      <c r="O857" s="51" t="str">
        <f>IF(AND($B857&gt;='111'!$N$11,$B857&lt;='111'!$O$11,OR($L857=$O$7,$M857=$O$7)),"x","")</f>
        <v/>
      </c>
      <c r="P857" s="51" t="str">
        <f>IF(AND($L857=$O$7,$B857&lt;'111'!$N$11),"x","")</f>
        <v/>
      </c>
      <c r="Q857" s="51" t="str">
        <f>IF(AND($M857=$O$7,$B857&lt;'111'!$N$11),"x","")</f>
        <v/>
      </c>
      <c r="R857" s="51" t="str">
        <f>IF(ISERROR(FIND('112'!$M$9,G857,1)),"",IF((AND(FIND('112'!$M$9,G857,1)&gt;=1,$B857&gt;='112'!$N$8,$B857&lt;='112'!$O$8,OR($L857='112'!$I$6,$M857='112'!$I$6))),"x",""))</f>
        <v/>
      </c>
      <c r="S857" s="51" t="str">
        <f>IF(ISERROR(FIND('112'!$M$9,G857,1)),"",IF((AND(LEFT(G857,2)=LEFT('112'!$M$9,2),B857&lt;'112'!$N$8,$L857='112'!$I$6)),"x",""))</f>
        <v/>
      </c>
      <c r="T857" s="51" t="str">
        <f>IF(ISERROR(FIND('112'!$M$9,G857,1)),"",IF((AND(RIGHT(G857,2)=RIGHT('112'!$M$9,2),B857&lt;'112'!$N$8,$M857='112'!$I$6)),"x",""))</f>
        <v/>
      </c>
      <c r="U857" s="51" t="str">
        <f>IF(AND(L857="154",'154'!$O$5&lt;=B857,'154'!$P$5&gt;=B857),"154",IF(AND(L857="632",'632'!$L$5&lt;=B857,'632'!$M$5&gt;=B857),"632",IF(AND(L857="642",'642'!$N$5&lt;=B857,'642'!$O$5&gt;=B857),"642",IF(AND(L857="641",'641'!$N$5&lt;=B857,'641'!$O$5&gt;=B857),"641",""))))</f>
        <v/>
      </c>
      <c r="V857" s="51" t="str">
        <f>IF(OR(TH!L857=TH!$V$7,M857=TH!$V$7),"x","")</f>
        <v/>
      </c>
      <c r="W857" s="51" t="str">
        <f>IF(AND(B857&gt;='IN-NX'!$P$3,B857&lt;='IN-NX'!$Q$3,'IN-NX'!$D$7=D857,OR(LEFT(L857,2)="15",AND(LEFT(M857,2)&lt;&gt;"15",LEFT(M857,2)&lt;&gt;"33"))),"x","")</f>
        <v/>
      </c>
      <c r="X857" s="51" t="str">
        <f>IF(AND(OR(LEFT(TH!L857,2)="15",LEFT(TH!M857,2)="15"),'152-CT'!$J$8=TH!F857),"x","")</f>
        <v/>
      </c>
      <c r="Y857" s="51" t="str">
        <f>IF(AND(OR(LEFT(TH!L857,2)="15",LEFT(TH!M857,2)="15"),TK!$E$7=TH!F857),"x","")</f>
        <v/>
      </c>
      <c r="Z857" s="51" t="str">
        <f>IF(AND(B857&lt;=NKC!$N$8,B857&gt;=NKC!$M$8),"x","")</f>
        <v/>
      </c>
      <c r="AA857" s="803">
        <v>4</v>
      </c>
      <c r="AB857" s="565"/>
    </row>
    <row r="858" spans="1:28" ht="15.75" customHeight="1">
      <c r="A858" s="804" t="str">
        <f>IF(B858&lt;&gt;"",IF(AND(B858&gt;=_TM1,B858&lt;=_TM2,OR(TH!L858="1111",TH!M858="1111")),TH!D858,""),"")</f>
        <v/>
      </c>
      <c r="B858" s="36">
        <f t="shared" si="53"/>
        <v>10</v>
      </c>
      <c r="C858" s="189">
        <f t="shared" si="54"/>
        <v>42297</v>
      </c>
      <c r="D858" s="189" t="s">
        <v>1343</v>
      </c>
      <c r="E858" s="189">
        <v>42297</v>
      </c>
      <c r="F858" s="922" t="s">
        <v>757</v>
      </c>
      <c r="G858" s="813" t="s">
        <v>756</v>
      </c>
      <c r="H858" s="191" t="s">
        <v>494</v>
      </c>
      <c r="I858" s="243">
        <v>500</v>
      </c>
      <c r="J858" s="243">
        <v>16800</v>
      </c>
      <c r="K858" s="573">
        <f t="shared" ref="K858:K879" si="56">ROUND(I858*J858,0)</f>
        <v>8400000</v>
      </c>
      <c r="L858" s="574" t="s">
        <v>417</v>
      </c>
      <c r="M858" s="574" t="s">
        <v>8</v>
      </c>
      <c r="N858" s="51" t="str">
        <f>IF(AND('331-CT'!$E$7=TH!H858,OR(L858="331",M858="331")),"331",IF(AND(OR(L858="131",M858="131"),H858='131-CT'!$E$7),"131",""))</f>
        <v/>
      </c>
      <c r="O858" s="51" t="str">
        <f>IF(AND($B858&gt;='111'!$N$11,$B858&lt;='111'!$O$11,OR($L858=$O$7,$M858=$O$7)),"x","")</f>
        <v/>
      </c>
      <c r="P858" s="51" t="str">
        <f>IF(AND($L858=$O$7,$B858&lt;'111'!$N$11),"x","")</f>
        <v/>
      </c>
      <c r="Q858" s="51" t="str">
        <f>IF(AND($M858=$O$7,$B858&lt;'111'!$N$11),"x","")</f>
        <v/>
      </c>
      <c r="R858" s="51" t="str">
        <f>IF(ISERROR(FIND('112'!$M$9,G858,1)),"",IF((AND(FIND('112'!$M$9,G858,1)&gt;=1,$B858&gt;='112'!$N$8,$B858&lt;='112'!$O$8,OR($L858='112'!$I$6,$M858='112'!$I$6))),"x",""))</f>
        <v/>
      </c>
      <c r="S858" s="51" t="str">
        <f>IF(ISERROR(FIND('112'!$M$9,G858,1)),"",IF((AND(LEFT(G858,2)=LEFT('112'!$M$9,2),B858&lt;'112'!$N$8,$L858='112'!$I$6)),"x",""))</f>
        <v/>
      </c>
      <c r="T858" s="51" t="str">
        <f>IF(ISERROR(FIND('112'!$M$9,G858,1)),"",IF((AND(RIGHT(G858,2)=RIGHT('112'!$M$9,2),B858&lt;'112'!$N$8,$M858='112'!$I$6)),"x",""))</f>
        <v/>
      </c>
      <c r="U858" s="51" t="str">
        <f>IF(AND(L858="154",'154'!$O$5&lt;=B858,'154'!$P$5&gt;=B858),"154",IF(AND(L858="632",'632'!$L$5&lt;=B858,'632'!$M$5&gt;=B858),"632",IF(AND(L858="642",'642'!$N$5&lt;=B858,'642'!$O$5&gt;=B858),"642",IF(AND(L858="641",'641'!$N$5&lt;=B858,'641'!$O$5&gt;=B858),"641",""))))</f>
        <v/>
      </c>
      <c r="V858" s="51" t="str">
        <f>IF(OR(TH!L858=TH!$V$7,M858=TH!$V$7),"x","")</f>
        <v/>
      </c>
      <c r="W858" s="51" t="str">
        <f>IF(AND(B858&gt;='IN-NX'!$P$3,B858&lt;='IN-NX'!$Q$3,'IN-NX'!$D$7=D858,OR(LEFT(L858,2)="15",AND(LEFT(M858,2)&lt;&gt;"15",LEFT(M858,2)&lt;&gt;"33"))),"x","")</f>
        <v/>
      </c>
      <c r="X858" s="51" t="str">
        <f>IF(AND(OR(LEFT(TH!L858,2)="15",LEFT(TH!M858,2)="15"),'152-CT'!$J$8=TH!F858),"x","")</f>
        <v/>
      </c>
      <c r="Y858" s="51" t="str">
        <f>IF(AND(OR(LEFT(TH!L858,2)="15",LEFT(TH!M858,2)="15"),TK!$E$7=TH!F858),"x","")</f>
        <v/>
      </c>
      <c r="Z858" s="51" t="str">
        <f>IF(AND(B858&lt;=NKC!$N$8,B858&gt;=NKC!$M$8),"x","")</f>
        <v/>
      </c>
      <c r="AA858" s="803"/>
      <c r="AB858" s="565"/>
    </row>
    <row r="859" spans="1:28" ht="15.75" customHeight="1">
      <c r="A859" s="804" t="str">
        <f>IF(B859&lt;&gt;"",IF(AND(B859&gt;=_TM1,B859&lt;=_TM2,OR(TH!L859="1111",TH!M859="1111")),TH!D859,""),"")</f>
        <v/>
      </c>
      <c r="B859" s="36">
        <f t="shared" si="53"/>
        <v>10</v>
      </c>
      <c r="C859" s="189">
        <f t="shared" si="54"/>
        <v>42297</v>
      </c>
      <c r="D859" s="189" t="s">
        <v>1343</v>
      </c>
      <c r="E859" s="189">
        <v>42297</v>
      </c>
      <c r="F859" s="922" t="s">
        <v>758</v>
      </c>
      <c r="G859" s="813" t="s">
        <v>756</v>
      </c>
      <c r="H859" s="191" t="s">
        <v>494</v>
      </c>
      <c r="I859" s="243">
        <v>40</v>
      </c>
      <c r="J859" s="243">
        <v>17626</v>
      </c>
      <c r="K859" s="573">
        <f t="shared" si="56"/>
        <v>705040</v>
      </c>
      <c r="L859" s="574" t="s">
        <v>417</v>
      </c>
      <c r="M859" s="574" t="s">
        <v>8</v>
      </c>
      <c r="N859" s="51" t="str">
        <f>IF(AND('331-CT'!$E$7=TH!H859,OR(L859="331",M859="331")),"331",IF(AND(OR(L859="131",M859="131"),H859='131-CT'!$E$7),"131",""))</f>
        <v/>
      </c>
      <c r="O859" s="51" t="str">
        <f>IF(AND($B859&gt;='111'!$N$11,$B859&lt;='111'!$O$11,OR($L859=$O$7,$M859=$O$7)),"x","")</f>
        <v/>
      </c>
      <c r="P859" s="51" t="str">
        <f>IF(AND($L859=$O$7,$B859&lt;'111'!$N$11),"x","")</f>
        <v/>
      </c>
      <c r="Q859" s="51" t="str">
        <f>IF(AND($M859=$O$7,$B859&lt;'111'!$N$11),"x","")</f>
        <v/>
      </c>
      <c r="R859" s="51" t="str">
        <f>IF(ISERROR(FIND('112'!$M$9,G859,1)),"",IF((AND(FIND('112'!$M$9,G859,1)&gt;=1,$B859&gt;='112'!$N$8,$B859&lt;='112'!$O$8,OR($L859='112'!$I$6,$M859='112'!$I$6))),"x",""))</f>
        <v/>
      </c>
      <c r="S859" s="51" t="str">
        <f>IF(ISERROR(FIND('112'!$M$9,G859,1)),"",IF((AND(LEFT(G859,2)=LEFT('112'!$M$9,2),B859&lt;'112'!$N$8,$L859='112'!$I$6)),"x",""))</f>
        <v/>
      </c>
      <c r="T859" s="51" t="str">
        <f>IF(ISERROR(FIND('112'!$M$9,G859,1)),"",IF((AND(RIGHT(G859,2)=RIGHT('112'!$M$9,2),B859&lt;'112'!$N$8,$M859='112'!$I$6)),"x",""))</f>
        <v/>
      </c>
      <c r="U859" s="51" t="str">
        <f>IF(AND(L859="154",'154'!$O$5&lt;=B859,'154'!$P$5&gt;=B859),"154",IF(AND(L859="632",'632'!$L$5&lt;=B859,'632'!$M$5&gt;=B859),"632",IF(AND(L859="642",'642'!$N$5&lt;=B859,'642'!$O$5&gt;=B859),"642",IF(AND(L859="641",'641'!$N$5&lt;=B859,'641'!$O$5&gt;=B859),"641",""))))</f>
        <v/>
      </c>
      <c r="V859" s="51" t="str">
        <f>IF(OR(TH!L859=TH!$V$7,M859=TH!$V$7),"x","")</f>
        <v/>
      </c>
      <c r="W859" s="51" t="str">
        <f>IF(AND(B859&gt;='IN-NX'!$P$3,B859&lt;='IN-NX'!$Q$3,'IN-NX'!$D$7=D859,OR(LEFT(L859,2)="15",AND(LEFT(M859,2)&lt;&gt;"15",LEFT(M859,2)&lt;&gt;"33"))),"x","")</f>
        <v/>
      </c>
      <c r="X859" s="51" t="str">
        <f>IF(AND(OR(LEFT(TH!L859,2)="15",LEFT(TH!M859,2)="15"),'152-CT'!$J$8=TH!F859),"x","")</f>
        <v/>
      </c>
      <c r="Y859" s="51" t="str">
        <f>IF(AND(OR(LEFT(TH!L859,2)="15",LEFT(TH!M859,2)="15"),TK!$E$7=TH!F859),"x","")</f>
        <v/>
      </c>
      <c r="Z859" s="51" t="str">
        <f>IF(AND(B859&lt;=NKC!$N$8,B859&gt;=NKC!$M$8),"x","")</f>
        <v/>
      </c>
      <c r="AA859" s="803"/>
      <c r="AB859" s="565"/>
    </row>
    <row r="860" spans="1:28" ht="15.75" customHeight="1">
      <c r="A860" s="804" t="str">
        <f>IF(B860&lt;&gt;"",IF(AND(B860&gt;=_TM1,B860&lt;=_TM2,OR(TH!L860="1111",TH!M860="1111")),TH!D860,""),"")</f>
        <v/>
      </c>
      <c r="B860" s="36">
        <f t="shared" ref="B860:B923" si="57">IF(C860&lt;&gt;"",MONTH(C860),"")</f>
        <v>10</v>
      </c>
      <c r="C860" s="189">
        <f t="shared" ref="C860:C923" si="58">E860</f>
        <v>42297</v>
      </c>
      <c r="D860" s="189" t="s">
        <v>1343</v>
      </c>
      <c r="E860" s="189">
        <v>42297</v>
      </c>
      <c r="F860" s="922" t="s">
        <v>759</v>
      </c>
      <c r="G860" s="813" t="s">
        <v>756</v>
      </c>
      <c r="H860" s="191" t="s">
        <v>494</v>
      </c>
      <c r="I860" s="243">
        <v>200</v>
      </c>
      <c r="J860" s="243">
        <v>2389</v>
      </c>
      <c r="K860" s="573">
        <f t="shared" si="56"/>
        <v>477800</v>
      </c>
      <c r="L860" s="574" t="s">
        <v>417</v>
      </c>
      <c r="M860" s="574" t="s">
        <v>8</v>
      </c>
      <c r="N860" s="51" t="str">
        <f>IF(AND('331-CT'!$E$7=TH!H860,OR(L860="331",M860="331")),"331",IF(AND(OR(L860="131",M860="131"),H860='131-CT'!$E$7),"131",""))</f>
        <v/>
      </c>
      <c r="O860" s="51" t="str">
        <f>IF(AND($B860&gt;='111'!$N$11,$B860&lt;='111'!$O$11,OR($L860=$O$7,$M860=$O$7)),"x","")</f>
        <v/>
      </c>
      <c r="P860" s="51" t="str">
        <f>IF(AND($L860=$O$7,$B860&lt;'111'!$N$11),"x","")</f>
        <v/>
      </c>
      <c r="Q860" s="51" t="str">
        <f>IF(AND($M860=$O$7,$B860&lt;'111'!$N$11),"x","")</f>
        <v/>
      </c>
      <c r="R860" s="51" t="str">
        <f>IF(ISERROR(FIND('112'!$M$9,G860,1)),"",IF((AND(FIND('112'!$M$9,G860,1)&gt;=1,$B860&gt;='112'!$N$8,$B860&lt;='112'!$O$8,OR($L860='112'!$I$6,$M860='112'!$I$6))),"x",""))</f>
        <v/>
      </c>
      <c r="S860" s="51" t="str">
        <f>IF(ISERROR(FIND('112'!$M$9,G860,1)),"",IF((AND(LEFT(G860,2)=LEFT('112'!$M$9,2),B860&lt;'112'!$N$8,$L860='112'!$I$6)),"x",""))</f>
        <v/>
      </c>
      <c r="T860" s="51" t="str">
        <f>IF(ISERROR(FIND('112'!$M$9,G860,1)),"",IF((AND(RIGHT(G860,2)=RIGHT('112'!$M$9,2),B860&lt;'112'!$N$8,$M860='112'!$I$6)),"x",""))</f>
        <v/>
      </c>
      <c r="U860" s="51" t="str">
        <f>IF(AND(L860="154",'154'!$O$5&lt;=B860,'154'!$P$5&gt;=B860),"154",IF(AND(L860="632",'632'!$L$5&lt;=B860,'632'!$M$5&gt;=B860),"632",IF(AND(L860="642",'642'!$N$5&lt;=B860,'642'!$O$5&gt;=B860),"642",IF(AND(L860="641",'641'!$N$5&lt;=B860,'641'!$O$5&gt;=B860),"641",""))))</f>
        <v/>
      </c>
      <c r="V860" s="51" t="str">
        <f>IF(OR(TH!L860=TH!$V$7,M860=TH!$V$7),"x","")</f>
        <v/>
      </c>
      <c r="W860" s="51" t="str">
        <f>IF(AND(B860&gt;='IN-NX'!$P$3,B860&lt;='IN-NX'!$Q$3,'IN-NX'!$D$7=D860,OR(LEFT(L860,2)="15",AND(LEFT(M860,2)&lt;&gt;"15",LEFT(M860,2)&lt;&gt;"33"))),"x","")</f>
        <v/>
      </c>
      <c r="X860" s="51" t="str">
        <f>IF(AND(OR(LEFT(TH!L860,2)="15",LEFT(TH!M860,2)="15"),'152-CT'!$J$8=TH!F860),"x","")</f>
        <v/>
      </c>
      <c r="Y860" s="51" t="str">
        <f>IF(AND(OR(LEFT(TH!L860,2)="15",LEFT(TH!M860,2)="15"),TK!$E$7=TH!F860),"x","")</f>
        <v/>
      </c>
      <c r="Z860" s="51" t="str">
        <f>IF(AND(B860&lt;=NKC!$N$8,B860&gt;=NKC!$M$8),"x","")</f>
        <v/>
      </c>
      <c r="AA860" s="803"/>
      <c r="AB860" s="565"/>
    </row>
    <row r="861" spans="1:28" ht="15.75" customHeight="1">
      <c r="A861" s="804" t="str">
        <f>IF(B861&lt;&gt;"",IF(AND(B861&gt;=_TM1,B861&lt;=_TM2,OR(TH!L861="1111",TH!M861="1111")),TH!D861,""),"")</f>
        <v/>
      </c>
      <c r="B861" s="36">
        <f t="shared" si="57"/>
        <v>10</v>
      </c>
      <c r="C861" s="189">
        <f t="shared" si="58"/>
        <v>42297</v>
      </c>
      <c r="D861" s="189" t="s">
        <v>1343</v>
      </c>
      <c r="E861" s="189">
        <v>42297</v>
      </c>
      <c r="F861" s="922" t="s">
        <v>620</v>
      </c>
      <c r="G861" s="813" t="s">
        <v>756</v>
      </c>
      <c r="H861" s="191" t="s">
        <v>494</v>
      </c>
      <c r="I861" s="243">
        <v>1000</v>
      </c>
      <c r="J861" s="243">
        <v>10080</v>
      </c>
      <c r="K861" s="573">
        <f t="shared" si="56"/>
        <v>10080000</v>
      </c>
      <c r="L861" s="574" t="s">
        <v>417</v>
      </c>
      <c r="M861" s="574" t="s">
        <v>8</v>
      </c>
      <c r="N861" s="51" t="str">
        <f>IF(AND('331-CT'!$E$7=TH!H861,OR(L861="331",M861="331")),"331",IF(AND(OR(L861="131",M861="131"),H861='131-CT'!$E$7),"131",""))</f>
        <v/>
      </c>
      <c r="O861" s="51" t="str">
        <f>IF(AND($B861&gt;='111'!$N$11,$B861&lt;='111'!$O$11,OR($L861=$O$7,$M861=$O$7)),"x","")</f>
        <v/>
      </c>
      <c r="P861" s="51" t="str">
        <f>IF(AND($L861=$O$7,$B861&lt;'111'!$N$11),"x","")</f>
        <v/>
      </c>
      <c r="Q861" s="51" t="str">
        <f>IF(AND($M861=$O$7,$B861&lt;'111'!$N$11),"x","")</f>
        <v/>
      </c>
      <c r="R861" s="51" t="str">
        <f>IF(ISERROR(FIND('112'!$M$9,G861,1)),"",IF((AND(FIND('112'!$M$9,G861,1)&gt;=1,$B861&gt;='112'!$N$8,$B861&lt;='112'!$O$8,OR($L861='112'!$I$6,$M861='112'!$I$6))),"x",""))</f>
        <v/>
      </c>
      <c r="S861" s="51" t="str">
        <f>IF(ISERROR(FIND('112'!$M$9,G861,1)),"",IF((AND(LEFT(G861,2)=LEFT('112'!$M$9,2),B861&lt;'112'!$N$8,$L861='112'!$I$6)),"x",""))</f>
        <v/>
      </c>
      <c r="T861" s="51" t="str">
        <f>IF(ISERROR(FIND('112'!$M$9,G861,1)),"",IF((AND(RIGHT(G861,2)=RIGHT('112'!$M$9,2),B861&lt;'112'!$N$8,$M861='112'!$I$6)),"x",""))</f>
        <v/>
      </c>
      <c r="U861" s="51" t="str">
        <f>IF(AND(L861="154",'154'!$O$5&lt;=B861,'154'!$P$5&gt;=B861),"154",IF(AND(L861="632",'632'!$L$5&lt;=B861,'632'!$M$5&gt;=B861),"632",IF(AND(L861="642",'642'!$N$5&lt;=B861,'642'!$O$5&gt;=B861),"642",IF(AND(L861="641",'641'!$N$5&lt;=B861,'641'!$O$5&gt;=B861),"641",""))))</f>
        <v/>
      </c>
      <c r="V861" s="51" t="str">
        <f>IF(OR(TH!L861=TH!$V$7,M861=TH!$V$7),"x","")</f>
        <v/>
      </c>
      <c r="W861" s="51" t="str">
        <f>IF(AND(B861&gt;='IN-NX'!$P$3,B861&lt;='IN-NX'!$Q$3,'IN-NX'!$D$7=D861,OR(LEFT(L861,2)="15",AND(LEFT(M861,2)&lt;&gt;"15",LEFT(M861,2)&lt;&gt;"33"))),"x","")</f>
        <v/>
      </c>
      <c r="X861" s="51" t="str">
        <f>IF(AND(OR(LEFT(TH!L861,2)="15",LEFT(TH!M861,2)="15"),'152-CT'!$J$8=TH!F861),"x","")</f>
        <v/>
      </c>
      <c r="Y861" s="51" t="str">
        <f>IF(AND(OR(LEFT(TH!L861,2)="15",LEFT(TH!M861,2)="15"),TK!$E$7=TH!F861),"x","")</f>
        <v/>
      </c>
      <c r="Z861" s="51" t="str">
        <f>IF(AND(B861&lt;=NKC!$N$8,B861&gt;=NKC!$M$8),"x","")</f>
        <v/>
      </c>
      <c r="AA861" s="803"/>
      <c r="AB861" s="565"/>
    </row>
    <row r="862" spans="1:28" ht="15.75" customHeight="1">
      <c r="A862" s="804" t="str">
        <f>IF(B862&lt;&gt;"",IF(AND(B862&gt;=_TM1,B862&lt;=_TM2,OR(TH!L862="1111",TH!M862="1111")),TH!D862,""),"")</f>
        <v/>
      </c>
      <c r="B862" s="36">
        <f t="shared" si="57"/>
        <v>10</v>
      </c>
      <c r="C862" s="189">
        <f t="shared" si="58"/>
        <v>42297</v>
      </c>
      <c r="D862" s="189" t="s">
        <v>1343</v>
      </c>
      <c r="E862" s="189">
        <v>42297</v>
      </c>
      <c r="F862" s="922" t="s">
        <v>621</v>
      </c>
      <c r="G862" s="813" t="s">
        <v>756</v>
      </c>
      <c r="H862" s="191" t="s">
        <v>494</v>
      </c>
      <c r="I862" s="243">
        <v>1000</v>
      </c>
      <c r="J862" s="243">
        <v>12048</v>
      </c>
      <c r="K862" s="573">
        <f t="shared" si="56"/>
        <v>12048000</v>
      </c>
      <c r="L862" s="574" t="s">
        <v>417</v>
      </c>
      <c r="M862" s="574" t="s">
        <v>8</v>
      </c>
      <c r="N862" s="51" t="str">
        <f>IF(AND('331-CT'!$E$7=TH!H862,OR(L862="331",M862="331")),"331",IF(AND(OR(L862="131",M862="131"),H862='131-CT'!$E$7),"131",""))</f>
        <v/>
      </c>
      <c r="O862" s="51" t="str">
        <f>IF(AND($B862&gt;='111'!$N$11,$B862&lt;='111'!$O$11,OR($L862=$O$7,$M862=$O$7)),"x","")</f>
        <v/>
      </c>
      <c r="P862" s="51" t="str">
        <f>IF(AND($L862=$O$7,$B862&lt;'111'!$N$11),"x","")</f>
        <v/>
      </c>
      <c r="Q862" s="51" t="str">
        <f>IF(AND($M862=$O$7,$B862&lt;'111'!$N$11),"x","")</f>
        <v/>
      </c>
      <c r="R862" s="51" t="str">
        <f>IF(ISERROR(FIND('112'!$M$9,G862,1)),"",IF((AND(FIND('112'!$M$9,G862,1)&gt;=1,$B862&gt;='112'!$N$8,$B862&lt;='112'!$O$8,OR($L862='112'!$I$6,$M862='112'!$I$6))),"x",""))</f>
        <v/>
      </c>
      <c r="S862" s="51" t="str">
        <f>IF(ISERROR(FIND('112'!$M$9,G862,1)),"",IF((AND(LEFT(G862,2)=LEFT('112'!$M$9,2),B862&lt;'112'!$N$8,$L862='112'!$I$6)),"x",""))</f>
        <v/>
      </c>
      <c r="T862" s="51" t="str">
        <f>IF(ISERROR(FIND('112'!$M$9,G862,1)),"",IF((AND(RIGHT(G862,2)=RIGHT('112'!$M$9,2),B862&lt;'112'!$N$8,$M862='112'!$I$6)),"x",""))</f>
        <v/>
      </c>
      <c r="U862" s="51" t="str">
        <f>IF(AND(L862="154",'154'!$O$5&lt;=B862,'154'!$P$5&gt;=B862),"154",IF(AND(L862="632",'632'!$L$5&lt;=B862,'632'!$M$5&gt;=B862),"632",IF(AND(L862="642",'642'!$N$5&lt;=B862,'642'!$O$5&gt;=B862),"642",IF(AND(L862="641",'641'!$N$5&lt;=B862,'641'!$O$5&gt;=B862),"641",""))))</f>
        <v/>
      </c>
      <c r="V862" s="51" t="str">
        <f>IF(OR(TH!L862=TH!$V$7,M862=TH!$V$7),"x","")</f>
        <v/>
      </c>
      <c r="W862" s="51" t="str">
        <f>IF(AND(B862&gt;='IN-NX'!$P$3,B862&lt;='IN-NX'!$Q$3,'IN-NX'!$D$7=D862,OR(LEFT(L862,2)="15",AND(LEFT(M862,2)&lt;&gt;"15",LEFT(M862,2)&lt;&gt;"33"))),"x","")</f>
        <v/>
      </c>
      <c r="X862" s="51" t="str">
        <f>IF(AND(OR(LEFT(TH!L862,2)="15",LEFT(TH!M862,2)="15"),'152-CT'!$J$8=TH!F862),"x","")</f>
        <v/>
      </c>
      <c r="Y862" s="51" t="str">
        <f>IF(AND(OR(LEFT(TH!L862,2)="15",LEFT(TH!M862,2)="15"),TK!$E$7=TH!F862),"x","")</f>
        <v/>
      </c>
      <c r="Z862" s="51" t="str">
        <f>IF(AND(B862&lt;=NKC!$N$8,B862&gt;=NKC!$M$8),"x","")</f>
        <v/>
      </c>
      <c r="AA862" s="803"/>
      <c r="AB862" s="565"/>
    </row>
    <row r="863" spans="1:28" ht="15.75" customHeight="1">
      <c r="A863" s="804" t="str">
        <f>IF(B863&lt;&gt;"",IF(AND(B863&gt;=_TM1,B863&lt;=_TM2,OR(TH!L863="1111",TH!M863="1111")),TH!D863,""),"")</f>
        <v/>
      </c>
      <c r="B863" s="36">
        <f t="shared" si="57"/>
        <v>10</v>
      </c>
      <c r="C863" s="189">
        <f t="shared" si="58"/>
        <v>42297</v>
      </c>
      <c r="D863" s="189" t="s">
        <v>1343</v>
      </c>
      <c r="E863" s="189">
        <v>42297</v>
      </c>
      <c r="F863" s="922" t="s">
        <v>760</v>
      </c>
      <c r="G863" s="813" t="s">
        <v>756</v>
      </c>
      <c r="H863" s="191" t="s">
        <v>494</v>
      </c>
      <c r="I863" s="243">
        <v>25</v>
      </c>
      <c r="J863" s="243">
        <v>11405</v>
      </c>
      <c r="K863" s="573">
        <f t="shared" si="56"/>
        <v>285125</v>
      </c>
      <c r="L863" s="574" t="s">
        <v>417</v>
      </c>
      <c r="M863" s="574" t="s">
        <v>8</v>
      </c>
      <c r="N863" s="51" t="str">
        <f>IF(AND('331-CT'!$E$7=TH!H863,OR(L863="331",M863="331")),"331",IF(AND(OR(L863="131",M863="131"),H863='131-CT'!$E$7),"131",""))</f>
        <v/>
      </c>
      <c r="O863" s="51" t="str">
        <f>IF(AND($B863&gt;='111'!$N$11,$B863&lt;='111'!$O$11,OR($L863=$O$7,$M863=$O$7)),"x","")</f>
        <v/>
      </c>
      <c r="P863" s="51" t="str">
        <f>IF(AND($L863=$O$7,$B863&lt;'111'!$N$11),"x","")</f>
        <v/>
      </c>
      <c r="Q863" s="51" t="str">
        <f>IF(AND($M863=$O$7,$B863&lt;'111'!$N$11),"x","")</f>
        <v/>
      </c>
      <c r="R863" s="51" t="str">
        <f>IF(ISERROR(FIND('112'!$M$9,G863,1)),"",IF((AND(FIND('112'!$M$9,G863,1)&gt;=1,$B863&gt;='112'!$N$8,$B863&lt;='112'!$O$8,OR($L863='112'!$I$6,$M863='112'!$I$6))),"x",""))</f>
        <v/>
      </c>
      <c r="S863" s="51" t="str">
        <f>IF(ISERROR(FIND('112'!$M$9,G863,1)),"",IF((AND(LEFT(G863,2)=LEFT('112'!$M$9,2),B863&lt;'112'!$N$8,$L863='112'!$I$6)),"x",""))</f>
        <v/>
      </c>
      <c r="T863" s="51" t="str">
        <f>IF(ISERROR(FIND('112'!$M$9,G863,1)),"",IF((AND(RIGHT(G863,2)=RIGHT('112'!$M$9,2),B863&lt;'112'!$N$8,$M863='112'!$I$6)),"x",""))</f>
        <v/>
      </c>
      <c r="U863" s="51" t="str">
        <f>IF(AND(L863="154",'154'!$O$5&lt;=B863,'154'!$P$5&gt;=B863),"154",IF(AND(L863="632",'632'!$L$5&lt;=B863,'632'!$M$5&gt;=B863),"632",IF(AND(L863="642",'642'!$N$5&lt;=B863,'642'!$O$5&gt;=B863),"642",IF(AND(L863="641",'641'!$N$5&lt;=B863,'641'!$O$5&gt;=B863),"641",""))))</f>
        <v/>
      </c>
      <c r="V863" s="51" t="str">
        <f>IF(OR(TH!L863=TH!$V$7,M863=TH!$V$7),"x","")</f>
        <v/>
      </c>
      <c r="W863" s="51" t="str">
        <f>IF(AND(B863&gt;='IN-NX'!$P$3,B863&lt;='IN-NX'!$Q$3,'IN-NX'!$D$7=D863,OR(LEFT(L863,2)="15",AND(LEFT(M863,2)&lt;&gt;"15",LEFT(M863,2)&lt;&gt;"33"))),"x","")</f>
        <v/>
      </c>
      <c r="X863" s="51" t="str">
        <f>IF(AND(OR(LEFT(TH!L863,2)="15",LEFT(TH!M863,2)="15"),'152-CT'!$J$8=TH!F863),"x","")</f>
        <v/>
      </c>
      <c r="Y863" s="51" t="str">
        <f>IF(AND(OR(LEFT(TH!L863,2)="15",LEFT(TH!M863,2)="15"),TK!$E$7=TH!F863),"x","")</f>
        <v/>
      </c>
      <c r="Z863" s="51" t="str">
        <f>IF(AND(B863&lt;=NKC!$N$8,B863&gt;=NKC!$M$8),"x","")</f>
        <v/>
      </c>
      <c r="AA863" s="803"/>
      <c r="AB863" s="565"/>
    </row>
    <row r="864" spans="1:28" ht="15.75" customHeight="1">
      <c r="A864" s="804" t="str">
        <f>IF(B864&lt;&gt;"",IF(AND(B864&gt;=_TM1,B864&lt;=_TM2,OR(TH!L864="1111",TH!M864="1111")),TH!D864,""),"")</f>
        <v/>
      </c>
      <c r="B864" s="36">
        <f t="shared" si="57"/>
        <v>10</v>
      </c>
      <c r="C864" s="189">
        <f t="shared" si="58"/>
        <v>42297</v>
      </c>
      <c r="D864" s="189" t="s">
        <v>1343</v>
      </c>
      <c r="E864" s="189">
        <v>42297</v>
      </c>
      <c r="F864" s="922" t="s">
        <v>761</v>
      </c>
      <c r="G864" s="813" t="s">
        <v>756</v>
      </c>
      <c r="H864" s="191" t="s">
        <v>494</v>
      </c>
      <c r="I864" s="243">
        <v>25</v>
      </c>
      <c r="J864" s="243">
        <v>21023</v>
      </c>
      <c r="K864" s="573">
        <f t="shared" si="56"/>
        <v>525575</v>
      </c>
      <c r="L864" s="574" t="s">
        <v>417</v>
      </c>
      <c r="M864" s="574" t="s">
        <v>8</v>
      </c>
      <c r="N864" s="51" t="str">
        <f>IF(AND('331-CT'!$E$7=TH!H864,OR(L864="331",M864="331")),"331",IF(AND(OR(L864="131",M864="131"),H864='131-CT'!$E$7),"131",""))</f>
        <v/>
      </c>
      <c r="O864" s="51" t="str">
        <f>IF(AND($B864&gt;='111'!$N$11,$B864&lt;='111'!$O$11,OR($L864=$O$7,$M864=$O$7)),"x","")</f>
        <v/>
      </c>
      <c r="P864" s="51" t="str">
        <f>IF(AND($L864=$O$7,$B864&lt;'111'!$N$11),"x","")</f>
        <v/>
      </c>
      <c r="Q864" s="51" t="str">
        <f>IF(AND($M864=$O$7,$B864&lt;'111'!$N$11),"x","")</f>
        <v/>
      </c>
      <c r="R864" s="51" t="str">
        <f>IF(ISERROR(FIND('112'!$M$9,G864,1)),"",IF((AND(FIND('112'!$M$9,G864,1)&gt;=1,$B864&gt;='112'!$N$8,$B864&lt;='112'!$O$8,OR($L864='112'!$I$6,$M864='112'!$I$6))),"x",""))</f>
        <v/>
      </c>
      <c r="S864" s="51" t="str">
        <f>IF(ISERROR(FIND('112'!$M$9,G864,1)),"",IF((AND(LEFT(G864,2)=LEFT('112'!$M$9,2),B864&lt;'112'!$N$8,$L864='112'!$I$6)),"x",""))</f>
        <v/>
      </c>
      <c r="T864" s="51" t="str">
        <f>IF(ISERROR(FIND('112'!$M$9,G864,1)),"",IF((AND(RIGHT(G864,2)=RIGHT('112'!$M$9,2),B864&lt;'112'!$N$8,$M864='112'!$I$6)),"x",""))</f>
        <v/>
      </c>
      <c r="U864" s="51" t="str">
        <f>IF(AND(L864="154",'154'!$O$5&lt;=B864,'154'!$P$5&gt;=B864),"154",IF(AND(L864="632",'632'!$L$5&lt;=B864,'632'!$M$5&gt;=B864),"632",IF(AND(L864="642",'642'!$N$5&lt;=B864,'642'!$O$5&gt;=B864),"642",IF(AND(L864="641",'641'!$N$5&lt;=B864,'641'!$O$5&gt;=B864),"641",""))))</f>
        <v/>
      </c>
      <c r="V864" s="51" t="str">
        <f>IF(OR(TH!L864=TH!$V$7,M864=TH!$V$7),"x","")</f>
        <v/>
      </c>
      <c r="W864" s="51" t="str">
        <f>IF(AND(B864&gt;='IN-NX'!$P$3,B864&lt;='IN-NX'!$Q$3,'IN-NX'!$D$7=D864,OR(LEFT(L864,2)="15",AND(LEFT(M864,2)&lt;&gt;"15",LEFT(M864,2)&lt;&gt;"33"))),"x","")</f>
        <v/>
      </c>
      <c r="X864" s="51" t="str">
        <f>IF(AND(OR(LEFT(TH!L864,2)="15",LEFT(TH!M864,2)="15"),'152-CT'!$J$8=TH!F864),"x","")</f>
        <v/>
      </c>
      <c r="Y864" s="51" t="str">
        <f>IF(AND(OR(LEFT(TH!L864,2)="15",LEFT(TH!M864,2)="15"),TK!$E$7=TH!F864),"x","")</f>
        <v/>
      </c>
      <c r="Z864" s="51" t="str">
        <f>IF(AND(B864&lt;=NKC!$N$8,B864&gt;=NKC!$M$8),"x","")</f>
        <v/>
      </c>
      <c r="AA864" s="803"/>
      <c r="AB864" s="565"/>
    </row>
    <row r="865" spans="1:28" ht="15.75" customHeight="1">
      <c r="A865" s="804" t="str">
        <f>IF(B865&lt;&gt;"",IF(AND(B865&gt;=_TM1,B865&lt;=_TM2,OR(TH!L865="1111",TH!M865="1111")),TH!D865,""),"")</f>
        <v/>
      </c>
      <c r="B865" s="36">
        <f t="shared" si="57"/>
        <v>10</v>
      </c>
      <c r="C865" s="189">
        <f t="shared" si="58"/>
        <v>42297</v>
      </c>
      <c r="D865" s="189" t="s">
        <v>1343</v>
      </c>
      <c r="E865" s="189">
        <v>42297</v>
      </c>
      <c r="F865" s="922" t="s">
        <v>762</v>
      </c>
      <c r="G865" s="813" t="s">
        <v>756</v>
      </c>
      <c r="H865" s="191" t="s">
        <v>494</v>
      </c>
      <c r="I865" s="243">
        <v>25</v>
      </c>
      <c r="J865" s="243">
        <v>24748</v>
      </c>
      <c r="K865" s="573">
        <f t="shared" si="56"/>
        <v>618700</v>
      </c>
      <c r="L865" s="574" t="s">
        <v>417</v>
      </c>
      <c r="M865" s="574" t="s">
        <v>8</v>
      </c>
      <c r="N865" s="51" t="str">
        <f>IF(AND('331-CT'!$E$7=TH!H865,OR(L865="331",M865="331")),"331",IF(AND(OR(L865="131",M865="131"),H865='131-CT'!$E$7),"131",""))</f>
        <v/>
      </c>
      <c r="O865" s="51" t="str">
        <f>IF(AND($B865&gt;='111'!$N$11,$B865&lt;='111'!$O$11,OR($L865=$O$7,$M865=$O$7)),"x","")</f>
        <v/>
      </c>
      <c r="P865" s="51" t="str">
        <f>IF(AND($L865=$O$7,$B865&lt;'111'!$N$11),"x","")</f>
        <v/>
      </c>
      <c r="Q865" s="51" t="str">
        <f>IF(AND($M865=$O$7,$B865&lt;'111'!$N$11),"x","")</f>
        <v/>
      </c>
      <c r="R865" s="51" t="str">
        <f>IF(ISERROR(FIND('112'!$M$9,G865,1)),"",IF((AND(FIND('112'!$M$9,G865,1)&gt;=1,$B865&gt;='112'!$N$8,$B865&lt;='112'!$O$8,OR($L865='112'!$I$6,$M865='112'!$I$6))),"x",""))</f>
        <v/>
      </c>
      <c r="S865" s="51" t="str">
        <f>IF(ISERROR(FIND('112'!$M$9,G865,1)),"",IF((AND(LEFT(G865,2)=LEFT('112'!$M$9,2),B865&lt;'112'!$N$8,$L865='112'!$I$6)),"x",""))</f>
        <v/>
      </c>
      <c r="T865" s="51" t="str">
        <f>IF(ISERROR(FIND('112'!$M$9,G865,1)),"",IF((AND(RIGHT(G865,2)=RIGHT('112'!$M$9,2),B865&lt;'112'!$N$8,$M865='112'!$I$6)),"x",""))</f>
        <v/>
      </c>
      <c r="U865" s="51" t="str">
        <f>IF(AND(L865="154",'154'!$O$5&lt;=B865,'154'!$P$5&gt;=B865),"154",IF(AND(L865="632",'632'!$L$5&lt;=B865,'632'!$M$5&gt;=B865),"632",IF(AND(L865="642",'642'!$N$5&lt;=B865,'642'!$O$5&gt;=B865),"642",IF(AND(L865="641",'641'!$N$5&lt;=B865,'641'!$O$5&gt;=B865),"641",""))))</f>
        <v/>
      </c>
      <c r="V865" s="51" t="str">
        <f>IF(OR(TH!L865=TH!$V$7,M865=TH!$V$7),"x","")</f>
        <v/>
      </c>
      <c r="W865" s="51" t="str">
        <f>IF(AND(B865&gt;='IN-NX'!$P$3,B865&lt;='IN-NX'!$Q$3,'IN-NX'!$D$7=D865,OR(LEFT(L865,2)="15",AND(LEFT(M865,2)&lt;&gt;"15",LEFT(M865,2)&lt;&gt;"33"))),"x","")</f>
        <v/>
      </c>
      <c r="X865" s="51" t="str">
        <f>IF(AND(OR(LEFT(TH!L865,2)="15",LEFT(TH!M865,2)="15"),'152-CT'!$J$8=TH!F865),"x","")</f>
        <v/>
      </c>
      <c r="Y865" s="51" t="str">
        <f>IF(AND(OR(LEFT(TH!L865,2)="15",LEFT(TH!M865,2)="15"),TK!$E$7=TH!F865),"x","")</f>
        <v/>
      </c>
      <c r="Z865" s="51" t="str">
        <f>IF(AND(B865&lt;=NKC!$N$8,B865&gt;=NKC!$M$8),"x","")</f>
        <v/>
      </c>
      <c r="AA865" s="803"/>
      <c r="AB865" s="565"/>
    </row>
    <row r="866" spans="1:28" ht="15.75" customHeight="1">
      <c r="A866" s="804" t="str">
        <f>IF(B866&lt;&gt;"",IF(AND(B866&gt;=_TM1,B866&lt;=_TM2,OR(TH!L866="1111",TH!M866="1111")),TH!D866,""),"")</f>
        <v/>
      </c>
      <c r="B866" s="36">
        <f t="shared" si="57"/>
        <v>10</v>
      </c>
      <c r="C866" s="189">
        <f t="shared" si="58"/>
        <v>42297</v>
      </c>
      <c r="D866" s="189" t="s">
        <v>1343</v>
      </c>
      <c r="E866" s="189">
        <v>42297</v>
      </c>
      <c r="F866" s="922" t="s">
        <v>763</v>
      </c>
      <c r="G866" s="813" t="s">
        <v>756</v>
      </c>
      <c r="H866" s="191" t="s">
        <v>494</v>
      </c>
      <c r="I866" s="243">
        <v>50</v>
      </c>
      <c r="J866" s="243">
        <v>22429</v>
      </c>
      <c r="K866" s="573">
        <f t="shared" si="56"/>
        <v>1121450</v>
      </c>
      <c r="L866" s="574" t="s">
        <v>417</v>
      </c>
      <c r="M866" s="574" t="s">
        <v>8</v>
      </c>
      <c r="N866" s="51" t="str">
        <f>IF(AND('331-CT'!$E$7=TH!H866,OR(L866="331",M866="331")),"331",IF(AND(OR(L866="131",M866="131"),H866='131-CT'!$E$7),"131",""))</f>
        <v/>
      </c>
      <c r="O866" s="51" t="str">
        <f>IF(AND($B866&gt;='111'!$N$11,$B866&lt;='111'!$O$11,OR($L866=$O$7,$M866=$O$7)),"x","")</f>
        <v/>
      </c>
      <c r="P866" s="51" t="str">
        <f>IF(AND($L866=$O$7,$B866&lt;'111'!$N$11),"x","")</f>
        <v/>
      </c>
      <c r="Q866" s="51" t="str">
        <f>IF(AND($M866=$O$7,$B866&lt;'111'!$N$11),"x","")</f>
        <v/>
      </c>
      <c r="R866" s="51" t="str">
        <f>IF(ISERROR(FIND('112'!$M$9,G866,1)),"",IF((AND(FIND('112'!$M$9,G866,1)&gt;=1,$B866&gt;='112'!$N$8,$B866&lt;='112'!$O$8,OR($L866='112'!$I$6,$M866='112'!$I$6))),"x",""))</f>
        <v/>
      </c>
      <c r="S866" s="51" t="str">
        <f>IF(ISERROR(FIND('112'!$M$9,G866,1)),"",IF((AND(LEFT(G866,2)=LEFT('112'!$M$9,2),B866&lt;'112'!$N$8,$L866='112'!$I$6)),"x",""))</f>
        <v/>
      </c>
      <c r="T866" s="51" t="str">
        <f>IF(ISERROR(FIND('112'!$M$9,G866,1)),"",IF((AND(RIGHT(G866,2)=RIGHT('112'!$M$9,2),B866&lt;'112'!$N$8,$M866='112'!$I$6)),"x",""))</f>
        <v/>
      </c>
      <c r="U866" s="51" t="str">
        <f>IF(AND(L866="154",'154'!$O$5&lt;=B866,'154'!$P$5&gt;=B866),"154",IF(AND(L866="632",'632'!$L$5&lt;=B866,'632'!$M$5&gt;=B866),"632",IF(AND(L866="642",'642'!$N$5&lt;=B866,'642'!$O$5&gt;=B866),"642",IF(AND(L866="641",'641'!$N$5&lt;=B866,'641'!$O$5&gt;=B866),"641",""))))</f>
        <v/>
      </c>
      <c r="V866" s="51" t="str">
        <f>IF(OR(TH!L866=TH!$V$7,M866=TH!$V$7),"x","")</f>
        <v/>
      </c>
      <c r="W866" s="51" t="str">
        <f>IF(AND(B866&gt;='IN-NX'!$P$3,B866&lt;='IN-NX'!$Q$3,'IN-NX'!$D$7=D866,OR(LEFT(L866,2)="15",AND(LEFT(M866,2)&lt;&gt;"15",LEFT(M866,2)&lt;&gt;"33"))),"x","")</f>
        <v/>
      </c>
      <c r="X866" s="51" t="str">
        <f>IF(AND(OR(LEFT(TH!L866,2)="15",LEFT(TH!M866,2)="15"),'152-CT'!$J$8=TH!F866),"x","")</f>
        <v/>
      </c>
      <c r="Y866" s="51" t="str">
        <f>IF(AND(OR(LEFT(TH!L866,2)="15",LEFT(TH!M866,2)="15"),TK!$E$7=TH!F866),"x","")</f>
        <v/>
      </c>
      <c r="Z866" s="51" t="str">
        <f>IF(AND(B866&lt;=NKC!$N$8,B866&gt;=NKC!$M$8),"x","")</f>
        <v/>
      </c>
      <c r="AA866" s="803"/>
      <c r="AB866" s="565"/>
    </row>
    <row r="867" spans="1:28" ht="15.75" customHeight="1">
      <c r="A867" s="804" t="str">
        <f>IF(B867&lt;&gt;"",IF(AND(B867&gt;=_TM1,B867&lt;=_TM2,OR(TH!L867="1111",TH!M867="1111")),TH!D867,""),"")</f>
        <v/>
      </c>
      <c r="B867" s="36">
        <f t="shared" si="57"/>
        <v>10</v>
      </c>
      <c r="C867" s="189">
        <f t="shared" si="58"/>
        <v>42297</v>
      </c>
      <c r="D867" s="189" t="s">
        <v>1343</v>
      </c>
      <c r="E867" s="189">
        <v>42297</v>
      </c>
      <c r="F867" s="922" t="s">
        <v>764</v>
      </c>
      <c r="G867" s="813" t="s">
        <v>756</v>
      </c>
      <c r="H867" s="191" t="s">
        <v>494</v>
      </c>
      <c r="I867" s="243">
        <v>56</v>
      </c>
      <c r="J867" s="243">
        <v>12845</v>
      </c>
      <c r="K867" s="573">
        <f t="shared" si="56"/>
        <v>719320</v>
      </c>
      <c r="L867" s="574" t="s">
        <v>417</v>
      </c>
      <c r="M867" s="574" t="s">
        <v>8</v>
      </c>
      <c r="N867" s="51" t="str">
        <f>IF(AND('331-CT'!$E$7=TH!H867,OR(L867="331",M867="331")),"331",IF(AND(OR(L867="131",M867="131"),H867='131-CT'!$E$7),"131",""))</f>
        <v/>
      </c>
      <c r="O867" s="51" t="str">
        <f>IF(AND($B867&gt;='111'!$N$11,$B867&lt;='111'!$O$11,OR($L867=$O$7,$M867=$O$7)),"x","")</f>
        <v/>
      </c>
      <c r="P867" s="51" t="str">
        <f>IF(AND($L867=$O$7,$B867&lt;'111'!$N$11),"x","")</f>
        <v/>
      </c>
      <c r="Q867" s="51" t="str">
        <f>IF(AND($M867=$O$7,$B867&lt;'111'!$N$11),"x","")</f>
        <v/>
      </c>
      <c r="R867" s="51" t="str">
        <f>IF(ISERROR(FIND('112'!$M$9,G867,1)),"",IF((AND(FIND('112'!$M$9,G867,1)&gt;=1,$B867&gt;='112'!$N$8,$B867&lt;='112'!$O$8,OR($L867='112'!$I$6,$M867='112'!$I$6))),"x",""))</f>
        <v/>
      </c>
      <c r="S867" s="51" t="str">
        <f>IF(ISERROR(FIND('112'!$M$9,G867,1)),"",IF((AND(LEFT(G867,2)=LEFT('112'!$M$9,2),B867&lt;'112'!$N$8,$L867='112'!$I$6)),"x",""))</f>
        <v/>
      </c>
      <c r="T867" s="51" t="str">
        <f>IF(ISERROR(FIND('112'!$M$9,G867,1)),"",IF((AND(RIGHT(G867,2)=RIGHT('112'!$M$9,2),B867&lt;'112'!$N$8,$M867='112'!$I$6)),"x",""))</f>
        <v/>
      </c>
      <c r="U867" s="51" t="str">
        <f>IF(AND(L867="154",'154'!$O$5&lt;=B867,'154'!$P$5&gt;=B867),"154",IF(AND(L867="632",'632'!$L$5&lt;=B867,'632'!$M$5&gt;=B867),"632",IF(AND(L867="642",'642'!$N$5&lt;=B867,'642'!$O$5&gt;=B867),"642",IF(AND(L867="641",'641'!$N$5&lt;=B867,'641'!$O$5&gt;=B867),"641",""))))</f>
        <v/>
      </c>
      <c r="V867" s="51" t="str">
        <f>IF(OR(TH!L867=TH!$V$7,M867=TH!$V$7),"x","")</f>
        <v/>
      </c>
      <c r="W867" s="51" t="str">
        <f>IF(AND(B867&gt;='IN-NX'!$P$3,B867&lt;='IN-NX'!$Q$3,'IN-NX'!$D$7=D867,OR(LEFT(L867,2)="15",AND(LEFT(M867,2)&lt;&gt;"15",LEFT(M867,2)&lt;&gt;"33"))),"x","")</f>
        <v/>
      </c>
      <c r="X867" s="51" t="str">
        <f>IF(AND(OR(LEFT(TH!L867,2)="15",LEFT(TH!M867,2)="15"),'152-CT'!$J$8=TH!F867),"x","")</f>
        <v/>
      </c>
      <c r="Y867" s="51" t="str">
        <f>IF(AND(OR(LEFT(TH!L867,2)="15",LEFT(TH!M867,2)="15"),TK!$E$7=TH!F867),"x","")</f>
        <v/>
      </c>
      <c r="Z867" s="51" t="str">
        <f>IF(AND(B867&lt;=NKC!$N$8,B867&gt;=NKC!$M$8),"x","")</f>
        <v/>
      </c>
      <c r="AA867" s="803"/>
      <c r="AB867" s="565"/>
    </row>
    <row r="868" spans="1:28" ht="15.75" customHeight="1">
      <c r="A868" s="804" t="str">
        <f>IF(B868&lt;&gt;"",IF(AND(B868&gt;=_TM1,B868&lt;=_TM2,OR(TH!L868="1111",TH!M868="1111")),TH!D868,""),"")</f>
        <v/>
      </c>
      <c r="B868" s="36">
        <f t="shared" si="57"/>
        <v>10</v>
      </c>
      <c r="C868" s="189">
        <f t="shared" si="58"/>
        <v>42297</v>
      </c>
      <c r="D868" s="189" t="s">
        <v>1343</v>
      </c>
      <c r="E868" s="189">
        <v>42297</v>
      </c>
      <c r="F868" s="922" t="s">
        <v>765</v>
      </c>
      <c r="G868" s="813" t="s">
        <v>756</v>
      </c>
      <c r="H868" s="191" t="s">
        <v>494</v>
      </c>
      <c r="I868" s="243">
        <v>25</v>
      </c>
      <c r="J868" s="243">
        <v>9830</v>
      </c>
      <c r="K868" s="573">
        <f t="shared" si="56"/>
        <v>245750</v>
      </c>
      <c r="L868" s="574" t="s">
        <v>417</v>
      </c>
      <c r="M868" s="574" t="s">
        <v>8</v>
      </c>
      <c r="N868" s="51" t="str">
        <f>IF(AND('331-CT'!$E$7=TH!H868,OR(L868="331",M868="331")),"331",IF(AND(OR(L868="131",M868="131"),H868='131-CT'!$E$7),"131",""))</f>
        <v/>
      </c>
      <c r="O868" s="51" t="str">
        <f>IF(AND($B868&gt;='111'!$N$11,$B868&lt;='111'!$O$11,OR($L868=$O$7,$M868=$O$7)),"x","")</f>
        <v/>
      </c>
      <c r="P868" s="51" t="str">
        <f>IF(AND($L868=$O$7,$B868&lt;'111'!$N$11),"x","")</f>
        <v/>
      </c>
      <c r="Q868" s="51" t="str">
        <f>IF(AND($M868=$O$7,$B868&lt;'111'!$N$11),"x","")</f>
        <v/>
      </c>
      <c r="R868" s="51" t="str">
        <f>IF(ISERROR(FIND('112'!$M$9,G868,1)),"",IF((AND(FIND('112'!$M$9,G868,1)&gt;=1,$B868&gt;='112'!$N$8,$B868&lt;='112'!$O$8,OR($L868='112'!$I$6,$M868='112'!$I$6))),"x",""))</f>
        <v/>
      </c>
      <c r="S868" s="51" t="str">
        <f>IF(ISERROR(FIND('112'!$M$9,G868,1)),"",IF((AND(LEFT(G868,2)=LEFT('112'!$M$9,2),B868&lt;'112'!$N$8,$L868='112'!$I$6)),"x",""))</f>
        <v/>
      </c>
      <c r="T868" s="51" t="str">
        <f>IF(ISERROR(FIND('112'!$M$9,G868,1)),"",IF((AND(RIGHT(G868,2)=RIGHT('112'!$M$9,2),B868&lt;'112'!$N$8,$M868='112'!$I$6)),"x",""))</f>
        <v/>
      </c>
      <c r="U868" s="51" t="str">
        <f>IF(AND(L868="154",'154'!$O$5&lt;=B868,'154'!$P$5&gt;=B868),"154",IF(AND(L868="632",'632'!$L$5&lt;=B868,'632'!$M$5&gt;=B868),"632",IF(AND(L868="642",'642'!$N$5&lt;=B868,'642'!$O$5&gt;=B868),"642",IF(AND(L868="641",'641'!$N$5&lt;=B868,'641'!$O$5&gt;=B868),"641",""))))</f>
        <v/>
      </c>
      <c r="V868" s="51" t="str">
        <f>IF(OR(TH!L868=TH!$V$7,M868=TH!$V$7),"x","")</f>
        <v/>
      </c>
      <c r="W868" s="51" t="str">
        <f>IF(AND(B868&gt;='IN-NX'!$P$3,B868&lt;='IN-NX'!$Q$3,'IN-NX'!$D$7=D868,OR(LEFT(L868,2)="15",AND(LEFT(M868,2)&lt;&gt;"15",LEFT(M868,2)&lt;&gt;"33"))),"x","")</f>
        <v/>
      </c>
      <c r="X868" s="51" t="str">
        <f>IF(AND(OR(LEFT(TH!L868,2)="15",LEFT(TH!M868,2)="15"),'152-CT'!$J$8=TH!F868),"x","")</f>
        <v/>
      </c>
      <c r="Y868" s="51" t="str">
        <f>IF(AND(OR(LEFT(TH!L868,2)="15",LEFT(TH!M868,2)="15"),TK!$E$7=TH!F868),"x","")</f>
        <v/>
      </c>
      <c r="Z868" s="51" t="str">
        <f>IF(AND(B868&lt;=NKC!$N$8,B868&gt;=NKC!$M$8),"x","")</f>
        <v/>
      </c>
      <c r="AA868" s="803"/>
      <c r="AB868" s="565"/>
    </row>
    <row r="869" spans="1:28" ht="15.75" customHeight="1">
      <c r="A869" s="804" t="str">
        <f>IF(B869&lt;&gt;"",IF(AND(B869&gt;=_TM1,B869&lt;=_TM2,OR(TH!L869="1111",TH!M869="1111")),TH!D869,""),"")</f>
        <v/>
      </c>
      <c r="B869" s="36">
        <f t="shared" si="57"/>
        <v>10</v>
      </c>
      <c r="C869" s="189">
        <f t="shared" si="58"/>
        <v>42297</v>
      </c>
      <c r="D869" s="189" t="s">
        <v>1353</v>
      </c>
      <c r="E869" s="189">
        <v>42297</v>
      </c>
      <c r="F869" s="922" t="s">
        <v>766</v>
      </c>
      <c r="G869" s="813" t="s">
        <v>756</v>
      </c>
      <c r="H869" s="191" t="s">
        <v>494</v>
      </c>
      <c r="I869" s="243">
        <v>4</v>
      </c>
      <c r="J869" s="243">
        <v>7786</v>
      </c>
      <c r="K869" s="573">
        <f t="shared" si="56"/>
        <v>31144</v>
      </c>
      <c r="L869" s="574" t="s">
        <v>417</v>
      </c>
      <c r="M869" s="574" t="s">
        <v>8</v>
      </c>
      <c r="N869" s="51" t="str">
        <f>IF(AND('331-CT'!$E$7=TH!H869,OR(L869="331",M869="331")),"331",IF(AND(OR(L869="131",M869="131"),H869='131-CT'!$E$7),"131",""))</f>
        <v/>
      </c>
      <c r="O869" s="51" t="str">
        <f>IF(AND($B869&gt;='111'!$N$11,$B869&lt;='111'!$O$11,OR($L869=$O$7,$M869=$O$7)),"x","")</f>
        <v/>
      </c>
      <c r="P869" s="51" t="str">
        <f>IF(AND($L869=$O$7,$B869&lt;'111'!$N$11),"x","")</f>
        <v/>
      </c>
      <c r="Q869" s="51" t="str">
        <f>IF(AND($M869=$O$7,$B869&lt;'111'!$N$11),"x","")</f>
        <v/>
      </c>
      <c r="R869" s="51" t="str">
        <f>IF(ISERROR(FIND('112'!$M$9,G869,1)),"",IF((AND(FIND('112'!$M$9,G869,1)&gt;=1,$B869&gt;='112'!$N$8,$B869&lt;='112'!$O$8,OR($L869='112'!$I$6,$M869='112'!$I$6))),"x",""))</f>
        <v/>
      </c>
      <c r="S869" s="51" t="str">
        <f>IF(ISERROR(FIND('112'!$M$9,G869,1)),"",IF((AND(LEFT(G869,2)=LEFT('112'!$M$9,2),B869&lt;'112'!$N$8,$L869='112'!$I$6)),"x",""))</f>
        <v/>
      </c>
      <c r="T869" s="51" t="str">
        <f>IF(ISERROR(FIND('112'!$M$9,G869,1)),"",IF((AND(RIGHT(G869,2)=RIGHT('112'!$M$9,2),B869&lt;'112'!$N$8,$M869='112'!$I$6)),"x",""))</f>
        <v/>
      </c>
      <c r="U869" s="51" t="str">
        <f>IF(AND(L869="154",'154'!$O$5&lt;=B869,'154'!$P$5&gt;=B869),"154",IF(AND(L869="632",'632'!$L$5&lt;=B869,'632'!$M$5&gt;=B869),"632",IF(AND(L869="642",'642'!$N$5&lt;=B869,'642'!$O$5&gt;=B869),"642",IF(AND(L869="641",'641'!$N$5&lt;=B869,'641'!$O$5&gt;=B869),"641",""))))</f>
        <v/>
      </c>
      <c r="V869" s="51" t="str">
        <f>IF(OR(TH!L869=TH!$V$7,M869=TH!$V$7),"x","")</f>
        <v/>
      </c>
      <c r="W869" s="51" t="str">
        <f>IF(AND(B869&gt;='IN-NX'!$P$3,B869&lt;='IN-NX'!$Q$3,'IN-NX'!$D$7=D869,OR(LEFT(L869,2)="15",AND(LEFT(M869,2)&lt;&gt;"15",LEFT(M869,2)&lt;&gt;"33"))),"x","")</f>
        <v/>
      </c>
      <c r="X869" s="51" t="str">
        <f>IF(AND(OR(LEFT(TH!L869,2)="15",LEFT(TH!M869,2)="15"),'152-CT'!$J$8=TH!F869),"x","")</f>
        <v/>
      </c>
      <c r="Y869" s="51" t="str">
        <f>IF(AND(OR(LEFT(TH!L869,2)="15",LEFT(TH!M869,2)="15"),TK!$E$7=TH!F869),"x","")</f>
        <v/>
      </c>
      <c r="Z869" s="51" t="str">
        <f>IF(AND(B869&lt;=NKC!$N$8,B869&gt;=NKC!$M$8),"x","")</f>
        <v/>
      </c>
      <c r="AA869" s="803"/>
      <c r="AB869" s="565"/>
    </row>
    <row r="870" spans="1:28" ht="15.75" customHeight="1">
      <c r="A870" s="804" t="str">
        <f>IF(B870&lt;&gt;"",IF(AND(B870&gt;=_TM1,B870&lt;=_TM2,OR(TH!L870="1111",TH!M870="1111")),TH!D870,""),"")</f>
        <v/>
      </c>
      <c r="B870" s="36">
        <f t="shared" si="57"/>
        <v>10</v>
      </c>
      <c r="C870" s="189">
        <f t="shared" si="58"/>
        <v>42297</v>
      </c>
      <c r="D870" s="189" t="s">
        <v>1353</v>
      </c>
      <c r="E870" s="189">
        <v>42297</v>
      </c>
      <c r="F870" s="922" t="s">
        <v>767</v>
      </c>
      <c r="G870" s="813" t="s">
        <v>756</v>
      </c>
      <c r="H870" s="191" t="s">
        <v>494</v>
      </c>
      <c r="I870" s="243">
        <v>123</v>
      </c>
      <c r="J870" s="243">
        <v>8453</v>
      </c>
      <c r="K870" s="573">
        <f t="shared" si="56"/>
        <v>1039719</v>
      </c>
      <c r="L870" s="574" t="s">
        <v>417</v>
      </c>
      <c r="M870" s="574" t="s">
        <v>8</v>
      </c>
      <c r="N870" s="51" t="str">
        <f>IF(AND('331-CT'!$E$7=TH!H870,OR(L870="331",M870="331")),"331",IF(AND(OR(L870="131",M870="131"),H870='131-CT'!$E$7),"131",""))</f>
        <v/>
      </c>
      <c r="O870" s="51" t="str">
        <f>IF(AND($B870&gt;='111'!$N$11,$B870&lt;='111'!$O$11,OR($L870=$O$7,$M870=$O$7)),"x","")</f>
        <v/>
      </c>
      <c r="P870" s="51" t="str">
        <f>IF(AND($L870=$O$7,$B870&lt;'111'!$N$11),"x","")</f>
        <v/>
      </c>
      <c r="Q870" s="51" t="str">
        <f>IF(AND($M870=$O$7,$B870&lt;'111'!$N$11),"x","")</f>
        <v/>
      </c>
      <c r="R870" s="51" t="str">
        <f>IF(ISERROR(FIND('112'!$M$9,G870,1)),"",IF((AND(FIND('112'!$M$9,G870,1)&gt;=1,$B870&gt;='112'!$N$8,$B870&lt;='112'!$O$8,OR($L870='112'!$I$6,$M870='112'!$I$6))),"x",""))</f>
        <v/>
      </c>
      <c r="S870" s="51" t="str">
        <f>IF(ISERROR(FIND('112'!$M$9,G870,1)),"",IF((AND(LEFT(G870,2)=LEFT('112'!$M$9,2),B870&lt;'112'!$N$8,$L870='112'!$I$6)),"x",""))</f>
        <v/>
      </c>
      <c r="T870" s="51" t="str">
        <f>IF(ISERROR(FIND('112'!$M$9,G870,1)),"",IF((AND(RIGHT(G870,2)=RIGHT('112'!$M$9,2),B870&lt;'112'!$N$8,$M870='112'!$I$6)),"x",""))</f>
        <v/>
      </c>
      <c r="U870" s="51" t="str">
        <f>IF(AND(L870="154",'154'!$O$5&lt;=B870,'154'!$P$5&gt;=B870),"154",IF(AND(L870="632",'632'!$L$5&lt;=B870,'632'!$M$5&gt;=B870),"632",IF(AND(L870="642",'642'!$N$5&lt;=B870,'642'!$O$5&gt;=B870),"642",IF(AND(L870="641",'641'!$N$5&lt;=B870,'641'!$O$5&gt;=B870),"641",""))))</f>
        <v/>
      </c>
      <c r="V870" s="51" t="str">
        <f>IF(OR(TH!L870=TH!$V$7,M870=TH!$V$7),"x","")</f>
        <v/>
      </c>
      <c r="W870" s="51" t="str">
        <f>IF(AND(B870&gt;='IN-NX'!$P$3,B870&lt;='IN-NX'!$Q$3,'IN-NX'!$D$7=D870,OR(LEFT(L870,2)="15",AND(LEFT(M870,2)&lt;&gt;"15",LEFT(M870,2)&lt;&gt;"33"))),"x","")</f>
        <v/>
      </c>
      <c r="X870" s="51" t="str">
        <f>IF(AND(OR(LEFT(TH!L870,2)="15",LEFT(TH!M870,2)="15"),'152-CT'!$J$8=TH!F870),"x","")</f>
        <v/>
      </c>
      <c r="Y870" s="51" t="str">
        <f>IF(AND(OR(LEFT(TH!L870,2)="15",LEFT(TH!M870,2)="15"),TK!$E$7=TH!F870),"x","")</f>
        <v/>
      </c>
      <c r="Z870" s="51" t="str">
        <f>IF(AND(B870&lt;=NKC!$N$8,B870&gt;=NKC!$M$8),"x","")</f>
        <v/>
      </c>
      <c r="AA870" s="803"/>
      <c r="AB870" s="565"/>
    </row>
    <row r="871" spans="1:28" ht="15.75" customHeight="1">
      <c r="A871" s="804" t="str">
        <f>IF(B871&lt;&gt;"",IF(AND(B871&gt;=_TM1,B871&lt;=_TM2,OR(TH!L871="1111",TH!M871="1111")),TH!D871,""),"")</f>
        <v/>
      </c>
      <c r="B871" s="36">
        <f t="shared" si="57"/>
        <v>10</v>
      </c>
      <c r="C871" s="189">
        <f t="shared" si="58"/>
        <v>42297</v>
      </c>
      <c r="D871" s="189" t="s">
        <v>1353</v>
      </c>
      <c r="E871" s="189">
        <v>42297</v>
      </c>
      <c r="F871" s="922" t="s">
        <v>768</v>
      </c>
      <c r="G871" s="813" t="s">
        <v>756</v>
      </c>
      <c r="H871" s="191" t="s">
        <v>494</v>
      </c>
      <c r="I871" s="243">
        <v>18</v>
      </c>
      <c r="J871" s="243">
        <v>5957</v>
      </c>
      <c r="K871" s="573">
        <f t="shared" si="56"/>
        <v>107226</v>
      </c>
      <c r="L871" s="574" t="s">
        <v>417</v>
      </c>
      <c r="M871" s="574" t="s">
        <v>8</v>
      </c>
      <c r="N871" s="51" t="str">
        <f>IF(AND('331-CT'!$E$7=TH!H871,OR(L871="331",M871="331")),"331",IF(AND(OR(L871="131",M871="131"),H871='131-CT'!$E$7),"131",""))</f>
        <v/>
      </c>
      <c r="O871" s="51" t="str">
        <f>IF(AND($B871&gt;='111'!$N$11,$B871&lt;='111'!$O$11,OR($L871=$O$7,$M871=$O$7)),"x","")</f>
        <v/>
      </c>
      <c r="P871" s="51" t="str">
        <f>IF(AND($L871=$O$7,$B871&lt;'111'!$N$11),"x","")</f>
        <v/>
      </c>
      <c r="Q871" s="51" t="str">
        <f>IF(AND($M871=$O$7,$B871&lt;'111'!$N$11),"x","")</f>
        <v/>
      </c>
      <c r="R871" s="51" t="str">
        <f>IF(ISERROR(FIND('112'!$M$9,G871,1)),"",IF((AND(FIND('112'!$M$9,G871,1)&gt;=1,$B871&gt;='112'!$N$8,$B871&lt;='112'!$O$8,OR($L871='112'!$I$6,$M871='112'!$I$6))),"x",""))</f>
        <v/>
      </c>
      <c r="S871" s="51" t="str">
        <f>IF(ISERROR(FIND('112'!$M$9,G871,1)),"",IF((AND(LEFT(G871,2)=LEFT('112'!$M$9,2),B871&lt;'112'!$N$8,$L871='112'!$I$6)),"x",""))</f>
        <v/>
      </c>
      <c r="T871" s="51" t="str">
        <f>IF(ISERROR(FIND('112'!$M$9,G871,1)),"",IF((AND(RIGHT(G871,2)=RIGHT('112'!$M$9,2),B871&lt;'112'!$N$8,$M871='112'!$I$6)),"x",""))</f>
        <v/>
      </c>
      <c r="U871" s="51" t="str">
        <f>IF(AND(L871="154",'154'!$O$5&lt;=B871,'154'!$P$5&gt;=B871),"154",IF(AND(L871="632",'632'!$L$5&lt;=B871,'632'!$M$5&gt;=B871),"632",IF(AND(L871="642",'642'!$N$5&lt;=B871,'642'!$O$5&gt;=B871),"642",IF(AND(L871="641",'641'!$N$5&lt;=B871,'641'!$O$5&gt;=B871),"641",""))))</f>
        <v/>
      </c>
      <c r="V871" s="51" t="str">
        <f>IF(OR(TH!L871=TH!$V$7,M871=TH!$V$7),"x","")</f>
        <v/>
      </c>
      <c r="W871" s="51" t="str">
        <f>IF(AND(B871&gt;='IN-NX'!$P$3,B871&lt;='IN-NX'!$Q$3,'IN-NX'!$D$7=D871,OR(LEFT(L871,2)="15",AND(LEFT(M871,2)&lt;&gt;"15",LEFT(M871,2)&lt;&gt;"33"))),"x","")</f>
        <v/>
      </c>
      <c r="X871" s="51" t="str">
        <f>IF(AND(OR(LEFT(TH!L871,2)="15",LEFT(TH!M871,2)="15"),'152-CT'!$J$8=TH!F871),"x","")</f>
        <v/>
      </c>
      <c r="Y871" s="51" t="str">
        <f>IF(AND(OR(LEFT(TH!L871,2)="15",LEFT(TH!M871,2)="15"),TK!$E$7=TH!F871),"x","")</f>
        <v/>
      </c>
      <c r="Z871" s="51" t="str">
        <f>IF(AND(B871&lt;=NKC!$N$8,B871&gt;=NKC!$M$8),"x","")</f>
        <v/>
      </c>
      <c r="AA871" s="803"/>
      <c r="AB871" s="565"/>
    </row>
    <row r="872" spans="1:28" ht="15.75" customHeight="1">
      <c r="A872" s="804" t="str">
        <f>IF(B872&lt;&gt;"",IF(AND(B872&gt;=_TM1,B872&lt;=_TM2,OR(TH!L872="1111",TH!M872="1111")),TH!D872,""),"")</f>
        <v/>
      </c>
      <c r="B872" s="36">
        <f t="shared" si="57"/>
        <v>10</v>
      </c>
      <c r="C872" s="189">
        <f t="shared" si="58"/>
        <v>42297</v>
      </c>
      <c r="D872" s="189" t="s">
        <v>1353</v>
      </c>
      <c r="E872" s="189">
        <v>42297</v>
      </c>
      <c r="F872" s="926" t="s">
        <v>769</v>
      </c>
      <c r="G872" s="813" t="s">
        <v>756</v>
      </c>
      <c r="H872" s="191" t="s">
        <v>494</v>
      </c>
      <c r="I872" s="243">
        <v>1000</v>
      </c>
      <c r="J872" s="243">
        <v>912</v>
      </c>
      <c r="K872" s="573">
        <f t="shared" si="56"/>
        <v>912000</v>
      </c>
      <c r="L872" s="574" t="s">
        <v>417</v>
      </c>
      <c r="M872" s="574" t="s">
        <v>8</v>
      </c>
      <c r="N872" s="51" t="str">
        <f>IF(AND('331-CT'!$E$7=TH!H872,OR(L872="331",M872="331")),"331",IF(AND(OR(L872="131",M872="131"),H872='131-CT'!$E$7),"131",""))</f>
        <v/>
      </c>
      <c r="O872" s="51" t="str">
        <f>IF(AND($B872&gt;='111'!$N$11,$B872&lt;='111'!$O$11,OR($L872=$O$7,$M872=$O$7)),"x","")</f>
        <v/>
      </c>
      <c r="P872" s="51" t="str">
        <f>IF(AND($L872=$O$7,$B872&lt;'111'!$N$11),"x","")</f>
        <v/>
      </c>
      <c r="Q872" s="51" t="str">
        <f>IF(AND($M872=$O$7,$B872&lt;'111'!$N$11),"x","")</f>
        <v/>
      </c>
      <c r="R872" s="51" t="str">
        <f>IF(ISERROR(FIND('112'!$M$9,G872,1)),"",IF((AND(FIND('112'!$M$9,G872,1)&gt;=1,$B872&gt;='112'!$N$8,$B872&lt;='112'!$O$8,OR($L872='112'!$I$6,$M872='112'!$I$6))),"x",""))</f>
        <v/>
      </c>
      <c r="S872" s="51" t="str">
        <f>IF(ISERROR(FIND('112'!$M$9,G872,1)),"",IF((AND(LEFT(G872,2)=LEFT('112'!$M$9,2),B872&lt;'112'!$N$8,$L872='112'!$I$6)),"x",""))</f>
        <v/>
      </c>
      <c r="T872" s="51" t="str">
        <f>IF(ISERROR(FIND('112'!$M$9,G872,1)),"",IF((AND(RIGHT(G872,2)=RIGHT('112'!$M$9,2),B872&lt;'112'!$N$8,$M872='112'!$I$6)),"x",""))</f>
        <v/>
      </c>
      <c r="U872" s="51" t="str">
        <f>IF(AND(L872="154",'154'!$O$5&lt;=B872,'154'!$P$5&gt;=B872),"154",IF(AND(L872="632",'632'!$L$5&lt;=B872,'632'!$M$5&gt;=B872),"632",IF(AND(L872="642",'642'!$N$5&lt;=B872,'642'!$O$5&gt;=B872),"642",IF(AND(L872="641",'641'!$N$5&lt;=B872,'641'!$O$5&gt;=B872),"641",""))))</f>
        <v/>
      </c>
      <c r="V872" s="51" t="str">
        <f>IF(OR(TH!L872=TH!$V$7,M872=TH!$V$7),"x","")</f>
        <v/>
      </c>
      <c r="W872" s="51" t="str">
        <f>IF(AND(B872&gt;='IN-NX'!$P$3,B872&lt;='IN-NX'!$Q$3,'IN-NX'!$D$7=D872,OR(LEFT(L872,2)="15",AND(LEFT(M872,2)&lt;&gt;"15",LEFT(M872,2)&lt;&gt;"33"))),"x","")</f>
        <v/>
      </c>
      <c r="X872" s="51" t="str">
        <f>IF(AND(OR(LEFT(TH!L872,2)="15",LEFT(TH!M872,2)="15"),'152-CT'!$J$8=TH!F872),"x","")</f>
        <v/>
      </c>
      <c r="Y872" s="51" t="str">
        <f>IF(AND(OR(LEFT(TH!L872,2)="15",LEFT(TH!M872,2)="15"),TK!$E$7=TH!F872),"x","")</f>
        <v/>
      </c>
      <c r="Z872" s="51" t="str">
        <f>IF(AND(B872&lt;=NKC!$N$8,B872&gt;=NKC!$M$8),"x","")</f>
        <v/>
      </c>
      <c r="AA872" s="803"/>
      <c r="AB872" s="565"/>
    </row>
    <row r="873" spans="1:28" ht="15.75" customHeight="1">
      <c r="A873" s="804" t="str">
        <f>IF(B873&lt;&gt;"",IF(AND(B873&gt;=_TM1,B873&lt;=_TM2,OR(TH!L873="1111",TH!M873="1111")),TH!D873,""),"")</f>
        <v/>
      </c>
      <c r="B873" s="36">
        <f t="shared" si="57"/>
        <v>10</v>
      </c>
      <c r="C873" s="189">
        <f t="shared" si="58"/>
        <v>42297</v>
      </c>
      <c r="D873" s="189" t="s">
        <v>1353</v>
      </c>
      <c r="E873" s="189">
        <v>42297</v>
      </c>
      <c r="F873" s="926" t="s">
        <v>770</v>
      </c>
      <c r="G873" s="813" t="s">
        <v>756</v>
      </c>
      <c r="H873" s="191" t="s">
        <v>494</v>
      </c>
      <c r="I873" s="243">
        <v>60</v>
      </c>
      <c r="J873" s="243">
        <v>12758</v>
      </c>
      <c r="K873" s="573">
        <f t="shared" si="56"/>
        <v>765480</v>
      </c>
      <c r="L873" s="574" t="s">
        <v>417</v>
      </c>
      <c r="M873" s="574" t="s">
        <v>8</v>
      </c>
      <c r="N873" s="51" t="str">
        <f>IF(AND('331-CT'!$E$7=TH!H873,OR(L873="331",M873="331")),"331",IF(AND(OR(L873="131",M873="131"),H873='131-CT'!$E$7),"131",""))</f>
        <v/>
      </c>
      <c r="O873" s="51" t="str">
        <f>IF(AND($B873&gt;='111'!$N$11,$B873&lt;='111'!$O$11,OR($L873=$O$7,$M873=$O$7)),"x","")</f>
        <v/>
      </c>
      <c r="P873" s="51" t="str">
        <f>IF(AND($L873=$O$7,$B873&lt;'111'!$N$11),"x","")</f>
        <v/>
      </c>
      <c r="Q873" s="51" t="str">
        <f>IF(AND($M873=$O$7,$B873&lt;'111'!$N$11),"x","")</f>
        <v/>
      </c>
      <c r="R873" s="51" t="str">
        <f>IF(ISERROR(FIND('112'!$M$9,G873,1)),"",IF((AND(FIND('112'!$M$9,G873,1)&gt;=1,$B873&gt;='112'!$N$8,$B873&lt;='112'!$O$8,OR($L873='112'!$I$6,$M873='112'!$I$6))),"x",""))</f>
        <v/>
      </c>
      <c r="S873" s="51" t="str">
        <f>IF(ISERROR(FIND('112'!$M$9,G873,1)),"",IF((AND(LEFT(G873,2)=LEFT('112'!$M$9,2),B873&lt;'112'!$N$8,$L873='112'!$I$6)),"x",""))</f>
        <v/>
      </c>
      <c r="T873" s="51" t="str">
        <f>IF(ISERROR(FIND('112'!$M$9,G873,1)),"",IF((AND(RIGHT(G873,2)=RIGHT('112'!$M$9,2),B873&lt;'112'!$N$8,$M873='112'!$I$6)),"x",""))</f>
        <v/>
      </c>
      <c r="U873" s="51" t="str">
        <f>IF(AND(L873="154",'154'!$O$5&lt;=B873,'154'!$P$5&gt;=B873),"154",IF(AND(L873="632",'632'!$L$5&lt;=B873,'632'!$M$5&gt;=B873),"632",IF(AND(L873="642",'642'!$N$5&lt;=B873,'642'!$O$5&gt;=B873),"642",IF(AND(L873="641",'641'!$N$5&lt;=B873,'641'!$O$5&gt;=B873),"641",""))))</f>
        <v/>
      </c>
      <c r="V873" s="51" t="str">
        <f>IF(OR(TH!L873=TH!$V$7,M873=TH!$V$7),"x","")</f>
        <v/>
      </c>
      <c r="W873" s="51" t="str">
        <f>IF(AND(B873&gt;='IN-NX'!$P$3,B873&lt;='IN-NX'!$Q$3,'IN-NX'!$D$7=D873,OR(LEFT(L873,2)="15",AND(LEFT(M873,2)&lt;&gt;"15",LEFT(M873,2)&lt;&gt;"33"))),"x","")</f>
        <v/>
      </c>
      <c r="X873" s="51" t="str">
        <f>IF(AND(OR(LEFT(TH!L873,2)="15",LEFT(TH!M873,2)="15"),'152-CT'!$J$8=TH!F873),"x","")</f>
        <v/>
      </c>
      <c r="Y873" s="51" t="str">
        <f>IF(AND(OR(LEFT(TH!L873,2)="15",LEFT(TH!M873,2)="15"),TK!$E$7=TH!F873),"x","")</f>
        <v/>
      </c>
      <c r="Z873" s="51" t="str">
        <f>IF(AND(B873&lt;=NKC!$N$8,B873&gt;=NKC!$M$8),"x","")</f>
        <v/>
      </c>
      <c r="AA873" s="803"/>
      <c r="AB873" s="565"/>
    </row>
    <row r="874" spans="1:28" ht="15.75" customHeight="1">
      <c r="A874" s="804" t="str">
        <f>IF(B874&lt;&gt;"",IF(AND(B874&gt;=_TM1,B874&lt;=_TM2,OR(TH!L874="1111",TH!M874="1111")),TH!D874,""),"")</f>
        <v/>
      </c>
      <c r="B874" s="36">
        <f t="shared" si="57"/>
        <v>10</v>
      </c>
      <c r="C874" s="189">
        <f t="shared" si="58"/>
        <v>42297</v>
      </c>
      <c r="D874" s="189" t="s">
        <v>1353</v>
      </c>
      <c r="E874" s="189">
        <v>42297</v>
      </c>
      <c r="F874" s="922" t="s">
        <v>771</v>
      </c>
      <c r="G874" s="813" t="s">
        <v>756</v>
      </c>
      <c r="H874" s="191" t="s">
        <v>494</v>
      </c>
      <c r="I874" s="243">
        <v>12</v>
      </c>
      <c r="J874" s="243">
        <v>10819</v>
      </c>
      <c r="K874" s="573">
        <f t="shared" si="56"/>
        <v>129828</v>
      </c>
      <c r="L874" s="574" t="s">
        <v>417</v>
      </c>
      <c r="M874" s="574" t="s">
        <v>8</v>
      </c>
      <c r="N874" s="51" t="str">
        <f>IF(AND('331-CT'!$E$7=TH!H874,OR(L874="331",M874="331")),"331",IF(AND(OR(L874="131",M874="131"),H874='131-CT'!$E$7),"131",""))</f>
        <v/>
      </c>
      <c r="O874" s="51" t="str">
        <f>IF(AND($B874&gt;='111'!$N$11,$B874&lt;='111'!$O$11,OR($L874=$O$7,$M874=$O$7)),"x","")</f>
        <v/>
      </c>
      <c r="P874" s="51" t="str">
        <f>IF(AND($L874=$O$7,$B874&lt;'111'!$N$11),"x","")</f>
        <v/>
      </c>
      <c r="Q874" s="51" t="str">
        <f>IF(AND($M874=$O$7,$B874&lt;'111'!$N$11),"x","")</f>
        <v/>
      </c>
      <c r="R874" s="51" t="str">
        <f>IF(ISERROR(FIND('112'!$M$9,G874,1)),"",IF((AND(FIND('112'!$M$9,G874,1)&gt;=1,$B874&gt;='112'!$N$8,$B874&lt;='112'!$O$8,OR($L874='112'!$I$6,$M874='112'!$I$6))),"x",""))</f>
        <v/>
      </c>
      <c r="S874" s="51" t="str">
        <f>IF(ISERROR(FIND('112'!$M$9,G874,1)),"",IF((AND(LEFT(G874,2)=LEFT('112'!$M$9,2),B874&lt;'112'!$N$8,$L874='112'!$I$6)),"x",""))</f>
        <v/>
      </c>
      <c r="T874" s="51" t="str">
        <f>IF(ISERROR(FIND('112'!$M$9,G874,1)),"",IF((AND(RIGHT(G874,2)=RIGHT('112'!$M$9,2),B874&lt;'112'!$N$8,$M874='112'!$I$6)),"x",""))</f>
        <v/>
      </c>
      <c r="U874" s="51" t="str">
        <f>IF(AND(L874="154",'154'!$O$5&lt;=B874,'154'!$P$5&gt;=B874),"154",IF(AND(L874="632",'632'!$L$5&lt;=B874,'632'!$M$5&gt;=B874),"632",IF(AND(L874="642",'642'!$N$5&lt;=B874,'642'!$O$5&gt;=B874),"642",IF(AND(L874="641",'641'!$N$5&lt;=B874,'641'!$O$5&gt;=B874),"641",""))))</f>
        <v/>
      </c>
      <c r="V874" s="51" t="str">
        <f>IF(OR(TH!L874=TH!$V$7,M874=TH!$V$7),"x","")</f>
        <v/>
      </c>
      <c r="W874" s="51" t="str">
        <f>IF(AND(B874&gt;='IN-NX'!$P$3,B874&lt;='IN-NX'!$Q$3,'IN-NX'!$D$7=D874,OR(LEFT(L874,2)="15",AND(LEFT(M874,2)&lt;&gt;"15",LEFT(M874,2)&lt;&gt;"33"))),"x","")</f>
        <v/>
      </c>
      <c r="X874" s="51" t="str">
        <f>IF(AND(OR(LEFT(TH!L874,2)="15",LEFT(TH!M874,2)="15"),'152-CT'!$J$8=TH!F874),"x","")</f>
        <v/>
      </c>
      <c r="Y874" s="51" t="str">
        <f>IF(AND(OR(LEFT(TH!L874,2)="15",LEFT(TH!M874,2)="15"),TK!$E$7=TH!F874),"x","")</f>
        <v/>
      </c>
      <c r="Z874" s="51" t="str">
        <f>IF(AND(B874&lt;=NKC!$N$8,B874&gt;=NKC!$M$8),"x","")</f>
        <v/>
      </c>
      <c r="AA874" s="803"/>
      <c r="AB874" s="565"/>
    </row>
    <row r="875" spans="1:28" ht="15.75" customHeight="1">
      <c r="A875" s="804" t="str">
        <f>IF(B875&lt;&gt;"",IF(AND(B875&gt;=_TM1,B875&lt;=_TM2,OR(TH!L875="1111",TH!M875="1111")),TH!D875,""),"")</f>
        <v/>
      </c>
      <c r="B875" s="36">
        <f t="shared" si="57"/>
        <v>10</v>
      </c>
      <c r="C875" s="189">
        <f t="shared" si="58"/>
        <v>42297</v>
      </c>
      <c r="D875" s="189" t="s">
        <v>1353</v>
      </c>
      <c r="E875" s="189">
        <v>42297</v>
      </c>
      <c r="F875" s="922" t="s">
        <v>772</v>
      </c>
      <c r="G875" s="813" t="s">
        <v>756</v>
      </c>
      <c r="H875" s="191" t="s">
        <v>494</v>
      </c>
      <c r="I875" s="243">
        <v>175</v>
      </c>
      <c r="J875" s="243">
        <v>11155</v>
      </c>
      <c r="K875" s="573">
        <f t="shared" si="56"/>
        <v>1952125</v>
      </c>
      <c r="L875" s="574" t="s">
        <v>417</v>
      </c>
      <c r="M875" s="574" t="s">
        <v>8</v>
      </c>
      <c r="N875" s="51" t="str">
        <f>IF(AND('331-CT'!$E$7=TH!H875,OR(L875="331",M875="331")),"331",IF(AND(OR(L875="131",M875="131"),H875='131-CT'!$E$7),"131",""))</f>
        <v/>
      </c>
      <c r="O875" s="51" t="str">
        <f>IF(AND($B875&gt;='111'!$N$11,$B875&lt;='111'!$O$11,OR($L875=$O$7,$M875=$O$7)),"x","")</f>
        <v/>
      </c>
      <c r="P875" s="51" t="str">
        <f>IF(AND($L875=$O$7,$B875&lt;'111'!$N$11),"x","")</f>
        <v/>
      </c>
      <c r="Q875" s="51" t="str">
        <f>IF(AND($M875=$O$7,$B875&lt;'111'!$N$11),"x","")</f>
        <v/>
      </c>
      <c r="R875" s="51" t="str">
        <f>IF(ISERROR(FIND('112'!$M$9,G875,1)),"",IF((AND(FIND('112'!$M$9,G875,1)&gt;=1,$B875&gt;='112'!$N$8,$B875&lt;='112'!$O$8,OR($L875='112'!$I$6,$M875='112'!$I$6))),"x",""))</f>
        <v/>
      </c>
      <c r="S875" s="51" t="str">
        <f>IF(ISERROR(FIND('112'!$M$9,G875,1)),"",IF((AND(LEFT(G875,2)=LEFT('112'!$M$9,2),B875&lt;'112'!$N$8,$L875='112'!$I$6)),"x",""))</f>
        <v/>
      </c>
      <c r="T875" s="51" t="str">
        <f>IF(ISERROR(FIND('112'!$M$9,G875,1)),"",IF((AND(RIGHT(G875,2)=RIGHT('112'!$M$9,2),B875&lt;'112'!$N$8,$M875='112'!$I$6)),"x",""))</f>
        <v/>
      </c>
      <c r="U875" s="51" t="str">
        <f>IF(AND(L875="154",'154'!$O$5&lt;=B875,'154'!$P$5&gt;=B875),"154",IF(AND(L875="632",'632'!$L$5&lt;=B875,'632'!$M$5&gt;=B875),"632",IF(AND(L875="642",'642'!$N$5&lt;=B875,'642'!$O$5&gt;=B875),"642",IF(AND(L875="641",'641'!$N$5&lt;=B875,'641'!$O$5&gt;=B875),"641",""))))</f>
        <v/>
      </c>
      <c r="V875" s="51" t="str">
        <f>IF(OR(TH!L875=TH!$V$7,M875=TH!$V$7),"x","")</f>
        <v/>
      </c>
      <c r="W875" s="51" t="str">
        <f>IF(AND(B875&gt;='IN-NX'!$P$3,B875&lt;='IN-NX'!$Q$3,'IN-NX'!$D$7=D875,OR(LEFT(L875,2)="15",AND(LEFT(M875,2)&lt;&gt;"15",LEFT(M875,2)&lt;&gt;"33"))),"x","")</f>
        <v/>
      </c>
      <c r="X875" s="51" t="str">
        <f>IF(AND(OR(LEFT(TH!L875,2)="15",LEFT(TH!M875,2)="15"),'152-CT'!$J$8=TH!F875),"x","")</f>
        <v/>
      </c>
      <c r="Y875" s="51" t="str">
        <f>IF(AND(OR(LEFT(TH!L875,2)="15",LEFT(TH!M875,2)="15"),TK!$E$7=TH!F875),"x","")</f>
        <v/>
      </c>
      <c r="Z875" s="51" t="str">
        <f>IF(AND(B875&lt;=NKC!$N$8,B875&gt;=NKC!$M$8),"x","")</f>
        <v/>
      </c>
      <c r="AA875" s="803"/>
      <c r="AB875" s="565"/>
    </row>
    <row r="876" spans="1:28" ht="15.75" customHeight="1">
      <c r="A876" s="804" t="str">
        <f>IF(B876&lt;&gt;"",IF(AND(B876&gt;=_TM1,B876&lt;=_TM2,OR(TH!L876="1111",TH!M876="1111")),TH!D876,""),"")</f>
        <v/>
      </c>
      <c r="B876" s="36">
        <f t="shared" si="57"/>
        <v>10</v>
      </c>
      <c r="C876" s="189">
        <f t="shared" si="58"/>
        <v>42297</v>
      </c>
      <c r="D876" s="189" t="s">
        <v>1353</v>
      </c>
      <c r="E876" s="189">
        <v>42297</v>
      </c>
      <c r="F876" s="922" t="s">
        <v>773</v>
      </c>
      <c r="G876" s="813" t="s">
        <v>756</v>
      </c>
      <c r="H876" s="191" t="s">
        <v>494</v>
      </c>
      <c r="I876" s="243">
        <v>28</v>
      </c>
      <c r="J876" s="243">
        <v>9322</v>
      </c>
      <c r="K876" s="573">
        <f t="shared" si="56"/>
        <v>261016</v>
      </c>
      <c r="L876" s="574" t="s">
        <v>417</v>
      </c>
      <c r="M876" s="574" t="s">
        <v>8</v>
      </c>
      <c r="N876" s="51" t="str">
        <f>IF(AND('331-CT'!$E$7=TH!H876,OR(L876="331",M876="331")),"331",IF(AND(OR(L876="131",M876="131"),H876='131-CT'!$E$7),"131",""))</f>
        <v/>
      </c>
      <c r="O876" s="51" t="str">
        <f>IF(AND($B876&gt;='111'!$N$11,$B876&lt;='111'!$O$11,OR($L876=$O$7,$M876=$O$7)),"x","")</f>
        <v/>
      </c>
      <c r="P876" s="51" t="str">
        <f>IF(AND($L876=$O$7,$B876&lt;'111'!$N$11),"x","")</f>
        <v/>
      </c>
      <c r="Q876" s="51" t="str">
        <f>IF(AND($M876=$O$7,$B876&lt;'111'!$N$11),"x","")</f>
        <v/>
      </c>
      <c r="R876" s="51" t="str">
        <f>IF(ISERROR(FIND('112'!$M$9,G876,1)),"",IF((AND(FIND('112'!$M$9,G876,1)&gt;=1,$B876&gt;='112'!$N$8,$B876&lt;='112'!$O$8,OR($L876='112'!$I$6,$M876='112'!$I$6))),"x",""))</f>
        <v/>
      </c>
      <c r="S876" s="51" t="str">
        <f>IF(ISERROR(FIND('112'!$M$9,G876,1)),"",IF((AND(LEFT(G876,2)=LEFT('112'!$M$9,2),B876&lt;'112'!$N$8,$L876='112'!$I$6)),"x",""))</f>
        <v/>
      </c>
      <c r="T876" s="51" t="str">
        <f>IF(ISERROR(FIND('112'!$M$9,G876,1)),"",IF((AND(RIGHT(G876,2)=RIGHT('112'!$M$9,2),B876&lt;'112'!$N$8,$M876='112'!$I$6)),"x",""))</f>
        <v/>
      </c>
      <c r="U876" s="51" t="str">
        <f>IF(AND(L876="154",'154'!$O$5&lt;=B876,'154'!$P$5&gt;=B876),"154",IF(AND(L876="632",'632'!$L$5&lt;=B876,'632'!$M$5&gt;=B876),"632",IF(AND(L876="642",'642'!$N$5&lt;=B876,'642'!$O$5&gt;=B876),"642",IF(AND(L876="641",'641'!$N$5&lt;=B876,'641'!$O$5&gt;=B876),"641",""))))</f>
        <v/>
      </c>
      <c r="V876" s="51" t="str">
        <f>IF(OR(TH!L876=TH!$V$7,M876=TH!$V$7),"x","")</f>
        <v/>
      </c>
      <c r="W876" s="51" t="str">
        <f>IF(AND(B876&gt;='IN-NX'!$P$3,B876&lt;='IN-NX'!$Q$3,'IN-NX'!$D$7=D876,OR(LEFT(L876,2)="15",AND(LEFT(M876,2)&lt;&gt;"15",LEFT(M876,2)&lt;&gt;"33"))),"x","")</f>
        <v/>
      </c>
      <c r="X876" s="51" t="str">
        <f>IF(AND(OR(LEFT(TH!L876,2)="15",LEFT(TH!M876,2)="15"),'152-CT'!$J$8=TH!F876),"x","")</f>
        <v/>
      </c>
      <c r="Y876" s="51" t="str">
        <f>IF(AND(OR(LEFT(TH!L876,2)="15",LEFT(TH!M876,2)="15"),TK!$E$7=TH!F876),"x","")</f>
        <v/>
      </c>
      <c r="Z876" s="51" t="str">
        <f>IF(AND(B876&lt;=NKC!$N$8,B876&gt;=NKC!$M$8),"x","")</f>
        <v/>
      </c>
      <c r="AA876" s="803"/>
      <c r="AB876" s="565"/>
    </row>
    <row r="877" spans="1:28" ht="15.75" customHeight="1">
      <c r="A877" s="804" t="str">
        <f>IF(B877&lt;&gt;"",IF(AND(B877&gt;=_TM1,B877&lt;=_TM2,OR(TH!L877="1111",TH!M877="1111")),TH!D877,""),"")</f>
        <v/>
      </c>
      <c r="B877" s="36">
        <f t="shared" si="57"/>
        <v>10</v>
      </c>
      <c r="C877" s="189">
        <f t="shared" si="58"/>
        <v>42297</v>
      </c>
      <c r="D877" s="189" t="s">
        <v>1353</v>
      </c>
      <c r="E877" s="189">
        <v>42297</v>
      </c>
      <c r="F877" s="922" t="s">
        <v>774</v>
      </c>
      <c r="G877" s="813" t="s">
        <v>756</v>
      </c>
      <c r="H877" s="191" t="s">
        <v>494</v>
      </c>
      <c r="I877" s="243">
        <v>171</v>
      </c>
      <c r="J877" s="243">
        <v>12250</v>
      </c>
      <c r="K877" s="573">
        <f t="shared" si="56"/>
        <v>2094750</v>
      </c>
      <c r="L877" s="574" t="s">
        <v>417</v>
      </c>
      <c r="M877" s="574" t="s">
        <v>8</v>
      </c>
      <c r="N877" s="51" t="str">
        <f>IF(AND('331-CT'!$E$7=TH!H877,OR(L877="331",M877="331")),"331",IF(AND(OR(L877="131",M877="131"),H877='131-CT'!$E$7),"131",""))</f>
        <v/>
      </c>
      <c r="O877" s="51" t="str">
        <f>IF(AND($B877&gt;='111'!$N$11,$B877&lt;='111'!$O$11,OR($L877=$O$7,$M877=$O$7)),"x","")</f>
        <v/>
      </c>
      <c r="P877" s="51" t="str">
        <f>IF(AND($L877=$O$7,$B877&lt;'111'!$N$11),"x","")</f>
        <v/>
      </c>
      <c r="Q877" s="51" t="str">
        <f>IF(AND($M877=$O$7,$B877&lt;'111'!$N$11),"x","")</f>
        <v/>
      </c>
      <c r="R877" s="51" t="str">
        <f>IF(ISERROR(FIND('112'!$M$9,G877,1)),"",IF((AND(FIND('112'!$M$9,G877,1)&gt;=1,$B877&gt;='112'!$N$8,$B877&lt;='112'!$O$8,OR($L877='112'!$I$6,$M877='112'!$I$6))),"x",""))</f>
        <v/>
      </c>
      <c r="S877" s="51" t="str">
        <f>IF(ISERROR(FIND('112'!$M$9,G877,1)),"",IF((AND(LEFT(G877,2)=LEFT('112'!$M$9,2),B877&lt;'112'!$N$8,$L877='112'!$I$6)),"x",""))</f>
        <v/>
      </c>
      <c r="T877" s="51" t="str">
        <f>IF(ISERROR(FIND('112'!$M$9,G877,1)),"",IF((AND(RIGHT(G877,2)=RIGHT('112'!$M$9,2),B877&lt;'112'!$N$8,$M877='112'!$I$6)),"x",""))</f>
        <v/>
      </c>
      <c r="U877" s="51" t="str">
        <f>IF(AND(L877="154",'154'!$O$5&lt;=B877,'154'!$P$5&gt;=B877),"154",IF(AND(L877="632",'632'!$L$5&lt;=B877,'632'!$M$5&gt;=B877),"632",IF(AND(L877="642",'642'!$N$5&lt;=B877,'642'!$O$5&gt;=B877),"642",IF(AND(L877="641",'641'!$N$5&lt;=B877,'641'!$O$5&gt;=B877),"641",""))))</f>
        <v/>
      </c>
      <c r="V877" s="51" t="str">
        <f>IF(OR(TH!L877=TH!$V$7,M877=TH!$V$7),"x","")</f>
        <v/>
      </c>
      <c r="W877" s="51" t="str">
        <f>IF(AND(B877&gt;='IN-NX'!$P$3,B877&lt;='IN-NX'!$Q$3,'IN-NX'!$D$7=D877,OR(LEFT(L877,2)="15",AND(LEFT(M877,2)&lt;&gt;"15",LEFT(M877,2)&lt;&gt;"33"))),"x","")</f>
        <v/>
      </c>
      <c r="X877" s="51" t="str">
        <f>IF(AND(OR(LEFT(TH!L877,2)="15",LEFT(TH!M877,2)="15"),'152-CT'!$J$8=TH!F877),"x","")</f>
        <v/>
      </c>
      <c r="Y877" s="51" t="str">
        <f>IF(AND(OR(LEFT(TH!L877,2)="15",LEFT(TH!M877,2)="15"),TK!$E$7=TH!F877),"x","")</f>
        <v/>
      </c>
      <c r="Z877" s="51" t="str">
        <f>IF(AND(B877&lt;=NKC!$N$8,B877&gt;=NKC!$M$8),"x","")</f>
        <v/>
      </c>
      <c r="AA877" s="803"/>
      <c r="AB877" s="565"/>
    </row>
    <row r="878" spans="1:28" ht="15.75" customHeight="1">
      <c r="A878" s="804" t="str">
        <f>IF(B878&lt;&gt;"",IF(AND(B878&gt;=_TM1,B878&lt;=_TM2,OR(TH!L878="1111",TH!M878="1111")),TH!D878,""),"")</f>
        <v/>
      </c>
      <c r="B878" s="36">
        <f t="shared" si="57"/>
        <v>10</v>
      </c>
      <c r="C878" s="189">
        <f t="shared" si="58"/>
        <v>42297</v>
      </c>
      <c r="D878" s="189" t="s">
        <v>1353</v>
      </c>
      <c r="E878" s="189">
        <v>42297</v>
      </c>
      <c r="F878" s="922" t="s">
        <v>775</v>
      </c>
      <c r="G878" s="813" t="s">
        <v>756</v>
      </c>
      <c r="H878" s="191" t="s">
        <v>494</v>
      </c>
      <c r="I878" s="243">
        <v>21</v>
      </c>
      <c r="J878" s="243">
        <v>10238</v>
      </c>
      <c r="K878" s="573">
        <f t="shared" si="56"/>
        <v>214998</v>
      </c>
      <c r="L878" s="574" t="s">
        <v>417</v>
      </c>
      <c r="M878" s="574" t="s">
        <v>8</v>
      </c>
      <c r="N878" s="51" t="str">
        <f>IF(AND('331-CT'!$E$7=TH!H878,OR(L878="331",M878="331")),"331",IF(AND(OR(L878="131",M878="131"),H878='131-CT'!$E$7),"131",""))</f>
        <v/>
      </c>
      <c r="O878" s="51" t="str">
        <f>IF(AND($B878&gt;='111'!$N$11,$B878&lt;='111'!$O$11,OR($L878=$O$7,$M878=$O$7)),"x","")</f>
        <v/>
      </c>
      <c r="P878" s="51" t="str">
        <f>IF(AND($L878=$O$7,$B878&lt;'111'!$N$11),"x","")</f>
        <v/>
      </c>
      <c r="Q878" s="51" t="str">
        <f>IF(AND($M878=$O$7,$B878&lt;'111'!$N$11),"x","")</f>
        <v/>
      </c>
      <c r="R878" s="51" t="str">
        <f>IF(ISERROR(FIND('112'!$M$9,G878,1)),"",IF((AND(FIND('112'!$M$9,G878,1)&gt;=1,$B878&gt;='112'!$N$8,$B878&lt;='112'!$O$8,OR($L878='112'!$I$6,$M878='112'!$I$6))),"x",""))</f>
        <v/>
      </c>
      <c r="S878" s="51" t="str">
        <f>IF(ISERROR(FIND('112'!$M$9,G878,1)),"",IF((AND(LEFT(G878,2)=LEFT('112'!$M$9,2),B878&lt;'112'!$N$8,$L878='112'!$I$6)),"x",""))</f>
        <v/>
      </c>
      <c r="T878" s="51" t="str">
        <f>IF(ISERROR(FIND('112'!$M$9,G878,1)),"",IF((AND(RIGHT(G878,2)=RIGHT('112'!$M$9,2),B878&lt;'112'!$N$8,$M878='112'!$I$6)),"x",""))</f>
        <v/>
      </c>
      <c r="U878" s="51" t="str">
        <f>IF(AND(L878="154",'154'!$O$5&lt;=B878,'154'!$P$5&gt;=B878),"154",IF(AND(L878="632",'632'!$L$5&lt;=B878,'632'!$M$5&gt;=B878),"632",IF(AND(L878="642",'642'!$N$5&lt;=B878,'642'!$O$5&gt;=B878),"642",IF(AND(L878="641",'641'!$N$5&lt;=B878,'641'!$O$5&gt;=B878),"641",""))))</f>
        <v/>
      </c>
      <c r="V878" s="51" t="str">
        <f>IF(OR(TH!L878=TH!$V$7,M878=TH!$V$7),"x","")</f>
        <v/>
      </c>
      <c r="W878" s="51" t="str">
        <f>IF(AND(B878&gt;='IN-NX'!$P$3,B878&lt;='IN-NX'!$Q$3,'IN-NX'!$D$7=D878,OR(LEFT(L878,2)="15",AND(LEFT(M878,2)&lt;&gt;"15",LEFT(M878,2)&lt;&gt;"33"))),"x","")</f>
        <v/>
      </c>
      <c r="X878" s="51" t="str">
        <f>IF(AND(OR(LEFT(TH!L878,2)="15",LEFT(TH!M878,2)="15"),'152-CT'!$J$8=TH!F878),"x","")</f>
        <v/>
      </c>
      <c r="Y878" s="51" t="str">
        <f>IF(AND(OR(LEFT(TH!L878,2)="15",LEFT(TH!M878,2)="15"),TK!$E$7=TH!F878),"x","")</f>
        <v/>
      </c>
      <c r="Z878" s="51" t="str">
        <f>IF(AND(B878&lt;=NKC!$N$8,B878&gt;=NKC!$M$8),"x","")</f>
        <v/>
      </c>
      <c r="AA878" s="803"/>
      <c r="AB878" s="565"/>
    </row>
    <row r="879" spans="1:28" ht="15.75" customHeight="1">
      <c r="A879" s="804" t="str">
        <f>IF(B879&lt;&gt;"",IF(AND(B879&gt;=_TM1,B879&lt;=_TM2,OR(TH!L879="1111",TH!M879="1111")),TH!D879,""),"")</f>
        <v/>
      </c>
      <c r="B879" s="36">
        <f t="shared" si="57"/>
        <v>10</v>
      </c>
      <c r="C879" s="189">
        <f t="shared" si="58"/>
        <v>42297</v>
      </c>
      <c r="D879" s="189" t="s">
        <v>1353</v>
      </c>
      <c r="E879" s="189">
        <v>42297</v>
      </c>
      <c r="F879" s="922" t="s">
        <v>776</v>
      </c>
      <c r="G879" s="813" t="s">
        <v>756</v>
      </c>
      <c r="H879" s="191" t="s">
        <v>494</v>
      </c>
      <c r="I879" s="243">
        <v>86</v>
      </c>
      <c r="J879" s="243">
        <v>12668</v>
      </c>
      <c r="K879" s="573">
        <f t="shared" si="56"/>
        <v>1089448</v>
      </c>
      <c r="L879" s="574" t="s">
        <v>417</v>
      </c>
      <c r="M879" s="574" t="s">
        <v>8</v>
      </c>
      <c r="N879" s="51" t="str">
        <f>IF(AND('331-CT'!$E$7=TH!H879,OR(L879="331",M879="331")),"331",IF(AND(OR(L879="131",M879="131"),H879='131-CT'!$E$7),"131",""))</f>
        <v/>
      </c>
      <c r="O879" s="51" t="str">
        <f>IF(AND($B879&gt;='111'!$N$11,$B879&lt;='111'!$O$11,OR($L879=$O$7,$M879=$O$7)),"x","")</f>
        <v/>
      </c>
      <c r="P879" s="51" t="str">
        <f>IF(AND($L879=$O$7,$B879&lt;'111'!$N$11),"x","")</f>
        <v/>
      </c>
      <c r="Q879" s="51" t="str">
        <f>IF(AND($M879=$O$7,$B879&lt;'111'!$N$11),"x","")</f>
        <v/>
      </c>
      <c r="R879" s="51" t="str">
        <f>IF(ISERROR(FIND('112'!$M$9,G879,1)),"",IF((AND(FIND('112'!$M$9,G879,1)&gt;=1,$B879&gt;='112'!$N$8,$B879&lt;='112'!$O$8,OR($L879='112'!$I$6,$M879='112'!$I$6))),"x",""))</f>
        <v/>
      </c>
      <c r="S879" s="51" t="str">
        <f>IF(ISERROR(FIND('112'!$M$9,G879,1)),"",IF((AND(LEFT(G879,2)=LEFT('112'!$M$9,2),B879&lt;'112'!$N$8,$L879='112'!$I$6)),"x",""))</f>
        <v/>
      </c>
      <c r="T879" s="51" t="str">
        <f>IF(ISERROR(FIND('112'!$M$9,G879,1)),"",IF((AND(RIGHT(G879,2)=RIGHT('112'!$M$9,2),B879&lt;'112'!$N$8,$M879='112'!$I$6)),"x",""))</f>
        <v/>
      </c>
      <c r="U879" s="51" t="str">
        <f>IF(AND(L879="154",'154'!$O$5&lt;=B879,'154'!$P$5&gt;=B879),"154",IF(AND(L879="632",'632'!$L$5&lt;=B879,'632'!$M$5&gt;=B879),"632",IF(AND(L879="642",'642'!$N$5&lt;=B879,'642'!$O$5&gt;=B879),"642",IF(AND(L879="641",'641'!$N$5&lt;=B879,'641'!$O$5&gt;=B879),"641",""))))</f>
        <v/>
      </c>
      <c r="V879" s="51" t="str">
        <f>IF(OR(TH!L879=TH!$V$7,M879=TH!$V$7),"x","")</f>
        <v/>
      </c>
      <c r="W879" s="51" t="str">
        <f>IF(AND(B879&gt;='IN-NX'!$P$3,B879&lt;='IN-NX'!$Q$3,'IN-NX'!$D$7=D879,OR(LEFT(L879,2)="15",AND(LEFT(M879,2)&lt;&gt;"15",LEFT(M879,2)&lt;&gt;"33"))),"x","")</f>
        <v/>
      </c>
      <c r="X879" s="51" t="str">
        <f>IF(AND(OR(LEFT(TH!L879,2)="15",LEFT(TH!M879,2)="15"),'152-CT'!$J$8=TH!F879),"x","")</f>
        <v/>
      </c>
      <c r="Y879" s="51" t="str">
        <f>IF(AND(OR(LEFT(TH!L879,2)="15",LEFT(TH!M879,2)="15"),TK!$E$7=TH!F879),"x","")</f>
        <v/>
      </c>
      <c r="Z879" s="51" t="str">
        <f>IF(AND(B879&lt;=NKC!$N$8,B879&gt;=NKC!$M$8),"x","")</f>
        <v/>
      </c>
      <c r="AA879" s="803"/>
      <c r="AB879" s="565"/>
    </row>
    <row r="880" spans="1:28" ht="15.75" customHeight="1">
      <c r="A880" s="804" t="str">
        <f>IF(B880&lt;&gt;"",IF(AND(B880&gt;=_TM1,B880&lt;=_TM2,OR(TH!L880="1111",TH!M880="1111")),TH!D880,""),"")</f>
        <v/>
      </c>
      <c r="B880" s="36">
        <f t="shared" si="57"/>
        <v>10</v>
      </c>
      <c r="C880" s="189">
        <f t="shared" si="58"/>
        <v>42297</v>
      </c>
      <c r="D880" s="189" t="s">
        <v>1353</v>
      </c>
      <c r="E880" s="189">
        <v>42297</v>
      </c>
      <c r="F880" s="922" t="s">
        <v>496</v>
      </c>
      <c r="G880" s="813" t="s">
        <v>756</v>
      </c>
      <c r="H880" s="191" t="s">
        <v>494</v>
      </c>
      <c r="I880" s="243"/>
      <c r="J880" s="243"/>
      <c r="K880" s="573">
        <v>4382449</v>
      </c>
      <c r="L880" s="574" t="s">
        <v>9</v>
      </c>
      <c r="M880" s="574" t="s">
        <v>8</v>
      </c>
      <c r="N880" s="51" t="str">
        <f>IF(AND('331-CT'!$E$7=TH!H880,OR(L880="331",M880="331")),"331",IF(AND(OR(L880="131",M880="131"),H880='131-CT'!$E$7),"131",""))</f>
        <v/>
      </c>
      <c r="O880" s="51" t="str">
        <f>IF(AND($B880&gt;='111'!$N$11,$B880&lt;='111'!$O$11,OR($L880=$O$7,$M880=$O$7)),"x","")</f>
        <v/>
      </c>
      <c r="P880" s="51" t="str">
        <f>IF(AND($L880=$O$7,$B880&lt;'111'!$N$11),"x","")</f>
        <v/>
      </c>
      <c r="Q880" s="51" t="str">
        <f>IF(AND($M880=$O$7,$B880&lt;'111'!$N$11),"x","")</f>
        <v/>
      </c>
      <c r="R880" s="51" t="str">
        <f>IF(ISERROR(FIND('112'!$M$9,G880,1)),"",IF((AND(FIND('112'!$M$9,G880,1)&gt;=1,$B880&gt;='112'!$N$8,$B880&lt;='112'!$O$8,OR($L880='112'!$I$6,$M880='112'!$I$6))),"x",""))</f>
        <v/>
      </c>
      <c r="S880" s="51" t="str">
        <f>IF(ISERROR(FIND('112'!$M$9,G880,1)),"",IF((AND(LEFT(G880,2)=LEFT('112'!$M$9,2),B880&lt;'112'!$N$8,$L880='112'!$I$6)),"x",""))</f>
        <v/>
      </c>
      <c r="T880" s="51" t="str">
        <f>IF(ISERROR(FIND('112'!$M$9,G880,1)),"",IF((AND(RIGHT(G880,2)=RIGHT('112'!$M$9,2),B880&lt;'112'!$N$8,$M880='112'!$I$6)),"x",""))</f>
        <v/>
      </c>
      <c r="U880" s="51" t="str">
        <f>IF(AND(L880="154",'154'!$O$5&lt;=B880,'154'!$P$5&gt;=B880),"154",IF(AND(L880="632",'632'!$L$5&lt;=B880,'632'!$M$5&gt;=B880),"632",IF(AND(L880="642",'642'!$N$5&lt;=B880,'642'!$O$5&gt;=B880),"642",IF(AND(L880="641",'641'!$N$5&lt;=B880,'641'!$O$5&gt;=B880),"641",""))))</f>
        <v/>
      </c>
      <c r="V880" s="51" t="str">
        <f>IF(OR(TH!L880=TH!$V$7,M880=TH!$V$7),"x","")</f>
        <v/>
      </c>
      <c r="W880" s="51" t="str">
        <f>IF(AND(B880&gt;='IN-NX'!$P$3,B880&lt;='IN-NX'!$Q$3,'IN-NX'!$D$7=D880,OR(LEFT(L880,2)="15",AND(LEFT(M880,2)&lt;&gt;"15",LEFT(M880,2)&lt;&gt;"33"))),"x","")</f>
        <v/>
      </c>
      <c r="X880" s="51" t="str">
        <f>IF(AND(OR(LEFT(TH!L880,2)="15",LEFT(TH!M880,2)="15"),'152-CT'!$J$8=TH!F880),"x","")</f>
        <v/>
      </c>
      <c r="Y880" s="51" t="str">
        <f>IF(AND(OR(LEFT(TH!L880,2)="15",LEFT(TH!M880,2)="15"),TK!$E$7=TH!F880),"x","")</f>
        <v/>
      </c>
      <c r="Z880" s="51" t="str">
        <f>IF(AND(B880&lt;=NKC!$N$8,B880&gt;=NKC!$M$8),"x","")</f>
        <v/>
      </c>
      <c r="AA880" s="803">
        <v>4</v>
      </c>
      <c r="AB880" s="565"/>
    </row>
    <row r="881" spans="1:31" s="828" customFormat="1" ht="15.75" customHeight="1">
      <c r="A881" s="804" t="str">
        <f>IF(B881&lt;&gt;"",IF(AND(B881&gt;=_TM1,B881&lt;=_TM2,OR(TH!L881="1111",TH!M881="1111")),TH!D881,""),"")</f>
        <v/>
      </c>
      <c r="B881" s="36">
        <f t="shared" si="57"/>
        <v>10</v>
      </c>
      <c r="C881" s="189">
        <f t="shared" si="58"/>
        <v>42298</v>
      </c>
      <c r="D881" s="189" t="s">
        <v>1348</v>
      </c>
      <c r="E881" s="182">
        <v>42298</v>
      </c>
      <c r="F881" s="187" t="s">
        <v>433</v>
      </c>
      <c r="G881" s="811" t="s">
        <v>415</v>
      </c>
      <c r="H881" s="7" t="s">
        <v>437</v>
      </c>
      <c r="I881" s="243"/>
      <c r="J881" s="243"/>
      <c r="K881" s="573">
        <v>17500000</v>
      </c>
      <c r="L881" s="192" t="s">
        <v>24</v>
      </c>
      <c r="M881" s="192" t="s">
        <v>47</v>
      </c>
      <c r="N881" s="51" t="str">
        <f>IF(AND('331-CT'!$E$7=TH!H881,OR(L881="331",M881="331")),"331",IF(AND(OR(L881="131",M881="131"),H881='131-CT'!$E$7),"131",""))</f>
        <v/>
      </c>
      <c r="O881" s="51" t="str">
        <f>IF(AND($B881&gt;='111'!$N$11,$B881&lt;='111'!$O$11,OR($L881=$O$7,$M881=$O$7)),"x","")</f>
        <v>x</v>
      </c>
      <c r="P881" s="51" t="str">
        <f>IF(AND($L881=$O$7,$B881&lt;'111'!$N$11),"x","")</f>
        <v/>
      </c>
      <c r="Q881" s="51" t="str">
        <f>IF(AND($M881=$O$7,$B881&lt;'111'!$N$11),"x","")</f>
        <v/>
      </c>
      <c r="R881" s="51" t="str">
        <f>IF(ISERROR(FIND('112'!$M$9,G881,1)),"",IF((AND(FIND('112'!$M$9,G881,1)&gt;=1,$B881&gt;='112'!$N$8,$B881&lt;='112'!$O$8,OR($L881='112'!$I$6,$M881='112'!$I$6))),"x",""))</f>
        <v/>
      </c>
      <c r="S881" s="51" t="str">
        <f>IF(ISERROR(FIND('112'!$M$9,G881,1)),"",IF((AND(LEFT(G881,2)=LEFT('112'!$M$9,2),B881&lt;'112'!$N$8,$L881='112'!$I$6)),"x",""))</f>
        <v/>
      </c>
      <c r="T881" s="51" t="str">
        <f>IF(ISERROR(FIND('112'!$M$9,G881,1)),"",IF((AND(RIGHT(G881,2)=RIGHT('112'!$M$9,2),B881&lt;'112'!$N$8,$M881='112'!$I$6)),"x",""))</f>
        <v/>
      </c>
      <c r="U881" s="51" t="str">
        <f>IF(AND(L881="154",'154'!$O$5&lt;=B881,'154'!$P$5&gt;=B881),"154",IF(AND(L881="632",'632'!$L$5&lt;=B881,'632'!$M$5&gt;=B881),"632",IF(AND(L881="642",'642'!$N$5&lt;=B881,'642'!$O$5&gt;=B881),"642",IF(AND(L881="641",'641'!$N$5&lt;=B881,'641'!$O$5&gt;=B881),"641",""))))</f>
        <v/>
      </c>
      <c r="V881" s="51" t="str">
        <f>IF(OR(TH!L881=TH!$V$7,M881=TH!$V$7),"x","")</f>
        <v/>
      </c>
      <c r="W881" s="51" t="str">
        <f>IF(AND(B881&gt;='IN-NX'!$P$3,B881&lt;='IN-NX'!$Q$3,'IN-NX'!$D$7=D881,OR(LEFT(L881,2)="15",AND(LEFT(M881,2)&lt;&gt;"15",LEFT(M881,2)&lt;&gt;"33"))),"x","")</f>
        <v/>
      </c>
      <c r="X881" s="51" t="str">
        <f>IF(AND(OR(LEFT(TH!L881,2)="15",LEFT(TH!M881,2)="15"),'152-CT'!$J$8=TH!F881),"x","")</f>
        <v/>
      </c>
      <c r="Y881" s="51" t="str">
        <f>IF(AND(OR(LEFT(TH!L881,2)="15",LEFT(TH!M881,2)="15"),TK!$E$7=TH!F881),"x","")</f>
        <v/>
      </c>
      <c r="Z881" s="51" t="str">
        <f>IF(AND(B881&lt;=NKC!$N$8,B881&gt;=NKC!$M$8),"x","")</f>
        <v/>
      </c>
      <c r="AA881" s="803"/>
      <c r="AB881" s="565"/>
      <c r="AC881" s="565"/>
      <c r="AD881" s="565"/>
      <c r="AE881" s="565"/>
    </row>
    <row r="882" spans="1:31" ht="15.75" customHeight="1">
      <c r="A882" s="804" t="str">
        <f>IF(B882&lt;&gt;"",IF(AND(B882&gt;=_TM1,B882&lt;=_TM2,OR(TH!L882="1111",TH!M882="1111")),TH!D882,""),"")</f>
        <v/>
      </c>
      <c r="B882" s="36">
        <f t="shared" si="57"/>
        <v>10</v>
      </c>
      <c r="C882" s="189">
        <f t="shared" si="58"/>
        <v>42298</v>
      </c>
      <c r="D882" s="189" t="s">
        <v>422</v>
      </c>
      <c r="E882" s="182">
        <v>42298</v>
      </c>
      <c r="F882" s="187" t="s">
        <v>438</v>
      </c>
      <c r="G882" s="811" t="s">
        <v>415</v>
      </c>
      <c r="H882" s="7" t="s">
        <v>448</v>
      </c>
      <c r="I882" s="243"/>
      <c r="J882" s="243"/>
      <c r="K882" s="573">
        <v>17530435</v>
      </c>
      <c r="L882" s="574" t="s">
        <v>8</v>
      </c>
      <c r="M882" s="574" t="s">
        <v>24</v>
      </c>
      <c r="N882" s="51" t="str">
        <f>IF(AND('331-CT'!$E$7=TH!H882,OR(L882="331",M882="331")),"331",IF(AND(OR(L882="131",M882="131"),H882='131-CT'!$E$7),"131",""))</f>
        <v/>
      </c>
      <c r="O882" s="51" t="str">
        <f>IF(AND($B882&gt;='111'!$N$11,$B882&lt;='111'!$O$11,OR($L882=$O$7,$M882=$O$7)),"x","")</f>
        <v/>
      </c>
      <c r="P882" s="51" t="str">
        <f>IF(AND($L882=$O$7,$B882&lt;'111'!$N$11),"x","")</f>
        <v/>
      </c>
      <c r="Q882" s="51" t="str">
        <f>IF(AND($M882=$O$7,$B882&lt;'111'!$N$11),"x","")</f>
        <v/>
      </c>
      <c r="R882" s="51" t="str">
        <f>IF(ISERROR(FIND('112'!$M$9,G882,1)),"",IF((AND(FIND('112'!$M$9,G882,1)&gt;=1,$B882&gt;='112'!$N$8,$B882&lt;='112'!$O$8,OR($L882='112'!$I$6,$M882='112'!$I$6))),"x",""))</f>
        <v/>
      </c>
      <c r="S882" s="51" t="str">
        <f>IF(ISERROR(FIND('112'!$M$9,G882,1)),"",IF((AND(LEFT(G882,2)=LEFT('112'!$M$9,2),B882&lt;'112'!$N$8,$L882='112'!$I$6)),"x",""))</f>
        <v/>
      </c>
      <c r="T882" s="51" t="str">
        <f>IF(ISERROR(FIND('112'!$M$9,G882,1)),"",IF((AND(RIGHT(G882,2)=RIGHT('112'!$M$9,2),B882&lt;'112'!$N$8,$M882='112'!$I$6)),"x",""))</f>
        <v/>
      </c>
      <c r="U882" s="51" t="str">
        <f>IF(AND(L882="154",'154'!$O$5&lt;=B882,'154'!$P$5&gt;=B882),"154",IF(AND(L882="632",'632'!$L$5&lt;=B882,'632'!$M$5&gt;=B882),"632",IF(AND(L882="642",'642'!$N$5&lt;=B882,'642'!$O$5&gt;=B882),"642",IF(AND(L882="641",'641'!$N$5&lt;=B882,'641'!$O$5&gt;=B882),"641",""))))</f>
        <v/>
      </c>
      <c r="V882" s="51" t="str">
        <f>IF(OR(TH!L882=TH!$V$7,M882=TH!$V$7),"x","")</f>
        <v/>
      </c>
      <c r="W882" s="51" t="str">
        <f>IF(AND(B882&gt;='IN-NX'!$P$3,B882&lt;='IN-NX'!$Q$3,'IN-NX'!$D$7=D882,OR(LEFT(L882,2)="15",AND(LEFT(M882,2)&lt;&gt;"15",LEFT(M882,2)&lt;&gt;"33"))),"x","")</f>
        <v/>
      </c>
      <c r="X882" s="51" t="str">
        <f>IF(AND(OR(LEFT(TH!L882,2)="15",LEFT(TH!M882,2)="15"),'152-CT'!$J$8=TH!F882),"x","")</f>
        <v/>
      </c>
      <c r="Y882" s="51" t="str">
        <f>IF(AND(OR(LEFT(TH!L882,2)="15",LEFT(TH!M882,2)="15"),TK!$E$7=TH!F882),"x","")</f>
        <v/>
      </c>
      <c r="Z882" s="51" t="str">
        <f>IF(AND(B882&lt;=NKC!$N$8,B882&gt;=NKC!$M$8),"x","")</f>
        <v/>
      </c>
      <c r="AA882" s="803"/>
      <c r="AB882" s="565"/>
      <c r="AE882" s="565"/>
    </row>
    <row r="883" spans="1:31" ht="15.75" customHeight="1">
      <c r="A883" s="804" t="str">
        <f>IF(B883&lt;&gt;"",IF(AND(B883&gt;=_TM1,B883&lt;=_TM2,OR(TH!L883="1111",TH!M883="1111")),TH!D883,""),"")</f>
        <v/>
      </c>
      <c r="B883" s="36">
        <f t="shared" si="57"/>
        <v>10</v>
      </c>
      <c r="C883" s="189">
        <f t="shared" si="58"/>
        <v>42299</v>
      </c>
      <c r="D883" s="189" t="s">
        <v>1298</v>
      </c>
      <c r="E883" s="189">
        <v>42299</v>
      </c>
      <c r="F883" s="190" t="s">
        <v>757</v>
      </c>
      <c r="G883" s="811" t="s">
        <v>1072</v>
      </c>
      <c r="H883" s="191" t="s">
        <v>1073</v>
      </c>
      <c r="I883" s="243">
        <v>500</v>
      </c>
      <c r="J883" s="243">
        <v>17500</v>
      </c>
      <c r="K883" s="573">
        <f>ROUND(I883*J883,0)</f>
        <v>8750000</v>
      </c>
      <c r="L883" s="574" t="s">
        <v>250</v>
      </c>
      <c r="M883" s="574" t="s">
        <v>164</v>
      </c>
      <c r="N883" s="51" t="str">
        <f>IF(AND('331-CT'!$E$7=TH!H883,OR(L883="331",M883="331")),"331",IF(AND(OR(L883="131",M883="131"),H883='131-CT'!$E$7),"131",""))</f>
        <v/>
      </c>
      <c r="O883" s="51" t="str">
        <f>IF(AND($B883&gt;='111'!$N$11,$B883&lt;='111'!$O$11,OR($L883=$O$7,$M883=$O$7)),"x","")</f>
        <v/>
      </c>
      <c r="P883" s="51" t="str">
        <f>IF(AND($L883=$O$7,$B883&lt;'111'!$N$11),"x","")</f>
        <v/>
      </c>
      <c r="Q883" s="51" t="str">
        <f>IF(AND($M883=$O$7,$B883&lt;'111'!$N$11),"x","")</f>
        <v/>
      </c>
      <c r="R883" s="51" t="str">
        <f>IF(ISERROR(FIND('112'!$M$9,G883,1)),"",IF((AND(FIND('112'!$M$9,G883,1)&gt;=1,$B883&gt;='112'!$N$8,$B883&lt;='112'!$O$8,OR($L883='112'!$I$6,$M883='112'!$I$6))),"x",""))</f>
        <v/>
      </c>
      <c r="S883" s="51" t="str">
        <f>IF(ISERROR(FIND('112'!$M$9,G883,1)),"",IF((AND(LEFT(G883,2)=LEFT('112'!$M$9,2),B883&lt;'112'!$N$8,$L883='112'!$I$6)),"x",""))</f>
        <v/>
      </c>
      <c r="T883" s="51" t="str">
        <f>IF(ISERROR(FIND('112'!$M$9,G883,1)),"",IF((AND(RIGHT(G883,2)=RIGHT('112'!$M$9,2),B883&lt;'112'!$N$8,$M883='112'!$I$6)),"x",""))</f>
        <v/>
      </c>
      <c r="U883" s="51" t="str">
        <f>IF(AND(L883="154",'154'!$O$5&lt;=B883,'154'!$P$5&gt;=B883),"154",IF(AND(L883="632",'632'!$L$5&lt;=B883,'632'!$M$5&gt;=B883),"632",IF(AND(L883="642",'642'!$N$5&lt;=B883,'642'!$O$5&gt;=B883),"642",IF(AND(L883="641",'641'!$N$5&lt;=B883,'641'!$O$5&gt;=B883),"641",""))))</f>
        <v/>
      </c>
      <c r="V883" s="51" t="str">
        <f>IF(OR(TH!L883=TH!$V$7,M883=TH!$V$7),"x","")</f>
        <v/>
      </c>
      <c r="W883" s="51" t="str">
        <f>IF(AND(B883&gt;='IN-NX'!$P$3,B883&lt;='IN-NX'!$Q$3,'IN-NX'!$D$7=D883,OR(LEFT(L883,2)="15",AND(LEFT(M883,2)&lt;&gt;"15",LEFT(M883,2)&lt;&gt;"33"))),"x","")</f>
        <v/>
      </c>
      <c r="X883" s="51" t="str">
        <f>IF(AND(OR(LEFT(TH!L883,2)="15",LEFT(TH!M883,2)="15"),'152-CT'!$J$8=TH!F883),"x","")</f>
        <v/>
      </c>
      <c r="Y883" s="51" t="str">
        <f>IF(AND(OR(LEFT(TH!L883,2)="15",LEFT(TH!M883,2)="15"),TK!$E$7=TH!F883),"x","")</f>
        <v/>
      </c>
      <c r="Z883" s="51" t="str">
        <f>IF(AND(B883&lt;=NKC!$N$8,B883&gt;=NKC!$M$8),"x","")</f>
        <v/>
      </c>
      <c r="AA883" s="803"/>
      <c r="AB883" s="565"/>
    </row>
    <row r="884" spans="1:31" ht="15.75" customHeight="1">
      <c r="A884" s="804" t="str">
        <f>IF(B884&lt;&gt;"",IF(AND(B884&gt;=_TM1,B884&lt;=_TM2,OR(TH!L884="1111",TH!M884="1111")),TH!D884,""),"")</f>
        <v/>
      </c>
      <c r="B884" s="36">
        <f t="shared" si="57"/>
        <v>10</v>
      </c>
      <c r="C884" s="189">
        <f t="shared" si="58"/>
        <v>42299</v>
      </c>
      <c r="D884" s="189" t="s">
        <v>1298</v>
      </c>
      <c r="E884" s="189">
        <v>42299</v>
      </c>
      <c r="F884" s="190" t="s">
        <v>962</v>
      </c>
      <c r="G884" s="811" t="s">
        <v>1072</v>
      </c>
      <c r="H884" s="191" t="s">
        <v>1073</v>
      </c>
      <c r="I884" s="243"/>
      <c r="J884" s="243"/>
      <c r="K884" s="573">
        <v>875000</v>
      </c>
      <c r="L884" s="574" t="s">
        <v>250</v>
      </c>
      <c r="M884" s="574" t="s">
        <v>352</v>
      </c>
      <c r="N884" s="51" t="str">
        <f>IF(AND('331-CT'!$E$7=TH!H884,OR(L884="331",M884="331")),"331",IF(AND(OR(L884="131",M884="131"),H884='131-CT'!$E$7),"131",""))</f>
        <v/>
      </c>
      <c r="O884" s="51" t="str">
        <f>IF(AND($B884&gt;='111'!$N$11,$B884&lt;='111'!$O$11,OR($L884=$O$7,$M884=$O$7)),"x","")</f>
        <v/>
      </c>
      <c r="P884" s="51" t="str">
        <f>IF(AND($L884=$O$7,$B884&lt;'111'!$N$11),"x","")</f>
        <v/>
      </c>
      <c r="Q884" s="51" t="str">
        <f>IF(AND($M884=$O$7,$B884&lt;'111'!$N$11),"x","")</f>
        <v/>
      </c>
      <c r="R884" s="51" t="str">
        <f>IF(ISERROR(FIND('112'!$M$9,G884,1)),"",IF((AND(FIND('112'!$M$9,G884,1)&gt;=1,$B884&gt;='112'!$N$8,$B884&lt;='112'!$O$8,OR($L884='112'!$I$6,$M884='112'!$I$6))),"x",""))</f>
        <v/>
      </c>
      <c r="S884" s="51" t="str">
        <f>IF(ISERROR(FIND('112'!$M$9,G884,1)),"",IF((AND(LEFT(G884,2)=LEFT('112'!$M$9,2),B884&lt;'112'!$N$8,$L884='112'!$I$6)),"x",""))</f>
        <v/>
      </c>
      <c r="T884" s="51" t="str">
        <f>IF(ISERROR(FIND('112'!$M$9,G884,1)),"",IF((AND(RIGHT(G884,2)=RIGHT('112'!$M$9,2),B884&lt;'112'!$N$8,$M884='112'!$I$6)),"x",""))</f>
        <v/>
      </c>
      <c r="U884" s="51" t="str">
        <f>IF(AND(L884="154",'154'!$O$5&lt;=B884,'154'!$P$5&gt;=B884),"154",IF(AND(L884="632",'632'!$L$5&lt;=B884,'632'!$M$5&gt;=B884),"632",IF(AND(L884="642",'642'!$N$5&lt;=B884,'642'!$O$5&gt;=B884),"642",IF(AND(L884="641",'641'!$N$5&lt;=B884,'641'!$O$5&gt;=B884),"641",""))))</f>
        <v/>
      </c>
      <c r="V884" s="51" t="str">
        <f>IF(OR(TH!L884=TH!$V$7,M884=TH!$V$7),"x","")</f>
        <v/>
      </c>
      <c r="W884" s="51" t="str">
        <f>IF(AND(B884&gt;='IN-NX'!$P$3,B884&lt;='IN-NX'!$Q$3,'IN-NX'!$D$7=D884,OR(LEFT(L884,2)="15",AND(LEFT(M884,2)&lt;&gt;"15",LEFT(M884,2)&lt;&gt;"33"))),"x","")</f>
        <v/>
      </c>
      <c r="X884" s="51" t="str">
        <f>IF(AND(OR(LEFT(TH!L884,2)="15",LEFT(TH!M884,2)="15"),'152-CT'!$J$8=TH!F884),"x","")</f>
        <v/>
      </c>
      <c r="Y884" s="51" t="str">
        <f>IF(AND(OR(LEFT(TH!L884,2)="15",LEFT(TH!M884,2)="15"),TK!$E$7=TH!F884),"x","")</f>
        <v/>
      </c>
      <c r="Z884" s="51" t="str">
        <f>IF(AND(B884&lt;=NKC!$N$8,B884&gt;=NKC!$M$8),"x","")</f>
        <v/>
      </c>
      <c r="AA884" s="803"/>
      <c r="AB884" s="565"/>
    </row>
    <row r="885" spans="1:31" ht="15.75" customHeight="1">
      <c r="A885" s="804" t="str">
        <f>IF(B885&lt;&gt;"",IF(AND(B885&gt;=_TM1,B885&lt;=_TM2,OR(TH!L885="1111",TH!M885="1111")),TH!D885,""),"")</f>
        <v/>
      </c>
      <c r="B885" s="36">
        <f t="shared" si="57"/>
        <v>10</v>
      </c>
      <c r="C885" s="189">
        <f t="shared" si="58"/>
        <v>42299</v>
      </c>
      <c r="D885" s="189" t="s">
        <v>1358</v>
      </c>
      <c r="E885" s="189">
        <v>42299</v>
      </c>
      <c r="F885" s="190" t="s">
        <v>423</v>
      </c>
      <c r="G885" s="811" t="s">
        <v>1072</v>
      </c>
      <c r="H885" s="191" t="s">
        <v>1073</v>
      </c>
      <c r="I885" s="243"/>
      <c r="J885" s="243"/>
      <c r="K885" s="573">
        <v>9625000</v>
      </c>
      <c r="L885" s="574" t="s">
        <v>47</v>
      </c>
      <c r="M885" s="574" t="s">
        <v>250</v>
      </c>
      <c r="N885" s="51" t="str">
        <f>IF(AND('331-CT'!$E$7=TH!H885,OR(L885="331",M885="331")),"331",IF(AND(OR(L885="131",M885="131"),H885='131-CT'!$E$7),"131",""))</f>
        <v/>
      </c>
      <c r="O885" s="51" t="str">
        <f>IF(AND($B885&gt;='111'!$N$11,$B885&lt;='111'!$O$11,OR($L885=$O$7,$M885=$O$7)),"x","")</f>
        <v>x</v>
      </c>
      <c r="P885" s="51" t="str">
        <f>IF(AND($L885=$O$7,$B885&lt;'111'!$N$11),"x","")</f>
        <v/>
      </c>
      <c r="Q885" s="51" t="str">
        <f>IF(AND($M885=$O$7,$B885&lt;'111'!$N$11),"x","")</f>
        <v/>
      </c>
      <c r="R885" s="51" t="str">
        <f>IF(ISERROR(FIND('112'!$M$9,G885,1)),"",IF((AND(FIND('112'!$M$9,G885,1)&gt;=1,$B885&gt;='112'!$N$8,$B885&lt;='112'!$O$8,OR($L885='112'!$I$6,$M885='112'!$I$6))),"x",""))</f>
        <v/>
      </c>
      <c r="S885" s="51" t="str">
        <f>IF(ISERROR(FIND('112'!$M$9,G885,1)),"",IF((AND(LEFT(G885,2)=LEFT('112'!$M$9,2),B885&lt;'112'!$N$8,$L885='112'!$I$6)),"x",""))</f>
        <v/>
      </c>
      <c r="T885" s="51" t="str">
        <f>IF(ISERROR(FIND('112'!$M$9,G885,1)),"",IF((AND(RIGHT(G885,2)=RIGHT('112'!$M$9,2),B885&lt;'112'!$N$8,$M885='112'!$I$6)),"x",""))</f>
        <v/>
      </c>
      <c r="U885" s="51" t="str">
        <f>IF(AND(L885="154",'154'!$O$5&lt;=B885,'154'!$P$5&gt;=B885),"154",IF(AND(L885="632",'632'!$L$5&lt;=B885,'632'!$M$5&gt;=B885),"632",IF(AND(L885="642",'642'!$N$5&lt;=B885,'642'!$O$5&gt;=B885),"642",IF(AND(L885="641",'641'!$N$5&lt;=B885,'641'!$O$5&gt;=B885),"641",""))))</f>
        <v/>
      </c>
      <c r="V885" s="51" t="str">
        <f>IF(OR(TH!L885=TH!$V$7,M885=TH!$V$7),"x","")</f>
        <v/>
      </c>
      <c r="W885" s="51" t="str">
        <f>IF(AND(B885&gt;='IN-NX'!$P$3,B885&lt;='IN-NX'!$Q$3,'IN-NX'!$D$7=D885,OR(LEFT(L885,2)="15",AND(LEFT(M885,2)&lt;&gt;"15",LEFT(M885,2)&lt;&gt;"33"))),"x","")</f>
        <v/>
      </c>
      <c r="X885" s="51" t="str">
        <f>IF(AND(OR(LEFT(TH!L885,2)="15",LEFT(TH!M885,2)="15"),'152-CT'!$J$8=TH!F885),"x","")</f>
        <v/>
      </c>
      <c r="Y885" s="51" t="str">
        <f>IF(AND(OR(LEFT(TH!L885,2)="15",LEFT(TH!M885,2)="15"),TK!$E$7=TH!F885),"x","")</f>
        <v/>
      </c>
      <c r="Z885" s="51" t="str">
        <f>IF(AND(B885&lt;=NKC!$N$8,B885&gt;=NKC!$M$8),"x","")</f>
        <v/>
      </c>
      <c r="AA885" s="803"/>
      <c r="AB885" s="565"/>
    </row>
    <row r="886" spans="1:31" ht="15.75" customHeight="1">
      <c r="A886" s="804" t="str">
        <f>IF(B886&lt;&gt;"",IF(AND(B886&gt;=_TM1,B886&lt;=_TM2,OR(TH!L886="1111",TH!M886="1111")),TH!D886,""),"")</f>
        <v/>
      </c>
      <c r="B886" s="36">
        <f t="shared" si="57"/>
        <v>10</v>
      </c>
      <c r="C886" s="189">
        <f t="shared" si="58"/>
        <v>42300</v>
      </c>
      <c r="D886" s="189" t="s">
        <v>421</v>
      </c>
      <c r="E886" s="182">
        <v>42300</v>
      </c>
      <c r="F886" s="190" t="s">
        <v>423</v>
      </c>
      <c r="G886" s="811" t="s">
        <v>415</v>
      </c>
      <c r="H886" s="7" t="s">
        <v>445</v>
      </c>
      <c r="I886" s="243"/>
      <c r="J886" s="243"/>
      <c r="K886" s="573">
        <v>1355420</v>
      </c>
      <c r="L886" s="192" t="s">
        <v>24</v>
      </c>
      <c r="M886" s="192" t="s">
        <v>250</v>
      </c>
      <c r="N886" s="51" t="str">
        <f>IF(AND('331-CT'!$E$7=TH!H886,OR(L886="331",M886="331")),"331",IF(AND(OR(L886="131",M886="131"),H886='131-CT'!$E$7),"131",""))</f>
        <v/>
      </c>
      <c r="O886" s="51" t="str">
        <f>IF(AND($B886&gt;='111'!$N$11,$B886&lt;='111'!$O$11,OR($L886=$O$7,$M886=$O$7)),"x","")</f>
        <v/>
      </c>
      <c r="P886" s="51" t="str">
        <f>IF(AND($L886=$O$7,$B886&lt;'111'!$N$11),"x","")</f>
        <v/>
      </c>
      <c r="Q886" s="51" t="str">
        <f>IF(AND($M886=$O$7,$B886&lt;'111'!$N$11),"x","")</f>
        <v/>
      </c>
      <c r="R886" s="51" t="str">
        <f>IF(ISERROR(FIND('112'!$M$9,G886,1)),"",IF((AND(FIND('112'!$M$9,G886,1)&gt;=1,$B886&gt;='112'!$N$8,$B886&lt;='112'!$O$8,OR($L886='112'!$I$6,$M886='112'!$I$6))),"x",""))</f>
        <v/>
      </c>
      <c r="S886" s="51" t="str">
        <f>IF(ISERROR(FIND('112'!$M$9,G886,1)),"",IF((AND(LEFT(G886,2)=LEFT('112'!$M$9,2),B886&lt;'112'!$N$8,$L886='112'!$I$6)),"x",""))</f>
        <v/>
      </c>
      <c r="T886" s="51" t="str">
        <f>IF(ISERROR(FIND('112'!$M$9,G886,1)),"",IF((AND(RIGHT(G886,2)=RIGHT('112'!$M$9,2),B886&lt;'112'!$N$8,$M886='112'!$I$6)),"x",""))</f>
        <v/>
      </c>
      <c r="U886" s="51" t="str">
        <f>IF(AND(L886="154",'154'!$O$5&lt;=B886,'154'!$P$5&gt;=B886),"154",IF(AND(L886="632",'632'!$L$5&lt;=B886,'632'!$M$5&gt;=B886),"632",IF(AND(L886="642",'642'!$N$5&lt;=B886,'642'!$O$5&gt;=B886),"642",IF(AND(L886="641",'641'!$N$5&lt;=B886,'641'!$O$5&gt;=B886),"641",""))))</f>
        <v/>
      </c>
      <c r="V886" s="51" t="str">
        <f>IF(OR(TH!L886=TH!$V$7,M886=TH!$V$7),"x","")</f>
        <v/>
      </c>
      <c r="W886" s="51" t="str">
        <f>IF(AND(B886&gt;='IN-NX'!$P$3,B886&lt;='IN-NX'!$Q$3,'IN-NX'!$D$7=D886,OR(LEFT(L886,2)="15",AND(LEFT(M886,2)&lt;&gt;"15",LEFT(M886,2)&lt;&gt;"33"))),"x","")</f>
        <v/>
      </c>
      <c r="X886" s="51" t="str">
        <f>IF(AND(OR(LEFT(TH!L886,2)="15",LEFT(TH!M886,2)="15"),'152-CT'!$J$8=TH!F886),"x","")</f>
        <v/>
      </c>
      <c r="Y886" s="51" t="str">
        <f>IF(AND(OR(LEFT(TH!L886,2)="15",LEFT(TH!M886,2)="15"),TK!$E$7=TH!F886),"x","")</f>
        <v/>
      </c>
      <c r="Z886" s="51" t="str">
        <f>IF(AND(B886&lt;=NKC!$N$8,B886&gt;=NKC!$M$8),"x","")</f>
        <v/>
      </c>
      <c r="AA886" s="803"/>
      <c r="AB886" s="565"/>
      <c r="AD886" s="565"/>
      <c r="AE886" s="565"/>
    </row>
    <row r="887" spans="1:31" ht="15.75" customHeight="1">
      <c r="A887" s="804" t="str">
        <f>IF(B887&lt;&gt;"",IF(AND(B887&gt;=_TM1,B887&lt;=_TM2,OR(TH!L887="1111",TH!M887="1111")),TH!D887,""),"")</f>
        <v/>
      </c>
      <c r="B887" s="36">
        <f t="shared" si="57"/>
        <v>10</v>
      </c>
      <c r="C887" s="189">
        <f t="shared" si="58"/>
        <v>42300</v>
      </c>
      <c r="D887" s="189" t="s">
        <v>1356</v>
      </c>
      <c r="E887" s="189">
        <v>42300</v>
      </c>
      <c r="F887" s="190" t="s">
        <v>1234</v>
      </c>
      <c r="G887" s="813" t="s">
        <v>782</v>
      </c>
      <c r="H887" s="191" t="s">
        <v>448</v>
      </c>
      <c r="I887" s="243">
        <v>9846</v>
      </c>
      <c r="J887" s="243">
        <v>1045</v>
      </c>
      <c r="K887" s="573">
        <f t="shared" ref="K887:K907" si="59">ROUND(I887*J887,0)</f>
        <v>10289070</v>
      </c>
      <c r="L887" s="574" t="s">
        <v>417</v>
      </c>
      <c r="M887" s="574" t="s">
        <v>8</v>
      </c>
      <c r="N887" s="51" t="str">
        <f>IF(AND('331-CT'!$E$7=TH!H887,OR(L887="331",M887="331")),"331",IF(AND(OR(L887="131",M887="131"),H887='131-CT'!$E$7),"131",""))</f>
        <v/>
      </c>
      <c r="O887" s="51" t="str">
        <f>IF(AND($B887&gt;='111'!$N$11,$B887&lt;='111'!$O$11,OR($L887=$O$7,$M887=$O$7)),"x","")</f>
        <v/>
      </c>
      <c r="P887" s="51" t="str">
        <f>IF(AND($L887=$O$7,$B887&lt;'111'!$N$11),"x","")</f>
        <v/>
      </c>
      <c r="Q887" s="51" t="str">
        <f>IF(AND($M887=$O$7,$B887&lt;'111'!$N$11),"x","")</f>
        <v/>
      </c>
      <c r="R887" s="51" t="str">
        <f>IF(ISERROR(FIND('112'!$M$9,G887,1)),"",IF((AND(FIND('112'!$M$9,G887,1)&gt;=1,$B887&gt;='112'!$N$8,$B887&lt;='112'!$O$8,OR($L887='112'!$I$6,$M887='112'!$I$6))),"x",""))</f>
        <v/>
      </c>
      <c r="S887" s="51" t="str">
        <f>IF(ISERROR(FIND('112'!$M$9,G887,1)),"",IF((AND(LEFT(G887,2)=LEFT('112'!$M$9,2),B887&lt;'112'!$N$8,$L887='112'!$I$6)),"x",""))</f>
        <v/>
      </c>
      <c r="T887" s="51" t="str">
        <f>IF(ISERROR(FIND('112'!$M$9,G887,1)),"",IF((AND(RIGHT(G887,2)=RIGHT('112'!$M$9,2),B887&lt;'112'!$N$8,$M887='112'!$I$6)),"x",""))</f>
        <v/>
      </c>
      <c r="U887" s="51" t="str">
        <f>IF(AND(L887="154",'154'!$O$5&lt;=B887,'154'!$P$5&gt;=B887),"154",IF(AND(L887="632",'632'!$L$5&lt;=B887,'632'!$M$5&gt;=B887),"632",IF(AND(L887="642",'642'!$N$5&lt;=B887,'642'!$O$5&gt;=B887),"642",IF(AND(L887="641",'641'!$N$5&lt;=B887,'641'!$O$5&gt;=B887),"641",""))))</f>
        <v/>
      </c>
      <c r="V887" s="51" t="str">
        <f>IF(OR(TH!L887=TH!$V$7,M887=TH!$V$7),"x","")</f>
        <v/>
      </c>
      <c r="W887" s="51" t="str">
        <f>IF(AND(B887&gt;='IN-NX'!$P$3,B887&lt;='IN-NX'!$Q$3,'IN-NX'!$D$7=D887,OR(LEFT(L887,2)="15",AND(LEFT(M887,2)&lt;&gt;"15",LEFT(M887,2)&lt;&gt;"33"))),"x","")</f>
        <v/>
      </c>
      <c r="X887" s="51" t="str">
        <f>IF(AND(OR(LEFT(TH!L887,2)="15",LEFT(TH!M887,2)="15"),'152-CT'!$J$8=TH!F887),"x","")</f>
        <v/>
      </c>
      <c r="Y887" s="51" t="str">
        <f>IF(AND(OR(LEFT(TH!L887,2)="15",LEFT(TH!M887,2)="15"),TK!$E$7=TH!F887),"x","")</f>
        <v/>
      </c>
      <c r="Z887" s="51" t="str">
        <f>IF(AND(B887&lt;=NKC!$N$8,B887&gt;=NKC!$M$8),"x","")</f>
        <v/>
      </c>
      <c r="AA887" s="803"/>
      <c r="AB887" s="565"/>
    </row>
    <row r="888" spans="1:31" ht="15.75" customHeight="1">
      <c r="A888" s="804" t="str">
        <f>IF(B888&lt;&gt;"",IF(AND(B888&gt;=_TM1,B888&lt;=_TM2,OR(TH!L888="1111",TH!M888="1111")),TH!D888,""),"")</f>
        <v/>
      </c>
      <c r="B888" s="36">
        <f t="shared" si="57"/>
        <v>10</v>
      </c>
      <c r="C888" s="189">
        <f t="shared" si="58"/>
        <v>42300</v>
      </c>
      <c r="D888" s="189" t="s">
        <v>1356</v>
      </c>
      <c r="E888" s="189">
        <v>42300</v>
      </c>
      <c r="F888" s="190" t="s">
        <v>783</v>
      </c>
      <c r="G888" s="813" t="s">
        <v>782</v>
      </c>
      <c r="H888" s="191" t="s">
        <v>448</v>
      </c>
      <c r="I888" s="243">
        <v>100</v>
      </c>
      <c r="J888" s="243">
        <v>28980</v>
      </c>
      <c r="K888" s="573">
        <f t="shared" si="59"/>
        <v>2898000</v>
      </c>
      <c r="L888" s="574" t="s">
        <v>417</v>
      </c>
      <c r="M888" s="574" t="s">
        <v>8</v>
      </c>
      <c r="N888" s="51" t="str">
        <f>IF(AND('331-CT'!$E$7=TH!H888,OR(L888="331",M888="331")),"331",IF(AND(OR(L888="131",M888="131"),H888='131-CT'!$E$7),"131",""))</f>
        <v/>
      </c>
      <c r="O888" s="51" t="str">
        <f>IF(AND($B888&gt;='111'!$N$11,$B888&lt;='111'!$O$11,OR($L888=$O$7,$M888=$O$7)),"x","")</f>
        <v/>
      </c>
      <c r="P888" s="51" t="str">
        <f>IF(AND($L888=$O$7,$B888&lt;'111'!$N$11),"x","")</f>
        <v/>
      </c>
      <c r="Q888" s="51" t="str">
        <f>IF(AND($M888=$O$7,$B888&lt;'111'!$N$11),"x","")</f>
        <v/>
      </c>
      <c r="R888" s="51" t="str">
        <f>IF(ISERROR(FIND('112'!$M$9,G888,1)),"",IF((AND(FIND('112'!$M$9,G888,1)&gt;=1,$B888&gt;='112'!$N$8,$B888&lt;='112'!$O$8,OR($L888='112'!$I$6,$M888='112'!$I$6))),"x",""))</f>
        <v/>
      </c>
      <c r="S888" s="51" t="str">
        <f>IF(ISERROR(FIND('112'!$M$9,G888,1)),"",IF((AND(LEFT(G888,2)=LEFT('112'!$M$9,2),B888&lt;'112'!$N$8,$L888='112'!$I$6)),"x",""))</f>
        <v/>
      </c>
      <c r="T888" s="51" t="str">
        <f>IF(ISERROR(FIND('112'!$M$9,G888,1)),"",IF((AND(RIGHT(G888,2)=RIGHT('112'!$M$9,2),B888&lt;'112'!$N$8,$M888='112'!$I$6)),"x",""))</f>
        <v/>
      </c>
      <c r="U888" s="51" t="str">
        <f>IF(AND(L888="154",'154'!$O$5&lt;=B888,'154'!$P$5&gt;=B888),"154",IF(AND(L888="632",'632'!$L$5&lt;=B888,'632'!$M$5&gt;=B888),"632",IF(AND(L888="642",'642'!$N$5&lt;=B888,'642'!$O$5&gt;=B888),"642",IF(AND(L888="641",'641'!$N$5&lt;=B888,'641'!$O$5&gt;=B888),"641",""))))</f>
        <v/>
      </c>
      <c r="V888" s="51" t="str">
        <f>IF(OR(TH!L888=TH!$V$7,M888=TH!$V$7),"x","")</f>
        <v/>
      </c>
      <c r="W888" s="51" t="str">
        <f>IF(AND(B888&gt;='IN-NX'!$P$3,B888&lt;='IN-NX'!$Q$3,'IN-NX'!$D$7=D888,OR(LEFT(L888,2)="15",AND(LEFT(M888,2)&lt;&gt;"15",LEFT(M888,2)&lt;&gt;"33"))),"x","")</f>
        <v/>
      </c>
      <c r="X888" s="51" t="str">
        <f>IF(AND(OR(LEFT(TH!L888,2)="15",LEFT(TH!M888,2)="15"),'152-CT'!$J$8=TH!F888),"x","")</f>
        <v/>
      </c>
      <c r="Y888" s="51" t="str">
        <f>IF(AND(OR(LEFT(TH!L888,2)="15",LEFT(TH!M888,2)="15"),TK!$E$7=TH!F888),"x","")</f>
        <v/>
      </c>
      <c r="Z888" s="51" t="str">
        <f>IF(AND(B888&lt;=NKC!$N$8,B888&gt;=NKC!$M$8),"x","")</f>
        <v/>
      </c>
      <c r="AA888" s="803"/>
      <c r="AB888" s="565"/>
    </row>
    <row r="889" spans="1:31" ht="15.75" customHeight="1">
      <c r="A889" s="804" t="str">
        <f>IF(B889&lt;&gt;"",IF(AND(B889&gt;=_TM1,B889&lt;=_TM2,OR(TH!L889="1111",TH!M889="1111")),TH!D889,""),"")</f>
        <v/>
      </c>
      <c r="B889" s="36">
        <f t="shared" si="57"/>
        <v>10</v>
      </c>
      <c r="C889" s="189">
        <f t="shared" si="58"/>
        <v>42300</v>
      </c>
      <c r="D889" s="189" t="s">
        <v>1356</v>
      </c>
      <c r="E889" s="189">
        <v>42300</v>
      </c>
      <c r="F889" s="190" t="s">
        <v>784</v>
      </c>
      <c r="G889" s="813" t="s">
        <v>782</v>
      </c>
      <c r="H889" s="191" t="s">
        <v>448</v>
      </c>
      <c r="I889" s="243">
        <v>50</v>
      </c>
      <c r="J889" s="243">
        <v>21020</v>
      </c>
      <c r="K889" s="573">
        <f t="shared" si="59"/>
        <v>1051000</v>
      </c>
      <c r="L889" s="574" t="s">
        <v>417</v>
      </c>
      <c r="M889" s="574" t="s">
        <v>8</v>
      </c>
      <c r="N889" s="51" t="str">
        <f>IF(AND('331-CT'!$E$7=TH!H889,OR(L889="331",M889="331")),"331",IF(AND(OR(L889="131",M889="131"),H889='131-CT'!$E$7),"131",""))</f>
        <v/>
      </c>
      <c r="O889" s="51" t="str">
        <f>IF(AND($B889&gt;='111'!$N$11,$B889&lt;='111'!$O$11,OR($L889=$O$7,$M889=$O$7)),"x","")</f>
        <v/>
      </c>
      <c r="P889" s="51" t="str">
        <f>IF(AND($L889=$O$7,$B889&lt;'111'!$N$11),"x","")</f>
        <v/>
      </c>
      <c r="Q889" s="51" t="str">
        <f>IF(AND($M889=$O$7,$B889&lt;'111'!$N$11),"x","")</f>
        <v/>
      </c>
      <c r="R889" s="51" t="str">
        <f>IF(ISERROR(FIND('112'!$M$9,G889,1)),"",IF((AND(FIND('112'!$M$9,G889,1)&gt;=1,$B889&gt;='112'!$N$8,$B889&lt;='112'!$O$8,OR($L889='112'!$I$6,$M889='112'!$I$6))),"x",""))</f>
        <v/>
      </c>
      <c r="S889" s="51" t="str">
        <f>IF(ISERROR(FIND('112'!$M$9,G889,1)),"",IF((AND(LEFT(G889,2)=LEFT('112'!$M$9,2),B889&lt;'112'!$N$8,$L889='112'!$I$6)),"x",""))</f>
        <v/>
      </c>
      <c r="T889" s="51" t="str">
        <f>IF(ISERROR(FIND('112'!$M$9,G889,1)),"",IF((AND(RIGHT(G889,2)=RIGHT('112'!$M$9,2),B889&lt;'112'!$N$8,$M889='112'!$I$6)),"x",""))</f>
        <v/>
      </c>
      <c r="U889" s="51" t="str">
        <f>IF(AND(L889="154",'154'!$O$5&lt;=B889,'154'!$P$5&gt;=B889),"154",IF(AND(L889="632",'632'!$L$5&lt;=B889,'632'!$M$5&gt;=B889),"632",IF(AND(L889="642",'642'!$N$5&lt;=B889,'642'!$O$5&gt;=B889),"642",IF(AND(L889="641",'641'!$N$5&lt;=B889,'641'!$O$5&gt;=B889),"641",""))))</f>
        <v/>
      </c>
      <c r="V889" s="51" t="str">
        <f>IF(OR(TH!L889=TH!$V$7,M889=TH!$V$7),"x","")</f>
        <v/>
      </c>
      <c r="W889" s="51" t="str">
        <f>IF(AND(B889&gt;='IN-NX'!$P$3,B889&lt;='IN-NX'!$Q$3,'IN-NX'!$D$7=D889,OR(LEFT(L889,2)="15",AND(LEFT(M889,2)&lt;&gt;"15",LEFT(M889,2)&lt;&gt;"33"))),"x","")</f>
        <v/>
      </c>
      <c r="X889" s="51" t="str">
        <f>IF(AND(OR(LEFT(TH!L889,2)="15",LEFT(TH!M889,2)="15"),'152-CT'!$J$8=TH!F889),"x","")</f>
        <v/>
      </c>
      <c r="Y889" s="51" t="str">
        <f>IF(AND(OR(LEFT(TH!L889,2)="15",LEFT(TH!M889,2)="15"),TK!$E$7=TH!F889),"x","")</f>
        <v/>
      </c>
      <c r="Z889" s="51" t="str">
        <f>IF(AND(B889&lt;=NKC!$N$8,B889&gt;=NKC!$M$8),"x","")</f>
        <v/>
      </c>
      <c r="AA889" s="803"/>
      <c r="AB889" s="565"/>
    </row>
    <row r="890" spans="1:31" ht="15.75" customHeight="1">
      <c r="A890" s="804" t="str">
        <f>IF(B890&lt;&gt;"",IF(AND(B890&gt;=_TM1,B890&lt;=_TM2,OR(TH!L890="1111",TH!M890="1111")),TH!D890,""),"")</f>
        <v/>
      </c>
      <c r="B890" s="36">
        <f t="shared" si="57"/>
        <v>10</v>
      </c>
      <c r="C890" s="189">
        <f t="shared" si="58"/>
        <v>42300</v>
      </c>
      <c r="D890" s="189" t="s">
        <v>1356</v>
      </c>
      <c r="E890" s="189">
        <v>42300</v>
      </c>
      <c r="F890" s="190" t="s">
        <v>785</v>
      </c>
      <c r="G890" s="813" t="s">
        <v>782</v>
      </c>
      <c r="H890" s="191" t="s">
        <v>448</v>
      </c>
      <c r="I890" s="243">
        <v>60</v>
      </c>
      <c r="J890" s="243">
        <v>18338</v>
      </c>
      <c r="K890" s="573">
        <f t="shared" si="59"/>
        <v>1100280</v>
      </c>
      <c r="L890" s="574" t="s">
        <v>417</v>
      </c>
      <c r="M890" s="574" t="s">
        <v>8</v>
      </c>
      <c r="N890" s="51" t="str">
        <f>IF(AND('331-CT'!$E$7=TH!H890,OR(L890="331",M890="331")),"331",IF(AND(OR(L890="131",M890="131"),H890='131-CT'!$E$7),"131",""))</f>
        <v/>
      </c>
      <c r="O890" s="51" t="str">
        <f>IF(AND($B890&gt;='111'!$N$11,$B890&lt;='111'!$O$11,OR($L890=$O$7,$M890=$O$7)),"x","")</f>
        <v/>
      </c>
      <c r="P890" s="51" t="str">
        <f>IF(AND($L890=$O$7,$B890&lt;'111'!$N$11),"x","")</f>
        <v/>
      </c>
      <c r="Q890" s="51" t="str">
        <f>IF(AND($M890=$O$7,$B890&lt;'111'!$N$11),"x","")</f>
        <v/>
      </c>
      <c r="R890" s="51" t="str">
        <f>IF(ISERROR(FIND('112'!$M$9,G890,1)),"",IF((AND(FIND('112'!$M$9,G890,1)&gt;=1,$B890&gt;='112'!$N$8,$B890&lt;='112'!$O$8,OR($L890='112'!$I$6,$M890='112'!$I$6))),"x",""))</f>
        <v/>
      </c>
      <c r="S890" s="51" t="str">
        <f>IF(ISERROR(FIND('112'!$M$9,G890,1)),"",IF((AND(LEFT(G890,2)=LEFT('112'!$M$9,2),B890&lt;'112'!$N$8,$L890='112'!$I$6)),"x",""))</f>
        <v/>
      </c>
      <c r="T890" s="51" t="str">
        <f>IF(ISERROR(FIND('112'!$M$9,G890,1)),"",IF((AND(RIGHT(G890,2)=RIGHT('112'!$M$9,2),B890&lt;'112'!$N$8,$M890='112'!$I$6)),"x",""))</f>
        <v/>
      </c>
      <c r="U890" s="51" t="str">
        <f>IF(AND(L890="154",'154'!$O$5&lt;=B890,'154'!$P$5&gt;=B890),"154",IF(AND(L890="632",'632'!$L$5&lt;=B890,'632'!$M$5&gt;=B890),"632",IF(AND(L890="642",'642'!$N$5&lt;=B890,'642'!$O$5&gt;=B890),"642",IF(AND(L890="641",'641'!$N$5&lt;=B890,'641'!$O$5&gt;=B890),"641",""))))</f>
        <v/>
      </c>
      <c r="V890" s="51" t="str">
        <f>IF(OR(TH!L890=TH!$V$7,M890=TH!$V$7),"x","")</f>
        <v/>
      </c>
      <c r="W890" s="51" t="str">
        <f>IF(AND(B890&gt;='IN-NX'!$P$3,B890&lt;='IN-NX'!$Q$3,'IN-NX'!$D$7=D890,OR(LEFT(L890,2)="15",AND(LEFT(M890,2)&lt;&gt;"15",LEFT(M890,2)&lt;&gt;"33"))),"x","")</f>
        <v/>
      </c>
      <c r="X890" s="51" t="str">
        <f>IF(AND(OR(LEFT(TH!L890,2)="15",LEFT(TH!M890,2)="15"),'152-CT'!$J$8=TH!F890),"x","")</f>
        <v/>
      </c>
      <c r="Y890" s="51" t="str">
        <f>IF(AND(OR(LEFT(TH!L890,2)="15",LEFT(TH!M890,2)="15"),TK!$E$7=TH!F890),"x","")</f>
        <v/>
      </c>
      <c r="Z890" s="51" t="str">
        <f>IF(AND(B890&lt;=NKC!$N$8,B890&gt;=NKC!$M$8),"x","")</f>
        <v/>
      </c>
      <c r="AA890" s="803"/>
      <c r="AB890" s="565"/>
    </row>
    <row r="891" spans="1:31" ht="15.75" customHeight="1">
      <c r="A891" s="804" t="str">
        <f>IF(B891&lt;&gt;"",IF(AND(B891&gt;=_TM1,B891&lt;=_TM2,OR(TH!L891="1111",TH!M891="1111")),TH!D891,""),"")</f>
        <v/>
      </c>
      <c r="B891" s="36">
        <f t="shared" si="57"/>
        <v>10</v>
      </c>
      <c r="C891" s="189">
        <f t="shared" si="58"/>
        <v>42300</v>
      </c>
      <c r="D891" s="189" t="s">
        <v>1356</v>
      </c>
      <c r="E891" s="189">
        <v>42300</v>
      </c>
      <c r="F891" s="190" t="s">
        <v>786</v>
      </c>
      <c r="G891" s="813" t="s">
        <v>782</v>
      </c>
      <c r="H891" s="191" t="s">
        <v>448</v>
      </c>
      <c r="I891" s="243">
        <v>15</v>
      </c>
      <c r="J891" s="243">
        <v>24472</v>
      </c>
      <c r="K891" s="573">
        <f t="shared" si="59"/>
        <v>367080</v>
      </c>
      <c r="L891" s="574" t="s">
        <v>417</v>
      </c>
      <c r="M891" s="574" t="s">
        <v>8</v>
      </c>
      <c r="N891" s="51" t="str">
        <f>IF(AND('331-CT'!$E$7=TH!H891,OR(L891="331",M891="331")),"331",IF(AND(OR(L891="131",M891="131"),H891='131-CT'!$E$7),"131",""))</f>
        <v/>
      </c>
      <c r="O891" s="51" t="str">
        <f>IF(AND($B891&gt;='111'!$N$11,$B891&lt;='111'!$O$11,OR($L891=$O$7,$M891=$O$7)),"x","")</f>
        <v/>
      </c>
      <c r="P891" s="51" t="str">
        <f>IF(AND($L891=$O$7,$B891&lt;'111'!$N$11),"x","")</f>
        <v/>
      </c>
      <c r="Q891" s="51" t="str">
        <f>IF(AND($M891=$O$7,$B891&lt;'111'!$N$11),"x","")</f>
        <v/>
      </c>
      <c r="R891" s="51" t="str">
        <f>IF(ISERROR(FIND('112'!$M$9,G891,1)),"",IF((AND(FIND('112'!$M$9,G891,1)&gt;=1,$B891&gt;='112'!$N$8,$B891&lt;='112'!$O$8,OR($L891='112'!$I$6,$M891='112'!$I$6))),"x",""))</f>
        <v/>
      </c>
      <c r="S891" s="51" t="str">
        <f>IF(ISERROR(FIND('112'!$M$9,G891,1)),"",IF((AND(LEFT(G891,2)=LEFT('112'!$M$9,2),B891&lt;'112'!$N$8,$L891='112'!$I$6)),"x",""))</f>
        <v/>
      </c>
      <c r="T891" s="51" t="str">
        <f>IF(ISERROR(FIND('112'!$M$9,G891,1)),"",IF((AND(RIGHT(G891,2)=RIGHT('112'!$M$9,2),B891&lt;'112'!$N$8,$M891='112'!$I$6)),"x",""))</f>
        <v/>
      </c>
      <c r="U891" s="51" t="str">
        <f>IF(AND(L891="154",'154'!$O$5&lt;=B891,'154'!$P$5&gt;=B891),"154",IF(AND(L891="632",'632'!$L$5&lt;=B891,'632'!$M$5&gt;=B891),"632",IF(AND(L891="642",'642'!$N$5&lt;=B891,'642'!$O$5&gt;=B891),"642",IF(AND(L891="641",'641'!$N$5&lt;=B891,'641'!$O$5&gt;=B891),"641",""))))</f>
        <v/>
      </c>
      <c r="V891" s="51" t="str">
        <f>IF(OR(TH!L891=TH!$V$7,M891=TH!$V$7),"x","")</f>
        <v/>
      </c>
      <c r="W891" s="51" t="str">
        <f>IF(AND(B891&gt;='IN-NX'!$P$3,B891&lt;='IN-NX'!$Q$3,'IN-NX'!$D$7=D891,OR(LEFT(L891,2)="15",AND(LEFT(M891,2)&lt;&gt;"15",LEFT(M891,2)&lt;&gt;"33"))),"x","")</f>
        <v/>
      </c>
      <c r="X891" s="51" t="str">
        <f>IF(AND(OR(LEFT(TH!L891,2)="15",LEFT(TH!M891,2)="15"),'152-CT'!$J$8=TH!F891),"x","")</f>
        <v/>
      </c>
      <c r="Y891" s="51" t="str">
        <f>IF(AND(OR(LEFT(TH!L891,2)="15",LEFT(TH!M891,2)="15"),TK!$E$7=TH!F891),"x","")</f>
        <v/>
      </c>
      <c r="Z891" s="51" t="str">
        <f>IF(AND(B891&lt;=NKC!$N$8,B891&gt;=NKC!$M$8),"x","")</f>
        <v/>
      </c>
      <c r="AA891" s="803"/>
      <c r="AB891" s="565"/>
    </row>
    <row r="892" spans="1:31" ht="15.75" customHeight="1">
      <c r="A892" s="804" t="str">
        <f>IF(B892&lt;&gt;"",IF(AND(B892&gt;=_TM1,B892&lt;=_TM2,OR(TH!L892="1111",TH!M892="1111")),TH!D892,""),"")</f>
        <v/>
      </c>
      <c r="B892" s="36">
        <f t="shared" si="57"/>
        <v>10</v>
      </c>
      <c r="C892" s="189">
        <f t="shared" si="58"/>
        <v>42300</v>
      </c>
      <c r="D892" s="189" t="s">
        <v>1356</v>
      </c>
      <c r="E892" s="189">
        <v>42300</v>
      </c>
      <c r="F892" s="190" t="s">
        <v>787</v>
      </c>
      <c r="G892" s="813" t="s">
        <v>782</v>
      </c>
      <c r="H892" s="191" t="s">
        <v>448</v>
      </c>
      <c r="I892" s="243">
        <v>15</v>
      </c>
      <c r="J892" s="243">
        <v>24086</v>
      </c>
      <c r="K892" s="573">
        <f t="shared" si="59"/>
        <v>361290</v>
      </c>
      <c r="L892" s="574" t="s">
        <v>417</v>
      </c>
      <c r="M892" s="574" t="s">
        <v>8</v>
      </c>
      <c r="N892" s="51" t="str">
        <f>IF(AND('331-CT'!$E$7=TH!H892,OR(L892="331",M892="331")),"331",IF(AND(OR(L892="131",M892="131"),H892='131-CT'!$E$7),"131",""))</f>
        <v/>
      </c>
      <c r="O892" s="51" t="str">
        <f>IF(AND($B892&gt;='111'!$N$11,$B892&lt;='111'!$O$11,OR($L892=$O$7,$M892=$O$7)),"x","")</f>
        <v/>
      </c>
      <c r="P892" s="51" t="str">
        <f>IF(AND($L892=$O$7,$B892&lt;'111'!$N$11),"x","")</f>
        <v/>
      </c>
      <c r="Q892" s="51" t="str">
        <f>IF(AND($M892=$O$7,$B892&lt;'111'!$N$11),"x","")</f>
        <v/>
      </c>
      <c r="R892" s="51" t="str">
        <f>IF(ISERROR(FIND('112'!$M$9,G892,1)),"",IF((AND(FIND('112'!$M$9,G892,1)&gt;=1,$B892&gt;='112'!$N$8,$B892&lt;='112'!$O$8,OR($L892='112'!$I$6,$M892='112'!$I$6))),"x",""))</f>
        <v/>
      </c>
      <c r="S892" s="51" t="str">
        <f>IF(ISERROR(FIND('112'!$M$9,G892,1)),"",IF((AND(LEFT(G892,2)=LEFT('112'!$M$9,2),B892&lt;'112'!$N$8,$L892='112'!$I$6)),"x",""))</f>
        <v/>
      </c>
      <c r="T892" s="51" t="str">
        <f>IF(ISERROR(FIND('112'!$M$9,G892,1)),"",IF((AND(RIGHT(G892,2)=RIGHT('112'!$M$9,2),B892&lt;'112'!$N$8,$M892='112'!$I$6)),"x",""))</f>
        <v/>
      </c>
      <c r="U892" s="51" t="str">
        <f>IF(AND(L892="154",'154'!$O$5&lt;=B892,'154'!$P$5&gt;=B892),"154",IF(AND(L892="632",'632'!$L$5&lt;=B892,'632'!$M$5&gt;=B892),"632",IF(AND(L892="642",'642'!$N$5&lt;=B892,'642'!$O$5&gt;=B892),"642",IF(AND(L892="641",'641'!$N$5&lt;=B892,'641'!$O$5&gt;=B892),"641",""))))</f>
        <v/>
      </c>
      <c r="V892" s="51" t="str">
        <f>IF(OR(TH!L892=TH!$V$7,M892=TH!$V$7),"x","")</f>
        <v/>
      </c>
      <c r="W892" s="51" t="str">
        <f>IF(AND(B892&gt;='IN-NX'!$P$3,B892&lt;='IN-NX'!$Q$3,'IN-NX'!$D$7=D892,OR(LEFT(L892,2)="15",AND(LEFT(M892,2)&lt;&gt;"15",LEFT(M892,2)&lt;&gt;"33"))),"x","")</f>
        <v/>
      </c>
      <c r="X892" s="51" t="str">
        <f>IF(AND(OR(LEFT(TH!L892,2)="15",LEFT(TH!M892,2)="15"),'152-CT'!$J$8=TH!F892),"x","")</f>
        <v/>
      </c>
      <c r="Y892" s="51" t="str">
        <f>IF(AND(OR(LEFT(TH!L892,2)="15",LEFT(TH!M892,2)="15"),TK!$E$7=TH!F892),"x","")</f>
        <v/>
      </c>
      <c r="Z892" s="51" t="str">
        <f>IF(AND(B892&lt;=NKC!$N$8,B892&gt;=NKC!$M$8),"x","")</f>
        <v/>
      </c>
      <c r="AA892" s="803"/>
      <c r="AB892" s="565"/>
    </row>
    <row r="893" spans="1:31" ht="15.75" customHeight="1">
      <c r="A893" s="804" t="str">
        <f>IF(B893&lt;&gt;"",IF(AND(B893&gt;=_TM1,B893&lt;=_TM2,OR(TH!L893="1111",TH!M893="1111")),TH!D893,""),"")</f>
        <v/>
      </c>
      <c r="B893" s="36">
        <f t="shared" si="57"/>
        <v>10</v>
      </c>
      <c r="C893" s="189">
        <f t="shared" si="58"/>
        <v>42300</v>
      </c>
      <c r="D893" s="189" t="s">
        <v>1356</v>
      </c>
      <c r="E893" s="189">
        <v>42300</v>
      </c>
      <c r="F893" s="190" t="s">
        <v>788</v>
      </c>
      <c r="G893" s="813" t="s">
        <v>782</v>
      </c>
      <c r="H893" s="191" t="s">
        <v>448</v>
      </c>
      <c r="I893" s="243">
        <v>10</v>
      </c>
      <c r="J893" s="243">
        <v>30912</v>
      </c>
      <c r="K893" s="573">
        <f t="shared" si="59"/>
        <v>309120</v>
      </c>
      <c r="L893" s="574" t="s">
        <v>417</v>
      </c>
      <c r="M893" s="574" t="s">
        <v>8</v>
      </c>
      <c r="N893" s="51" t="str">
        <f>IF(AND('331-CT'!$E$7=TH!H893,OR(L893="331",M893="331")),"331",IF(AND(OR(L893="131",M893="131"),H893='131-CT'!$E$7),"131",""))</f>
        <v/>
      </c>
      <c r="O893" s="51" t="str">
        <f>IF(AND($B893&gt;='111'!$N$11,$B893&lt;='111'!$O$11,OR($L893=$O$7,$M893=$O$7)),"x","")</f>
        <v/>
      </c>
      <c r="P893" s="51" t="str">
        <f>IF(AND($L893=$O$7,$B893&lt;'111'!$N$11),"x","")</f>
        <v/>
      </c>
      <c r="Q893" s="51" t="str">
        <f>IF(AND($M893=$O$7,$B893&lt;'111'!$N$11),"x","")</f>
        <v/>
      </c>
      <c r="R893" s="51" t="str">
        <f>IF(ISERROR(FIND('112'!$M$9,G893,1)),"",IF((AND(FIND('112'!$M$9,G893,1)&gt;=1,$B893&gt;='112'!$N$8,$B893&lt;='112'!$O$8,OR($L893='112'!$I$6,$M893='112'!$I$6))),"x",""))</f>
        <v/>
      </c>
      <c r="S893" s="51" t="str">
        <f>IF(ISERROR(FIND('112'!$M$9,G893,1)),"",IF((AND(LEFT(G893,2)=LEFT('112'!$M$9,2),B893&lt;'112'!$N$8,$L893='112'!$I$6)),"x",""))</f>
        <v/>
      </c>
      <c r="T893" s="51" t="str">
        <f>IF(ISERROR(FIND('112'!$M$9,G893,1)),"",IF((AND(RIGHT(G893,2)=RIGHT('112'!$M$9,2),B893&lt;'112'!$N$8,$M893='112'!$I$6)),"x",""))</f>
        <v/>
      </c>
      <c r="U893" s="51" t="str">
        <f>IF(AND(L893="154",'154'!$O$5&lt;=B893,'154'!$P$5&gt;=B893),"154",IF(AND(L893="632",'632'!$L$5&lt;=B893,'632'!$M$5&gt;=B893),"632",IF(AND(L893="642",'642'!$N$5&lt;=B893,'642'!$O$5&gt;=B893),"642",IF(AND(L893="641",'641'!$N$5&lt;=B893,'641'!$O$5&gt;=B893),"641",""))))</f>
        <v/>
      </c>
      <c r="V893" s="51" t="str">
        <f>IF(OR(TH!L893=TH!$V$7,M893=TH!$V$7),"x","")</f>
        <v/>
      </c>
      <c r="W893" s="51" t="str">
        <f>IF(AND(B893&gt;='IN-NX'!$P$3,B893&lt;='IN-NX'!$Q$3,'IN-NX'!$D$7=D893,OR(LEFT(L893,2)="15",AND(LEFT(M893,2)&lt;&gt;"15",LEFT(M893,2)&lt;&gt;"33"))),"x","")</f>
        <v/>
      </c>
      <c r="X893" s="51" t="str">
        <f>IF(AND(OR(LEFT(TH!L893,2)="15",LEFT(TH!M893,2)="15"),'152-CT'!$J$8=TH!F893),"x","")</f>
        <v/>
      </c>
      <c r="Y893" s="51" t="str">
        <f>IF(AND(OR(LEFT(TH!L893,2)="15",LEFT(TH!M893,2)="15"),TK!$E$7=TH!F893),"x","")</f>
        <v/>
      </c>
      <c r="Z893" s="51" t="str">
        <f>IF(AND(B893&lt;=NKC!$N$8,B893&gt;=NKC!$M$8),"x","")</f>
        <v/>
      </c>
      <c r="AA893" s="803"/>
      <c r="AB893" s="565"/>
    </row>
    <row r="894" spans="1:31" ht="15.75" customHeight="1">
      <c r="A894" s="804" t="str">
        <f>IF(B894&lt;&gt;"",IF(AND(B894&gt;=_TM1,B894&lt;=_TM2,OR(TH!L894="1111",TH!M894="1111")),TH!D894,""),"")</f>
        <v/>
      </c>
      <c r="B894" s="36">
        <f t="shared" si="57"/>
        <v>10</v>
      </c>
      <c r="C894" s="189">
        <f t="shared" si="58"/>
        <v>42300</v>
      </c>
      <c r="D894" s="189" t="s">
        <v>1356</v>
      </c>
      <c r="E894" s="189">
        <v>42300</v>
      </c>
      <c r="F894" s="190" t="s">
        <v>789</v>
      </c>
      <c r="G894" s="813" t="s">
        <v>782</v>
      </c>
      <c r="H894" s="191" t="s">
        <v>448</v>
      </c>
      <c r="I894" s="243">
        <v>15</v>
      </c>
      <c r="J894" s="243">
        <v>28336</v>
      </c>
      <c r="K894" s="573">
        <f t="shared" si="59"/>
        <v>425040</v>
      </c>
      <c r="L894" s="574" t="s">
        <v>417</v>
      </c>
      <c r="M894" s="574" t="s">
        <v>8</v>
      </c>
      <c r="N894" s="51" t="str">
        <f>IF(AND('331-CT'!$E$7=TH!H894,OR(L894="331",M894="331")),"331",IF(AND(OR(L894="131",M894="131"),H894='131-CT'!$E$7),"131",""))</f>
        <v/>
      </c>
      <c r="O894" s="51" t="str">
        <f>IF(AND($B894&gt;='111'!$N$11,$B894&lt;='111'!$O$11,OR($L894=$O$7,$M894=$O$7)),"x","")</f>
        <v/>
      </c>
      <c r="P894" s="51" t="str">
        <f>IF(AND($L894=$O$7,$B894&lt;'111'!$N$11),"x","")</f>
        <v/>
      </c>
      <c r="Q894" s="51" t="str">
        <f>IF(AND($M894=$O$7,$B894&lt;'111'!$N$11),"x","")</f>
        <v/>
      </c>
      <c r="R894" s="51" t="str">
        <f>IF(ISERROR(FIND('112'!$M$9,G894,1)),"",IF((AND(FIND('112'!$M$9,G894,1)&gt;=1,$B894&gt;='112'!$N$8,$B894&lt;='112'!$O$8,OR($L894='112'!$I$6,$M894='112'!$I$6))),"x",""))</f>
        <v/>
      </c>
      <c r="S894" s="51" t="str">
        <f>IF(ISERROR(FIND('112'!$M$9,G894,1)),"",IF((AND(LEFT(G894,2)=LEFT('112'!$M$9,2),B894&lt;'112'!$N$8,$L894='112'!$I$6)),"x",""))</f>
        <v/>
      </c>
      <c r="T894" s="51" t="str">
        <f>IF(ISERROR(FIND('112'!$M$9,G894,1)),"",IF((AND(RIGHT(G894,2)=RIGHT('112'!$M$9,2),B894&lt;'112'!$N$8,$M894='112'!$I$6)),"x",""))</f>
        <v/>
      </c>
      <c r="U894" s="51" t="str">
        <f>IF(AND(L894="154",'154'!$O$5&lt;=B894,'154'!$P$5&gt;=B894),"154",IF(AND(L894="632",'632'!$L$5&lt;=B894,'632'!$M$5&gt;=B894),"632",IF(AND(L894="642",'642'!$N$5&lt;=B894,'642'!$O$5&gt;=B894),"642",IF(AND(L894="641",'641'!$N$5&lt;=B894,'641'!$O$5&gt;=B894),"641",""))))</f>
        <v/>
      </c>
      <c r="V894" s="51" t="str">
        <f>IF(OR(TH!L894=TH!$V$7,M894=TH!$V$7),"x","")</f>
        <v/>
      </c>
      <c r="W894" s="51" t="str">
        <f>IF(AND(B894&gt;='IN-NX'!$P$3,B894&lt;='IN-NX'!$Q$3,'IN-NX'!$D$7=D894,OR(LEFT(L894,2)="15",AND(LEFT(M894,2)&lt;&gt;"15",LEFT(M894,2)&lt;&gt;"33"))),"x","")</f>
        <v/>
      </c>
      <c r="X894" s="51" t="str">
        <f>IF(AND(OR(LEFT(TH!L894,2)="15",LEFT(TH!M894,2)="15"),'152-CT'!$J$8=TH!F894),"x","")</f>
        <v/>
      </c>
      <c r="Y894" s="51" t="str">
        <f>IF(AND(OR(LEFT(TH!L894,2)="15",LEFT(TH!M894,2)="15"),TK!$E$7=TH!F894),"x","")</f>
        <v/>
      </c>
      <c r="Z894" s="51" t="str">
        <f>IF(AND(B894&lt;=NKC!$N$8,B894&gt;=NKC!$M$8),"x","")</f>
        <v/>
      </c>
      <c r="AA894" s="803"/>
      <c r="AB894" s="565"/>
    </row>
    <row r="895" spans="1:31" ht="15.75" customHeight="1">
      <c r="A895" s="804" t="str">
        <f>IF(B895&lt;&gt;"",IF(AND(B895&gt;=_TM1,B895&lt;=_TM2,OR(TH!L895="1111",TH!M895="1111")),TH!D895,""),"")</f>
        <v/>
      </c>
      <c r="B895" s="36">
        <f t="shared" si="57"/>
        <v>10</v>
      </c>
      <c r="C895" s="189">
        <f t="shared" si="58"/>
        <v>42300</v>
      </c>
      <c r="D895" s="189" t="s">
        <v>1356</v>
      </c>
      <c r="E895" s="189">
        <v>42300</v>
      </c>
      <c r="F895" s="190" t="s">
        <v>790</v>
      </c>
      <c r="G895" s="813" t="s">
        <v>782</v>
      </c>
      <c r="H895" s="191" t="s">
        <v>448</v>
      </c>
      <c r="I895" s="243">
        <v>11</v>
      </c>
      <c r="J895" s="243">
        <v>22540</v>
      </c>
      <c r="K895" s="573">
        <f t="shared" si="59"/>
        <v>247940</v>
      </c>
      <c r="L895" s="574" t="s">
        <v>417</v>
      </c>
      <c r="M895" s="574" t="s">
        <v>8</v>
      </c>
      <c r="N895" s="51" t="str">
        <f>IF(AND('331-CT'!$E$7=TH!H895,OR(L895="331",M895="331")),"331",IF(AND(OR(L895="131",M895="131"),H895='131-CT'!$E$7),"131",""))</f>
        <v/>
      </c>
      <c r="O895" s="51" t="str">
        <f>IF(AND($B895&gt;='111'!$N$11,$B895&lt;='111'!$O$11,OR($L895=$O$7,$M895=$O$7)),"x","")</f>
        <v/>
      </c>
      <c r="P895" s="51" t="str">
        <f>IF(AND($L895=$O$7,$B895&lt;'111'!$N$11),"x","")</f>
        <v/>
      </c>
      <c r="Q895" s="51" t="str">
        <f>IF(AND($M895=$O$7,$B895&lt;'111'!$N$11),"x","")</f>
        <v/>
      </c>
      <c r="R895" s="51" t="str">
        <f>IF(ISERROR(FIND('112'!$M$9,G895,1)),"",IF((AND(FIND('112'!$M$9,G895,1)&gt;=1,$B895&gt;='112'!$N$8,$B895&lt;='112'!$O$8,OR($L895='112'!$I$6,$M895='112'!$I$6))),"x",""))</f>
        <v/>
      </c>
      <c r="S895" s="51" t="str">
        <f>IF(ISERROR(FIND('112'!$M$9,G895,1)),"",IF((AND(LEFT(G895,2)=LEFT('112'!$M$9,2),B895&lt;'112'!$N$8,$L895='112'!$I$6)),"x",""))</f>
        <v/>
      </c>
      <c r="T895" s="51" t="str">
        <f>IF(ISERROR(FIND('112'!$M$9,G895,1)),"",IF((AND(RIGHT(G895,2)=RIGHT('112'!$M$9,2),B895&lt;'112'!$N$8,$M895='112'!$I$6)),"x",""))</f>
        <v/>
      </c>
      <c r="U895" s="51" t="str">
        <f>IF(AND(L895="154",'154'!$O$5&lt;=B895,'154'!$P$5&gt;=B895),"154",IF(AND(L895="632",'632'!$L$5&lt;=B895,'632'!$M$5&gt;=B895),"632",IF(AND(L895="642",'642'!$N$5&lt;=B895,'642'!$O$5&gt;=B895),"642",IF(AND(L895="641",'641'!$N$5&lt;=B895,'641'!$O$5&gt;=B895),"641",""))))</f>
        <v/>
      </c>
      <c r="V895" s="51" t="str">
        <f>IF(OR(TH!L895=TH!$V$7,M895=TH!$V$7),"x","")</f>
        <v/>
      </c>
      <c r="W895" s="51" t="str">
        <f>IF(AND(B895&gt;='IN-NX'!$P$3,B895&lt;='IN-NX'!$Q$3,'IN-NX'!$D$7=D895,OR(LEFT(L895,2)="15",AND(LEFT(M895,2)&lt;&gt;"15",LEFT(M895,2)&lt;&gt;"33"))),"x","")</f>
        <v/>
      </c>
      <c r="X895" s="51" t="str">
        <f>IF(AND(OR(LEFT(TH!L895,2)="15",LEFT(TH!M895,2)="15"),'152-CT'!$J$8=TH!F895),"x","")</f>
        <v/>
      </c>
      <c r="Y895" s="51" t="str">
        <f>IF(AND(OR(LEFT(TH!L895,2)="15",LEFT(TH!M895,2)="15"),TK!$E$7=TH!F895),"x","")</f>
        <v/>
      </c>
      <c r="Z895" s="51" t="str">
        <f>IF(AND(B895&lt;=NKC!$N$8,B895&gt;=NKC!$M$8),"x","")</f>
        <v/>
      </c>
      <c r="AA895" s="803"/>
      <c r="AB895" s="565"/>
    </row>
    <row r="896" spans="1:31" ht="15.75" customHeight="1">
      <c r="A896" s="804" t="str">
        <f>IF(B896&lt;&gt;"",IF(AND(B896&gt;=_TM1,B896&lt;=_TM2,OR(TH!L896="1111",TH!M896="1111")),TH!D896,""),"")</f>
        <v/>
      </c>
      <c r="B896" s="36">
        <f t="shared" si="57"/>
        <v>10</v>
      </c>
      <c r="C896" s="189">
        <f t="shared" si="58"/>
        <v>42300</v>
      </c>
      <c r="D896" s="189" t="s">
        <v>1356</v>
      </c>
      <c r="E896" s="189">
        <v>42300</v>
      </c>
      <c r="F896" s="190" t="s">
        <v>791</v>
      </c>
      <c r="G896" s="813" t="s">
        <v>782</v>
      </c>
      <c r="H896" s="191" t="s">
        <v>448</v>
      </c>
      <c r="I896" s="243">
        <v>11</v>
      </c>
      <c r="J896" s="243">
        <v>28722</v>
      </c>
      <c r="K896" s="573">
        <f t="shared" si="59"/>
        <v>315942</v>
      </c>
      <c r="L896" s="574" t="s">
        <v>417</v>
      </c>
      <c r="M896" s="574" t="s">
        <v>8</v>
      </c>
      <c r="N896" s="51" t="str">
        <f>IF(AND('331-CT'!$E$7=TH!H896,OR(L896="331",M896="331")),"331",IF(AND(OR(L896="131",M896="131"),H896='131-CT'!$E$7),"131",""))</f>
        <v/>
      </c>
      <c r="O896" s="51" t="str">
        <f>IF(AND($B896&gt;='111'!$N$11,$B896&lt;='111'!$O$11,OR($L896=$O$7,$M896=$O$7)),"x","")</f>
        <v/>
      </c>
      <c r="P896" s="51" t="str">
        <f>IF(AND($L896=$O$7,$B896&lt;'111'!$N$11),"x","")</f>
        <v/>
      </c>
      <c r="Q896" s="51" t="str">
        <f>IF(AND($M896=$O$7,$B896&lt;'111'!$N$11),"x","")</f>
        <v/>
      </c>
      <c r="R896" s="51" t="str">
        <f>IF(ISERROR(FIND('112'!$M$9,G896,1)),"",IF((AND(FIND('112'!$M$9,G896,1)&gt;=1,$B896&gt;='112'!$N$8,$B896&lt;='112'!$O$8,OR($L896='112'!$I$6,$M896='112'!$I$6))),"x",""))</f>
        <v/>
      </c>
      <c r="S896" s="51" t="str">
        <f>IF(ISERROR(FIND('112'!$M$9,G896,1)),"",IF((AND(LEFT(G896,2)=LEFT('112'!$M$9,2),B896&lt;'112'!$N$8,$L896='112'!$I$6)),"x",""))</f>
        <v/>
      </c>
      <c r="T896" s="51" t="str">
        <f>IF(ISERROR(FIND('112'!$M$9,G896,1)),"",IF((AND(RIGHT(G896,2)=RIGHT('112'!$M$9,2),B896&lt;'112'!$N$8,$M896='112'!$I$6)),"x",""))</f>
        <v/>
      </c>
      <c r="U896" s="51" t="str">
        <f>IF(AND(L896="154",'154'!$O$5&lt;=B896,'154'!$P$5&gt;=B896),"154",IF(AND(L896="632",'632'!$L$5&lt;=B896,'632'!$M$5&gt;=B896),"632",IF(AND(L896="642",'642'!$N$5&lt;=B896,'642'!$O$5&gt;=B896),"642",IF(AND(L896="641",'641'!$N$5&lt;=B896,'641'!$O$5&gt;=B896),"641",""))))</f>
        <v/>
      </c>
      <c r="V896" s="51" t="str">
        <f>IF(OR(TH!L896=TH!$V$7,M896=TH!$V$7),"x","")</f>
        <v/>
      </c>
      <c r="W896" s="51" t="str">
        <f>IF(AND(B896&gt;='IN-NX'!$P$3,B896&lt;='IN-NX'!$Q$3,'IN-NX'!$D$7=D896,OR(LEFT(L896,2)="15",AND(LEFT(M896,2)&lt;&gt;"15",LEFT(M896,2)&lt;&gt;"33"))),"x","")</f>
        <v/>
      </c>
      <c r="X896" s="51" t="str">
        <f>IF(AND(OR(LEFT(TH!L896,2)="15",LEFT(TH!M896,2)="15"),'152-CT'!$J$8=TH!F896),"x","")</f>
        <v/>
      </c>
      <c r="Y896" s="51" t="str">
        <f>IF(AND(OR(LEFT(TH!L896,2)="15",LEFT(TH!M896,2)="15"),TK!$E$7=TH!F896),"x","")</f>
        <v/>
      </c>
      <c r="Z896" s="51" t="str">
        <f>IF(AND(B896&lt;=NKC!$N$8,B896&gt;=NKC!$M$8),"x","")</f>
        <v/>
      </c>
      <c r="AA896" s="803"/>
      <c r="AB896" s="565"/>
    </row>
    <row r="897" spans="1:31" ht="15.75" customHeight="1">
      <c r="A897" s="804" t="str">
        <f>IF(B897&lt;&gt;"",IF(AND(B897&gt;=_TM1,B897&lt;=_TM2,OR(TH!L897="1111",TH!M897="1111")),TH!D897,""),"")</f>
        <v/>
      </c>
      <c r="B897" s="36">
        <f t="shared" si="57"/>
        <v>10</v>
      </c>
      <c r="C897" s="189">
        <f t="shared" si="58"/>
        <v>42300</v>
      </c>
      <c r="D897" s="189" t="s">
        <v>1356</v>
      </c>
      <c r="E897" s="189">
        <v>42300</v>
      </c>
      <c r="F897" s="190" t="s">
        <v>789</v>
      </c>
      <c r="G897" s="813" t="s">
        <v>782</v>
      </c>
      <c r="H897" s="191" t="s">
        <v>448</v>
      </c>
      <c r="I897" s="243">
        <v>8</v>
      </c>
      <c r="J897" s="243">
        <v>28336</v>
      </c>
      <c r="K897" s="573">
        <f t="shared" si="59"/>
        <v>226688</v>
      </c>
      <c r="L897" s="574" t="s">
        <v>417</v>
      </c>
      <c r="M897" s="574" t="s">
        <v>8</v>
      </c>
      <c r="N897" s="51" t="str">
        <f>IF(AND('331-CT'!$E$7=TH!H897,OR(L897="331",M897="331")),"331",IF(AND(OR(L897="131",M897="131"),H897='131-CT'!$E$7),"131",""))</f>
        <v/>
      </c>
      <c r="O897" s="51" t="str">
        <f>IF(AND($B897&gt;='111'!$N$11,$B897&lt;='111'!$O$11,OR($L897=$O$7,$M897=$O$7)),"x","")</f>
        <v/>
      </c>
      <c r="P897" s="51" t="str">
        <f>IF(AND($L897=$O$7,$B897&lt;'111'!$N$11),"x","")</f>
        <v/>
      </c>
      <c r="Q897" s="51" t="str">
        <f>IF(AND($M897=$O$7,$B897&lt;'111'!$N$11),"x","")</f>
        <v/>
      </c>
      <c r="R897" s="51" t="str">
        <f>IF(ISERROR(FIND('112'!$M$9,G897,1)),"",IF((AND(FIND('112'!$M$9,G897,1)&gt;=1,$B897&gt;='112'!$N$8,$B897&lt;='112'!$O$8,OR($L897='112'!$I$6,$M897='112'!$I$6))),"x",""))</f>
        <v/>
      </c>
      <c r="S897" s="51" t="str">
        <f>IF(ISERROR(FIND('112'!$M$9,G897,1)),"",IF((AND(LEFT(G897,2)=LEFT('112'!$M$9,2),B897&lt;'112'!$N$8,$L897='112'!$I$6)),"x",""))</f>
        <v/>
      </c>
      <c r="T897" s="51" t="str">
        <f>IF(ISERROR(FIND('112'!$M$9,G897,1)),"",IF((AND(RIGHT(G897,2)=RIGHT('112'!$M$9,2),B897&lt;'112'!$N$8,$M897='112'!$I$6)),"x",""))</f>
        <v/>
      </c>
      <c r="U897" s="51" t="str">
        <f>IF(AND(L897="154",'154'!$O$5&lt;=B897,'154'!$P$5&gt;=B897),"154",IF(AND(L897="632",'632'!$L$5&lt;=B897,'632'!$M$5&gt;=B897),"632",IF(AND(L897="642",'642'!$N$5&lt;=B897,'642'!$O$5&gt;=B897),"642",IF(AND(L897="641",'641'!$N$5&lt;=B897,'641'!$O$5&gt;=B897),"641",""))))</f>
        <v/>
      </c>
      <c r="V897" s="51" t="str">
        <f>IF(OR(TH!L897=TH!$V$7,M897=TH!$V$7),"x","")</f>
        <v/>
      </c>
      <c r="W897" s="51" t="str">
        <f>IF(AND(B897&gt;='IN-NX'!$P$3,B897&lt;='IN-NX'!$Q$3,'IN-NX'!$D$7=D897,OR(LEFT(L897,2)="15",AND(LEFT(M897,2)&lt;&gt;"15",LEFT(M897,2)&lt;&gt;"33"))),"x","")</f>
        <v/>
      </c>
      <c r="X897" s="51" t="str">
        <f>IF(AND(OR(LEFT(TH!L897,2)="15",LEFT(TH!M897,2)="15"),'152-CT'!$J$8=TH!F897),"x","")</f>
        <v/>
      </c>
      <c r="Y897" s="51" t="str">
        <f>IF(AND(OR(LEFT(TH!L897,2)="15",LEFT(TH!M897,2)="15"),TK!$E$7=TH!F897),"x","")</f>
        <v/>
      </c>
      <c r="Z897" s="51" t="str">
        <f>IF(AND(B897&lt;=NKC!$N$8,B897&gt;=NKC!$M$8),"x","")</f>
        <v/>
      </c>
      <c r="AA897" s="803"/>
      <c r="AB897" s="565"/>
    </row>
    <row r="898" spans="1:31" ht="15.75" customHeight="1">
      <c r="A898" s="804" t="str">
        <f>IF(B898&lt;&gt;"",IF(AND(B898&gt;=_TM1,B898&lt;=_TM2,OR(TH!L898="1111",TH!M898="1111")),TH!D898,""),"")</f>
        <v/>
      </c>
      <c r="B898" s="36">
        <f t="shared" si="57"/>
        <v>10</v>
      </c>
      <c r="C898" s="189">
        <f t="shared" si="58"/>
        <v>42300</v>
      </c>
      <c r="D898" s="189" t="s">
        <v>1361</v>
      </c>
      <c r="E898" s="189">
        <v>42300</v>
      </c>
      <c r="F898" s="922" t="s">
        <v>792</v>
      </c>
      <c r="G898" s="813" t="s">
        <v>782</v>
      </c>
      <c r="H898" s="191" t="s">
        <v>448</v>
      </c>
      <c r="I898" s="243">
        <v>40</v>
      </c>
      <c r="J898" s="243">
        <v>25245</v>
      </c>
      <c r="K898" s="573">
        <f t="shared" si="59"/>
        <v>1009800</v>
      </c>
      <c r="L898" s="574" t="s">
        <v>417</v>
      </c>
      <c r="M898" s="574" t="s">
        <v>8</v>
      </c>
      <c r="N898" s="51" t="str">
        <f>IF(AND('331-CT'!$E$7=TH!H898,OR(L898="331",M898="331")),"331",IF(AND(OR(L898="131",M898="131"),H898='131-CT'!$E$7),"131",""))</f>
        <v/>
      </c>
      <c r="O898" s="51" t="str">
        <f>IF(AND($B898&gt;='111'!$N$11,$B898&lt;='111'!$O$11,OR($L898=$O$7,$M898=$O$7)),"x","")</f>
        <v/>
      </c>
      <c r="P898" s="51" t="str">
        <f>IF(AND($L898=$O$7,$B898&lt;'111'!$N$11),"x","")</f>
        <v/>
      </c>
      <c r="Q898" s="51" t="str">
        <f>IF(AND($M898=$O$7,$B898&lt;'111'!$N$11),"x","")</f>
        <v/>
      </c>
      <c r="R898" s="51" t="str">
        <f>IF(ISERROR(FIND('112'!$M$9,G898,1)),"",IF((AND(FIND('112'!$M$9,G898,1)&gt;=1,$B898&gt;='112'!$N$8,$B898&lt;='112'!$O$8,OR($L898='112'!$I$6,$M898='112'!$I$6))),"x",""))</f>
        <v/>
      </c>
      <c r="S898" s="51" t="str">
        <f>IF(ISERROR(FIND('112'!$M$9,G898,1)),"",IF((AND(LEFT(G898,2)=LEFT('112'!$M$9,2),B898&lt;'112'!$N$8,$L898='112'!$I$6)),"x",""))</f>
        <v/>
      </c>
      <c r="T898" s="51" t="str">
        <f>IF(ISERROR(FIND('112'!$M$9,G898,1)),"",IF((AND(RIGHT(G898,2)=RIGHT('112'!$M$9,2),B898&lt;'112'!$N$8,$M898='112'!$I$6)),"x",""))</f>
        <v/>
      </c>
      <c r="U898" s="51" t="str">
        <f>IF(AND(L898="154",'154'!$O$5&lt;=B898,'154'!$P$5&gt;=B898),"154",IF(AND(L898="632",'632'!$L$5&lt;=B898,'632'!$M$5&gt;=B898),"632",IF(AND(L898="642",'642'!$N$5&lt;=B898,'642'!$O$5&gt;=B898),"642",IF(AND(L898="641",'641'!$N$5&lt;=B898,'641'!$O$5&gt;=B898),"641",""))))</f>
        <v/>
      </c>
      <c r="V898" s="51" t="str">
        <f>IF(OR(TH!L898=TH!$V$7,M898=TH!$V$7),"x","")</f>
        <v/>
      </c>
      <c r="W898" s="51" t="str">
        <f>IF(AND(B898&gt;='IN-NX'!$P$3,B898&lt;='IN-NX'!$Q$3,'IN-NX'!$D$7=D898,OR(LEFT(L898,2)="15",AND(LEFT(M898,2)&lt;&gt;"15",LEFT(M898,2)&lt;&gt;"33"))),"x","")</f>
        <v/>
      </c>
      <c r="X898" s="51" t="str">
        <f>IF(AND(OR(LEFT(TH!L898,2)="15",LEFT(TH!M898,2)="15"),'152-CT'!$J$8=TH!F898),"x","")</f>
        <v/>
      </c>
      <c r="Y898" s="51" t="str">
        <f>IF(AND(OR(LEFT(TH!L898,2)="15",LEFT(TH!M898,2)="15"),TK!$E$7=TH!F898),"x","")</f>
        <v/>
      </c>
      <c r="Z898" s="51" t="str">
        <f>IF(AND(B898&lt;=NKC!$N$8,B898&gt;=NKC!$M$8),"x","")</f>
        <v/>
      </c>
      <c r="AA898" s="803"/>
      <c r="AB898" s="565"/>
    </row>
    <row r="899" spans="1:31" ht="15.75" customHeight="1">
      <c r="A899" s="804" t="str">
        <f>IF(B899&lt;&gt;"",IF(AND(B899&gt;=_TM1,B899&lt;=_TM2,OR(TH!L899="1111",TH!M899="1111")),TH!D899,""),"")</f>
        <v/>
      </c>
      <c r="B899" s="36">
        <f t="shared" si="57"/>
        <v>10</v>
      </c>
      <c r="C899" s="189">
        <f t="shared" si="58"/>
        <v>42300</v>
      </c>
      <c r="D899" s="189" t="s">
        <v>1361</v>
      </c>
      <c r="E899" s="189">
        <v>42300</v>
      </c>
      <c r="F899" s="190" t="s">
        <v>793</v>
      </c>
      <c r="G899" s="813" t="s">
        <v>782</v>
      </c>
      <c r="H899" s="191" t="s">
        <v>448</v>
      </c>
      <c r="I899" s="243">
        <v>15</v>
      </c>
      <c r="J899" s="243">
        <v>29748</v>
      </c>
      <c r="K899" s="573">
        <f t="shared" si="59"/>
        <v>446220</v>
      </c>
      <c r="L899" s="574" t="s">
        <v>417</v>
      </c>
      <c r="M899" s="574" t="s">
        <v>8</v>
      </c>
      <c r="N899" s="51" t="str">
        <f>IF(AND('331-CT'!$E$7=TH!H899,OR(L899="331",M899="331")),"331",IF(AND(OR(L899="131",M899="131"),H899='131-CT'!$E$7),"131",""))</f>
        <v/>
      </c>
      <c r="O899" s="51" t="str">
        <f>IF(AND($B899&gt;='111'!$N$11,$B899&lt;='111'!$O$11,OR($L899=$O$7,$M899=$O$7)),"x","")</f>
        <v/>
      </c>
      <c r="P899" s="51" t="str">
        <f>IF(AND($L899=$O$7,$B899&lt;'111'!$N$11),"x","")</f>
        <v/>
      </c>
      <c r="Q899" s="51" t="str">
        <f>IF(AND($M899=$O$7,$B899&lt;'111'!$N$11),"x","")</f>
        <v/>
      </c>
      <c r="R899" s="51" t="str">
        <f>IF(ISERROR(FIND('112'!$M$9,G899,1)),"",IF((AND(FIND('112'!$M$9,G899,1)&gt;=1,$B899&gt;='112'!$N$8,$B899&lt;='112'!$O$8,OR($L899='112'!$I$6,$M899='112'!$I$6))),"x",""))</f>
        <v/>
      </c>
      <c r="S899" s="51" t="str">
        <f>IF(ISERROR(FIND('112'!$M$9,G899,1)),"",IF((AND(LEFT(G899,2)=LEFT('112'!$M$9,2),B899&lt;'112'!$N$8,$L899='112'!$I$6)),"x",""))</f>
        <v/>
      </c>
      <c r="T899" s="51" t="str">
        <f>IF(ISERROR(FIND('112'!$M$9,G899,1)),"",IF((AND(RIGHT(G899,2)=RIGHT('112'!$M$9,2),B899&lt;'112'!$N$8,$M899='112'!$I$6)),"x",""))</f>
        <v/>
      </c>
      <c r="U899" s="51" t="str">
        <f>IF(AND(L899="154",'154'!$O$5&lt;=B899,'154'!$P$5&gt;=B899),"154",IF(AND(L899="632",'632'!$L$5&lt;=B899,'632'!$M$5&gt;=B899),"632",IF(AND(L899="642",'642'!$N$5&lt;=B899,'642'!$O$5&gt;=B899),"642",IF(AND(L899="641",'641'!$N$5&lt;=B899,'641'!$O$5&gt;=B899),"641",""))))</f>
        <v/>
      </c>
      <c r="V899" s="51" t="str">
        <f>IF(OR(TH!L899=TH!$V$7,M899=TH!$V$7),"x","")</f>
        <v/>
      </c>
      <c r="W899" s="51" t="str">
        <f>IF(AND(B899&gt;='IN-NX'!$P$3,B899&lt;='IN-NX'!$Q$3,'IN-NX'!$D$7=D899,OR(LEFT(L899,2)="15",AND(LEFT(M899,2)&lt;&gt;"15",LEFT(M899,2)&lt;&gt;"33"))),"x","")</f>
        <v/>
      </c>
      <c r="X899" s="51" t="str">
        <f>IF(AND(OR(LEFT(TH!L899,2)="15",LEFT(TH!M899,2)="15"),'152-CT'!$J$8=TH!F899),"x","")</f>
        <v/>
      </c>
      <c r="Y899" s="51" t="str">
        <f>IF(AND(OR(LEFT(TH!L899,2)="15",LEFT(TH!M899,2)="15"),TK!$E$7=TH!F899),"x","")</f>
        <v/>
      </c>
      <c r="Z899" s="51" t="str">
        <f>IF(AND(B899&lt;=NKC!$N$8,B899&gt;=NKC!$M$8),"x","")</f>
        <v/>
      </c>
      <c r="AA899" s="803"/>
      <c r="AB899" s="565"/>
    </row>
    <row r="900" spans="1:31" ht="15.75" customHeight="1">
      <c r="A900" s="804" t="str">
        <f>IF(B900&lt;&gt;"",IF(AND(B900&gt;=_TM1,B900&lt;=_TM2,OR(TH!L900="1111",TH!M900="1111")),TH!D900,""),"")</f>
        <v/>
      </c>
      <c r="B900" s="36">
        <f t="shared" si="57"/>
        <v>10</v>
      </c>
      <c r="C900" s="189">
        <f t="shared" si="58"/>
        <v>42300</v>
      </c>
      <c r="D900" s="189" t="s">
        <v>1361</v>
      </c>
      <c r="E900" s="189">
        <v>42300</v>
      </c>
      <c r="F900" s="190" t="s">
        <v>794</v>
      </c>
      <c r="G900" s="813" t="s">
        <v>782</v>
      </c>
      <c r="H900" s="191" t="s">
        <v>448</v>
      </c>
      <c r="I900" s="243">
        <v>11</v>
      </c>
      <c r="J900" s="243">
        <v>23745</v>
      </c>
      <c r="K900" s="573">
        <f t="shared" si="59"/>
        <v>261195</v>
      </c>
      <c r="L900" s="574" t="s">
        <v>417</v>
      </c>
      <c r="M900" s="574" t="s">
        <v>8</v>
      </c>
      <c r="N900" s="51" t="str">
        <f>IF(AND('331-CT'!$E$7=TH!H900,OR(L900="331",M900="331")),"331",IF(AND(OR(L900="131",M900="131"),H900='131-CT'!$E$7),"131",""))</f>
        <v/>
      </c>
      <c r="O900" s="51" t="str">
        <f>IF(AND($B900&gt;='111'!$N$11,$B900&lt;='111'!$O$11,OR($L900=$O$7,$M900=$O$7)),"x","")</f>
        <v/>
      </c>
      <c r="P900" s="51" t="str">
        <f>IF(AND($L900=$O$7,$B900&lt;'111'!$N$11),"x","")</f>
        <v/>
      </c>
      <c r="Q900" s="51" t="str">
        <f>IF(AND($M900=$O$7,$B900&lt;'111'!$N$11),"x","")</f>
        <v/>
      </c>
      <c r="R900" s="51" t="str">
        <f>IF(ISERROR(FIND('112'!$M$9,G900,1)),"",IF((AND(FIND('112'!$M$9,G900,1)&gt;=1,$B900&gt;='112'!$N$8,$B900&lt;='112'!$O$8,OR($L900='112'!$I$6,$M900='112'!$I$6))),"x",""))</f>
        <v/>
      </c>
      <c r="S900" s="51" t="str">
        <f>IF(ISERROR(FIND('112'!$M$9,G900,1)),"",IF((AND(LEFT(G900,2)=LEFT('112'!$M$9,2),B900&lt;'112'!$N$8,$L900='112'!$I$6)),"x",""))</f>
        <v/>
      </c>
      <c r="T900" s="51" t="str">
        <f>IF(ISERROR(FIND('112'!$M$9,G900,1)),"",IF((AND(RIGHT(G900,2)=RIGHT('112'!$M$9,2),B900&lt;'112'!$N$8,$M900='112'!$I$6)),"x",""))</f>
        <v/>
      </c>
      <c r="U900" s="51" t="str">
        <f>IF(AND(L900="154",'154'!$O$5&lt;=B900,'154'!$P$5&gt;=B900),"154",IF(AND(L900="632",'632'!$L$5&lt;=B900,'632'!$M$5&gt;=B900),"632",IF(AND(L900="642",'642'!$N$5&lt;=B900,'642'!$O$5&gt;=B900),"642",IF(AND(L900="641",'641'!$N$5&lt;=B900,'641'!$O$5&gt;=B900),"641",""))))</f>
        <v/>
      </c>
      <c r="V900" s="51" t="str">
        <f>IF(OR(TH!L900=TH!$V$7,M900=TH!$V$7),"x","")</f>
        <v/>
      </c>
      <c r="W900" s="51" t="str">
        <f>IF(AND(B900&gt;='IN-NX'!$P$3,B900&lt;='IN-NX'!$Q$3,'IN-NX'!$D$7=D900,OR(LEFT(L900,2)="15",AND(LEFT(M900,2)&lt;&gt;"15",LEFT(M900,2)&lt;&gt;"33"))),"x","")</f>
        <v/>
      </c>
      <c r="X900" s="51" t="str">
        <f>IF(AND(OR(LEFT(TH!L900,2)="15",LEFT(TH!M900,2)="15"),'152-CT'!$J$8=TH!F900),"x","")</f>
        <v/>
      </c>
      <c r="Y900" s="51" t="str">
        <f>IF(AND(OR(LEFT(TH!L900,2)="15",LEFT(TH!M900,2)="15"),TK!$E$7=TH!F900),"x","")</f>
        <v/>
      </c>
      <c r="Z900" s="51" t="str">
        <f>IF(AND(B900&lt;=NKC!$N$8,B900&gt;=NKC!$M$8),"x","")</f>
        <v/>
      </c>
      <c r="AA900" s="803"/>
      <c r="AB900" s="565"/>
    </row>
    <row r="901" spans="1:31" ht="15.75" customHeight="1">
      <c r="A901" s="804" t="str">
        <f>IF(B901&lt;&gt;"",IF(AND(B901&gt;=_TM1,B901&lt;=_TM2,OR(TH!L901="1111",TH!M901="1111")),TH!D901,""),"")</f>
        <v/>
      </c>
      <c r="B901" s="36">
        <f t="shared" si="57"/>
        <v>10</v>
      </c>
      <c r="C901" s="189">
        <f t="shared" si="58"/>
        <v>42300</v>
      </c>
      <c r="D901" s="189" t="s">
        <v>1361</v>
      </c>
      <c r="E901" s="189">
        <v>42300</v>
      </c>
      <c r="F901" s="190" t="s">
        <v>795</v>
      </c>
      <c r="G901" s="813" t="s">
        <v>782</v>
      </c>
      <c r="H901" s="191" t="s">
        <v>448</v>
      </c>
      <c r="I901" s="243">
        <v>30</v>
      </c>
      <c r="J901" s="243">
        <v>25999</v>
      </c>
      <c r="K901" s="573">
        <f t="shared" si="59"/>
        <v>779970</v>
      </c>
      <c r="L901" s="574" t="s">
        <v>417</v>
      </c>
      <c r="M901" s="574" t="s">
        <v>8</v>
      </c>
      <c r="N901" s="51" t="str">
        <f>IF(AND('331-CT'!$E$7=TH!H901,OR(L901="331",M901="331")),"331",IF(AND(OR(L901="131",M901="131"),H901='131-CT'!$E$7),"131",""))</f>
        <v/>
      </c>
      <c r="O901" s="51" t="str">
        <f>IF(AND($B901&gt;='111'!$N$11,$B901&lt;='111'!$O$11,OR($L901=$O$7,$M901=$O$7)),"x","")</f>
        <v/>
      </c>
      <c r="P901" s="51" t="str">
        <f>IF(AND($L901=$O$7,$B901&lt;'111'!$N$11),"x","")</f>
        <v/>
      </c>
      <c r="Q901" s="51" t="str">
        <f>IF(AND($M901=$O$7,$B901&lt;'111'!$N$11),"x","")</f>
        <v/>
      </c>
      <c r="R901" s="51" t="str">
        <f>IF(ISERROR(FIND('112'!$M$9,G901,1)),"",IF((AND(FIND('112'!$M$9,G901,1)&gt;=1,$B901&gt;='112'!$N$8,$B901&lt;='112'!$O$8,OR($L901='112'!$I$6,$M901='112'!$I$6))),"x",""))</f>
        <v/>
      </c>
      <c r="S901" s="51" t="str">
        <f>IF(ISERROR(FIND('112'!$M$9,G901,1)),"",IF((AND(LEFT(G901,2)=LEFT('112'!$M$9,2),B901&lt;'112'!$N$8,$L901='112'!$I$6)),"x",""))</f>
        <v/>
      </c>
      <c r="T901" s="51" t="str">
        <f>IF(ISERROR(FIND('112'!$M$9,G901,1)),"",IF((AND(RIGHT(G901,2)=RIGHT('112'!$M$9,2),B901&lt;'112'!$N$8,$M901='112'!$I$6)),"x",""))</f>
        <v/>
      </c>
      <c r="U901" s="51" t="str">
        <f>IF(AND(L901="154",'154'!$O$5&lt;=B901,'154'!$P$5&gt;=B901),"154",IF(AND(L901="632",'632'!$L$5&lt;=B901,'632'!$M$5&gt;=B901),"632",IF(AND(L901="642",'642'!$N$5&lt;=B901,'642'!$O$5&gt;=B901),"642",IF(AND(L901="641",'641'!$N$5&lt;=B901,'641'!$O$5&gt;=B901),"641",""))))</f>
        <v/>
      </c>
      <c r="V901" s="51" t="str">
        <f>IF(OR(TH!L901=TH!$V$7,M901=TH!$V$7),"x","")</f>
        <v/>
      </c>
      <c r="W901" s="51" t="str">
        <f>IF(AND(B901&gt;='IN-NX'!$P$3,B901&lt;='IN-NX'!$Q$3,'IN-NX'!$D$7=D901,OR(LEFT(L901,2)="15",AND(LEFT(M901,2)&lt;&gt;"15",LEFT(M901,2)&lt;&gt;"33"))),"x","")</f>
        <v/>
      </c>
      <c r="X901" s="51" t="str">
        <f>IF(AND(OR(LEFT(TH!L901,2)="15",LEFT(TH!M901,2)="15"),'152-CT'!$J$8=TH!F901),"x","")</f>
        <v/>
      </c>
      <c r="Y901" s="51" t="str">
        <f>IF(AND(OR(LEFT(TH!L901,2)="15",LEFT(TH!M901,2)="15"),TK!$E$7=TH!F901),"x","")</f>
        <v/>
      </c>
      <c r="Z901" s="51" t="str">
        <f>IF(AND(B901&lt;=NKC!$N$8,B901&gt;=NKC!$M$8),"x","")</f>
        <v/>
      </c>
      <c r="AA901" s="803"/>
      <c r="AB901" s="565"/>
    </row>
    <row r="902" spans="1:31" ht="15.75" customHeight="1">
      <c r="A902" s="804" t="str">
        <f>IF(B902&lt;&gt;"",IF(AND(B902&gt;=_TM1,B902&lt;=_TM2,OR(TH!L902="1111",TH!M902="1111")),TH!D902,""),"")</f>
        <v/>
      </c>
      <c r="B902" s="36">
        <f t="shared" si="57"/>
        <v>10</v>
      </c>
      <c r="C902" s="189">
        <f t="shared" si="58"/>
        <v>42300</v>
      </c>
      <c r="D902" s="189" t="s">
        <v>1361</v>
      </c>
      <c r="E902" s="189">
        <v>42300</v>
      </c>
      <c r="F902" s="190" t="s">
        <v>796</v>
      </c>
      <c r="G902" s="813" t="s">
        <v>782</v>
      </c>
      <c r="H902" s="191" t="s">
        <v>448</v>
      </c>
      <c r="I902" s="243">
        <v>10</v>
      </c>
      <c r="J902" s="243">
        <v>29435</v>
      </c>
      <c r="K902" s="573">
        <f t="shared" si="59"/>
        <v>294350</v>
      </c>
      <c r="L902" s="574" t="s">
        <v>417</v>
      </c>
      <c r="M902" s="574" t="s">
        <v>8</v>
      </c>
      <c r="N902" s="51" t="str">
        <f>IF(AND('331-CT'!$E$7=TH!H902,OR(L902="331",M902="331")),"331",IF(AND(OR(L902="131",M902="131"),H902='131-CT'!$E$7),"131",""))</f>
        <v/>
      </c>
      <c r="O902" s="51" t="str">
        <f>IF(AND($B902&gt;='111'!$N$11,$B902&lt;='111'!$O$11,OR($L902=$O$7,$M902=$O$7)),"x","")</f>
        <v/>
      </c>
      <c r="P902" s="51" t="str">
        <f>IF(AND($L902=$O$7,$B902&lt;'111'!$N$11),"x","")</f>
        <v/>
      </c>
      <c r="Q902" s="51" t="str">
        <f>IF(AND($M902=$O$7,$B902&lt;'111'!$N$11),"x","")</f>
        <v/>
      </c>
      <c r="R902" s="51" t="str">
        <f>IF(ISERROR(FIND('112'!$M$9,G902,1)),"",IF((AND(FIND('112'!$M$9,G902,1)&gt;=1,$B902&gt;='112'!$N$8,$B902&lt;='112'!$O$8,OR($L902='112'!$I$6,$M902='112'!$I$6))),"x",""))</f>
        <v/>
      </c>
      <c r="S902" s="51" t="str">
        <f>IF(ISERROR(FIND('112'!$M$9,G902,1)),"",IF((AND(LEFT(G902,2)=LEFT('112'!$M$9,2),B902&lt;'112'!$N$8,$L902='112'!$I$6)),"x",""))</f>
        <v/>
      </c>
      <c r="T902" s="51" t="str">
        <f>IF(ISERROR(FIND('112'!$M$9,G902,1)),"",IF((AND(RIGHT(G902,2)=RIGHT('112'!$M$9,2),B902&lt;'112'!$N$8,$M902='112'!$I$6)),"x",""))</f>
        <v/>
      </c>
      <c r="U902" s="51" t="str">
        <f>IF(AND(L902="154",'154'!$O$5&lt;=B902,'154'!$P$5&gt;=B902),"154",IF(AND(L902="632",'632'!$L$5&lt;=B902,'632'!$M$5&gt;=B902),"632",IF(AND(L902="642",'642'!$N$5&lt;=B902,'642'!$O$5&gt;=B902),"642",IF(AND(L902="641",'641'!$N$5&lt;=B902,'641'!$O$5&gt;=B902),"641",""))))</f>
        <v/>
      </c>
      <c r="V902" s="51" t="str">
        <f>IF(OR(TH!L902=TH!$V$7,M902=TH!$V$7),"x","")</f>
        <v/>
      </c>
      <c r="W902" s="51" t="str">
        <f>IF(AND(B902&gt;='IN-NX'!$P$3,B902&lt;='IN-NX'!$Q$3,'IN-NX'!$D$7=D902,OR(LEFT(L902,2)="15",AND(LEFT(M902,2)&lt;&gt;"15",LEFT(M902,2)&lt;&gt;"33"))),"x","")</f>
        <v/>
      </c>
      <c r="X902" s="51" t="str">
        <f>IF(AND(OR(LEFT(TH!L902,2)="15",LEFT(TH!M902,2)="15"),'152-CT'!$J$8=TH!F902),"x","")</f>
        <v/>
      </c>
      <c r="Y902" s="51" t="str">
        <f>IF(AND(OR(LEFT(TH!L902,2)="15",LEFT(TH!M902,2)="15"),TK!$E$7=TH!F902),"x","")</f>
        <v/>
      </c>
      <c r="Z902" s="51" t="str">
        <f>IF(AND(B902&lt;=NKC!$N$8,B902&gt;=NKC!$M$8),"x","")</f>
        <v/>
      </c>
      <c r="AA902" s="803"/>
      <c r="AB902" s="565"/>
    </row>
    <row r="903" spans="1:31" ht="15.75" customHeight="1">
      <c r="A903" s="804" t="str">
        <f>IF(B903&lt;&gt;"",IF(AND(B903&gt;=_TM1,B903&lt;=_TM2,OR(TH!L903="1111",TH!M903="1111")),TH!D903,""),"")</f>
        <v/>
      </c>
      <c r="B903" s="36">
        <f t="shared" si="57"/>
        <v>10</v>
      </c>
      <c r="C903" s="189">
        <f t="shared" si="58"/>
        <v>42300</v>
      </c>
      <c r="D903" s="189" t="s">
        <v>1361</v>
      </c>
      <c r="E903" s="189">
        <v>42300</v>
      </c>
      <c r="F903" s="190" t="s">
        <v>797</v>
      </c>
      <c r="G903" s="813" t="s">
        <v>782</v>
      </c>
      <c r="H903" s="191" t="s">
        <v>448</v>
      </c>
      <c r="I903" s="243">
        <v>30</v>
      </c>
      <c r="J903" s="243">
        <v>22972</v>
      </c>
      <c r="K903" s="573">
        <f t="shared" si="59"/>
        <v>689160</v>
      </c>
      <c r="L903" s="574" t="s">
        <v>417</v>
      </c>
      <c r="M903" s="574" t="s">
        <v>8</v>
      </c>
      <c r="N903" s="51" t="str">
        <f>IF(AND('331-CT'!$E$7=TH!H903,OR(L903="331",M903="331")),"331",IF(AND(OR(L903="131",M903="131"),H903='131-CT'!$E$7),"131",""))</f>
        <v/>
      </c>
      <c r="O903" s="51" t="str">
        <f>IF(AND($B903&gt;='111'!$N$11,$B903&lt;='111'!$O$11,OR($L903=$O$7,$M903=$O$7)),"x","")</f>
        <v/>
      </c>
      <c r="P903" s="51" t="str">
        <f>IF(AND($L903=$O$7,$B903&lt;'111'!$N$11),"x","")</f>
        <v/>
      </c>
      <c r="Q903" s="51" t="str">
        <f>IF(AND($M903=$O$7,$B903&lt;'111'!$N$11),"x","")</f>
        <v/>
      </c>
      <c r="R903" s="51" t="str">
        <f>IF(ISERROR(FIND('112'!$M$9,G903,1)),"",IF((AND(FIND('112'!$M$9,G903,1)&gt;=1,$B903&gt;='112'!$N$8,$B903&lt;='112'!$O$8,OR($L903='112'!$I$6,$M903='112'!$I$6))),"x",""))</f>
        <v/>
      </c>
      <c r="S903" s="51" t="str">
        <f>IF(ISERROR(FIND('112'!$M$9,G903,1)),"",IF((AND(LEFT(G903,2)=LEFT('112'!$M$9,2),B903&lt;'112'!$N$8,$L903='112'!$I$6)),"x",""))</f>
        <v/>
      </c>
      <c r="T903" s="51" t="str">
        <f>IF(ISERROR(FIND('112'!$M$9,G903,1)),"",IF((AND(RIGHT(G903,2)=RIGHT('112'!$M$9,2),B903&lt;'112'!$N$8,$M903='112'!$I$6)),"x",""))</f>
        <v/>
      </c>
      <c r="U903" s="51" t="str">
        <f>IF(AND(L903="154",'154'!$O$5&lt;=B903,'154'!$P$5&gt;=B903),"154",IF(AND(L903="632",'632'!$L$5&lt;=B903,'632'!$M$5&gt;=B903),"632",IF(AND(L903="642",'642'!$N$5&lt;=B903,'642'!$O$5&gt;=B903),"642",IF(AND(L903="641",'641'!$N$5&lt;=B903,'641'!$O$5&gt;=B903),"641",""))))</f>
        <v/>
      </c>
      <c r="V903" s="51" t="str">
        <f>IF(OR(TH!L903=TH!$V$7,M903=TH!$V$7),"x","")</f>
        <v/>
      </c>
      <c r="W903" s="51" t="str">
        <f>IF(AND(B903&gt;='IN-NX'!$P$3,B903&lt;='IN-NX'!$Q$3,'IN-NX'!$D$7=D903,OR(LEFT(L903,2)="15",AND(LEFT(M903,2)&lt;&gt;"15",LEFT(M903,2)&lt;&gt;"33"))),"x","")</f>
        <v/>
      </c>
      <c r="X903" s="51" t="str">
        <f>IF(AND(OR(LEFT(TH!L903,2)="15",LEFT(TH!M903,2)="15"),'152-CT'!$J$8=TH!F903),"x","")</f>
        <v/>
      </c>
      <c r="Y903" s="51" t="str">
        <f>IF(AND(OR(LEFT(TH!L903,2)="15",LEFT(TH!M903,2)="15"),TK!$E$7=TH!F903),"x","")</f>
        <v/>
      </c>
      <c r="Z903" s="51" t="str">
        <f>IF(AND(B903&lt;=NKC!$N$8,B903&gt;=NKC!$M$8),"x","")</f>
        <v/>
      </c>
      <c r="AA903" s="803"/>
      <c r="AB903" s="565"/>
    </row>
    <row r="904" spans="1:31" ht="15.75" customHeight="1">
      <c r="A904" s="804" t="str">
        <f>IF(B904&lt;&gt;"",IF(AND(B904&gt;=_TM1,B904&lt;=_TM2,OR(TH!L904="1111",TH!M904="1111")),TH!D904,""),"")</f>
        <v/>
      </c>
      <c r="B904" s="36">
        <f t="shared" si="57"/>
        <v>10</v>
      </c>
      <c r="C904" s="189">
        <f t="shared" si="58"/>
        <v>42300</v>
      </c>
      <c r="D904" s="189" t="s">
        <v>1361</v>
      </c>
      <c r="E904" s="189">
        <v>42300</v>
      </c>
      <c r="F904" s="190" t="s">
        <v>781</v>
      </c>
      <c r="G904" s="813" t="s">
        <v>782</v>
      </c>
      <c r="H904" s="191" t="s">
        <v>448</v>
      </c>
      <c r="I904" s="243">
        <v>15</v>
      </c>
      <c r="J904" s="243">
        <v>26312</v>
      </c>
      <c r="K904" s="573">
        <f t="shared" si="59"/>
        <v>394680</v>
      </c>
      <c r="L904" s="574" t="s">
        <v>417</v>
      </c>
      <c r="M904" s="574" t="s">
        <v>8</v>
      </c>
      <c r="N904" s="51" t="str">
        <f>IF(AND('331-CT'!$E$7=TH!H904,OR(L904="331",M904="331")),"331",IF(AND(OR(L904="131",M904="131"),H904='131-CT'!$E$7),"131",""))</f>
        <v/>
      </c>
      <c r="O904" s="51" t="str">
        <f>IF(AND($B904&gt;='111'!$N$11,$B904&lt;='111'!$O$11,OR($L904=$O$7,$M904=$O$7)),"x","")</f>
        <v/>
      </c>
      <c r="P904" s="51" t="str">
        <f>IF(AND($L904=$O$7,$B904&lt;'111'!$N$11),"x","")</f>
        <v/>
      </c>
      <c r="Q904" s="51" t="str">
        <f>IF(AND($M904=$O$7,$B904&lt;'111'!$N$11),"x","")</f>
        <v/>
      </c>
      <c r="R904" s="51" t="str">
        <f>IF(ISERROR(FIND('112'!$M$9,G904,1)),"",IF((AND(FIND('112'!$M$9,G904,1)&gt;=1,$B904&gt;='112'!$N$8,$B904&lt;='112'!$O$8,OR($L904='112'!$I$6,$M904='112'!$I$6))),"x",""))</f>
        <v/>
      </c>
      <c r="S904" s="51" t="str">
        <f>IF(ISERROR(FIND('112'!$M$9,G904,1)),"",IF((AND(LEFT(G904,2)=LEFT('112'!$M$9,2),B904&lt;'112'!$N$8,$L904='112'!$I$6)),"x",""))</f>
        <v/>
      </c>
      <c r="T904" s="51" t="str">
        <f>IF(ISERROR(FIND('112'!$M$9,G904,1)),"",IF((AND(RIGHT(G904,2)=RIGHT('112'!$M$9,2),B904&lt;'112'!$N$8,$M904='112'!$I$6)),"x",""))</f>
        <v/>
      </c>
      <c r="U904" s="51" t="str">
        <f>IF(AND(L904="154",'154'!$O$5&lt;=B904,'154'!$P$5&gt;=B904),"154",IF(AND(L904="632",'632'!$L$5&lt;=B904,'632'!$M$5&gt;=B904),"632",IF(AND(L904="642",'642'!$N$5&lt;=B904,'642'!$O$5&gt;=B904),"642",IF(AND(L904="641",'641'!$N$5&lt;=B904,'641'!$O$5&gt;=B904),"641",""))))</f>
        <v/>
      </c>
      <c r="V904" s="51" t="str">
        <f>IF(OR(TH!L904=TH!$V$7,M904=TH!$V$7),"x","")</f>
        <v/>
      </c>
      <c r="W904" s="51" t="str">
        <f>IF(AND(B904&gt;='IN-NX'!$P$3,B904&lt;='IN-NX'!$Q$3,'IN-NX'!$D$7=D904,OR(LEFT(L904,2)="15",AND(LEFT(M904,2)&lt;&gt;"15",LEFT(M904,2)&lt;&gt;"33"))),"x","")</f>
        <v/>
      </c>
      <c r="X904" s="51" t="str">
        <f>IF(AND(OR(LEFT(TH!L904,2)="15",LEFT(TH!M904,2)="15"),'152-CT'!$J$8=TH!F904),"x","")</f>
        <v/>
      </c>
      <c r="Y904" s="51" t="str">
        <f>IF(AND(OR(LEFT(TH!L904,2)="15",LEFT(TH!M904,2)="15"),TK!$E$7=TH!F904),"x","")</f>
        <v/>
      </c>
      <c r="Z904" s="51" t="str">
        <f>IF(AND(B904&lt;=NKC!$N$8,B904&gt;=NKC!$M$8),"x","")</f>
        <v/>
      </c>
      <c r="AA904" s="803"/>
      <c r="AB904" s="565"/>
    </row>
    <row r="905" spans="1:31" ht="15.75" customHeight="1">
      <c r="A905" s="804" t="str">
        <f>IF(B905&lt;&gt;"",IF(AND(B905&gt;=_TM1,B905&lt;=_TM2,OR(TH!L905="1111",TH!M905="1111")),TH!D905,""),"")</f>
        <v/>
      </c>
      <c r="B905" s="36">
        <f t="shared" si="57"/>
        <v>10</v>
      </c>
      <c r="C905" s="189">
        <f t="shared" si="58"/>
        <v>42300</v>
      </c>
      <c r="D905" s="189" t="s">
        <v>1361</v>
      </c>
      <c r="E905" s="189">
        <v>42300</v>
      </c>
      <c r="F905" s="190" t="s">
        <v>798</v>
      </c>
      <c r="G905" s="813" t="s">
        <v>782</v>
      </c>
      <c r="H905" s="191" t="s">
        <v>448</v>
      </c>
      <c r="I905" s="243">
        <v>22</v>
      </c>
      <c r="J905" s="243">
        <v>21657</v>
      </c>
      <c r="K905" s="573">
        <f t="shared" si="59"/>
        <v>476454</v>
      </c>
      <c r="L905" s="574" t="s">
        <v>417</v>
      </c>
      <c r="M905" s="574" t="s">
        <v>8</v>
      </c>
      <c r="N905" s="51" t="str">
        <f>IF(AND('331-CT'!$E$7=TH!H905,OR(L905="331",M905="331")),"331",IF(AND(OR(L905="131",M905="131"),H905='131-CT'!$E$7),"131",""))</f>
        <v/>
      </c>
      <c r="O905" s="51" t="str">
        <f>IF(AND($B905&gt;='111'!$N$11,$B905&lt;='111'!$O$11,OR($L905=$O$7,$M905=$O$7)),"x","")</f>
        <v/>
      </c>
      <c r="P905" s="51" t="str">
        <f>IF(AND($L905=$O$7,$B905&lt;'111'!$N$11),"x","")</f>
        <v/>
      </c>
      <c r="Q905" s="51" t="str">
        <f>IF(AND($M905=$O$7,$B905&lt;'111'!$N$11),"x","")</f>
        <v/>
      </c>
      <c r="R905" s="51" t="str">
        <f>IF(ISERROR(FIND('112'!$M$9,G905,1)),"",IF((AND(FIND('112'!$M$9,G905,1)&gt;=1,$B905&gt;='112'!$N$8,$B905&lt;='112'!$O$8,OR($L905='112'!$I$6,$M905='112'!$I$6))),"x",""))</f>
        <v/>
      </c>
      <c r="S905" s="51" t="str">
        <f>IF(ISERROR(FIND('112'!$M$9,G905,1)),"",IF((AND(LEFT(G905,2)=LEFT('112'!$M$9,2),B905&lt;'112'!$N$8,$L905='112'!$I$6)),"x",""))</f>
        <v/>
      </c>
      <c r="T905" s="51" t="str">
        <f>IF(ISERROR(FIND('112'!$M$9,G905,1)),"",IF((AND(RIGHT(G905,2)=RIGHT('112'!$M$9,2),B905&lt;'112'!$N$8,$M905='112'!$I$6)),"x",""))</f>
        <v/>
      </c>
      <c r="U905" s="51" t="str">
        <f>IF(AND(L905="154",'154'!$O$5&lt;=B905,'154'!$P$5&gt;=B905),"154",IF(AND(L905="632",'632'!$L$5&lt;=B905,'632'!$M$5&gt;=B905),"632",IF(AND(L905="642",'642'!$N$5&lt;=B905,'642'!$O$5&gt;=B905),"642",IF(AND(L905="641",'641'!$N$5&lt;=B905,'641'!$O$5&gt;=B905),"641",""))))</f>
        <v/>
      </c>
      <c r="V905" s="51" t="str">
        <f>IF(OR(TH!L905=TH!$V$7,M905=TH!$V$7),"x","")</f>
        <v/>
      </c>
      <c r="W905" s="51" t="str">
        <f>IF(AND(B905&gt;='IN-NX'!$P$3,B905&lt;='IN-NX'!$Q$3,'IN-NX'!$D$7=D905,OR(LEFT(L905,2)="15",AND(LEFT(M905,2)&lt;&gt;"15",LEFT(M905,2)&lt;&gt;"33"))),"x","")</f>
        <v/>
      </c>
      <c r="X905" s="51" t="str">
        <f>IF(AND(OR(LEFT(TH!L905,2)="15",LEFT(TH!M905,2)="15"),'152-CT'!$J$8=TH!F905),"x","")</f>
        <v/>
      </c>
      <c r="Y905" s="51" t="str">
        <f>IF(AND(OR(LEFT(TH!L905,2)="15",LEFT(TH!M905,2)="15"),TK!$E$7=TH!F905),"x","")</f>
        <v/>
      </c>
      <c r="Z905" s="51" t="str">
        <f>IF(AND(B905&lt;=NKC!$N$8,B905&gt;=NKC!$M$8),"x","")</f>
        <v/>
      </c>
      <c r="AA905" s="803"/>
      <c r="AB905" s="565"/>
    </row>
    <row r="906" spans="1:31" ht="15.75" customHeight="1">
      <c r="A906" s="804" t="str">
        <f>IF(B906&lt;&gt;"",IF(AND(B906&gt;=_TM1,B906&lt;=_TM2,OR(TH!L906="1111",TH!M906="1111")),TH!D906,""),"")</f>
        <v/>
      </c>
      <c r="B906" s="36">
        <f t="shared" si="57"/>
        <v>10</v>
      </c>
      <c r="C906" s="189">
        <f t="shared" si="58"/>
        <v>42300</v>
      </c>
      <c r="D906" s="189" t="s">
        <v>1361</v>
      </c>
      <c r="E906" s="189">
        <v>42300</v>
      </c>
      <c r="F906" s="190" t="s">
        <v>799</v>
      </c>
      <c r="G906" s="813" t="s">
        <v>782</v>
      </c>
      <c r="H906" s="191" t="s">
        <v>448</v>
      </c>
      <c r="I906" s="243">
        <v>40</v>
      </c>
      <c r="J906" s="243">
        <v>19996</v>
      </c>
      <c r="K906" s="573">
        <f t="shared" si="59"/>
        <v>799840</v>
      </c>
      <c r="L906" s="574" t="s">
        <v>417</v>
      </c>
      <c r="M906" s="574" t="s">
        <v>8</v>
      </c>
      <c r="N906" s="51" t="str">
        <f>IF(AND('331-CT'!$E$7=TH!H906,OR(L906="331",M906="331")),"331",IF(AND(OR(L906="131",M906="131"),H906='131-CT'!$E$7),"131",""))</f>
        <v/>
      </c>
      <c r="O906" s="51" t="str">
        <f>IF(AND($B906&gt;='111'!$N$11,$B906&lt;='111'!$O$11,OR($L906=$O$7,$M906=$O$7)),"x","")</f>
        <v/>
      </c>
      <c r="P906" s="51" t="str">
        <f>IF(AND($L906=$O$7,$B906&lt;'111'!$N$11),"x","")</f>
        <v/>
      </c>
      <c r="Q906" s="51" t="str">
        <f>IF(AND($M906=$O$7,$B906&lt;'111'!$N$11),"x","")</f>
        <v/>
      </c>
      <c r="R906" s="51" t="str">
        <f>IF(ISERROR(FIND('112'!$M$9,G906,1)),"",IF((AND(FIND('112'!$M$9,G906,1)&gt;=1,$B906&gt;='112'!$N$8,$B906&lt;='112'!$O$8,OR($L906='112'!$I$6,$M906='112'!$I$6))),"x",""))</f>
        <v/>
      </c>
      <c r="S906" s="51" t="str">
        <f>IF(ISERROR(FIND('112'!$M$9,G906,1)),"",IF((AND(LEFT(G906,2)=LEFT('112'!$M$9,2),B906&lt;'112'!$N$8,$L906='112'!$I$6)),"x",""))</f>
        <v/>
      </c>
      <c r="T906" s="51" t="str">
        <f>IF(ISERROR(FIND('112'!$M$9,G906,1)),"",IF((AND(RIGHT(G906,2)=RIGHT('112'!$M$9,2),B906&lt;'112'!$N$8,$M906='112'!$I$6)),"x",""))</f>
        <v/>
      </c>
      <c r="U906" s="51" t="str">
        <f>IF(AND(L906="154",'154'!$O$5&lt;=B906,'154'!$P$5&gt;=B906),"154",IF(AND(L906="632",'632'!$L$5&lt;=B906,'632'!$M$5&gt;=B906),"632",IF(AND(L906="642",'642'!$N$5&lt;=B906,'642'!$O$5&gt;=B906),"642",IF(AND(L906="641",'641'!$N$5&lt;=B906,'641'!$O$5&gt;=B906),"641",""))))</f>
        <v/>
      </c>
      <c r="V906" s="51" t="str">
        <f>IF(OR(TH!L906=TH!$V$7,M906=TH!$V$7),"x","")</f>
        <v/>
      </c>
      <c r="W906" s="51" t="str">
        <f>IF(AND(B906&gt;='IN-NX'!$P$3,B906&lt;='IN-NX'!$Q$3,'IN-NX'!$D$7=D906,OR(LEFT(L906,2)="15",AND(LEFT(M906,2)&lt;&gt;"15",LEFT(M906,2)&lt;&gt;"33"))),"x","")</f>
        <v/>
      </c>
      <c r="X906" s="51" t="str">
        <f>IF(AND(OR(LEFT(TH!L906,2)="15",LEFT(TH!M906,2)="15"),'152-CT'!$J$8=TH!F906),"x","")</f>
        <v/>
      </c>
      <c r="Y906" s="51" t="str">
        <f>IF(AND(OR(LEFT(TH!L906,2)="15",LEFT(TH!M906,2)="15"),TK!$E$7=TH!F906),"x","")</f>
        <v/>
      </c>
      <c r="Z906" s="51" t="str">
        <f>IF(AND(B906&lt;=NKC!$N$8,B906&gt;=NKC!$M$8),"x","")</f>
        <v/>
      </c>
      <c r="AA906" s="803"/>
      <c r="AB906" s="565"/>
    </row>
    <row r="907" spans="1:31" ht="15.75" customHeight="1">
      <c r="A907" s="804" t="str">
        <f>IF(B907&lt;&gt;"",IF(AND(B907&gt;=_TM1,B907&lt;=_TM2,OR(TH!L907="1111",TH!M907="1111")),TH!D907,""),"")</f>
        <v/>
      </c>
      <c r="B907" s="36">
        <f t="shared" si="57"/>
        <v>10</v>
      </c>
      <c r="C907" s="189">
        <f t="shared" si="58"/>
        <v>42300</v>
      </c>
      <c r="D907" s="189" t="s">
        <v>1361</v>
      </c>
      <c r="E907" s="189">
        <v>42300</v>
      </c>
      <c r="F907" s="190" t="s">
        <v>800</v>
      </c>
      <c r="G907" s="813" t="s">
        <v>782</v>
      </c>
      <c r="H907" s="191" t="s">
        <v>448</v>
      </c>
      <c r="I907" s="243">
        <v>20</v>
      </c>
      <c r="J907" s="243">
        <v>14007</v>
      </c>
      <c r="K907" s="573">
        <f t="shared" si="59"/>
        <v>280140</v>
      </c>
      <c r="L907" s="574" t="s">
        <v>417</v>
      </c>
      <c r="M907" s="574" t="s">
        <v>8</v>
      </c>
      <c r="N907" s="51" t="str">
        <f>IF(AND('331-CT'!$E$7=TH!H907,OR(L907="331",M907="331")),"331",IF(AND(OR(L907="131",M907="131"),H907='131-CT'!$E$7),"131",""))</f>
        <v/>
      </c>
      <c r="O907" s="51" t="str">
        <f>IF(AND($B907&gt;='111'!$N$11,$B907&lt;='111'!$O$11,OR($L907=$O$7,$M907=$O$7)),"x","")</f>
        <v/>
      </c>
      <c r="P907" s="51" t="str">
        <f>IF(AND($L907=$O$7,$B907&lt;'111'!$N$11),"x","")</f>
        <v/>
      </c>
      <c r="Q907" s="51" t="str">
        <f>IF(AND($M907=$O$7,$B907&lt;'111'!$N$11),"x","")</f>
        <v/>
      </c>
      <c r="R907" s="51" t="str">
        <f>IF(ISERROR(FIND('112'!$M$9,G907,1)),"",IF((AND(FIND('112'!$M$9,G907,1)&gt;=1,$B907&gt;='112'!$N$8,$B907&lt;='112'!$O$8,OR($L907='112'!$I$6,$M907='112'!$I$6))),"x",""))</f>
        <v/>
      </c>
      <c r="S907" s="51" t="str">
        <f>IF(ISERROR(FIND('112'!$M$9,G907,1)),"",IF((AND(LEFT(G907,2)=LEFT('112'!$M$9,2),B907&lt;'112'!$N$8,$L907='112'!$I$6)),"x",""))</f>
        <v/>
      </c>
      <c r="T907" s="51" t="str">
        <f>IF(ISERROR(FIND('112'!$M$9,G907,1)),"",IF((AND(RIGHT(G907,2)=RIGHT('112'!$M$9,2),B907&lt;'112'!$N$8,$M907='112'!$I$6)),"x",""))</f>
        <v/>
      </c>
      <c r="U907" s="51" t="str">
        <f>IF(AND(L907="154",'154'!$O$5&lt;=B907,'154'!$P$5&gt;=B907),"154",IF(AND(L907="632",'632'!$L$5&lt;=B907,'632'!$M$5&gt;=B907),"632",IF(AND(L907="642",'642'!$N$5&lt;=B907,'642'!$O$5&gt;=B907),"642",IF(AND(L907="641",'641'!$N$5&lt;=B907,'641'!$O$5&gt;=B907),"641",""))))</f>
        <v/>
      </c>
      <c r="V907" s="51" t="str">
        <f>IF(OR(TH!L907=TH!$V$7,M907=TH!$V$7),"x","")</f>
        <v/>
      </c>
      <c r="W907" s="51" t="str">
        <f>IF(AND(B907&gt;='IN-NX'!$P$3,B907&lt;='IN-NX'!$Q$3,'IN-NX'!$D$7=D907,OR(LEFT(L907,2)="15",AND(LEFT(M907,2)&lt;&gt;"15",LEFT(M907,2)&lt;&gt;"33"))),"x","")</f>
        <v/>
      </c>
      <c r="X907" s="51" t="str">
        <f>IF(AND(OR(LEFT(TH!L907,2)="15",LEFT(TH!M907,2)="15"),'152-CT'!$J$8=TH!F907),"x","")</f>
        <v/>
      </c>
      <c r="Y907" s="51" t="str">
        <f>IF(AND(OR(LEFT(TH!L907,2)="15",LEFT(TH!M907,2)="15"),TK!$E$7=TH!F907),"x","")</f>
        <v/>
      </c>
      <c r="Z907" s="51" t="str">
        <f>IF(AND(B907&lt;=NKC!$N$8,B907&gt;=NKC!$M$8),"x","")</f>
        <v/>
      </c>
      <c r="AA907" s="803"/>
      <c r="AB907" s="565"/>
    </row>
    <row r="908" spans="1:31" ht="15.75" customHeight="1">
      <c r="A908" s="804" t="str">
        <f>IF(B908&lt;&gt;"",IF(AND(B908&gt;=_TM1,B908&lt;=_TM2,OR(TH!L908="1111",TH!M908="1111")),TH!D908,""),"")</f>
        <v/>
      </c>
      <c r="B908" s="36">
        <f t="shared" si="57"/>
        <v>10</v>
      </c>
      <c r="C908" s="189">
        <f t="shared" si="58"/>
        <v>42300</v>
      </c>
      <c r="D908" s="189" t="s">
        <v>1361</v>
      </c>
      <c r="E908" s="189">
        <v>42300</v>
      </c>
      <c r="F908" s="190" t="s">
        <v>778</v>
      </c>
      <c r="G908" s="813" t="s">
        <v>782</v>
      </c>
      <c r="H908" s="191" t="s">
        <v>448</v>
      </c>
      <c r="I908" s="243"/>
      <c r="J908" s="243"/>
      <c r="K908" s="573">
        <v>2302326</v>
      </c>
      <c r="L908" s="574" t="s">
        <v>9</v>
      </c>
      <c r="M908" s="574" t="s">
        <v>8</v>
      </c>
      <c r="N908" s="51" t="str">
        <f>IF(AND('331-CT'!$E$7=TH!H908,OR(L908="331",M908="331")),"331",IF(AND(OR(L908="131",M908="131"),H908='131-CT'!$E$7),"131",""))</f>
        <v/>
      </c>
      <c r="O908" s="51" t="str">
        <f>IF(AND($B908&gt;='111'!$N$11,$B908&lt;='111'!$O$11,OR($L908=$O$7,$M908=$O$7)),"x","")</f>
        <v/>
      </c>
      <c r="P908" s="51" t="str">
        <f>IF(AND($L908=$O$7,$B908&lt;'111'!$N$11),"x","")</f>
        <v/>
      </c>
      <c r="Q908" s="51" t="str">
        <f>IF(AND($M908=$O$7,$B908&lt;'111'!$N$11),"x","")</f>
        <v/>
      </c>
      <c r="R908" s="51" t="str">
        <f>IF(ISERROR(FIND('112'!$M$9,G908,1)),"",IF((AND(FIND('112'!$M$9,G908,1)&gt;=1,$B908&gt;='112'!$N$8,$B908&lt;='112'!$O$8,OR($L908='112'!$I$6,$M908='112'!$I$6))),"x",""))</f>
        <v/>
      </c>
      <c r="S908" s="51" t="str">
        <f>IF(ISERROR(FIND('112'!$M$9,G908,1)),"",IF((AND(LEFT(G908,2)=LEFT('112'!$M$9,2),B908&lt;'112'!$N$8,$L908='112'!$I$6)),"x",""))</f>
        <v/>
      </c>
      <c r="T908" s="51" t="str">
        <f>IF(ISERROR(FIND('112'!$M$9,G908,1)),"",IF((AND(RIGHT(G908,2)=RIGHT('112'!$M$9,2),B908&lt;'112'!$N$8,$M908='112'!$I$6)),"x",""))</f>
        <v/>
      </c>
      <c r="U908" s="51" t="str">
        <f>IF(AND(L908="154",'154'!$O$5&lt;=B908,'154'!$P$5&gt;=B908),"154",IF(AND(L908="632",'632'!$L$5&lt;=B908,'632'!$M$5&gt;=B908),"632",IF(AND(L908="642",'642'!$N$5&lt;=B908,'642'!$O$5&gt;=B908),"642",IF(AND(L908="641",'641'!$N$5&lt;=B908,'641'!$O$5&gt;=B908),"641",""))))</f>
        <v/>
      </c>
      <c r="V908" s="51" t="str">
        <f>IF(OR(TH!L908=TH!$V$7,M908=TH!$V$7),"x","")</f>
        <v/>
      </c>
      <c r="W908" s="51" t="str">
        <f>IF(AND(B908&gt;='IN-NX'!$P$3,B908&lt;='IN-NX'!$Q$3,'IN-NX'!$D$7=D908,OR(LEFT(L908,2)="15",AND(LEFT(M908,2)&lt;&gt;"15",LEFT(M908,2)&lt;&gt;"33"))),"x","")</f>
        <v/>
      </c>
      <c r="X908" s="51" t="str">
        <f>IF(AND(OR(LEFT(TH!L908,2)="15",LEFT(TH!M908,2)="15"),'152-CT'!$J$8=TH!F908),"x","")</f>
        <v/>
      </c>
      <c r="Y908" s="51" t="str">
        <f>IF(AND(OR(LEFT(TH!L908,2)="15",LEFT(TH!M908,2)="15"),TK!$E$7=TH!F908),"x","")</f>
        <v/>
      </c>
      <c r="Z908" s="51" t="str">
        <f>IF(AND(B908&lt;=NKC!$N$8,B908&gt;=NKC!$M$8),"x","")</f>
        <v/>
      </c>
      <c r="AA908" s="803">
        <v>4</v>
      </c>
      <c r="AB908" s="565"/>
    </row>
    <row r="909" spans="1:31" ht="15.75" customHeight="1">
      <c r="A909" s="804" t="str">
        <f>IF(B909&lt;&gt;"",IF(AND(B909&gt;=_TM1,B909&lt;=_TM2,OR(TH!L909="1111",TH!M909="1111")),TH!D909,""),"")</f>
        <v/>
      </c>
      <c r="B909" s="36">
        <f t="shared" si="57"/>
        <v>10</v>
      </c>
      <c r="C909" s="189">
        <f t="shared" si="58"/>
        <v>42300</v>
      </c>
      <c r="D909" s="189" t="s">
        <v>1299</v>
      </c>
      <c r="E909" s="189">
        <v>42300</v>
      </c>
      <c r="F909" s="190" t="s">
        <v>758</v>
      </c>
      <c r="G909" s="811" t="s">
        <v>1074</v>
      </c>
      <c r="H909" s="7" t="s">
        <v>445</v>
      </c>
      <c r="I909" s="243">
        <v>40</v>
      </c>
      <c r="J909" s="243">
        <v>18360</v>
      </c>
      <c r="K909" s="573">
        <f>ROUND(I909*J909,0)</f>
        <v>734400</v>
      </c>
      <c r="L909" s="574" t="s">
        <v>250</v>
      </c>
      <c r="M909" s="574" t="s">
        <v>164</v>
      </c>
      <c r="N909" s="51" t="str">
        <f>IF(AND('331-CT'!$E$7=TH!H909,OR(L909="331",M909="331")),"331",IF(AND(OR(L909="131",M909="131"),H909='131-CT'!$E$7),"131",""))</f>
        <v/>
      </c>
      <c r="O909" s="51" t="str">
        <f>IF(AND($B909&gt;='111'!$N$11,$B909&lt;='111'!$O$11,OR($L909=$O$7,$M909=$O$7)),"x","")</f>
        <v/>
      </c>
      <c r="P909" s="51" t="str">
        <f>IF(AND($L909=$O$7,$B909&lt;'111'!$N$11),"x","")</f>
        <v/>
      </c>
      <c r="Q909" s="51" t="str">
        <f>IF(AND($M909=$O$7,$B909&lt;'111'!$N$11),"x","")</f>
        <v/>
      </c>
      <c r="R909" s="51" t="str">
        <f>IF(ISERROR(FIND('112'!$M$9,G909,1)),"",IF((AND(FIND('112'!$M$9,G909,1)&gt;=1,$B909&gt;='112'!$N$8,$B909&lt;='112'!$O$8,OR($L909='112'!$I$6,$M909='112'!$I$6))),"x",""))</f>
        <v/>
      </c>
      <c r="S909" s="51" t="str">
        <f>IF(ISERROR(FIND('112'!$M$9,G909,1)),"",IF((AND(LEFT(G909,2)=LEFT('112'!$M$9,2),B909&lt;'112'!$N$8,$L909='112'!$I$6)),"x",""))</f>
        <v/>
      </c>
      <c r="T909" s="51" t="str">
        <f>IF(ISERROR(FIND('112'!$M$9,G909,1)),"",IF((AND(RIGHT(G909,2)=RIGHT('112'!$M$9,2),B909&lt;'112'!$N$8,$M909='112'!$I$6)),"x",""))</f>
        <v/>
      </c>
      <c r="U909" s="51" t="str">
        <f>IF(AND(L909="154",'154'!$O$5&lt;=B909,'154'!$P$5&gt;=B909),"154",IF(AND(L909="632",'632'!$L$5&lt;=B909,'632'!$M$5&gt;=B909),"632",IF(AND(L909="642",'642'!$N$5&lt;=B909,'642'!$O$5&gt;=B909),"642",IF(AND(L909="641",'641'!$N$5&lt;=B909,'641'!$O$5&gt;=B909),"641",""))))</f>
        <v/>
      </c>
      <c r="V909" s="51" t="str">
        <f>IF(OR(TH!L909=TH!$V$7,M909=TH!$V$7),"x","")</f>
        <v/>
      </c>
      <c r="W909" s="51" t="str">
        <f>IF(AND(B909&gt;='IN-NX'!$P$3,B909&lt;='IN-NX'!$Q$3,'IN-NX'!$D$7=D909,OR(LEFT(L909,2)="15",AND(LEFT(M909,2)&lt;&gt;"15",LEFT(M909,2)&lt;&gt;"33"))),"x","")</f>
        <v/>
      </c>
      <c r="X909" s="51" t="str">
        <f>IF(AND(OR(LEFT(TH!L909,2)="15",LEFT(TH!M909,2)="15"),'152-CT'!$J$8=TH!F909),"x","")</f>
        <v/>
      </c>
      <c r="Y909" s="51" t="str">
        <f>IF(AND(OR(LEFT(TH!L909,2)="15",LEFT(TH!M909,2)="15"),TK!$E$7=TH!F909),"x","")</f>
        <v/>
      </c>
      <c r="Z909" s="51" t="str">
        <f>IF(AND(B909&lt;=NKC!$N$8,B909&gt;=NKC!$M$8),"x","")</f>
        <v/>
      </c>
      <c r="AA909" s="803"/>
      <c r="AB909" s="565"/>
    </row>
    <row r="910" spans="1:31" s="565" customFormat="1" ht="15.75" customHeight="1">
      <c r="A910" s="804" t="str">
        <f>IF(B910&lt;&gt;"",IF(AND(B910&gt;=_TM1,B910&lt;=_TM2,OR(TH!L910="1111",TH!M910="1111")),TH!D910,""),"")</f>
        <v/>
      </c>
      <c r="B910" s="36">
        <f t="shared" si="57"/>
        <v>10</v>
      </c>
      <c r="C910" s="189">
        <f t="shared" si="58"/>
        <v>42300</v>
      </c>
      <c r="D910" s="189" t="s">
        <v>1299</v>
      </c>
      <c r="E910" s="189">
        <v>42300</v>
      </c>
      <c r="F910" s="926" t="s">
        <v>1075</v>
      </c>
      <c r="G910" s="811" t="s">
        <v>1074</v>
      </c>
      <c r="H910" s="7" t="s">
        <v>445</v>
      </c>
      <c r="I910" s="243">
        <v>200</v>
      </c>
      <c r="J910" s="243">
        <v>2489</v>
      </c>
      <c r="K910" s="573">
        <f>ROUND(I910*J910,0)</f>
        <v>497800</v>
      </c>
      <c r="L910" s="574" t="s">
        <v>250</v>
      </c>
      <c r="M910" s="574" t="s">
        <v>164</v>
      </c>
      <c r="N910" s="51" t="str">
        <f>IF(AND('331-CT'!$E$7=TH!H910,OR(L910="331",M910="331")),"331",IF(AND(OR(L910="131",M910="131"),H910='131-CT'!$E$7),"131",""))</f>
        <v/>
      </c>
      <c r="O910" s="51" t="str">
        <f>IF(AND($B910&gt;='111'!$N$11,$B910&lt;='111'!$O$11,OR($L910=$O$7,$M910=$O$7)),"x","")</f>
        <v/>
      </c>
      <c r="P910" s="51" t="str">
        <f>IF(AND($L910=$O$7,$B910&lt;'111'!$N$11),"x","")</f>
        <v/>
      </c>
      <c r="Q910" s="51" t="str">
        <f>IF(AND($M910=$O$7,$B910&lt;'111'!$N$11),"x","")</f>
        <v/>
      </c>
      <c r="R910" s="51" t="str">
        <f>IF(ISERROR(FIND('112'!$M$9,G910,1)),"",IF((AND(FIND('112'!$M$9,G910,1)&gt;=1,$B910&gt;='112'!$N$8,$B910&lt;='112'!$O$8,OR($L910='112'!$I$6,$M910='112'!$I$6))),"x",""))</f>
        <v/>
      </c>
      <c r="S910" s="51" t="str">
        <f>IF(ISERROR(FIND('112'!$M$9,G910,1)),"",IF((AND(LEFT(G910,2)=LEFT('112'!$M$9,2),B910&lt;'112'!$N$8,$L910='112'!$I$6)),"x",""))</f>
        <v/>
      </c>
      <c r="T910" s="51" t="str">
        <f>IF(ISERROR(FIND('112'!$M$9,G910,1)),"",IF((AND(RIGHT(G910,2)=RIGHT('112'!$M$9,2),B910&lt;'112'!$N$8,$M910='112'!$I$6)),"x",""))</f>
        <v/>
      </c>
      <c r="U910" s="51" t="str">
        <f>IF(AND(L910="154",'154'!$O$5&lt;=B910,'154'!$P$5&gt;=B910),"154",IF(AND(L910="632",'632'!$L$5&lt;=B910,'632'!$M$5&gt;=B910),"632",IF(AND(L910="642",'642'!$N$5&lt;=B910,'642'!$O$5&gt;=B910),"642",IF(AND(L910="641",'641'!$N$5&lt;=B910,'641'!$O$5&gt;=B910),"641",""))))</f>
        <v/>
      </c>
      <c r="V910" s="51" t="str">
        <f>IF(OR(TH!L910=TH!$V$7,M910=TH!$V$7),"x","")</f>
        <v/>
      </c>
      <c r="W910" s="51" t="str">
        <f>IF(AND(B910&gt;='IN-NX'!$P$3,B910&lt;='IN-NX'!$Q$3,'IN-NX'!$D$7=D910,OR(LEFT(L910,2)="15",AND(LEFT(M910,2)&lt;&gt;"15",LEFT(M910,2)&lt;&gt;"33"))),"x","")</f>
        <v/>
      </c>
      <c r="X910" s="51" t="str">
        <f>IF(AND(OR(LEFT(TH!L910,2)="15",LEFT(TH!M910,2)="15"),'152-CT'!$J$8=TH!F910),"x","")</f>
        <v/>
      </c>
      <c r="Y910" s="51" t="str">
        <f>IF(AND(OR(LEFT(TH!L910,2)="15",LEFT(TH!M910,2)="15"),TK!$E$7=TH!F910),"x","")</f>
        <v/>
      </c>
      <c r="Z910" s="51" t="str">
        <f>IF(AND(B910&lt;=NKC!$N$8,B910&gt;=NKC!$M$8),"x","")</f>
        <v/>
      </c>
      <c r="AA910" s="803"/>
      <c r="AC910" s="203"/>
      <c r="AD910" s="203"/>
      <c r="AE910" s="203"/>
    </row>
    <row r="911" spans="1:31" s="565" customFormat="1" ht="15.75" customHeight="1">
      <c r="A911" s="804" t="str">
        <f>IF(B911&lt;&gt;"",IF(AND(B911&gt;=_TM1,B911&lt;=_TM2,OR(TH!L911="1111",TH!M911="1111")),TH!D911,""),"")</f>
        <v/>
      </c>
      <c r="B911" s="36">
        <f t="shared" si="57"/>
        <v>10</v>
      </c>
      <c r="C911" s="189">
        <f t="shared" si="58"/>
        <v>42300</v>
      </c>
      <c r="D911" s="189" t="s">
        <v>1299</v>
      </c>
      <c r="E911" s="189">
        <v>42300</v>
      </c>
      <c r="F911" s="926" t="s">
        <v>962</v>
      </c>
      <c r="G911" s="811" t="s">
        <v>1074</v>
      </c>
      <c r="H911" s="7" t="s">
        <v>445</v>
      </c>
      <c r="I911" s="243"/>
      <c r="J911" s="243"/>
      <c r="K911" s="573">
        <v>123220</v>
      </c>
      <c r="L911" s="574" t="s">
        <v>250</v>
      </c>
      <c r="M911" s="574" t="s">
        <v>352</v>
      </c>
      <c r="N911" s="51" t="str">
        <f>IF(AND('331-CT'!$E$7=TH!H911,OR(L911="331",M911="331")),"331",IF(AND(OR(L911="131",M911="131"),H911='131-CT'!$E$7),"131",""))</f>
        <v/>
      </c>
      <c r="O911" s="51" t="str">
        <f>IF(AND($B911&gt;='111'!$N$11,$B911&lt;='111'!$O$11,OR($L911=$O$7,$M911=$O$7)),"x","")</f>
        <v/>
      </c>
      <c r="P911" s="51" t="str">
        <f>IF(AND($L911=$O$7,$B911&lt;'111'!$N$11),"x","")</f>
        <v/>
      </c>
      <c r="Q911" s="51" t="str">
        <f>IF(AND($M911=$O$7,$B911&lt;'111'!$N$11),"x","")</f>
        <v/>
      </c>
      <c r="R911" s="51" t="str">
        <f>IF(ISERROR(FIND('112'!$M$9,G911,1)),"",IF((AND(FIND('112'!$M$9,G911,1)&gt;=1,$B911&gt;='112'!$N$8,$B911&lt;='112'!$O$8,OR($L911='112'!$I$6,$M911='112'!$I$6))),"x",""))</f>
        <v/>
      </c>
      <c r="S911" s="51" t="str">
        <f>IF(ISERROR(FIND('112'!$M$9,G911,1)),"",IF((AND(LEFT(G911,2)=LEFT('112'!$M$9,2),B911&lt;'112'!$N$8,$L911='112'!$I$6)),"x",""))</f>
        <v/>
      </c>
      <c r="T911" s="51" t="str">
        <f>IF(ISERROR(FIND('112'!$M$9,G911,1)),"",IF((AND(RIGHT(G911,2)=RIGHT('112'!$M$9,2),B911&lt;'112'!$N$8,$M911='112'!$I$6)),"x",""))</f>
        <v/>
      </c>
      <c r="U911" s="51" t="str">
        <f>IF(AND(L911="154",'154'!$O$5&lt;=B911,'154'!$P$5&gt;=B911),"154",IF(AND(L911="632",'632'!$L$5&lt;=B911,'632'!$M$5&gt;=B911),"632",IF(AND(L911="642",'642'!$N$5&lt;=B911,'642'!$O$5&gt;=B911),"642",IF(AND(L911="641",'641'!$N$5&lt;=B911,'641'!$O$5&gt;=B911),"641",""))))</f>
        <v/>
      </c>
      <c r="V911" s="51" t="str">
        <f>IF(OR(TH!L911=TH!$V$7,M911=TH!$V$7),"x","")</f>
        <v/>
      </c>
      <c r="W911" s="51" t="str">
        <f>IF(AND(B911&gt;='IN-NX'!$P$3,B911&lt;='IN-NX'!$Q$3,'IN-NX'!$D$7=D911,OR(LEFT(L911,2)="15",AND(LEFT(M911,2)&lt;&gt;"15",LEFT(M911,2)&lt;&gt;"33"))),"x","")</f>
        <v/>
      </c>
      <c r="X911" s="51" t="str">
        <f>IF(AND(OR(LEFT(TH!L911,2)="15",LEFT(TH!M911,2)="15"),'152-CT'!$J$8=TH!F911),"x","")</f>
        <v/>
      </c>
      <c r="Y911" s="51" t="str">
        <f>IF(AND(OR(LEFT(TH!L911,2)="15",LEFT(TH!M911,2)="15"),TK!$E$7=TH!F911),"x","")</f>
        <v/>
      </c>
      <c r="Z911" s="51" t="str">
        <f>IF(AND(B911&lt;=NKC!$N$8,B911&gt;=NKC!$M$8),"x","")</f>
        <v/>
      </c>
      <c r="AA911" s="803"/>
      <c r="AC911" s="203"/>
      <c r="AD911" s="203"/>
      <c r="AE911" s="203"/>
    </row>
    <row r="912" spans="1:31" s="565" customFormat="1" ht="15.75" customHeight="1">
      <c r="A912" s="804" t="str">
        <f>IF(B912&lt;&gt;"",IF(AND(B912&gt;=_TM1,B912&lt;=_TM2,OR(TH!L912="1111",TH!M912="1111")),TH!D912,""),"")</f>
        <v/>
      </c>
      <c r="B912" s="36">
        <f t="shared" si="57"/>
        <v>10</v>
      </c>
      <c r="C912" s="189">
        <f t="shared" si="58"/>
        <v>42301</v>
      </c>
      <c r="D912" s="189" t="s">
        <v>1300</v>
      </c>
      <c r="E912" s="189">
        <v>42301</v>
      </c>
      <c r="F912" s="926" t="s">
        <v>620</v>
      </c>
      <c r="G912" s="811" t="s">
        <v>1076</v>
      </c>
      <c r="H912" s="191" t="s">
        <v>414</v>
      </c>
      <c r="I912" s="243">
        <v>1000</v>
      </c>
      <c r="J912" s="243">
        <v>10500</v>
      </c>
      <c r="K912" s="573">
        <f>ROUND(I912*J912,0)</f>
        <v>10500000</v>
      </c>
      <c r="L912" s="574" t="s">
        <v>250</v>
      </c>
      <c r="M912" s="574" t="s">
        <v>164</v>
      </c>
      <c r="N912" s="51" t="str">
        <f>IF(AND('331-CT'!$E$7=TH!H912,OR(L912="331",M912="331")),"331",IF(AND(OR(L912="131",M912="131"),H912='131-CT'!$E$7),"131",""))</f>
        <v/>
      </c>
      <c r="O912" s="51" t="str">
        <f>IF(AND($B912&gt;='111'!$N$11,$B912&lt;='111'!$O$11,OR($L912=$O$7,$M912=$O$7)),"x","")</f>
        <v/>
      </c>
      <c r="P912" s="51" t="str">
        <f>IF(AND($L912=$O$7,$B912&lt;'111'!$N$11),"x","")</f>
        <v/>
      </c>
      <c r="Q912" s="51" t="str">
        <f>IF(AND($M912=$O$7,$B912&lt;'111'!$N$11),"x","")</f>
        <v/>
      </c>
      <c r="R912" s="51" t="str">
        <f>IF(ISERROR(FIND('112'!$M$9,G912,1)),"",IF((AND(FIND('112'!$M$9,G912,1)&gt;=1,$B912&gt;='112'!$N$8,$B912&lt;='112'!$O$8,OR($L912='112'!$I$6,$M912='112'!$I$6))),"x",""))</f>
        <v/>
      </c>
      <c r="S912" s="51" t="str">
        <f>IF(ISERROR(FIND('112'!$M$9,G912,1)),"",IF((AND(LEFT(G912,2)=LEFT('112'!$M$9,2),B912&lt;'112'!$N$8,$L912='112'!$I$6)),"x",""))</f>
        <v/>
      </c>
      <c r="T912" s="51" t="str">
        <f>IF(ISERROR(FIND('112'!$M$9,G912,1)),"",IF((AND(RIGHT(G912,2)=RIGHT('112'!$M$9,2),B912&lt;'112'!$N$8,$M912='112'!$I$6)),"x",""))</f>
        <v/>
      </c>
      <c r="U912" s="51" t="str">
        <f>IF(AND(L912="154",'154'!$O$5&lt;=B912,'154'!$P$5&gt;=B912),"154",IF(AND(L912="632",'632'!$L$5&lt;=B912,'632'!$M$5&gt;=B912),"632",IF(AND(L912="642",'642'!$N$5&lt;=B912,'642'!$O$5&gt;=B912),"642",IF(AND(L912="641",'641'!$N$5&lt;=B912,'641'!$O$5&gt;=B912),"641",""))))</f>
        <v/>
      </c>
      <c r="V912" s="51" t="str">
        <f>IF(OR(TH!L912=TH!$V$7,M912=TH!$V$7),"x","")</f>
        <v/>
      </c>
      <c r="W912" s="51" t="str">
        <f>IF(AND(B912&gt;='IN-NX'!$P$3,B912&lt;='IN-NX'!$Q$3,'IN-NX'!$D$7=D912,OR(LEFT(L912,2)="15",AND(LEFT(M912,2)&lt;&gt;"15",LEFT(M912,2)&lt;&gt;"33"))),"x","")</f>
        <v/>
      </c>
      <c r="X912" s="51" t="str">
        <f>IF(AND(OR(LEFT(TH!L912,2)="15",LEFT(TH!M912,2)="15"),'152-CT'!$J$8=TH!F912),"x","")</f>
        <v/>
      </c>
      <c r="Y912" s="51" t="str">
        <f>IF(AND(OR(LEFT(TH!L912,2)="15",LEFT(TH!M912,2)="15"),TK!$E$7=TH!F912),"x","")</f>
        <v/>
      </c>
      <c r="Z912" s="51" t="str">
        <f>IF(AND(B912&lt;=NKC!$N$8,B912&gt;=NKC!$M$8),"x","")</f>
        <v/>
      </c>
      <c r="AA912" s="803"/>
      <c r="AC912" s="203"/>
      <c r="AD912" s="203"/>
      <c r="AE912" s="203"/>
    </row>
    <row r="913" spans="1:31" s="565" customFormat="1" ht="15.75" customHeight="1">
      <c r="A913" s="804" t="str">
        <f>IF(B913&lt;&gt;"",IF(AND(B913&gt;=_TM1,B913&lt;=_TM2,OR(TH!L913="1111",TH!M913="1111")),TH!D913,""),"")</f>
        <v/>
      </c>
      <c r="B913" s="36">
        <f t="shared" si="57"/>
        <v>10</v>
      </c>
      <c r="C913" s="189">
        <f t="shared" si="58"/>
        <v>42301</v>
      </c>
      <c r="D913" s="189" t="s">
        <v>1300</v>
      </c>
      <c r="E913" s="189">
        <v>42301</v>
      </c>
      <c r="F913" s="922" t="s">
        <v>705</v>
      </c>
      <c r="G913" s="811" t="s">
        <v>1076</v>
      </c>
      <c r="H913" s="191" t="s">
        <v>414</v>
      </c>
      <c r="I913" s="243"/>
      <c r="J913" s="243"/>
      <c r="K913" s="573">
        <v>1050000</v>
      </c>
      <c r="L913" s="574" t="s">
        <v>250</v>
      </c>
      <c r="M913" s="574" t="s">
        <v>352</v>
      </c>
      <c r="N913" s="51" t="str">
        <f>IF(AND('331-CT'!$E$7=TH!H913,OR(L913="331",M913="331")),"331",IF(AND(OR(L913="131",M913="131"),H913='131-CT'!$E$7),"131",""))</f>
        <v/>
      </c>
      <c r="O913" s="51" t="str">
        <f>IF(AND($B913&gt;='111'!$N$11,$B913&lt;='111'!$O$11,OR($L913=$O$7,$M913=$O$7)),"x","")</f>
        <v/>
      </c>
      <c r="P913" s="51" t="str">
        <f>IF(AND($L913=$O$7,$B913&lt;'111'!$N$11),"x","")</f>
        <v/>
      </c>
      <c r="Q913" s="51" t="str">
        <f>IF(AND($M913=$O$7,$B913&lt;'111'!$N$11),"x","")</f>
        <v/>
      </c>
      <c r="R913" s="51" t="str">
        <f>IF(ISERROR(FIND('112'!$M$9,G913,1)),"",IF((AND(FIND('112'!$M$9,G913,1)&gt;=1,$B913&gt;='112'!$N$8,$B913&lt;='112'!$O$8,OR($L913='112'!$I$6,$M913='112'!$I$6))),"x",""))</f>
        <v/>
      </c>
      <c r="S913" s="51" t="str">
        <f>IF(ISERROR(FIND('112'!$M$9,G913,1)),"",IF((AND(LEFT(G913,2)=LEFT('112'!$M$9,2),B913&lt;'112'!$N$8,$L913='112'!$I$6)),"x",""))</f>
        <v/>
      </c>
      <c r="T913" s="51" t="str">
        <f>IF(ISERROR(FIND('112'!$M$9,G913,1)),"",IF((AND(RIGHT(G913,2)=RIGHT('112'!$M$9,2),B913&lt;'112'!$N$8,$M913='112'!$I$6)),"x",""))</f>
        <v/>
      </c>
      <c r="U913" s="51" t="str">
        <f>IF(AND(L913="154",'154'!$O$5&lt;=B913,'154'!$P$5&gt;=B913),"154",IF(AND(L913="632",'632'!$L$5&lt;=B913,'632'!$M$5&gt;=B913),"632",IF(AND(L913="642",'642'!$N$5&lt;=B913,'642'!$O$5&gt;=B913),"642",IF(AND(L913="641",'641'!$N$5&lt;=B913,'641'!$O$5&gt;=B913),"641",""))))</f>
        <v/>
      </c>
      <c r="V913" s="51" t="str">
        <f>IF(OR(TH!L913=TH!$V$7,M913=TH!$V$7),"x","")</f>
        <v/>
      </c>
      <c r="W913" s="51" t="str">
        <f>IF(AND(B913&gt;='IN-NX'!$P$3,B913&lt;='IN-NX'!$Q$3,'IN-NX'!$D$7=D913,OR(LEFT(L913,2)="15",AND(LEFT(M913,2)&lt;&gt;"15",LEFT(M913,2)&lt;&gt;"33"))),"x","")</f>
        <v/>
      </c>
      <c r="X913" s="51" t="str">
        <f>IF(AND(OR(LEFT(TH!L913,2)="15",LEFT(TH!M913,2)="15"),'152-CT'!$J$8=TH!F913),"x","")</f>
        <v/>
      </c>
      <c r="Y913" s="51" t="str">
        <f>IF(AND(OR(LEFT(TH!L913,2)="15",LEFT(TH!M913,2)="15"),TK!$E$7=TH!F913),"x","")</f>
        <v/>
      </c>
      <c r="Z913" s="51" t="str">
        <f>IF(AND(B913&lt;=NKC!$N$8,B913&gt;=NKC!$M$8),"x","")</f>
        <v/>
      </c>
      <c r="AA913" s="803"/>
      <c r="AC913" s="203"/>
      <c r="AD913" s="203"/>
      <c r="AE913" s="203"/>
    </row>
    <row r="914" spans="1:31" s="565" customFormat="1" ht="15.75" customHeight="1">
      <c r="A914" s="804" t="str">
        <f>IF(B914&lt;&gt;"",IF(AND(B914&gt;=_TM1,B914&lt;=_TM2,OR(TH!L914="1111",TH!M914="1111")),TH!D914,""),"")</f>
        <v/>
      </c>
      <c r="B914" s="36">
        <f t="shared" si="57"/>
        <v>10</v>
      </c>
      <c r="C914" s="189">
        <f t="shared" si="58"/>
        <v>42301</v>
      </c>
      <c r="D914" s="189" t="s">
        <v>1300</v>
      </c>
      <c r="E914" s="189">
        <v>42301</v>
      </c>
      <c r="F914" s="190" t="s">
        <v>621</v>
      </c>
      <c r="G914" s="811" t="s">
        <v>1077</v>
      </c>
      <c r="H914" s="7" t="s">
        <v>416</v>
      </c>
      <c r="I914" s="243">
        <v>1000</v>
      </c>
      <c r="J914" s="243">
        <v>12500</v>
      </c>
      <c r="K914" s="573">
        <f>ROUND(I914*J914,0)</f>
        <v>12500000</v>
      </c>
      <c r="L914" s="574" t="s">
        <v>250</v>
      </c>
      <c r="M914" s="574" t="s">
        <v>164</v>
      </c>
      <c r="N914" s="51" t="str">
        <f>IF(AND('331-CT'!$E$7=TH!H914,OR(L914="331",M914="331")),"331",IF(AND(OR(L914="131",M914="131"),H914='131-CT'!$E$7),"131",""))</f>
        <v/>
      </c>
      <c r="O914" s="51" t="str">
        <f>IF(AND($B914&gt;='111'!$N$11,$B914&lt;='111'!$O$11,OR($L914=$O$7,$M914=$O$7)),"x","")</f>
        <v/>
      </c>
      <c r="P914" s="51" t="str">
        <f>IF(AND($L914=$O$7,$B914&lt;'111'!$N$11),"x","")</f>
        <v/>
      </c>
      <c r="Q914" s="51" t="str">
        <f>IF(AND($M914=$O$7,$B914&lt;'111'!$N$11),"x","")</f>
        <v/>
      </c>
      <c r="R914" s="51" t="str">
        <f>IF(ISERROR(FIND('112'!$M$9,G914,1)),"",IF((AND(FIND('112'!$M$9,G914,1)&gt;=1,$B914&gt;='112'!$N$8,$B914&lt;='112'!$O$8,OR($L914='112'!$I$6,$M914='112'!$I$6))),"x",""))</f>
        <v/>
      </c>
      <c r="S914" s="51" t="str">
        <f>IF(ISERROR(FIND('112'!$M$9,G914,1)),"",IF((AND(LEFT(G914,2)=LEFT('112'!$M$9,2),B914&lt;'112'!$N$8,$L914='112'!$I$6)),"x",""))</f>
        <v/>
      </c>
      <c r="T914" s="51" t="str">
        <f>IF(ISERROR(FIND('112'!$M$9,G914,1)),"",IF((AND(RIGHT(G914,2)=RIGHT('112'!$M$9,2),B914&lt;'112'!$N$8,$M914='112'!$I$6)),"x",""))</f>
        <v/>
      </c>
      <c r="U914" s="51" t="str">
        <f>IF(AND(L914="154",'154'!$O$5&lt;=B914,'154'!$P$5&gt;=B914),"154",IF(AND(L914="632",'632'!$L$5&lt;=B914,'632'!$M$5&gt;=B914),"632",IF(AND(L914="642",'642'!$N$5&lt;=B914,'642'!$O$5&gt;=B914),"642",IF(AND(L914="641",'641'!$N$5&lt;=B914,'641'!$O$5&gt;=B914),"641",""))))</f>
        <v/>
      </c>
      <c r="V914" s="51" t="str">
        <f>IF(OR(TH!L914=TH!$V$7,M914=TH!$V$7),"x","")</f>
        <v/>
      </c>
      <c r="W914" s="51" t="str">
        <f>IF(AND(B914&gt;='IN-NX'!$P$3,B914&lt;='IN-NX'!$Q$3,'IN-NX'!$D$7=D914,OR(LEFT(L914,2)="15",AND(LEFT(M914,2)&lt;&gt;"15",LEFT(M914,2)&lt;&gt;"33"))),"x","")</f>
        <v/>
      </c>
      <c r="X914" s="51" t="str">
        <f>IF(AND(OR(LEFT(TH!L914,2)="15",LEFT(TH!M914,2)="15"),'152-CT'!$J$8=TH!F914),"x","")</f>
        <v/>
      </c>
      <c r="Y914" s="51" t="str">
        <f>IF(AND(OR(LEFT(TH!L914,2)="15",LEFT(TH!M914,2)="15"),TK!$E$7=TH!F914),"x","")</f>
        <v/>
      </c>
      <c r="Z914" s="51" t="str">
        <f>IF(AND(B914&lt;=NKC!$N$8,B914&gt;=NKC!$M$8),"x","")</f>
        <v/>
      </c>
      <c r="AA914" s="803"/>
      <c r="AC914" s="203"/>
      <c r="AD914" s="203"/>
      <c r="AE914" s="203"/>
    </row>
    <row r="915" spans="1:31" s="565" customFormat="1" ht="15.75" customHeight="1">
      <c r="A915" s="804" t="str">
        <f>IF(B915&lt;&gt;"",IF(AND(B915&gt;=_TM1,B915&lt;=_TM2,OR(TH!L915="1111",TH!M915="1111")),TH!D915,""),"")</f>
        <v/>
      </c>
      <c r="B915" s="36">
        <f t="shared" si="57"/>
        <v>10</v>
      </c>
      <c r="C915" s="189">
        <f t="shared" si="58"/>
        <v>42301</v>
      </c>
      <c r="D915" s="189" t="s">
        <v>1300</v>
      </c>
      <c r="E915" s="189">
        <v>42301</v>
      </c>
      <c r="F915" s="190" t="s">
        <v>705</v>
      </c>
      <c r="G915" s="811" t="s">
        <v>1077</v>
      </c>
      <c r="H915" s="7" t="s">
        <v>416</v>
      </c>
      <c r="I915" s="243"/>
      <c r="J915" s="243"/>
      <c r="K915" s="573">
        <v>1255000</v>
      </c>
      <c r="L915" s="574" t="s">
        <v>250</v>
      </c>
      <c r="M915" s="574" t="s">
        <v>352</v>
      </c>
      <c r="N915" s="51" t="str">
        <f>IF(AND('331-CT'!$E$7=TH!H915,OR(L915="331",M915="331")),"331",IF(AND(OR(L915="131",M915="131"),H915='131-CT'!$E$7),"131",""))</f>
        <v/>
      </c>
      <c r="O915" s="51" t="str">
        <f>IF(AND($B915&gt;='111'!$N$11,$B915&lt;='111'!$O$11,OR($L915=$O$7,$M915=$O$7)),"x","")</f>
        <v/>
      </c>
      <c r="P915" s="51" t="str">
        <f>IF(AND($L915=$O$7,$B915&lt;'111'!$N$11),"x","")</f>
        <v/>
      </c>
      <c r="Q915" s="51" t="str">
        <f>IF(AND($M915=$O$7,$B915&lt;'111'!$N$11),"x","")</f>
        <v/>
      </c>
      <c r="R915" s="51" t="str">
        <f>IF(ISERROR(FIND('112'!$M$9,G915,1)),"",IF((AND(FIND('112'!$M$9,G915,1)&gt;=1,$B915&gt;='112'!$N$8,$B915&lt;='112'!$O$8,OR($L915='112'!$I$6,$M915='112'!$I$6))),"x",""))</f>
        <v/>
      </c>
      <c r="S915" s="51" t="str">
        <f>IF(ISERROR(FIND('112'!$M$9,G915,1)),"",IF((AND(LEFT(G915,2)=LEFT('112'!$M$9,2),B915&lt;'112'!$N$8,$L915='112'!$I$6)),"x",""))</f>
        <v/>
      </c>
      <c r="T915" s="51" t="str">
        <f>IF(ISERROR(FIND('112'!$M$9,G915,1)),"",IF((AND(RIGHT(G915,2)=RIGHT('112'!$M$9,2),B915&lt;'112'!$N$8,$M915='112'!$I$6)),"x",""))</f>
        <v/>
      </c>
      <c r="U915" s="51" t="str">
        <f>IF(AND(L915="154",'154'!$O$5&lt;=B915,'154'!$P$5&gt;=B915),"154",IF(AND(L915="632",'632'!$L$5&lt;=B915,'632'!$M$5&gt;=B915),"632",IF(AND(L915="642",'642'!$N$5&lt;=B915,'642'!$O$5&gt;=B915),"642",IF(AND(L915="641",'641'!$N$5&lt;=B915,'641'!$O$5&gt;=B915),"641",""))))</f>
        <v/>
      </c>
      <c r="V915" s="51" t="str">
        <f>IF(OR(TH!L915=TH!$V$7,M915=TH!$V$7),"x","")</f>
        <v/>
      </c>
      <c r="W915" s="51" t="str">
        <f>IF(AND(B915&gt;='IN-NX'!$P$3,B915&lt;='IN-NX'!$Q$3,'IN-NX'!$D$7=D915,OR(LEFT(L915,2)="15",AND(LEFT(M915,2)&lt;&gt;"15",LEFT(M915,2)&lt;&gt;"33"))),"x","")</f>
        <v/>
      </c>
      <c r="X915" s="51" t="str">
        <f>IF(AND(OR(LEFT(TH!L915,2)="15",LEFT(TH!M915,2)="15"),'152-CT'!$J$8=TH!F915),"x","")</f>
        <v/>
      </c>
      <c r="Y915" s="51" t="str">
        <f>IF(AND(OR(LEFT(TH!L915,2)="15",LEFT(TH!M915,2)="15"),TK!$E$7=TH!F915),"x","")</f>
        <v/>
      </c>
      <c r="Z915" s="51" t="str">
        <f>IF(AND(B915&lt;=NKC!$N$8,B915&gt;=NKC!$M$8),"x","")</f>
        <v/>
      </c>
      <c r="AA915" s="803"/>
      <c r="AC915" s="203"/>
      <c r="AD915" s="203"/>
      <c r="AE915" s="203"/>
    </row>
    <row r="916" spans="1:31" s="565" customFormat="1" ht="15.75" customHeight="1">
      <c r="A916" s="804" t="str">
        <f>IF(B916&lt;&gt;"",IF(AND(B916&gt;=_TM1,B916&lt;=_TM2,OR(TH!L916="1111",TH!M916="1111")),TH!D916,""),"")</f>
        <v/>
      </c>
      <c r="B916" s="36">
        <f t="shared" si="57"/>
        <v>10</v>
      </c>
      <c r="C916" s="189">
        <f t="shared" si="58"/>
        <v>42301</v>
      </c>
      <c r="D916" s="189" t="s">
        <v>1301</v>
      </c>
      <c r="E916" s="189">
        <v>42301</v>
      </c>
      <c r="F916" s="190" t="s">
        <v>1254</v>
      </c>
      <c r="G916" s="811" t="s">
        <v>1078</v>
      </c>
      <c r="H916" s="191" t="s">
        <v>1027</v>
      </c>
      <c r="I916" s="243">
        <v>200</v>
      </c>
      <c r="J916" s="243">
        <v>19300</v>
      </c>
      <c r="K916" s="573">
        <f>ROUND(I916*J916,0)</f>
        <v>3860000</v>
      </c>
      <c r="L916" s="574" t="s">
        <v>250</v>
      </c>
      <c r="M916" s="574" t="s">
        <v>164</v>
      </c>
      <c r="N916" s="51" t="str">
        <f>IF(AND('331-CT'!$E$7=TH!H916,OR(L916="331",M916="331")),"331",IF(AND(OR(L916="131",M916="131"),H916='131-CT'!$E$7),"131",""))</f>
        <v>131</v>
      </c>
      <c r="O916" s="51" t="str">
        <f>IF(AND($B916&gt;='111'!$N$11,$B916&lt;='111'!$O$11,OR($L916=$O$7,$M916=$O$7)),"x","")</f>
        <v/>
      </c>
      <c r="P916" s="51" t="str">
        <f>IF(AND($L916=$O$7,$B916&lt;'111'!$N$11),"x","")</f>
        <v/>
      </c>
      <c r="Q916" s="51" t="str">
        <f>IF(AND($M916=$O$7,$B916&lt;'111'!$N$11),"x","")</f>
        <v/>
      </c>
      <c r="R916" s="51" t="str">
        <f>IF(ISERROR(FIND('112'!$M$9,G916,1)),"",IF((AND(FIND('112'!$M$9,G916,1)&gt;=1,$B916&gt;='112'!$N$8,$B916&lt;='112'!$O$8,OR($L916='112'!$I$6,$M916='112'!$I$6))),"x",""))</f>
        <v/>
      </c>
      <c r="S916" s="51" t="str">
        <f>IF(ISERROR(FIND('112'!$M$9,G916,1)),"",IF((AND(LEFT(G916,2)=LEFT('112'!$M$9,2),B916&lt;'112'!$N$8,$L916='112'!$I$6)),"x",""))</f>
        <v/>
      </c>
      <c r="T916" s="51" t="str">
        <f>IF(ISERROR(FIND('112'!$M$9,G916,1)),"",IF((AND(RIGHT(G916,2)=RIGHT('112'!$M$9,2),B916&lt;'112'!$N$8,$M916='112'!$I$6)),"x",""))</f>
        <v/>
      </c>
      <c r="U916" s="51" t="str">
        <f>IF(AND(L916="154",'154'!$O$5&lt;=B916,'154'!$P$5&gt;=B916),"154",IF(AND(L916="632",'632'!$L$5&lt;=B916,'632'!$M$5&gt;=B916),"632",IF(AND(L916="642",'642'!$N$5&lt;=B916,'642'!$O$5&gt;=B916),"642",IF(AND(L916="641",'641'!$N$5&lt;=B916,'641'!$O$5&gt;=B916),"641",""))))</f>
        <v/>
      </c>
      <c r="V916" s="51" t="str">
        <f>IF(OR(TH!L916=TH!$V$7,M916=TH!$V$7),"x","")</f>
        <v/>
      </c>
      <c r="W916" s="51" t="str">
        <f>IF(AND(B916&gt;='IN-NX'!$P$3,B916&lt;='IN-NX'!$Q$3,'IN-NX'!$D$7=D916,OR(LEFT(L916,2)="15",AND(LEFT(M916,2)&lt;&gt;"15",LEFT(M916,2)&lt;&gt;"33"))),"x","")</f>
        <v/>
      </c>
      <c r="X916" s="51" t="str">
        <f>IF(AND(OR(LEFT(TH!L916,2)="15",LEFT(TH!M916,2)="15"),'152-CT'!$J$8=TH!F916),"x","")</f>
        <v/>
      </c>
      <c r="Y916" s="51" t="str">
        <f>IF(AND(OR(LEFT(TH!L916,2)="15",LEFT(TH!M916,2)="15"),TK!$E$7=TH!F916),"x","")</f>
        <v/>
      </c>
      <c r="Z916" s="51" t="str">
        <f>IF(AND(B916&lt;=NKC!$N$8,B916&gt;=NKC!$M$8),"x","")</f>
        <v/>
      </c>
      <c r="AA916" s="803"/>
      <c r="AC916" s="203"/>
      <c r="AD916" s="203"/>
      <c r="AE916" s="203"/>
    </row>
    <row r="917" spans="1:31" s="565" customFormat="1" ht="15.75" customHeight="1">
      <c r="A917" s="804" t="str">
        <f>IF(B917&lt;&gt;"",IF(AND(B917&gt;=_TM1,B917&lt;=_TM2,OR(TH!L917="1111",TH!M917="1111")),TH!D917,""),"")</f>
        <v/>
      </c>
      <c r="B917" s="36">
        <f t="shared" si="57"/>
        <v>10</v>
      </c>
      <c r="C917" s="189">
        <f t="shared" si="58"/>
        <v>42301</v>
      </c>
      <c r="D917" s="189" t="s">
        <v>1301</v>
      </c>
      <c r="E917" s="189">
        <v>42301</v>
      </c>
      <c r="F917" s="190" t="s">
        <v>962</v>
      </c>
      <c r="G917" s="811" t="s">
        <v>1078</v>
      </c>
      <c r="H917" s="191" t="s">
        <v>1027</v>
      </c>
      <c r="I917" s="243"/>
      <c r="J917" s="243"/>
      <c r="K917" s="573">
        <v>386000</v>
      </c>
      <c r="L917" s="574" t="s">
        <v>250</v>
      </c>
      <c r="M917" s="574" t="s">
        <v>352</v>
      </c>
      <c r="N917" s="51" t="str">
        <f>IF(AND('331-CT'!$E$7=TH!H917,OR(L917="331",M917="331")),"331",IF(AND(OR(L917="131",M917="131"),H917='131-CT'!$E$7),"131",""))</f>
        <v>131</v>
      </c>
      <c r="O917" s="51" t="str">
        <f>IF(AND($B917&gt;='111'!$N$11,$B917&lt;='111'!$O$11,OR($L917=$O$7,$M917=$O$7)),"x","")</f>
        <v/>
      </c>
      <c r="P917" s="51" t="str">
        <f>IF(AND($L917=$O$7,$B917&lt;'111'!$N$11),"x","")</f>
        <v/>
      </c>
      <c r="Q917" s="51" t="str">
        <f>IF(AND($M917=$O$7,$B917&lt;'111'!$N$11),"x","")</f>
        <v/>
      </c>
      <c r="R917" s="51" t="str">
        <f>IF(ISERROR(FIND('112'!$M$9,G917,1)),"",IF((AND(FIND('112'!$M$9,G917,1)&gt;=1,$B917&gt;='112'!$N$8,$B917&lt;='112'!$O$8,OR($L917='112'!$I$6,$M917='112'!$I$6))),"x",""))</f>
        <v/>
      </c>
      <c r="S917" s="51" t="str">
        <f>IF(ISERROR(FIND('112'!$M$9,G917,1)),"",IF((AND(LEFT(G917,2)=LEFT('112'!$M$9,2),B917&lt;'112'!$N$8,$L917='112'!$I$6)),"x",""))</f>
        <v/>
      </c>
      <c r="T917" s="51" t="str">
        <f>IF(ISERROR(FIND('112'!$M$9,G917,1)),"",IF((AND(RIGHT(G917,2)=RIGHT('112'!$M$9,2),B917&lt;'112'!$N$8,$M917='112'!$I$6)),"x",""))</f>
        <v/>
      </c>
      <c r="U917" s="51" t="str">
        <f>IF(AND(L917="154",'154'!$O$5&lt;=B917,'154'!$P$5&gt;=B917),"154",IF(AND(L917="632",'632'!$L$5&lt;=B917,'632'!$M$5&gt;=B917),"632",IF(AND(L917="642",'642'!$N$5&lt;=B917,'642'!$O$5&gt;=B917),"642",IF(AND(L917="641",'641'!$N$5&lt;=B917,'641'!$O$5&gt;=B917),"641",""))))</f>
        <v/>
      </c>
      <c r="V917" s="51" t="str">
        <f>IF(OR(TH!L917=TH!$V$7,M917=TH!$V$7),"x","")</f>
        <v/>
      </c>
      <c r="W917" s="51" t="str">
        <f>IF(AND(B917&gt;='IN-NX'!$P$3,B917&lt;='IN-NX'!$Q$3,'IN-NX'!$D$7=D917,OR(LEFT(L917,2)="15",AND(LEFT(M917,2)&lt;&gt;"15",LEFT(M917,2)&lt;&gt;"33"))),"x","")</f>
        <v/>
      </c>
      <c r="X917" s="51" t="str">
        <f>IF(AND(OR(LEFT(TH!L917,2)="15",LEFT(TH!M917,2)="15"),'152-CT'!$J$8=TH!F917),"x","")</f>
        <v/>
      </c>
      <c r="Y917" s="51" t="str">
        <f>IF(AND(OR(LEFT(TH!L917,2)="15",LEFT(TH!M917,2)="15"),TK!$E$7=TH!F917),"x","")</f>
        <v/>
      </c>
      <c r="Z917" s="51" t="str">
        <f>IF(AND(B917&lt;=NKC!$N$8,B917&gt;=NKC!$M$8),"x","")</f>
        <v/>
      </c>
      <c r="AA917" s="803"/>
      <c r="AC917" s="203"/>
      <c r="AD917" s="203"/>
      <c r="AE917" s="203"/>
    </row>
    <row r="918" spans="1:31" s="565" customFormat="1" ht="15.75" customHeight="1">
      <c r="A918" s="804" t="str">
        <f>IF(B918&lt;&gt;"",IF(AND(B918&gt;=_TM1,B918&lt;=_TM2,OR(TH!L918="1111",TH!M918="1111")),TH!D918,""),"")</f>
        <v/>
      </c>
      <c r="B918" s="36">
        <f t="shared" si="57"/>
        <v>10</v>
      </c>
      <c r="C918" s="189">
        <f t="shared" si="58"/>
        <v>42301</v>
      </c>
      <c r="D918" s="189" t="s">
        <v>1359</v>
      </c>
      <c r="E918" s="189">
        <v>42301</v>
      </c>
      <c r="F918" s="190" t="s">
        <v>423</v>
      </c>
      <c r="G918" s="811" t="s">
        <v>1078</v>
      </c>
      <c r="H918" s="191" t="s">
        <v>1027</v>
      </c>
      <c r="I918" s="243"/>
      <c r="J918" s="243"/>
      <c r="K918" s="573">
        <v>4246000</v>
      </c>
      <c r="L918" s="574" t="s">
        <v>47</v>
      </c>
      <c r="M918" s="574" t="s">
        <v>250</v>
      </c>
      <c r="N918" s="51" t="str">
        <f>IF(AND('331-CT'!$E$7=TH!H918,OR(L918="331",M918="331")),"331",IF(AND(OR(L918="131",M918="131"),H918='131-CT'!$E$7),"131",""))</f>
        <v>131</v>
      </c>
      <c r="O918" s="51" t="str">
        <f>IF(AND($B918&gt;='111'!$N$11,$B918&lt;='111'!$O$11,OR($L918=$O$7,$M918=$O$7)),"x","")</f>
        <v>x</v>
      </c>
      <c r="P918" s="51" t="str">
        <f>IF(AND($L918=$O$7,$B918&lt;'111'!$N$11),"x","")</f>
        <v/>
      </c>
      <c r="Q918" s="51" t="str">
        <f>IF(AND($M918=$O$7,$B918&lt;'111'!$N$11),"x","")</f>
        <v/>
      </c>
      <c r="R918" s="51" t="str">
        <f>IF(ISERROR(FIND('112'!$M$9,G918,1)),"",IF((AND(FIND('112'!$M$9,G918,1)&gt;=1,$B918&gt;='112'!$N$8,$B918&lt;='112'!$O$8,OR($L918='112'!$I$6,$M918='112'!$I$6))),"x",""))</f>
        <v/>
      </c>
      <c r="S918" s="51" t="str">
        <f>IF(ISERROR(FIND('112'!$M$9,G918,1)),"",IF((AND(LEFT(G918,2)=LEFT('112'!$M$9,2),B918&lt;'112'!$N$8,$L918='112'!$I$6)),"x",""))</f>
        <v/>
      </c>
      <c r="T918" s="51" t="str">
        <f>IF(ISERROR(FIND('112'!$M$9,G918,1)),"",IF((AND(RIGHT(G918,2)=RIGHT('112'!$M$9,2),B918&lt;'112'!$N$8,$M918='112'!$I$6)),"x",""))</f>
        <v/>
      </c>
      <c r="U918" s="51" t="str">
        <f>IF(AND(L918="154",'154'!$O$5&lt;=B918,'154'!$P$5&gt;=B918),"154",IF(AND(L918="632",'632'!$L$5&lt;=B918,'632'!$M$5&gt;=B918),"632",IF(AND(L918="642",'642'!$N$5&lt;=B918,'642'!$O$5&gt;=B918),"642",IF(AND(L918="641",'641'!$N$5&lt;=B918,'641'!$O$5&gt;=B918),"641",""))))</f>
        <v/>
      </c>
      <c r="V918" s="51" t="str">
        <f>IF(OR(TH!L918=TH!$V$7,M918=TH!$V$7),"x","")</f>
        <v/>
      </c>
      <c r="W918" s="51" t="str">
        <f>IF(AND(B918&gt;='IN-NX'!$P$3,B918&lt;='IN-NX'!$Q$3,'IN-NX'!$D$7=D918,OR(LEFT(L918,2)="15",AND(LEFT(M918,2)&lt;&gt;"15",LEFT(M918,2)&lt;&gt;"33"))),"x","")</f>
        <v/>
      </c>
      <c r="X918" s="51" t="str">
        <f>IF(AND(OR(LEFT(TH!L918,2)="15",LEFT(TH!M918,2)="15"),'152-CT'!$J$8=TH!F918),"x","")</f>
        <v/>
      </c>
      <c r="Y918" s="51" t="str">
        <f>IF(AND(OR(LEFT(TH!L918,2)="15",LEFT(TH!M918,2)="15"),TK!$E$7=TH!F918),"x","")</f>
        <v/>
      </c>
      <c r="Z918" s="51" t="str">
        <f>IF(AND(B918&lt;=NKC!$N$8,B918&gt;=NKC!$M$8),"x","")</f>
        <v/>
      </c>
      <c r="AA918" s="803"/>
      <c r="AC918" s="203"/>
      <c r="AD918" s="203"/>
      <c r="AE918" s="203"/>
    </row>
    <row r="919" spans="1:31" s="565" customFormat="1" ht="15.75" customHeight="1">
      <c r="A919" s="804" t="str">
        <f>IF(B919&lt;&gt;"",IF(AND(B919&gt;=_TM1,B919&lt;=_TM2,OR(TH!L919="1111",TH!M919="1111")),TH!D919,""),"")</f>
        <v/>
      </c>
      <c r="B919" s="36">
        <f t="shared" si="57"/>
        <v>10</v>
      </c>
      <c r="C919" s="189">
        <f t="shared" si="58"/>
        <v>42302</v>
      </c>
      <c r="D919" s="189" t="s">
        <v>421</v>
      </c>
      <c r="E919" s="182">
        <v>42302</v>
      </c>
      <c r="F919" s="187" t="s">
        <v>429</v>
      </c>
      <c r="G919" s="811" t="s">
        <v>415</v>
      </c>
      <c r="H919" s="7"/>
      <c r="I919" s="243"/>
      <c r="J919" s="243"/>
      <c r="K919" s="573">
        <v>5786</v>
      </c>
      <c r="L919" s="192" t="s">
        <v>24</v>
      </c>
      <c r="M919" s="192" t="s">
        <v>40</v>
      </c>
      <c r="N919" s="51" t="str">
        <f>IF(AND('331-CT'!$E$7=TH!H919,OR(L919="331",M919="331")),"331",IF(AND(OR(L919="131",M919="131"),H919='131-CT'!$E$7),"131",""))</f>
        <v/>
      </c>
      <c r="O919" s="51" t="str">
        <f>IF(AND($B919&gt;='111'!$N$11,$B919&lt;='111'!$O$11,OR($L919=$O$7,$M919=$O$7)),"x","")</f>
        <v/>
      </c>
      <c r="P919" s="51" t="str">
        <f>IF(AND($L919=$O$7,$B919&lt;'111'!$N$11),"x","")</f>
        <v/>
      </c>
      <c r="Q919" s="51" t="str">
        <f>IF(AND($M919=$O$7,$B919&lt;'111'!$N$11),"x","")</f>
        <v/>
      </c>
      <c r="R919" s="51" t="str">
        <f>IF(ISERROR(FIND('112'!$M$9,G919,1)),"",IF((AND(FIND('112'!$M$9,G919,1)&gt;=1,$B919&gt;='112'!$N$8,$B919&lt;='112'!$O$8,OR($L919='112'!$I$6,$M919='112'!$I$6))),"x",""))</f>
        <v/>
      </c>
      <c r="S919" s="51" t="str">
        <f>IF(ISERROR(FIND('112'!$M$9,G919,1)),"",IF((AND(LEFT(G919,2)=LEFT('112'!$M$9,2),B919&lt;'112'!$N$8,$L919='112'!$I$6)),"x",""))</f>
        <v/>
      </c>
      <c r="T919" s="51" t="str">
        <f>IF(ISERROR(FIND('112'!$M$9,G919,1)),"",IF((AND(RIGHT(G919,2)=RIGHT('112'!$M$9,2),B919&lt;'112'!$N$8,$M919='112'!$I$6)),"x",""))</f>
        <v/>
      </c>
      <c r="U919" s="51" t="str">
        <f>IF(AND(L919="154",'154'!$O$5&lt;=B919,'154'!$P$5&gt;=B919),"154",IF(AND(L919="632",'632'!$L$5&lt;=B919,'632'!$M$5&gt;=B919),"632",IF(AND(L919="642",'642'!$N$5&lt;=B919,'642'!$O$5&gt;=B919),"642",IF(AND(L919="641",'641'!$N$5&lt;=B919,'641'!$O$5&gt;=B919),"641",""))))</f>
        <v/>
      </c>
      <c r="V919" s="51" t="str">
        <f>IF(OR(TH!L919=TH!$V$7,M919=TH!$V$7),"x","")</f>
        <v/>
      </c>
      <c r="W919" s="51" t="str">
        <f>IF(AND(B919&gt;='IN-NX'!$P$3,B919&lt;='IN-NX'!$Q$3,'IN-NX'!$D$7=D919,OR(LEFT(L919,2)="15",AND(LEFT(M919,2)&lt;&gt;"15",LEFT(M919,2)&lt;&gt;"33"))),"x","")</f>
        <v/>
      </c>
      <c r="X919" s="51" t="str">
        <f>IF(AND(OR(LEFT(TH!L919,2)="15",LEFT(TH!M919,2)="15"),'152-CT'!$J$8=TH!F919),"x","")</f>
        <v/>
      </c>
      <c r="Y919" s="51" t="str">
        <f>IF(AND(OR(LEFT(TH!L919,2)="15",LEFT(TH!M919,2)="15"),TK!$E$7=TH!F919),"x","")</f>
        <v/>
      </c>
      <c r="Z919" s="51" t="str">
        <f>IF(AND(B919&lt;=NKC!$N$8,B919&gt;=NKC!$M$8),"x","")</f>
        <v/>
      </c>
      <c r="AA919" s="803"/>
      <c r="AC919" s="203"/>
      <c r="AD919" s="203"/>
    </row>
    <row r="920" spans="1:31" s="565" customFormat="1" ht="15.75" customHeight="1">
      <c r="A920" s="804" t="str">
        <f>IF(B920&lt;&gt;"",IF(AND(B920&gt;=_TM1,B920&lt;=_TM2,OR(TH!L920="1111",TH!M920="1111")),TH!D920,""),"")</f>
        <v/>
      </c>
      <c r="B920" s="36">
        <f t="shared" si="57"/>
        <v>10</v>
      </c>
      <c r="C920" s="189">
        <f t="shared" si="58"/>
        <v>42302</v>
      </c>
      <c r="D920" s="189" t="s">
        <v>422</v>
      </c>
      <c r="E920" s="182">
        <v>42302</v>
      </c>
      <c r="F920" s="187" t="s">
        <v>426</v>
      </c>
      <c r="G920" s="811" t="s">
        <v>415</v>
      </c>
      <c r="H920" s="7"/>
      <c r="I920" s="243"/>
      <c r="J920" s="243"/>
      <c r="K920" s="573">
        <v>11000</v>
      </c>
      <c r="L920" s="574" t="s">
        <v>83</v>
      </c>
      <c r="M920" s="574" t="s">
        <v>24</v>
      </c>
      <c r="N920" s="51" t="str">
        <f>IF(AND('331-CT'!$E$7=TH!H920,OR(L920="331",M920="331")),"331",IF(AND(OR(L920="131",M920="131"),H920='131-CT'!$E$7),"131",""))</f>
        <v/>
      </c>
      <c r="O920" s="51" t="str">
        <f>IF(AND($B920&gt;='111'!$N$11,$B920&lt;='111'!$O$11,OR($L920=$O$7,$M920=$O$7)),"x","")</f>
        <v/>
      </c>
      <c r="P920" s="51" t="str">
        <f>IF(AND($L920=$O$7,$B920&lt;'111'!$N$11),"x","")</f>
        <v/>
      </c>
      <c r="Q920" s="51" t="str">
        <f>IF(AND($M920=$O$7,$B920&lt;'111'!$N$11),"x","")</f>
        <v/>
      </c>
      <c r="R920" s="51" t="str">
        <f>IF(ISERROR(FIND('112'!$M$9,G920,1)),"",IF((AND(FIND('112'!$M$9,G920,1)&gt;=1,$B920&gt;='112'!$N$8,$B920&lt;='112'!$O$8,OR($L920='112'!$I$6,$M920='112'!$I$6))),"x",""))</f>
        <v/>
      </c>
      <c r="S920" s="51" t="str">
        <f>IF(ISERROR(FIND('112'!$M$9,G920,1)),"",IF((AND(LEFT(G920,2)=LEFT('112'!$M$9,2),B920&lt;'112'!$N$8,$L920='112'!$I$6)),"x",""))</f>
        <v/>
      </c>
      <c r="T920" s="51" t="str">
        <f>IF(ISERROR(FIND('112'!$M$9,G920,1)),"",IF((AND(RIGHT(G920,2)=RIGHT('112'!$M$9,2),B920&lt;'112'!$N$8,$M920='112'!$I$6)),"x",""))</f>
        <v/>
      </c>
      <c r="U920" s="51" t="str">
        <f>IF(AND(L920="154",'154'!$O$5&lt;=B920,'154'!$P$5&gt;=B920),"154",IF(AND(L920="632",'632'!$L$5&lt;=B920,'632'!$M$5&gt;=B920),"632",IF(AND(L920="642",'642'!$N$5&lt;=B920,'642'!$O$5&gt;=B920),"642",IF(AND(L920="641",'641'!$N$5&lt;=B920,'641'!$O$5&gt;=B920),"641",""))))</f>
        <v/>
      </c>
      <c r="V920" s="51" t="str">
        <f>IF(OR(TH!L920=TH!$V$7,M920=TH!$V$7),"x","")</f>
        <v>x</v>
      </c>
      <c r="W920" s="51" t="str">
        <f>IF(AND(B920&gt;='IN-NX'!$P$3,B920&lt;='IN-NX'!$Q$3,'IN-NX'!$D$7=D920,OR(LEFT(L920,2)="15",AND(LEFT(M920,2)&lt;&gt;"15",LEFT(M920,2)&lt;&gt;"33"))),"x","")</f>
        <v/>
      </c>
      <c r="X920" s="51" t="str">
        <f>IF(AND(OR(LEFT(TH!L920,2)="15",LEFT(TH!M920,2)="15"),'152-CT'!$J$8=TH!F920),"x","")</f>
        <v/>
      </c>
      <c r="Y920" s="51" t="str">
        <f>IF(AND(OR(LEFT(TH!L920,2)="15",LEFT(TH!M920,2)="15"),TK!$E$7=TH!F920),"x","")</f>
        <v/>
      </c>
      <c r="Z920" s="51" t="str">
        <f>IF(AND(B920&lt;=NKC!$N$8,B920&gt;=NKC!$M$8),"x","")</f>
        <v/>
      </c>
      <c r="AA920" s="803"/>
      <c r="AC920" s="203"/>
      <c r="AD920" s="203"/>
    </row>
    <row r="921" spans="1:31" s="565" customFormat="1" ht="15.75" customHeight="1">
      <c r="A921" s="804" t="str">
        <f>IF(B921&lt;&gt;"",IF(AND(B921&gt;=_TM1,B921&lt;=_TM2,OR(TH!L921="1111",TH!M921="1111")),TH!D921,""),"")</f>
        <v/>
      </c>
      <c r="B921" s="36">
        <f t="shared" si="57"/>
        <v>10</v>
      </c>
      <c r="C921" s="189">
        <f t="shared" si="58"/>
        <v>42302</v>
      </c>
      <c r="D921" s="189" t="s">
        <v>422</v>
      </c>
      <c r="E921" s="182">
        <v>42302</v>
      </c>
      <c r="F921" s="187" t="s">
        <v>425</v>
      </c>
      <c r="G921" s="811" t="s">
        <v>415</v>
      </c>
      <c r="H921" s="7"/>
      <c r="I921" s="243"/>
      <c r="J921" s="243"/>
      <c r="K921" s="573">
        <v>55000</v>
      </c>
      <c r="L921" s="574" t="s">
        <v>83</v>
      </c>
      <c r="M921" s="574" t="s">
        <v>24</v>
      </c>
      <c r="N921" s="51" t="str">
        <f>IF(AND('331-CT'!$E$7=TH!H921,OR(L921="331",M921="331")),"331",IF(AND(OR(L921="131",M921="131"),H921='131-CT'!$E$7),"131",""))</f>
        <v/>
      </c>
      <c r="O921" s="51" t="str">
        <f>IF(AND($B921&gt;='111'!$N$11,$B921&lt;='111'!$O$11,OR($L921=$O$7,$M921=$O$7)),"x","")</f>
        <v/>
      </c>
      <c r="P921" s="51" t="str">
        <f>IF(AND($L921=$O$7,$B921&lt;'111'!$N$11),"x","")</f>
        <v/>
      </c>
      <c r="Q921" s="51" t="str">
        <f>IF(AND($M921=$O$7,$B921&lt;'111'!$N$11),"x","")</f>
        <v/>
      </c>
      <c r="R921" s="51" t="str">
        <f>IF(ISERROR(FIND('112'!$M$9,G921,1)),"",IF((AND(FIND('112'!$M$9,G921,1)&gt;=1,$B921&gt;='112'!$N$8,$B921&lt;='112'!$O$8,OR($L921='112'!$I$6,$M921='112'!$I$6))),"x",""))</f>
        <v/>
      </c>
      <c r="S921" s="51" t="str">
        <f>IF(ISERROR(FIND('112'!$M$9,G921,1)),"",IF((AND(LEFT(G921,2)=LEFT('112'!$M$9,2),B921&lt;'112'!$N$8,$L921='112'!$I$6)),"x",""))</f>
        <v/>
      </c>
      <c r="T921" s="51" t="str">
        <f>IF(ISERROR(FIND('112'!$M$9,G921,1)),"",IF((AND(RIGHT(G921,2)=RIGHT('112'!$M$9,2),B921&lt;'112'!$N$8,$M921='112'!$I$6)),"x",""))</f>
        <v/>
      </c>
      <c r="U921" s="51" t="str">
        <f>IF(AND(L921="154",'154'!$O$5&lt;=B921,'154'!$P$5&gt;=B921),"154",IF(AND(L921="632",'632'!$L$5&lt;=B921,'632'!$M$5&gt;=B921),"632",IF(AND(L921="642",'642'!$N$5&lt;=B921,'642'!$O$5&gt;=B921),"642",IF(AND(L921="641",'641'!$N$5&lt;=B921,'641'!$O$5&gt;=B921),"641",""))))</f>
        <v/>
      </c>
      <c r="V921" s="51" t="str">
        <f>IF(OR(TH!L921=TH!$V$7,M921=TH!$V$7),"x","")</f>
        <v>x</v>
      </c>
      <c r="W921" s="51" t="str">
        <f>IF(AND(B921&gt;='IN-NX'!$P$3,B921&lt;='IN-NX'!$Q$3,'IN-NX'!$D$7=D921,OR(LEFT(L921,2)="15",AND(LEFT(M921,2)&lt;&gt;"15",LEFT(M921,2)&lt;&gt;"33"))),"x","")</f>
        <v/>
      </c>
      <c r="X921" s="51" t="str">
        <f>IF(AND(OR(LEFT(TH!L921,2)="15",LEFT(TH!M921,2)="15"),'152-CT'!$J$8=TH!F921),"x","")</f>
        <v/>
      </c>
      <c r="Y921" s="51" t="str">
        <f>IF(AND(OR(LEFT(TH!L921,2)="15",LEFT(TH!M921,2)="15"),TK!$E$7=TH!F921),"x","")</f>
        <v/>
      </c>
      <c r="Z921" s="51" t="str">
        <f>IF(AND(B921&lt;=NKC!$N$8,B921&gt;=NKC!$M$8),"x","")</f>
        <v/>
      </c>
      <c r="AA921" s="803"/>
      <c r="AC921" s="203"/>
      <c r="AD921" s="203"/>
    </row>
    <row r="922" spans="1:31" s="565" customFormat="1" ht="15.75" customHeight="1">
      <c r="A922" s="804" t="str">
        <f>IF(B922&lt;&gt;"",IF(AND(B922&gt;=_TM1,B922&lt;=_TM2,OR(TH!L922="1111",TH!M922="1111")),TH!D922,""),"")</f>
        <v/>
      </c>
      <c r="B922" s="36">
        <f t="shared" si="57"/>
        <v>10</v>
      </c>
      <c r="C922" s="189">
        <f t="shared" si="58"/>
        <v>42302</v>
      </c>
      <c r="D922" s="189" t="s">
        <v>319</v>
      </c>
      <c r="E922" s="189">
        <v>42302</v>
      </c>
      <c r="F922" s="190" t="s">
        <v>964</v>
      </c>
      <c r="G922" s="811" t="s">
        <v>1079</v>
      </c>
      <c r="H922" s="191" t="s">
        <v>413</v>
      </c>
      <c r="I922" s="243"/>
      <c r="J922" s="243"/>
      <c r="K922" s="573">
        <v>55000000</v>
      </c>
      <c r="L922" s="574" t="s">
        <v>250</v>
      </c>
      <c r="M922" s="574" t="s">
        <v>408</v>
      </c>
      <c r="N922" s="51" t="str">
        <f>IF(AND('331-CT'!$E$7=TH!H922,OR(L922="331",M922="331")),"331",IF(AND(OR(L922="131",M922="131"),H922='131-CT'!$E$7),"131",""))</f>
        <v/>
      </c>
      <c r="O922" s="51" t="str">
        <f>IF(AND($B922&gt;='111'!$N$11,$B922&lt;='111'!$O$11,OR($L922=$O$7,$M922=$O$7)),"x","")</f>
        <v/>
      </c>
      <c r="P922" s="51" t="str">
        <f>IF(AND($L922=$O$7,$B922&lt;'111'!$N$11),"x","")</f>
        <v/>
      </c>
      <c r="Q922" s="51" t="str">
        <f>IF(AND($M922=$O$7,$B922&lt;'111'!$N$11),"x","")</f>
        <v/>
      </c>
      <c r="R922" s="51" t="str">
        <f>IF(ISERROR(FIND('112'!$M$9,G922,1)),"",IF((AND(FIND('112'!$M$9,G922,1)&gt;=1,$B922&gt;='112'!$N$8,$B922&lt;='112'!$O$8,OR($L922='112'!$I$6,$M922='112'!$I$6))),"x",""))</f>
        <v/>
      </c>
      <c r="S922" s="51" t="str">
        <f>IF(ISERROR(FIND('112'!$M$9,G922,1)),"",IF((AND(LEFT(G922,2)=LEFT('112'!$M$9,2),B922&lt;'112'!$N$8,$L922='112'!$I$6)),"x",""))</f>
        <v/>
      </c>
      <c r="T922" s="51" t="str">
        <f>IF(ISERROR(FIND('112'!$M$9,G922,1)),"",IF((AND(RIGHT(G922,2)=RIGHT('112'!$M$9,2),B922&lt;'112'!$N$8,$M922='112'!$I$6)),"x",""))</f>
        <v/>
      </c>
      <c r="U922" s="51" t="str">
        <f>IF(AND(L922="154",'154'!$O$5&lt;=B922,'154'!$P$5&gt;=B922),"154",IF(AND(L922="632",'632'!$L$5&lt;=B922,'632'!$M$5&gt;=B922),"632",IF(AND(L922="642",'642'!$N$5&lt;=B922,'642'!$O$5&gt;=B922),"642",IF(AND(L922="641",'641'!$N$5&lt;=B922,'641'!$O$5&gt;=B922),"641",""))))</f>
        <v/>
      </c>
      <c r="V922" s="51" t="str">
        <f>IF(OR(TH!L922=TH!$V$7,M922=TH!$V$7),"x","")</f>
        <v/>
      </c>
      <c r="W922" s="51" t="str">
        <f>IF(AND(B922&gt;='IN-NX'!$P$3,B922&lt;='IN-NX'!$Q$3,'IN-NX'!$D$7=D922,OR(LEFT(L922,2)="15",AND(LEFT(M922,2)&lt;&gt;"15",LEFT(M922,2)&lt;&gt;"33"))),"x","")</f>
        <v/>
      </c>
      <c r="X922" s="51" t="str">
        <f>IF(AND(OR(LEFT(TH!L922,2)="15",LEFT(TH!M922,2)="15"),'152-CT'!$J$8=TH!F922),"x","")</f>
        <v/>
      </c>
      <c r="Y922" s="51" t="str">
        <f>IF(AND(OR(LEFT(TH!L922,2)="15",LEFT(TH!M922,2)="15"),TK!$E$7=TH!F922),"x","")</f>
        <v/>
      </c>
      <c r="Z922" s="51" t="str">
        <f>IF(AND(B922&lt;=NKC!$N$8,B922&gt;=NKC!$M$8),"x","")</f>
        <v/>
      </c>
      <c r="AA922" s="803"/>
      <c r="AC922" s="203"/>
      <c r="AD922" s="203"/>
      <c r="AE922" s="203"/>
    </row>
    <row r="923" spans="1:31" s="565" customFormat="1" ht="15.75" customHeight="1">
      <c r="A923" s="804" t="str">
        <f>IF(B923&lt;&gt;"",IF(AND(B923&gt;=_TM1,B923&lt;=_TM2,OR(TH!L923="1111",TH!M923="1111")),TH!D923,""),"")</f>
        <v/>
      </c>
      <c r="B923" s="36">
        <f t="shared" si="57"/>
        <v>10</v>
      </c>
      <c r="C923" s="189">
        <f t="shared" si="58"/>
        <v>42302</v>
      </c>
      <c r="D923" s="189" t="s">
        <v>319</v>
      </c>
      <c r="E923" s="189">
        <v>42302</v>
      </c>
      <c r="F923" s="190" t="s">
        <v>1110</v>
      </c>
      <c r="G923" s="811" t="s">
        <v>1079</v>
      </c>
      <c r="H923" s="191" t="s">
        <v>413</v>
      </c>
      <c r="I923" s="243"/>
      <c r="J923" s="243"/>
      <c r="K923" s="573">
        <v>5500000</v>
      </c>
      <c r="L923" s="574" t="s">
        <v>250</v>
      </c>
      <c r="M923" s="574" t="s">
        <v>352</v>
      </c>
      <c r="N923" s="51" t="str">
        <f>IF(AND('331-CT'!$E$7=TH!H923,OR(L923="331",M923="331")),"331",IF(AND(OR(L923="131",M923="131"),H923='131-CT'!$E$7),"131",""))</f>
        <v/>
      </c>
      <c r="O923" s="51" t="str">
        <f>IF(AND($B923&gt;='111'!$N$11,$B923&lt;='111'!$O$11,OR($L923=$O$7,$M923=$O$7)),"x","")</f>
        <v/>
      </c>
      <c r="P923" s="51" t="str">
        <f>IF(AND($L923=$O$7,$B923&lt;'111'!$N$11),"x","")</f>
        <v/>
      </c>
      <c r="Q923" s="51" t="str">
        <f>IF(AND($M923=$O$7,$B923&lt;'111'!$N$11),"x","")</f>
        <v/>
      </c>
      <c r="R923" s="51" t="str">
        <f>IF(ISERROR(FIND('112'!$M$9,G923,1)),"",IF((AND(FIND('112'!$M$9,G923,1)&gt;=1,$B923&gt;='112'!$N$8,$B923&lt;='112'!$O$8,OR($L923='112'!$I$6,$M923='112'!$I$6))),"x",""))</f>
        <v/>
      </c>
      <c r="S923" s="51" t="str">
        <f>IF(ISERROR(FIND('112'!$M$9,G923,1)),"",IF((AND(LEFT(G923,2)=LEFT('112'!$M$9,2),B923&lt;'112'!$N$8,$L923='112'!$I$6)),"x",""))</f>
        <v/>
      </c>
      <c r="T923" s="51" t="str">
        <f>IF(ISERROR(FIND('112'!$M$9,G923,1)),"",IF((AND(RIGHT(G923,2)=RIGHT('112'!$M$9,2),B923&lt;'112'!$N$8,$M923='112'!$I$6)),"x",""))</f>
        <v/>
      </c>
      <c r="U923" s="51" t="str">
        <f>IF(AND(L923="154",'154'!$O$5&lt;=B923,'154'!$P$5&gt;=B923),"154",IF(AND(L923="632",'632'!$L$5&lt;=B923,'632'!$M$5&gt;=B923),"632",IF(AND(L923="642",'642'!$N$5&lt;=B923,'642'!$O$5&gt;=B923),"642",IF(AND(L923="641",'641'!$N$5&lt;=B923,'641'!$O$5&gt;=B923),"641",""))))</f>
        <v/>
      </c>
      <c r="V923" s="51" t="str">
        <f>IF(OR(TH!L923=TH!$V$7,M923=TH!$V$7),"x","")</f>
        <v/>
      </c>
      <c r="W923" s="51" t="str">
        <f>IF(AND(B923&gt;='IN-NX'!$P$3,B923&lt;='IN-NX'!$Q$3,'IN-NX'!$D$7=D923,OR(LEFT(L923,2)="15",AND(LEFT(M923,2)&lt;&gt;"15",LEFT(M923,2)&lt;&gt;"33"))),"x","")</f>
        <v/>
      </c>
      <c r="X923" s="51" t="str">
        <f>IF(AND(OR(LEFT(TH!L923,2)="15",LEFT(TH!M923,2)="15"),'152-CT'!$J$8=TH!F923),"x","")</f>
        <v/>
      </c>
      <c r="Y923" s="51" t="str">
        <f>IF(AND(OR(LEFT(TH!L923,2)="15",LEFT(TH!M923,2)="15"),TK!$E$7=TH!F923),"x","")</f>
        <v/>
      </c>
      <c r="Z923" s="51" t="str">
        <f>IF(AND(B923&lt;=NKC!$N$8,B923&gt;=NKC!$M$8),"x","")</f>
        <v/>
      </c>
      <c r="AA923" s="803"/>
      <c r="AC923" s="203"/>
      <c r="AD923" s="203"/>
      <c r="AE923" s="203"/>
    </row>
    <row r="924" spans="1:31" s="565" customFormat="1" ht="15.75" customHeight="1">
      <c r="A924" s="804" t="str">
        <f>IF(B924&lt;&gt;"",IF(AND(B924&gt;=_TM1,B924&lt;=_TM2,OR(TH!L924="1111",TH!M924="1111")),TH!D924,""),"")</f>
        <v/>
      </c>
      <c r="B924" s="36">
        <f t="shared" ref="B924:B988" si="60">IF(C924&lt;&gt;"",MONTH(C924),"")</f>
        <v>10</v>
      </c>
      <c r="C924" s="189">
        <f t="shared" ref="C924:C988" si="61">E924</f>
        <v>42303</v>
      </c>
      <c r="D924" s="189" t="s">
        <v>421</v>
      </c>
      <c r="E924" s="182">
        <v>42303</v>
      </c>
      <c r="F924" s="190" t="s">
        <v>423</v>
      </c>
      <c r="G924" s="811" t="s">
        <v>415</v>
      </c>
      <c r="H924" s="7" t="s">
        <v>446</v>
      </c>
      <c r="I924" s="243"/>
      <c r="J924" s="243"/>
      <c r="K924" s="573">
        <v>13629000</v>
      </c>
      <c r="L924" s="192" t="s">
        <v>24</v>
      </c>
      <c r="M924" s="192" t="s">
        <v>250</v>
      </c>
      <c r="N924" s="51" t="str">
        <f>IF(AND('331-CT'!$E$7=TH!H924,OR(L924="331",M924="331")),"331",IF(AND(OR(L924="131",M924="131"),H924='131-CT'!$E$7),"131",""))</f>
        <v/>
      </c>
      <c r="O924" s="51" t="str">
        <f>IF(AND($B924&gt;='111'!$N$11,$B924&lt;='111'!$O$11,OR($L924=$O$7,$M924=$O$7)),"x","")</f>
        <v/>
      </c>
      <c r="P924" s="51" t="str">
        <f>IF(AND($L924=$O$7,$B924&lt;'111'!$N$11),"x","")</f>
        <v/>
      </c>
      <c r="Q924" s="51" t="str">
        <f>IF(AND($M924=$O$7,$B924&lt;'111'!$N$11),"x","")</f>
        <v/>
      </c>
      <c r="R924" s="51" t="str">
        <f>IF(ISERROR(FIND('112'!$M$9,G924,1)),"",IF((AND(FIND('112'!$M$9,G924,1)&gt;=1,$B924&gt;='112'!$N$8,$B924&lt;='112'!$O$8,OR($L924='112'!$I$6,$M924='112'!$I$6))),"x",""))</f>
        <v/>
      </c>
      <c r="S924" s="51" t="str">
        <f>IF(ISERROR(FIND('112'!$M$9,G924,1)),"",IF((AND(LEFT(G924,2)=LEFT('112'!$M$9,2),B924&lt;'112'!$N$8,$L924='112'!$I$6)),"x",""))</f>
        <v/>
      </c>
      <c r="T924" s="51" t="str">
        <f>IF(ISERROR(FIND('112'!$M$9,G924,1)),"",IF((AND(RIGHT(G924,2)=RIGHT('112'!$M$9,2),B924&lt;'112'!$N$8,$M924='112'!$I$6)),"x",""))</f>
        <v/>
      </c>
      <c r="U924" s="51" t="str">
        <f>IF(AND(L924="154",'154'!$O$5&lt;=B924,'154'!$P$5&gt;=B924),"154",IF(AND(L924="632",'632'!$L$5&lt;=B924,'632'!$M$5&gt;=B924),"632",IF(AND(L924="642",'642'!$N$5&lt;=B924,'642'!$O$5&gt;=B924),"642",IF(AND(L924="641",'641'!$N$5&lt;=B924,'641'!$O$5&gt;=B924),"641",""))))</f>
        <v/>
      </c>
      <c r="V924" s="51" t="str">
        <f>IF(OR(TH!L924=TH!$V$7,M924=TH!$V$7),"x","")</f>
        <v/>
      </c>
      <c r="W924" s="51" t="str">
        <f>IF(AND(B924&gt;='IN-NX'!$P$3,B924&lt;='IN-NX'!$Q$3,'IN-NX'!$D$7=D924,OR(LEFT(L924,2)="15",AND(LEFT(M924,2)&lt;&gt;"15",LEFT(M924,2)&lt;&gt;"33"))),"x","")</f>
        <v/>
      </c>
      <c r="X924" s="51" t="str">
        <f>IF(AND(OR(LEFT(TH!L924,2)="15",LEFT(TH!M924,2)="15"),'152-CT'!$J$8=TH!F924),"x","")</f>
        <v/>
      </c>
      <c r="Y924" s="51" t="str">
        <f>IF(AND(OR(LEFT(TH!L924,2)="15",LEFT(TH!M924,2)="15"),TK!$E$7=TH!F924),"x","")</f>
        <v/>
      </c>
      <c r="Z924" s="51" t="str">
        <f>IF(AND(B924&lt;=NKC!$N$8,B924&gt;=NKC!$M$8),"x","")</f>
        <v/>
      </c>
      <c r="AA924" s="803"/>
      <c r="AC924" s="203"/>
      <c r="AD924" s="203"/>
    </row>
    <row r="925" spans="1:31" s="565" customFormat="1" ht="15.75" customHeight="1">
      <c r="A925" s="804" t="str">
        <f>IF(B925&lt;&gt;"",IF(AND(B925&gt;=_TM1,B925&lt;=_TM2,OR(TH!L925="1111",TH!M925="1111")),TH!D925,""),"")</f>
        <v/>
      </c>
      <c r="B925" s="36">
        <f t="shared" si="60"/>
        <v>10</v>
      </c>
      <c r="C925" s="189">
        <f t="shared" si="61"/>
        <v>42303</v>
      </c>
      <c r="D925" s="189" t="s">
        <v>1349</v>
      </c>
      <c r="E925" s="189">
        <v>42303</v>
      </c>
      <c r="F925" s="190" t="s">
        <v>738</v>
      </c>
      <c r="G925" s="813" t="s">
        <v>737</v>
      </c>
      <c r="H925" s="191" t="s">
        <v>736</v>
      </c>
      <c r="I925" s="243"/>
      <c r="J925" s="243"/>
      <c r="K925" s="573">
        <v>386364</v>
      </c>
      <c r="L925" s="574" t="s">
        <v>83</v>
      </c>
      <c r="M925" s="574" t="s">
        <v>47</v>
      </c>
      <c r="N925" s="51" t="str">
        <f>IF(AND('331-CT'!$E$7=TH!H925,OR(L925="331",M925="331")),"331",IF(AND(OR(L925="131",M925="131"),H925='131-CT'!$E$7),"131",""))</f>
        <v/>
      </c>
      <c r="O925" s="51" t="str">
        <f>IF(AND($B925&gt;='111'!$N$11,$B925&lt;='111'!$O$11,OR($L925=$O$7,$M925=$O$7)),"x","")</f>
        <v>x</v>
      </c>
      <c r="P925" s="51" t="str">
        <f>IF(AND($L925=$O$7,$B925&lt;'111'!$N$11),"x","")</f>
        <v/>
      </c>
      <c r="Q925" s="51" t="str">
        <f>IF(AND($M925=$O$7,$B925&lt;'111'!$N$11),"x","")</f>
        <v/>
      </c>
      <c r="R925" s="51" t="str">
        <f>IF(ISERROR(FIND('112'!$M$9,G925,1)),"",IF((AND(FIND('112'!$M$9,G925,1)&gt;=1,$B925&gt;='112'!$N$8,$B925&lt;='112'!$O$8,OR($L925='112'!$I$6,$M925='112'!$I$6))),"x",""))</f>
        <v/>
      </c>
      <c r="S925" s="51" t="str">
        <f>IF(ISERROR(FIND('112'!$M$9,G925,1)),"",IF((AND(LEFT(G925,2)=LEFT('112'!$M$9,2),B925&lt;'112'!$N$8,$L925='112'!$I$6)),"x",""))</f>
        <v/>
      </c>
      <c r="T925" s="51" t="str">
        <f>IF(ISERROR(FIND('112'!$M$9,G925,1)),"",IF((AND(RIGHT(G925,2)=RIGHT('112'!$M$9,2),B925&lt;'112'!$N$8,$M925='112'!$I$6)),"x",""))</f>
        <v/>
      </c>
      <c r="U925" s="51" t="str">
        <f>IF(AND(L925="154",'154'!$O$5&lt;=B925,'154'!$P$5&gt;=B925),"154",IF(AND(L925="632",'632'!$L$5&lt;=B925,'632'!$M$5&gt;=B925),"632",IF(AND(L925="642",'642'!$N$5&lt;=B925,'642'!$O$5&gt;=B925),"642",IF(AND(L925="641",'641'!$N$5&lt;=B925,'641'!$O$5&gt;=B925),"641",""))))</f>
        <v/>
      </c>
      <c r="V925" s="51" t="str">
        <f>IF(OR(TH!L925=TH!$V$7,M925=TH!$V$7),"x","")</f>
        <v>x</v>
      </c>
      <c r="W925" s="51" t="str">
        <f>IF(AND(B925&gt;='IN-NX'!$P$3,B925&lt;='IN-NX'!$Q$3,'IN-NX'!$D$7=D925,OR(LEFT(L925,2)="15",AND(LEFT(M925,2)&lt;&gt;"15",LEFT(M925,2)&lt;&gt;"33"))),"x","")</f>
        <v/>
      </c>
      <c r="X925" s="51" t="str">
        <f>IF(AND(OR(LEFT(TH!L925,2)="15",LEFT(TH!M925,2)="15"),'152-CT'!$J$8=TH!F925),"x","")</f>
        <v/>
      </c>
      <c r="Y925" s="51" t="str">
        <f>IF(AND(OR(LEFT(TH!L925,2)="15",LEFT(TH!M925,2)="15"),TK!$E$7=TH!F925),"x","")</f>
        <v/>
      </c>
      <c r="Z925" s="51" t="str">
        <f>IF(AND(B925&lt;=NKC!$N$8,B925&gt;=NKC!$M$8),"x","")</f>
        <v/>
      </c>
      <c r="AA925" s="803"/>
      <c r="AC925" s="203"/>
      <c r="AD925" s="203"/>
      <c r="AE925" s="203"/>
    </row>
    <row r="926" spans="1:31" s="565" customFormat="1" ht="15.75" customHeight="1">
      <c r="A926" s="804" t="str">
        <f>IF(B926&lt;&gt;"",IF(AND(B926&gt;=_TM1,B926&lt;=_TM2,OR(TH!L926="1111",TH!M926="1111")),TH!D926,""),"")</f>
        <v/>
      </c>
      <c r="B926" s="36">
        <f t="shared" si="60"/>
        <v>10</v>
      </c>
      <c r="C926" s="189">
        <f t="shared" si="61"/>
        <v>42303</v>
      </c>
      <c r="D926" s="189" t="s">
        <v>1349</v>
      </c>
      <c r="E926" s="189">
        <v>42303</v>
      </c>
      <c r="F926" s="190" t="s">
        <v>739</v>
      </c>
      <c r="G926" s="813" t="s">
        <v>737</v>
      </c>
      <c r="H926" s="191" t="s">
        <v>736</v>
      </c>
      <c r="I926" s="243"/>
      <c r="J926" s="243"/>
      <c r="K926" s="573">
        <v>38636</v>
      </c>
      <c r="L926" s="574" t="s">
        <v>9</v>
      </c>
      <c r="M926" s="574" t="s">
        <v>47</v>
      </c>
      <c r="N926" s="51" t="str">
        <f>IF(AND('331-CT'!$E$7=TH!H926,OR(L926="331",M926="331")),"331",IF(AND(OR(L926="131",M926="131"),H926='131-CT'!$E$7),"131",""))</f>
        <v/>
      </c>
      <c r="O926" s="51" t="str">
        <f>IF(AND($B926&gt;='111'!$N$11,$B926&lt;='111'!$O$11,OR($L926=$O$7,$M926=$O$7)),"x","")</f>
        <v>x</v>
      </c>
      <c r="P926" s="51" t="str">
        <f>IF(AND($L926=$O$7,$B926&lt;'111'!$N$11),"x","")</f>
        <v/>
      </c>
      <c r="Q926" s="51" t="str">
        <f>IF(AND($M926=$O$7,$B926&lt;'111'!$N$11),"x","")</f>
        <v/>
      </c>
      <c r="R926" s="51" t="str">
        <f>IF(ISERROR(FIND('112'!$M$9,G926,1)),"",IF((AND(FIND('112'!$M$9,G926,1)&gt;=1,$B926&gt;='112'!$N$8,$B926&lt;='112'!$O$8,OR($L926='112'!$I$6,$M926='112'!$I$6))),"x",""))</f>
        <v/>
      </c>
      <c r="S926" s="51" t="str">
        <f>IF(ISERROR(FIND('112'!$M$9,G926,1)),"",IF((AND(LEFT(G926,2)=LEFT('112'!$M$9,2),B926&lt;'112'!$N$8,$L926='112'!$I$6)),"x",""))</f>
        <v/>
      </c>
      <c r="T926" s="51" t="str">
        <f>IF(ISERROR(FIND('112'!$M$9,G926,1)),"",IF((AND(RIGHT(G926,2)=RIGHT('112'!$M$9,2),B926&lt;'112'!$N$8,$M926='112'!$I$6)),"x",""))</f>
        <v/>
      </c>
      <c r="U926" s="51" t="str">
        <f>IF(AND(L926="154",'154'!$O$5&lt;=B926,'154'!$P$5&gt;=B926),"154",IF(AND(L926="632",'632'!$L$5&lt;=B926,'632'!$M$5&gt;=B926),"632",IF(AND(L926="642",'642'!$N$5&lt;=B926,'642'!$O$5&gt;=B926),"642",IF(AND(L926="641",'641'!$N$5&lt;=B926,'641'!$O$5&gt;=B926),"641",""))))</f>
        <v/>
      </c>
      <c r="V926" s="51" t="str">
        <f>IF(OR(TH!L926=TH!$V$7,M926=TH!$V$7),"x","")</f>
        <v/>
      </c>
      <c r="W926" s="51" t="str">
        <f>IF(AND(B926&gt;='IN-NX'!$P$3,B926&lt;='IN-NX'!$Q$3,'IN-NX'!$D$7=D926,OR(LEFT(L926,2)="15",AND(LEFT(M926,2)&lt;&gt;"15",LEFT(M926,2)&lt;&gt;"33"))),"x","")</f>
        <v/>
      </c>
      <c r="X926" s="51" t="str">
        <f>IF(AND(OR(LEFT(TH!L926,2)="15",LEFT(TH!M926,2)="15"),'152-CT'!$J$8=TH!F926),"x","")</f>
        <v/>
      </c>
      <c r="Y926" s="51" t="str">
        <f>IF(AND(OR(LEFT(TH!L926,2)="15",LEFT(TH!M926,2)="15"),TK!$E$7=TH!F926),"x","")</f>
        <v/>
      </c>
      <c r="Z926" s="51" t="str">
        <f>IF(AND(B926&lt;=NKC!$N$8,B926&gt;=NKC!$M$8),"x","")</f>
        <v/>
      </c>
      <c r="AA926" s="803">
        <v>4</v>
      </c>
      <c r="AC926" s="203"/>
      <c r="AD926" s="203"/>
      <c r="AE926" s="203"/>
    </row>
    <row r="927" spans="1:31" s="565" customFormat="1" ht="15.75" customHeight="1">
      <c r="A927" s="804" t="str">
        <f>IF(B927&lt;&gt;"",IF(AND(B927&gt;=_TM1,B927&lt;=_TM2,OR(TH!L927="1111",TH!M927="1111")),TH!D927,""),"")</f>
        <v/>
      </c>
      <c r="B927" s="36">
        <f t="shared" si="60"/>
        <v>10</v>
      </c>
      <c r="C927" s="189">
        <f t="shared" si="61"/>
        <v>42304</v>
      </c>
      <c r="D927" s="189" t="s">
        <v>1364</v>
      </c>
      <c r="E927" s="189">
        <v>42304</v>
      </c>
      <c r="F927" s="190" t="s">
        <v>1238</v>
      </c>
      <c r="G927" s="813" t="s">
        <v>780</v>
      </c>
      <c r="H927" s="191" t="s">
        <v>448</v>
      </c>
      <c r="I927" s="243">
        <v>2000</v>
      </c>
      <c r="J927" s="243">
        <v>8771</v>
      </c>
      <c r="K927" s="573">
        <f>ROUND(I927*J927,0)</f>
        <v>17542000</v>
      </c>
      <c r="L927" s="574" t="s">
        <v>417</v>
      </c>
      <c r="M927" s="574" t="s">
        <v>8</v>
      </c>
      <c r="N927" s="51" t="str">
        <f>IF(AND('331-CT'!$E$7=TH!H927,OR(L927="331",M927="331")),"331",IF(AND(OR(L927="131",M927="131"),H927='131-CT'!$E$7),"131",""))</f>
        <v/>
      </c>
      <c r="O927" s="51" t="str">
        <f>IF(AND($B927&gt;='111'!$N$11,$B927&lt;='111'!$O$11,OR($L927=$O$7,$M927=$O$7)),"x","")</f>
        <v/>
      </c>
      <c r="P927" s="51" t="str">
        <f>IF(AND($L927=$O$7,$B927&lt;'111'!$N$11),"x","")</f>
        <v/>
      </c>
      <c r="Q927" s="51" t="str">
        <f>IF(AND($M927=$O$7,$B927&lt;'111'!$N$11),"x","")</f>
        <v/>
      </c>
      <c r="R927" s="51" t="str">
        <f>IF(ISERROR(FIND('112'!$M$9,G927,1)),"",IF((AND(FIND('112'!$M$9,G927,1)&gt;=1,$B927&gt;='112'!$N$8,$B927&lt;='112'!$O$8,OR($L927='112'!$I$6,$M927='112'!$I$6))),"x",""))</f>
        <v/>
      </c>
      <c r="S927" s="51" t="str">
        <f>IF(ISERROR(FIND('112'!$M$9,G927,1)),"",IF((AND(LEFT(G927,2)=LEFT('112'!$M$9,2),B927&lt;'112'!$N$8,$L927='112'!$I$6)),"x",""))</f>
        <v/>
      </c>
      <c r="T927" s="51" t="str">
        <f>IF(ISERROR(FIND('112'!$M$9,G927,1)),"",IF((AND(RIGHT(G927,2)=RIGHT('112'!$M$9,2),B927&lt;'112'!$N$8,$M927='112'!$I$6)),"x",""))</f>
        <v/>
      </c>
      <c r="U927" s="51" t="str">
        <f>IF(AND(L927="154",'154'!$O$5&lt;=B927,'154'!$P$5&gt;=B927),"154",IF(AND(L927="632",'632'!$L$5&lt;=B927,'632'!$M$5&gt;=B927),"632",IF(AND(L927="642",'642'!$N$5&lt;=B927,'642'!$O$5&gt;=B927),"642",IF(AND(L927="641",'641'!$N$5&lt;=B927,'641'!$O$5&gt;=B927),"641",""))))</f>
        <v/>
      </c>
      <c r="V927" s="51" t="str">
        <f>IF(OR(TH!L927=TH!$V$7,M927=TH!$V$7),"x","")</f>
        <v/>
      </c>
      <c r="W927" s="51" t="str">
        <f>IF(AND(B927&gt;='IN-NX'!$P$3,B927&lt;='IN-NX'!$Q$3,'IN-NX'!$D$7=D927,OR(LEFT(L927,2)="15",AND(LEFT(M927,2)&lt;&gt;"15",LEFT(M927,2)&lt;&gt;"33"))),"x","")</f>
        <v/>
      </c>
      <c r="X927" s="51" t="str">
        <f>IF(AND(OR(LEFT(TH!L927,2)="15",LEFT(TH!M927,2)="15"),'152-CT'!$J$8=TH!F927),"x","")</f>
        <v>x</v>
      </c>
      <c r="Y927" s="51" t="str">
        <f>IF(AND(OR(LEFT(TH!L927,2)="15",LEFT(TH!M927,2)="15"),TK!$E$7=TH!F927),"x","")</f>
        <v/>
      </c>
      <c r="Z927" s="51" t="str">
        <f>IF(AND(B927&lt;=NKC!$N$8,B927&gt;=NKC!$M$8),"x","")</f>
        <v/>
      </c>
      <c r="AA927" s="803"/>
      <c r="AC927" s="203"/>
      <c r="AD927" s="203"/>
      <c r="AE927" s="203"/>
    </row>
    <row r="928" spans="1:31" s="565" customFormat="1" ht="15.75" customHeight="1">
      <c r="A928" s="804" t="str">
        <f>IF(B928&lt;&gt;"",IF(AND(B928&gt;=_TM1,B928&lt;=_TM2,OR(TH!L928="1111",TH!M928="1111")),TH!D928,""),"")</f>
        <v/>
      </c>
      <c r="B928" s="36">
        <f t="shared" si="60"/>
        <v>10</v>
      </c>
      <c r="C928" s="189">
        <f t="shared" si="61"/>
        <v>42304</v>
      </c>
      <c r="D928" s="189" t="s">
        <v>1364</v>
      </c>
      <c r="E928" s="189">
        <v>42304</v>
      </c>
      <c r="F928" s="190" t="s">
        <v>781</v>
      </c>
      <c r="G928" s="813" t="s">
        <v>780</v>
      </c>
      <c r="H928" s="191" t="s">
        <v>448</v>
      </c>
      <c r="I928" s="243">
        <v>15</v>
      </c>
      <c r="J928" s="243">
        <v>26312</v>
      </c>
      <c r="K928" s="573">
        <f>ROUND(I928*J928,0)</f>
        <v>394680</v>
      </c>
      <c r="L928" s="574" t="s">
        <v>417</v>
      </c>
      <c r="M928" s="574" t="s">
        <v>8</v>
      </c>
      <c r="N928" s="51" t="str">
        <f>IF(AND('331-CT'!$E$7=TH!H928,OR(L928="331",M928="331")),"331",IF(AND(OR(L928="131",M928="131"),H928='131-CT'!$E$7),"131",""))</f>
        <v/>
      </c>
      <c r="O928" s="51" t="str">
        <f>IF(AND($B928&gt;='111'!$N$11,$B928&lt;='111'!$O$11,OR($L928=$O$7,$M928=$O$7)),"x","")</f>
        <v/>
      </c>
      <c r="P928" s="51" t="str">
        <f>IF(AND($L928=$O$7,$B928&lt;'111'!$N$11),"x","")</f>
        <v/>
      </c>
      <c r="Q928" s="51" t="str">
        <f>IF(AND($M928=$O$7,$B928&lt;'111'!$N$11),"x","")</f>
        <v/>
      </c>
      <c r="R928" s="51" t="str">
        <f>IF(ISERROR(FIND('112'!$M$9,G928,1)),"",IF((AND(FIND('112'!$M$9,G928,1)&gt;=1,$B928&gt;='112'!$N$8,$B928&lt;='112'!$O$8,OR($L928='112'!$I$6,$M928='112'!$I$6))),"x",""))</f>
        <v/>
      </c>
      <c r="S928" s="51" t="str">
        <f>IF(ISERROR(FIND('112'!$M$9,G928,1)),"",IF((AND(LEFT(G928,2)=LEFT('112'!$M$9,2),B928&lt;'112'!$N$8,$L928='112'!$I$6)),"x",""))</f>
        <v/>
      </c>
      <c r="T928" s="51" t="str">
        <f>IF(ISERROR(FIND('112'!$M$9,G928,1)),"",IF((AND(RIGHT(G928,2)=RIGHT('112'!$M$9,2),B928&lt;'112'!$N$8,$M928='112'!$I$6)),"x",""))</f>
        <v/>
      </c>
      <c r="U928" s="51" t="str">
        <f>IF(AND(L928="154",'154'!$O$5&lt;=B928,'154'!$P$5&gt;=B928),"154",IF(AND(L928="632",'632'!$L$5&lt;=B928,'632'!$M$5&gt;=B928),"632",IF(AND(L928="642",'642'!$N$5&lt;=B928,'642'!$O$5&gt;=B928),"642",IF(AND(L928="641",'641'!$N$5&lt;=B928,'641'!$O$5&gt;=B928),"641",""))))</f>
        <v/>
      </c>
      <c r="V928" s="51" t="str">
        <f>IF(OR(TH!L928=TH!$V$7,M928=TH!$V$7),"x","")</f>
        <v/>
      </c>
      <c r="W928" s="51" t="str">
        <f>IF(AND(B928&gt;='IN-NX'!$P$3,B928&lt;='IN-NX'!$Q$3,'IN-NX'!$D$7=D928,OR(LEFT(L928,2)="15",AND(LEFT(M928,2)&lt;&gt;"15",LEFT(M928,2)&lt;&gt;"33"))),"x","")</f>
        <v/>
      </c>
      <c r="X928" s="51" t="str">
        <f>IF(AND(OR(LEFT(TH!L928,2)="15",LEFT(TH!M928,2)="15"),'152-CT'!$J$8=TH!F928),"x","")</f>
        <v/>
      </c>
      <c r="Y928" s="51" t="str">
        <f>IF(AND(OR(LEFT(TH!L928,2)="15",LEFT(TH!M928,2)="15"),TK!$E$7=TH!F928),"x","")</f>
        <v/>
      </c>
      <c r="Z928" s="51" t="str">
        <f>IF(AND(B928&lt;=NKC!$N$8,B928&gt;=NKC!$M$8),"x","")</f>
        <v/>
      </c>
      <c r="AA928" s="803"/>
      <c r="AC928" s="203"/>
      <c r="AD928" s="203"/>
      <c r="AE928" s="203"/>
    </row>
    <row r="929" spans="1:31" s="565" customFormat="1" ht="15.75" customHeight="1">
      <c r="A929" s="804" t="str">
        <f>IF(B929&lt;&gt;"",IF(AND(B929&gt;=_TM1,B929&lt;=_TM2,OR(TH!L929="1111",TH!M929="1111")),TH!D929,""),"")</f>
        <v/>
      </c>
      <c r="B929" s="36">
        <f t="shared" si="60"/>
        <v>10</v>
      </c>
      <c r="C929" s="189">
        <f t="shared" si="61"/>
        <v>42304</v>
      </c>
      <c r="D929" s="189" t="s">
        <v>1364</v>
      </c>
      <c r="E929" s="189">
        <v>42304</v>
      </c>
      <c r="F929" s="190" t="s">
        <v>778</v>
      </c>
      <c r="G929" s="813" t="s">
        <v>780</v>
      </c>
      <c r="H929" s="191" t="s">
        <v>448</v>
      </c>
      <c r="I929" s="243"/>
      <c r="J929" s="243"/>
      <c r="K929" s="573">
        <v>1793668</v>
      </c>
      <c r="L929" s="574" t="s">
        <v>9</v>
      </c>
      <c r="M929" s="574" t="s">
        <v>8</v>
      </c>
      <c r="N929" s="51" t="str">
        <f>IF(AND('331-CT'!$E$7=TH!H929,OR(L929="331",M929="331")),"331",IF(AND(OR(L929="131",M929="131"),H929='131-CT'!$E$7),"131",""))</f>
        <v/>
      </c>
      <c r="O929" s="51" t="str">
        <f>IF(AND($B929&gt;='111'!$N$11,$B929&lt;='111'!$O$11,OR($L929=$O$7,$M929=$O$7)),"x","")</f>
        <v/>
      </c>
      <c r="P929" s="51" t="str">
        <f>IF(AND($L929=$O$7,$B929&lt;'111'!$N$11),"x","")</f>
        <v/>
      </c>
      <c r="Q929" s="51" t="str">
        <f>IF(AND($M929=$O$7,$B929&lt;'111'!$N$11),"x","")</f>
        <v/>
      </c>
      <c r="R929" s="51" t="str">
        <f>IF(ISERROR(FIND('112'!$M$9,G929,1)),"",IF((AND(FIND('112'!$M$9,G929,1)&gt;=1,$B929&gt;='112'!$N$8,$B929&lt;='112'!$O$8,OR($L929='112'!$I$6,$M929='112'!$I$6))),"x",""))</f>
        <v/>
      </c>
      <c r="S929" s="51" t="str">
        <f>IF(ISERROR(FIND('112'!$M$9,G929,1)),"",IF((AND(LEFT(G929,2)=LEFT('112'!$M$9,2),B929&lt;'112'!$N$8,$L929='112'!$I$6)),"x",""))</f>
        <v/>
      </c>
      <c r="T929" s="51" t="str">
        <f>IF(ISERROR(FIND('112'!$M$9,G929,1)),"",IF((AND(RIGHT(G929,2)=RIGHT('112'!$M$9,2),B929&lt;'112'!$N$8,$M929='112'!$I$6)),"x",""))</f>
        <v/>
      </c>
      <c r="U929" s="51" t="str">
        <f>IF(AND(L929="154",'154'!$O$5&lt;=B929,'154'!$P$5&gt;=B929),"154",IF(AND(L929="632",'632'!$L$5&lt;=B929,'632'!$M$5&gt;=B929),"632",IF(AND(L929="642",'642'!$N$5&lt;=B929,'642'!$O$5&gt;=B929),"642",IF(AND(L929="641",'641'!$N$5&lt;=B929,'641'!$O$5&gt;=B929),"641",""))))</f>
        <v/>
      </c>
      <c r="V929" s="51" t="str">
        <f>IF(OR(TH!L929=TH!$V$7,M929=TH!$V$7),"x","")</f>
        <v/>
      </c>
      <c r="W929" s="51" t="str">
        <f>IF(AND(B929&gt;='IN-NX'!$P$3,B929&lt;='IN-NX'!$Q$3,'IN-NX'!$D$7=D929,OR(LEFT(L929,2)="15",AND(LEFT(M929,2)&lt;&gt;"15",LEFT(M929,2)&lt;&gt;"33"))),"x","")</f>
        <v/>
      </c>
      <c r="X929" s="51" t="str">
        <f>IF(AND(OR(LEFT(TH!L929,2)="15",LEFT(TH!M929,2)="15"),'152-CT'!$J$8=TH!F929),"x","")</f>
        <v/>
      </c>
      <c r="Y929" s="51" t="str">
        <f>IF(AND(OR(LEFT(TH!L929,2)="15",LEFT(TH!M929,2)="15"),TK!$E$7=TH!F929),"x","")</f>
        <v/>
      </c>
      <c r="Z929" s="51" t="str">
        <f>IF(AND(B929&lt;=NKC!$N$8,B929&gt;=NKC!$M$8),"x","")</f>
        <v/>
      </c>
      <c r="AA929" s="803">
        <v>4</v>
      </c>
      <c r="AC929" s="203"/>
      <c r="AD929" s="203"/>
      <c r="AE929" s="203"/>
    </row>
    <row r="930" spans="1:31" s="565" customFormat="1" ht="15.75" customHeight="1">
      <c r="A930" s="804" t="str">
        <f>IF(B930&lt;&gt;"",IF(AND(B930&gt;=_TM1,B930&lt;=_TM2,OR(TH!L930="1111",TH!M930="1111")),TH!D930,""),"")</f>
        <v/>
      </c>
      <c r="B930" s="36">
        <f t="shared" si="60"/>
        <v>10</v>
      </c>
      <c r="C930" s="189">
        <f t="shared" si="61"/>
        <v>42304</v>
      </c>
      <c r="D930" s="189" t="s">
        <v>1365</v>
      </c>
      <c r="E930" s="189">
        <v>42304</v>
      </c>
      <c r="F930" s="190" t="s">
        <v>821</v>
      </c>
      <c r="G930" s="813" t="s">
        <v>820</v>
      </c>
      <c r="H930" s="191" t="s">
        <v>509</v>
      </c>
      <c r="I930" s="243">
        <v>25</v>
      </c>
      <c r="J930" s="243">
        <v>11405</v>
      </c>
      <c r="K930" s="573">
        <f t="shared" ref="K930:K946" si="62">ROUND(I930*J930,0)</f>
        <v>285125</v>
      </c>
      <c r="L930" s="574" t="s">
        <v>417</v>
      </c>
      <c r="M930" s="574" t="s">
        <v>8</v>
      </c>
      <c r="N930" s="51" t="str">
        <f>IF(AND('331-CT'!$E$7=TH!H930,OR(L930="331",M930="331")),"331",IF(AND(OR(L930="131",M930="131"),H930='131-CT'!$E$7),"131",""))</f>
        <v/>
      </c>
      <c r="O930" s="51" t="str">
        <f>IF(AND($B930&gt;='111'!$N$11,$B930&lt;='111'!$O$11,OR($L930=$O$7,$M930=$O$7)),"x","")</f>
        <v/>
      </c>
      <c r="P930" s="51" t="str">
        <f>IF(AND($L930=$O$7,$B930&lt;'111'!$N$11),"x","")</f>
        <v/>
      </c>
      <c r="Q930" s="51" t="str">
        <f>IF(AND($M930=$O$7,$B930&lt;'111'!$N$11),"x","")</f>
        <v/>
      </c>
      <c r="R930" s="51" t="str">
        <f>IF(ISERROR(FIND('112'!$M$9,G930,1)),"",IF((AND(FIND('112'!$M$9,G930,1)&gt;=1,$B930&gt;='112'!$N$8,$B930&lt;='112'!$O$8,OR($L930='112'!$I$6,$M930='112'!$I$6))),"x",""))</f>
        <v/>
      </c>
      <c r="S930" s="51" t="str">
        <f>IF(ISERROR(FIND('112'!$M$9,G930,1)),"",IF((AND(LEFT(G930,2)=LEFT('112'!$M$9,2),B930&lt;'112'!$N$8,$L930='112'!$I$6)),"x",""))</f>
        <v/>
      </c>
      <c r="T930" s="51" t="str">
        <f>IF(ISERROR(FIND('112'!$M$9,G930,1)),"",IF((AND(RIGHT(G930,2)=RIGHT('112'!$M$9,2),B930&lt;'112'!$N$8,$M930='112'!$I$6)),"x",""))</f>
        <v/>
      </c>
      <c r="U930" s="51" t="str">
        <f>IF(AND(L930="154",'154'!$O$5&lt;=B930,'154'!$P$5&gt;=B930),"154",IF(AND(L930="632",'632'!$L$5&lt;=B930,'632'!$M$5&gt;=B930),"632",IF(AND(L930="642",'642'!$N$5&lt;=B930,'642'!$O$5&gt;=B930),"642",IF(AND(L930="641",'641'!$N$5&lt;=B930,'641'!$O$5&gt;=B930),"641",""))))</f>
        <v/>
      </c>
      <c r="V930" s="51" t="str">
        <f>IF(OR(TH!L930=TH!$V$7,M930=TH!$V$7),"x","")</f>
        <v/>
      </c>
      <c r="W930" s="51" t="str">
        <f>IF(AND(B930&gt;='IN-NX'!$P$3,B930&lt;='IN-NX'!$Q$3,'IN-NX'!$D$7=D930,OR(LEFT(L930,2)="15",AND(LEFT(M930,2)&lt;&gt;"15",LEFT(M930,2)&lt;&gt;"33"))),"x","")</f>
        <v/>
      </c>
      <c r="X930" s="51" t="str">
        <f>IF(AND(OR(LEFT(TH!L930,2)="15",LEFT(TH!M930,2)="15"),'152-CT'!$J$8=TH!F930),"x","")</f>
        <v/>
      </c>
      <c r="Y930" s="51" t="str">
        <f>IF(AND(OR(LEFT(TH!L930,2)="15",LEFT(TH!M930,2)="15"),TK!$E$7=TH!F930),"x","")</f>
        <v/>
      </c>
      <c r="Z930" s="51" t="str">
        <f>IF(AND(B930&lt;=NKC!$N$8,B930&gt;=NKC!$M$8),"x","")</f>
        <v/>
      </c>
      <c r="AA930" s="803"/>
      <c r="AC930" s="203"/>
      <c r="AD930" s="203"/>
    </row>
    <row r="931" spans="1:31" s="565" customFormat="1" ht="15.75" customHeight="1">
      <c r="A931" s="804" t="str">
        <f>IF(B931&lt;&gt;"",IF(AND(B931&gt;=_TM1,B931&lt;=_TM2,OR(TH!L931="1111",TH!M931="1111")),TH!D931,""),"")</f>
        <v/>
      </c>
      <c r="B931" s="36">
        <f t="shared" si="60"/>
        <v>10</v>
      </c>
      <c r="C931" s="189">
        <f t="shared" si="61"/>
        <v>42304</v>
      </c>
      <c r="D931" s="189" t="s">
        <v>1365</v>
      </c>
      <c r="E931" s="189">
        <v>42304</v>
      </c>
      <c r="F931" s="190" t="s">
        <v>822</v>
      </c>
      <c r="G931" s="813" t="s">
        <v>820</v>
      </c>
      <c r="H931" s="191" t="s">
        <v>509</v>
      </c>
      <c r="I931" s="243">
        <v>25</v>
      </c>
      <c r="J931" s="243">
        <v>21023</v>
      </c>
      <c r="K931" s="573">
        <f t="shared" si="62"/>
        <v>525575</v>
      </c>
      <c r="L931" s="574" t="s">
        <v>417</v>
      </c>
      <c r="M931" s="574" t="s">
        <v>8</v>
      </c>
      <c r="N931" s="51" t="str">
        <f>IF(AND('331-CT'!$E$7=TH!H931,OR(L931="331",M931="331")),"331",IF(AND(OR(L931="131",M931="131"),H931='131-CT'!$E$7),"131",""))</f>
        <v/>
      </c>
      <c r="O931" s="51" t="str">
        <f>IF(AND($B931&gt;='111'!$N$11,$B931&lt;='111'!$O$11,OR($L931=$O$7,$M931=$O$7)),"x","")</f>
        <v/>
      </c>
      <c r="P931" s="51" t="str">
        <f>IF(AND($L931=$O$7,$B931&lt;'111'!$N$11),"x","")</f>
        <v/>
      </c>
      <c r="Q931" s="51" t="str">
        <f>IF(AND($M931=$O$7,$B931&lt;'111'!$N$11),"x","")</f>
        <v/>
      </c>
      <c r="R931" s="51" t="str">
        <f>IF(ISERROR(FIND('112'!$M$9,G931,1)),"",IF((AND(FIND('112'!$M$9,G931,1)&gt;=1,$B931&gt;='112'!$N$8,$B931&lt;='112'!$O$8,OR($L931='112'!$I$6,$M931='112'!$I$6))),"x",""))</f>
        <v/>
      </c>
      <c r="S931" s="51" t="str">
        <f>IF(ISERROR(FIND('112'!$M$9,G931,1)),"",IF((AND(LEFT(G931,2)=LEFT('112'!$M$9,2),B931&lt;'112'!$N$8,$L931='112'!$I$6)),"x",""))</f>
        <v/>
      </c>
      <c r="T931" s="51" t="str">
        <f>IF(ISERROR(FIND('112'!$M$9,G931,1)),"",IF((AND(RIGHT(G931,2)=RIGHT('112'!$M$9,2),B931&lt;'112'!$N$8,$M931='112'!$I$6)),"x",""))</f>
        <v/>
      </c>
      <c r="U931" s="51" t="str">
        <f>IF(AND(L931="154",'154'!$O$5&lt;=B931,'154'!$P$5&gt;=B931),"154",IF(AND(L931="632",'632'!$L$5&lt;=B931,'632'!$M$5&gt;=B931),"632",IF(AND(L931="642",'642'!$N$5&lt;=B931,'642'!$O$5&gt;=B931),"642",IF(AND(L931="641",'641'!$N$5&lt;=B931,'641'!$O$5&gt;=B931),"641",""))))</f>
        <v/>
      </c>
      <c r="V931" s="51" t="str">
        <f>IF(OR(TH!L931=TH!$V$7,M931=TH!$V$7),"x","")</f>
        <v/>
      </c>
      <c r="W931" s="51" t="str">
        <f>IF(AND(B931&gt;='IN-NX'!$P$3,B931&lt;='IN-NX'!$Q$3,'IN-NX'!$D$7=D931,OR(LEFT(L931,2)="15",AND(LEFT(M931,2)&lt;&gt;"15",LEFT(M931,2)&lt;&gt;"33"))),"x","")</f>
        <v/>
      </c>
      <c r="X931" s="51" t="str">
        <f>IF(AND(OR(LEFT(TH!L931,2)="15",LEFT(TH!M931,2)="15"),'152-CT'!$J$8=TH!F931),"x","")</f>
        <v/>
      </c>
      <c r="Y931" s="51" t="str">
        <f>IF(AND(OR(LEFT(TH!L931,2)="15",LEFT(TH!M931,2)="15"),TK!$E$7=TH!F931),"x","")</f>
        <v/>
      </c>
      <c r="Z931" s="51" t="str">
        <f>IF(AND(B931&lt;=NKC!$N$8,B931&gt;=NKC!$M$8),"x","")</f>
        <v/>
      </c>
      <c r="AA931" s="803"/>
      <c r="AC931" s="203"/>
      <c r="AD931" s="203"/>
      <c r="AE931" s="203"/>
    </row>
    <row r="932" spans="1:31" s="565" customFormat="1" ht="15.75" customHeight="1">
      <c r="A932" s="804" t="str">
        <f>IF(B932&lt;&gt;"",IF(AND(B932&gt;=_TM1,B932&lt;=_TM2,OR(TH!L932="1111",TH!M932="1111")),TH!D932,""),"")</f>
        <v/>
      </c>
      <c r="B932" s="36">
        <f t="shared" si="60"/>
        <v>10</v>
      </c>
      <c r="C932" s="189">
        <f t="shared" si="61"/>
        <v>42304</v>
      </c>
      <c r="D932" s="189" t="s">
        <v>1365</v>
      </c>
      <c r="E932" s="189">
        <v>42304</v>
      </c>
      <c r="F932" s="190" t="s">
        <v>823</v>
      </c>
      <c r="G932" s="813" t="s">
        <v>820</v>
      </c>
      <c r="H932" s="191" t="s">
        <v>509</v>
      </c>
      <c r="I932" s="243">
        <v>25</v>
      </c>
      <c r="J932" s="243">
        <v>24748</v>
      </c>
      <c r="K932" s="573">
        <f t="shared" si="62"/>
        <v>618700</v>
      </c>
      <c r="L932" s="574" t="s">
        <v>417</v>
      </c>
      <c r="M932" s="574" t="s">
        <v>8</v>
      </c>
      <c r="N932" s="51" t="str">
        <f>IF(AND('331-CT'!$E$7=TH!H932,OR(L932="331",M932="331")),"331",IF(AND(OR(L932="131",M932="131"),H932='131-CT'!$E$7),"131",""))</f>
        <v/>
      </c>
      <c r="O932" s="51" t="str">
        <f>IF(AND($B932&gt;='111'!$N$11,$B932&lt;='111'!$O$11,OR($L932=$O$7,$M932=$O$7)),"x","")</f>
        <v/>
      </c>
      <c r="P932" s="51" t="str">
        <f>IF(AND($L932=$O$7,$B932&lt;'111'!$N$11),"x","")</f>
        <v/>
      </c>
      <c r="Q932" s="51" t="str">
        <f>IF(AND($M932=$O$7,$B932&lt;'111'!$N$11),"x","")</f>
        <v/>
      </c>
      <c r="R932" s="51" t="str">
        <f>IF(ISERROR(FIND('112'!$M$9,G932,1)),"",IF((AND(FIND('112'!$M$9,G932,1)&gt;=1,$B932&gt;='112'!$N$8,$B932&lt;='112'!$O$8,OR($L932='112'!$I$6,$M932='112'!$I$6))),"x",""))</f>
        <v/>
      </c>
      <c r="S932" s="51" t="str">
        <f>IF(ISERROR(FIND('112'!$M$9,G932,1)),"",IF((AND(LEFT(G932,2)=LEFT('112'!$M$9,2),B932&lt;'112'!$N$8,$L932='112'!$I$6)),"x",""))</f>
        <v/>
      </c>
      <c r="T932" s="51" t="str">
        <f>IF(ISERROR(FIND('112'!$M$9,G932,1)),"",IF((AND(RIGHT(G932,2)=RIGHT('112'!$M$9,2),B932&lt;'112'!$N$8,$M932='112'!$I$6)),"x",""))</f>
        <v/>
      </c>
      <c r="U932" s="51" t="str">
        <f>IF(AND(L932="154",'154'!$O$5&lt;=B932,'154'!$P$5&gt;=B932),"154",IF(AND(L932="632",'632'!$L$5&lt;=B932,'632'!$M$5&gt;=B932),"632",IF(AND(L932="642",'642'!$N$5&lt;=B932,'642'!$O$5&gt;=B932),"642",IF(AND(L932="641",'641'!$N$5&lt;=B932,'641'!$O$5&gt;=B932),"641",""))))</f>
        <v/>
      </c>
      <c r="V932" s="51" t="str">
        <f>IF(OR(TH!L932=TH!$V$7,M932=TH!$V$7),"x","")</f>
        <v/>
      </c>
      <c r="W932" s="51" t="str">
        <f>IF(AND(B932&gt;='IN-NX'!$P$3,B932&lt;='IN-NX'!$Q$3,'IN-NX'!$D$7=D932,OR(LEFT(L932,2)="15",AND(LEFT(M932,2)&lt;&gt;"15",LEFT(M932,2)&lt;&gt;"33"))),"x","")</f>
        <v/>
      </c>
      <c r="X932" s="51" t="str">
        <f>IF(AND(OR(LEFT(TH!L932,2)="15",LEFT(TH!M932,2)="15"),'152-CT'!$J$8=TH!F932),"x","")</f>
        <v/>
      </c>
      <c r="Y932" s="51" t="str">
        <f>IF(AND(OR(LEFT(TH!L932,2)="15",LEFT(TH!M932,2)="15"),TK!$E$7=TH!F932),"x","")</f>
        <v/>
      </c>
      <c r="Z932" s="51" t="str">
        <f>IF(AND(B932&lt;=NKC!$N$8,B932&gt;=NKC!$M$8),"x","")</f>
        <v/>
      </c>
      <c r="AA932" s="803"/>
      <c r="AC932" s="203"/>
      <c r="AD932" s="203"/>
      <c r="AE932" s="203"/>
    </row>
    <row r="933" spans="1:31" s="565" customFormat="1" ht="15.75" customHeight="1">
      <c r="A933" s="804" t="str">
        <f>IF(B933&lt;&gt;"",IF(AND(B933&gt;=_TM1,B933&lt;=_TM2,OR(TH!L933="1111",TH!M933="1111")),TH!D933,""),"")</f>
        <v/>
      </c>
      <c r="B933" s="36">
        <f t="shared" si="60"/>
        <v>10</v>
      </c>
      <c r="C933" s="189">
        <f t="shared" si="61"/>
        <v>42304</v>
      </c>
      <c r="D933" s="189" t="s">
        <v>1365</v>
      </c>
      <c r="E933" s="189">
        <v>42304</v>
      </c>
      <c r="F933" s="190" t="s">
        <v>824</v>
      </c>
      <c r="G933" s="813" t="s">
        <v>820</v>
      </c>
      <c r="H933" s="191" t="s">
        <v>509</v>
      </c>
      <c r="I933" s="243">
        <v>50</v>
      </c>
      <c r="J933" s="243">
        <v>22429</v>
      </c>
      <c r="K933" s="573">
        <f t="shared" si="62"/>
        <v>1121450</v>
      </c>
      <c r="L933" s="574" t="s">
        <v>417</v>
      </c>
      <c r="M933" s="574" t="s">
        <v>8</v>
      </c>
      <c r="N933" s="51" t="str">
        <f>IF(AND('331-CT'!$E$7=TH!H933,OR(L933="331",M933="331")),"331",IF(AND(OR(L933="131",M933="131"),H933='131-CT'!$E$7),"131",""))</f>
        <v/>
      </c>
      <c r="O933" s="51" t="str">
        <f>IF(AND($B933&gt;='111'!$N$11,$B933&lt;='111'!$O$11,OR($L933=$O$7,$M933=$O$7)),"x","")</f>
        <v/>
      </c>
      <c r="P933" s="51" t="str">
        <f>IF(AND($L933=$O$7,$B933&lt;'111'!$N$11),"x","")</f>
        <v/>
      </c>
      <c r="Q933" s="51" t="str">
        <f>IF(AND($M933=$O$7,$B933&lt;'111'!$N$11),"x","")</f>
        <v/>
      </c>
      <c r="R933" s="51" t="str">
        <f>IF(ISERROR(FIND('112'!$M$9,G933,1)),"",IF((AND(FIND('112'!$M$9,G933,1)&gt;=1,$B933&gt;='112'!$N$8,$B933&lt;='112'!$O$8,OR($L933='112'!$I$6,$M933='112'!$I$6))),"x",""))</f>
        <v/>
      </c>
      <c r="S933" s="51" t="str">
        <f>IF(ISERROR(FIND('112'!$M$9,G933,1)),"",IF((AND(LEFT(G933,2)=LEFT('112'!$M$9,2),B933&lt;'112'!$N$8,$L933='112'!$I$6)),"x",""))</f>
        <v/>
      </c>
      <c r="T933" s="51" t="str">
        <f>IF(ISERROR(FIND('112'!$M$9,G933,1)),"",IF((AND(RIGHT(G933,2)=RIGHT('112'!$M$9,2),B933&lt;'112'!$N$8,$M933='112'!$I$6)),"x",""))</f>
        <v/>
      </c>
      <c r="U933" s="51" t="str">
        <f>IF(AND(L933="154",'154'!$O$5&lt;=B933,'154'!$P$5&gt;=B933),"154",IF(AND(L933="632",'632'!$L$5&lt;=B933,'632'!$M$5&gt;=B933),"632",IF(AND(L933="642",'642'!$N$5&lt;=B933,'642'!$O$5&gt;=B933),"642",IF(AND(L933="641",'641'!$N$5&lt;=B933,'641'!$O$5&gt;=B933),"641",""))))</f>
        <v/>
      </c>
      <c r="V933" s="51" t="str">
        <f>IF(OR(TH!L933=TH!$V$7,M933=TH!$V$7),"x","")</f>
        <v/>
      </c>
      <c r="W933" s="51" t="str">
        <f>IF(AND(B933&gt;='IN-NX'!$P$3,B933&lt;='IN-NX'!$Q$3,'IN-NX'!$D$7=D933,OR(LEFT(L933,2)="15",AND(LEFT(M933,2)&lt;&gt;"15",LEFT(M933,2)&lt;&gt;"33"))),"x","")</f>
        <v/>
      </c>
      <c r="X933" s="51" t="str">
        <f>IF(AND(OR(LEFT(TH!L933,2)="15",LEFT(TH!M933,2)="15"),'152-CT'!$J$8=TH!F933),"x","")</f>
        <v/>
      </c>
      <c r="Y933" s="51" t="str">
        <f>IF(AND(OR(LEFT(TH!L933,2)="15",LEFT(TH!M933,2)="15"),TK!$E$7=TH!F933),"x","")</f>
        <v/>
      </c>
      <c r="Z933" s="51" t="str">
        <f>IF(AND(B933&lt;=NKC!$N$8,B933&gt;=NKC!$M$8),"x","")</f>
        <v/>
      </c>
      <c r="AA933" s="803"/>
      <c r="AC933" s="203"/>
      <c r="AD933" s="203"/>
    </row>
    <row r="934" spans="1:31" s="565" customFormat="1" ht="15.75" customHeight="1">
      <c r="A934" s="804" t="str">
        <f>IF(B934&lt;&gt;"",IF(AND(B934&gt;=_TM1,B934&lt;=_TM2,OR(TH!L934="1111",TH!M934="1111")),TH!D934,""),"")</f>
        <v/>
      </c>
      <c r="B934" s="36">
        <f t="shared" si="60"/>
        <v>10</v>
      </c>
      <c r="C934" s="189">
        <f t="shared" si="61"/>
        <v>42304</v>
      </c>
      <c r="D934" s="189" t="s">
        <v>1365</v>
      </c>
      <c r="E934" s="189">
        <v>42304</v>
      </c>
      <c r="F934" s="190" t="s">
        <v>764</v>
      </c>
      <c r="G934" s="813" t="s">
        <v>820</v>
      </c>
      <c r="H934" s="191" t="s">
        <v>509</v>
      </c>
      <c r="I934" s="243">
        <v>56</v>
      </c>
      <c r="J934" s="243">
        <v>12845</v>
      </c>
      <c r="K934" s="573">
        <f t="shared" si="62"/>
        <v>719320</v>
      </c>
      <c r="L934" s="574" t="s">
        <v>417</v>
      </c>
      <c r="M934" s="574" t="s">
        <v>8</v>
      </c>
      <c r="N934" s="51" t="str">
        <f>IF(AND('331-CT'!$E$7=TH!H934,OR(L934="331",M934="331")),"331",IF(AND(OR(L934="131",M934="131"),H934='131-CT'!$E$7),"131",""))</f>
        <v/>
      </c>
      <c r="O934" s="51" t="str">
        <f>IF(AND($B934&gt;='111'!$N$11,$B934&lt;='111'!$O$11,OR($L934=$O$7,$M934=$O$7)),"x","")</f>
        <v/>
      </c>
      <c r="P934" s="51" t="str">
        <f>IF(AND($L934=$O$7,$B934&lt;'111'!$N$11),"x","")</f>
        <v/>
      </c>
      <c r="Q934" s="51" t="str">
        <f>IF(AND($M934=$O$7,$B934&lt;'111'!$N$11),"x","")</f>
        <v/>
      </c>
      <c r="R934" s="51" t="str">
        <f>IF(ISERROR(FIND('112'!$M$9,G934,1)),"",IF((AND(FIND('112'!$M$9,G934,1)&gt;=1,$B934&gt;='112'!$N$8,$B934&lt;='112'!$O$8,OR($L934='112'!$I$6,$M934='112'!$I$6))),"x",""))</f>
        <v/>
      </c>
      <c r="S934" s="51" t="str">
        <f>IF(ISERROR(FIND('112'!$M$9,G934,1)),"",IF((AND(LEFT(G934,2)=LEFT('112'!$M$9,2),B934&lt;'112'!$N$8,$L934='112'!$I$6)),"x",""))</f>
        <v/>
      </c>
      <c r="T934" s="51" t="str">
        <f>IF(ISERROR(FIND('112'!$M$9,G934,1)),"",IF((AND(RIGHT(G934,2)=RIGHT('112'!$M$9,2),B934&lt;'112'!$N$8,$M934='112'!$I$6)),"x",""))</f>
        <v/>
      </c>
      <c r="U934" s="51" t="str">
        <f>IF(AND(L934="154",'154'!$O$5&lt;=B934,'154'!$P$5&gt;=B934),"154",IF(AND(L934="632",'632'!$L$5&lt;=B934,'632'!$M$5&gt;=B934),"632",IF(AND(L934="642",'642'!$N$5&lt;=B934,'642'!$O$5&gt;=B934),"642",IF(AND(L934="641",'641'!$N$5&lt;=B934,'641'!$O$5&gt;=B934),"641",""))))</f>
        <v/>
      </c>
      <c r="V934" s="51" t="str">
        <f>IF(OR(TH!L934=TH!$V$7,M934=TH!$V$7),"x","")</f>
        <v/>
      </c>
      <c r="W934" s="51" t="str">
        <f>IF(AND(B934&gt;='IN-NX'!$P$3,B934&lt;='IN-NX'!$Q$3,'IN-NX'!$D$7=D934,OR(LEFT(L934,2)="15",AND(LEFT(M934,2)&lt;&gt;"15",LEFT(M934,2)&lt;&gt;"33"))),"x","")</f>
        <v/>
      </c>
      <c r="X934" s="51" t="str">
        <f>IF(AND(OR(LEFT(TH!L934,2)="15",LEFT(TH!M934,2)="15"),'152-CT'!$J$8=TH!F934),"x","")</f>
        <v/>
      </c>
      <c r="Y934" s="51" t="str">
        <f>IF(AND(OR(LEFT(TH!L934,2)="15",LEFT(TH!M934,2)="15"),TK!$E$7=TH!F934),"x","")</f>
        <v/>
      </c>
      <c r="Z934" s="51" t="str">
        <f>IF(AND(B934&lt;=NKC!$N$8,B934&gt;=NKC!$M$8),"x","")</f>
        <v/>
      </c>
      <c r="AA934" s="803"/>
      <c r="AC934" s="203"/>
      <c r="AD934" s="203"/>
    </row>
    <row r="935" spans="1:31" s="565" customFormat="1" ht="15.75" customHeight="1">
      <c r="A935" s="804" t="str">
        <f>IF(B935&lt;&gt;"",IF(AND(B935&gt;=_TM1,B935&lt;=_TM2,OR(TH!L935="1111",TH!M935="1111")),TH!D935,""),"")</f>
        <v/>
      </c>
      <c r="B935" s="36">
        <f t="shared" si="60"/>
        <v>10</v>
      </c>
      <c r="C935" s="189">
        <f t="shared" si="61"/>
        <v>42304</v>
      </c>
      <c r="D935" s="189" t="s">
        <v>1365</v>
      </c>
      <c r="E935" s="189">
        <v>42304</v>
      </c>
      <c r="F935" s="190" t="s">
        <v>765</v>
      </c>
      <c r="G935" s="813" t="s">
        <v>820</v>
      </c>
      <c r="H935" s="191" t="s">
        <v>509</v>
      </c>
      <c r="I935" s="243">
        <v>25</v>
      </c>
      <c r="J935" s="243">
        <v>9830</v>
      </c>
      <c r="K935" s="573">
        <f t="shared" si="62"/>
        <v>245750</v>
      </c>
      <c r="L935" s="574" t="s">
        <v>417</v>
      </c>
      <c r="M935" s="574" t="s">
        <v>8</v>
      </c>
      <c r="N935" s="51" t="str">
        <f>IF(AND('331-CT'!$E$7=TH!H935,OR(L935="331",M935="331")),"331",IF(AND(OR(L935="131",M935="131"),H935='131-CT'!$E$7),"131",""))</f>
        <v/>
      </c>
      <c r="O935" s="51" t="str">
        <f>IF(AND($B935&gt;='111'!$N$11,$B935&lt;='111'!$O$11,OR($L935=$O$7,$M935=$O$7)),"x","")</f>
        <v/>
      </c>
      <c r="P935" s="51" t="str">
        <f>IF(AND($L935=$O$7,$B935&lt;'111'!$N$11),"x","")</f>
        <v/>
      </c>
      <c r="Q935" s="51" t="str">
        <f>IF(AND($M935=$O$7,$B935&lt;'111'!$N$11),"x","")</f>
        <v/>
      </c>
      <c r="R935" s="51" t="str">
        <f>IF(ISERROR(FIND('112'!$M$9,G935,1)),"",IF((AND(FIND('112'!$M$9,G935,1)&gt;=1,$B935&gt;='112'!$N$8,$B935&lt;='112'!$O$8,OR($L935='112'!$I$6,$M935='112'!$I$6))),"x",""))</f>
        <v/>
      </c>
      <c r="S935" s="51" t="str">
        <f>IF(ISERROR(FIND('112'!$M$9,G935,1)),"",IF((AND(LEFT(G935,2)=LEFT('112'!$M$9,2),B935&lt;'112'!$N$8,$L935='112'!$I$6)),"x",""))</f>
        <v/>
      </c>
      <c r="T935" s="51" t="str">
        <f>IF(ISERROR(FIND('112'!$M$9,G935,1)),"",IF((AND(RIGHT(G935,2)=RIGHT('112'!$M$9,2),B935&lt;'112'!$N$8,$M935='112'!$I$6)),"x",""))</f>
        <v/>
      </c>
      <c r="U935" s="51" t="str">
        <f>IF(AND(L935="154",'154'!$O$5&lt;=B935,'154'!$P$5&gt;=B935),"154",IF(AND(L935="632",'632'!$L$5&lt;=B935,'632'!$M$5&gt;=B935),"632",IF(AND(L935="642",'642'!$N$5&lt;=B935,'642'!$O$5&gt;=B935),"642",IF(AND(L935="641",'641'!$N$5&lt;=B935,'641'!$O$5&gt;=B935),"641",""))))</f>
        <v/>
      </c>
      <c r="V935" s="51" t="str">
        <f>IF(OR(TH!L935=TH!$V$7,M935=TH!$V$7),"x","")</f>
        <v/>
      </c>
      <c r="W935" s="51" t="str">
        <f>IF(AND(B935&gt;='IN-NX'!$P$3,B935&lt;='IN-NX'!$Q$3,'IN-NX'!$D$7=D935,OR(LEFT(L935,2)="15",AND(LEFT(M935,2)&lt;&gt;"15",LEFT(M935,2)&lt;&gt;"33"))),"x","")</f>
        <v/>
      </c>
      <c r="X935" s="51" t="str">
        <f>IF(AND(OR(LEFT(TH!L935,2)="15",LEFT(TH!M935,2)="15"),'152-CT'!$J$8=TH!F935),"x","")</f>
        <v/>
      </c>
      <c r="Y935" s="51" t="str">
        <f>IF(AND(OR(LEFT(TH!L935,2)="15",LEFT(TH!M935,2)="15"),TK!$E$7=TH!F935),"x","")</f>
        <v/>
      </c>
      <c r="Z935" s="51" t="str">
        <f>IF(AND(B935&lt;=NKC!$N$8,B935&gt;=NKC!$M$8),"x","")</f>
        <v/>
      </c>
      <c r="AA935" s="803"/>
      <c r="AC935" s="203"/>
      <c r="AD935" s="203"/>
    </row>
    <row r="936" spans="1:31" s="565" customFormat="1" ht="15.75" customHeight="1">
      <c r="A936" s="804" t="str">
        <f>IF(B936&lt;&gt;"",IF(AND(B936&gt;=_TM1,B936&lt;=_TM2,OR(TH!L936="1111",TH!M936="1111")),TH!D936,""),"")</f>
        <v/>
      </c>
      <c r="B936" s="36">
        <f t="shared" si="60"/>
        <v>10</v>
      </c>
      <c r="C936" s="189">
        <f t="shared" si="61"/>
        <v>42304</v>
      </c>
      <c r="D936" s="189" t="s">
        <v>1365</v>
      </c>
      <c r="E936" s="189">
        <v>42304</v>
      </c>
      <c r="F936" s="190" t="s">
        <v>766</v>
      </c>
      <c r="G936" s="813" t="s">
        <v>820</v>
      </c>
      <c r="H936" s="191" t="s">
        <v>509</v>
      </c>
      <c r="I936" s="243">
        <v>4</v>
      </c>
      <c r="J936" s="243">
        <v>7786</v>
      </c>
      <c r="K936" s="573">
        <f t="shared" si="62"/>
        <v>31144</v>
      </c>
      <c r="L936" s="574" t="s">
        <v>417</v>
      </c>
      <c r="M936" s="574" t="s">
        <v>8</v>
      </c>
      <c r="N936" s="51" t="str">
        <f>IF(AND('331-CT'!$E$7=TH!H936,OR(L936="331",M936="331")),"331",IF(AND(OR(L936="131",M936="131"),H936='131-CT'!$E$7),"131",""))</f>
        <v/>
      </c>
      <c r="O936" s="51" t="str">
        <f>IF(AND($B936&gt;='111'!$N$11,$B936&lt;='111'!$O$11,OR($L936=$O$7,$M936=$O$7)),"x","")</f>
        <v/>
      </c>
      <c r="P936" s="51" t="str">
        <f>IF(AND($L936=$O$7,$B936&lt;'111'!$N$11),"x","")</f>
        <v/>
      </c>
      <c r="Q936" s="51" t="str">
        <f>IF(AND($M936=$O$7,$B936&lt;'111'!$N$11),"x","")</f>
        <v/>
      </c>
      <c r="R936" s="51" t="str">
        <f>IF(ISERROR(FIND('112'!$M$9,G936,1)),"",IF((AND(FIND('112'!$M$9,G936,1)&gt;=1,$B936&gt;='112'!$N$8,$B936&lt;='112'!$O$8,OR($L936='112'!$I$6,$M936='112'!$I$6))),"x",""))</f>
        <v/>
      </c>
      <c r="S936" s="51" t="str">
        <f>IF(ISERROR(FIND('112'!$M$9,G936,1)),"",IF((AND(LEFT(G936,2)=LEFT('112'!$M$9,2),B936&lt;'112'!$N$8,$L936='112'!$I$6)),"x",""))</f>
        <v/>
      </c>
      <c r="T936" s="51" t="str">
        <f>IF(ISERROR(FIND('112'!$M$9,G936,1)),"",IF((AND(RIGHT(G936,2)=RIGHT('112'!$M$9,2),B936&lt;'112'!$N$8,$M936='112'!$I$6)),"x",""))</f>
        <v/>
      </c>
      <c r="U936" s="51" t="str">
        <f>IF(AND(L936="154",'154'!$O$5&lt;=B936,'154'!$P$5&gt;=B936),"154",IF(AND(L936="632",'632'!$L$5&lt;=B936,'632'!$M$5&gt;=B936),"632",IF(AND(L936="642",'642'!$N$5&lt;=B936,'642'!$O$5&gt;=B936),"642",IF(AND(L936="641",'641'!$N$5&lt;=B936,'641'!$O$5&gt;=B936),"641",""))))</f>
        <v/>
      </c>
      <c r="V936" s="51" t="str">
        <f>IF(OR(TH!L936=TH!$V$7,M936=TH!$V$7),"x","")</f>
        <v/>
      </c>
      <c r="W936" s="51" t="str">
        <f>IF(AND(B936&gt;='IN-NX'!$P$3,B936&lt;='IN-NX'!$Q$3,'IN-NX'!$D$7=D936,OR(LEFT(L936,2)="15",AND(LEFT(M936,2)&lt;&gt;"15",LEFT(M936,2)&lt;&gt;"33"))),"x","")</f>
        <v/>
      </c>
      <c r="X936" s="51" t="str">
        <f>IF(AND(OR(LEFT(TH!L936,2)="15",LEFT(TH!M936,2)="15"),'152-CT'!$J$8=TH!F936),"x","")</f>
        <v/>
      </c>
      <c r="Y936" s="51" t="str">
        <f>IF(AND(OR(LEFT(TH!L936,2)="15",LEFT(TH!M936,2)="15"),TK!$E$7=TH!F936),"x","")</f>
        <v/>
      </c>
      <c r="Z936" s="51" t="str">
        <f>IF(AND(B936&lt;=NKC!$N$8,B936&gt;=NKC!$M$8),"x","")</f>
        <v/>
      </c>
      <c r="AA936" s="803"/>
      <c r="AC936" s="203"/>
      <c r="AD936" s="203"/>
    </row>
    <row r="937" spans="1:31" s="565" customFormat="1" ht="15.75" customHeight="1">
      <c r="A937" s="804" t="str">
        <f>IF(B937&lt;&gt;"",IF(AND(B937&gt;=_TM1,B937&lt;=_TM2,OR(TH!L937="1111",TH!M937="1111")),TH!D937,""),"")</f>
        <v/>
      </c>
      <c r="B937" s="36">
        <f t="shared" si="60"/>
        <v>10</v>
      </c>
      <c r="C937" s="189">
        <f t="shared" si="61"/>
        <v>42304</v>
      </c>
      <c r="D937" s="189" t="s">
        <v>1365</v>
      </c>
      <c r="E937" s="189">
        <v>42304</v>
      </c>
      <c r="F937" s="190" t="s">
        <v>767</v>
      </c>
      <c r="G937" s="813" t="s">
        <v>820</v>
      </c>
      <c r="H937" s="191" t="s">
        <v>509</v>
      </c>
      <c r="I937" s="243">
        <v>123</v>
      </c>
      <c r="J937" s="243">
        <v>8453</v>
      </c>
      <c r="K937" s="573">
        <f t="shared" si="62"/>
        <v>1039719</v>
      </c>
      <c r="L937" s="574" t="s">
        <v>417</v>
      </c>
      <c r="M937" s="574" t="s">
        <v>8</v>
      </c>
      <c r="N937" s="51" t="str">
        <f>IF(AND('331-CT'!$E$7=TH!H937,OR(L937="331",M937="331")),"331",IF(AND(OR(L937="131",M937="131"),H937='131-CT'!$E$7),"131",""))</f>
        <v/>
      </c>
      <c r="O937" s="51" t="str">
        <f>IF(AND($B937&gt;='111'!$N$11,$B937&lt;='111'!$O$11,OR($L937=$O$7,$M937=$O$7)),"x","")</f>
        <v/>
      </c>
      <c r="P937" s="51" t="str">
        <f>IF(AND($L937=$O$7,$B937&lt;'111'!$N$11),"x","")</f>
        <v/>
      </c>
      <c r="Q937" s="51" t="str">
        <f>IF(AND($M937=$O$7,$B937&lt;'111'!$N$11),"x","")</f>
        <v/>
      </c>
      <c r="R937" s="51" t="str">
        <f>IF(ISERROR(FIND('112'!$M$9,G937,1)),"",IF((AND(FIND('112'!$M$9,G937,1)&gt;=1,$B937&gt;='112'!$N$8,$B937&lt;='112'!$O$8,OR($L937='112'!$I$6,$M937='112'!$I$6))),"x",""))</f>
        <v/>
      </c>
      <c r="S937" s="51" t="str">
        <f>IF(ISERROR(FIND('112'!$M$9,G937,1)),"",IF((AND(LEFT(G937,2)=LEFT('112'!$M$9,2),B937&lt;'112'!$N$8,$L937='112'!$I$6)),"x",""))</f>
        <v/>
      </c>
      <c r="T937" s="51" t="str">
        <f>IF(ISERROR(FIND('112'!$M$9,G937,1)),"",IF((AND(RIGHT(G937,2)=RIGHT('112'!$M$9,2),B937&lt;'112'!$N$8,$M937='112'!$I$6)),"x",""))</f>
        <v/>
      </c>
      <c r="U937" s="51" t="str">
        <f>IF(AND(L937="154",'154'!$O$5&lt;=B937,'154'!$P$5&gt;=B937),"154",IF(AND(L937="632",'632'!$L$5&lt;=B937,'632'!$M$5&gt;=B937),"632",IF(AND(L937="642",'642'!$N$5&lt;=B937,'642'!$O$5&gt;=B937),"642",IF(AND(L937="641",'641'!$N$5&lt;=B937,'641'!$O$5&gt;=B937),"641",""))))</f>
        <v/>
      </c>
      <c r="V937" s="51" t="str">
        <f>IF(OR(TH!L937=TH!$V$7,M937=TH!$V$7),"x","")</f>
        <v/>
      </c>
      <c r="W937" s="51" t="str">
        <f>IF(AND(B937&gt;='IN-NX'!$P$3,B937&lt;='IN-NX'!$Q$3,'IN-NX'!$D$7=D937,OR(LEFT(L937,2)="15",AND(LEFT(M937,2)&lt;&gt;"15",LEFT(M937,2)&lt;&gt;"33"))),"x","")</f>
        <v/>
      </c>
      <c r="X937" s="51" t="str">
        <f>IF(AND(OR(LEFT(TH!L937,2)="15",LEFT(TH!M937,2)="15"),'152-CT'!$J$8=TH!F937),"x","")</f>
        <v/>
      </c>
      <c r="Y937" s="51" t="str">
        <f>IF(AND(OR(LEFT(TH!L937,2)="15",LEFT(TH!M937,2)="15"),TK!$E$7=TH!F937),"x","")</f>
        <v/>
      </c>
      <c r="Z937" s="51" t="str">
        <f>IF(AND(B937&lt;=NKC!$N$8,B937&gt;=NKC!$M$8),"x","")</f>
        <v/>
      </c>
      <c r="AA937" s="803"/>
      <c r="AC937" s="203"/>
      <c r="AD937" s="203"/>
    </row>
    <row r="938" spans="1:31" s="565" customFormat="1" ht="15.75" customHeight="1">
      <c r="A938" s="804" t="str">
        <f>IF(B938&lt;&gt;"",IF(AND(B938&gt;=_TM1,B938&lt;=_TM2,OR(TH!L938="1111",TH!M938="1111")),TH!D938,""),"")</f>
        <v/>
      </c>
      <c r="B938" s="36">
        <f t="shared" si="60"/>
        <v>10</v>
      </c>
      <c r="C938" s="189">
        <f t="shared" si="61"/>
        <v>42304</v>
      </c>
      <c r="D938" s="189" t="s">
        <v>1365</v>
      </c>
      <c r="E938" s="189">
        <v>42304</v>
      </c>
      <c r="F938" s="190" t="s">
        <v>768</v>
      </c>
      <c r="G938" s="813" t="s">
        <v>820</v>
      </c>
      <c r="H938" s="191" t="s">
        <v>509</v>
      </c>
      <c r="I938" s="243">
        <v>18</v>
      </c>
      <c r="J938" s="243">
        <v>5957</v>
      </c>
      <c r="K938" s="573">
        <f t="shared" si="62"/>
        <v>107226</v>
      </c>
      <c r="L938" s="574" t="s">
        <v>417</v>
      </c>
      <c r="M938" s="574" t="s">
        <v>8</v>
      </c>
      <c r="N938" s="51" t="str">
        <f>IF(AND('331-CT'!$E$7=TH!H938,OR(L938="331",M938="331")),"331",IF(AND(OR(L938="131",M938="131"),H938='131-CT'!$E$7),"131",""))</f>
        <v/>
      </c>
      <c r="O938" s="51" t="str">
        <f>IF(AND($B938&gt;='111'!$N$11,$B938&lt;='111'!$O$11,OR($L938=$O$7,$M938=$O$7)),"x","")</f>
        <v/>
      </c>
      <c r="P938" s="51" t="str">
        <f>IF(AND($L938=$O$7,$B938&lt;'111'!$N$11),"x","")</f>
        <v/>
      </c>
      <c r="Q938" s="51" t="str">
        <f>IF(AND($M938=$O$7,$B938&lt;'111'!$N$11),"x","")</f>
        <v/>
      </c>
      <c r="R938" s="51" t="str">
        <f>IF(ISERROR(FIND('112'!$M$9,G938,1)),"",IF((AND(FIND('112'!$M$9,G938,1)&gt;=1,$B938&gt;='112'!$N$8,$B938&lt;='112'!$O$8,OR($L938='112'!$I$6,$M938='112'!$I$6))),"x",""))</f>
        <v/>
      </c>
      <c r="S938" s="51" t="str">
        <f>IF(ISERROR(FIND('112'!$M$9,G938,1)),"",IF((AND(LEFT(G938,2)=LEFT('112'!$M$9,2),B938&lt;'112'!$N$8,$L938='112'!$I$6)),"x",""))</f>
        <v/>
      </c>
      <c r="T938" s="51" t="str">
        <f>IF(ISERROR(FIND('112'!$M$9,G938,1)),"",IF((AND(RIGHT(G938,2)=RIGHT('112'!$M$9,2),B938&lt;'112'!$N$8,$M938='112'!$I$6)),"x",""))</f>
        <v/>
      </c>
      <c r="U938" s="51" t="str">
        <f>IF(AND(L938="154",'154'!$O$5&lt;=B938,'154'!$P$5&gt;=B938),"154",IF(AND(L938="632",'632'!$L$5&lt;=B938,'632'!$M$5&gt;=B938),"632",IF(AND(L938="642",'642'!$N$5&lt;=B938,'642'!$O$5&gt;=B938),"642",IF(AND(L938="641",'641'!$N$5&lt;=B938,'641'!$O$5&gt;=B938),"641",""))))</f>
        <v/>
      </c>
      <c r="V938" s="51" t="str">
        <f>IF(OR(TH!L938=TH!$V$7,M938=TH!$V$7),"x","")</f>
        <v/>
      </c>
      <c r="W938" s="51" t="str">
        <f>IF(AND(B938&gt;='IN-NX'!$P$3,B938&lt;='IN-NX'!$Q$3,'IN-NX'!$D$7=D938,OR(LEFT(L938,2)="15",AND(LEFT(M938,2)&lt;&gt;"15",LEFT(M938,2)&lt;&gt;"33"))),"x","")</f>
        <v/>
      </c>
      <c r="X938" s="51" t="str">
        <f>IF(AND(OR(LEFT(TH!L938,2)="15",LEFT(TH!M938,2)="15"),'152-CT'!$J$8=TH!F938),"x","")</f>
        <v/>
      </c>
      <c r="Y938" s="51" t="str">
        <f>IF(AND(OR(LEFT(TH!L938,2)="15",LEFT(TH!M938,2)="15"),TK!$E$7=TH!F938),"x","")</f>
        <v/>
      </c>
      <c r="Z938" s="51" t="str">
        <f>IF(AND(B938&lt;=NKC!$N$8,B938&gt;=NKC!$M$8),"x","")</f>
        <v/>
      </c>
      <c r="AA938" s="803"/>
      <c r="AC938" s="203"/>
      <c r="AD938" s="203"/>
      <c r="AE938" s="203"/>
    </row>
    <row r="939" spans="1:31" ht="15.75" customHeight="1">
      <c r="A939" s="804" t="str">
        <f>IF(B939&lt;&gt;"",IF(AND(B939&gt;=_TM1,B939&lt;=_TM2,OR(TH!L939="1111",TH!M939="1111")),TH!D939,""),"")</f>
        <v/>
      </c>
      <c r="B939" s="36">
        <f t="shared" si="60"/>
        <v>10</v>
      </c>
      <c r="C939" s="189">
        <f t="shared" si="61"/>
        <v>42304</v>
      </c>
      <c r="D939" s="189" t="s">
        <v>1365</v>
      </c>
      <c r="E939" s="189">
        <v>42304</v>
      </c>
      <c r="F939" s="190" t="s">
        <v>825</v>
      </c>
      <c r="G939" s="813" t="s">
        <v>820</v>
      </c>
      <c r="H939" s="191" t="s">
        <v>509</v>
      </c>
      <c r="I939" s="243">
        <v>1000</v>
      </c>
      <c r="J939" s="243">
        <v>912</v>
      </c>
      <c r="K939" s="573">
        <f t="shared" si="62"/>
        <v>912000</v>
      </c>
      <c r="L939" s="574" t="s">
        <v>417</v>
      </c>
      <c r="M939" s="574" t="s">
        <v>8</v>
      </c>
      <c r="N939" s="51" t="str">
        <f>IF(AND('331-CT'!$E$7=TH!H939,OR(L939="331",M939="331")),"331",IF(AND(OR(L939="131",M939="131"),H939='131-CT'!$E$7),"131",""))</f>
        <v/>
      </c>
      <c r="O939" s="51" t="str">
        <f>IF(AND($B939&gt;='111'!$N$11,$B939&lt;='111'!$O$11,OR($L939=$O$7,$M939=$O$7)),"x","")</f>
        <v/>
      </c>
      <c r="P939" s="51" t="str">
        <f>IF(AND($L939=$O$7,$B939&lt;'111'!$N$11),"x","")</f>
        <v/>
      </c>
      <c r="Q939" s="51" t="str">
        <f>IF(AND($M939=$O$7,$B939&lt;'111'!$N$11),"x","")</f>
        <v/>
      </c>
      <c r="R939" s="51" t="str">
        <f>IF(ISERROR(FIND('112'!$M$9,G939,1)),"",IF((AND(FIND('112'!$M$9,G939,1)&gt;=1,$B939&gt;='112'!$N$8,$B939&lt;='112'!$O$8,OR($L939='112'!$I$6,$M939='112'!$I$6))),"x",""))</f>
        <v/>
      </c>
      <c r="S939" s="51" t="str">
        <f>IF(ISERROR(FIND('112'!$M$9,G939,1)),"",IF((AND(LEFT(G939,2)=LEFT('112'!$M$9,2),B939&lt;'112'!$N$8,$L939='112'!$I$6)),"x",""))</f>
        <v/>
      </c>
      <c r="T939" s="51" t="str">
        <f>IF(ISERROR(FIND('112'!$M$9,G939,1)),"",IF((AND(RIGHT(G939,2)=RIGHT('112'!$M$9,2),B939&lt;'112'!$N$8,$M939='112'!$I$6)),"x",""))</f>
        <v/>
      </c>
      <c r="U939" s="51" t="str">
        <f>IF(AND(L939="154",'154'!$O$5&lt;=B939,'154'!$P$5&gt;=B939),"154",IF(AND(L939="632",'632'!$L$5&lt;=B939,'632'!$M$5&gt;=B939),"632",IF(AND(L939="642",'642'!$N$5&lt;=B939,'642'!$O$5&gt;=B939),"642",IF(AND(L939="641",'641'!$N$5&lt;=B939,'641'!$O$5&gt;=B939),"641",""))))</f>
        <v/>
      </c>
      <c r="V939" s="51" t="str">
        <f>IF(OR(TH!L939=TH!$V$7,M939=TH!$V$7),"x","")</f>
        <v/>
      </c>
      <c r="W939" s="51" t="str">
        <f>IF(AND(B939&gt;='IN-NX'!$P$3,B939&lt;='IN-NX'!$Q$3,'IN-NX'!$D$7=D939,OR(LEFT(L939,2)="15",AND(LEFT(M939,2)&lt;&gt;"15",LEFT(M939,2)&lt;&gt;"33"))),"x","")</f>
        <v/>
      </c>
      <c r="X939" s="51" t="str">
        <f>IF(AND(OR(LEFT(TH!L939,2)="15",LEFT(TH!M939,2)="15"),'152-CT'!$J$8=TH!F939),"x","")</f>
        <v/>
      </c>
      <c r="Y939" s="51" t="str">
        <f>IF(AND(OR(LEFT(TH!L939,2)="15",LEFT(TH!M939,2)="15"),TK!$E$7=TH!F939),"x","")</f>
        <v/>
      </c>
      <c r="Z939" s="51" t="str">
        <f>IF(AND(B939&lt;=NKC!$N$8,B939&gt;=NKC!$M$8),"x","")</f>
        <v/>
      </c>
      <c r="AA939" s="803"/>
      <c r="AB939" s="565"/>
    </row>
    <row r="940" spans="1:31" ht="15.75" customHeight="1">
      <c r="A940" s="804" t="str">
        <f>IF(B940&lt;&gt;"",IF(AND(B940&gt;=_TM1,B940&lt;=_TM2,OR(TH!L940="1111",TH!M940="1111")),TH!D940,""),"")</f>
        <v/>
      </c>
      <c r="B940" s="36">
        <f t="shared" si="60"/>
        <v>10</v>
      </c>
      <c r="C940" s="189">
        <f t="shared" si="61"/>
        <v>42304</v>
      </c>
      <c r="D940" s="189" t="s">
        <v>1365</v>
      </c>
      <c r="E940" s="189">
        <v>42304</v>
      </c>
      <c r="F940" s="926" t="s">
        <v>770</v>
      </c>
      <c r="G940" s="813" t="s">
        <v>820</v>
      </c>
      <c r="H940" s="191" t="s">
        <v>509</v>
      </c>
      <c r="I940" s="243">
        <v>60</v>
      </c>
      <c r="J940" s="243">
        <v>12758</v>
      </c>
      <c r="K940" s="573">
        <f t="shared" si="62"/>
        <v>765480</v>
      </c>
      <c r="L940" s="574" t="s">
        <v>417</v>
      </c>
      <c r="M940" s="574" t="s">
        <v>8</v>
      </c>
      <c r="N940" s="51" t="str">
        <f>IF(AND('331-CT'!$E$7=TH!H940,OR(L940="331",M940="331")),"331",IF(AND(OR(L940="131",M940="131"),H940='131-CT'!$E$7),"131",""))</f>
        <v/>
      </c>
      <c r="O940" s="51" t="str">
        <f>IF(AND($B940&gt;='111'!$N$11,$B940&lt;='111'!$O$11,OR($L940=$O$7,$M940=$O$7)),"x","")</f>
        <v/>
      </c>
      <c r="P940" s="51" t="str">
        <f>IF(AND($L940=$O$7,$B940&lt;'111'!$N$11),"x","")</f>
        <v/>
      </c>
      <c r="Q940" s="51" t="str">
        <f>IF(AND($M940=$O$7,$B940&lt;'111'!$N$11),"x","")</f>
        <v/>
      </c>
      <c r="R940" s="51" t="str">
        <f>IF(ISERROR(FIND('112'!$M$9,G940,1)),"",IF((AND(FIND('112'!$M$9,G940,1)&gt;=1,$B940&gt;='112'!$N$8,$B940&lt;='112'!$O$8,OR($L940='112'!$I$6,$M940='112'!$I$6))),"x",""))</f>
        <v/>
      </c>
      <c r="S940" s="51" t="str">
        <f>IF(ISERROR(FIND('112'!$M$9,G940,1)),"",IF((AND(LEFT(G940,2)=LEFT('112'!$M$9,2),B940&lt;'112'!$N$8,$L940='112'!$I$6)),"x",""))</f>
        <v/>
      </c>
      <c r="T940" s="51" t="str">
        <f>IF(ISERROR(FIND('112'!$M$9,G940,1)),"",IF((AND(RIGHT(G940,2)=RIGHT('112'!$M$9,2),B940&lt;'112'!$N$8,$M940='112'!$I$6)),"x",""))</f>
        <v/>
      </c>
      <c r="U940" s="51" t="str">
        <f>IF(AND(L940="154",'154'!$O$5&lt;=B940,'154'!$P$5&gt;=B940),"154",IF(AND(L940="632",'632'!$L$5&lt;=B940,'632'!$M$5&gt;=B940),"632",IF(AND(L940="642",'642'!$N$5&lt;=B940,'642'!$O$5&gt;=B940),"642",IF(AND(L940="641",'641'!$N$5&lt;=B940,'641'!$O$5&gt;=B940),"641",""))))</f>
        <v/>
      </c>
      <c r="V940" s="51" t="str">
        <f>IF(OR(TH!L940=TH!$V$7,M940=TH!$V$7),"x","")</f>
        <v/>
      </c>
      <c r="W940" s="51" t="str">
        <f>IF(AND(B940&gt;='IN-NX'!$P$3,B940&lt;='IN-NX'!$Q$3,'IN-NX'!$D$7=D940,OR(LEFT(L940,2)="15",AND(LEFT(M940,2)&lt;&gt;"15",LEFT(M940,2)&lt;&gt;"33"))),"x","")</f>
        <v/>
      </c>
      <c r="X940" s="51" t="str">
        <f>IF(AND(OR(LEFT(TH!L940,2)="15",LEFT(TH!M940,2)="15"),'152-CT'!$J$8=TH!F940),"x","")</f>
        <v/>
      </c>
      <c r="Y940" s="51" t="str">
        <f>IF(AND(OR(LEFT(TH!L940,2)="15",LEFT(TH!M940,2)="15"),TK!$E$7=TH!F940),"x","")</f>
        <v/>
      </c>
      <c r="Z940" s="51" t="str">
        <f>IF(AND(B940&lt;=NKC!$N$8,B940&gt;=NKC!$M$8),"x","")</f>
        <v/>
      </c>
      <c r="AA940" s="803"/>
      <c r="AB940" s="565"/>
    </row>
    <row r="941" spans="1:31" ht="15.75" customHeight="1">
      <c r="A941" s="804" t="str">
        <f>IF(B941&lt;&gt;"",IF(AND(B941&gt;=_TM1,B941&lt;=_TM2,OR(TH!L941="1111",TH!M941="1111")),TH!D941,""),"")</f>
        <v/>
      </c>
      <c r="B941" s="36">
        <f t="shared" si="60"/>
        <v>10</v>
      </c>
      <c r="C941" s="189">
        <f t="shared" si="61"/>
        <v>42304</v>
      </c>
      <c r="D941" s="189" t="s">
        <v>1400</v>
      </c>
      <c r="E941" s="189">
        <v>42304</v>
      </c>
      <c r="F941" s="926" t="s">
        <v>771</v>
      </c>
      <c r="G941" s="813" t="s">
        <v>820</v>
      </c>
      <c r="H941" s="191" t="s">
        <v>509</v>
      </c>
      <c r="I941" s="243">
        <v>12</v>
      </c>
      <c r="J941" s="243">
        <v>10819</v>
      </c>
      <c r="K941" s="573">
        <f t="shared" si="62"/>
        <v>129828</v>
      </c>
      <c r="L941" s="574" t="s">
        <v>417</v>
      </c>
      <c r="M941" s="574" t="s">
        <v>8</v>
      </c>
      <c r="N941" s="51" t="str">
        <f>IF(AND('331-CT'!$E$7=TH!H941,OR(L941="331",M941="331")),"331",IF(AND(OR(L941="131",M941="131"),H941='131-CT'!$E$7),"131",""))</f>
        <v/>
      </c>
      <c r="O941" s="51" t="str">
        <f>IF(AND($B941&gt;='111'!$N$11,$B941&lt;='111'!$O$11,OR($L941=$O$7,$M941=$O$7)),"x","")</f>
        <v/>
      </c>
      <c r="P941" s="51" t="str">
        <f>IF(AND($L941=$O$7,$B941&lt;'111'!$N$11),"x","")</f>
        <v/>
      </c>
      <c r="Q941" s="51" t="str">
        <f>IF(AND($M941=$O$7,$B941&lt;'111'!$N$11),"x","")</f>
        <v/>
      </c>
      <c r="R941" s="51" t="str">
        <f>IF(ISERROR(FIND('112'!$M$9,G941,1)),"",IF((AND(FIND('112'!$M$9,G941,1)&gt;=1,$B941&gt;='112'!$N$8,$B941&lt;='112'!$O$8,OR($L941='112'!$I$6,$M941='112'!$I$6))),"x",""))</f>
        <v/>
      </c>
      <c r="S941" s="51" t="str">
        <f>IF(ISERROR(FIND('112'!$M$9,G941,1)),"",IF((AND(LEFT(G941,2)=LEFT('112'!$M$9,2),B941&lt;'112'!$N$8,$L941='112'!$I$6)),"x",""))</f>
        <v/>
      </c>
      <c r="T941" s="51" t="str">
        <f>IF(ISERROR(FIND('112'!$M$9,G941,1)),"",IF((AND(RIGHT(G941,2)=RIGHT('112'!$M$9,2),B941&lt;'112'!$N$8,$M941='112'!$I$6)),"x",""))</f>
        <v/>
      </c>
      <c r="U941" s="51" t="str">
        <f>IF(AND(L941="154",'154'!$O$5&lt;=B941,'154'!$P$5&gt;=B941),"154",IF(AND(L941="632",'632'!$L$5&lt;=B941,'632'!$M$5&gt;=B941),"632",IF(AND(L941="642",'642'!$N$5&lt;=B941,'642'!$O$5&gt;=B941),"642",IF(AND(L941="641",'641'!$N$5&lt;=B941,'641'!$O$5&gt;=B941),"641",""))))</f>
        <v/>
      </c>
      <c r="V941" s="51" t="str">
        <f>IF(OR(TH!L941=TH!$V$7,M941=TH!$V$7),"x","")</f>
        <v/>
      </c>
      <c r="W941" s="51" t="str">
        <f>IF(AND(B941&gt;='IN-NX'!$P$3,B941&lt;='IN-NX'!$Q$3,'IN-NX'!$D$7=D941,OR(LEFT(L941,2)="15",AND(LEFT(M941,2)&lt;&gt;"15",LEFT(M941,2)&lt;&gt;"33"))),"x","")</f>
        <v/>
      </c>
      <c r="X941" s="51" t="str">
        <f>IF(AND(OR(LEFT(TH!L941,2)="15",LEFT(TH!M941,2)="15"),'152-CT'!$J$8=TH!F941),"x","")</f>
        <v/>
      </c>
      <c r="Y941" s="51" t="str">
        <f>IF(AND(OR(LEFT(TH!L941,2)="15",LEFT(TH!M941,2)="15"),TK!$E$7=TH!F941),"x","")</f>
        <v/>
      </c>
      <c r="Z941" s="51" t="str">
        <f>IF(AND(B941&lt;=NKC!$N$8,B941&gt;=NKC!$M$8),"x","")</f>
        <v/>
      </c>
      <c r="AA941" s="803"/>
      <c r="AB941" s="565"/>
    </row>
    <row r="942" spans="1:31" ht="15.75" customHeight="1">
      <c r="A942" s="804" t="str">
        <f>IF(B942&lt;&gt;"",IF(AND(B942&gt;=_TM1,B942&lt;=_TM2,OR(TH!L942="1111",TH!M942="1111")),TH!D942,""),"")</f>
        <v/>
      </c>
      <c r="B942" s="36">
        <f t="shared" si="60"/>
        <v>10</v>
      </c>
      <c r="C942" s="189">
        <f t="shared" si="61"/>
        <v>42304</v>
      </c>
      <c r="D942" s="189" t="s">
        <v>1400</v>
      </c>
      <c r="E942" s="189">
        <v>42304</v>
      </c>
      <c r="F942" s="926" t="s">
        <v>772</v>
      </c>
      <c r="G942" s="813" t="s">
        <v>820</v>
      </c>
      <c r="H942" s="191" t="s">
        <v>509</v>
      </c>
      <c r="I942" s="243">
        <v>175</v>
      </c>
      <c r="J942" s="243">
        <v>11155</v>
      </c>
      <c r="K942" s="573">
        <f t="shared" si="62"/>
        <v>1952125</v>
      </c>
      <c r="L942" s="574" t="s">
        <v>417</v>
      </c>
      <c r="M942" s="574" t="s">
        <v>8</v>
      </c>
      <c r="N942" s="51" t="str">
        <f>IF(AND('331-CT'!$E$7=TH!H942,OR(L942="331",M942="331")),"331",IF(AND(OR(L942="131",M942="131"),H942='131-CT'!$E$7),"131",""))</f>
        <v/>
      </c>
      <c r="O942" s="51" t="str">
        <f>IF(AND($B942&gt;='111'!$N$11,$B942&lt;='111'!$O$11,OR($L942=$O$7,$M942=$O$7)),"x","")</f>
        <v/>
      </c>
      <c r="P942" s="51" t="str">
        <f>IF(AND($L942=$O$7,$B942&lt;'111'!$N$11),"x","")</f>
        <v/>
      </c>
      <c r="Q942" s="51" t="str">
        <f>IF(AND($M942=$O$7,$B942&lt;'111'!$N$11),"x","")</f>
        <v/>
      </c>
      <c r="R942" s="51" t="str">
        <f>IF(ISERROR(FIND('112'!$M$9,G942,1)),"",IF((AND(FIND('112'!$M$9,G942,1)&gt;=1,$B942&gt;='112'!$N$8,$B942&lt;='112'!$O$8,OR($L942='112'!$I$6,$M942='112'!$I$6))),"x",""))</f>
        <v/>
      </c>
      <c r="S942" s="51" t="str">
        <f>IF(ISERROR(FIND('112'!$M$9,G942,1)),"",IF((AND(LEFT(G942,2)=LEFT('112'!$M$9,2),B942&lt;'112'!$N$8,$L942='112'!$I$6)),"x",""))</f>
        <v/>
      </c>
      <c r="T942" s="51" t="str">
        <f>IF(ISERROR(FIND('112'!$M$9,G942,1)),"",IF((AND(RIGHT(G942,2)=RIGHT('112'!$M$9,2),B942&lt;'112'!$N$8,$M942='112'!$I$6)),"x",""))</f>
        <v/>
      </c>
      <c r="U942" s="51" t="str">
        <f>IF(AND(L942="154",'154'!$O$5&lt;=B942,'154'!$P$5&gt;=B942),"154",IF(AND(L942="632",'632'!$L$5&lt;=B942,'632'!$M$5&gt;=B942),"632",IF(AND(L942="642",'642'!$N$5&lt;=B942,'642'!$O$5&gt;=B942),"642",IF(AND(L942="641",'641'!$N$5&lt;=B942,'641'!$O$5&gt;=B942),"641",""))))</f>
        <v/>
      </c>
      <c r="V942" s="51" t="str">
        <f>IF(OR(TH!L942=TH!$V$7,M942=TH!$V$7),"x","")</f>
        <v/>
      </c>
      <c r="W942" s="51" t="str">
        <f>IF(AND(B942&gt;='IN-NX'!$P$3,B942&lt;='IN-NX'!$Q$3,'IN-NX'!$D$7=D942,OR(LEFT(L942,2)="15",AND(LEFT(M942,2)&lt;&gt;"15",LEFT(M942,2)&lt;&gt;"33"))),"x","")</f>
        <v/>
      </c>
      <c r="X942" s="51" t="str">
        <f>IF(AND(OR(LEFT(TH!L942,2)="15",LEFT(TH!M942,2)="15"),'152-CT'!$J$8=TH!F942),"x","")</f>
        <v/>
      </c>
      <c r="Y942" s="51" t="str">
        <f>IF(AND(OR(LEFT(TH!L942,2)="15",LEFT(TH!M942,2)="15"),TK!$E$7=TH!F942),"x","")</f>
        <v/>
      </c>
      <c r="Z942" s="51" t="str">
        <f>IF(AND(B942&lt;=NKC!$N$8,B942&gt;=NKC!$M$8),"x","")</f>
        <v/>
      </c>
      <c r="AA942" s="803"/>
      <c r="AB942" s="565"/>
      <c r="AE942" s="565"/>
    </row>
    <row r="943" spans="1:31" ht="15.75" customHeight="1">
      <c r="A943" s="804" t="str">
        <f>IF(B943&lt;&gt;"",IF(AND(B943&gt;=_TM1,B943&lt;=_TM2,OR(TH!L943="1111",TH!M943="1111")),TH!D943,""),"")</f>
        <v/>
      </c>
      <c r="B943" s="36">
        <f t="shared" si="60"/>
        <v>10</v>
      </c>
      <c r="C943" s="189">
        <f t="shared" si="61"/>
        <v>42304</v>
      </c>
      <c r="D943" s="189" t="s">
        <v>1400</v>
      </c>
      <c r="E943" s="189">
        <v>42304</v>
      </c>
      <c r="F943" s="926" t="s">
        <v>773</v>
      </c>
      <c r="G943" s="813" t="s">
        <v>820</v>
      </c>
      <c r="H943" s="191" t="s">
        <v>509</v>
      </c>
      <c r="I943" s="243">
        <v>28</v>
      </c>
      <c r="J943" s="243">
        <v>9322</v>
      </c>
      <c r="K943" s="573">
        <f t="shared" si="62"/>
        <v>261016</v>
      </c>
      <c r="L943" s="574" t="s">
        <v>417</v>
      </c>
      <c r="M943" s="574" t="s">
        <v>8</v>
      </c>
      <c r="N943" s="51" t="str">
        <f>IF(AND('331-CT'!$E$7=TH!H943,OR(L943="331",M943="331")),"331",IF(AND(OR(L943="131",M943="131"),H943='131-CT'!$E$7),"131",""))</f>
        <v/>
      </c>
      <c r="O943" s="51" t="str">
        <f>IF(AND($B943&gt;='111'!$N$11,$B943&lt;='111'!$O$11,OR($L943=$O$7,$M943=$O$7)),"x","")</f>
        <v/>
      </c>
      <c r="P943" s="51" t="str">
        <f>IF(AND($L943=$O$7,$B943&lt;'111'!$N$11),"x","")</f>
        <v/>
      </c>
      <c r="Q943" s="51" t="str">
        <f>IF(AND($M943=$O$7,$B943&lt;'111'!$N$11),"x","")</f>
        <v/>
      </c>
      <c r="R943" s="51" t="str">
        <f>IF(ISERROR(FIND('112'!$M$9,G943,1)),"",IF((AND(FIND('112'!$M$9,G943,1)&gt;=1,$B943&gt;='112'!$N$8,$B943&lt;='112'!$O$8,OR($L943='112'!$I$6,$M943='112'!$I$6))),"x",""))</f>
        <v/>
      </c>
      <c r="S943" s="51" t="str">
        <f>IF(ISERROR(FIND('112'!$M$9,G943,1)),"",IF((AND(LEFT(G943,2)=LEFT('112'!$M$9,2),B943&lt;'112'!$N$8,$L943='112'!$I$6)),"x",""))</f>
        <v/>
      </c>
      <c r="T943" s="51" t="str">
        <f>IF(ISERROR(FIND('112'!$M$9,G943,1)),"",IF((AND(RIGHT(G943,2)=RIGHT('112'!$M$9,2),B943&lt;'112'!$N$8,$M943='112'!$I$6)),"x",""))</f>
        <v/>
      </c>
      <c r="U943" s="51" t="str">
        <f>IF(AND(L943="154",'154'!$O$5&lt;=B943,'154'!$P$5&gt;=B943),"154",IF(AND(L943="632",'632'!$L$5&lt;=B943,'632'!$M$5&gt;=B943),"632",IF(AND(L943="642",'642'!$N$5&lt;=B943,'642'!$O$5&gt;=B943),"642",IF(AND(L943="641",'641'!$N$5&lt;=B943,'641'!$O$5&gt;=B943),"641",""))))</f>
        <v/>
      </c>
      <c r="V943" s="51" t="str">
        <f>IF(OR(TH!L943=TH!$V$7,M943=TH!$V$7),"x","")</f>
        <v/>
      </c>
      <c r="W943" s="51" t="str">
        <f>IF(AND(B943&gt;='IN-NX'!$P$3,B943&lt;='IN-NX'!$Q$3,'IN-NX'!$D$7=D943,OR(LEFT(L943,2)="15",AND(LEFT(M943,2)&lt;&gt;"15",LEFT(M943,2)&lt;&gt;"33"))),"x","")</f>
        <v/>
      </c>
      <c r="X943" s="51" t="str">
        <f>IF(AND(OR(LEFT(TH!L943,2)="15",LEFT(TH!M943,2)="15"),'152-CT'!$J$8=TH!F943),"x","")</f>
        <v/>
      </c>
      <c r="Y943" s="51" t="str">
        <f>IF(AND(OR(LEFT(TH!L943,2)="15",LEFT(TH!M943,2)="15"),TK!$E$7=TH!F943),"x","")</f>
        <v/>
      </c>
      <c r="Z943" s="51" t="str">
        <f>IF(AND(B943&lt;=NKC!$N$8,B943&gt;=NKC!$M$8),"x","")</f>
        <v/>
      </c>
      <c r="AA943" s="803"/>
      <c r="AB943" s="565"/>
      <c r="AE943" s="565"/>
    </row>
    <row r="944" spans="1:31" ht="15.75" customHeight="1">
      <c r="A944" s="804" t="str">
        <f>IF(B944&lt;&gt;"",IF(AND(B944&gt;=_TM1,B944&lt;=_TM2,OR(TH!L944="1111",TH!M944="1111")),TH!D944,""),"")</f>
        <v/>
      </c>
      <c r="B944" s="36">
        <f t="shared" si="60"/>
        <v>10</v>
      </c>
      <c r="C944" s="189">
        <f t="shared" si="61"/>
        <v>42304</v>
      </c>
      <c r="D944" s="189" t="s">
        <v>1400</v>
      </c>
      <c r="E944" s="189">
        <v>42304</v>
      </c>
      <c r="F944" s="926" t="s">
        <v>774</v>
      </c>
      <c r="G944" s="813" t="s">
        <v>820</v>
      </c>
      <c r="H944" s="191" t="s">
        <v>509</v>
      </c>
      <c r="I944" s="243">
        <v>171</v>
      </c>
      <c r="J944" s="243">
        <v>12250</v>
      </c>
      <c r="K944" s="573">
        <f t="shared" si="62"/>
        <v>2094750</v>
      </c>
      <c r="L944" s="574" t="s">
        <v>417</v>
      </c>
      <c r="M944" s="574" t="s">
        <v>8</v>
      </c>
      <c r="N944" s="51" t="str">
        <f>IF(AND('331-CT'!$E$7=TH!H944,OR(L944="331",M944="331")),"331",IF(AND(OR(L944="131",M944="131"),H944='131-CT'!$E$7),"131",""))</f>
        <v/>
      </c>
      <c r="O944" s="51" t="str">
        <f>IF(AND($B944&gt;='111'!$N$11,$B944&lt;='111'!$O$11,OR($L944=$O$7,$M944=$O$7)),"x","")</f>
        <v/>
      </c>
      <c r="P944" s="51" t="str">
        <f>IF(AND($L944=$O$7,$B944&lt;'111'!$N$11),"x","")</f>
        <v/>
      </c>
      <c r="Q944" s="51" t="str">
        <f>IF(AND($M944=$O$7,$B944&lt;'111'!$N$11),"x","")</f>
        <v/>
      </c>
      <c r="R944" s="51" t="str">
        <f>IF(ISERROR(FIND('112'!$M$9,G944,1)),"",IF((AND(FIND('112'!$M$9,G944,1)&gt;=1,$B944&gt;='112'!$N$8,$B944&lt;='112'!$O$8,OR($L944='112'!$I$6,$M944='112'!$I$6))),"x",""))</f>
        <v/>
      </c>
      <c r="S944" s="51" t="str">
        <f>IF(ISERROR(FIND('112'!$M$9,G944,1)),"",IF((AND(LEFT(G944,2)=LEFT('112'!$M$9,2),B944&lt;'112'!$N$8,$L944='112'!$I$6)),"x",""))</f>
        <v/>
      </c>
      <c r="T944" s="51" t="str">
        <f>IF(ISERROR(FIND('112'!$M$9,G944,1)),"",IF((AND(RIGHT(G944,2)=RIGHT('112'!$M$9,2),B944&lt;'112'!$N$8,$M944='112'!$I$6)),"x",""))</f>
        <v/>
      </c>
      <c r="U944" s="51" t="str">
        <f>IF(AND(L944="154",'154'!$O$5&lt;=B944,'154'!$P$5&gt;=B944),"154",IF(AND(L944="632",'632'!$L$5&lt;=B944,'632'!$M$5&gt;=B944),"632",IF(AND(L944="642",'642'!$N$5&lt;=B944,'642'!$O$5&gt;=B944),"642",IF(AND(L944="641",'641'!$N$5&lt;=B944,'641'!$O$5&gt;=B944),"641",""))))</f>
        <v/>
      </c>
      <c r="V944" s="51" t="str">
        <f>IF(OR(TH!L944=TH!$V$7,M944=TH!$V$7),"x","")</f>
        <v/>
      </c>
      <c r="W944" s="51" t="str">
        <f>IF(AND(B944&gt;='IN-NX'!$P$3,B944&lt;='IN-NX'!$Q$3,'IN-NX'!$D$7=D944,OR(LEFT(L944,2)="15",AND(LEFT(M944,2)&lt;&gt;"15",LEFT(M944,2)&lt;&gt;"33"))),"x","")</f>
        <v/>
      </c>
      <c r="X944" s="51" t="str">
        <f>IF(AND(OR(LEFT(TH!L944,2)="15",LEFT(TH!M944,2)="15"),'152-CT'!$J$8=TH!F944),"x","")</f>
        <v/>
      </c>
      <c r="Y944" s="51" t="str">
        <f>IF(AND(OR(LEFT(TH!L944,2)="15",LEFT(TH!M944,2)="15"),TK!$E$7=TH!F944),"x","")</f>
        <v/>
      </c>
      <c r="Z944" s="51" t="str">
        <f>IF(AND(B944&lt;=NKC!$N$8,B944&gt;=NKC!$M$8),"x","")</f>
        <v/>
      </c>
      <c r="AA944" s="803"/>
      <c r="AB944" s="565"/>
      <c r="AE944" s="565"/>
    </row>
    <row r="945" spans="1:31" ht="15.75" customHeight="1">
      <c r="A945" s="804" t="str">
        <f>IF(B945&lt;&gt;"",IF(AND(B945&gt;=_TM1,B945&lt;=_TM2,OR(TH!L945="1111",TH!M945="1111")),TH!D945,""),"")</f>
        <v/>
      </c>
      <c r="B945" s="36">
        <f t="shared" si="60"/>
        <v>10</v>
      </c>
      <c r="C945" s="189">
        <f t="shared" si="61"/>
        <v>42304</v>
      </c>
      <c r="D945" s="189" t="s">
        <v>1400</v>
      </c>
      <c r="E945" s="189">
        <v>42304</v>
      </c>
      <c r="F945" s="926" t="s">
        <v>775</v>
      </c>
      <c r="G945" s="813" t="s">
        <v>820</v>
      </c>
      <c r="H945" s="191" t="s">
        <v>509</v>
      </c>
      <c r="I945" s="243">
        <v>21</v>
      </c>
      <c r="J945" s="243">
        <v>10238</v>
      </c>
      <c r="K945" s="573">
        <f t="shared" si="62"/>
        <v>214998</v>
      </c>
      <c r="L945" s="574" t="s">
        <v>417</v>
      </c>
      <c r="M945" s="574" t="s">
        <v>8</v>
      </c>
      <c r="N945" s="51" t="str">
        <f>IF(AND('331-CT'!$E$7=TH!H945,OR(L945="331",M945="331")),"331",IF(AND(OR(L945="131",M945="131"),H945='131-CT'!$E$7),"131",""))</f>
        <v/>
      </c>
      <c r="O945" s="51" t="str">
        <f>IF(AND($B945&gt;='111'!$N$11,$B945&lt;='111'!$O$11,OR($L945=$O$7,$M945=$O$7)),"x","")</f>
        <v/>
      </c>
      <c r="P945" s="51" t="str">
        <f>IF(AND($L945=$O$7,$B945&lt;'111'!$N$11),"x","")</f>
        <v/>
      </c>
      <c r="Q945" s="51" t="str">
        <f>IF(AND($M945=$O$7,$B945&lt;'111'!$N$11),"x","")</f>
        <v/>
      </c>
      <c r="R945" s="51" t="str">
        <f>IF(ISERROR(FIND('112'!$M$9,G945,1)),"",IF((AND(FIND('112'!$M$9,G945,1)&gt;=1,$B945&gt;='112'!$N$8,$B945&lt;='112'!$O$8,OR($L945='112'!$I$6,$M945='112'!$I$6))),"x",""))</f>
        <v/>
      </c>
      <c r="S945" s="51" t="str">
        <f>IF(ISERROR(FIND('112'!$M$9,G945,1)),"",IF((AND(LEFT(G945,2)=LEFT('112'!$M$9,2),B945&lt;'112'!$N$8,$L945='112'!$I$6)),"x",""))</f>
        <v/>
      </c>
      <c r="T945" s="51" t="str">
        <f>IF(ISERROR(FIND('112'!$M$9,G945,1)),"",IF((AND(RIGHT(G945,2)=RIGHT('112'!$M$9,2),B945&lt;'112'!$N$8,$M945='112'!$I$6)),"x",""))</f>
        <v/>
      </c>
      <c r="U945" s="51" t="str">
        <f>IF(AND(L945="154",'154'!$O$5&lt;=B945,'154'!$P$5&gt;=B945),"154",IF(AND(L945="632",'632'!$L$5&lt;=B945,'632'!$M$5&gt;=B945),"632",IF(AND(L945="642",'642'!$N$5&lt;=B945,'642'!$O$5&gt;=B945),"642",IF(AND(L945="641",'641'!$N$5&lt;=B945,'641'!$O$5&gt;=B945),"641",""))))</f>
        <v/>
      </c>
      <c r="V945" s="51" t="str">
        <f>IF(OR(TH!L945=TH!$V$7,M945=TH!$V$7),"x","")</f>
        <v/>
      </c>
      <c r="W945" s="51" t="str">
        <f>IF(AND(B945&gt;='IN-NX'!$P$3,B945&lt;='IN-NX'!$Q$3,'IN-NX'!$D$7=D945,OR(LEFT(L945,2)="15",AND(LEFT(M945,2)&lt;&gt;"15",LEFT(M945,2)&lt;&gt;"33"))),"x","")</f>
        <v/>
      </c>
      <c r="X945" s="51" t="str">
        <f>IF(AND(OR(LEFT(TH!L945,2)="15",LEFT(TH!M945,2)="15"),'152-CT'!$J$8=TH!F945),"x","")</f>
        <v/>
      </c>
      <c r="Y945" s="51" t="str">
        <f>IF(AND(OR(LEFT(TH!L945,2)="15",LEFT(TH!M945,2)="15"),TK!$E$7=TH!F945),"x","")</f>
        <v/>
      </c>
      <c r="Z945" s="51" t="str">
        <f>IF(AND(B945&lt;=NKC!$N$8,B945&gt;=NKC!$M$8),"x","")</f>
        <v/>
      </c>
      <c r="AA945" s="803"/>
      <c r="AB945" s="565"/>
      <c r="AE945" s="565"/>
    </row>
    <row r="946" spans="1:31" ht="15.75" customHeight="1">
      <c r="A946" s="804" t="str">
        <f>IF(B946&lt;&gt;"",IF(AND(B946&gt;=_TM1,B946&lt;=_TM2,OR(TH!L946="1111",TH!M946="1111")),TH!D946,""),"")</f>
        <v/>
      </c>
      <c r="B946" s="36">
        <f t="shared" si="60"/>
        <v>10</v>
      </c>
      <c r="C946" s="189">
        <f t="shared" si="61"/>
        <v>42304</v>
      </c>
      <c r="D946" s="189" t="s">
        <v>1400</v>
      </c>
      <c r="E946" s="189">
        <v>42304</v>
      </c>
      <c r="F946" s="926" t="s">
        <v>776</v>
      </c>
      <c r="G946" s="813" t="s">
        <v>820</v>
      </c>
      <c r="H946" s="191" t="s">
        <v>509</v>
      </c>
      <c r="I946" s="243">
        <v>86</v>
      </c>
      <c r="J946" s="243">
        <v>12668</v>
      </c>
      <c r="K946" s="573">
        <f t="shared" si="62"/>
        <v>1089448</v>
      </c>
      <c r="L946" s="574" t="s">
        <v>417</v>
      </c>
      <c r="M946" s="574" t="s">
        <v>8</v>
      </c>
      <c r="N946" s="51" t="str">
        <f>IF(AND('331-CT'!$E$7=TH!H946,OR(L946="331",M946="331")),"331",IF(AND(OR(L946="131",M946="131"),H946='131-CT'!$E$7),"131",""))</f>
        <v/>
      </c>
      <c r="O946" s="51" t="str">
        <f>IF(AND($B946&gt;='111'!$N$11,$B946&lt;='111'!$O$11,OR($L946=$O$7,$M946=$O$7)),"x","")</f>
        <v/>
      </c>
      <c r="P946" s="51" t="str">
        <f>IF(AND($L946=$O$7,$B946&lt;'111'!$N$11),"x","")</f>
        <v/>
      </c>
      <c r="Q946" s="51" t="str">
        <f>IF(AND($M946=$O$7,$B946&lt;'111'!$N$11),"x","")</f>
        <v/>
      </c>
      <c r="R946" s="51" t="str">
        <f>IF(ISERROR(FIND('112'!$M$9,G946,1)),"",IF((AND(FIND('112'!$M$9,G946,1)&gt;=1,$B946&gt;='112'!$N$8,$B946&lt;='112'!$O$8,OR($L946='112'!$I$6,$M946='112'!$I$6))),"x",""))</f>
        <v/>
      </c>
      <c r="S946" s="51" t="str">
        <f>IF(ISERROR(FIND('112'!$M$9,G946,1)),"",IF((AND(LEFT(G946,2)=LEFT('112'!$M$9,2),B946&lt;'112'!$N$8,$L946='112'!$I$6)),"x",""))</f>
        <v/>
      </c>
      <c r="T946" s="51" t="str">
        <f>IF(ISERROR(FIND('112'!$M$9,G946,1)),"",IF((AND(RIGHT(G946,2)=RIGHT('112'!$M$9,2),B946&lt;'112'!$N$8,$M946='112'!$I$6)),"x",""))</f>
        <v/>
      </c>
      <c r="U946" s="51" t="str">
        <f>IF(AND(L946="154",'154'!$O$5&lt;=B946,'154'!$P$5&gt;=B946),"154",IF(AND(L946="632",'632'!$L$5&lt;=B946,'632'!$M$5&gt;=B946),"632",IF(AND(L946="642",'642'!$N$5&lt;=B946,'642'!$O$5&gt;=B946),"642",IF(AND(L946="641",'641'!$N$5&lt;=B946,'641'!$O$5&gt;=B946),"641",""))))</f>
        <v/>
      </c>
      <c r="V946" s="51" t="str">
        <f>IF(OR(TH!L946=TH!$V$7,M946=TH!$V$7),"x","")</f>
        <v/>
      </c>
      <c r="W946" s="51" t="str">
        <f>IF(AND(B946&gt;='IN-NX'!$P$3,B946&lt;='IN-NX'!$Q$3,'IN-NX'!$D$7=D946,OR(LEFT(L946,2)="15",AND(LEFT(M946,2)&lt;&gt;"15",LEFT(M946,2)&lt;&gt;"33"))),"x","")</f>
        <v/>
      </c>
      <c r="X946" s="51" t="str">
        <f>IF(AND(OR(LEFT(TH!L946,2)="15",LEFT(TH!M946,2)="15"),'152-CT'!$J$8=TH!F946),"x","")</f>
        <v/>
      </c>
      <c r="Y946" s="51" t="str">
        <f>IF(AND(OR(LEFT(TH!L946,2)="15",LEFT(TH!M946,2)="15"),TK!$E$7=TH!F946),"x","")</f>
        <v/>
      </c>
      <c r="Z946" s="51" t="str">
        <f>IF(AND(B946&lt;=NKC!$N$8,B946&gt;=NKC!$M$8),"x","")</f>
        <v/>
      </c>
      <c r="AA946" s="803"/>
      <c r="AB946" s="565"/>
      <c r="AE946" s="565"/>
    </row>
    <row r="947" spans="1:31" ht="15.75" customHeight="1">
      <c r="A947" s="804" t="str">
        <f>IF(B947&lt;&gt;"",IF(AND(B947&gt;=_TM1,B947&lt;=_TM2,OR(TH!L947="1111",TH!M947="1111")),TH!D947,""),"")</f>
        <v/>
      </c>
      <c r="B947" s="36">
        <f t="shared" si="60"/>
        <v>10</v>
      </c>
      <c r="C947" s="189">
        <f t="shared" si="61"/>
        <v>42304</v>
      </c>
      <c r="D947" s="189" t="s">
        <v>1400</v>
      </c>
      <c r="E947" s="189">
        <v>42304</v>
      </c>
      <c r="F947" s="926" t="s">
        <v>496</v>
      </c>
      <c r="G947" s="813" t="s">
        <v>820</v>
      </c>
      <c r="H947" s="191" t="s">
        <v>509</v>
      </c>
      <c r="I947" s="243"/>
      <c r="J947" s="243"/>
      <c r="K947" s="573">
        <v>1211365</v>
      </c>
      <c r="L947" s="574" t="s">
        <v>9</v>
      </c>
      <c r="M947" s="574" t="s">
        <v>8</v>
      </c>
      <c r="N947" s="51" t="str">
        <f>IF(AND('331-CT'!$E$7=TH!H947,OR(L947="331",M947="331")),"331",IF(AND(OR(L947="131",M947="131"),H947='131-CT'!$E$7),"131",""))</f>
        <v/>
      </c>
      <c r="O947" s="51" t="str">
        <f>IF(AND($B947&gt;='111'!$N$11,$B947&lt;='111'!$O$11,OR($L947=$O$7,$M947=$O$7)),"x","")</f>
        <v/>
      </c>
      <c r="P947" s="51" t="str">
        <f>IF(AND($L947=$O$7,$B947&lt;'111'!$N$11),"x","")</f>
        <v/>
      </c>
      <c r="Q947" s="51" t="str">
        <f>IF(AND($M947=$O$7,$B947&lt;'111'!$N$11),"x","")</f>
        <v/>
      </c>
      <c r="R947" s="51" t="str">
        <f>IF(ISERROR(FIND('112'!$M$9,G947,1)),"",IF((AND(FIND('112'!$M$9,G947,1)&gt;=1,$B947&gt;='112'!$N$8,$B947&lt;='112'!$O$8,OR($L947='112'!$I$6,$M947='112'!$I$6))),"x",""))</f>
        <v/>
      </c>
      <c r="S947" s="51" t="str">
        <f>IF(ISERROR(FIND('112'!$M$9,G947,1)),"",IF((AND(LEFT(G947,2)=LEFT('112'!$M$9,2),B947&lt;'112'!$N$8,$L947='112'!$I$6)),"x",""))</f>
        <v/>
      </c>
      <c r="T947" s="51" t="str">
        <f>IF(ISERROR(FIND('112'!$M$9,G947,1)),"",IF((AND(RIGHT(G947,2)=RIGHT('112'!$M$9,2),B947&lt;'112'!$N$8,$M947='112'!$I$6)),"x",""))</f>
        <v/>
      </c>
      <c r="U947" s="51" t="str">
        <f>IF(AND(L947="154",'154'!$O$5&lt;=B947,'154'!$P$5&gt;=B947),"154",IF(AND(L947="632",'632'!$L$5&lt;=B947,'632'!$M$5&gt;=B947),"632",IF(AND(L947="642",'642'!$N$5&lt;=B947,'642'!$O$5&gt;=B947),"642",IF(AND(L947="641",'641'!$N$5&lt;=B947,'641'!$O$5&gt;=B947),"641",""))))</f>
        <v/>
      </c>
      <c r="V947" s="51" t="str">
        <f>IF(OR(TH!L947=TH!$V$7,M947=TH!$V$7),"x","")</f>
        <v/>
      </c>
      <c r="W947" s="51" t="str">
        <f>IF(AND(B947&gt;='IN-NX'!$P$3,B947&lt;='IN-NX'!$Q$3,'IN-NX'!$D$7=D947,OR(LEFT(L947,2)="15",AND(LEFT(M947,2)&lt;&gt;"15",LEFT(M947,2)&lt;&gt;"33"))),"x","")</f>
        <v/>
      </c>
      <c r="X947" s="51" t="str">
        <f>IF(AND(OR(LEFT(TH!L947,2)="15",LEFT(TH!M947,2)="15"),'152-CT'!$J$8=TH!F947),"x","")</f>
        <v/>
      </c>
      <c r="Y947" s="51" t="str">
        <f>IF(AND(OR(LEFT(TH!L947,2)="15",LEFT(TH!M947,2)="15"),TK!$E$7=TH!F947),"x","")</f>
        <v/>
      </c>
      <c r="Z947" s="51" t="str">
        <f>IF(AND(B947&lt;=NKC!$N$8,B947&gt;=NKC!$M$8),"x","")</f>
        <v/>
      </c>
      <c r="AA947" s="803">
        <v>4</v>
      </c>
      <c r="AB947" s="565"/>
      <c r="AE947" s="565"/>
    </row>
    <row r="948" spans="1:31" ht="15.75" customHeight="1">
      <c r="A948" s="804" t="str">
        <f>IF(B948&lt;&gt;"",IF(AND(B948&gt;=_TM1,B948&lt;=_TM2,OR(TH!L948="1111",TH!M948="1111")),TH!D948,""),"")</f>
        <v/>
      </c>
      <c r="B948" s="36">
        <f t="shared" ref="B948" si="63">IF(C948&lt;&gt;"",MONTH(C948),"")</f>
        <v>10</v>
      </c>
      <c r="C948" s="189">
        <f t="shared" ref="C948" si="64">E948</f>
        <v>42304</v>
      </c>
      <c r="D948" s="189" t="s">
        <v>1351</v>
      </c>
      <c r="E948" s="189">
        <v>42304</v>
      </c>
      <c r="F948" s="967" t="s">
        <v>438</v>
      </c>
      <c r="G948" s="813" t="s">
        <v>820</v>
      </c>
      <c r="H948" s="191" t="s">
        <v>509</v>
      </c>
      <c r="I948" s="243"/>
      <c r="J948" s="243"/>
      <c r="K948" s="573">
        <v>19503634</v>
      </c>
      <c r="L948" s="574" t="s">
        <v>8</v>
      </c>
      <c r="M948" s="574" t="s">
        <v>47</v>
      </c>
      <c r="N948" s="51" t="str">
        <f>IF(AND('331-CT'!$E$7=TH!H948,OR(L948="331",M948="331")),"331",IF(AND(OR(L948="131",M948="131"),H948='131-CT'!$E$7),"131",""))</f>
        <v/>
      </c>
      <c r="O948" s="51" t="str">
        <f>IF(AND($B948&gt;='111'!$N$11,$B948&lt;='111'!$O$11,OR($L948=$O$7,$M948=$O$7)),"x","")</f>
        <v>x</v>
      </c>
      <c r="P948" s="51" t="str">
        <f>IF(AND($L948=$O$7,$B948&lt;'111'!$N$11),"x","")</f>
        <v/>
      </c>
      <c r="Q948" s="51" t="str">
        <f>IF(AND($M948=$O$7,$B948&lt;'111'!$N$11),"x","")</f>
        <v/>
      </c>
      <c r="R948" s="51" t="str">
        <f>IF(ISERROR(FIND('112'!$M$9,G948,1)),"",IF((AND(FIND('112'!$M$9,G948,1)&gt;=1,$B948&gt;='112'!$N$8,$B948&lt;='112'!$O$8,OR($L948='112'!$I$6,$M948='112'!$I$6))),"x",""))</f>
        <v/>
      </c>
      <c r="S948" s="51" t="str">
        <f>IF(ISERROR(FIND('112'!$M$9,G948,1)),"",IF((AND(LEFT(G948,2)=LEFT('112'!$M$9,2),B948&lt;'112'!$N$8,$L948='112'!$I$6)),"x",""))</f>
        <v/>
      </c>
      <c r="T948" s="51" t="str">
        <f>IF(ISERROR(FIND('112'!$M$9,G948,1)),"",IF((AND(RIGHT(G948,2)=RIGHT('112'!$M$9,2),B948&lt;'112'!$N$8,$M948='112'!$I$6)),"x",""))</f>
        <v/>
      </c>
      <c r="U948" s="51" t="str">
        <f>IF(AND(L948="154",'154'!$O$5&lt;=B948,'154'!$P$5&gt;=B948),"154",IF(AND(L948="632",'632'!$L$5&lt;=B948,'632'!$M$5&gt;=B948),"632",IF(AND(L948="642",'642'!$N$5&lt;=B948,'642'!$O$5&gt;=B948),"642",IF(AND(L948="641",'641'!$N$5&lt;=B948,'641'!$O$5&gt;=B948),"641",""))))</f>
        <v/>
      </c>
      <c r="V948" s="51" t="str">
        <f>IF(OR(TH!L948=TH!$V$7,M948=TH!$V$7),"x","")</f>
        <v/>
      </c>
      <c r="W948" s="51" t="str">
        <f>IF(AND(B948&gt;='IN-NX'!$P$3,B948&lt;='IN-NX'!$Q$3,'IN-NX'!$D$7=D948,OR(LEFT(L948,2)="15",AND(LEFT(M948,2)&lt;&gt;"15",LEFT(M948,2)&lt;&gt;"33"))),"x","")</f>
        <v/>
      </c>
      <c r="X948" s="51" t="str">
        <f>IF(AND(OR(LEFT(TH!L948,2)="15",LEFT(TH!M948,2)="15"),'152-CT'!$J$8=TH!F948),"x","")</f>
        <v/>
      </c>
      <c r="Y948" s="51" t="str">
        <f>IF(AND(OR(LEFT(TH!L948,2)="15",LEFT(TH!M948,2)="15"),TK!$E$7=TH!F948),"x","")</f>
        <v/>
      </c>
      <c r="Z948" s="51" t="str">
        <f>IF(AND(B948&lt;=NKC!$N$8,B948&gt;=NKC!$M$8),"x","")</f>
        <v/>
      </c>
      <c r="AA948" s="803"/>
      <c r="AB948" s="565"/>
      <c r="AE948" s="565"/>
    </row>
    <row r="949" spans="1:31" ht="15.75" customHeight="1">
      <c r="A949" s="804" t="str">
        <f>IF(B949&lt;&gt;"",IF(AND(B949&gt;=_TM1,B949&lt;=_TM2,OR(TH!L949="1111",TH!M949="1111")),TH!D949,""),"")</f>
        <v/>
      </c>
      <c r="B949" s="36">
        <f t="shared" si="60"/>
        <v>10</v>
      </c>
      <c r="C949" s="189">
        <f t="shared" si="61"/>
        <v>42305</v>
      </c>
      <c r="D949" s="189" t="s">
        <v>421</v>
      </c>
      <c r="E949" s="182">
        <v>42305</v>
      </c>
      <c r="F949" s="926" t="s">
        <v>423</v>
      </c>
      <c r="G949" s="811" t="s">
        <v>415</v>
      </c>
      <c r="H949" s="7" t="s">
        <v>414</v>
      </c>
      <c r="I949" s="243"/>
      <c r="J949" s="243"/>
      <c r="K949" s="573">
        <v>11550000</v>
      </c>
      <c r="L949" s="192" t="s">
        <v>24</v>
      </c>
      <c r="M949" s="192" t="s">
        <v>250</v>
      </c>
      <c r="N949" s="51" t="str">
        <f>IF(AND('331-CT'!$E$7=TH!H949,OR(L949="331",M949="331")),"331",IF(AND(OR(L949="131",M949="131"),H949='131-CT'!$E$7),"131",""))</f>
        <v/>
      </c>
      <c r="O949" s="51" t="str">
        <f>IF(AND($B949&gt;='111'!$N$11,$B949&lt;='111'!$O$11,OR($L949=$O$7,$M949=$O$7)),"x","")</f>
        <v/>
      </c>
      <c r="P949" s="51" t="str">
        <f>IF(AND($L949=$O$7,$B949&lt;'111'!$N$11),"x","")</f>
        <v/>
      </c>
      <c r="Q949" s="51" t="str">
        <f>IF(AND($M949=$O$7,$B949&lt;'111'!$N$11),"x","")</f>
        <v/>
      </c>
      <c r="R949" s="51" t="str">
        <f>IF(ISERROR(FIND('112'!$M$9,G949,1)),"",IF((AND(FIND('112'!$M$9,G949,1)&gt;=1,$B949&gt;='112'!$N$8,$B949&lt;='112'!$O$8,OR($L949='112'!$I$6,$M949='112'!$I$6))),"x",""))</f>
        <v/>
      </c>
      <c r="S949" s="51" t="str">
        <f>IF(ISERROR(FIND('112'!$M$9,G949,1)),"",IF((AND(LEFT(G949,2)=LEFT('112'!$M$9,2),B949&lt;'112'!$N$8,$L949='112'!$I$6)),"x",""))</f>
        <v/>
      </c>
      <c r="T949" s="51" t="str">
        <f>IF(ISERROR(FIND('112'!$M$9,G949,1)),"",IF((AND(RIGHT(G949,2)=RIGHT('112'!$M$9,2),B949&lt;'112'!$N$8,$M949='112'!$I$6)),"x",""))</f>
        <v/>
      </c>
      <c r="U949" s="51" t="str">
        <f>IF(AND(L949="154",'154'!$O$5&lt;=B949,'154'!$P$5&gt;=B949),"154",IF(AND(L949="632",'632'!$L$5&lt;=B949,'632'!$M$5&gt;=B949),"632",IF(AND(L949="642",'642'!$N$5&lt;=B949,'642'!$O$5&gt;=B949),"642",IF(AND(L949="641",'641'!$N$5&lt;=B949,'641'!$O$5&gt;=B949),"641",""))))</f>
        <v/>
      </c>
      <c r="V949" s="51" t="str">
        <f>IF(OR(TH!L949=TH!$V$7,M949=TH!$V$7),"x","")</f>
        <v/>
      </c>
      <c r="W949" s="51" t="str">
        <f>IF(AND(B949&gt;='IN-NX'!$P$3,B949&lt;='IN-NX'!$Q$3,'IN-NX'!$D$7=D949,OR(LEFT(L949,2)="15",AND(LEFT(M949,2)&lt;&gt;"15",LEFT(M949,2)&lt;&gt;"33"))),"x","")</f>
        <v/>
      </c>
      <c r="X949" s="51" t="str">
        <f>IF(AND(OR(LEFT(TH!L949,2)="15",LEFT(TH!M949,2)="15"),'152-CT'!$J$8=TH!F949),"x","")</f>
        <v/>
      </c>
      <c r="Y949" s="51" t="str">
        <f>IF(AND(OR(LEFT(TH!L949,2)="15",LEFT(TH!M949,2)="15"),TK!$E$7=TH!F949),"x","")</f>
        <v/>
      </c>
      <c r="Z949" s="51" t="str">
        <f>IF(AND(B949&lt;=NKC!$N$8,B949&gt;=NKC!$M$8),"x","")</f>
        <v/>
      </c>
      <c r="AA949" s="803"/>
      <c r="AB949" s="565"/>
      <c r="AE949" s="565"/>
    </row>
    <row r="950" spans="1:31" ht="15.75" customHeight="1">
      <c r="A950" s="804" t="str">
        <f>IF(B950&lt;&gt;"",IF(AND(B950&gt;=_TM1,B950&lt;=_TM2,OR(TH!L950="1111",TH!M950="1111")),TH!D950,""),"")</f>
        <v/>
      </c>
      <c r="B950" s="820">
        <f t="shared" si="60"/>
        <v>10</v>
      </c>
      <c r="C950" s="821">
        <f t="shared" si="61"/>
        <v>42305</v>
      </c>
      <c r="D950" s="821" t="s">
        <v>1302</v>
      </c>
      <c r="E950" s="821">
        <v>42305</v>
      </c>
      <c r="F950" s="822" t="s">
        <v>760</v>
      </c>
      <c r="G950" s="823" t="s">
        <v>632</v>
      </c>
      <c r="H950" s="191" t="s">
        <v>449</v>
      </c>
      <c r="I950" s="825">
        <v>25</v>
      </c>
      <c r="J950" s="825">
        <v>11400</v>
      </c>
      <c r="K950" s="818">
        <f t="shared" ref="K950:K958" si="65">ROUND(I950*J950,0)</f>
        <v>285000</v>
      </c>
      <c r="L950" s="819" t="s">
        <v>250</v>
      </c>
      <c r="M950" s="574" t="s">
        <v>164</v>
      </c>
      <c r="N950" s="51" t="str">
        <f>IF(AND('331-CT'!$E$7=TH!H950,OR(L950="331",M950="331")),"331",IF(AND(OR(L950="131",M950="131"),H950='131-CT'!$E$7),"131",""))</f>
        <v/>
      </c>
      <c r="O950" s="51" t="str">
        <f>IF(AND($B950&gt;='111'!$N$11,$B950&lt;='111'!$O$11,OR($L950=$O$7,$M950=$O$7)),"x","")</f>
        <v/>
      </c>
      <c r="P950" s="51" t="str">
        <f>IF(AND($L950=$O$7,$B950&lt;'111'!$N$11),"x","")</f>
        <v/>
      </c>
      <c r="Q950" s="51" t="str">
        <f>IF(AND($M950=$O$7,$B950&lt;'111'!$N$11),"x","")</f>
        <v/>
      </c>
      <c r="R950" s="51" t="str">
        <f>IF(ISERROR(FIND('112'!$M$9,G950,1)),"",IF((AND(FIND('112'!$M$9,G950,1)&gt;=1,$B950&gt;='112'!$N$8,$B950&lt;='112'!$O$8,OR($L950='112'!$I$6,$M950='112'!$I$6))),"x",""))</f>
        <v/>
      </c>
      <c r="S950" s="51" t="str">
        <f>IF(ISERROR(FIND('112'!$M$9,G950,1)),"",IF((AND(LEFT(G950,2)=LEFT('112'!$M$9,2),B950&lt;'112'!$N$8,$L950='112'!$I$6)),"x",""))</f>
        <v/>
      </c>
      <c r="T950" s="51" t="str">
        <f>IF(ISERROR(FIND('112'!$M$9,G950,1)),"",IF((AND(RIGHT(G950,2)=RIGHT('112'!$M$9,2),B950&lt;'112'!$N$8,$M950='112'!$I$6)),"x",""))</f>
        <v/>
      </c>
      <c r="U950" s="51" t="str">
        <f>IF(AND(L950="154",'154'!$O$5&lt;=B950,'154'!$P$5&gt;=B950),"154",IF(AND(L950="632",'632'!$L$5&lt;=B950,'632'!$M$5&gt;=B950),"632",IF(AND(L950="642",'642'!$N$5&lt;=B950,'642'!$O$5&gt;=B950),"642",IF(AND(L950="641",'641'!$N$5&lt;=B950,'641'!$O$5&gt;=B950),"641",""))))</f>
        <v/>
      </c>
      <c r="V950" s="51" t="str">
        <f>IF(OR(TH!L950=TH!$V$7,M950=TH!$V$7),"x","")</f>
        <v/>
      </c>
      <c r="W950" s="51" t="str">
        <f>IF(AND(B950&gt;='IN-NX'!$P$3,B950&lt;='IN-NX'!$Q$3,'IN-NX'!$D$7=D950,OR(LEFT(L950,2)="15",AND(LEFT(M950,2)&lt;&gt;"15",LEFT(M950,2)&lt;&gt;"33"))),"x","")</f>
        <v/>
      </c>
      <c r="X950" s="51" t="str">
        <f>IF(AND(OR(LEFT(TH!L950,2)="15",LEFT(TH!M950,2)="15"),'152-CT'!$J$8=TH!F950),"x","")</f>
        <v/>
      </c>
      <c r="Y950" s="51" t="str">
        <f>IF(AND(OR(LEFT(TH!L950,2)="15",LEFT(TH!M950,2)="15"),TK!$E$7=TH!F950),"x","")</f>
        <v/>
      </c>
      <c r="Z950" s="51" t="str">
        <f>IF(AND(B950&lt;=NKC!$N$8,B950&gt;=NKC!$M$8),"x","")</f>
        <v/>
      </c>
      <c r="AA950" s="826"/>
      <c r="AB950" s="565"/>
      <c r="AD950" s="828"/>
      <c r="AE950" s="828"/>
    </row>
    <row r="951" spans="1:31" ht="15.75" customHeight="1">
      <c r="A951" s="804" t="str">
        <f>IF(B951&lt;&gt;"",IF(AND(B951&gt;=_TM1,B951&lt;=_TM2,OR(TH!L951="1111",TH!M951="1111")),TH!D951,""),"")</f>
        <v/>
      </c>
      <c r="B951" s="820">
        <f t="shared" si="60"/>
        <v>10</v>
      </c>
      <c r="C951" s="821">
        <f t="shared" si="61"/>
        <v>42305</v>
      </c>
      <c r="D951" s="821" t="s">
        <v>1302</v>
      </c>
      <c r="E951" s="821">
        <v>42305</v>
      </c>
      <c r="F951" s="822" t="s">
        <v>763</v>
      </c>
      <c r="G951" s="823" t="s">
        <v>632</v>
      </c>
      <c r="H951" s="191" t="s">
        <v>449</v>
      </c>
      <c r="I951" s="825">
        <v>50</v>
      </c>
      <c r="J951" s="825">
        <v>22451</v>
      </c>
      <c r="K951" s="818">
        <f t="shared" si="65"/>
        <v>1122550</v>
      </c>
      <c r="L951" s="819" t="s">
        <v>250</v>
      </c>
      <c r="M951" s="574" t="s">
        <v>164</v>
      </c>
      <c r="N951" s="51" t="str">
        <f>IF(AND('331-CT'!$E$7=TH!H951,OR(L951="331",M951="331")),"331",IF(AND(OR(L951="131",M951="131"),H951='131-CT'!$E$7),"131",""))</f>
        <v/>
      </c>
      <c r="O951" s="51" t="str">
        <f>IF(AND($B951&gt;='111'!$N$11,$B951&lt;='111'!$O$11,OR($L951=$O$7,$M951=$O$7)),"x","")</f>
        <v/>
      </c>
      <c r="P951" s="51" t="str">
        <f>IF(AND($L951=$O$7,$B951&lt;'111'!$N$11),"x","")</f>
        <v/>
      </c>
      <c r="Q951" s="51" t="str">
        <f>IF(AND($M951=$O$7,$B951&lt;'111'!$N$11),"x","")</f>
        <v/>
      </c>
      <c r="R951" s="51" t="str">
        <f>IF(ISERROR(FIND('112'!$M$9,G951,1)),"",IF((AND(FIND('112'!$M$9,G951,1)&gt;=1,$B951&gt;='112'!$N$8,$B951&lt;='112'!$O$8,OR($L951='112'!$I$6,$M951='112'!$I$6))),"x",""))</f>
        <v/>
      </c>
      <c r="S951" s="51" t="str">
        <f>IF(ISERROR(FIND('112'!$M$9,G951,1)),"",IF((AND(LEFT(G951,2)=LEFT('112'!$M$9,2),B951&lt;'112'!$N$8,$L951='112'!$I$6)),"x",""))</f>
        <v/>
      </c>
      <c r="T951" s="51" t="str">
        <f>IF(ISERROR(FIND('112'!$M$9,G951,1)),"",IF((AND(RIGHT(G951,2)=RIGHT('112'!$M$9,2),B951&lt;'112'!$N$8,$M951='112'!$I$6)),"x",""))</f>
        <v/>
      </c>
      <c r="U951" s="51" t="str">
        <f>IF(AND(L951="154",'154'!$O$5&lt;=B951,'154'!$P$5&gt;=B951),"154",IF(AND(L951="632",'632'!$L$5&lt;=B951,'632'!$M$5&gt;=B951),"632",IF(AND(L951="642",'642'!$N$5&lt;=B951,'642'!$O$5&gt;=B951),"642",IF(AND(L951="641",'641'!$N$5&lt;=B951,'641'!$O$5&gt;=B951),"641",""))))</f>
        <v/>
      </c>
      <c r="V951" s="51" t="str">
        <f>IF(OR(TH!L951=TH!$V$7,M951=TH!$V$7),"x","")</f>
        <v/>
      </c>
      <c r="W951" s="51" t="str">
        <f>IF(AND(B951&gt;='IN-NX'!$P$3,B951&lt;='IN-NX'!$Q$3,'IN-NX'!$D$7=D951,OR(LEFT(L951,2)="15",AND(LEFT(M951,2)&lt;&gt;"15",LEFT(M951,2)&lt;&gt;"33"))),"x","")</f>
        <v/>
      </c>
      <c r="X951" s="51" t="str">
        <f>IF(AND(OR(LEFT(TH!L951,2)="15",LEFT(TH!M951,2)="15"),'152-CT'!$J$8=TH!F951),"x","")</f>
        <v/>
      </c>
      <c r="Y951" s="51" t="str">
        <f>IF(AND(OR(LEFT(TH!L951,2)="15",LEFT(TH!M951,2)="15"),TK!$E$7=TH!F951),"x","")</f>
        <v/>
      </c>
      <c r="Z951" s="51" t="str">
        <f>IF(AND(B951&lt;=NKC!$N$8,B951&gt;=NKC!$M$8),"x","")</f>
        <v/>
      </c>
      <c r="AA951" s="826"/>
      <c r="AB951" s="565"/>
      <c r="AD951" s="828"/>
      <c r="AE951" s="828"/>
    </row>
    <row r="952" spans="1:31" ht="15.75" customHeight="1">
      <c r="A952" s="804" t="str">
        <f>IF(B952&lt;&gt;"",IF(AND(B952&gt;=_TM1,B952&lt;=_TM2,OR(TH!L952="1111",TH!M952="1111")),TH!D952,""),"")</f>
        <v/>
      </c>
      <c r="B952" s="820">
        <f t="shared" si="60"/>
        <v>10</v>
      </c>
      <c r="C952" s="821">
        <f t="shared" si="61"/>
        <v>42305</v>
      </c>
      <c r="D952" s="821" t="s">
        <v>1302</v>
      </c>
      <c r="E952" s="821">
        <v>42305</v>
      </c>
      <c r="F952" s="822" t="s">
        <v>761</v>
      </c>
      <c r="G952" s="823" t="s">
        <v>632</v>
      </c>
      <c r="H952" s="191" t="s">
        <v>449</v>
      </c>
      <c r="I952" s="825">
        <v>25</v>
      </c>
      <c r="J952" s="825">
        <v>21050</v>
      </c>
      <c r="K952" s="818">
        <f t="shared" si="65"/>
        <v>526250</v>
      </c>
      <c r="L952" s="819" t="s">
        <v>250</v>
      </c>
      <c r="M952" s="574" t="s">
        <v>164</v>
      </c>
      <c r="N952" s="51" t="str">
        <f>IF(AND('331-CT'!$E$7=TH!H952,OR(L952="331",M952="331")),"331",IF(AND(OR(L952="131",M952="131"),H952='131-CT'!$E$7),"131",""))</f>
        <v/>
      </c>
      <c r="O952" s="51" t="str">
        <f>IF(AND($B952&gt;='111'!$N$11,$B952&lt;='111'!$O$11,OR($L952=$O$7,$M952=$O$7)),"x","")</f>
        <v/>
      </c>
      <c r="P952" s="51" t="str">
        <f>IF(AND($L952=$O$7,$B952&lt;'111'!$N$11),"x","")</f>
        <v/>
      </c>
      <c r="Q952" s="51" t="str">
        <f>IF(AND($M952=$O$7,$B952&lt;'111'!$N$11),"x","")</f>
        <v/>
      </c>
      <c r="R952" s="51" t="str">
        <f>IF(ISERROR(FIND('112'!$M$9,G952,1)),"",IF((AND(FIND('112'!$M$9,G952,1)&gt;=1,$B952&gt;='112'!$N$8,$B952&lt;='112'!$O$8,OR($L952='112'!$I$6,$M952='112'!$I$6))),"x",""))</f>
        <v/>
      </c>
      <c r="S952" s="51" t="str">
        <f>IF(ISERROR(FIND('112'!$M$9,G952,1)),"",IF((AND(LEFT(G952,2)=LEFT('112'!$M$9,2),B952&lt;'112'!$N$8,$L952='112'!$I$6)),"x",""))</f>
        <v/>
      </c>
      <c r="T952" s="51" t="str">
        <f>IF(ISERROR(FIND('112'!$M$9,G952,1)),"",IF((AND(RIGHT(G952,2)=RIGHT('112'!$M$9,2),B952&lt;'112'!$N$8,$M952='112'!$I$6)),"x",""))</f>
        <v/>
      </c>
      <c r="U952" s="51" t="str">
        <f>IF(AND(L952="154",'154'!$O$5&lt;=B952,'154'!$P$5&gt;=B952),"154",IF(AND(L952="632",'632'!$L$5&lt;=B952,'632'!$M$5&gt;=B952),"632",IF(AND(L952="642",'642'!$N$5&lt;=B952,'642'!$O$5&gt;=B952),"642",IF(AND(L952="641",'641'!$N$5&lt;=B952,'641'!$O$5&gt;=B952),"641",""))))</f>
        <v/>
      </c>
      <c r="V952" s="51" t="str">
        <f>IF(OR(TH!L952=TH!$V$7,M952=TH!$V$7),"x","")</f>
        <v/>
      </c>
      <c r="W952" s="51" t="str">
        <f>IF(AND(B952&gt;='IN-NX'!$P$3,B952&lt;='IN-NX'!$Q$3,'IN-NX'!$D$7=D952,OR(LEFT(L952,2)="15",AND(LEFT(M952,2)&lt;&gt;"15",LEFT(M952,2)&lt;&gt;"33"))),"x","")</f>
        <v/>
      </c>
      <c r="X952" s="51" t="str">
        <f>IF(AND(OR(LEFT(TH!L952,2)="15",LEFT(TH!M952,2)="15"),'152-CT'!$J$8=TH!F952),"x","")</f>
        <v/>
      </c>
      <c r="Y952" s="51" t="str">
        <f>IF(AND(OR(LEFT(TH!L952,2)="15",LEFT(TH!M952,2)="15"),TK!$E$7=TH!F952),"x","")</f>
        <v/>
      </c>
      <c r="Z952" s="51" t="str">
        <f>IF(AND(B952&lt;=NKC!$N$8,B952&gt;=NKC!$M$8),"x","")</f>
        <v/>
      </c>
      <c r="AA952" s="826"/>
      <c r="AB952" s="565"/>
      <c r="AD952" s="828"/>
      <c r="AE952" s="828"/>
    </row>
    <row r="953" spans="1:31" ht="15.75" customHeight="1">
      <c r="A953" s="804" t="str">
        <f>IF(B953&lt;&gt;"",IF(AND(B953&gt;=_TM1,B953&lt;=_TM2,OR(TH!L953="1111",TH!M953="1111")),TH!D953,""),"")</f>
        <v/>
      </c>
      <c r="B953" s="820">
        <f t="shared" si="60"/>
        <v>10</v>
      </c>
      <c r="C953" s="821">
        <f t="shared" si="61"/>
        <v>42305</v>
      </c>
      <c r="D953" s="821" t="s">
        <v>1302</v>
      </c>
      <c r="E953" s="821">
        <v>42305</v>
      </c>
      <c r="F953" s="822" t="s">
        <v>762</v>
      </c>
      <c r="G953" s="823" t="s">
        <v>632</v>
      </c>
      <c r="H953" s="191" t="s">
        <v>449</v>
      </c>
      <c r="I953" s="825">
        <v>25</v>
      </c>
      <c r="J953" s="825">
        <v>24800</v>
      </c>
      <c r="K953" s="818">
        <f t="shared" si="65"/>
        <v>620000</v>
      </c>
      <c r="L953" s="819" t="s">
        <v>250</v>
      </c>
      <c r="M953" s="574" t="s">
        <v>164</v>
      </c>
      <c r="N953" s="51" t="str">
        <f>IF(AND('331-CT'!$E$7=TH!H953,OR(L953="331",M953="331")),"331",IF(AND(OR(L953="131",M953="131"),H953='131-CT'!$E$7),"131",""))</f>
        <v/>
      </c>
      <c r="O953" s="51" t="str">
        <f>IF(AND($B953&gt;='111'!$N$11,$B953&lt;='111'!$O$11,OR($L953=$O$7,$M953=$O$7)),"x","")</f>
        <v/>
      </c>
      <c r="P953" s="51" t="str">
        <f>IF(AND($L953=$O$7,$B953&lt;'111'!$N$11),"x","")</f>
        <v/>
      </c>
      <c r="Q953" s="51" t="str">
        <f>IF(AND($M953=$O$7,$B953&lt;'111'!$N$11),"x","")</f>
        <v/>
      </c>
      <c r="R953" s="51" t="str">
        <f>IF(ISERROR(FIND('112'!$M$9,G953,1)),"",IF((AND(FIND('112'!$M$9,G953,1)&gt;=1,$B953&gt;='112'!$N$8,$B953&lt;='112'!$O$8,OR($L953='112'!$I$6,$M953='112'!$I$6))),"x",""))</f>
        <v/>
      </c>
      <c r="S953" s="51" t="str">
        <f>IF(ISERROR(FIND('112'!$M$9,G953,1)),"",IF((AND(LEFT(G953,2)=LEFT('112'!$M$9,2),B953&lt;'112'!$N$8,$L953='112'!$I$6)),"x",""))</f>
        <v/>
      </c>
      <c r="T953" s="51" t="str">
        <f>IF(ISERROR(FIND('112'!$M$9,G953,1)),"",IF((AND(RIGHT(G953,2)=RIGHT('112'!$M$9,2),B953&lt;'112'!$N$8,$M953='112'!$I$6)),"x",""))</f>
        <v/>
      </c>
      <c r="U953" s="51" t="str">
        <f>IF(AND(L953="154",'154'!$O$5&lt;=B953,'154'!$P$5&gt;=B953),"154",IF(AND(L953="632",'632'!$L$5&lt;=B953,'632'!$M$5&gt;=B953),"632",IF(AND(L953="642",'642'!$N$5&lt;=B953,'642'!$O$5&gt;=B953),"642",IF(AND(L953="641",'641'!$N$5&lt;=B953,'641'!$O$5&gt;=B953),"641",""))))</f>
        <v/>
      </c>
      <c r="V953" s="51" t="str">
        <f>IF(OR(TH!L953=TH!$V$7,M953=TH!$V$7),"x","")</f>
        <v/>
      </c>
      <c r="W953" s="51" t="str">
        <f>IF(AND(B953&gt;='IN-NX'!$P$3,B953&lt;='IN-NX'!$Q$3,'IN-NX'!$D$7=D953,OR(LEFT(L953,2)="15",AND(LEFT(M953,2)&lt;&gt;"15",LEFT(M953,2)&lt;&gt;"33"))),"x","")</f>
        <v/>
      </c>
      <c r="X953" s="51" t="str">
        <f>IF(AND(OR(LEFT(TH!L953,2)="15",LEFT(TH!M953,2)="15"),'152-CT'!$J$8=TH!F953),"x","")</f>
        <v/>
      </c>
      <c r="Y953" s="51" t="str">
        <f>IF(AND(OR(LEFT(TH!L953,2)="15",LEFT(TH!M953,2)="15"),TK!$E$7=TH!F953),"x","")</f>
        <v/>
      </c>
      <c r="Z953" s="51" t="str">
        <f>IF(AND(B953&lt;=NKC!$N$8,B953&gt;=NKC!$M$8),"x","")</f>
        <v/>
      </c>
      <c r="AA953" s="826"/>
      <c r="AB953" s="565"/>
      <c r="AD953" s="828"/>
      <c r="AE953" s="828"/>
    </row>
    <row r="954" spans="1:31" ht="15.75" customHeight="1">
      <c r="A954" s="804" t="str">
        <f>IF(B954&lt;&gt;"",IF(AND(B954&gt;=_TM1,B954&lt;=_TM2,OR(TH!L954="1111",TH!M954="1111")),TH!D954,""),"")</f>
        <v/>
      </c>
      <c r="B954" s="820">
        <f t="shared" si="60"/>
        <v>10</v>
      </c>
      <c r="C954" s="821">
        <f t="shared" si="61"/>
        <v>42305</v>
      </c>
      <c r="D954" s="821" t="s">
        <v>1302</v>
      </c>
      <c r="E954" s="821">
        <v>42305</v>
      </c>
      <c r="F954" s="822" t="s">
        <v>1238</v>
      </c>
      <c r="G954" s="823" t="s">
        <v>632</v>
      </c>
      <c r="H954" s="191" t="s">
        <v>449</v>
      </c>
      <c r="I954" s="825">
        <v>95</v>
      </c>
      <c r="J954" s="825">
        <v>10000</v>
      </c>
      <c r="K954" s="818">
        <f t="shared" si="65"/>
        <v>950000</v>
      </c>
      <c r="L954" s="819" t="s">
        <v>250</v>
      </c>
      <c r="M954" s="574" t="s">
        <v>164</v>
      </c>
      <c r="N954" s="51" t="str">
        <f>IF(AND('331-CT'!$E$7=TH!H954,OR(L954="331",M954="331")),"331",IF(AND(OR(L954="131",M954="131"),H954='131-CT'!$E$7),"131",""))</f>
        <v/>
      </c>
      <c r="O954" s="51" t="str">
        <f>IF(AND($B954&gt;='111'!$N$11,$B954&lt;='111'!$O$11,OR($L954=$O$7,$M954=$O$7)),"x","")</f>
        <v/>
      </c>
      <c r="P954" s="51" t="str">
        <f>IF(AND($L954=$O$7,$B954&lt;'111'!$N$11),"x","")</f>
        <v/>
      </c>
      <c r="Q954" s="51" t="str">
        <f>IF(AND($M954=$O$7,$B954&lt;'111'!$N$11),"x","")</f>
        <v/>
      </c>
      <c r="R954" s="51" t="str">
        <f>IF(ISERROR(FIND('112'!$M$9,G954,1)),"",IF((AND(FIND('112'!$M$9,G954,1)&gt;=1,$B954&gt;='112'!$N$8,$B954&lt;='112'!$O$8,OR($L954='112'!$I$6,$M954='112'!$I$6))),"x",""))</f>
        <v/>
      </c>
      <c r="S954" s="51" t="str">
        <f>IF(ISERROR(FIND('112'!$M$9,G954,1)),"",IF((AND(LEFT(G954,2)=LEFT('112'!$M$9,2),B954&lt;'112'!$N$8,$L954='112'!$I$6)),"x",""))</f>
        <v/>
      </c>
      <c r="T954" s="51" t="str">
        <f>IF(ISERROR(FIND('112'!$M$9,G954,1)),"",IF((AND(RIGHT(G954,2)=RIGHT('112'!$M$9,2),B954&lt;'112'!$N$8,$M954='112'!$I$6)),"x",""))</f>
        <v/>
      </c>
      <c r="U954" s="51" t="str">
        <f>IF(AND(L954="154",'154'!$O$5&lt;=B954,'154'!$P$5&gt;=B954),"154",IF(AND(L954="632",'632'!$L$5&lt;=B954,'632'!$M$5&gt;=B954),"632",IF(AND(L954="642",'642'!$N$5&lt;=B954,'642'!$O$5&gt;=B954),"642",IF(AND(L954="641",'641'!$N$5&lt;=B954,'641'!$O$5&gt;=B954),"641",""))))</f>
        <v/>
      </c>
      <c r="V954" s="51" t="str">
        <f>IF(OR(TH!L954=TH!$V$7,M954=TH!$V$7),"x","")</f>
        <v/>
      </c>
      <c r="W954" s="51" t="str">
        <f>IF(AND(B954&gt;='IN-NX'!$P$3,B954&lt;='IN-NX'!$Q$3,'IN-NX'!$D$7=D954,OR(LEFT(L954,2)="15",AND(LEFT(M954,2)&lt;&gt;"15",LEFT(M954,2)&lt;&gt;"33"))),"x","")</f>
        <v/>
      </c>
      <c r="X954" s="51" t="str">
        <f>IF(AND(OR(LEFT(TH!L954,2)="15",LEFT(TH!M954,2)="15"),'152-CT'!$J$8=TH!F954),"x","")</f>
        <v/>
      </c>
      <c r="Y954" s="51" t="str">
        <f>IF(AND(OR(LEFT(TH!L954,2)="15",LEFT(TH!M954,2)="15"),TK!$E$7=TH!F954),"x","")</f>
        <v/>
      </c>
      <c r="Z954" s="51" t="str">
        <f>IF(AND(B954&lt;=NKC!$N$8,B954&gt;=NKC!$M$8),"x","")</f>
        <v/>
      </c>
      <c r="AA954" s="826"/>
      <c r="AB954" s="565"/>
      <c r="AD954" s="828"/>
      <c r="AE954" s="828"/>
    </row>
    <row r="955" spans="1:31" ht="15.75" customHeight="1">
      <c r="A955" s="804" t="str">
        <f>IF(B955&lt;&gt;"",IF(AND(B955&gt;=_TM1,B955&lt;=_TM2,OR(TH!L955="1111",TH!M955="1111")),TH!D955,""),"")</f>
        <v/>
      </c>
      <c r="B955" s="820">
        <f t="shared" si="60"/>
        <v>10</v>
      </c>
      <c r="C955" s="821">
        <f t="shared" si="61"/>
        <v>42305</v>
      </c>
      <c r="D955" s="821" t="s">
        <v>1302</v>
      </c>
      <c r="E955" s="821">
        <v>42305</v>
      </c>
      <c r="F955" s="822" t="s">
        <v>768</v>
      </c>
      <c r="G955" s="823" t="s">
        <v>632</v>
      </c>
      <c r="H955" s="191" t="s">
        <v>449</v>
      </c>
      <c r="I955" s="825">
        <v>36</v>
      </c>
      <c r="J955" s="825">
        <v>6001</v>
      </c>
      <c r="K955" s="818">
        <f t="shared" si="65"/>
        <v>216036</v>
      </c>
      <c r="L955" s="819" t="s">
        <v>250</v>
      </c>
      <c r="M955" s="574" t="s">
        <v>164</v>
      </c>
      <c r="N955" s="51" t="str">
        <f>IF(AND('331-CT'!$E$7=TH!H955,OR(L955="331",M955="331")),"331",IF(AND(OR(L955="131",M955="131"),H955='131-CT'!$E$7),"131",""))</f>
        <v/>
      </c>
      <c r="O955" s="51" t="str">
        <f>IF(AND($B955&gt;='111'!$N$11,$B955&lt;='111'!$O$11,OR($L955=$O$7,$M955=$O$7)),"x","")</f>
        <v/>
      </c>
      <c r="P955" s="51" t="str">
        <f>IF(AND($L955=$O$7,$B955&lt;'111'!$N$11),"x","")</f>
        <v/>
      </c>
      <c r="Q955" s="51" t="str">
        <f>IF(AND($M955=$O$7,$B955&lt;'111'!$N$11),"x","")</f>
        <v/>
      </c>
      <c r="R955" s="51" t="str">
        <f>IF(ISERROR(FIND('112'!$M$9,G955,1)),"",IF((AND(FIND('112'!$M$9,G955,1)&gt;=1,$B955&gt;='112'!$N$8,$B955&lt;='112'!$O$8,OR($L955='112'!$I$6,$M955='112'!$I$6))),"x",""))</f>
        <v/>
      </c>
      <c r="S955" s="51" t="str">
        <f>IF(ISERROR(FIND('112'!$M$9,G955,1)),"",IF((AND(LEFT(G955,2)=LEFT('112'!$M$9,2),B955&lt;'112'!$N$8,$L955='112'!$I$6)),"x",""))</f>
        <v/>
      </c>
      <c r="T955" s="51" t="str">
        <f>IF(ISERROR(FIND('112'!$M$9,G955,1)),"",IF((AND(RIGHT(G955,2)=RIGHT('112'!$M$9,2),B955&lt;'112'!$N$8,$M955='112'!$I$6)),"x",""))</f>
        <v/>
      </c>
      <c r="U955" s="51" t="str">
        <f>IF(AND(L955="154",'154'!$O$5&lt;=B955,'154'!$P$5&gt;=B955),"154",IF(AND(L955="632",'632'!$L$5&lt;=B955,'632'!$M$5&gt;=B955),"632",IF(AND(L955="642",'642'!$N$5&lt;=B955,'642'!$O$5&gt;=B955),"642",IF(AND(L955="641",'641'!$N$5&lt;=B955,'641'!$O$5&gt;=B955),"641",""))))</f>
        <v/>
      </c>
      <c r="V955" s="51" t="str">
        <f>IF(OR(TH!L955=TH!$V$7,M955=TH!$V$7),"x","")</f>
        <v/>
      </c>
      <c r="W955" s="51" t="str">
        <f>IF(AND(B955&gt;='IN-NX'!$P$3,B955&lt;='IN-NX'!$Q$3,'IN-NX'!$D$7=D955,OR(LEFT(L955,2)="15",AND(LEFT(M955,2)&lt;&gt;"15",LEFT(M955,2)&lt;&gt;"33"))),"x","")</f>
        <v/>
      </c>
      <c r="X955" s="51" t="str">
        <f>IF(AND(OR(LEFT(TH!L955,2)="15",LEFT(TH!M955,2)="15"),'152-CT'!$J$8=TH!F955),"x","")</f>
        <v/>
      </c>
      <c r="Y955" s="51" t="str">
        <f>IF(AND(OR(LEFT(TH!L955,2)="15",LEFT(TH!M955,2)="15"),TK!$E$7=TH!F955),"x","")</f>
        <v/>
      </c>
      <c r="Z955" s="51" t="str">
        <f>IF(AND(B955&lt;=NKC!$N$8,B955&gt;=NKC!$M$8),"x","")</f>
        <v/>
      </c>
      <c r="AA955" s="826"/>
      <c r="AB955" s="565"/>
      <c r="AD955" s="828"/>
      <c r="AE955" s="828"/>
    </row>
    <row r="956" spans="1:31" ht="15.75" customHeight="1">
      <c r="A956" s="804" t="str">
        <f>IF(B956&lt;&gt;"",IF(AND(B956&gt;=_TM1,B956&lt;=_TM2,OR(TH!L956="1111",TH!M956="1111")),TH!D956,""),"")</f>
        <v/>
      </c>
      <c r="B956" s="820">
        <f t="shared" si="60"/>
        <v>10</v>
      </c>
      <c r="C956" s="821">
        <f t="shared" si="61"/>
        <v>42305</v>
      </c>
      <c r="D956" s="821" t="s">
        <v>1302</v>
      </c>
      <c r="E956" s="821">
        <v>42305</v>
      </c>
      <c r="F956" s="822" t="s">
        <v>767</v>
      </c>
      <c r="G956" s="823" t="s">
        <v>632</v>
      </c>
      <c r="H956" s="191" t="s">
        <v>449</v>
      </c>
      <c r="I956" s="825">
        <v>246</v>
      </c>
      <c r="J956" s="825">
        <v>8500</v>
      </c>
      <c r="K956" s="818">
        <f t="shared" si="65"/>
        <v>2091000</v>
      </c>
      <c r="L956" s="819" t="s">
        <v>250</v>
      </c>
      <c r="M956" s="574" t="s">
        <v>164</v>
      </c>
      <c r="N956" s="51" t="str">
        <f>IF(AND('331-CT'!$E$7=TH!H956,OR(L956="331",M956="331")),"331",IF(AND(OR(L956="131",M956="131"),H956='131-CT'!$E$7),"131",""))</f>
        <v/>
      </c>
      <c r="O956" s="51" t="str">
        <f>IF(AND($B956&gt;='111'!$N$11,$B956&lt;='111'!$O$11,OR($L956=$O$7,$M956=$O$7)),"x","")</f>
        <v/>
      </c>
      <c r="P956" s="51" t="str">
        <f>IF(AND($L956=$O$7,$B956&lt;'111'!$N$11),"x","")</f>
        <v/>
      </c>
      <c r="Q956" s="51" t="str">
        <f>IF(AND($M956=$O$7,$B956&lt;'111'!$N$11),"x","")</f>
        <v/>
      </c>
      <c r="R956" s="51" t="str">
        <f>IF(ISERROR(FIND('112'!$M$9,G956,1)),"",IF((AND(FIND('112'!$M$9,G956,1)&gt;=1,$B956&gt;='112'!$N$8,$B956&lt;='112'!$O$8,OR($L956='112'!$I$6,$M956='112'!$I$6))),"x",""))</f>
        <v/>
      </c>
      <c r="S956" s="51" t="str">
        <f>IF(ISERROR(FIND('112'!$M$9,G956,1)),"",IF((AND(LEFT(G956,2)=LEFT('112'!$M$9,2),B956&lt;'112'!$N$8,$L956='112'!$I$6)),"x",""))</f>
        <v/>
      </c>
      <c r="T956" s="51" t="str">
        <f>IF(ISERROR(FIND('112'!$M$9,G956,1)),"",IF((AND(RIGHT(G956,2)=RIGHT('112'!$M$9,2),B956&lt;'112'!$N$8,$M956='112'!$I$6)),"x",""))</f>
        <v/>
      </c>
      <c r="U956" s="51" t="str">
        <f>IF(AND(L956="154",'154'!$O$5&lt;=B956,'154'!$P$5&gt;=B956),"154",IF(AND(L956="632",'632'!$L$5&lt;=B956,'632'!$M$5&gt;=B956),"632",IF(AND(L956="642",'642'!$N$5&lt;=B956,'642'!$O$5&gt;=B956),"642",IF(AND(L956="641",'641'!$N$5&lt;=B956,'641'!$O$5&gt;=B956),"641",""))))</f>
        <v/>
      </c>
      <c r="V956" s="51" t="str">
        <f>IF(OR(TH!L956=TH!$V$7,M956=TH!$V$7),"x","")</f>
        <v/>
      </c>
      <c r="W956" s="51" t="str">
        <f>IF(AND(B956&gt;='IN-NX'!$P$3,B956&lt;='IN-NX'!$Q$3,'IN-NX'!$D$7=D956,OR(LEFT(L956,2)="15",AND(LEFT(M956,2)&lt;&gt;"15",LEFT(M956,2)&lt;&gt;"33"))),"x","")</f>
        <v/>
      </c>
      <c r="X956" s="51" t="str">
        <f>IF(AND(OR(LEFT(TH!L956,2)="15",LEFT(TH!M956,2)="15"),'152-CT'!$J$8=TH!F956),"x","")</f>
        <v/>
      </c>
      <c r="Y956" s="51" t="str">
        <f>IF(AND(OR(LEFT(TH!L956,2)="15",LEFT(TH!M956,2)="15"),TK!$E$7=TH!F956),"x","")</f>
        <v/>
      </c>
      <c r="Z956" s="51" t="str">
        <f>IF(AND(B956&lt;=NKC!$N$8,B956&gt;=NKC!$M$8),"x","")</f>
        <v/>
      </c>
      <c r="AA956" s="826"/>
      <c r="AB956" s="565"/>
      <c r="AD956" s="828"/>
      <c r="AE956" s="828"/>
    </row>
    <row r="957" spans="1:31" ht="15.75" customHeight="1">
      <c r="A957" s="804" t="str">
        <f>IF(B957&lt;&gt;"",IF(AND(B957&gt;=_TM1,B957&lt;=_TM2,OR(TH!L957="1111",TH!M957="1111")),TH!D957,""),"")</f>
        <v/>
      </c>
      <c r="B957" s="820">
        <f t="shared" si="60"/>
        <v>10</v>
      </c>
      <c r="C957" s="821">
        <f t="shared" si="61"/>
        <v>42305</v>
      </c>
      <c r="D957" s="821" t="s">
        <v>1302</v>
      </c>
      <c r="E957" s="821">
        <v>42305</v>
      </c>
      <c r="F957" s="822" t="s">
        <v>773</v>
      </c>
      <c r="G957" s="823" t="s">
        <v>632</v>
      </c>
      <c r="H957" s="191" t="s">
        <v>449</v>
      </c>
      <c r="I957" s="825">
        <v>56</v>
      </c>
      <c r="J957" s="825">
        <v>9450</v>
      </c>
      <c r="K957" s="818">
        <f t="shared" si="65"/>
        <v>529200</v>
      </c>
      <c r="L957" s="819" t="s">
        <v>250</v>
      </c>
      <c r="M957" s="574" t="s">
        <v>164</v>
      </c>
      <c r="N957" s="51" t="str">
        <f>IF(AND('331-CT'!$E$7=TH!H957,OR(L957="331",M957="331")),"331",IF(AND(OR(L957="131",M957="131"),H957='131-CT'!$E$7),"131",""))</f>
        <v/>
      </c>
      <c r="O957" s="51" t="str">
        <f>IF(AND($B957&gt;='111'!$N$11,$B957&lt;='111'!$O$11,OR($L957=$O$7,$M957=$O$7)),"x","")</f>
        <v/>
      </c>
      <c r="P957" s="51" t="str">
        <f>IF(AND($L957=$O$7,$B957&lt;'111'!$N$11),"x","")</f>
        <v/>
      </c>
      <c r="Q957" s="51" t="str">
        <f>IF(AND($M957=$O$7,$B957&lt;'111'!$N$11),"x","")</f>
        <v/>
      </c>
      <c r="R957" s="51" t="str">
        <f>IF(ISERROR(FIND('112'!$M$9,G957,1)),"",IF((AND(FIND('112'!$M$9,G957,1)&gt;=1,$B957&gt;='112'!$N$8,$B957&lt;='112'!$O$8,OR($L957='112'!$I$6,$M957='112'!$I$6))),"x",""))</f>
        <v/>
      </c>
      <c r="S957" s="51" t="str">
        <f>IF(ISERROR(FIND('112'!$M$9,G957,1)),"",IF((AND(LEFT(G957,2)=LEFT('112'!$M$9,2),B957&lt;'112'!$N$8,$L957='112'!$I$6)),"x",""))</f>
        <v/>
      </c>
      <c r="T957" s="51" t="str">
        <f>IF(ISERROR(FIND('112'!$M$9,G957,1)),"",IF((AND(RIGHT(G957,2)=RIGHT('112'!$M$9,2),B957&lt;'112'!$N$8,$M957='112'!$I$6)),"x",""))</f>
        <v/>
      </c>
      <c r="U957" s="51" t="str">
        <f>IF(AND(L957="154",'154'!$O$5&lt;=B957,'154'!$P$5&gt;=B957),"154",IF(AND(L957="632",'632'!$L$5&lt;=B957,'632'!$M$5&gt;=B957),"632",IF(AND(L957="642",'642'!$N$5&lt;=B957,'642'!$O$5&gt;=B957),"642",IF(AND(L957="641",'641'!$N$5&lt;=B957,'641'!$O$5&gt;=B957),"641",""))))</f>
        <v/>
      </c>
      <c r="V957" s="51" t="str">
        <f>IF(OR(TH!L957=TH!$V$7,M957=TH!$V$7),"x","")</f>
        <v/>
      </c>
      <c r="W957" s="51" t="str">
        <f>IF(AND(B957&gt;='IN-NX'!$P$3,B957&lt;='IN-NX'!$Q$3,'IN-NX'!$D$7=D957,OR(LEFT(L957,2)="15",AND(LEFT(M957,2)&lt;&gt;"15",LEFT(M957,2)&lt;&gt;"33"))),"x","")</f>
        <v/>
      </c>
      <c r="X957" s="51" t="str">
        <f>IF(AND(OR(LEFT(TH!L957,2)="15",LEFT(TH!M957,2)="15"),'152-CT'!$J$8=TH!F957),"x","")</f>
        <v/>
      </c>
      <c r="Y957" s="51" t="str">
        <f>IF(AND(OR(LEFT(TH!L957,2)="15",LEFT(TH!M957,2)="15"),TK!$E$7=TH!F957),"x","")</f>
        <v/>
      </c>
      <c r="Z957" s="51" t="str">
        <f>IF(AND(B957&lt;=NKC!$N$8,B957&gt;=NKC!$M$8),"x","")</f>
        <v/>
      </c>
      <c r="AA957" s="826"/>
      <c r="AB957" s="565"/>
      <c r="AD957" s="828"/>
      <c r="AE957" s="828"/>
    </row>
    <row r="958" spans="1:31" ht="15.75" customHeight="1">
      <c r="A958" s="804" t="str">
        <f>IF(B958&lt;&gt;"",IF(AND(B958&gt;=_TM1,B958&lt;=_TM2,OR(TH!L958="1111",TH!M958="1111")),TH!D958,""),"")</f>
        <v/>
      </c>
      <c r="B958" s="820">
        <f t="shared" si="60"/>
        <v>10</v>
      </c>
      <c r="C958" s="821">
        <f t="shared" si="61"/>
        <v>42305</v>
      </c>
      <c r="D958" s="821" t="s">
        <v>1302</v>
      </c>
      <c r="E958" s="821">
        <v>42305</v>
      </c>
      <c r="F958" s="822" t="s">
        <v>772</v>
      </c>
      <c r="G958" s="823" t="s">
        <v>632</v>
      </c>
      <c r="H958" s="191" t="s">
        <v>449</v>
      </c>
      <c r="I958" s="825">
        <v>305</v>
      </c>
      <c r="J958" s="825">
        <v>11229</v>
      </c>
      <c r="K958" s="818">
        <f t="shared" si="65"/>
        <v>3424845</v>
      </c>
      <c r="L958" s="819" t="s">
        <v>250</v>
      </c>
      <c r="M958" s="574" t="s">
        <v>164</v>
      </c>
      <c r="N958" s="51" t="str">
        <f>IF(AND('331-CT'!$E$7=TH!H958,OR(L958="331",M958="331")),"331",IF(AND(OR(L958="131",M958="131"),H958='131-CT'!$E$7),"131",""))</f>
        <v/>
      </c>
      <c r="O958" s="51" t="str">
        <f>IF(AND($B958&gt;='111'!$N$11,$B958&lt;='111'!$O$11,OR($L958=$O$7,$M958=$O$7)),"x","")</f>
        <v/>
      </c>
      <c r="P958" s="51" t="str">
        <f>IF(AND($L958=$O$7,$B958&lt;'111'!$N$11),"x","")</f>
        <v/>
      </c>
      <c r="Q958" s="51" t="str">
        <f>IF(AND($M958=$O$7,$B958&lt;'111'!$N$11),"x","")</f>
        <v/>
      </c>
      <c r="R958" s="51" t="str">
        <f>IF(ISERROR(FIND('112'!$M$9,G958,1)),"",IF((AND(FIND('112'!$M$9,G958,1)&gt;=1,$B958&gt;='112'!$N$8,$B958&lt;='112'!$O$8,OR($L958='112'!$I$6,$M958='112'!$I$6))),"x",""))</f>
        <v/>
      </c>
      <c r="S958" s="51" t="str">
        <f>IF(ISERROR(FIND('112'!$M$9,G958,1)),"",IF((AND(LEFT(G958,2)=LEFT('112'!$M$9,2),B958&lt;'112'!$N$8,$L958='112'!$I$6)),"x",""))</f>
        <v/>
      </c>
      <c r="T958" s="51" t="str">
        <f>IF(ISERROR(FIND('112'!$M$9,G958,1)),"",IF((AND(RIGHT(G958,2)=RIGHT('112'!$M$9,2),B958&lt;'112'!$N$8,$M958='112'!$I$6)),"x",""))</f>
        <v/>
      </c>
      <c r="U958" s="51" t="str">
        <f>IF(AND(L958="154",'154'!$O$5&lt;=B958,'154'!$P$5&gt;=B958),"154",IF(AND(L958="632",'632'!$L$5&lt;=B958,'632'!$M$5&gt;=B958),"632",IF(AND(L958="642",'642'!$N$5&lt;=B958,'642'!$O$5&gt;=B958),"642",IF(AND(L958="641",'641'!$N$5&lt;=B958,'641'!$O$5&gt;=B958),"641",""))))</f>
        <v/>
      </c>
      <c r="V958" s="51" t="str">
        <f>IF(OR(TH!L958=TH!$V$7,M958=TH!$V$7),"x","")</f>
        <v/>
      </c>
      <c r="W958" s="51" t="str">
        <f>IF(AND(B958&gt;='IN-NX'!$P$3,B958&lt;='IN-NX'!$Q$3,'IN-NX'!$D$7=D958,OR(LEFT(L958,2)="15",AND(LEFT(M958,2)&lt;&gt;"15",LEFT(M958,2)&lt;&gt;"33"))),"x","")</f>
        <v/>
      </c>
      <c r="X958" s="51" t="str">
        <f>IF(AND(OR(LEFT(TH!L958,2)="15",LEFT(TH!M958,2)="15"),'152-CT'!$J$8=TH!F958),"x","")</f>
        <v/>
      </c>
      <c r="Y958" s="51" t="str">
        <f>IF(AND(OR(LEFT(TH!L958,2)="15",LEFT(TH!M958,2)="15"),TK!$E$7=TH!F958),"x","")</f>
        <v/>
      </c>
      <c r="Z958" s="51" t="str">
        <f>IF(AND(B958&lt;=NKC!$N$8,B958&gt;=NKC!$M$8),"x","")</f>
        <v/>
      </c>
      <c r="AA958" s="826"/>
      <c r="AB958" s="565"/>
      <c r="AD958" s="828"/>
      <c r="AE958" s="828"/>
    </row>
    <row r="959" spans="1:31" ht="15.75" customHeight="1">
      <c r="A959" s="804" t="str">
        <f>IF(B959&lt;&gt;"",IF(AND(B959&gt;=_TM1,B959&lt;=_TM2,OR(TH!L959="1111",TH!M959="1111")),TH!D959,""),"")</f>
        <v/>
      </c>
      <c r="B959" s="820">
        <f t="shared" si="60"/>
        <v>10</v>
      </c>
      <c r="C959" s="821">
        <f t="shared" si="61"/>
        <v>42305</v>
      </c>
      <c r="D959" s="821" t="s">
        <v>1302</v>
      </c>
      <c r="E959" s="821">
        <v>42305</v>
      </c>
      <c r="F959" s="822" t="s">
        <v>962</v>
      </c>
      <c r="G959" s="823" t="s">
        <v>632</v>
      </c>
      <c r="H959" s="191" t="s">
        <v>449</v>
      </c>
      <c r="I959" s="825"/>
      <c r="J959" s="825"/>
      <c r="K959" s="818">
        <v>976488</v>
      </c>
      <c r="L959" s="819" t="s">
        <v>250</v>
      </c>
      <c r="M959" s="819" t="s">
        <v>352</v>
      </c>
      <c r="N959" s="51" t="str">
        <f>IF(AND('331-CT'!$E$7=TH!H959,OR(L959="331",M959="331")),"331",IF(AND(OR(L959="131",M959="131"),H959='131-CT'!$E$7),"131",""))</f>
        <v/>
      </c>
      <c r="O959" s="51" t="str">
        <f>IF(AND($B959&gt;='111'!$N$11,$B959&lt;='111'!$O$11,OR($L959=$O$7,$M959=$O$7)),"x","")</f>
        <v/>
      </c>
      <c r="P959" s="51" t="str">
        <f>IF(AND($L959=$O$7,$B959&lt;'111'!$N$11),"x","")</f>
        <v/>
      </c>
      <c r="Q959" s="51" t="str">
        <f>IF(AND($M959=$O$7,$B959&lt;'111'!$N$11),"x","")</f>
        <v/>
      </c>
      <c r="R959" s="51" t="str">
        <f>IF(ISERROR(FIND('112'!$M$9,G959,1)),"",IF((AND(FIND('112'!$M$9,G959,1)&gt;=1,$B959&gt;='112'!$N$8,$B959&lt;='112'!$O$8,OR($L959='112'!$I$6,$M959='112'!$I$6))),"x",""))</f>
        <v/>
      </c>
      <c r="S959" s="51" t="str">
        <f>IF(ISERROR(FIND('112'!$M$9,G959,1)),"",IF((AND(LEFT(G959,2)=LEFT('112'!$M$9,2),B959&lt;'112'!$N$8,$L959='112'!$I$6)),"x",""))</f>
        <v/>
      </c>
      <c r="T959" s="51" t="str">
        <f>IF(ISERROR(FIND('112'!$M$9,G959,1)),"",IF((AND(RIGHT(G959,2)=RIGHT('112'!$M$9,2),B959&lt;'112'!$N$8,$M959='112'!$I$6)),"x",""))</f>
        <v/>
      </c>
      <c r="U959" s="51" t="str">
        <f>IF(AND(L959="154",'154'!$O$5&lt;=B959,'154'!$P$5&gt;=B959),"154",IF(AND(L959="632",'632'!$L$5&lt;=B959,'632'!$M$5&gt;=B959),"632",IF(AND(L959="642",'642'!$N$5&lt;=B959,'642'!$O$5&gt;=B959),"642",IF(AND(L959="641",'641'!$N$5&lt;=B959,'641'!$O$5&gt;=B959),"641",""))))</f>
        <v/>
      </c>
      <c r="V959" s="51" t="str">
        <f>IF(OR(TH!L959=TH!$V$7,M959=TH!$V$7),"x","")</f>
        <v/>
      </c>
      <c r="W959" s="51" t="str">
        <f>IF(AND(B959&gt;='IN-NX'!$P$3,B959&lt;='IN-NX'!$Q$3,'IN-NX'!$D$7=D959,OR(LEFT(L959,2)="15",AND(LEFT(M959,2)&lt;&gt;"15",LEFT(M959,2)&lt;&gt;"33"))),"x","")</f>
        <v/>
      </c>
      <c r="X959" s="51" t="str">
        <f>IF(AND(OR(LEFT(TH!L959,2)="15",LEFT(TH!M959,2)="15"),'152-CT'!$J$8=TH!F959),"x","")</f>
        <v/>
      </c>
      <c r="Y959" s="51" t="str">
        <f>IF(AND(OR(LEFT(TH!L959,2)="15",LEFT(TH!M959,2)="15"),TK!$E$7=TH!F959),"x","")</f>
        <v/>
      </c>
      <c r="Z959" s="51" t="str">
        <f>IF(AND(B959&lt;=NKC!$N$8,B959&gt;=NKC!$M$8),"x","")</f>
        <v/>
      </c>
      <c r="AA959" s="826"/>
      <c r="AB959" s="565"/>
      <c r="AC959" s="840"/>
      <c r="AD959" s="840"/>
      <c r="AE959" s="840"/>
    </row>
    <row r="960" spans="1:31" ht="15.75" customHeight="1">
      <c r="A960" s="804" t="str">
        <f>IF(B960&lt;&gt;"",IF(AND(B960&gt;=_TM1,B960&lt;=_TM2,OR(TH!L960="1111",TH!M960="1111")),TH!D960,""),"")</f>
        <v/>
      </c>
      <c r="B960" s="820">
        <f t="shared" si="60"/>
        <v>10</v>
      </c>
      <c r="C960" s="821">
        <f t="shared" si="61"/>
        <v>42305</v>
      </c>
      <c r="D960" s="821" t="s">
        <v>1303</v>
      </c>
      <c r="E960" s="821">
        <v>42305</v>
      </c>
      <c r="F960" s="822" t="s">
        <v>769</v>
      </c>
      <c r="G960" s="823" t="s">
        <v>1080</v>
      </c>
      <c r="H960" s="824" t="s">
        <v>1081</v>
      </c>
      <c r="I960" s="825">
        <v>1000</v>
      </c>
      <c r="J960" s="825">
        <v>1100</v>
      </c>
      <c r="K960" s="818">
        <f t="shared" ref="K960:K969" si="66">ROUND(I960*J960,0)</f>
        <v>1100000</v>
      </c>
      <c r="L960" s="819" t="s">
        <v>250</v>
      </c>
      <c r="M960" s="574" t="s">
        <v>164</v>
      </c>
      <c r="N960" s="51" t="str">
        <f>IF(AND('331-CT'!$E$7=TH!H960,OR(L960="331",M960="331")),"331",IF(AND(OR(L960="131",M960="131"),H960='131-CT'!$E$7),"131",""))</f>
        <v/>
      </c>
      <c r="O960" s="51" t="str">
        <f>IF(AND($B960&gt;='111'!$N$11,$B960&lt;='111'!$O$11,OR($L960=$O$7,$M960=$O$7)),"x","")</f>
        <v/>
      </c>
      <c r="P960" s="51" t="str">
        <f>IF(AND($L960=$O$7,$B960&lt;'111'!$N$11),"x","")</f>
        <v/>
      </c>
      <c r="Q960" s="51" t="str">
        <f>IF(AND($M960=$O$7,$B960&lt;'111'!$N$11),"x","")</f>
        <v/>
      </c>
      <c r="R960" s="51" t="str">
        <f>IF(ISERROR(FIND('112'!$M$9,G960,1)),"",IF((AND(FIND('112'!$M$9,G960,1)&gt;=1,$B960&gt;='112'!$N$8,$B960&lt;='112'!$O$8,OR($L960='112'!$I$6,$M960='112'!$I$6))),"x",""))</f>
        <v/>
      </c>
      <c r="S960" s="51" t="str">
        <f>IF(ISERROR(FIND('112'!$M$9,G960,1)),"",IF((AND(LEFT(G960,2)=LEFT('112'!$M$9,2),B960&lt;'112'!$N$8,$L960='112'!$I$6)),"x",""))</f>
        <v/>
      </c>
      <c r="T960" s="51" t="str">
        <f>IF(ISERROR(FIND('112'!$M$9,G960,1)),"",IF((AND(RIGHT(G960,2)=RIGHT('112'!$M$9,2),B960&lt;'112'!$N$8,$M960='112'!$I$6)),"x",""))</f>
        <v/>
      </c>
      <c r="U960" s="51" t="str">
        <f>IF(AND(L960="154",'154'!$O$5&lt;=B960,'154'!$P$5&gt;=B960),"154",IF(AND(L960="632",'632'!$L$5&lt;=B960,'632'!$M$5&gt;=B960),"632",IF(AND(L960="642",'642'!$N$5&lt;=B960,'642'!$O$5&gt;=B960),"642",IF(AND(L960="641",'641'!$N$5&lt;=B960,'641'!$O$5&gt;=B960),"641",""))))</f>
        <v/>
      </c>
      <c r="V960" s="51" t="str">
        <f>IF(OR(TH!L960=TH!$V$7,M960=TH!$V$7),"x","")</f>
        <v/>
      </c>
      <c r="W960" s="51" t="str">
        <f>IF(AND(B960&gt;='IN-NX'!$P$3,B960&lt;='IN-NX'!$Q$3,'IN-NX'!$D$7=D960,OR(LEFT(L960,2)="15",AND(LEFT(M960,2)&lt;&gt;"15",LEFT(M960,2)&lt;&gt;"33"))),"x","")</f>
        <v/>
      </c>
      <c r="X960" s="51" t="str">
        <f>IF(AND(OR(LEFT(TH!L960,2)="15",LEFT(TH!M960,2)="15"),'152-CT'!$J$8=TH!F960),"x","")</f>
        <v/>
      </c>
      <c r="Y960" s="51" t="str">
        <f>IF(AND(OR(LEFT(TH!L960,2)="15",LEFT(TH!M960,2)="15"),TK!$E$7=TH!F960),"x","")</f>
        <v/>
      </c>
      <c r="Z960" s="51" t="str">
        <f>IF(AND(B960&lt;=NKC!$N$8,B960&gt;=NKC!$M$8),"x","")</f>
        <v/>
      </c>
      <c r="AA960" s="826"/>
      <c r="AB960" s="565"/>
      <c r="AD960" s="828"/>
      <c r="AE960" s="828"/>
    </row>
    <row r="961" spans="1:31" ht="15.75" customHeight="1">
      <c r="A961" s="804" t="str">
        <f>IF(B961&lt;&gt;"",IF(AND(B961&gt;=_TM1,B961&lt;=_TM2,OR(TH!L961="1111",TH!M961="1111")),TH!D961,""),"")</f>
        <v/>
      </c>
      <c r="B961" s="820">
        <f t="shared" si="60"/>
        <v>10</v>
      </c>
      <c r="C961" s="821">
        <f t="shared" si="61"/>
        <v>42305</v>
      </c>
      <c r="D961" s="821" t="s">
        <v>1303</v>
      </c>
      <c r="E961" s="821">
        <v>42305</v>
      </c>
      <c r="F961" s="822" t="s">
        <v>772</v>
      </c>
      <c r="G961" s="823" t="s">
        <v>1080</v>
      </c>
      <c r="H961" s="824" t="s">
        <v>1081</v>
      </c>
      <c r="I961" s="825">
        <v>45</v>
      </c>
      <c r="J961" s="825">
        <v>11500</v>
      </c>
      <c r="K961" s="818">
        <f t="shared" si="66"/>
        <v>517500</v>
      </c>
      <c r="L961" s="819" t="s">
        <v>250</v>
      </c>
      <c r="M961" s="574" t="s">
        <v>164</v>
      </c>
      <c r="N961" s="51" t="str">
        <f>IF(AND('331-CT'!$E$7=TH!H961,OR(L961="331",M961="331")),"331",IF(AND(OR(L961="131",M961="131"),H961='131-CT'!$E$7),"131",""))</f>
        <v/>
      </c>
      <c r="O961" s="51" t="str">
        <f>IF(AND($B961&gt;='111'!$N$11,$B961&lt;='111'!$O$11,OR($L961=$O$7,$M961=$O$7)),"x","")</f>
        <v/>
      </c>
      <c r="P961" s="51" t="str">
        <f>IF(AND($L961=$O$7,$B961&lt;'111'!$N$11),"x","")</f>
        <v/>
      </c>
      <c r="Q961" s="51" t="str">
        <f>IF(AND($M961=$O$7,$B961&lt;'111'!$N$11),"x","")</f>
        <v/>
      </c>
      <c r="R961" s="51" t="str">
        <f>IF(ISERROR(FIND('112'!$M$9,G961,1)),"",IF((AND(FIND('112'!$M$9,G961,1)&gt;=1,$B961&gt;='112'!$N$8,$B961&lt;='112'!$O$8,OR($L961='112'!$I$6,$M961='112'!$I$6))),"x",""))</f>
        <v/>
      </c>
      <c r="S961" s="51" t="str">
        <f>IF(ISERROR(FIND('112'!$M$9,G961,1)),"",IF((AND(LEFT(G961,2)=LEFT('112'!$M$9,2),B961&lt;'112'!$N$8,$L961='112'!$I$6)),"x",""))</f>
        <v/>
      </c>
      <c r="T961" s="51" t="str">
        <f>IF(ISERROR(FIND('112'!$M$9,G961,1)),"",IF((AND(RIGHT(G961,2)=RIGHT('112'!$M$9,2),B961&lt;'112'!$N$8,$M961='112'!$I$6)),"x",""))</f>
        <v/>
      </c>
      <c r="U961" s="51" t="str">
        <f>IF(AND(L961="154",'154'!$O$5&lt;=B961,'154'!$P$5&gt;=B961),"154",IF(AND(L961="632",'632'!$L$5&lt;=B961,'632'!$M$5&gt;=B961),"632",IF(AND(L961="642",'642'!$N$5&lt;=B961,'642'!$O$5&gt;=B961),"642",IF(AND(L961="641",'641'!$N$5&lt;=B961,'641'!$O$5&gt;=B961),"641",""))))</f>
        <v/>
      </c>
      <c r="V961" s="51" t="str">
        <f>IF(OR(TH!L961=TH!$V$7,M961=TH!$V$7),"x","")</f>
        <v/>
      </c>
      <c r="W961" s="51" t="str">
        <f>IF(AND(B961&gt;='IN-NX'!$P$3,B961&lt;='IN-NX'!$Q$3,'IN-NX'!$D$7=D961,OR(LEFT(L961,2)="15",AND(LEFT(M961,2)&lt;&gt;"15",LEFT(M961,2)&lt;&gt;"33"))),"x","")</f>
        <v/>
      </c>
      <c r="X961" s="51" t="str">
        <f>IF(AND(OR(LEFT(TH!L961,2)="15",LEFT(TH!M961,2)="15"),'152-CT'!$J$8=TH!F961),"x","")</f>
        <v/>
      </c>
      <c r="Y961" s="51" t="str">
        <f>IF(AND(OR(LEFT(TH!L961,2)="15",LEFT(TH!M961,2)="15"),TK!$E$7=TH!F961),"x","")</f>
        <v/>
      </c>
      <c r="Z961" s="51" t="str">
        <f>IF(AND(B961&lt;=NKC!$N$8,B961&gt;=NKC!$M$8),"x","")</f>
        <v/>
      </c>
      <c r="AA961" s="826"/>
      <c r="AB961" s="565"/>
      <c r="AD961" s="828"/>
      <c r="AE961" s="828"/>
    </row>
    <row r="962" spans="1:31" ht="15.75" customHeight="1">
      <c r="A962" s="804" t="str">
        <f>IF(B962&lt;&gt;"",IF(AND(B962&gt;=_TM1,B962&lt;=_TM2,OR(TH!L962="1111",TH!M962="1111")),TH!D962,""),"")</f>
        <v/>
      </c>
      <c r="B962" s="820">
        <f t="shared" si="60"/>
        <v>10</v>
      </c>
      <c r="C962" s="821">
        <f t="shared" si="61"/>
        <v>42305</v>
      </c>
      <c r="D962" s="821" t="s">
        <v>1303</v>
      </c>
      <c r="E962" s="821">
        <v>42305</v>
      </c>
      <c r="F962" s="822" t="s">
        <v>1141</v>
      </c>
      <c r="G962" s="823" t="s">
        <v>1080</v>
      </c>
      <c r="H962" s="824" t="s">
        <v>1081</v>
      </c>
      <c r="I962" s="825">
        <v>13</v>
      </c>
      <c r="J962" s="825">
        <v>35000</v>
      </c>
      <c r="K962" s="818">
        <f t="shared" si="66"/>
        <v>455000</v>
      </c>
      <c r="L962" s="819" t="s">
        <v>250</v>
      </c>
      <c r="M962" s="574" t="s">
        <v>164</v>
      </c>
      <c r="N962" s="51" t="str">
        <f>IF(AND('331-CT'!$E$7=TH!H962,OR(L962="331",M962="331")),"331",IF(AND(OR(L962="131",M962="131"),H962='131-CT'!$E$7),"131",""))</f>
        <v/>
      </c>
      <c r="O962" s="51" t="str">
        <f>IF(AND($B962&gt;='111'!$N$11,$B962&lt;='111'!$O$11,OR($L962=$O$7,$M962=$O$7)),"x","")</f>
        <v/>
      </c>
      <c r="P962" s="51" t="str">
        <f>IF(AND($L962=$O$7,$B962&lt;'111'!$N$11),"x","")</f>
        <v/>
      </c>
      <c r="Q962" s="51" t="str">
        <f>IF(AND($M962=$O$7,$B962&lt;'111'!$N$11),"x","")</f>
        <v/>
      </c>
      <c r="R962" s="51" t="str">
        <f>IF(ISERROR(FIND('112'!$M$9,G962,1)),"",IF((AND(FIND('112'!$M$9,G962,1)&gt;=1,$B962&gt;='112'!$N$8,$B962&lt;='112'!$O$8,OR($L962='112'!$I$6,$M962='112'!$I$6))),"x",""))</f>
        <v/>
      </c>
      <c r="S962" s="51" t="str">
        <f>IF(ISERROR(FIND('112'!$M$9,G962,1)),"",IF((AND(LEFT(G962,2)=LEFT('112'!$M$9,2),B962&lt;'112'!$N$8,$L962='112'!$I$6)),"x",""))</f>
        <v/>
      </c>
      <c r="T962" s="51" t="str">
        <f>IF(ISERROR(FIND('112'!$M$9,G962,1)),"",IF((AND(RIGHT(G962,2)=RIGHT('112'!$M$9,2),B962&lt;'112'!$N$8,$M962='112'!$I$6)),"x",""))</f>
        <v/>
      </c>
      <c r="U962" s="51" t="str">
        <f>IF(AND(L962="154",'154'!$O$5&lt;=B962,'154'!$P$5&gt;=B962),"154",IF(AND(L962="632",'632'!$L$5&lt;=B962,'632'!$M$5&gt;=B962),"632",IF(AND(L962="642",'642'!$N$5&lt;=B962,'642'!$O$5&gt;=B962),"642",IF(AND(L962="641",'641'!$N$5&lt;=B962,'641'!$O$5&gt;=B962),"641",""))))</f>
        <v/>
      </c>
      <c r="V962" s="51" t="str">
        <f>IF(OR(TH!L962=TH!$V$7,M962=TH!$V$7),"x","")</f>
        <v/>
      </c>
      <c r="W962" s="51" t="str">
        <f>IF(AND(B962&gt;='IN-NX'!$P$3,B962&lt;='IN-NX'!$Q$3,'IN-NX'!$D$7=D962,OR(LEFT(L962,2)="15",AND(LEFT(M962,2)&lt;&gt;"15",LEFT(M962,2)&lt;&gt;"33"))),"x","")</f>
        <v/>
      </c>
      <c r="X962" s="51" t="str">
        <f>IF(AND(OR(LEFT(TH!L962,2)="15",LEFT(TH!M962,2)="15"),'152-CT'!$J$8=TH!F962),"x","")</f>
        <v/>
      </c>
      <c r="Y962" s="51" t="str">
        <f>IF(AND(OR(LEFT(TH!L962,2)="15",LEFT(TH!M962,2)="15"),TK!$E$7=TH!F962),"x","")</f>
        <v/>
      </c>
      <c r="Z962" s="51" t="str">
        <f>IF(AND(B962&lt;=NKC!$N$8,B962&gt;=NKC!$M$8),"x","")</f>
        <v/>
      </c>
      <c r="AA962" s="826"/>
      <c r="AB962" s="565"/>
      <c r="AD962" s="828"/>
      <c r="AE962" s="828"/>
    </row>
    <row r="963" spans="1:31" ht="15.75" customHeight="1">
      <c r="A963" s="804" t="str">
        <f>IF(B963&lt;&gt;"",IF(AND(B963&gt;=_TM1,B963&lt;=_TM2,OR(TH!L963="1111",TH!M963="1111")),TH!D963,""),"")</f>
        <v/>
      </c>
      <c r="B963" s="820">
        <f t="shared" si="60"/>
        <v>10</v>
      </c>
      <c r="C963" s="821">
        <f t="shared" si="61"/>
        <v>42305</v>
      </c>
      <c r="D963" s="821" t="s">
        <v>1303</v>
      </c>
      <c r="E963" s="821">
        <v>42305</v>
      </c>
      <c r="F963" s="822" t="s">
        <v>776</v>
      </c>
      <c r="G963" s="823" t="s">
        <v>1080</v>
      </c>
      <c r="H963" s="824" t="s">
        <v>1081</v>
      </c>
      <c r="I963" s="825">
        <v>172</v>
      </c>
      <c r="J963" s="825">
        <v>13100.5</v>
      </c>
      <c r="K963" s="818">
        <f t="shared" si="66"/>
        <v>2253286</v>
      </c>
      <c r="L963" s="819" t="s">
        <v>250</v>
      </c>
      <c r="M963" s="574" t="s">
        <v>164</v>
      </c>
      <c r="N963" s="51" t="str">
        <f>IF(AND('331-CT'!$E$7=TH!H963,OR(L963="331",M963="331")),"331",IF(AND(OR(L963="131",M963="131"),H963='131-CT'!$E$7),"131",""))</f>
        <v/>
      </c>
      <c r="O963" s="51" t="str">
        <f>IF(AND($B963&gt;='111'!$N$11,$B963&lt;='111'!$O$11,OR($L963=$O$7,$M963=$O$7)),"x","")</f>
        <v/>
      </c>
      <c r="P963" s="51" t="str">
        <f>IF(AND($L963=$O$7,$B963&lt;'111'!$N$11),"x","")</f>
        <v/>
      </c>
      <c r="Q963" s="51" t="str">
        <f>IF(AND($M963=$O$7,$B963&lt;'111'!$N$11),"x","")</f>
        <v/>
      </c>
      <c r="R963" s="51" t="str">
        <f>IF(ISERROR(FIND('112'!$M$9,G963,1)),"",IF((AND(FIND('112'!$M$9,G963,1)&gt;=1,$B963&gt;='112'!$N$8,$B963&lt;='112'!$O$8,OR($L963='112'!$I$6,$M963='112'!$I$6))),"x",""))</f>
        <v/>
      </c>
      <c r="S963" s="51" t="str">
        <f>IF(ISERROR(FIND('112'!$M$9,G963,1)),"",IF((AND(LEFT(G963,2)=LEFT('112'!$M$9,2),B963&lt;'112'!$N$8,$L963='112'!$I$6)),"x",""))</f>
        <v/>
      </c>
      <c r="T963" s="51" t="str">
        <f>IF(ISERROR(FIND('112'!$M$9,G963,1)),"",IF((AND(RIGHT(G963,2)=RIGHT('112'!$M$9,2),B963&lt;'112'!$N$8,$M963='112'!$I$6)),"x",""))</f>
        <v/>
      </c>
      <c r="U963" s="51" t="str">
        <f>IF(AND(L963="154",'154'!$O$5&lt;=B963,'154'!$P$5&gt;=B963),"154",IF(AND(L963="632",'632'!$L$5&lt;=B963,'632'!$M$5&gt;=B963),"632",IF(AND(L963="642",'642'!$N$5&lt;=B963,'642'!$O$5&gt;=B963),"642",IF(AND(L963="641",'641'!$N$5&lt;=B963,'641'!$O$5&gt;=B963),"641",""))))</f>
        <v/>
      </c>
      <c r="V963" s="51" t="str">
        <f>IF(OR(TH!L963=TH!$V$7,M963=TH!$V$7),"x","")</f>
        <v/>
      </c>
      <c r="W963" s="51" t="str">
        <f>IF(AND(B963&gt;='IN-NX'!$P$3,B963&lt;='IN-NX'!$Q$3,'IN-NX'!$D$7=D963,OR(LEFT(L963,2)="15",AND(LEFT(M963,2)&lt;&gt;"15",LEFT(M963,2)&lt;&gt;"33"))),"x","")</f>
        <v/>
      </c>
      <c r="X963" s="51" t="str">
        <f>IF(AND(OR(LEFT(TH!L963,2)="15",LEFT(TH!M963,2)="15"),'152-CT'!$J$8=TH!F963),"x","")</f>
        <v/>
      </c>
      <c r="Y963" s="51" t="str">
        <f>IF(AND(OR(LEFT(TH!L963,2)="15",LEFT(TH!M963,2)="15"),TK!$E$7=TH!F963),"x","")</f>
        <v/>
      </c>
      <c r="Z963" s="51" t="str">
        <f>IF(AND(B963&lt;=NKC!$N$8,B963&gt;=NKC!$M$8),"x","")</f>
        <v/>
      </c>
      <c r="AA963" s="826"/>
      <c r="AB963" s="565"/>
      <c r="AD963" s="828"/>
      <c r="AE963" s="828"/>
    </row>
    <row r="964" spans="1:31" ht="15.75" customHeight="1">
      <c r="A964" s="804" t="str">
        <f>IF(B964&lt;&gt;"",IF(AND(B964&gt;=_TM1,B964&lt;=_TM2,OR(TH!L964="1111",TH!M964="1111")),TH!D964,""),"")</f>
        <v/>
      </c>
      <c r="B964" s="820">
        <f t="shared" si="60"/>
        <v>10</v>
      </c>
      <c r="C964" s="821">
        <f t="shared" si="61"/>
        <v>42305</v>
      </c>
      <c r="D964" s="821" t="s">
        <v>1303</v>
      </c>
      <c r="E964" s="821">
        <v>42305</v>
      </c>
      <c r="F964" s="822" t="s">
        <v>770</v>
      </c>
      <c r="G964" s="823" t="s">
        <v>1080</v>
      </c>
      <c r="H964" s="824" t="s">
        <v>1081</v>
      </c>
      <c r="I964" s="825">
        <v>120</v>
      </c>
      <c r="J964" s="825">
        <v>13050</v>
      </c>
      <c r="K964" s="818">
        <f t="shared" si="66"/>
        <v>1566000</v>
      </c>
      <c r="L964" s="819" t="s">
        <v>250</v>
      </c>
      <c r="M964" s="574" t="s">
        <v>164</v>
      </c>
      <c r="N964" s="51" t="str">
        <f>IF(AND('331-CT'!$E$7=TH!H964,OR(L964="331",M964="331")),"331",IF(AND(OR(L964="131",M964="131"),H964='131-CT'!$E$7),"131",""))</f>
        <v/>
      </c>
      <c r="O964" s="51" t="str">
        <f>IF(AND($B964&gt;='111'!$N$11,$B964&lt;='111'!$O$11,OR($L964=$O$7,$M964=$O$7)),"x","")</f>
        <v/>
      </c>
      <c r="P964" s="51" t="str">
        <f>IF(AND($L964=$O$7,$B964&lt;'111'!$N$11),"x","")</f>
        <v/>
      </c>
      <c r="Q964" s="51" t="str">
        <f>IF(AND($M964=$O$7,$B964&lt;'111'!$N$11),"x","")</f>
        <v/>
      </c>
      <c r="R964" s="51" t="str">
        <f>IF(ISERROR(FIND('112'!$M$9,G964,1)),"",IF((AND(FIND('112'!$M$9,G964,1)&gt;=1,$B964&gt;='112'!$N$8,$B964&lt;='112'!$O$8,OR($L964='112'!$I$6,$M964='112'!$I$6))),"x",""))</f>
        <v/>
      </c>
      <c r="S964" s="51" t="str">
        <f>IF(ISERROR(FIND('112'!$M$9,G964,1)),"",IF((AND(LEFT(G964,2)=LEFT('112'!$M$9,2),B964&lt;'112'!$N$8,$L964='112'!$I$6)),"x",""))</f>
        <v/>
      </c>
      <c r="T964" s="51" t="str">
        <f>IF(ISERROR(FIND('112'!$M$9,G964,1)),"",IF((AND(RIGHT(G964,2)=RIGHT('112'!$M$9,2),B964&lt;'112'!$N$8,$M964='112'!$I$6)),"x",""))</f>
        <v/>
      </c>
      <c r="U964" s="51" t="str">
        <f>IF(AND(L964="154",'154'!$O$5&lt;=B964,'154'!$P$5&gt;=B964),"154",IF(AND(L964="632",'632'!$L$5&lt;=B964,'632'!$M$5&gt;=B964),"632",IF(AND(L964="642",'642'!$N$5&lt;=B964,'642'!$O$5&gt;=B964),"642",IF(AND(L964="641",'641'!$N$5&lt;=B964,'641'!$O$5&gt;=B964),"641",""))))</f>
        <v/>
      </c>
      <c r="V964" s="51" t="str">
        <f>IF(OR(TH!L964=TH!$V$7,M964=TH!$V$7),"x","")</f>
        <v/>
      </c>
      <c r="W964" s="51" t="str">
        <f>IF(AND(B964&gt;='IN-NX'!$P$3,B964&lt;='IN-NX'!$Q$3,'IN-NX'!$D$7=D964,OR(LEFT(L964,2)="15",AND(LEFT(M964,2)&lt;&gt;"15",LEFT(M964,2)&lt;&gt;"33"))),"x","")</f>
        <v/>
      </c>
      <c r="X964" s="51" t="str">
        <f>IF(AND(OR(LEFT(TH!L964,2)="15",LEFT(TH!M964,2)="15"),'152-CT'!$J$8=TH!F964),"x","")</f>
        <v/>
      </c>
      <c r="Y964" s="51" t="str">
        <f>IF(AND(OR(LEFT(TH!L964,2)="15",LEFT(TH!M964,2)="15"),TK!$E$7=TH!F964),"x","")</f>
        <v/>
      </c>
      <c r="Z964" s="51" t="str">
        <f>IF(AND(B964&lt;=NKC!$N$8,B964&gt;=NKC!$M$8),"x","")</f>
        <v/>
      </c>
      <c r="AA964" s="826"/>
      <c r="AB964" s="565"/>
      <c r="AD964" s="828"/>
      <c r="AE964" s="828"/>
    </row>
    <row r="965" spans="1:31" ht="15.75" customHeight="1">
      <c r="A965" s="804" t="str">
        <f>IF(B965&lt;&gt;"",IF(AND(B965&gt;=_TM1,B965&lt;=_TM2,OR(TH!L965="1111",TH!M965="1111")),TH!D965,""),"")</f>
        <v/>
      </c>
      <c r="B965" s="820">
        <f t="shared" si="60"/>
        <v>10</v>
      </c>
      <c r="C965" s="821">
        <f t="shared" si="61"/>
        <v>42305</v>
      </c>
      <c r="D965" s="821" t="s">
        <v>1303</v>
      </c>
      <c r="E965" s="821">
        <v>42305</v>
      </c>
      <c r="F965" s="822" t="s">
        <v>775</v>
      </c>
      <c r="G965" s="823" t="s">
        <v>1080</v>
      </c>
      <c r="H965" s="824" t="s">
        <v>1081</v>
      </c>
      <c r="I965" s="825">
        <v>42</v>
      </c>
      <c r="J965" s="825">
        <v>10300</v>
      </c>
      <c r="K965" s="818">
        <f t="shared" si="66"/>
        <v>432600</v>
      </c>
      <c r="L965" s="819" t="s">
        <v>250</v>
      </c>
      <c r="M965" s="574" t="s">
        <v>164</v>
      </c>
      <c r="N965" s="51" t="str">
        <f>IF(AND('331-CT'!$E$7=TH!H965,OR(L965="331",M965="331")),"331",IF(AND(OR(L965="131",M965="131"),H965='131-CT'!$E$7),"131",""))</f>
        <v/>
      </c>
      <c r="O965" s="51" t="str">
        <f>IF(AND($B965&gt;='111'!$N$11,$B965&lt;='111'!$O$11,OR($L965=$O$7,$M965=$O$7)),"x","")</f>
        <v/>
      </c>
      <c r="P965" s="51" t="str">
        <f>IF(AND($L965=$O$7,$B965&lt;'111'!$N$11),"x","")</f>
        <v/>
      </c>
      <c r="Q965" s="51" t="str">
        <f>IF(AND($M965=$O$7,$B965&lt;'111'!$N$11),"x","")</f>
        <v/>
      </c>
      <c r="R965" s="51" t="str">
        <f>IF(ISERROR(FIND('112'!$M$9,G965,1)),"",IF((AND(FIND('112'!$M$9,G965,1)&gt;=1,$B965&gt;='112'!$N$8,$B965&lt;='112'!$O$8,OR($L965='112'!$I$6,$M965='112'!$I$6))),"x",""))</f>
        <v/>
      </c>
      <c r="S965" s="51" t="str">
        <f>IF(ISERROR(FIND('112'!$M$9,G965,1)),"",IF((AND(LEFT(G965,2)=LEFT('112'!$M$9,2),B965&lt;'112'!$N$8,$L965='112'!$I$6)),"x",""))</f>
        <v/>
      </c>
      <c r="T965" s="51" t="str">
        <f>IF(ISERROR(FIND('112'!$M$9,G965,1)),"",IF((AND(RIGHT(G965,2)=RIGHT('112'!$M$9,2),B965&lt;'112'!$N$8,$M965='112'!$I$6)),"x",""))</f>
        <v/>
      </c>
      <c r="U965" s="51" t="str">
        <f>IF(AND(L965="154",'154'!$O$5&lt;=B965,'154'!$P$5&gt;=B965),"154",IF(AND(L965="632",'632'!$L$5&lt;=B965,'632'!$M$5&gt;=B965),"632",IF(AND(L965="642",'642'!$N$5&lt;=B965,'642'!$O$5&gt;=B965),"642",IF(AND(L965="641",'641'!$N$5&lt;=B965,'641'!$O$5&gt;=B965),"641",""))))</f>
        <v/>
      </c>
      <c r="V965" s="51" t="str">
        <f>IF(OR(TH!L965=TH!$V$7,M965=TH!$V$7),"x","")</f>
        <v/>
      </c>
      <c r="W965" s="51" t="str">
        <f>IF(AND(B965&gt;='IN-NX'!$P$3,B965&lt;='IN-NX'!$Q$3,'IN-NX'!$D$7=D965,OR(LEFT(L965,2)="15",AND(LEFT(M965,2)&lt;&gt;"15",LEFT(M965,2)&lt;&gt;"33"))),"x","")</f>
        <v/>
      </c>
      <c r="X965" s="51" t="str">
        <f>IF(AND(OR(LEFT(TH!L965,2)="15",LEFT(TH!M965,2)="15"),'152-CT'!$J$8=TH!F965),"x","")</f>
        <v/>
      </c>
      <c r="Y965" s="51" t="str">
        <f>IF(AND(OR(LEFT(TH!L965,2)="15",LEFT(TH!M965,2)="15"),TK!$E$7=TH!F965),"x","")</f>
        <v/>
      </c>
      <c r="Z965" s="51" t="str">
        <f>IF(AND(B965&lt;=NKC!$N$8,B965&gt;=NKC!$M$8),"x","")</f>
        <v/>
      </c>
      <c r="AA965" s="826"/>
      <c r="AB965" s="565"/>
      <c r="AD965" s="828"/>
      <c r="AE965" s="828"/>
    </row>
    <row r="966" spans="1:31" ht="15.75" customHeight="1">
      <c r="A966" s="804" t="str">
        <f>IF(B966&lt;&gt;"",IF(AND(B966&gt;=_TM1,B966&lt;=_TM2,OR(TH!L966="1111",TH!M966="1111")),TH!D966,""),"")</f>
        <v/>
      </c>
      <c r="B966" s="820">
        <f t="shared" si="60"/>
        <v>10</v>
      </c>
      <c r="C966" s="821">
        <f t="shared" si="61"/>
        <v>42305</v>
      </c>
      <c r="D966" s="821" t="s">
        <v>1303</v>
      </c>
      <c r="E966" s="821">
        <v>42305</v>
      </c>
      <c r="F966" s="822" t="s">
        <v>774</v>
      </c>
      <c r="G966" s="823" t="s">
        <v>1080</v>
      </c>
      <c r="H966" s="824" t="s">
        <v>1081</v>
      </c>
      <c r="I966" s="825">
        <v>342</v>
      </c>
      <c r="J966" s="825">
        <v>12500</v>
      </c>
      <c r="K966" s="818">
        <f t="shared" si="66"/>
        <v>4275000</v>
      </c>
      <c r="L966" s="819" t="s">
        <v>250</v>
      </c>
      <c r="M966" s="574" t="s">
        <v>164</v>
      </c>
      <c r="N966" s="51" t="str">
        <f>IF(AND('331-CT'!$E$7=TH!H966,OR(L966="331",M966="331")),"331",IF(AND(OR(L966="131",M966="131"),H966='131-CT'!$E$7),"131",""))</f>
        <v/>
      </c>
      <c r="O966" s="51" t="str">
        <f>IF(AND($B966&gt;='111'!$N$11,$B966&lt;='111'!$O$11,OR($L966=$O$7,$M966=$O$7)),"x","")</f>
        <v/>
      </c>
      <c r="P966" s="51" t="str">
        <f>IF(AND($L966=$O$7,$B966&lt;'111'!$N$11),"x","")</f>
        <v/>
      </c>
      <c r="Q966" s="51" t="str">
        <f>IF(AND($M966=$O$7,$B966&lt;'111'!$N$11),"x","")</f>
        <v/>
      </c>
      <c r="R966" s="51" t="str">
        <f>IF(ISERROR(FIND('112'!$M$9,G966,1)),"",IF((AND(FIND('112'!$M$9,G966,1)&gt;=1,$B966&gt;='112'!$N$8,$B966&lt;='112'!$O$8,OR($L966='112'!$I$6,$M966='112'!$I$6))),"x",""))</f>
        <v/>
      </c>
      <c r="S966" s="51" t="str">
        <f>IF(ISERROR(FIND('112'!$M$9,G966,1)),"",IF((AND(LEFT(G966,2)=LEFT('112'!$M$9,2),B966&lt;'112'!$N$8,$L966='112'!$I$6)),"x",""))</f>
        <v/>
      </c>
      <c r="T966" s="51" t="str">
        <f>IF(ISERROR(FIND('112'!$M$9,G966,1)),"",IF((AND(RIGHT(G966,2)=RIGHT('112'!$M$9,2),B966&lt;'112'!$N$8,$M966='112'!$I$6)),"x",""))</f>
        <v/>
      </c>
      <c r="U966" s="51" t="str">
        <f>IF(AND(L966="154",'154'!$O$5&lt;=B966,'154'!$P$5&gt;=B966),"154",IF(AND(L966="632",'632'!$L$5&lt;=B966,'632'!$M$5&gt;=B966),"632",IF(AND(L966="642",'642'!$N$5&lt;=B966,'642'!$O$5&gt;=B966),"642",IF(AND(L966="641",'641'!$N$5&lt;=B966,'641'!$O$5&gt;=B966),"641",""))))</f>
        <v/>
      </c>
      <c r="V966" s="51" t="str">
        <f>IF(OR(TH!L966=TH!$V$7,M966=TH!$V$7),"x","")</f>
        <v/>
      </c>
      <c r="W966" s="51" t="str">
        <f>IF(AND(B966&gt;='IN-NX'!$P$3,B966&lt;='IN-NX'!$Q$3,'IN-NX'!$D$7=D966,OR(LEFT(L966,2)="15",AND(LEFT(M966,2)&lt;&gt;"15",LEFT(M966,2)&lt;&gt;"33"))),"x","")</f>
        <v/>
      </c>
      <c r="X966" s="51" t="str">
        <f>IF(AND(OR(LEFT(TH!L966,2)="15",LEFT(TH!M966,2)="15"),'152-CT'!$J$8=TH!F966),"x","")</f>
        <v/>
      </c>
      <c r="Y966" s="51" t="str">
        <f>IF(AND(OR(LEFT(TH!L966,2)="15",LEFT(TH!M966,2)="15"),TK!$E$7=TH!F966),"x","")</f>
        <v/>
      </c>
      <c r="Z966" s="51" t="str">
        <f>IF(AND(B966&lt;=NKC!$N$8,B966&gt;=NKC!$M$8),"x","")</f>
        <v/>
      </c>
      <c r="AA966" s="826"/>
      <c r="AB966" s="565"/>
      <c r="AD966" s="828"/>
      <c r="AE966" s="828"/>
    </row>
    <row r="967" spans="1:31" ht="15.75" customHeight="1">
      <c r="A967" s="804" t="str">
        <f>IF(B967&lt;&gt;"",IF(AND(B967&gt;=_TM1,B967&lt;=_TM2,OR(TH!L967="1111",TH!M967="1111")),TH!D967,""),"")</f>
        <v/>
      </c>
      <c r="B967" s="820">
        <f t="shared" si="60"/>
        <v>10</v>
      </c>
      <c r="C967" s="821">
        <f t="shared" si="61"/>
        <v>42305</v>
      </c>
      <c r="D967" s="821" t="s">
        <v>1303</v>
      </c>
      <c r="E967" s="821">
        <v>42305</v>
      </c>
      <c r="F967" s="822" t="s">
        <v>766</v>
      </c>
      <c r="G967" s="823" t="s">
        <v>1080</v>
      </c>
      <c r="H967" s="824" t="s">
        <v>1081</v>
      </c>
      <c r="I967" s="825">
        <v>8</v>
      </c>
      <c r="J967" s="825">
        <v>7800</v>
      </c>
      <c r="K967" s="818">
        <f t="shared" si="66"/>
        <v>62400</v>
      </c>
      <c r="L967" s="819" t="s">
        <v>250</v>
      </c>
      <c r="M967" s="574" t="s">
        <v>164</v>
      </c>
      <c r="N967" s="51" t="str">
        <f>IF(AND('331-CT'!$E$7=TH!H967,OR(L967="331",M967="331")),"331",IF(AND(OR(L967="131",M967="131"),H967='131-CT'!$E$7),"131",""))</f>
        <v/>
      </c>
      <c r="O967" s="51" t="str">
        <f>IF(AND($B967&gt;='111'!$N$11,$B967&lt;='111'!$O$11,OR($L967=$O$7,$M967=$O$7)),"x","")</f>
        <v/>
      </c>
      <c r="P967" s="51" t="str">
        <f>IF(AND($L967=$O$7,$B967&lt;'111'!$N$11),"x","")</f>
        <v/>
      </c>
      <c r="Q967" s="51" t="str">
        <f>IF(AND($M967=$O$7,$B967&lt;'111'!$N$11),"x","")</f>
        <v/>
      </c>
      <c r="R967" s="51" t="str">
        <f>IF(ISERROR(FIND('112'!$M$9,G967,1)),"",IF((AND(FIND('112'!$M$9,G967,1)&gt;=1,$B967&gt;='112'!$N$8,$B967&lt;='112'!$O$8,OR($L967='112'!$I$6,$M967='112'!$I$6))),"x",""))</f>
        <v/>
      </c>
      <c r="S967" s="51" t="str">
        <f>IF(ISERROR(FIND('112'!$M$9,G967,1)),"",IF((AND(LEFT(G967,2)=LEFT('112'!$M$9,2),B967&lt;'112'!$N$8,$L967='112'!$I$6)),"x",""))</f>
        <v/>
      </c>
      <c r="T967" s="51" t="str">
        <f>IF(ISERROR(FIND('112'!$M$9,G967,1)),"",IF((AND(RIGHT(G967,2)=RIGHT('112'!$M$9,2),B967&lt;'112'!$N$8,$M967='112'!$I$6)),"x",""))</f>
        <v/>
      </c>
      <c r="U967" s="51" t="str">
        <f>IF(AND(L967="154",'154'!$O$5&lt;=B967,'154'!$P$5&gt;=B967),"154",IF(AND(L967="632",'632'!$L$5&lt;=B967,'632'!$M$5&gt;=B967),"632",IF(AND(L967="642",'642'!$N$5&lt;=B967,'642'!$O$5&gt;=B967),"642",IF(AND(L967="641",'641'!$N$5&lt;=B967,'641'!$O$5&gt;=B967),"641",""))))</f>
        <v/>
      </c>
      <c r="V967" s="51" t="str">
        <f>IF(OR(TH!L967=TH!$V$7,M967=TH!$V$7),"x","")</f>
        <v/>
      </c>
      <c r="W967" s="51" t="str">
        <f>IF(AND(B967&gt;='IN-NX'!$P$3,B967&lt;='IN-NX'!$Q$3,'IN-NX'!$D$7=D967,OR(LEFT(L967,2)="15",AND(LEFT(M967,2)&lt;&gt;"15",LEFT(M967,2)&lt;&gt;"33"))),"x","")</f>
        <v/>
      </c>
      <c r="X967" s="51" t="str">
        <f>IF(AND(OR(LEFT(TH!L967,2)="15",LEFT(TH!M967,2)="15"),'152-CT'!$J$8=TH!F967),"x","")</f>
        <v/>
      </c>
      <c r="Y967" s="51" t="str">
        <f>IF(AND(OR(LEFT(TH!L967,2)="15",LEFT(TH!M967,2)="15"),TK!$E$7=TH!F967),"x","")</f>
        <v/>
      </c>
      <c r="Z967" s="51" t="str">
        <f>IF(AND(B967&lt;=NKC!$N$8,B967&gt;=NKC!$M$8),"x","")</f>
        <v/>
      </c>
      <c r="AA967" s="826"/>
      <c r="AB967" s="565"/>
      <c r="AD967" s="828"/>
      <c r="AE967" s="828"/>
    </row>
    <row r="968" spans="1:31" ht="15.75" customHeight="1">
      <c r="A968" s="804" t="str">
        <f>IF(B968&lt;&gt;"",IF(AND(B968&gt;=_TM1,B968&lt;=_TM2,OR(TH!L968="1111",TH!M968="1111")),TH!D968,""),"")</f>
        <v/>
      </c>
      <c r="B968" s="820">
        <f t="shared" si="60"/>
        <v>10</v>
      </c>
      <c r="C968" s="821">
        <f t="shared" si="61"/>
        <v>42305</v>
      </c>
      <c r="D968" s="821" t="s">
        <v>1303</v>
      </c>
      <c r="E968" s="821">
        <v>42305</v>
      </c>
      <c r="F968" s="822" t="s">
        <v>765</v>
      </c>
      <c r="G968" s="823" t="s">
        <v>1080</v>
      </c>
      <c r="H968" s="824" t="s">
        <v>1081</v>
      </c>
      <c r="I968" s="825">
        <v>50</v>
      </c>
      <c r="J968" s="825">
        <v>9900</v>
      </c>
      <c r="K968" s="818">
        <f t="shared" si="66"/>
        <v>495000</v>
      </c>
      <c r="L968" s="819" t="s">
        <v>250</v>
      </c>
      <c r="M968" s="574" t="s">
        <v>164</v>
      </c>
      <c r="N968" s="51" t="str">
        <f>IF(AND('331-CT'!$E$7=TH!H968,OR(L968="331",M968="331")),"331",IF(AND(OR(L968="131",M968="131"),H968='131-CT'!$E$7),"131",""))</f>
        <v/>
      </c>
      <c r="O968" s="51" t="str">
        <f>IF(AND($B968&gt;='111'!$N$11,$B968&lt;='111'!$O$11,OR($L968=$O$7,$M968=$O$7)),"x","")</f>
        <v/>
      </c>
      <c r="P968" s="51" t="str">
        <f>IF(AND($L968=$O$7,$B968&lt;'111'!$N$11),"x","")</f>
        <v/>
      </c>
      <c r="Q968" s="51" t="str">
        <f>IF(AND($M968=$O$7,$B968&lt;'111'!$N$11),"x","")</f>
        <v/>
      </c>
      <c r="R968" s="51" t="str">
        <f>IF(ISERROR(FIND('112'!$M$9,G968,1)),"",IF((AND(FIND('112'!$M$9,G968,1)&gt;=1,$B968&gt;='112'!$N$8,$B968&lt;='112'!$O$8,OR($L968='112'!$I$6,$M968='112'!$I$6))),"x",""))</f>
        <v/>
      </c>
      <c r="S968" s="51" t="str">
        <f>IF(ISERROR(FIND('112'!$M$9,G968,1)),"",IF((AND(LEFT(G968,2)=LEFT('112'!$M$9,2),B968&lt;'112'!$N$8,$L968='112'!$I$6)),"x",""))</f>
        <v/>
      </c>
      <c r="T968" s="51" t="str">
        <f>IF(ISERROR(FIND('112'!$M$9,G968,1)),"",IF((AND(RIGHT(G968,2)=RIGHT('112'!$M$9,2),B968&lt;'112'!$N$8,$M968='112'!$I$6)),"x",""))</f>
        <v/>
      </c>
      <c r="U968" s="51" t="str">
        <f>IF(AND(L968="154",'154'!$O$5&lt;=B968,'154'!$P$5&gt;=B968),"154",IF(AND(L968="632",'632'!$L$5&lt;=B968,'632'!$M$5&gt;=B968),"632",IF(AND(L968="642",'642'!$N$5&lt;=B968,'642'!$O$5&gt;=B968),"642",IF(AND(L968="641",'641'!$N$5&lt;=B968,'641'!$O$5&gt;=B968),"641",""))))</f>
        <v/>
      </c>
      <c r="V968" s="51" t="str">
        <f>IF(OR(TH!L968=TH!$V$7,M968=TH!$V$7),"x","")</f>
        <v/>
      </c>
      <c r="W968" s="51" t="str">
        <f>IF(AND(B968&gt;='IN-NX'!$P$3,B968&lt;='IN-NX'!$Q$3,'IN-NX'!$D$7=D968,OR(LEFT(L968,2)="15",AND(LEFT(M968,2)&lt;&gt;"15",LEFT(M968,2)&lt;&gt;"33"))),"x","")</f>
        <v/>
      </c>
      <c r="X968" s="51" t="str">
        <f>IF(AND(OR(LEFT(TH!L968,2)="15",LEFT(TH!M968,2)="15"),'152-CT'!$J$8=TH!F968),"x","")</f>
        <v/>
      </c>
      <c r="Y968" s="51" t="str">
        <f>IF(AND(OR(LEFT(TH!L968,2)="15",LEFT(TH!M968,2)="15"),TK!$E$7=TH!F968),"x","")</f>
        <v/>
      </c>
      <c r="Z968" s="51" t="str">
        <f>IF(AND(B968&lt;=NKC!$N$8,B968&gt;=NKC!$M$8),"x","")</f>
        <v/>
      </c>
      <c r="AA968" s="826"/>
      <c r="AB968" s="565"/>
      <c r="AD968" s="828"/>
      <c r="AE968" s="828"/>
    </row>
    <row r="969" spans="1:31" ht="15.75" customHeight="1">
      <c r="A969" s="804" t="str">
        <f>IF(B969&lt;&gt;"",IF(AND(B969&gt;=_TM1,B969&lt;=_TM2,OR(TH!L969="1111",TH!M969="1111")),TH!D969,""),"")</f>
        <v/>
      </c>
      <c r="B969" s="820">
        <f t="shared" si="60"/>
        <v>10</v>
      </c>
      <c r="C969" s="821">
        <f t="shared" si="61"/>
        <v>42305</v>
      </c>
      <c r="D969" s="821" t="s">
        <v>1303</v>
      </c>
      <c r="E969" s="821">
        <v>42305</v>
      </c>
      <c r="F969" s="822" t="s">
        <v>764</v>
      </c>
      <c r="G969" s="823" t="s">
        <v>1080</v>
      </c>
      <c r="H969" s="824" t="s">
        <v>1081</v>
      </c>
      <c r="I969" s="825">
        <v>112</v>
      </c>
      <c r="J969" s="825">
        <v>13050</v>
      </c>
      <c r="K969" s="818">
        <f t="shared" si="66"/>
        <v>1461600</v>
      </c>
      <c r="L969" s="819" t="s">
        <v>250</v>
      </c>
      <c r="M969" s="574" t="s">
        <v>164</v>
      </c>
      <c r="N969" s="51" t="str">
        <f>IF(AND('331-CT'!$E$7=TH!H969,OR(L969="331",M969="331")),"331",IF(AND(OR(L969="131",M969="131"),H969='131-CT'!$E$7),"131",""))</f>
        <v/>
      </c>
      <c r="O969" s="51" t="str">
        <f>IF(AND($B969&gt;='111'!$N$11,$B969&lt;='111'!$O$11,OR($L969=$O$7,$M969=$O$7)),"x","")</f>
        <v/>
      </c>
      <c r="P969" s="51" t="str">
        <f>IF(AND($L969=$O$7,$B969&lt;'111'!$N$11),"x","")</f>
        <v/>
      </c>
      <c r="Q969" s="51" t="str">
        <f>IF(AND($M969=$O$7,$B969&lt;'111'!$N$11),"x","")</f>
        <v/>
      </c>
      <c r="R969" s="51" t="str">
        <f>IF(ISERROR(FIND('112'!$M$9,G969,1)),"",IF((AND(FIND('112'!$M$9,G969,1)&gt;=1,$B969&gt;='112'!$N$8,$B969&lt;='112'!$O$8,OR($L969='112'!$I$6,$M969='112'!$I$6))),"x",""))</f>
        <v/>
      </c>
      <c r="S969" s="51" t="str">
        <f>IF(ISERROR(FIND('112'!$M$9,G969,1)),"",IF((AND(LEFT(G969,2)=LEFT('112'!$M$9,2),B969&lt;'112'!$N$8,$L969='112'!$I$6)),"x",""))</f>
        <v/>
      </c>
      <c r="T969" s="51" t="str">
        <f>IF(ISERROR(FIND('112'!$M$9,G969,1)),"",IF((AND(RIGHT(G969,2)=RIGHT('112'!$M$9,2),B969&lt;'112'!$N$8,$M969='112'!$I$6)),"x",""))</f>
        <v/>
      </c>
      <c r="U969" s="51" t="str">
        <f>IF(AND(L969="154",'154'!$O$5&lt;=B969,'154'!$P$5&gt;=B969),"154",IF(AND(L969="632",'632'!$L$5&lt;=B969,'632'!$M$5&gt;=B969),"632",IF(AND(L969="642",'642'!$N$5&lt;=B969,'642'!$O$5&gt;=B969),"642",IF(AND(L969="641",'641'!$N$5&lt;=B969,'641'!$O$5&gt;=B969),"641",""))))</f>
        <v/>
      </c>
      <c r="V969" s="51" t="str">
        <f>IF(OR(TH!L969=TH!$V$7,M969=TH!$V$7),"x","")</f>
        <v/>
      </c>
      <c r="W969" s="51" t="str">
        <f>IF(AND(B969&gt;='IN-NX'!$P$3,B969&lt;='IN-NX'!$Q$3,'IN-NX'!$D$7=D969,OR(LEFT(L969,2)="15",AND(LEFT(M969,2)&lt;&gt;"15",LEFT(M969,2)&lt;&gt;"33"))),"x","")</f>
        <v/>
      </c>
      <c r="X969" s="51" t="str">
        <f>IF(AND(OR(LEFT(TH!L969,2)="15",LEFT(TH!M969,2)="15"),'152-CT'!$J$8=TH!F969),"x","")</f>
        <v/>
      </c>
      <c r="Y969" s="51" t="str">
        <f>IF(AND(OR(LEFT(TH!L969,2)="15",LEFT(TH!M969,2)="15"),TK!$E$7=TH!F969),"x","")</f>
        <v/>
      </c>
      <c r="Z969" s="51" t="str">
        <f>IF(AND(B969&lt;=NKC!$N$8,B969&gt;=NKC!$M$8),"x","")</f>
        <v/>
      </c>
      <c r="AA969" s="826"/>
      <c r="AB969" s="565"/>
      <c r="AD969" s="828"/>
      <c r="AE969" s="828"/>
    </row>
    <row r="970" spans="1:31" ht="15.75" customHeight="1">
      <c r="A970" s="804" t="str">
        <f>IF(B970&lt;&gt;"",IF(AND(B970&gt;=_TM1,B970&lt;=_TM2,OR(TH!L970="1111",TH!M970="1111")),TH!D970,""),"")</f>
        <v/>
      </c>
      <c r="B970" s="820">
        <f t="shared" si="60"/>
        <v>10</v>
      </c>
      <c r="C970" s="821">
        <f t="shared" si="61"/>
        <v>42305</v>
      </c>
      <c r="D970" s="821" t="s">
        <v>1303</v>
      </c>
      <c r="E970" s="821">
        <v>42305</v>
      </c>
      <c r="F970" s="822" t="s">
        <v>962</v>
      </c>
      <c r="G970" s="823" t="s">
        <v>1080</v>
      </c>
      <c r="H970" s="824" t="s">
        <v>1081</v>
      </c>
      <c r="I970" s="825"/>
      <c r="J970" s="825"/>
      <c r="K970" s="818">
        <v>1261839</v>
      </c>
      <c r="L970" s="819" t="s">
        <v>250</v>
      </c>
      <c r="M970" s="819" t="s">
        <v>352</v>
      </c>
      <c r="N970" s="51" t="str">
        <f>IF(AND('331-CT'!$E$7=TH!H970,OR(L970="331",M970="331")),"331",IF(AND(OR(L970="131",M970="131"),H970='131-CT'!$E$7),"131",""))</f>
        <v/>
      </c>
      <c r="O970" s="51" t="str">
        <f>IF(AND($B970&gt;='111'!$N$11,$B970&lt;='111'!$O$11,OR($L970=$O$7,$M970=$O$7)),"x","")</f>
        <v/>
      </c>
      <c r="P970" s="51" t="str">
        <f>IF(AND($L970=$O$7,$B970&lt;'111'!$N$11),"x","")</f>
        <v/>
      </c>
      <c r="Q970" s="51" t="str">
        <f>IF(AND($M970=$O$7,$B970&lt;'111'!$N$11),"x","")</f>
        <v/>
      </c>
      <c r="R970" s="51" t="str">
        <f>IF(ISERROR(FIND('112'!$M$9,G970,1)),"",IF((AND(FIND('112'!$M$9,G970,1)&gt;=1,$B970&gt;='112'!$N$8,$B970&lt;='112'!$O$8,OR($L970='112'!$I$6,$M970='112'!$I$6))),"x",""))</f>
        <v/>
      </c>
      <c r="S970" s="51" t="str">
        <f>IF(ISERROR(FIND('112'!$M$9,G970,1)),"",IF((AND(LEFT(G970,2)=LEFT('112'!$M$9,2),B970&lt;'112'!$N$8,$L970='112'!$I$6)),"x",""))</f>
        <v/>
      </c>
      <c r="T970" s="51" t="str">
        <f>IF(ISERROR(FIND('112'!$M$9,G970,1)),"",IF((AND(RIGHT(G970,2)=RIGHT('112'!$M$9,2),B970&lt;'112'!$N$8,$M970='112'!$I$6)),"x",""))</f>
        <v/>
      </c>
      <c r="U970" s="51" t="str">
        <f>IF(AND(L970="154",'154'!$O$5&lt;=B970,'154'!$P$5&gt;=B970),"154",IF(AND(L970="632",'632'!$L$5&lt;=B970,'632'!$M$5&gt;=B970),"632",IF(AND(L970="642",'642'!$N$5&lt;=B970,'642'!$O$5&gt;=B970),"642",IF(AND(L970="641",'641'!$N$5&lt;=B970,'641'!$O$5&gt;=B970),"641",""))))</f>
        <v/>
      </c>
      <c r="V970" s="51" t="str">
        <f>IF(OR(TH!L970=TH!$V$7,M970=TH!$V$7),"x","")</f>
        <v/>
      </c>
      <c r="W970" s="51" t="str">
        <f>IF(AND(B970&gt;='IN-NX'!$P$3,B970&lt;='IN-NX'!$Q$3,'IN-NX'!$D$7=D970,OR(LEFT(L970,2)="15",AND(LEFT(M970,2)&lt;&gt;"15",LEFT(M970,2)&lt;&gt;"33"))),"x","")</f>
        <v/>
      </c>
      <c r="X970" s="51" t="str">
        <f>IF(AND(OR(LEFT(TH!L970,2)="15",LEFT(TH!M970,2)="15"),'152-CT'!$J$8=TH!F970),"x","")</f>
        <v/>
      </c>
      <c r="Y970" s="51" t="str">
        <f>IF(AND(OR(LEFT(TH!L970,2)="15",LEFT(TH!M970,2)="15"),TK!$E$7=TH!F970),"x","")</f>
        <v/>
      </c>
      <c r="Z970" s="51" t="str">
        <f>IF(AND(B970&lt;=NKC!$N$8,B970&gt;=NKC!$M$8),"x","")</f>
        <v/>
      </c>
      <c r="AA970" s="826"/>
      <c r="AB970" s="565"/>
      <c r="AC970" s="840"/>
      <c r="AD970" s="840"/>
      <c r="AE970" s="840"/>
    </row>
    <row r="971" spans="1:31" ht="15.75" customHeight="1">
      <c r="A971" s="804" t="str">
        <f>IF(B971&lt;&gt;"",IF(AND(B971&gt;=_TM1,B971&lt;=_TM2,OR(TH!L971="1111",TH!M971="1111")),TH!D971,""),"")</f>
        <v/>
      </c>
      <c r="B971" s="820">
        <f t="shared" si="60"/>
        <v>10</v>
      </c>
      <c r="C971" s="821">
        <f t="shared" si="61"/>
        <v>42305</v>
      </c>
      <c r="D971" s="821" t="s">
        <v>1368</v>
      </c>
      <c r="E971" s="821">
        <v>42305</v>
      </c>
      <c r="F971" s="926" t="s">
        <v>423</v>
      </c>
      <c r="G971" s="823" t="s">
        <v>1080</v>
      </c>
      <c r="H971" s="824" t="s">
        <v>1081</v>
      </c>
      <c r="I971" s="825"/>
      <c r="J971" s="825"/>
      <c r="K971" s="818">
        <v>13880225</v>
      </c>
      <c r="L971" s="819" t="s">
        <v>47</v>
      </c>
      <c r="M971" s="819" t="s">
        <v>250</v>
      </c>
      <c r="N971" s="51" t="str">
        <f>IF(AND('331-CT'!$E$7=TH!H971,OR(L971="331",M971="331")),"331",IF(AND(OR(L971="131",M971="131"),H971='131-CT'!$E$7),"131",""))</f>
        <v/>
      </c>
      <c r="O971" s="51" t="str">
        <f>IF(AND($B971&gt;='111'!$N$11,$B971&lt;='111'!$O$11,OR($L971=$O$7,$M971=$O$7)),"x","")</f>
        <v>x</v>
      </c>
      <c r="P971" s="51" t="str">
        <f>IF(AND($L971=$O$7,$B971&lt;'111'!$N$11),"x","")</f>
        <v/>
      </c>
      <c r="Q971" s="51" t="str">
        <f>IF(AND($M971=$O$7,$B971&lt;'111'!$N$11),"x","")</f>
        <v/>
      </c>
      <c r="R971" s="51" t="str">
        <f>IF(ISERROR(FIND('112'!$M$9,G971,1)),"",IF((AND(FIND('112'!$M$9,G971,1)&gt;=1,$B971&gt;='112'!$N$8,$B971&lt;='112'!$O$8,OR($L971='112'!$I$6,$M971='112'!$I$6))),"x",""))</f>
        <v/>
      </c>
      <c r="S971" s="51" t="str">
        <f>IF(ISERROR(FIND('112'!$M$9,G971,1)),"",IF((AND(LEFT(G971,2)=LEFT('112'!$M$9,2),B971&lt;'112'!$N$8,$L971='112'!$I$6)),"x",""))</f>
        <v/>
      </c>
      <c r="T971" s="51" t="str">
        <f>IF(ISERROR(FIND('112'!$M$9,G971,1)),"",IF((AND(RIGHT(G971,2)=RIGHT('112'!$M$9,2),B971&lt;'112'!$N$8,$M971='112'!$I$6)),"x",""))</f>
        <v/>
      </c>
      <c r="U971" s="51" t="str">
        <f>IF(AND(L971="154",'154'!$O$5&lt;=B971,'154'!$P$5&gt;=B971),"154",IF(AND(L971="632",'632'!$L$5&lt;=B971,'632'!$M$5&gt;=B971),"632",IF(AND(L971="642",'642'!$N$5&lt;=B971,'642'!$O$5&gt;=B971),"642",IF(AND(L971="641",'641'!$N$5&lt;=B971,'641'!$O$5&gt;=B971),"641",""))))</f>
        <v/>
      </c>
      <c r="V971" s="51" t="str">
        <f>IF(OR(TH!L971=TH!$V$7,M971=TH!$V$7),"x","")</f>
        <v/>
      </c>
      <c r="W971" s="51" t="str">
        <f>IF(AND(B971&gt;='IN-NX'!$P$3,B971&lt;='IN-NX'!$Q$3,'IN-NX'!$D$7=D971,OR(LEFT(L971,2)="15",AND(LEFT(M971,2)&lt;&gt;"15",LEFT(M971,2)&lt;&gt;"33"))),"x","")</f>
        <v/>
      </c>
      <c r="X971" s="51" t="str">
        <f>IF(AND(OR(LEFT(TH!L971,2)="15",LEFT(TH!M971,2)="15"),'152-CT'!$J$8=TH!F971),"x","")</f>
        <v/>
      </c>
      <c r="Y971" s="51" t="str">
        <f>IF(AND(OR(LEFT(TH!L971,2)="15",LEFT(TH!M971,2)="15"),TK!$E$7=TH!F971),"x","")</f>
        <v/>
      </c>
      <c r="Z971" s="51" t="str">
        <f>IF(AND(B971&lt;=NKC!$N$8,B971&gt;=NKC!$M$8),"x","")</f>
        <v/>
      </c>
      <c r="AA971" s="826"/>
      <c r="AB971" s="565"/>
      <c r="AC971" s="840"/>
      <c r="AD971" s="840"/>
      <c r="AE971" s="840"/>
    </row>
    <row r="972" spans="1:31" ht="15.75" customHeight="1">
      <c r="A972" s="804" t="str">
        <f>IF(B972&lt;&gt;"",IF(AND(B972&gt;=_TM1,B972&lt;=_TM2,OR(TH!L972="1111",TH!M972="1111")),TH!D972,""),"")</f>
        <v/>
      </c>
      <c r="B972" s="36">
        <f t="shared" si="60"/>
        <v>10</v>
      </c>
      <c r="C972" s="189">
        <f t="shared" si="61"/>
        <v>42306</v>
      </c>
      <c r="D972" s="189" t="s">
        <v>1369</v>
      </c>
      <c r="E972" s="182">
        <v>42306</v>
      </c>
      <c r="F972" s="187" t="s">
        <v>427</v>
      </c>
      <c r="G972" s="811" t="s">
        <v>415</v>
      </c>
      <c r="H972" s="7" t="s">
        <v>447</v>
      </c>
      <c r="I972" s="243"/>
      <c r="J972" s="243"/>
      <c r="K972" s="573">
        <v>26500000</v>
      </c>
      <c r="L972" s="574" t="s">
        <v>47</v>
      </c>
      <c r="M972" s="574" t="s">
        <v>24</v>
      </c>
      <c r="N972" s="51" t="str">
        <f>IF(AND('331-CT'!$E$7=TH!H972,OR(L972="331",M972="331")),"331",IF(AND(OR(L972="131",M972="131"),H972='131-CT'!$E$7),"131",""))</f>
        <v/>
      </c>
      <c r="O972" s="51" t="str">
        <f>IF(AND($B972&gt;='111'!$N$11,$B972&lt;='111'!$O$11,OR($L972=$O$7,$M972=$O$7)),"x","")</f>
        <v>x</v>
      </c>
      <c r="P972" s="51" t="str">
        <f>IF(AND($L972=$O$7,$B972&lt;'111'!$N$11),"x","")</f>
        <v/>
      </c>
      <c r="Q972" s="51" t="str">
        <f>IF(AND($M972=$O$7,$B972&lt;'111'!$N$11),"x","")</f>
        <v/>
      </c>
      <c r="R972" s="51" t="str">
        <f>IF(ISERROR(FIND('112'!$M$9,G972,1)),"",IF((AND(FIND('112'!$M$9,G972,1)&gt;=1,$B972&gt;='112'!$N$8,$B972&lt;='112'!$O$8,OR($L972='112'!$I$6,$M972='112'!$I$6))),"x",""))</f>
        <v/>
      </c>
      <c r="S972" s="51" t="str">
        <f>IF(ISERROR(FIND('112'!$M$9,G972,1)),"",IF((AND(LEFT(G972,2)=LEFT('112'!$M$9,2),B972&lt;'112'!$N$8,$L972='112'!$I$6)),"x",""))</f>
        <v/>
      </c>
      <c r="T972" s="51" t="str">
        <f>IF(ISERROR(FIND('112'!$M$9,G972,1)),"",IF((AND(RIGHT(G972,2)=RIGHT('112'!$M$9,2),B972&lt;'112'!$N$8,$M972='112'!$I$6)),"x",""))</f>
        <v/>
      </c>
      <c r="U972" s="51" t="str">
        <f>IF(AND(L972="154",'154'!$O$5&lt;=B972,'154'!$P$5&gt;=B972),"154",IF(AND(L972="632",'632'!$L$5&lt;=B972,'632'!$M$5&gt;=B972),"632",IF(AND(L972="642",'642'!$N$5&lt;=B972,'642'!$O$5&gt;=B972),"642",IF(AND(L972="641",'641'!$N$5&lt;=B972,'641'!$O$5&gt;=B972),"641",""))))</f>
        <v/>
      </c>
      <c r="V972" s="51" t="str">
        <f>IF(OR(TH!L972=TH!$V$7,M972=TH!$V$7),"x","")</f>
        <v/>
      </c>
      <c r="W972" s="51" t="str">
        <f>IF(AND(B972&gt;='IN-NX'!$P$3,B972&lt;='IN-NX'!$Q$3,'IN-NX'!$D$7=D972,OR(LEFT(L972,2)="15",AND(LEFT(M972,2)&lt;&gt;"15",LEFT(M972,2)&lt;&gt;"33"))),"x","")</f>
        <v/>
      </c>
      <c r="X972" s="51" t="str">
        <f>IF(AND(OR(LEFT(TH!L972,2)="15",LEFT(TH!M972,2)="15"),'152-CT'!$J$8=TH!F972),"x","")</f>
        <v/>
      </c>
      <c r="Y972" s="51" t="str">
        <f>IF(AND(OR(LEFT(TH!L972,2)="15",LEFT(TH!M972,2)="15"),TK!$E$7=TH!F972),"x","")</f>
        <v/>
      </c>
      <c r="Z972" s="51" t="str">
        <f>IF(AND(B972&lt;=NKC!$N$8,B972&gt;=NKC!$M$8),"x","")</f>
        <v/>
      </c>
      <c r="AA972" s="803"/>
      <c r="AE972" s="565"/>
    </row>
    <row r="973" spans="1:31" ht="15.75" customHeight="1">
      <c r="A973" s="804" t="str">
        <f>IF(B973&lt;&gt;"",IF(AND(B973&gt;=_TM1,B973&lt;=_TM2,OR(TH!L973="1111",TH!M973="1111")),TH!D973,""),"")</f>
        <v/>
      </c>
      <c r="B973" s="36">
        <f t="shared" si="60"/>
        <v>10</v>
      </c>
      <c r="C973" s="189">
        <f t="shared" si="61"/>
        <v>42307</v>
      </c>
      <c r="D973" s="189" t="s">
        <v>1354</v>
      </c>
      <c r="E973" s="182">
        <v>42307</v>
      </c>
      <c r="F973" s="187" t="s">
        <v>433</v>
      </c>
      <c r="G973" s="811" t="s">
        <v>415</v>
      </c>
      <c r="H973" s="7" t="s">
        <v>437</v>
      </c>
      <c r="I973" s="243"/>
      <c r="J973" s="243"/>
      <c r="K973" s="573">
        <v>255800000</v>
      </c>
      <c r="L973" s="192" t="s">
        <v>24</v>
      </c>
      <c r="M973" s="192" t="s">
        <v>47</v>
      </c>
      <c r="N973" s="51" t="str">
        <f>IF(AND('331-CT'!$E$7=TH!H973,OR(L973="331",M973="331")),"331",IF(AND(OR(L973="131",M973="131"),H973='131-CT'!$E$7),"131",""))</f>
        <v/>
      </c>
      <c r="O973" s="51" t="str">
        <f>IF(AND($B973&gt;='111'!$N$11,$B973&lt;='111'!$O$11,OR($L973=$O$7,$M973=$O$7)),"x","")</f>
        <v>x</v>
      </c>
      <c r="P973" s="51" t="str">
        <f>IF(AND($L973=$O$7,$B973&lt;'111'!$N$11),"x","")</f>
        <v/>
      </c>
      <c r="Q973" s="51" t="str">
        <f>IF(AND($M973=$O$7,$B973&lt;'111'!$N$11),"x","")</f>
        <v/>
      </c>
      <c r="R973" s="51" t="str">
        <f>IF(ISERROR(FIND('112'!$M$9,G973,1)),"",IF((AND(FIND('112'!$M$9,G973,1)&gt;=1,$B973&gt;='112'!$N$8,$B973&lt;='112'!$O$8,OR($L973='112'!$I$6,$M973='112'!$I$6))),"x",""))</f>
        <v/>
      </c>
      <c r="S973" s="51" t="str">
        <f>IF(ISERROR(FIND('112'!$M$9,G973,1)),"",IF((AND(LEFT(G973,2)=LEFT('112'!$M$9,2),B973&lt;'112'!$N$8,$L973='112'!$I$6)),"x",""))</f>
        <v/>
      </c>
      <c r="T973" s="51" t="str">
        <f>IF(ISERROR(FIND('112'!$M$9,G973,1)),"",IF((AND(RIGHT(G973,2)=RIGHT('112'!$M$9,2),B973&lt;'112'!$N$8,$M973='112'!$I$6)),"x",""))</f>
        <v/>
      </c>
      <c r="U973" s="51" t="str">
        <f>IF(AND(L973="154",'154'!$O$5&lt;=B973,'154'!$P$5&gt;=B973),"154",IF(AND(L973="632",'632'!$L$5&lt;=B973,'632'!$M$5&gt;=B973),"632",IF(AND(L973="642",'642'!$N$5&lt;=B973,'642'!$O$5&gt;=B973),"642",IF(AND(L973="641",'641'!$N$5&lt;=B973,'641'!$O$5&gt;=B973),"641",""))))</f>
        <v/>
      </c>
      <c r="V973" s="51" t="str">
        <f>IF(OR(TH!L973=TH!$V$7,M973=TH!$V$7),"x","")</f>
        <v/>
      </c>
      <c r="W973" s="51" t="str">
        <f>IF(AND(B973&gt;='IN-NX'!$P$3,B973&lt;='IN-NX'!$Q$3,'IN-NX'!$D$7=D973,OR(LEFT(L973,2)="15",AND(LEFT(M973,2)&lt;&gt;"15",LEFT(M973,2)&lt;&gt;"33"))),"x","")</f>
        <v/>
      </c>
      <c r="X973" s="51" t="str">
        <f>IF(AND(OR(LEFT(TH!L973,2)="15",LEFT(TH!M973,2)="15"),'152-CT'!$J$8=TH!F973),"x","")</f>
        <v/>
      </c>
      <c r="Y973" s="51" t="str">
        <f>IF(AND(OR(LEFT(TH!L973,2)="15",LEFT(TH!M973,2)="15"),TK!$E$7=TH!F973),"x","")</f>
        <v/>
      </c>
      <c r="Z973" s="51" t="str">
        <f>IF(AND(B973&lt;=NKC!$N$8,B973&gt;=NKC!$M$8),"x","")</f>
        <v/>
      </c>
      <c r="AA973" s="803"/>
    </row>
    <row r="974" spans="1:31" ht="15.75" customHeight="1">
      <c r="A974" s="804" t="str">
        <f>IF(B974&lt;&gt;"",IF(AND(B974&gt;=_TM1,B974&lt;=_TM2,OR(TH!L974="1111",TH!M974="1111")),TH!D974,""),"")</f>
        <v/>
      </c>
      <c r="B974" s="36">
        <f t="shared" si="60"/>
        <v>10</v>
      </c>
      <c r="C974" s="189">
        <f t="shared" si="61"/>
        <v>42307</v>
      </c>
      <c r="D974" s="189" t="s">
        <v>1355</v>
      </c>
      <c r="E974" s="182">
        <v>42307</v>
      </c>
      <c r="F974" s="187" t="s">
        <v>433</v>
      </c>
      <c r="G974" s="811" t="s">
        <v>415</v>
      </c>
      <c r="H974" s="7" t="s">
        <v>437</v>
      </c>
      <c r="I974" s="243"/>
      <c r="J974" s="243"/>
      <c r="K974" s="573">
        <v>120000</v>
      </c>
      <c r="L974" s="192" t="s">
        <v>24</v>
      </c>
      <c r="M974" s="192" t="s">
        <v>47</v>
      </c>
      <c r="N974" s="51" t="str">
        <f>IF(AND('331-CT'!$E$7=TH!H974,OR(L974="331",M974="331")),"331",IF(AND(OR(L974="131",M974="131"),H974='131-CT'!$E$7),"131",""))</f>
        <v/>
      </c>
      <c r="O974" s="51" t="str">
        <f>IF(AND($B974&gt;='111'!$N$11,$B974&lt;='111'!$O$11,OR($L974=$O$7,$M974=$O$7)),"x","")</f>
        <v>x</v>
      </c>
      <c r="P974" s="51" t="str">
        <f>IF(AND($L974=$O$7,$B974&lt;'111'!$N$11),"x","")</f>
        <v/>
      </c>
      <c r="Q974" s="51" t="str">
        <f>IF(AND($M974=$O$7,$B974&lt;'111'!$N$11),"x","")</f>
        <v/>
      </c>
      <c r="R974" s="51" t="str">
        <f>IF(ISERROR(FIND('112'!$M$9,G974,1)),"",IF((AND(FIND('112'!$M$9,G974,1)&gt;=1,$B974&gt;='112'!$N$8,$B974&lt;='112'!$O$8,OR($L974='112'!$I$6,$M974='112'!$I$6))),"x",""))</f>
        <v/>
      </c>
      <c r="S974" s="51" t="str">
        <f>IF(ISERROR(FIND('112'!$M$9,G974,1)),"",IF((AND(LEFT(G974,2)=LEFT('112'!$M$9,2),B974&lt;'112'!$N$8,$L974='112'!$I$6)),"x",""))</f>
        <v/>
      </c>
      <c r="T974" s="51" t="str">
        <f>IF(ISERROR(FIND('112'!$M$9,G974,1)),"",IF((AND(RIGHT(G974,2)=RIGHT('112'!$M$9,2),B974&lt;'112'!$N$8,$M974='112'!$I$6)),"x",""))</f>
        <v/>
      </c>
      <c r="U974" s="51" t="str">
        <f>IF(AND(L974="154",'154'!$O$5&lt;=B974,'154'!$P$5&gt;=B974),"154",IF(AND(L974="632",'632'!$L$5&lt;=B974,'632'!$M$5&gt;=B974),"632",IF(AND(L974="642",'642'!$N$5&lt;=B974,'642'!$O$5&gt;=B974),"642",IF(AND(L974="641",'641'!$N$5&lt;=B974,'641'!$O$5&gt;=B974),"641",""))))</f>
        <v/>
      </c>
      <c r="V974" s="51" t="str">
        <f>IF(OR(TH!L974=TH!$V$7,M974=TH!$V$7),"x","")</f>
        <v/>
      </c>
      <c r="W974" s="51" t="str">
        <f>IF(AND(B974&gt;='IN-NX'!$P$3,B974&lt;='IN-NX'!$Q$3,'IN-NX'!$D$7=D974,OR(LEFT(L974,2)="15",AND(LEFT(M974,2)&lt;&gt;"15",LEFT(M974,2)&lt;&gt;"33"))),"x","")</f>
        <v/>
      </c>
      <c r="X974" s="51" t="str">
        <f>IF(AND(OR(LEFT(TH!L974,2)="15",LEFT(TH!M974,2)="15"),'152-CT'!$J$8=TH!F974),"x","")</f>
        <v/>
      </c>
      <c r="Y974" s="51" t="str">
        <f>IF(AND(OR(LEFT(TH!L974,2)="15",LEFT(TH!M974,2)="15"),TK!$E$7=TH!F974),"x","")</f>
        <v/>
      </c>
      <c r="Z974" s="51" t="str">
        <f>IF(AND(B974&lt;=NKC!$N$8,B974&gt;=NKC!$M$8),"x","")</f>
        <v/>
      </c>
      <c r="AA974" s="803"/>
      <c r="AB974" s="565"/>
    </row>
    <row r="975" spans="1:31" ht="15.75" customHeight="1">
      <c r="A975" s="804" t="str">
        <f>IF(B975&lt;&gt;"",IF(AND(B975&gt;=_TM1,B975&lt;=_TM2,OR(TH!L975="1111",TH!M975="1111")),TH!D975,""),"")</f>
        <v/>
      </c>
      <c r="B975" s="36">
        <f t="shared" si="60"/>
        <v>10</v>
      </c>
      <c r="C975" s="189">
        <f t="shared" si="61"/>
        <v>42307</v>
      </c>
      <c r="D975" s="189" t="s">
        <v>422</v>
      </c>
      <c r="E975" s="182">
        <v>42307</v>
      </c>
      <c r="F975" s="187" t="s">
        <v>438</v>
      </c>
      <c r="G975" s="811" t="s">
        <v>415</v>
      </c>
      <c r="H975" s="7" t="s">
        <v>494</v>
      </c>
      <c r="I975" s="243"/>
      <c r="J975" s="243"/>
      <c r="K975" s="573">
        <v>255802023</v>
      </c>
      <c r="L975" s="574" t="s">
        <v>8</v>
      </c>
      <c r="M975" s="574" t="s">
        <v>24</v>
      </c>
      <c r="N975" s="51" t="str">
        <f>IF(AND('331-CT'!$E$7=TH!H975,OR(L975="331",M975="331")),"331",IF(AND(OR(L975="131",M975="131"),H975='131-CT'!$E$7),"131",""))</f>
        <v/>
      </c>
      <c r="O975" s="51" t="str">
        <f>IF(AND($B975&gt;='111'!$N$11,$B975&lt;='111'!$O$11,OR($L975=$O$7,$M975=$O$7)),"x","")</f>
        <v/>
      </c>
      <c r="P975" s="51" t="str">
        <f>IF(AND($L975=$O$7,$B975&lt;'111'!$N$11),"x","")</f>
        <v/>
      </c>
      <c r="Q975" s="51" t="str">
        <f>IF(AND($M975=$O$7,$B975&lt;'111'!$N$11),"x","")</f>
        <v/>
      </c>
      <c r="R975" s="51" t="str">
        <f>IF(ISERROR(FIND('112'!$M$9,G975,1)),"",IF((AND(FIND('112'!$M$9,G975,1)&gt;=1,$B975&gt;='112'!$N$8,$B975&lt;='112'!$O$8,OR($L975='112'!$I$6,$M975='112'!$I$6))),"x",""))</f>
        <v/>
      </c>
      <c r="S975" s="51" t="str">
        <f>IF(ISERROR(FIND('112'!$M$9,G975,1)),"",IF((AND(LEFT(G975,2)=LEFT('112'!$M$9,2),B975&lt;'112'!$N$8,$L975='112'!$I$6)),"x",""))</f>
        <v/>
      </c>
      <c r="T975" s="51" t="str">
        <f>IF(ISERROR(FIND('112'!$M$9,G975,1)),"",IF((AND(RIGHT(G975,2)=RIGHT('112'!$M$9,2),B975&lt;'112'!$N$8,$M975='112'!$I$6)),"x",""))</f>
        <v/>
      </c>
      <c r="U975" s="51" t="str">
        <f>IF(AND(L975="154",'154'!$O$5&lt;=B975,'154'!$P$5&gt;=B975),"154",IF(AND(L975="632",'632'!$L$5&lt;=B975,'632'!$M$5&gt;=B975),"632",IF(AND(L975="642",'642'!$N$5&lt;=B975,'642'!$O$5&gt;=B975),"642",IF(AND(L975="641",'641'!$N$5&lt;=B975,'641'!$O$5&gt;=B975),"641",""))))</f>
        <v/>
      </c>
      <c r="V975" s="51" t="str">
        <f>IF(OR(TH!L975=TH!$V$7,M975=TH!$V$7),"x","")</f>
        <v/>
      </c>
      <c r="W975" s="51" t="str">
        <f>IF(AND(B975&gt;='IN-NX'!$P$3,B975&lt;='IN-NX'!$Q$3,'IN-NX'!$D$7=D975,OR(LEFT(L975,2)="15",AND(LEFT(M975,2)&lt;&gt;"15",LEFT(M975,2)&lt;&gt;"33"))),"x","")</f>
        <v/>
      </c>
      <c r="X975" s="51" t="str">
        <f>IF(AND(OR(LEFT(TH!L975,2)="15",LEFT(TH!M975,2)="15"),'152-CT'!$J$8=TH!F975),"x","")</f>
        <v/>
      </c>
      <c r="Y975" s="51" t="str">
        <f>IF(AND(OR(LEFT(TH!L975,2)="15",LEFT(TH!M975,2)="15"),TK!$E$7=TH!F975),"x","")</f>
        <v/>
      </c>
      <c r="Z975" s="51" t="str">
        <f>IF(AND(B975&lt;=NKC!$N$8,B975&gt;=NKC!$M$8),"x","")</f>
        <v/>
      </c>
      <c r="AA975" s="803"/>
      <c r="AB975" s="565"/>
    </row>
    <row r="976" spans="1:31" ht="15.75" customHeight="1">
      <c r="A976" s="804" t="str">
        <f>IF(B976&lt;&gt;"",IF(AND(B976&gt;=_TM1,B976&lt;=_TM2,OR(TH!L976="1111",TH!M976="1111")),TH!D976,""),"")</f>
        <v/>
      </c>
      <c r="B976" s="36">
        <f t="shared" si="60"/>
        <v>10</v>
      </c>
      <c r="C976" s="189">
        <f t="shared" si="61"/>
        <v>42307</v>
      </c>
      <c r="D976" s="189" t="s">
        <v>422</v>
      </c>
      <c r="E976" s="182">
        <v>42307</v>
      </c>
      <c r="F976" s="187" t="s">
        <v>443</v>
      </c>
      <c r="G976" s="811" t="s">
        <v>415</v>
      </c>
      <c r="H976" s="7"/>
      <c r="I976" s="243"/>
      <c r="J976" s="243"/>
      <c r="K976" s="573">
        <v>106415</v>
      </c>
      <c r="L976" s="192" t="s">
        <v>83</v>
      </c>
      <c r="M976" s="574" t="s">
        <v>24</v>
      </c>
      <c r="N976" s="51" t="str">
        <f>IF(AND('331-CT'!$E$7=TH!H976,OR(L976="331",M976="331")),"331",IF(AND(OR(L976="131",M976="131"),H976='131-CT'!$E$7),"131",""))</f>
        <v/>
      </c>
      <c r="O976" s="51" t="str">
        <f>IF(AND($B976&gt;='111'!$N$11,$B976&lt;='111'!$O$11,OR($L976=$O$7,$M976=$O$7)),"x","")</f>
        <v/>
      </c>
      <c r="P976" s="51" t="str">
        <f>IF(AND($L976=$O$7,$B976&lt;'111'!$N$11),"x","")</f>
        <v/>
      </c>
      <c r="Q976" s="51" t="str">
        <f>IF(AND($M976=$O$7,$B976&lt;'111'!$N$11),"x","")</f>
        <v/>
      </c>
      <c r="R976" s="51" t="str">
        <f>IF(ISERROR(FIND('112'!$M$9,G976,1)),"",IF((AND(FIND('112'!$M$9,G976,1)&gt;=1,$B976&gt;='112'!$N$8,$B976&lt;='112'!$O$8,OR($L976='112'!$I$6,$M976='112'!$I$6))),"x",""))</f>
        <v/>
      </c>
      <c r="S976" s="51" t="str">
        <f>IF(ISERROR(FIND('112'!$M$9,G976,1)),"",IF((AND(LEFT(G976,2)=LEFT('112'!$M$9,2),B976&lt;'112'!$N$8,$L976='112'!$I$6)),"x",""))</f>
        <v/>
      </c>
      <c r="T976" s="51" t="str">
        <f>IF(ISERROR(FIND('112'!$M$9,G976,1)),"",IF((AND(RIGHT(G976,2)=RIGHT('112'!$M$9,2),B976&lt;'112'!$N$8,$M976='112'!$I$6)),"x",""))</f>
        <v/>
      </c>
      <c r="U976" s="51" t="str">
        <f>IF(AND(L976="154",'154'!$O$5&lt;=B976,'154'!$P$5&gt;=B976),"154",IF(AND(L976="632",'632'!$L$5&lt;=B976,'632'!$M$5&gt;=B976),"632",IF(AND(L976="642",'642'!$N$5&lt;=B976,'642'!$O$5&gt;=B976),"642",IF(AND(L976="641",'641'!$N$5&lt;=B976,'641'!$O$5&gt;=B976),"641",""))))</f>
        <v/>
      </c>
      <c r="V976" s="51" t="str">
        <f>IF(OR(TH!L976=TH!$V$7,M976=TH!$V$7),"x","")</f>
        <v>x</v>
      </c>
      <c r="W976" s="51" t="str">
        <f>IF(AND(B976&gt;='IN-NX'!$P$3,B976&lt;='IN-NX'!$Q$3,'IN-NX'!$D$7=D976,OR(LEFT(L976,2)="15",AND(LEFT(M976,2)&lt;&gt;"15",LEFT(M976,2)&lt;&gt;"33"))),"x","")</f>
        <v/>
      </c>
      <c r="X976" s="51" t="str">
        <f>IF(AND(OR(LEFT(TH!L976,2)="15",LEFT(TH!M976,2)="15"),'152-CT'!$J$8=TH!F976),"x","")</f>
        <v/>
      </c>
      <c r="Y976" s="51" t="str">
        <f>IF(AND(OR(LEFT(TH!L976,2)="15",LEFT(TH!M976,2)="15"),TK!$E$7=TH!F976),"x","")</f>
        <v/>
      </c>
      <c r="Z976" s="51" t="str">
        <f>IF(AND(B976&lt;=NKC!$N$8,B976&gt;=NKC!$M$8),"x","")</f>
        <v/>
      </c>
      <c r="AA976" s="803"/>
      <c r="AB976" s="565"/>
      <c r="AC976" s="565"/>
      <c r="AD976" s="565"/>
    </row>
    <row r="977" spans="1:31" ht="15.75" customHeight="1">
      <c r="A977" s="804" t="str">
        <f>IF(B977&lt;&gt;"",IF(AND(B977&gt;=_TM1,B977&lt;=_TM2,OR(TH!L977="1111",TH!M977="1111")),TH!D977,""),"")</f>
        <v/>
      </c>
      <c r="B977" s="36">
        <f t="shared" si="60"/>
        <v>10</v>
      </c>
      <c r="C977" s="189">
        <f t="shared" si="61"/>
        <v>42307</v>
      </c>
      <c r="D977" s="189" t="s">
        <v>1357</v>
      </c>
      <c r="E977" s="189">
        <v>42307</v>
      </c>
      <c r="F977" s="917" t="s">
        <v>460</v>
      </c>
      <c r="G977" s="813" t="s">
        <v>730</v>
      </c>
      <c r="H977" s="191" t="s">
        <v>492</v>
      </c>
      <c r="I977" s="243"/>
      <c r="J977" s="243"/>
      <c r="K977" s="573">
        <v>13650048</v>
      </c>
      <c r="L977" s="574" t="s">
        <v>83</v>
      </c>
      <c r="M977" s="574" t="s">
        <v>47</v>
      </c>
      <c r="N977" s="51" t="str">
        <f>IF(AND('331-CT'!$E$7=TH!H977,OR(L977="331",M977="331")),"331",IF(AND(OR(L977="131",M977="131"),H977='131-CT'!$E$7),"131",""))</f>
        <v/>
      </c>
      <c r="O977" s="51" t="str">
        <f>IF(AND($B977&gt;='111'!$N$11,$B977&lt;='111'!$O$11,OR($L977=$O$7,$M977=$O$7)),"x","")</f>
        <v>x</v>
      </c>
      <c r="P977" s="51" t="str">
        <f>IF(AND($L977=$O$7,$B977&lt;'111'!$N$11),"x","")</f>
        <v/>
      </c>
      <c r="Q977" s="51" t="str">
        <f>IF(AND($M977=$O$7,$B977&lt;'111'!$N$11),"x","")</f>
        <v/>
      </c>
      <c r="R977" s="51" t="str">
        <f>IF(ISERROR(FIND('112'!$M$9,G977,1)),"",IF((AND(FIND('112'!$M$9,G977,1)&gt;=1,$B977&gt;='112'!$N$8,$B977&lt;='112'!$O$8,OR($L977='112'!$I$6,$M977='112'!$I$6))),"x",""))</f>
        <v/>
      </c>
      <c r="S977" s="51" t="str">
        <f>IF(ISERROR(FIND('112'!$M$9,G977,1)),"",IF((AND(LEFT(G977,2)=LEFT('112'!$M$9,2),B977&lt;'112'!$N$8,$L977='112'!$I$6)),"x",""))</f>
        <v/>
      </c>
      <c r="T977" s="51" t="str">
        <f>IF(ISERROR(FIND('112'!$M$9,G977,1)),"",IF((AND(RIGHT(G977,2)=RIGHT('112'!$M$9,2),B977&lt;'112'!$N$8,$M977='112'!$I$6)),"x",""))</f>
        <v/>
      </c>
      <c r="U977" s="51" t="str">
        <f>IF(AND(L977="154",'154'!$O$5&lt;=B977,'154'!$P$5&gt;=B977),"154",IF(AND(L977="632",'632'!$L$5&lt;=B977,'632'!$M$5&gt;=B977),"632",IF(AND(L977="642",'642'!$N$5&lt;=B977,'642'!$O$5&gt;=B977),"642",IF(AND(L977="641",'641'!$N$5&lt;=B977,'641'!$O$5&gt;=B977),"641",""))))</f>
        <v/>
      </c>
      <c r="V977" s="51" t="str">
        <f>IF(OR(TH!L977=TH!$V$7,M977=TH!$V$7),"x","")</f>
        <v>x</v>
      </c>
      <c r="W977" s="51" t="str">
        <f>IF(AND(B977&gt;='IN-NX'!$P$3,B977&lt;='IN-NX'!$Q$3,'IN-NX'!$D$7=D977,OR(LEFT(L977,2)="15",AND(LEFT(M977,2)&lt;&gt;"15",LEFT(M977,2)&lt;&gt;"33"))),"x","")</f>
        <v/>
      </c>
      <c r="X977" s="51" t="str">
        <f>IF(AND(OR(LEFT(TH!L977,2)="15",LEFT(TH!M977,2)="15"),'152-CT'!$J$8=TH!F977),"x","")</f>
        <v/>
      </c>
      <c r="Y977" s="51" t="str">
        <f>IF(AND(OR(LEFT(TH!L977,2)="15",LEFT(TH!M977,2)="15"),TK!$E$7=TH!F977),"x","")</f>
        <v/>
      </c>
      <c r="Z977" s="51" t="str">
        <f>IF(AND(B977&lt;=NKC!$N$8,B977&gt;=NKC!$M$8),"x","")</f>
        <v/>
      </c>
      <c r="AA977" s="803"/>
      <c r="AB977" s="565"/>
    </row>
    <row r="978" spans="1:31" ht="15.75" customHeight="1">
      <c r="A978" s="804" t="str">
        <f>IF(B978&lt;&gt;"",IF(AND(B978&gt;=_TM1,B978&lt;=_TM2,OR(TH!L978="1111",TH!M978="1111")),TH!D978,""),"")</f>
        <v/>
      </c>
      <c r="B978" s="36">
        <f t="shared" si="60"/>
        <v>10</v>
      </c>
      <c r="C978" s="189">
        <f t="shared" si="61"/>
        <v>42307</v>
      </c>
      <c r="D978" s="189" t="s">
        <v>1357</v>
      </c>
      <c r="E978" s="189">
        <v>42307</v>
      </c>
      <c r="F978" s="190" t="s">
        <v>461</v>
      </c>
      <c r="G978" s="813" t="s">
        <v>730</v>
      </c>
      <c r="H978" s="191" t="s">
        <v>492</v>
      </c>
      <c r="I978" s="243"/>
      <c r="J978" s="243"/>
      <c r="K978" s="573">
        <v>1365005</v>
      </c>
      <c r="L978" s="574" t="s">
        <v>9</v>
      </c>
      <c r="M978" s="574" t="s">
        <v>47</v>
      </c>
      <c r="N978" s="51" t="str">
        <f>IF(AND('331-CT'!$E$7=TH!H978,OR(L978="331",M978="331")),"331",IF(AND(OR(L978="131",M978="131"),H978='131-CT'!$E$7),"131",""))</f>
        <v/>
      </c>
      <c r="O978" s="51" t="str">
        <f>IF(AND($B978&gt;='111'!$N$11,$B978&lt;='111'!$O$11,OR($L978=$O$7,$M978=$O$7)),"x","")</f>
        <v>x</v>
      </c>
      <c r="P978" s="51" t="str">
        <f>IF(AND($L978=$O$7,$B978&lt;'111'!$N$11),"x","")</f>
        <v/>
      </c>
      <c r="Q978" s="51" t="str">
        <f>IF(AND($M978=$O$7,$B978&lt;'111'!$N$11),"x","")</f>
        <v/>
      </c>
      <c r="R978" s="51" t="str">
        <f>IF(ISERROR(FIND('112'!$M$9,G978,1)),"",IF((AND(FIND('112'!$M$9,G978,1)&gt;=1,$B978&gt;='112'!$N$8,$B978&lt;='112'!$O$8,OR($L978='112'!$I$6,$M978='112'!$I$6))),"x",""))</f>
        <v/>
      </c>
      <c r="S978" s="51" t="str">
        <f>IF(ISERROR(FIND('112'!$M$9,G978,1)),"",IF((AND(LEFT(G978,2)=LEFT('112'!$M$9,2),B978&lt;'112'!$N$8,$L978='112'!$I$6)),"x",""))</f>
        <v/>
      </c>
      <c r="T978" s="51" t="str">
        <f>IF(ISERROR(FIND('112'!$M$9,G978,1)),"",IF((AND(RIGHT(G978,2)=RIGHT('112'!$M$9,2),B978&lt;'112'!$N$8,$M978='112'!$I$6)),"x",""))</f>
        <v/>
      </c>
      <c r="U978" s="51" t="str">
        <f>IF(AND(L978="154",'154'!$O$5&lt;=B978,'154'!$P$5&gt;=B978),"154",IF(AND(L978="632",'632'!$L$5&lt;=B978,'632'!$M$5&gt;=B978),"632",IF(AND(L978="642",'642'!$N$5&lt;=B978,'642'!$O$5&gt;=B978),"642",IF(AND(L978="641",'641'!$N$5&lt;=B978,'641'!$O$5&gt;=B978),"641",""))))</f>
        <v/>
      </c>
      <c r="V978" s="51" t="str">
        <f>IF(OR(TH!L978=TH!$V$7,M978=TH!$V$7),"x","")</f>
        <v/>
      </c>
      <c r="W978" s="51" t="str">
        <f>IF(AND(B978&gt;='IN-NX'!$P$3,B978&lt;='IN-NX'!$Q$3,'IN-NX'!$D$7=D978,OR(LEFT(L978,2)="15",AND(LEFT(M978,2)&lt;&gt;"15",LEFT(M978,2)&lt;&gt;"33"))),"x","")</f>
        <v/>
      </c>
      <c r="X978" s="51" t="str">
        <f>IF(AND(OR(LEFT(TH!L978,2)="15",LEFT(TH!M978,2)="15"),'152-CT'!$J$8=TH!F978),"x","")</f>
        <v/>
      </c>
      <c r="Y978" s="51" t="str">
        <f>IF(AND(OR(LEFT(TH!L978,2)="15",LEFT(TH!M978,2)="15"),TK!$E$7=TH!F978),"x","")</f>
        <v/>
      </c>
      <c r="Z978" s="51" t="str">
        <f>IF(AND(B978&lt;=NKC!$N$8,B978&gt;=NKC!$M$8),"x","")</f>
        <v/>
      </c>
      <c r="AA978" s="803">
        <v>4</v>
      </c>
      <c r="AB978" s="565"/>
    </row>
    <row r="979" spans="1:31" ht="15.75" customHeight="1">
      <c r="A979" s="804" t="str">
        <f>IF(B979&lt;&gt;"",IF(AND(B979&gt;=_TM1,B979&lt;=_TM2,OR(TH!L979="1111",TH!M979="1111")),TH!D979,""),"")</f>
        <v/>
      </c>
      <c r="B979" s="36">
        <f t="shared" si="60"/>
        <v>10</v>
      </c>
      <c r="C979" s="853">
        <f t="shared" si="61"/>
        <v>42308</v>
      </c>
      <c r="D979" s="853" t="s">
        <v>319</v>
      </c>
      <c r="E979" s="853">
        <v>42308</v>
      </c>
      <c r="F979" s="854" t="s">
        <v>1262</v>
      </c>
      <c r="G979" s="855"/>
      <c r="H979" s="856"/>
      <c r="I979" s="857"/>
      <c r="J979" s="857"/>
      <c r="K979" s="858">
        <v>11760000</v>
      </c>
      <c r="L979" s="859" t="s">
        <v>83</v>
      </c>
      <c r="M979" s="859" t="s">
        <v>252</v>
      </c>
      <c r="N979" s="51" t="str">
        <f>IF(AND('331-CT'!$E$7=TH!H979,OR(L979="331",M979="331")),"331",IF(AND(OR(L979="131",M979="131"),H979='131-CT'!$E$7),"131",""))</f>
        <v/>
      </c>
      <c r="O979" s="51" t="str">
        <f>IF(AND($B979&gt;='111'!$N$11,$B979&lt;='111'!$O$11,OR($L979=$O$7,$M979=$O$7)),"x","")</f>
        <v/>
      </c>
      <c r="P979" s="51" t="str">
        <f>IF(AND($L979=$O$7,$B979&lt;'111'!$N$11),"x","")</f>
        <v/>
      </c>
      <c r="Q979" s="51" t="str">
        <f>IF(AND($M979=$O$7,$B979&lt;'111'!$N$11),"x","")</f>
        <v/>
      </c>
      <c r="R979" s="51" t="str">
        <f>IF(ISERROR(FIND('112'!$M$9,G979,1)),"",IF((AND(FIND('112'!$M$9,G979,1)&gt;=1,$B979&gt;='112'!$N$8,$B979&lt;='112'!$O$8,OR($L979='112'!$I$6,$M979='112'!$I$6))),"x",""))</f>
        <v/>
      </c>
      <c r="S979" s="51" t="str">
        <f>IF(ISERROR(FIND('112'!$M$9,G979,1)),"",IF((AND(LEFT(G979,2)=LEFT('112'!$M$9,2),B979&lt;'112'!$N$8,$L979='112'!$I$6)),"x",""))</f>
        <v/>
      </c>
      <c r="T979" s="51" t="str">
        <f>IF(ISERROR(FIND('112'!$M$9,G979,1)),"",IF((AND(RIGHT(G979,2)=RIGHT('112'!$M$9,2),B979&lt;'112'!$N$8,$M979='112'!$I$6)),"x",""))</f>
        <v/>
      </c>
      <c r="U979" s="51" t="str">
        <f>IF(AND(L979="154",'154'!$O$5&lt;=B979,'154'!$P$5&gt;=B979),"154",IF(AND(L979="632",'632'!$L$5&lt;=B979,'632'!$M$5&gt;=B979),"632",IF(AND(L979="642",'642'!$N$5&lt;=B979,'642'!$O$5&gt;=B979),"642",IF(AND(L979="641",'641'!$N$5&lt;=B979,'641'!$O$5&gt;=B979),"641",""))))</f>
        <v/>
      </c>
      <c r="V979" s="51" t="str">
        <f>IF(OR(TH!L979=TH!$V$7,M979=TH!$V$7),"x","")</f>
        <v>x</v>
      </c>
      <c r="W979" s="51" t="str">
        <f>IF(AND(B979&gt;='IN-NX'!$P$3,B979&lt;='IN-NX'!$Q$3,'IN-NX'!$D$7=D979,OR(LEFT(L979,2)="15",AND(LEFT(M979,2)&lt;&gt;"15",LEFT(M979,2)&lt;&gt;"33"))),"x","")</f>
        <v/>
      </c>
      <c r="X979" s="51" t="str">
        <f>IF(AND(OR(LEFT(TH!L979,2)="15",LEFT(TH!M979,2)="15"),'152-CT'!$J$8=TH!F979),"x","")</f>
        <v/>
      </c>
      <c r="Y979" s="51" t="str">
        <f>IF(AND(OR(LEFT(TH!L979,2)="15",LEFT(TH!M979,2)="15"),TK!$E$7=TH!F979),"x","")</f>
        <v/>
      </c>
      <c r="Z979" s="51" t="str">
        <f>IF(AND(B979&lt;=NKC!$N$8,B979&gt;=NKC!$M$8),"x","")</f>
        <v/>
      </c>
      <c r="AA979" s="860"/>
      <c r="AB979" s="565"/>
      <c r="AE979" s="565"/>
    </row>
    <row r="980" spans="1:31" ht="15.75" customHeight="1">
      <c r="A980" s="804" t="str">
        <f>IF(B980&lt;&gt;"",IF(AND(B980&gt;=_TM1,B980&lt;=_TM2,OR(TH!L980="1111",TH!M980="1111")),TH!D980,""),"")</f>
        <v/>
      </c>
      <c r="B980" s="36">
        <f t="shared" si="60"/>
        <v>10</v>
      </c>
      <c r="C980" s="853">
        <f t="shared" si="61"/>
        <v>42308</v>
      </c>
      <c r="D980" s="853" t="s">
        <v>319</v>
      </c>
      <c r="E980" s="853">
        <v>42308</v>
      </c>
      <c r="F980" s="854" t="s">
        <v>1263</v>
      </c>
      <c r="G980" s="855"/>
      <c r="H980" s="856"/>
      <c r="I980" s="857"/>
      <c r="J980" s="857"/>
      <c r="K980" s="858">
        <v>3040000</v>
      </c>
      <c r="L980" s="859" t="s">
        <v>160</v>
      </c>
      <c r="M980" s="859" t="s">
        <v>252</v>
      </c>
      <c r="N980" s="51" t="str">
        <f>IF(AND('331-CT'!$E$7=TH!H980,OR(L980="331",M980="331")),"331",IF(AND(OR(L980="131",M980="131"),H980='131-CT'!$E$7),"131",""))</f>
        <v/>
      </c>
      <c r="O980" s="51" t="str">
        <f>IF(AND($B980&gt;='111'!$N$11,$B980&lt;='111'!$O$11,OR($L980=$O$7,$M980=$O$7)),"x","")</f>
        <v/>
      </c>
      <c r="P980" s="51" t="str">
        <f>IF(AND($L980=$O$7,$B980&lt;'111'!$N$11),"x","")</f>
        <v/>
      </c>
      <c r="Q980" s="51" t="str">
        <f>IF(AND($M980=$O$7,$B980&lt;'111'!$N$11),"x","")</f>
        <v/>
      </c>
      <c r="R980" s="51" t="str">
        <f>IF(ISERROR(FIND('112'!$M$9,G980,1)),"",IF((AND(FIND('112'!$M$9,G980,1)&gt;=1,$B980&gt;='112'!$N$8,$B980&lt;='112'!$O$8,OR($L980='112'!$I$6,$M980='112'!$I$6))),"x",""))</f>
        <v/>
      </c>
      <c r="S980" s="51" t="str">
        <f>IF(ISERROR(FIND('112'!$M$9,G980,1)),"",IF((AND(LEFT(G980,2)=LEFT('112'!$M$9,2),B980&lt;'112'!$N$8,$L980='112'!$I$6)),"x",""))</f>
        <v/>
      </c>
      <c r="T980" s="51" t="str">
        <f>IF(ISERROR(FIND('112'!$M$9,G980,1)),"",IF((AND(RIGHT(G980,2)=RIGHT('112'!$M$9,2),B980&lt;'112'!$N$8,$M980='112'!$I$6)),"x",""))</f>
        <v/>
      </c>
      <c r="U980" s="51" t="str">
        <f>IF(AND(L980="154",'154'!$O$5&lt;=B980,'154'!$P$5&gt;=B980),"154",IF(AND(L980="632",'632'!$L$5&lt;=B980,'632'!$M$5&gt;=B980),"632",IF(AND(L980="642",'642'!$N$5&lt;=B980,'642'!$O$5&gt;=B980),"642",IF(AND(L980="641",'641'!$N$5&lt;=B980,'641'!$O$5&gt;=B980),"641",""))))</f>
        <v/>
      </c>
      <c r="V980" s="51" t="str">
        <f>IF(OR(TH!L980=TH!$V$7,M980=TH!$V$7),"x","")</f>
        <v/>
      </c>
      <c r="W980" s="51" t="str">
        <f>IF(AND(B980&gt;='IN-NX'!$P$3,B980&lt;='IN-NX'!$Q$3,'IN-NX'!$D$7=D980,OR(LEFT(L980,2)="15",AND(LEFT(M980,2)&lt;&gt;"15",LEFT(M980,2)&lt;&gt;"33"))),"x","")</f>
        <v/>
      </c>
      <c r="X980" s="51" t="str">
        <f>IF(AND(OR(LEFT(TH!L980,2)="15",LEFT(TH!M980,2)="15"),'152-CT'!$J$8=TH!F980),"x","")</f>
        <v/>
      </c>
      <c r="Y980" s="51" t="str">
        <f>IF(AND(OR(LEFT(TH!L980,2)="15",LEFT(TH!M980,2)="15"),TK!$E$7=TH!F980),"x","")</f>
        <v/>
      </c>
      <c r="Z980" s="51" t="str">
        <f>IF(AND(B980&lt;=NKC!$N$8,B980&gt;=NKC!$M$8),"x","")</f>
        <v/>
      </c>
      <c r="AA980" s="860"/>
      <c r="AB980" s="565"/>
      <c r="AE980" s="565"/>
    </row>
    <row r="981" spans="1:31" ht="15.75" customHeight="1">
      <c r="A981" s="804" t="str">
        <f>IF(B981&lt;&gt;"",IF(AND(B981&gt;=_TM1,B981&lt;=_TM2,OR(TH!L981="1111",TH!M981="1111")),TH!D981,""),"")</f>
        <v/>
      </c>
      <c r="B981" s="36">
        <f t="shared" si="60"/>
        <v>10</v>
      </c>
      <c r="C981" s="853">
        <f t="shared" si="61"/>
        <v>42308</v>
      </c>
      <c r="D981" s="861" t="s">
        <v>1360</v>
      </c>
      <c r="E981" s="853">
        <v>42308</v>
      </c>
      <c r="F981" s="854" t="s">
        <v>1268</v>
      </c>
      <c r="G981" s="855"/>
      <c r="H981" s="7" t="s">
        <v>437</v>
      </c>
      <c r="I981" s="857"/>
      <c r="J981" s="857"/>
      <c r="K981" s="858">
        <f>K979+K980</f>
        <v>14800000</v>
      </c>
      <c r="L981" s="859" t="s">
        <v>252</v>
      </c>
      <c r="M981" s="859" t="s">
        <v>47</v>
      </c>
      <c r="N981" s="51" t="str">
        <f>IF(AND('331-CT'!$E$7=TH!H981,OR(L981="331",M981="331")),"331",IF(AND(OR(L981="131",M981="131"),H981='131-CT'!$E$7),"131",""))</f>
        <v/>
      </c>
      <c r="O981" s="51" t="str">
        <f>IF(AND($B981&gt;='111'!$N$11,$B981&lt;='111'!$O$11,OR($L981=$O$7,$M981=$O$7)),"x","")</f>
        <v>x</v>
      </c>
      <c r="P981" s="51" t="str">
        <f>IF(AND($L981=$O$7,$B981&lt;'111'!$N$11),"x","")</f>
        <v/>
      </c>
      <c r="Q981" s="51" t="str">
        <f>IF(AND($M981=$O$7,$B981&lt;'111'!$N$11),"x","")</f>
        <v/>
      </c>
      <c r="R981" s="51" t="str">
        <f>IF(ISERROR(FIND('112'!$M$9,G981,1)),"",IF((AND(FIND('112'!$M$9,G981,1)&gt;=1,$B981&gt;='112'!$N$8,$B981&lt;='112'!$O$8,OR($L981='112'!$I$6,$M981='112'!$I$6))),"x",""))</f>
        <v/>
      </c>
      <c r="S981" s="51" t="str">
        <f>IF(ISERROR(FIND('112'!$M$9,G981,1)),"",IF((AND(LEFT(G981,2)=LEFT('112'!$M$9,2),B981&lt;'112'!$N$8,$L981='112'!$I$6)),"x",""))</f>
        <v/>
      </c>
      <c r="T981" s="51" t="str">
        <f>IF(ISERROR(FIND('112'!$M$9,G981,1)),"",IF((AND(RIGHT(G981,2)=RIGHT('112'!$M$9,2),B981&lt;'112'!$N$8,$M981='112'!$I$6)),"x",""))</f>
        <v/>
      </c>
      <c r="U981" s="51" t="str">
        <f>IF(AND(L981="154",'154'!$O$5&lt;=B981,'154'!$P$5&gt;=B981),"154",IF(AND(L981="632",'632'!$L$5&lt;=B981,'632'!$M$5&gt;=B981),"632",IF(AND(L981="642",'642'!$N$5&lt;=B981,'642'!$O$5&gt;=B981),"642",IF(AND(L981="641",'641'!$N$5&lt;=B981,'641'!$O$5&gt;=B981),"641",""))))</f>
        <v/>
      </c>
      <c r="V981" s="51" t="str">
        <f>IF(OR(TH!L981=TH!$V$7,M981=TH!$V$7),"x","")</f>
        <v/>
      </c>
      <c r="W981" s="51" t="str">
        <f>IF(AND(B981&gt;='IN-NX'!$P$3,B981&lt;='IN-NX'!$Q$3,'IN-NX'!$D$7=D981,OR(LEFT(L981,2)="15",AND(LEFT(M981,2)&lt;&gt;"15",LEFT(M981,2)&lt;&gt;"33"))),"x","")</f>
        <v/>
      </c>
      <c r="X981" s="51" t="str">
        <f>IF(AND(OR(LEFT(TH!L981,2)="15",LEFT(TH!M981,2)="15"),'152-CT'!$J$8=TH!F981),"x","")</f>
        <v/>
      </c>
      <c r="Y981" s="51" t="str">
        <f>IF(AND(OR(LEFT(TH!L981,2)="15",LEFT(TH!M981,2)="15"),TK!$E$7=TH!F981),"x","")</f>
        <v/>
      </c>
      <c r="Z981" s="51" t="str">
        <f>IF(AND(B981&lt;=NKC!$N$8,B981&gt;=NKC!$M$8),"x","")</f>
        <v/>
      </c>
      <c r="AA981" s="860"/>
      <c r="AB981" s="565"/>
      <c r="AE981" s="565"/>
    </row>
    <row r="982" spans="1:31" ht="15.75" customHeight="1">
      <c r="A982" s="804" t="str">
        <f>IF(B982&lt;&gt;"",IF(AND(B982&gt;=_TM1,B982&lt;=_TM2,OR(TH!L982="1111",TH!M982="1111")),TH!D982,""),"")</f>
        <v/>
      </c>
      <c r="B982" s="36">
        <f t="shared" si="60"/>
        <v>10</v>
      </c>
      <c r="C982" s="189">
        <f t="shared" si="61"/>
        <v>42308</v>
      </c>
      <c r="D982" s="189" t="s">
        <v>1362</v>
      </c>
      <c r="E982" s="189">
        <v>42308</v>
      </c>
      <c r="F982" s="190" t="s">
        <v>728</v>
      </c>
      <c r="G982" s="813" t="s">
        <v>727</v>
      </c>
      <c r="H982" s="191" t="s">
        <v>726</v>
      </c>
      <c r="I982" s="243"/>
      <c r="J982" s="243"/>
      <c r="K982" s="573">
        <v>385455</v>
      </c>
      <c r="L982" s="574" t="s">
        <v>251</v>
      </c>
      <c r="M982" s="574" t="s">
        <v>47</v>
      </c>
      <c r="N982" s="51" t="str">
        <f>IF(AND('331-CT'!$E$7=TH!H982,OR(L982="331",M982="331")),"331",IF(AND(OR(L982="131",M982="131"),H982='131-CT'!$E$7),"131",""))</f>
        <v/>
      </c>
      <c r="O982" s="51" t="str">
        <f>IF(AND($B982&gt;='111'!$N$11,$B982&lt;='111'!$O$11,OR($L982=$O$7,$M982=$O$7)),"x","")</f>
        <v>x</v>
      </c>
      <c r="P982" s="51" t="str">
        <f>IF(AND($L982=$O$7,$B982&lt;'111'!$N$11),"x","")</f>
        <v/>
      </c>
      <c r="Q982" s="51" t="str">
        <f>IF(AND($M982=$O$7,$B982&lt;'111'!$N$11),"x","")</f>
        <v/>
      </c>
      <c r="R982" s="51" t="str">
        <f>IF(ISERROR(FIND('112'!$M$9,G982,1)),"",IF((AND(FIND('112'!$M$9,G982,1)&gt;=1,$B982&gt;='112'!$N$8,$B982&lt;='112'!$O$8,OR($L982='112'!$I$6,$M982='112'!$I$6))),"x",""))</f>
        <v/>
      </c>
      <c r="S982" s="51" t="str">
        <f>IF(ISERROR(FIND('112'!$M$9,G982,1)),"",IF((AND(LEFT(G982,2)=LEFT('112'!$M$9,2),B982&lt;'112'!$N$8,$L982='112'!$I$6)),"x",""))</f>
        <v/>
      </c>
      <c r="T982" s="51" t="str">
        <f>IF(ISERROR(FIND('112'!$M$9,G982,1)),"",IF((AND(RIGHT(G982,2)=RIGHT('112'!$M$9,2),B982&lt;'112'!$N$8,$M982='112'!$I$6)),"x",""))</f>
        <v/>
      </c>
      <c r="U982" s="51" t="str">
        <f>IF(AND(L982="154",'154'!$O$5&lt;=B982,'154'!$P$5&gt;=B982),"154",IF(AND(L982="632",'632'!$L$5&lt;=B982,'632'!$M$5&gt;=B982),"632",IF(AND(L982="642",'642'!$N$5&lt;=B982,'642'!$O$5&gt;=B982),"642",IF(AND(L982="641",'641'!$N$5&lt;=B982,'641'!$O$5&gt;=B982),"641",""))))</f>
        <v/>
      </c>
      <c r="V982" s="51" t="str">
        <f>IF(OR(TH!L982=TH!$V$7,M982=TH!$V$7),"x","")</f>
        <v/>
      </c>
      <c r="W982" s="51" t="str">
        <f>IF(AND(B982&gt;='IN-NX'!$P$3,B982&lt;='IN-NX'!$Q$3,'IN-NX'!$D$7=D982,OR(LEFT(L982,2)="15",AND(LEFT(M982,2)&lt;&gt;"15",LEFT(M982,2)&lt;&gt;"33"))),"x","")</f>
        <v/>
      </c>
      <c r="X982" s="51" t="str">
        <f>IF(AND(OR(LEFT(TH!L982,2)="15",LEFT(TH!M982,2)="15"),'152-CT'!$J$8=TH!F982),"x","")</f>
        <v/>
      </c>
      <c r="Y982" s="51" t="str">
        <f>IF(AND(OR(LEFT(TH!L982,2)="15",LEFT(TH!M982,2)="15"),TK!$E$7=TH!F982),"x","")</f>
        <v/>
      </c>
      <c r="Z982" s="51" t="str">
        <f>IF(AND(B982&lt;=NKC!$N$8,B982&gt;=NKC!$M$8),"x","")</f>
        <v/>
      </c>
      <c r="AA982" s="803"/>
      <c r="AB982" s="565"/>
      <c r="AD982" s="565"/>
    </row>
    <row r="983" spans="1:31" ht="15.75" customHeight="1">
      <c r="A983" s="804" t="str">
        <f>IF(B983&lt;&gt;"",IF(AND(B983&gt;=_TM1,B983&lt;=_TM2,OR(TH!L983="1111",TH!M983="1111")),TH!D983,""),"")</f>
        <v/>
      </c>
      <c r="B983" s="36">
        <f t="shared" si="60"/>
        <v>10</v>
      </c>
      <c r="C983" s="189">
        <f t="shared" si="61"/>
        <v>42308</v>
      </c>
      <c r="D983" s="189" t="s">
        <v>1362</v>
      </c>
      <c r="E983" s="189">
        <v>42308</v>
      </c>
      <c r="F983" s="190" t="s">
        <v>729</v>
      </c>
      <c r="G983" s="813" t="s">
        <v>727</v>
      </c>
      <c r="H983" s="191" t="s">
        <v>726</v>
      </c>
      <c r="I983" s="243"/>
      <c r="J983" s="243"/>
      <c r="K983" s="573">
        <v>38545</v>
      </c>
      <c r="L983" s="574" t="s">
        <v>9</v>
      </c>
      <c r="M983" s="574" t="s">
        <v>47</v>
      </c>
      <c r="N983" s="51" t="str">
        <f>IF(AND('331-CT'!$E$7=TH!H983,OR(L983="331",M983="331")),"331",IF(AND(OR(L983="131",M983="131"),H983='131-CT'!$E$7),"131",""))</f>
        <v/>
      </c>
      <c r="O983" s="51" t="str">
        <f>IF(AND($B983&gt;='111'!$N$11,$B983&lt;='111'!$O$11,OR($L983=$O$7,$M983=$O$7)),"x","")</f>
        <v>x</v>
      </c>
      <c r="P983" s="51" t="str">
        <f>IF(AND($L983=$O$7,$B983&lt;'111'!$N$11),"x","")</f>
        <v/>
      </c>
      <c r="Q983" s="51" t="str">
        <f>IF(AND($M983=$O$7,$B983&lt;'111'!$N$11),"x","")</f>
        <v/>
      </c>
      <c r="R983" s="51" t="str">
        <f>IF(ISERROR(FIND('112'!$M$9,G983,1)),"",IF((AND(FIND('112'!$M$9,G983,1)&gt;=1,$B983&gt;='112'!$N$8,$B983&lt;='112'!$O$8,OR($L983='112'!$I$6,$M983='112'!$I$6))),"x",""))</f>
        <v/>
      </c>
      <c r="S983" s="51" t="str">
        <f>IF(ISERROR(FIND('112'!$M$9,G983,1)),"",IF((AND(LEFT(G983,2)=LEFT('112'!$M$9,2),B983&lt;'112'!$N$8,$L983='112'!$I$6)),"x",""))</f>
        <v/>
      </c>
      <c r="T983" s="51" t="str">
        <f>IF(ISERROR(FIND('112'!$M$9,G983,1)),"",IF((AND(RIGHT(G983,2)=RIGHT('112'!$M$9,2),B983&lt;'112'!$N$8,$M983='112'!$I$6)),"x",""))</f>
        <v/>
      </c>
      <c r="U983" s="51" t="str">
        <f>IF(AND(L983="154",'154'!$O$5&lt;=B983,'154'!$P$5&gt;=B983),"154",IF(AND(L983="632",'632'!$L$5&lt;=B983,'632'!$M$5&gt;=B983),"632",IF(AND(L983="642",'642'!$N$5&lt;=B983,'642'!$O$5&gt;=B983),"642",IF(AND(L983="641",'641'!$N$5&lt;=B983,'641'!$O$5&gt;=B983),"641",""))))</f>
        <v/>
      </c>
      <c r="V983" s="51" t="str">
        <f>IF(OR(TH!L983=TH!$V$7,M983=TH!$V$7),"x","")</f>
        <v/>
      </c>
      <c r="W983" s="51" t="str">
        <f>IF(AND(B983&gt;='IN-NX'!$P$3,B983&lt;='IN-NX'!$Q$3,'IN-NX'!$D$7=D983,OR(LEFT(L983,2)="15",AND(LEFT(M983,2)&lt;&gt;"15",LEFT(M983,2)&lt;&gt;"33"))),"x","")</f>
        <v/>
      </c>
      <c r="X983" s="51" t="str">
        <f>IF(AND(OR(LEFT(TH!L983,2)="15",LEFT(TH!M983,2)="15"),'152-CT'!$J$8=TH!F983),"x","")</f>
        <v/>
      </c>
      <c r="Y983" s="51" t="str">
        <f>IF(AND(OR(LEFT(TH!L983,2)="15",LEFT(TH!M983,2)="15"),TK!$E$7=TH!F983),"x","")</f>
        <v/>
      </c>
      <c r="Z983" s="51" t="str">
        <f>IF(AND(B983&lt;=NKC!$N$8,B983&gt;=NKC!$M$8),"x","")</f>
        <v/>
      </c>
      <c r="AA983" s="803">
        <v>4</v>
      </c>
      <c r="AB983" s="565"/>
      <c r="AC983" s="565"/>
      <c r="AD983" s="565"/>
    </row>
    <row r="984" spans="1:31" ht="15.75" customHeight="1">
      <c r="A984" s="804" t="str">
        <f>IF(B984&lt;&gt;"",IF(AND(B984&gt;=_TM1,B984&lt;=_TM2,OR(TH!L984="1111",TH!M984="1111")),TH!D984,""),"")</f>
        <v/>
      </c>
      <c r="B984" s="36">
        <f t="shared" si="60"/>
        <v>10</v>
      </c>
      <c r="C984" s="189">
        <f t="shared" si="61"/>
        <v>42308</v>
      </c>
      <c r="D984" s="189" t="s">
        <v>1363</v>
      </c>
      <c r="E984" s="189">
        <v>42308</v>
      </c>
      <c r="F984" s="917" t="s">
        <v>460</v>
      </c>
      <c r="G984" s="813" t="s">
        <v>731</v>
      </c>
      <c r="H984" s="191" t="s">
        <v>492</v>
      </c>
      <c r="I984" s="243"/>
      <c r="J984" s="243"/>
      <c r="K984" s="573">
        <v>9078362</v>
      </c>
      <c r="L984" s="574" t="s">
        <v>83</v>
      </c>
      <c r="M984" s="574" t="s">
        <v>47</v>
      </c>
      <c r="N984" s="51" t="str">
        <f>IF(AND('331-CT'!$E$7=TH!H984,OR(L984="331",M984="331")),"331",IF(AND(OR(L984="131",M984="131"),H984='131-CT'!$E$7),"131",""))</f>
        <v/>
      </c>
      <c r="O984" s="51" t="str">
        <f>IF(AND($B984&gt;='111'!$N$11,$B984&lt;='111'!$O$11,OR($L984=$O$7,$M984=$O$7)),"x","")</f>
        <v>x</v>
      </c>
      <c r="P984" s="51" t="str">
        <f>IF(AND($L984=$O$7,$B984&lt;'111'!$N$11),"x","")</f>
        <v/>
      </c>
      <c r="Q984" s="51" t="str">
        <f>IF(AND($M984=$O$7,$B984&lt;'111'!$N$11),"x","")</f>
        <v/>
      </c>
      <c r="R984" s="51" t="str">
        <f>IF(ISERROR(FIND('112'!$M$9,G984,1)),"",IF((AND(FIND('112'!$M$9,G984,1)&gt;=1,$B984&gt;='112'!$N$8,$B984&lt;='112'!$O$8,OR($L984='112'!$I$6,$M984='112'!$I$6))),"x",""))</f>
        <v/>
      </c>
      <c r="S984" s="51" t="str">
        <f>IF(ISERROR(FIND('112'!$M$9,G984,1)),"",IF((AND(LEFT(G984,2)=LEFT('112'!$M$9,2),B984&lt;'112'!$N$8,$L984='112'!$I$6)),"x",""))</f>
        <v/>
      </c>
      <c r="T984" s="51" t="str">
        <f>IF(ISERROR(FIND('112'!$M$9,G984,1)),"",IF((AND(RIGHT(G984,2)=RIGHT('112'!$M$9,2),B984&lt;'112'!$N$8,$M984='112'!$I$6)),"x",""))</f>
        <v/>
      </c>
      <c r="U984" s="51" t="str">
        <f>IF(AND(L984="154",'154'!$O$5&lt;=B984,'154'!$P$5&gt;=B984),"154",IF(AND(L984="632",'632'!$L$5&lt;=B984,'632'!$M$5&gt;=B984),"632",IF(AND(L984="642",'642'!$N$5&lt;=B984,'642'!$O$5&gt;=B984),"642",IF(AND(L984="641",'641'!$N$5&lt;=B984,'641'!$O$5&gt;=B984),"641",""))))</f>
        <v/>
      </c>
      <c r="V984" s="51" t="str">
        <f>IF(OR(TH!L984=TH!$V$7,M984=TH!$V$7),"x","")</f>
        <v>x</v>
      </c>
      <c r="W984" s="51" t="str">
        <f>IF(AND(B984&gt;='IN-NX'!$P$3,B984&lt;='IN-NX'!$Q$3,'IN-NX'!$D$7=D984,OR(LEFT(L984,2)="15",AND(LEFT(M984,2)&lt;&gt;"15",LEFT(M984,2)&lt;&gt;"33"))),"x","")</f>
        <v/>
      </c>
      <c r="X984" s="51" t="str">
        <f>IF(AND(OR(LEFT(TH!L984,2)="15",LEFT(TH!M984,2)="15"),'152-CT'!$J$8=TH!F984),"x","")</f>
        <v/>
      </c>
      <c r="Y984" s="51" t="str">
        <f>IF(AND(OR(LEFT(TH!L984,2)="15",LEFT(TH!M984,2)="15"),TK!$E$7=TH!F984),"x","")</f>
        <v/>
      </c>
      <c r="Z984" s="51" t="str">
        <f>IF(AND(B984&lt;=NKC!$N$8,B984&gt;=NKC!$M$8),"x","")</f>
        <v/>
      </c>
      <c r="AA984" s="803"/>
      <c r="AB984" s="565"/>
    </row>
    <row r="985" spans="1:31" ht="15.75" customHeight="1">
      <c r="A985" s="804" t="str">
        <f>IF(B985&lt;&gt;"",IF(AND(B985&gt;=_TM1,B985&lt;=_TM2,OR(TH!L985="1111",TH!M985="1111")),TH!D985,""),"")</f>
        <v/>
      </c>
      <c r="B985" s="36">
        <f t="shared" si="60"/>
        <v>10</v>
      </c>
      <c r="C985" s="189">
        <f t="shared" si="61"/>
        <v>42308</v>
      </c>
      <c r="D985" s="189" t="s">
        <v>1363</v>
      </c>
      <c r="E985" s="189">
        <v>42308</v>
      </c>
      <c r="F985" s="190" t="s">
        <v>461</v>
      </c>
      <c r="G985" s="813" t="s">
        <v>731</v>
      </c>
      <c r="H985" s="191" t="s">
        <v>492</v>
      </c>
      <c r="I985" s="243"/>
      <c r="J985" s="243"/>
      <c r="K985" s="573">
        <v>907836</v>
      </c>
      <c r="L985" s="574" t="s">
        <v>9</v>
      </c>
      <c r="M985" s="574" t="s">
        <v>47</v>
      </c>
      <c r="N985" s="51" t="str">
        <f>IF(AND('331-CT'!$E$7=TH!H985,OR(L985="331",M985="331")),"331",IF(AND(OR(L985="131",M985="131"),H985='131-CT'!$E$7),"131",""))</f>
        <v/>
      </c>
      <c r="O985" s="51" t="str">
        <f>IF(AND($B985&gt;='111'!$N$11,$B985&lt;='111'!$O$11,OR($L985=$O$7,$M985=$O$7)),"x","")</f>
        <v>x</v>
      </c>
      <c r="P985" s="51" t="str">
        <f>IF(AND($L985=$O$7,$B985&lt;'111'!$N$11),"x","")</f>
        <v/>
      </c>
      <c r="Q985" s="51" t="str">
        <f>IF(AND($M985=$O$7,$B985&lt;'111'!$N$11),"x","")</f>
        <v/>
      </c>
      <c r="R985" s="51" t="str">
        <f>IF(ISERROR(FIND('112'!$M$9,G985,1)),"",IF((AND(FIND('112'!$M$9,G985,1)&gt;=1,$B985&gt;='112'!$N$8,$B985&lt;='112'!$O$8,OR($L985='112'!$I$6,$M985='112'!$I$6))),"x",""))</f>
        <v/>
      </c>
      <c r="S985" s="51" t="str">
        <f>IF(ISERROR(FIND('112'!$M$9,G985,1)),"",IF((AND(LEFT(G985,2)=LEFT('112'!$M$9,2),B985&lt;'112'!$N$8,$L985='112'!$I$6)),"x",""))</f>
        <v/>
      </c>
      <c r="T985" s="51" t="str">
        <f>IF(ISERROR(FIND('112'!$M$9,G985,1)),"",IF((AND(RIGHT(G985,2)=RIGHT('112'!$M$9,2),B985&lt;'112'!$N$8,$M985='112'!$I$6)),"x",""))</f>
        <v/>
      </c>
      <c r="U985" s="51" t="str">
        <f>IF(AND(L985="154",'154'!$O$5&lt;=B985,'154'!$P$5&gt;=B985),"154",IF(AND(L985="632",'632'!$L$5&lt;=B985,'632'!$M$5&gt;=B985),"632",IF(AND(L985="642",'642'!$N$5&lt;=B985,'642'!$O$5&gt;=B985),"642",IF(AND(L985="641",'641'!$N$5&lt;=B985,'641'!$O$5&gt;=B985),"641",""))))</f>
        <v/>
      </c>
      <c r="V985" s="51" t="str">
        <f>IF(OR(TH!L985=TH!$V$7,M985=TH!$V$7),"x","")</f>
        <v/>
      </c>
      <c r="W985" s="51" t="str">
        <f>IF(AND(B985&gt;='IN-NX'!$P$3,B985&lt;='IN-NX'!$Q$3,'IN-NX'!$D$7=D985,OR(LEFT(L985,2)="15",AND(LEFT(M985,2)&lt;&gt;"15",LEFT(M985,2)&lt;&gt;"33"))),"x","")</f>
        <v/>
      </c>
      <c r="X985" s="51" t="str">
        <f>IF(AND(OR(LEFT(TH!L985,2)="15",LEFT(TH!M985,2)="15"),'152-CT'!$J$8=TH!F985),"x","")</f>
        <v/>
      </c>
      <c r="Y985" s="51" t="str">
        <f>IF(AND(OR(LEFT(TH!L985,2)="15",LEFT(TH!M985,2)="15"),TK!$E$7=TH!F985),"x","")</f>
        <v/>
      </c>
      <c r="Z985" s="51" t="str">
        <f>IF(AND(B985&lt;=NKC!$N$8,B985&gt;=NKC!$M$8),"x","")</f>
        <v/>
      </c>
      <c r="AA985" s="803">
        <v>4</v>
      </c>
      <c r="AB985" s="565"/>
    </row>
    <row r="986" spans="1:31" ht="15.75" customHeight="1">
      <c r="A986" s="804" t="str">
        <f>IF(B986&lt;&gt;"",IF(AND(B986&gt;=_TM1,B986&lt;=_TM2,OR(TH!L986="1111",TH!M986="1111")),TH!D986,""),"")</f>
        <v/>
      </c>
      <c r="B986" s="36">
        <f t="shared" si="60"/>
        <v>10</v>
      </c>
      <c r="C986" s="189">
        <f t="shared" si="61"/>
        <v>42308</v>
      </c>
      <c r="D986" s="189" t="s">
        <v>1402</v>
      </c>
      <c r="E986" s="189">
        <v>42308</v>
      </c>
      <c r="F986" s="190" t="s">
        <v>802</v>
      </c>
      <c r="G986" s="813" t="s">
        <v>801</v>
      </c>
      <c r="H986" s="191" t="s">
        <v>448</v>
      </c>
      <c r="I986" s="243">
        <v>35</v>
      </c>
      <c r="J986" s="243">
        <v>29250</v>
      </c>
      <c r="K986" s="573">
        <f t="shared" ref="K986:K1003" si="67">ROUND(I986*J986,0)</f>
        <v>1023750</v>
      </c>
      <c r="L986" s="574" t="s">
        <v>417</v>
      </c>
      <c r="M986" s="574" t="s">
        <v>8</v>
      </c>
      <c r="N986" s="51" t="str">
        <f>IF(AND('331-CT'!$E$7=TH!H986,OR(L986="331",M986="331")),"331",IF(AND(OR(L986="131",M986="131"),H986='131-CT'!$E$7),"131",""))</f>
        <v/>
      </c>
      <c r="O986" s="51" t="str">
        <f>IF(AND($B986&gt;='111'!$N$11,$B986&lt;='111'!$O$11,OR($L986=$O$7,$M986=$O$7)),"x","")</f>
        <v/>
      </c>
      <c r="P986" s="51" t="str">
        <f>IF(AND($L986=$O$7,$B986&lt;'111'!$N$11),"x","")</f>
        <v/>
      </c>
      <c r="Q986" s="51" t="str">
        <f>IF(AND($M986=$O$7,$B986&lt;'111'!$N$11),"x","")</f>
        <v/>
      </c>
      <c r="R986" s="51" t="str">
        <f>IF(ISERROR(FIND('112'!$M$9,G986,1)),"",IF((AND(FIND('112'!$M$9,G986,1)&gt;=1,$B986&gt;='112'!$N$8,$B986&lt;='112'!$O$8,OR($L986='112'!$I$6,$M986='112'!$I$6))),"x",""))</f>
        <v/>
      </c>
      <c r="S986" s="51" t="str">
        <f>IF(ISERROR(FIND('112'!$M$9,G986,1)),"",IF((AND(LEFT(G986,2)=LEFT('112'!$M$9,2),B986&lt;'112'!$N$8,$L986='112'!$I$6)),"x",""))</f>
        <v/>
      </c>
      <c r="T986" s="51" t="str">
        <f>IF(ISERROR(FIND('112'!$M$9,G986,1)),"",IF((AND(RIGHT(G986,2)=RIGHT('112'!$M$9,2),B986&lt;'112'!$N$8,$M986='112'!$I$6)),"x",""))</f>
        <v/>
      </c>
      <c r="U986" s="51" t="str">
        <f>IF(AND(L986="154",'154'!$O$5&lt;=B986,'154'!$P$5&gt;=B986),"154",IF(AND(L986="632",'632'!$L$5&lt;=B986,'632'!$M$5&gt;=B986),"632",IF(AND(L986="642",'642'!$N$5&lt;=B986,'642'!$O$5&gt;=B986),"642",IF(AND(L986="641",'641'!$N$5&lt;=B986,'641'!$O$5&gt;=B986),"641",""))))</f>
        <v/>
      </c>
      <c r="V986" s="51" t="str">
        <f>IF(OR(TH!L986=TH!$V$7,M986=TH!$V$7),"x","")</f>
        <v/>
      </c>
      <c r="W986" s="51" t="str">
        <f>IF(AND(B986&gt;='IN-NX'!$P$3,B986&lt;='IN-NX'!$Q$3,'IN-NX'!$D$7=D986,OR(LEFT(L986,2)="15",AND(LEFT(M986,2)&lt;&gt;"15",LEFT(M986,2)&lt;&gt;"33"))),"x","")</f>
        <v/>
      </c>
      <c r="X986" s="51" t="str">
        <f>IF(AND(OR(LEFT(TH!L986,2)="15",LEFT(TH!M986,2)="15"),'152-CT'!$J$8=TH!F986),"x","")</f>
        <v/>
      </c>
      <c r="Y986" s="51" t="str">
        <f>IF(AND(OR(LEFT(TH!L986,2)="15",LEFT(TH!M986,2)="15"),TK!$E$7=TH!F986),"x","")</f>
        <v/>
      </c>
      <c r="Z986" s="51" t="str">
        <f>IF(AND(B986&lt;=NKC!$N$8,B986&gt;=NKC!$M$8),"x","")</f>
        <v/>
      </c>
      <c r="AA986" s="803"/>
      <c r="AB986" s="565"/>
    </row>
    <row r="987" spans="1:31" ht="15.75" customHeight="1">
      <c r="A987" s="804" t="str">
        <f>IF(B987&lt;&gt;"",IF(AND(B987&gt;=_TM1,B987&lt;=_TM2,OR(TH!L987="1111",TH!M987="1111")),TH!D987,""),"")</f>
        <v/>
      </c>
      <c r="B987" s="36">
        <f t="shared" si="60"/>
        <v>10</v>
      </c>
      <c r="C987" s="189">
        <f t="shared" si="61"/>
        <v>42308</v>
      </c>
      <c r="D987" s="189" t="s">
        <v>1402</v>
      </c>
      <c r="E987" s="189">
        <v>42308</v>
      </c>
      <c r="F987" s="190" t="s">
        <v>803</v>
      </c>
      <c r="G987" s="813" t="s">
        <v>801</v>
      </c>
      <c r="H987" s="191" t="s">
        <v>448</v>
      </c>
      <c r="I987" s="243">
        <v>70</v>
      </c>
      <c r="J987" s="243">
        <v>16380</v>
      </c>
      <c r="K987" s="573">
        <f t="shared" si="67"/>
        <v>1146600</v>
      </c>
      <c r="L987" s="574" t="s">
        <v>417</v>
      </c>
      <c r="M987" s="574" t="s">
        <v>8</v>
      </c>
      <c r="N987" s="51" t="str">
        <f>IF(AND('331-CT'!$E$7=TH!H987,OR(L987="331",M987="331")),"331",IF(AND(OR(L987="131",M987="131"),H987='131-CT'!$E$7),"131",""))</f>
        <v/>
      </c>
      <c r="O987" s="51" t="str">
        <f>IF(AND($B987&gt;='111'!$N$11,$B987&lt;='111'!$O$11,OR($L987=$O$7,$M987=$O$7)),"x","")</f>
        <v/>
      </c>
      <c r="P987" s="51" t="str">
        <f>IF(AND($L987=$O$7,$B987&lt;'111'!$N$11),"x","")</f>
        <v/>
      </c>
      <c r="Q987" s="51" t="str">
        <f>IF(AND($M987=$O$7,$B987&lt;'111'!$N$11),"x","")</f>
        <v/>
      </c>
      <c r="R987" s="51" t="str">
        <f>IF(ISERROR(FIND('112'!$M$9,G987,1)),"",IF((AND(FIND('112'!$M$9,G987,1)&gt;=1,$B987&gt;='112'!$N$8,$B987&lt;='112'!$O$8,OR($L987='112'!$I$6,$M987='112'!$I$6))),"x",""))</f>
        <v/>
      </c>
      <c r="S987" s="51" t="str">
        <f>IF(ISERROR(FIND('112'!$M$9,G987,1)),"",IF((AND(LEFT(G987,2)=LEFT('112'!$M$9,2),B987&lt;'112'!$N$8,$L987='112'!$I$6)),"x",""))</f>
        <v/>
      </c>
      <c r="T987" s="51" t="str">
        <f>IF(ISERROR(FIND('112'!$M$9,G987,1)),"",IF((AND(RIGHT(G987,2)=RIGHT('112'!$M$9,2),B987&lt;'112'!$N$8,$M987='112'!$I$6)),"x",""))</f>
        <v/>
      </c>
      <c r="U987" s="51" t="str">
        <f>IF(AND(L987="154",'154'!$O$5&lt;=B987,'154'!$P$5&gt;=B987),"154",IF(AND(L987="632",'632'!$L$5&lt;=B987,'632'!$M$5&gt;=B987),"632",IF(AND(L987="642",'642'!$N$5&lt;=B987,'642'!$O$5&gt;=B987),"642",IF(AND(L987="641",'641'!$N$5&lt;=B987,'641'!$O$5&gt;=B987),"641",""))))</f>
        <v/>
      </c>
      <c r="V987" s="51" t="str">
        <f>IF(OR(TH!L987=TH!$V$7,M987=TH!$V$7),"x","")</f>
        <v/>
      </c>
      <c r="W987" s="51" t="str">
        <f>IF(AND(B987&gt;='IN-NX'!$P$3,B987&lt;='IN-NX'!$Q$3,'IN-NX'!$D$7=D987,OR(LEFT(L987,2)="15",AND(LEFT(M987,2)&lt;&gt;"15",LEFT(M987,2)&lt;&gt;"33"))),"x","")</f>
        <v/>
      </c>
      <c r="X987" s="51" t="str">
        <f>IF(AND(OR(LEFT(TH!L987,2)="15",LEFT(TH!M987,2)="15"),'152-CT'!$J$8=TH!F987),"x","")</f>
        <v/>
      </c>
      <c r="Y987" s="51" t="str">
        <f>IF(AND(OR(LEFT(TH!L987,2)="15",LEFT(TH!M987,2)="15"),TK!$E$7=TH!F987),"x","")</f>
        <v/>
      </c>
      <c r="Z987" s="51" t="str">
        <f>IF(AND(B987&lt;=NKC!$N$8,B987&gt;=NKC!$M$8),"x","")</f>
        <v/>
      </c>
      <c r="AA987" s="803"/>
      <c r="AB987" s="565"/>
    </row>
    <row r="988" spans="1:31" ht="15.75" customHeight="1">
      <c r="A988" s="804" t="str">
        <f>IF(B988&lt;&gt;"",IF(AND(B988&gt;=_TM1,B988&lt;=_TM2,OR(TH!L988="1111",TH!M988="1111")),TH!D988,""),"")</f>
        <v/>
      </c>
      <c r="B988" s="36">
        <f t="shared" si="60"/>
        <v>10</v>
      </c>
      <c r="C988" s="189">
        <f t="shared" si="61"/>
        <v>42308</v>
      </c>
      <c r="D988" s="189" t="s">
        <v>1402</v>
      </c>
      <c r="E988" s="189">
        <v>42308</v>
      </c>
      <c r="F988" s="917" t="s">
        <v>804</v>
      </c>
      <c r="G988" s="813" t="s">
        <v>801</v>
      </c>
      <c r="H988" s="191" t="s">
        <v>448</v>
      </c>
      <c r="I988" s="243">
        <v>74</v>
      </c>
      <c r="J988" s="243">
        <v>9009</v>
      </c>
      <c r="K988" s="573">
        <f t="shared" si="67"/>
        <v>666666</v>
      </c>
      <c r="L988" s="574" t="s">
        <v>417</v>
      </c>
      <c r="M988" s="574" t="s">
        <v>8</v>
      </c>
      <c r="N988" s="51" t="str">
        <f>IF(AND('331-CT'!$E$7=TH!H988,OR(L988="331",M988="331")),"331",IF(AND(OR(L988="131",M988="131"),H988='131-CT'!$E$7),"131",""))</f>
        <v/>
      </c>
      <c r="O988" s="51" t="str">
        <f>IF(AND($B988&gt;='111'!$N$11,$B988&lt;='111'!$O$11,OR($L988=$O$7,$M988=$O$7)),"x","")</f>
        <v/>
      </c>
      <c r="P988" s="51" t="str">
        <f>IF(AND($L988=$O$7,$B988&lt;'111'!$N$11),"x","")</f>
        <v/>
      </c>
      <c r="Q988" s="51" t="str">
        <f>IF(AND($M988=$O$7,$B988&lt;'111'!$N$11),"x","")</f>
        <v/>
      </c>
      <c r="R988" s="51" t="str">
        <f>IF(ISERROR(FIND('112'!$M$9,G988,1)),"",IF((AND(FIND('112'!$M$9,G988,1)&gt;=1,$B988&gt;='112'!$N$8,$B988&lt;='112'!$O$8,OR($L988='112'!$I$6,$M988='112'!$I$6))),"x",""))</f>
        <v/>
      </c>
      <c r="S988" s="51" t="str">
        <f>IF(ISERROR(FIND('112'!$M$9,G988,1)),"",IF((AND(LEFT(G988,2)=LEFT('112'!$M$9,2),B988&lt;'112'!$N$8,$L988='112'!$I$6)),"x",""))</f>
        <v/>
      </c>
      <c r="T988" s="51" t="str">
        <f>IF(ISERROR(FIND('112'!$M$9,G988,1)),"",IF((AND(RIGHT(G988,2)=RIGHT('112'!$M$9,2),B988&lt;'112'!$N$8,$M988='112'!$I$6)),"x",""))</f>
        <v/>
      </c>
      <c r="U988" s="51" t="str">
        <f>IF(AND(L988="154",'154'!$O$5&lt;=B988,'154'!$P$5&gt;=B988),"154",IF(AND(L988="632",'632'!$L$5&lt;=B988,'632'!$M$5&gt;=B988),"632",IF(AND(L988="642",'642'!$N$5&lt;=B988,'642'!$O$5&gt;=B988),"642",IF(AND(L988="641",'641'!$N$5&lt;=B988,'641'!$O$5&gt;=B988),"641",""))))</f>
        <v/>
      </c>
      <c r="V988" s="51" t="str">
        <f>IF(OR(TH!L988=TH!$V$7,M988=TH!$V$7),"x","")</f>
        <v/>
      </c>
      <c r="W988" s="51" t="str">
        <f>IF(AND(B988&gt;='IN-NX'!$P$3,B988&lt;='IN-NX'!$Q$3,'IN-NX'!$D$7=D988,OR(LEFT(L988,2)="15",AND(LEFT(M988,2)&lt;&gt;"15",LEFT(M988,2)&lt;&gt;"33"))),"x","")</f>
        <v/>
      </c>
      <c r="X988" s="51" t="str">
        <f>IF(AND(OR(LEFT(TH!L988,2)="15",LEFT(TH!M988,2)="15"),'152-CT'!$J$8=TH!F988),"x","")</f>
        <v/>
      </c>
      <c r="Y988" s="51" t="str">
        <f>IF(AND(OR(LEFT(TH!L988,2)="15",LEFT(TH!M988,2)="15"),TK!$E$7=TH!F988),"x","")</f>
        <v/>
      </c>
      <c r="Z988" s="51" t="str">
        <f>IF(AND(B988&lt;=NKC!$N$8,B988&gt;=NKC!$M$8),"x","")</f>
        <v/>
      </c>
      <c r="AA988" s="803"/>
      <c r="AB988" s="565"/>
    </row>
    <row r="989" spans="1:31" ht="15.75" customHeight="1">
      <c r="A989" s="804" t="str">
        <f>IF(B989&lt;&gt;"",IF(AND(B989&gt;=_TM1,B989&lt;=_TM2,OR(TH!L989="1111",TH!M989="1111")),TH!D989,""),"")</f>
        <v/>
      </c>
      <c r="B989" s="36">
        <f t="shared" ref="B989:B1052" si="68">IF(C989&lt;&gt;"",MONTH(C989),"")</f>
        <v>10</v>
      </c>
      <c r="C989" s="189">
        <f t="shared" ref="C989:C1052" si="69">E989</f>
        <v>42308</v>
      </c>
      <c r="D989" s="189" t="s">
        <v>1402</v>
      </c>
      <c r="E989" s="189">
        <v>42308</v>
      </c>
      <c r="F989" s="190" t="s">
        <v>805</v>
      </c>
      <c r="G989" s="813" t="s">
        <v>801</v>
      </c>
      <c r="H989" s="191" t="s">
        <v>448</v>
      </c>
      <c r="I989" s="243">
        <v>54</v>
      </c>
      <c r="J989" s="243">
        <v>25506</v>
      </c>
      <c r="K989" s="573">
        <f t="shared" si="67"/>
        <v>1377324</v>
      </c>
      <c r="L989" s="574" t="s">
        <v>417</v>
      </c>
      <c r="M989" s="574" t="s">
        <v>8</v>
      </c>
      <c r="N989" s="51" t="str">
        <f>IF(AND('331-CT'!$E$7=TH!H989,OR(L989="331",M989="331")),"331",IF(AND(OR(L989="131",M989="131"),H989='131-CT'!$E$7),"131",""))</f>
        <v/>
      </c>
      <c r="O989" s="51" t="str">
        <f>IF(AND($B989&gt;='111'!$N$11,$B989&lt;='111'!$O$11,OR($L989=$O$7,$M989=$O$7)),"x","")</f>
        <v/>
      </c>
      <c r="P989" s="51" t="str">
        <f>IF(AND($L989=$O$7,$B989&lt;'111'!$N$11),"x","")</f>
        <v/>
      </c>
      <c r="Q989" s="51" t="str">
        <f>IF(AND($M989=$O$7,$B989&lt;'111'!$N$11),"x","")</f>
        <v/>
      </c>
      <c r="R989" s="51" t="str">
        <f>IF(ISERROR(FIND('112'!$M$9,G989,1)),"",IF((AND(FIND('112'!$M$9,G989,1)&gt;=1,$B989&gt;='112'!$N$8,$B989&lt;='112'!$O$8,OR($L989='112'!$I$6,$M989='112'!$I$6))),"x",""))</f>
        <v/>
      </c>
      <c r="S989" s="51" t="str">
        <f>IF(ISERROR(FIND('112'!$M$9,G989,1)),"",IF((AND(LEFT(G989,2)=LEFT('112'!$M$9,2),B989&lt;'112'!$N$8,$L989='112'!$I$6)),"x",""))</f>
        <v/>
      </c>
      <c r="T989" s="51" t="str">
        <f>IF(ISERROR(FIND('112'!$M$9,G989,1)),"",IF((AND(RIGHT(G989,2)=RIGHT('112'!$M$9,2),B989&lt;'112'!$N$8,$M989='112'!$I$6)),"x",""))</f>
        <v/>
      </c>
      <c r="U989" s="51" t="str">
        <f>IF(AND(L989="154",'154'!$O$5&lt;=B989,'154'!$P$5&gt;=B989),"154",IF(AND(L989="632",'632'!$L$5&lt;=B989,'632'!$M$5&gt;=B989),"632",IF(AND(L989="642",'642'!$N$5&lt;=B989,'642'!$O$5&gt;=B989),"642",IF(AND(L989="641",'641'!$N$5&lt;=B989,'641'!$O$5&gt;=B989),"641",""))))</f>
        <v/>
      </c>
      <c r="V989" s="51" t="str">
        <f>IF(OR(TH!L989=TH!$V$7,M989=TH!$V$7),"x","")</f>
        <v/>
      </c>
      <c r="W989" s="51" t="str">
        <f>IF(AND(B989&gt;='IN-NX'!$P$3,B989&lt;='IN-NX'!$Q$3,'IN-NX'!$D$7=D989,OR(LEFT(L989,2)="15",AND(LEFT(M989,2)&lt;&gt;"15",LEFT(M989,2)&lt;&gt;"33"))),"x","")</f>
        <v/>
      </c>
      <c r="X989" s="51" t="str">
        <f>IF(AND(OR(LEFT(TH!L989,2)="15",LEFT(TH!M989,2)="15"),'152-CT'!$J$8=TH!F989),"x","")</f>
        <v/>
      </c>
      <c r="Y989" s="51" t="str">
        <f>IF(AND(OR(LEFT(TH!L989,2)="15",LEFT(TH!M989,2)="15"),TK!$E$7=TH!F989),"x","")</f>
        <v/>
      </c>
      <c r="Z989" s="51" t="str">
        <f>IF(AND(B989&lt;=NKC!$N$8,B989&gt;=NKC!$M$8),"x","")</f>
        <v/>
      </c>
      <c r="AA989" s="803"/>
      <c r="AB989" s="565"/>
    </row>
    <row r="990" spans="1:31" ht="15.75" customHeight="1">
      <c r="A990" s="804" t="str">
        <f>IF(B990&lt;&gt;"",IF(AND(B990&gt;=_TM1,B990&lt;=_TM2,OR(TH!L990="1111",TH!M990="1111")),TH!D990,""),"")</f>
        <v/>
      </c>
      <c r="B990" s="36">
        <f t="shared" si="68"/>
        <v>10</v>
      </c>
      <c r="C990" s="189">
        <f t="shared" si="69"/>
        <v>42308</v>
      </c>
      <c r="D990" s="189" t="s">
        <v>1402</v>
      </c>
      <c r="E990" s="189">
        <v>42308</v>
      </c>
      <c r="F990" s="190" t="s">
        <v>806</v>
      </c>
      <c r="G990" s="813" t="s">
        <v>801</v>
      </c>
      <c r="H990" s="191" t="s">
        <v>448</v>
      </c>
      <c r="I990" s="243">
        <v>24</v>
      </c>
      <c r="J990" s="243">
        <v>23634</v>
      </c>
      <c r="K990" s="573">
        <f t="shared" si="67"/>
        <v>567216</v>
      </c>
      <c r="L990" s="574" t="s">
        <v>417</v>
      </c>
      <c r="M990" s="574" t="s">
        <v>8</v>
      </c>
      <c r="N990" s="51" t="str">
        <f>IF(AND('331-CT'!$E$7=TH!H990,OR(L990="331",M990="331")),"331",IF(AND(OR(L990="131",M990="131"),H990='131-CT'!$E$7),"131",""))</f>
        <v/>
      </c>
      <c r="O990" s="51" t="str">
        <f>IF(AND($B990&gt;='111'!$N$11,$B990&lt;='111'!$O$11,OR($L990=$O$7,$M990=$O$7)),"x","")</f>
        <v/>
      </c>
      <c r="P990" s="51" t="str">
        <f>IF(AND($L990=$O$7,$B990&lt;'111'!$N$11),"x","")</f>
        <v/>
      </c>
      <c r="Q990" s="51" t="str">
        <f>IF(AND($M990=$O$7,$B990&lt;'111'!$N$11),"x","")</f>
        <v/>
      </c>
      <c r="R990" s="51" t="str">
        <f>IF(ISERROR(FIND('112'!$M$9,G990,1)),"",IF((AND(FIND('112'!$M$9,G990,1)&gt;=1,$B990&gt;='112'!$N$8,$B990&lt;='112'!$O$8,OR($L990='112'!$I$6,$M990='112'!$I$6))),"x",""))</f>
        <v/>
      </c>
      <c r="S990" s="51" t="str">
        <f>IF(ISERROR(FIND('112'!$M$9,G990,1)),"",IF((AND(LEFT(G990,2)=LEFT('112'!$M$9,2),B990&lt;'112'!$N$8,$L990='112'!$I$6)),"x",""))</f>
        <v/>
      </c>
      <c r="T990" s="51" t="str">
        <f>IF(ISERROR(FIND('112'!$M$9,G990,1)),"",IF((AND(RIGHT(G990,2)=RIGHT('112'!$M$9,2),B990&lt;'112'!$N$8,$M990='112'!$I$6)),"x",""))</f>
        <v/>
      </c>
      <c r="U990" s="51" t="str">
        <f>IF(AND(L990="154",'154'!$O$5&lt;=B990,'154'!$P$5&gt;=B990),"154",IF(AND(L990="632",'632'!$L$5&lt;=B990,'632'!$M$5&gt;=B990),"632",IF(AND(L990="642",'642'!$N$5&lt;=B990,'642'!$O$5&gt;=B990),"642",IF(AND(L990="641",'641'!$N$5&lt;=B990,'641'!$O$5&gt;=B990),"641",""))))</f>
        <v/>
      </c>
      <c r="V990" s="51" t="str">
        <f>IF(OR(TH!L990=TH!$V$7,M990=TH!$V$7),"x","")</f>
        <v/>
      </c>
      <c r="W990" s="51" t="str">
        <f>IF(AND(B990&gt;='IN-NX'!$P$3,B990&lt;='IN-NX'!$Q$3,'IN-NX'!$D$7=D990,OR(LEFT(L990,2)="15",AND(LEFT(M990,2)&lt;&gt;"15",LEFT(M990,2)&lt;&gt;"33"))),"x","")</f>
        <v/>
      </c>
      <c r="X990" s="51" t="str">
        <f>IF(AND(OR(LEFT(TH!L990,2)="15",LEFT(TH!M990,2)="15"),'152-CT'!$J$8=TH!F990),"x","")</f>
        <v/>
      </c>
      <c r="Y990" s="51" t="str">
        <f>IF(AND(OR(LEFT(TH!L990,2)="15",LEFT(TH!M990,2)="15"),TK!$E$7=TH!F990),"x","")</f>
        <v/>
      </c>
      <c r="Z990" s="51" t="str">
        <f>IF(AND(B990&lt;=NKC!$N$8,B990&gt;=NKC!$M$8),"x","")</f>
        <v/>
      </c>
      <c r="AA990" s="803"/>
      <c r="AB990" s="565"/>
    </row>
    <row r="991" spans="1:31" ht="15.75" customHeight="1">
      <c r="A991" s="804" t="str">
        <f>IF(B991&lt;&gt;"",IF(AND(B991&gt;=_TM1,B991&lt;=_TM2,OR(TH!L991="1111",TH!M991="1111")),TH!D991,""),"")</f>
        <v/>
      </c>
      <c r="B991" s="36">
        <f t="shared" si="68"/>
        <v>10</v>
      </c>
      <c r="C991" s="189">
        <f t="shared" si="69"/>
        <v>42308</v>
      </c>
      <c r="D991" s="189" t="s">
        <v>1402</v>
      </c>
      <c r="E991" s="189">
        <v>42308</v>
      </c>
      <c r="F991" s="917" t="s">
        <v>807</v>
      </c>
      <c r="G991" s="813" t="s">
        <v>801</v>
      </c>
      <c r="H991" s="191" t="s">
        <v>448</v>
      </c>
      <c r="I991" s="243">
        <v>70</v>
      </c>
      <c r="J991" s="243">
        <v>8325</v>
      </c>
      <c r="K991" s="573">
        <f t="shared" si="67"/>
        <v>582750</v>
      </c>
      <c r="L991" s="574" t="s">
        <v>417</v>
      </c>
      <c r="M991" s="574" t="s">
        <v>8</v>
      </c>
      <c r="N991" s="51" t="str">
        <f>IF(AND('331-CT'!$E$7=TH!H991,OR(L991="331",M991="331")),"331",IF(AND(OR(L991="131",M991="131"),H991='131-CT'!$E$7),"131",""))</f>
        <v/>
      </c>
      <c r="O991" s="51" t="str">
        <f>IF(AND($B991&gt;='111'!$N$11,$B991&lt;='111'!$O$11,OR($L991=$O$7,$M991=$O$7)),"x","")</f>
        <v/>
      </c>
      <c r="P991" s="51" t="str">
        <f>IF(AND($L991=$O$7,$B991&lt;'111'!$N$11),"x","")</f>
        <v/>
      </c>
      <c r="Q991" s="51" t="str">
        <f>IF(AND($M991=$O$7,$B991&lt;'111'!$N$11),"x","")</f>
        <v/>
      </c>
      <c r="R991" s="51" t="str">
        <f>IF(ISERROR(FIND('112'!$M$9,G991,1)),"",IF((AND(FIND('112'!$M$9,G991,1)&gt;=1,$B991&gt;='112'!$N$8,$B991&lt;='112'!$O$8,OR($L991='112'!$I$6,$M991='112'!$I$6))),"x",""))</f>
        <v/>
      </c>
      <c r="S991" s="51" t="str">
        <f>IF(ISERROR(FIND('112'!$M$9,G991,1)),"",IF((AND(LEFT(G991,2)=LEFT('112'!$M$9,2),B991&lt;'112'!$N$8,$L991='112'!$I$6)),"x",""))</f>
        <v/>
      </c>
      <c r="T991" s="51" t="str">
        <f>IF(ISERROR(FIND('112'!$M$9,G991,1)),"",IF((AND(RIGHT(G991,2)=RIGHT('112'!$M$9,2),B991&lt;'112'!$N$8,$M991='112'!$I$6)),"x",""))</f>
        <v/>
      </c>
      <c r="U991" s="51" t="str">
        <f>IF(AND(L991="154",'154'!$O$5&lt;=B991,'154'!$P$5&gt;=B991),"154",IF(AND(L991="632",'632'!$L$5&lt;=B991,'632'!$M$5&gt;=B991),"632",IF(AND(L991="642",'642'!$N$5&lt;=B991,'642'!$O$5&gt;=B991),"642",IF(AND(L991="641",'641'!$N$5&lt;=B991,'641'!$O$5&gt;=B991),"641",""))))</f>
        <v/>
      </c>
      <c r="V991" s="51" t="str">
        <f>IF(OR(TH!L991=TH!$V$7,M991=TH!$V$7),"x","")</f>
        <v/>
      </c>
      <c r="W991" s="51" t="str">
        <f>IF(AND(B991&gt;='IN-NX'!$P$3,B991&lt;='IN-NX'!$Q$3,'IN-NX'!$D$7=D991,OR(LEFT(L991,2)="15",AND(LEFT(M991,2)&lt;&gt;"15",LEFT(M991,2)&lt;&gt;"33"))),"x","")</f>
        <v/>
      </c>
      <c r="X991" s="51" t="str">
        <f>IF(AND(OR(LEFT(TH!L991,2)="15",LEFT(TH!M991,2)="15"),'152-CT'!$J$8=TH!F991),"x","")</f>
        <v/>
      </c>
      <c r="Y991" s="51" t="str">
        <f>IF(AND(OR(LEFT(TH!L991,2)="15",LEFT(TH!M991,2)="15"),TK!$E$7=TH!F991),"x","")</f>
        <v/>
      </c>
      <c r="Z991" s="51" t="str">
        <f>IF(AND(B991&lt;=NKC!$N$8,B991&gt;=NKC!$M$8),"x","")</f>
        <v/>
      </c>
      <c r="AA991" s="803"/>
      <c r="AB991" s="565"/>
    </row>
    <row r="992" spans="1:31" ht="15.75" customHeight="1">
      <c r="A992" s="804" t="str">
        <f>IF(B992&lt;&gt;"",IF(AND(B992&gt;=_TM1,B992&lt;=_TM2,OR(TH!L992="1111",TH!M992="1111")),TH!D992,""),"")</f>
        <v/>
      </c>
      <c r="B992" s="36">
        <f t="shared" si="68"/>
        <v>10</v>
      </c>
      <c r="C992" s="189">
        <f t="shared" si="69"/>
        <v>42308</v>
      </c>
      <c r="D992" s="189" t="s">
        <v>1402</v>
      </c>
      <c r="E992" s="189">
        <v>42308</v>
      </c>
      <c r="F992" s="190" t="s">
        <v>808</v>
      </c>
      <c r="G992" s="813" t="s">
        <v>801</v>
      </c>
      <c r="H992" s="191" t="s">
        <v>448</v>
      </c>
      <c r="I992" s="243">
        <v>54</v>
      </c>
      <c r="J992" s="243">
        <v>24075</v>
      </c>
      <c r="K992" s="573">
        <f t="shared" si="67"/>
        <v>1300050</v>
      </c>
      <c r="L992" s="574" t="s">
        <v>417</v>
      </c>
      <c r="M992" s="574" t="s">
        <v>8</v>
      </c>
      <c r="N992" s="51" t="str">
        <f>IF(AND('331-CT'!$E$7=TH!H992,OR(L992="331",M992="331")),"331",IF(AND(OR(L992="131",M992="131"),H992='131-CT'!$E$7),"131",""))</f>
        <v/>
      </c>
      <c r="O992" s="51" t="str">
        <f>IF(AND($B992&gt;='111'!$N$11,$B992&lt;='111'!$O$11,OR($L992=$O$7,$M992=$O$7)),"x","")</f>
        <v/>
      </c>
      <c r="P992" s="51" t="str">
        <f>IF(AND($L992=$O$7,$B992&lt;'111'!$N$11),"x","")</f>
        <v/>
      </c>
      <c r="Q992" s="51" t="str">
        <f>IF(AND($M992=$O$7,$B992&lt;'111'!$N$11),"x","")</f>
        <v/>
      </c>
      <c r="R992" s="51" t="str">
        <f>IF(ISERROR(FIND('112'!$M$9,G992,1)),"",IF((AND(FIND('112'!$M$9,G992,1)&gt;=1,$B992&gt;='112'!$N$8,$B992&lt;='112'!$O$8,OR($L992='112'!$I$6,$M992='112'!$I$6))),"x",""))</f>
        <v/>
      </c>
      <c r="S992" s="51" t="str">
        <f>IF(ISERROR(FIND('112'!$M$9,G992,1)),"",IF((AND(LEFT(G992,2)=LEFT('112'!$M$9,2),B992&lt;'112'!$N$8,$L992='112'!$I$6)),"x",""))</f>
        <v/>
      </c>
      <c r="T992" s="51" t="str">
        <f>IF(ISERROR(FIND('112'!$M$9,G992,1)),"",IF((AND(RIGHT(G992,2)=RIGHT('112'!$M$9,2),B992&lt;'112'!$N$8,$M992='112'!$I$6)),"x",""))</f>
        <v/>
      </c>
      <c r="U992" s="51" t="str">
        <f>IF(AND(L992="154",'154'!$O$5&lt;=B992,'154'!$P$5&gt;=B992),"154",IF(AND(L992="632",'632'!$L$5&lt;=B992,'632'!$M$5&gt;=B992),"632",IF(AND(L992="642",'642'!$N$5&lt;=B992,'642'!$O$5&gt;=B992),"642",IF(AND(L992="641",'641'!$N$5&lt;=B992,'641'!$O$5&gt;=B992),"641",""))))</f>
        <v/>
      </c>
      <c r="V992" s="51" t="str">
        <f>IF(OR(TH!L992=TH!$V$7,M992=TH!$V$7),"x","")</f>
        <v/>
      </c>
      <c r="W992" s="51" t="str">
        <f>IF(AND(B992&gt;='IN-NX'!$P$3,B992&lt;='IN-NX'!$Q$3,'IN-NX'!$D$7=D992,OR(LEFT(L992,2)="15",AND(LEFT(M992,2)&lt;&gt;"15",LEFT(M992,2)&lt;&gt;"33"))),"x","")</f>
        <v/>
      </c>
      <c r="X992" s="51" t="str">
        <f>IF(AND(OR(LEFT(TH!L992,2)="15",LEFT(TH!M992,2)="15"),'152-CT'!$J$8=TH!F992),"x","")</f>
        <v/>
      </c>
      <c r="Y992" s="51" t="str">
        <f>IF(AND(OR(LEFT(TH!L992,2)="15",LEFT(TH!M992,2)="15"),TK!$E$7=TH!F992),"x","")</f>
        <v/>
      </c>
      <c r="Z992" s="51" t="str">
        <f>IF(AND(B992&lt;=NKC!$N$8,B992&gt;=NKC!$M$8),"x","")</f>
        <v/>
      </c>
      <c r="AA992" s="803"/>
      <c r="AB992" s="565"/>
    </row>
    <row r="993" spans="1:31" ht="15.75" customHeight="1">
      <c r="A993" s="804" t="str">
        <f>IF(B993&lt;&gt;"",IF(AND(B993&gt;=_TM1,B993&lt;=_TM2,OR(TH!L993="1111",TH!M993="1111")),TH!D993,""),"")</f>
        <v/>
      </c>
      <c r="B993" s="36">
        <f t="shared" si="68"/>
        <v>10</v>
      </c>
      <c r="C993" s="189">
        <f t="shared" si="69"/>
        <v>42308</v>
      </c>
      <c r="D993" s="189" t="s">
        <v>1402</v>
      </c>
      <c r="E993" s="189">
        <v>42308</v>
      </c>
      <c r="F993" s="190" t="s">
        <v>809</v>
      </c>
      <c r="G993" s="813" t="s">
        <v>801</v>
      </c>
      <c r="H993" s="191" t="s">
        <v>448</v>
      </c>
      <c r="I993" s="243">
        <v>35</v>
      </c>
      <c r="J993" s="243">
        <v>27788</v>
      </c>
      <c r="K993" s="573">
        <f t="shared" si="67"/>
        <v>972580</v>
      </c>
      <c r="L993" s="574" t="s">
        <v>417</v>
      </c>
      <c r="M993" s="574" t="s">
        <v>8</v>
      </c>
      <c r="N993" s="51" t="str">
        <f>IF(AND('331-CT'!$E$7=TH!H993,OR(L993="331",M993="331")),"331",IF(AND(OR(L993="131",M993="131"),H993='131-CT'!$E$7),"131",""))</f>
        <v/>
      </c>
      <c r="O993" s="51" t="str">
        <f>IF(AND($B993&gt;='111'!$N$11,$B993&lt;='111'!$O$11,OR($L993=$O$7,$M993=$O$7)),"x","")</f>
        <v/>
      </c>
      <c r="P993" s="51" t="str">
        <f>IF(AND($L993=$O$7,$B993&lt;'111'!$N$11),"x","")</f>
        <v/>
      </c>
      <c r="Q993" s="51" t="str">
        <f>IF(AND($M993=$O$7,$B993&lt;'111'!$N$11),"x","")</f>
        <v/>
      </c>
      <c r="R993" s="51" t="str">
        <f>IF(ISERROR(FIND('112'!$M$9,G993,1)),"",IF((AND(FIND('112'!$M$9,G993,1)&gt;=1,$B993&gt;='112'!$N$8,$B993&lt;='112'!$O$8,OR($L993='112'!$I$6,$M993='112'!$I$6))),"x",""))</f>
        <v/>
      </c>
      <c r="S993" s="51" t="str">
        <f>IF(ISERROR(FIND('112'!$M$9,G993,1)),"",IF((AND(LEFT(G993,2)=LEFT('112'!$M$9,2),B993&lt;'112'!$N$8,$L993='112'!$I$6)),"x",""))</f>
        <v/>
      </c>
      <c r="T993" s="51" t="str">
        <f>IF(ISERROR(FIND('112'!$M$9,G993,1)),"",IF((AND(RIGHT(G993,2)=RIGHT('112'!$M$9,2),B993&lt;'112'!$N$8,$M993='112'!$I$6)),"x",""))</f>
        <v/>
      </c>
      <c r="U993" s="51" t="str">
        <f>IF(AND(L993="154",'154'!$O$5&lt;=B993,'154'!$P$5&gt;=B993),"154",IF(AND(L993="632",'632'!$L$5&lt;=B993,'632'!$M$5&gt;=B993),"632",IF(AND(L993="642",'642'!$N$5&lt;=B993,'642'!$O$5&gt;=B993),"642",IF(AND(L993="641",'641'!$N$5&lt;=B993,'641'!$O$5&gt;=B993),"641",""))))</f>
        <v/>
      </c>
      <c r="V993" s="51" t="str">
        <f>IF(OR(TH!L993=TH!$V$7,M993=TH!$V$7),"x","")</f>
        <v/>
      </c>
      <c r="W993" s="51" t="str">
        <f>IF(AND(B993&gt;='IN-NX'!$P$3,B993&lt;='IN-NX'!$Q$3,'IN-NX'!$D$7=D993,OR(LEFT(L993,2)="15",AND(LEFT(M993,2)&lt;&gt;"15",LEFT(M993,2)&lt;&gt;"33"))),"x","")</f>
        <v/>
      </c>
      <c r="X993" s="51" t="str">
        <f>IF(AND(OR(LEFT(TH!L993,2)="15",LEFT(TH!M993,2)="15"),'152-CT'!$J$8=TH!F993),"x","")</f>
        <v/>
      </c>
      <c r="Y993" s="51" t="str">
        <f>IF(AND(OR(LEFT(TH!L993,2)="15",LEFT(TH!M993,2)="15"),TK!$E$7=TH!F993),"x","")</f>
        <v/>
      </c>
      <c r="Z993" s="51" t="str">
        <f>IF(AND(B993&lt;=NKC!$N$8,B993&gt;=NKC!$M$8),"x","")</f>
        <v/>
      </c>
      <c r="AA993" s="803"/>
      <c r="AB993" s="565"/>
      <c r="AE993" s="565"/>
    </row>
    <row r="994" spans="1:31" ht="15.75" customHeight="1">
      <c r="A994" s="804" t="str">
        <f>IF(B994&lt;&gt;"",IF(AND(B994&gt;=_TM1,B994&lt;=_TM2,OR(TH!L994="1111",TH!M994="1111")),TH!D994,""),"")</f>
        <v/>
      </c>
      <c r="B994" s="36">
        <f t="shared" si="68"/>
        <v>10</v>
      </c>
      <c r="C994" s="189">
        <f t="shared" si="69"/>
        <v>42308</v>
      </c>
      <c r="D994" s="189" t="s">
        <v>1402</v>
      </c>
      <c r="E994" s="189">
        <v>42308</v>
      </c>
      <c r="F994" s="190" t="s">
        <v>810</v>
      </c>
      <c r="G994" s="813" t="s">
        <v>801</v>
      </c>
      <c r="H994" s="191" t="s">
        <v>448</v>
      </c>
      <c r="I994" s="243">
        <v>22</v>
      </c>
      <c r="J994" s="243">
        <v>30105</v>
      </c>
      <c r="K994" s="573">
        <f t="shared" si="67"/>
        <v>662310</v>
      </c>
      <c r="L994" s="574" t="s">
        <v>417</v>
      </c>
      <c r="M994" s="574" t="s">
        <v>8</v>
      </c>
      <c r="N994" s="51" t="str">
        <f>IF(AND('331-CT'!$E$7=TH!H994,OR(L994="331",M994="331")),"331",IF(AND(OR(L994="131",M994="131"),H994='131-CT'!$E$7),"131",""))</f>
        <v/>
      </c>
      <c r="O994" s="51" t="str">
        <f>IF(AND($B994&gt;='111'!$N$11,$B994&lt;='111'!$O$11,OR($L994=$O$7,$M994=$O$7)),"x","")</f>
        <v/>
      </c>
      <c r="P994" s="51" t="str">
        <f>IF(AND($L994=$O$7,$B994&lt;'111'!$N$11),"x","")</f>
        <v/>
      </c>
      <c r="Q994" s="51" t="str">
        <f>IF(AND($M994=$O$7,$B994&lt;'111'!$N$11),"x","")</f>
        <v/>
      </c>
      <c r="R994" s="51" t="str">
        <f>IF(ISERROR(FIND('112'!$M$9,G994,1)),"",IF((AND(FIND('112'!$M$9,G994,1)&gt;=1,$B994&gt;='112'!$N$8,$B994&lt;='112'!$O$8,OR($L994='112'!$I$6,$M994='112'!$I$6))),"x",""))</f>
        <v/>
      </c>
      <c r="S994" s="51" t="str">
        <f>IF(ISERROR(FIND('112'!$M$9,G994,1)),"",IF((AND(LEFT(G994,2)=LEFT('112'!$M$9,2),B994&lt;'112'!$N$8,$L994='112'!$I$6)),"x",""))</f>
        <v/>
      </c>
      <c r="T994" s="51" t="str">
        <f>IF(ISERROR(FIND('112'!$M$9,G994,1)),"",IF((AND(RIGHT(G994,2)=RIGHT('112'!$M$9,2),B994&lt;'112'!$N$8,$M994='112'!$I$6)),"x",""))</f>
        <v/>
      </c>
      <c r="U994" s="51" t="str">
        <f>IF(AND(L994="154",'154'!$O$5&lt;=B994,'154'!$P$5&gt;=B994),"154",IF(AND(L994="632",'632'!$L$5&lt;=B994,'632'!$M$5&gt;=B994),"632",IF(AND(L994="642",'642'!$N$5&lt;=B994,'642'!$O$5&gt;=B994),"642",IF(AND(L994="641",'641'!$N$5&lt;=B994,'641'!$O$5&gt;=B994),"641",""))))</f>
        <v/>
      </c>
      <c r="V994" s="51" t="str">
        <f>IF(OR(TH!L994=TH!$V$7,M994=TH!$V$7),"x","")</f>
        <v/>
      </c>
      <c r="W994" s="51" t="str">
        <f>IF(AND(B994&gt;='IN-NX'!$P$3,B994&lt;='IN-NX'!$Q$3,'IN-NX'!$D$7=D994,OR(LEFT(L994,2)="15",AND(LEFT(M994,2)&lt;&gt;"15",LEFT(M994,2)&lt;&gt;"33"))),"x","")</f>
        <v/>
      </c>
      <c r="X994" s="51" t="str">
        <f>IF(AND(OR(LEFT(TH!L994,2)="15",LEFT(TH!M994,2)="15"),'152-CT'!$J$8=TH!F994),"x","")</f>
        <v/>
      </c>
      <c r="Y994" s="51" t="str">
        <f>IF(AND(OR(LEFT(TH!L994,2)="15",LEFT(TH!M994,2)="15"),TK!$E$7=TH!F994),"x","")</f>
        <v/>
      </c>
      <c r="Z994" s="51" t="str">
        <f>IF(AND(B994&lt;=NKC!$N$8,B994&gt;=NKC!$M$8),"x","")</f>
        <v/>
      </c>
      <c r="AA994" s="803"/>
      <c r="AB994" s="565"/>
      <c r="AE994" s="565"/>
    </row>
    <row r="995" spans="1:31" ht="15.75" customHeight="1">
      <c r="A995" s="804" t="str">
        <f>IF(B995&lt;&gt;"",IF(AND(B995&gt;=_TM1,B995&lt;=_TM2,OR(TH!L995="1111",TH!M995="1111")),TH!D995,""),"")</f>
        <v/>
      </c>
      <c r="B995" s="36">
        <f t="shared" si="68"/>
        <v>10</v>
      </c>
      <c r="C995" s="189">
        <f t="shared" si="69"/>
        <v>42308</v>
      </c>
      <c r="D995" s="189" t="s">
        <v>1402</v>
      </c>
      <c r="E995" s="189">
        <v>42308</v>
      </c>
      <c r="F995" s="190" t="s">
        <v>811</v>
      </c>
      <c r="G995" s="813" t="s">
        <v>801</v>
      </c>
      <c r="H995" s="191" t="s">
        <v>448</v>
      </c>
      <c r="I995" s="243">
        <v>80</v>
      </c>
      <c r="J995" s="243">
        <v>37125</v>
      </c>
      <c r="K995" s="573">
        <f t="shared" si="67"/>
        <v>2970000</v>
      </c>
      <c r="L995" s="574" t="s">
        <v>417</v>
      </c>
      <c r="M995" s="574" t="s">
        <v>8</v>
      </c>
      <c r="N995" s="51" t="str">
        <f>IF(AND('331-CT'!$E$7=TH!H995,OR(L995="331",M995="331")),"331",IF(AND(OR(L995="131",M995="131"),H995='131-CT'!$E$7),"131",""))</f>
        <v/>
      </c>
      <c r="O995" s="51" t="str">
        <f>IF(AND($B995&gt;='111'!$N$11,$B995&lt;='111'!$O$11,OR($L995=$O$7,$M995=$O$7)),"x","")</f>
        <v/>
      </c>
      <c r="P995" s="51" t="str">
        <f>IF(AND($L995=$O$7,$B995&lt;'111'!$N$11),"x","")</f>
        <v/>
      </c>
      <c r="Q995" s="51" t="str">
        <f>IF(AND($M995=$O$7,$B995&lt;'111'!$N$11),"x","")</f>
        <v/>
      </c>
      <c r="R995" s="51" t="str">
        <f>IF(ISERROR(FIND('112'!$M$9,G995,1)),"",IF((AND(FIND('112'!$M$9,G995,1)&gt;=1,$B995&gt;='112'!$N$8,$B995&lt;='112'!$O$8,OR($L995='112'!$I$6,$M995='112'!$I$6))),"x",""))</f>
        <v/>
      </c>
      <c r="S995" s="51" t="str">
        <f>IF(ISERROR(FIND('112'!$M$9,G995,1)),"",IF((AND(LEFT(G995,2)=LEFT('112'!$M$9,2),B995&lt;'112'!$N$8,$L995='112'!$I$6)),"x",""))</f>
        <v/>
      </c>
      <c r="T995" s="51" t="str">
        <f>IF(ISERROR(FIND('112'!$M$9,G995,1)),"",IF((AND(RIGHT(G995,2)=RIGHT('112'!$M$9,2),B995&lt;'112'!$N$8,$M995='112'!$I$6)),"x",""))</f>
        <v/>
      </c>
      <c r="U995" s="51" t="str">
        <f>IF(AND(L995="154",'154'!$O$5&lt;=B995,'154'!$P$5&gt;=B995),"154",IF(AND(L995="632",'632'!$L$5&lt;=B995,'632'!$M$5&gt;=B995),"632",IF(AND(L995="642",'642'!$N$5&lt;=B995,'642'!$O$5&gt;=B995),"642",IF(AND(L995="641",'641'!$N$5&lt;=B995,'641'!$O$5&gt;=B995),"641",""))))</f>
        <v/>
      </c>
      <c r="V995" s="51" t="str">
        <f>IF(OR(TH!L995=TH!$V$7,M995=TH!$V$7),"x","")</f>
        <v/>
      </c>
      <c r="W995" s="51" t="str">
        <f>IF(AND(B995&gt;='IN-NX'!$P$3,B995&lt;='IN-NX'!$Q$3,'IN-NX'!$D$7=D995,OR(LEFT(L995,2)="15",AND(LEFT(M995,2)&lt;&gt;"15",LEFT(M995,2)&lt;&gt;"33"))),"x","")</f>
        <v/>
      </c>
      <c r="X995" s="51" t="str">
        <f>IF(AND(OR(LEFT(TH!L995,2)="15",LEFT(TH!M995,2)="15"),'152-CT'!$J$8=TH!F995),"x","")</f>
        <v/>
      </c>
      <c r="Y995" s="51" t="str">
        <f>IF(AND(OR(LEFT(TH!L995,2)="15",LEFT(TH!M995,2)="15"),TK!$E$7=TH!F995),"x","")</f>
        <v/>
      </c>
      <c r="Z995" s="51" t="str">
        <f>IF(AND(B995&lt;=NKC!$N$8,B995&gt;=NKC!$M$8),"x","")</f>
        <v/>
      </c>
      <c r="AA995" s="803"/>
      <c r="AB995" s="565"/>
      <c r="AE995" s="565"/>
    </row>
    <row r="996" spans="1:31" ht="15.75" customHeight="1">
      <c r="A996" s="804" t="str">
        <f>IF(B996&lt;&gt;"",IF(AND(B996&gt;=_TM1,B996&lt;=_TM2,OR(TH!L996="1111",TH!M996="1111")),TH!D996,""),"")</f>
        <v/>
      </c>
      <c r="B996" s="36">
        <f t="shared" si="68"/>
        <v>10</v>
      </c>
      <c r="C996" s="189">
        <f t="shared" si="69"/>
        <v>42308</v>
      </c>
      <c r="D996" s="189" t="s">
        <v>1402</v>
      </c>
      <c r="E996" s="189">
        <v>42308</v>
      </c>
      <c r="F996" s="190" t="s">
        <v>812</v>
      </c>
      <c r="G996" s="813" t="s">
        <v>801</v>
      </c>
      <c r="H996" s="191" t="s">
        <v>448</v>
      </c>
      <c r="I996" s="243">
        <v>40</v>
      </c>
      <c r="J996" s="243">
        <v>14364</v>
      </c>
      <c r="K996" s="573">
        <f t="shared" si="67"/>
        <v>574560</v>
      </c>
      <c r="L996" s="574" t="s">
        <v>417</v>
      </c>
      <c r="M996" s="574" t="s">
        <v>8</v>
      </c>
      <c r="N996" s="51" t="str">
        <f>IF(AND('331-CT'!$E$7=TH!H996,OR(L996="331",M996="331")),"331",IF(AND(OR(L996="131",M996="131"),H996='131-CT'!$E$7),"131",""))</f>
        <v/>
      </c>
      <c r="O996" s="51" t="str">
        <f>IF(AND($B996&gt;='111'!$N$11,$B996&lt;='111'!$O$11,OR($L996=$O$7,$M996=$O$7)),"x","")</f>
        <v/>
      </c>
      <c r="P996" s="51" t="str">
        <f>IF(AND($L996=$O$7,$B996&lt;'111'!$N$11),"x","")</f>
        <v/>
      </c>
      <c r="Q996" s="51" t="str">
        <f>IF(AND($M996=$O$7,$B996&lt;'111'!$N$11),"x","")</f>
        <v/>
      </c>
      <c r="R996" s="51" t="str">
        <f>IF(ISERROR(FIND('112'!$M$9,G996,1)),"",IF((AND(FIND('112'!$M$9,G996,1)&gt;=1,$B996&gt;='112'!$N$8,$B996&lt;='112'!$O$8,OR($L996='112'!$I$6,$M996='112'!$I$6))),"x",""))</f>
        <v/>
      </c>
      <c r="S996" s="51" t="str">
        <f>IF(ISERROR(FIND('112'!$M$9,G996,1)),"",IF((AND(LEFT(G996,2)=LEFT('112'!$M$9,2),B996&lt;'112'!$N$8,$L996='112'!$I$6)),"x",""))</f>
        <v/>
      </c>
      <c r="T996" s="51" t="str">
        <f>IF(ISERROR(FIND('112'!$M$9,G996,1)),"",IF((AND(RIGHT(G996,2)=RIGHT('112'!$M$9,2),B996&lt;'112'!$N$8,$M996='112'!$I$6)),"x",""))</f>
        <v/>
      </c>
      <c r="U996" s="51" t="str">
        <f>IF(AND(L996="154",'154'!$O$5&lt;=B996,'154'!$P$5&gt;=B996),"154",IF(AND(L996="632",'632'!$L$5&lt;=B996,'632'!$M$5&gt;=B996),"632",IF(AND(L996="642",'642'!$N$5&lt;=B996,'642'!$O$5&gt;=B996),"642",IF(AND(L996="641",'641'!$N$5&lt;=B996,'641'!$O$5&gt;=B996),"641",""))))</f>
        <v/>
      </c>
      <c r="V996" s="51" t="str">
        <f>IF(OR(TH!L996=TH!$V$7,M996=TH!$V$7),"x","")</f>
        <v/>
      </c>
      <c r="W996" s="51" t="str">
        <f>IF(AND(B996&gt;='IN-NX'!$P$3,B996&lt;='IN-NX'!$Q$3,'IN-NX'!$D$7=D996,OR(LEFT(L996,2)="15",AND(LEFT(M996,2)&lt;&gt;"15",LEFT(M996,2)&lt;&gt;"33"))),"x","")</f>
        <v/>
      </c>
      <c r="X996" s="51" t="str">
        <f>IF(AND(OR(LEFT(TH!L996,2)="15",LEFT(TH!M996,2)="15"),'152-CT'!$J$8=TH!F996),"x","")</f>
        <v/>
      </c>
      <c r="Y996" s="51" t="str">
        <f>IF(AND(OR(LEFT(TH!L996,2)="15",LEFT(TH!M996,2)="15"),TK!$E$7=TH!F996),"x","")</f>
        <v/>
      </c>
      <c r="Z996" s="51" t="str">
        <f>IF(AND(B996&lt;=NKC!$N$8,B996&gt;=NKC!$M$8),"x","")</f>
        <v/>
      </c>
      <c r="AA996" s="803"/>
      <c r="AB996" s="565"/>
      <c r="AE996" s="565"/>
    </row>
    <row r="997" spans="1:31" ht="15.75" customHeight="1">
      <c r="A997" s="804" t="str">
        <f>IF(B997&lt;&gt;"",IF(AND(B997&gt;=_TM1,B997&lt;=_TM2,OR(TH!L997="1111",TH!M997="1111")),TH!D997,""),"")</f>
        <v/>
      </c>
      <c r="B997" s="36">
        <f t="shared" si="68"/>
        <v>10</v>
      </c>
      <c r="C997" s="189">
        <f t="shared" si="69"/>
        <v>42308</v>
      </c>
      <c r="D997" s="189" t="s">
        <v>1403</v>
      </c>
      <c r="E997" s="189">
        <v>42308</v>
      </c>
      <c r="F997" s="190" t="s">
        <v>813</v>
      </c>
      <c r="G997" s="813" t="s">
        <v>801</v>
      </c>
      <c r="H997" s="191" t="s">
        <v>448</v>
      </c>
      <c r="I997" s="243">
        <v>40</v>
      </c>
      <c r="J997" s="243">
        <v>29160</v>
      </c>
      <c r="K997" s="573">
        <f t="shared" si="67"/>
        <v>1166400</v>
      </c>
      <c r="L997" s="574" t="s">
        <v>417</v>
      </c>
      <c r="M997" s="574" t="s">
        <v>8</v>
      </c>
      <c r="N997" s="51" t="str">
        <f>IF(AND('331-CT'!$E$7=TH!H997,OR(L997="331",M997="331")),"331",IF(AND(OR(L997="131",M997="131"),H997='131-CT'!$E$7),"131",""))</f>
        <v/>
      </c>
      <c r="O997" s="51" t="str">
        <f>IF(AND($B997&gt;='111'!$N$11,$B997&lt;='111'!$O$11,OR($L997=$O$7,$M997=$O$7)),"x","")</f>
        <v/>
      </c>
      <c r="P997" s="51" t="str">
        <f>IF(AND($L997=$O$7,$B997&lt;'111'!$N$11),"x","")</f>
        <v/>
      </c>
      <c r="Q997" s="51" t="str">
        <f>IF(AND($M997=$O$7,$B997&lt;'111'!$N$11),"x","")</f>
        <v/>
      </c>
      <c r="R997" s="51" t="str">
        <f>IF(ISERROR(FIND('112'!$M$9,G997,1)),"",IF((AND(FIND('112'!$M$9,G997,1)&gt;=1,$B997&gt;='112'!$N$8,$B997&lt;='112'!$O$8,OR($L997='112'!$I$6,$M997='112'!$I$6))),"x",""))</f>
        <v/>
      </c>
      <c r="S997" s="51" t="str">
        <f>IF(ISERROR(FIND('112'!$M$9,G997,1)),"",IF((AND(LEFT(G997,2)=LEFT('112'!$M$9,2),B997&lt;'112'!$N$8,$L997='112'!$I$6)),"x",""))</f>
        <v/>
      </c>
      <c r="T997" s="51" t="str">
        <f>IF(ISERROR(FIND('112'!$M$9,G997,1)),"",IF((AND(RIGHT(G997,2)=RIGHT('112'!$M$9,2),B997&lt;'112'!$N$8,$M997='112'!$I$6)),"x",""))</f>
        <v/>
      </c>
      <c r="U997" s="51" t="str">
        <f>IF(AND(L997="154",'154'!$O$5&lt;=B997,'154'!$P$5&gt;=B997),"154",IF(AND(L997="632",'632'!$L$5&lt;=B997,'632'!$M$5&gt;=B997),"632",IF(AND(L997="642",'642'!$N$5&lt;=B997,'642'!$O$5&gt;=B997),"642",IF(AND(L997="641",'641'!$N$5&lt;=B997,'641'!$O$5&gt;=B997),"641",""))))</f>
        <v/>
      </c>
      <c r="V997" s="51" t="str">
        <f>IF(OR(TH!L997=TH!$V$7,M997=TH!$V$7),"x","")</f>
        <v/>
      </c>
      <c r="W997" s="51" t="str">
        <f>IF(AND(B997&gt;='IN-NX'!$P$3,B997&lt;='IN-NX'!$Q$3,'IN-NX'!$D$7=D997,OR(LEFT(L997,2)="15",AND(LEFT(M997,2)&lt;&gt;"15",LEFT(M997,2)&lt;&gt;"33"))),"x","")</f>
        <v/>
      </c>
      <c r="X997" s="51" t="str">
        <f>IF(AND(OR(LEFT(TH!L997,2)="15",LEFT(TH!M997,2)="15"),'152-CT'!$J$8=TH!F997),"x","")</f>
        <v/>
      </c>
      <c r="Y997" s="51" t="str">
        <f>IF(AND(OR(LEFT(TH!L997,2)="15",LEFT(TH!M997,2)="15"),TK!$E$7=TH!F997),"x","")</f>
        <v/>
      </c>
      <c r="Z997" s="51" t="str">
        <f>IF(AND(B997&lt;=NKC!$N$8,B997&gt;=NKC!$M$8),"x","")</f>
        <v/>
      </c>
      <c r="AA997" s="803"/>
      <c r="AB997" s="565"/>
      <c r="AE997" s="565"/>
    </row>
    <row r="998" spans="1:31" ht="15.75" customHeight="1">
      <c r="A998" s="804" t="str">
        <f>IF(B998&lt;&gt;"",IF(AND(B998&gt;=_TM1,B998&lt;=_TM2,OR(TH!L998="1111",TH!M998="1111")),TH!D998,""),"")</f>
        <v/>
      </c>
      <c r="B998" s="36">
        <f t="shared" si="68"/>
        <v>10</v>
      </c>
      <c r="C998" s="189">
        <f t="shared" si="69"/>
        <v>42308</v>
      </c>
      <c r="D998" s="189" t="s">
        <v>1403</v>
      </c>
      <c r="E998" s="189">
        <v>42308</v>
      </c>
      <c r="F998" s="190" t="s">
        <v>814</v>
      </c>
      <c r="G998" s="813" t="s">
        <v>801</v>
      </c>
      <c r="H998" s="191" t="s">
        <v>448</v>
      </c>
      <c r="I998" s="243">
        <v>6</v>
      </c>
      <c r="J998" s="243">
        <v>35438</v>
      </c>
      <c r="K998" s="573">
        <f t="shared" si="67"/>
        <v>212628</v>
      </c>
      <c r="L998" s="574" t="s">
        <v>417</v>
      </c>
      <c r="M998" s="574" t="s">
        <v>8</v>
      </c>
      <c r="N998" s="51" t="str">
        <f>IF(AND('331-CT'!$E$7=TH!H998,OR(L998="331",M998="331")),"331",IF(AND(OR(L998="131",M998="131"),H998='131-CT'!$E$7),"131",""))</f>
        <v/>
      </c>
      <c r="O998" s="51" t="str">
        <f>IF(AND($B998&gt;='111'!$N$11,$B998&lt;='111'!$O$11,OR($L998=$O$7,$M998=$O$7)),"x","")</f>
        <v/>
      </c>
      <c r="P998" s="51" t="str">
        <f>IF(AND($L998=$O$7,$B998&lt;'111'!$N$11),"x","")</f>
        <v/>
      </c>
      <c r="Q998" s="51" t="str">
        <f>IF(AND($M998=$O$7,$B998&lt;'111'!$N$11),"x","")</f>
        <v/>
      </c>
      <c r="R998" s="51" t="str">
        <f>IF(ISERROR(FIND('112'!$M$9,G998,1)),"",IF((AND(FIND('112'!$M$9,G998,1)&gt;=1,$B998&gt;='112'!$N$8,$B998&lt;='112'!$O$8,OR($L998='112'!$I$6,$M998='112'!$I$6))),"x",""))</f>
        <v/>
      </c>
      <c r="S998" s="51" t="str">
        <f>IF(ISERROR(FIND('112'!$M$9,G998,1)),"",IF((AND(LEFT(G998,2)=LEFT('112'!$M$9,2),B998&lt;'112'!$N$8,$L998='112'!$I$6)),"x",""))</f>
        <v/>
      </c>
      <c r="T998" s="51" t="str">
        <f>IF(ISERROR(FIND('112'!$M$9,G998,1)),"",IF((AND(RIGHT(G998,2)=RIGHT('112'!$M$9,2),B998&lt;'112'!$N$8,$M998='112'!$I$6)),"x",""))</f>
        <v/>
      </c>
      <c r="U998" s="51" t="str">
        <f>IF(AND(L998="154",'154'!$O$5&lt;=B998,'154'!$P$5&gt;=B998),"154",IF(AND(L998="632",'632'!$L$5&lt;=B998,'632'!$M$5&gt;=B998),"632",IF(AND(L998="642",'642'!$N$5&lt;=B998,'642'!$O$5&gt;=B998),"642",IF(AND(L998="641",'641'!$N$5&lt;=B998,'641'!$O$5&gt;=B998),"641",""))))</f>
        <v/>
      </c>
      <c r="V998" s="51" t="str">
        <f>IF(OR(TH!L998=TH!$V$7,M998=TH!$V$7),"x","")</f>
        <v/>
      </c>
      <c r="W998" s="51" t="str">
        <f>IF(AND(B998&gt;='IN-NX'!$P$3,B998&lt;='IN-NX'!$Q$3,'IN-NX'!$D$7=D998,OR(LEFT(L998,2)="15",AND(LEFT(M998,2)&lt;&gt;"15",LEFT(M998,2)&lt;&gt;"33"))),"x","")</f>
        <v/>
      </c>
      <c r="X998" s="51" t="str">
        <f>IF(AND(OR(LEFT(TH!L998,2)="15",LEFT(TH!M998,2)="15"),'152-CT'!$J$8=TH!F998),"x","")</f>
        <v/>
      </c>
      <c r="Y998" s="51" t="str">
        <f>IF(AND(OR(LEFT(TH!L998,2)="15",LEFT(TH!M998,2)="15"),TK!$E$7=TH!F998),"x","")</f>
        <v/>
      </c>
      <c r="Z998" s="51" t="str">
        <f>IF(AND(B998&lt;=NKC!$N$8,B998&gt;=NKC!$M$8),"x","")</f>
        <v/>
      </c>
      <c r="AA998" s="803"/>
      <c r="AB998" s="565"/>
      <c r="AE998" s="565"/>
    </row>
    <row r="999" spans="1:31" ht="15.75" customHeight="1">
      <c r="A999" s="804" t="str">
        <f>IF(B999&lt;&gt;"",IF(AND(B999&gt;=_TM1,B999&lt;=_TM2,OR(TH!L999="1111",TH!M999="1111")),TH!D999,""),"")</f>
        <v/>
      </c>
      <c r="B999" s="36">
        <f t="shared" si="68"/>
        <v>10</v>
      </c>
      <c r="C999" s="189">
        <f t="shared" si="69"/>
        <v>42308</v>
      </c>
      <c r="D999" s="189" t="s">
        <v>1403</v>
      </c>
      <c r="E999" s="189">
        <v>42308</v>
      </c>
      <c r="F999" s="190" t="s">
        <v>815</v>
      </c>
      <c r="G999" s="813" t="s">
        <v>801</v>
      </c>
      <c r="H999" s="191" t="s">
        <v>448</v>
      </c>
      <c r="I999" s="243">
        <v>40</v>
      </c>
      <c r="J999" s="243">
        <v>15138</v>
      </c>
      <c r="K999" s="573">
        <f t="shared" si="67"/>
        <v>605520</v>
      </c>
      <c r="L999" s="574" t="s">
        <v>417</v>
      </c>
      <c r="M999" s="574" t="s">
        <v>8</v>
      </c>
      <c r="N999" s="51" t="str">
        <f>IF(AND('331-CT'!$E$7=TH!H999,OR(L999="331",M999="331")),"331",IF(AND(OR(L999="131",M999="131"),H999='131-CT'!$E$7),"131",""))</f>
        <v/>
      </c>
      <c r="O999" s="51" t="str">
        <f>IF(AND($B999&gt;='111'!$N$11,$B999&lt;='111'!$O$11,OR($L999=$O$7,$M999=$O$7)),"x","")</f>
        <v/>
      </c>
      <c r="P999" s="51" t="str">
        <f>IF(AND($L999=$O$7,$B999&lt;'111'!$N$11),"x","")</f>
        <v/>
      </c>
      <c r="Q999" s="51" t="str">
        <f>IF(AND($M999=$O$7,$B999&lt;'111'!$N$11),"x","")</f>
        <v/>
      </c>
      <c r="R999" s="51" t="str">
        <f>IF(ISERROR(FIND('112'!$M$9,G999,1)),"",IF((AND(FIND('112'!$M$9,G999,1)&gt;=1,$B999&gt;='112'!$N$8,$B999&lt;='112'!$O$8,OR($L999='112'!$I$6,$M999='112'!$I$6))),"x",""))</f>
        <v/>
      </c>
      <c r="S999" s="51" t="str">
        <f>IF(ISERROR(FIND('112'!$M$9,G999,1)),"",IF((AND(LEFT(G999,2)=LEFT('112'!$M$9,2),B999&lt;'112'!$N$8,$L999='112'!$I$6)),"x",""))</f>
        <v/>
      </c>
      <c r="T999" s="51" t="str">
        <f>IF(ISERROR(FIND('112'!$M$9,G999,1)),"",IF((AND(RIGHT(G999,2)=RIGHT('112'!$M$9,2),B999&lt;'112'!$N$8,$M999='112'!$I$6)),"x",""))</f>
        <v/>
      </c>
      <c r="U999" s="51" t="str">
        <f>IF(AND(L999="154",'154'!$O$5&lt;=B999,'154'!$P$5&gt;=B999),"154",IF(AND(L999="632",'632'!$L$5&lt;=B999,'632'!$M$5&gt;=B999),"632",IF(AND(L999="642",'642'!$N$5&lt;=B999,'642'!$O$5&gt;=B999),"642",IF(AND(L999="641",'641'!$N$5&lt;=B999,'641'!$O$5&gt;=B999),"641",""))))</f>
        <v/>
      </c>
      <c r="V999" s="51" t="str">
        <f>IF(OR(TH!L999=TH!$V$7,M999=TH!$V$7),"x","")</f>
        <v/>
      </c>
      <c r="W999" s="51" t="str">
        <f>IF(AND(B999&gt;='IN-NX'!$P$3,B999&lt;='IN-NX'!$Q$3,'IN-NX'!$D$7=D999,OR(LEFT(L999,2)="15",AND(LEFT(M999,2)&lt;&gt;"15",LEFT(M999,2)&lt;&gt;"33"))),"x","")</f>
        <v/>
      </c>
      <c r="X999" s="51" t="str">
        <f>IF(AND(OR(LEFT(TH!L999,2)="15",LEFT(TH!M999,2)="15"),'152-CT'!$J$8=TH!F999),"x","")</f>
        <v/>
      </c>
      <c r="Y999" s="51" t="str">
        <f>IF(AND(OR(LEFT(TH!L999,2)="15",LEFT(TH!M999,2)="15"),TK!$E$7=TH!F999),"x","")</f>
        <v/>
      </c>
      <c r="Z999" s="51" t="str">
        <f>IF(AND(B999&lt;=NKC!$N$8,B999&gt;=NKC!$M$8),"x","")</f>
        <v/>
      </c>
      <c r="AA999" s="803"/>
      <c r="AB999" s="565"/>
      <c r="AE999" s="565"/>
    </row>
    <row r="1000" spans="1:31" ht="15.75" customHeight="1">
      <c r="A1000" s="804" t="str">
        <f>IF(B1000&lt;&gt;"",IF(AND(B1000&gt;=_TM1,B1000&lt;=_TM2,OR(TH!L1000="1111",TH!M1000="1111")),TH!D1000,""),"")</f>
        <v/>
      </c>
      <c r="B1000" s="36">
        <f t="shared" si="68"/>
        <v>10</v>
      </c>
      <c r="C1000" s="189">
        <f t="shared" si="69"/>
        <v>42308</v>
      </c>
      <c r="D1000" s="189" t="s">
        <v>1403</v>
      </c>
      <c r="E1000" s="189">
        <v>42308</v>
      </c>
      <c r="F1000" s="190" t="s">
        <v>816</v>
      </c>
      <c r="G1000" s="813" t="s">
        <v>801</v>
      </c>
      <c r="H1000" s="191" t="s">
        <v>448</v>
      </c>
      <c r="I1000" s="243">
        <v>20</v>
      </c>
      <c r="J1000" s="243">
        <v>22680</v>
      </c>
      <c r="K1000" s="573">
        <f t="shared" si="67"/>
        <v>453600</v>
      </c>
      <c r="L1000" s="574" t="s">
        <v>417</v>
      </c>
      <c r="M1000" s="574" t="s">
        <v>8</v>
      </c>
      <c r="N1000" s="51" t="str">
        <f>IF(AND('331-CT'!$E$7=TH!H1000,OR(L1000="331",M1000="331")),"331",IF(AND(OR(L1000="131",M1000="131"),H1000='131-CT'!$E$7),"131",""))</f>
        <v/>
      </c>
      <c r="O1000" s="51" t="str">
        <f>IF(AND($B1000&gt;='111'!$N$11,$B1000&lt;='111'!$O$11,OR($L1000=$O$7,$M1000=$O$7)),"x","")</f>
        <v/>
      </c>
      <c r="P1000" s="51" t="str">
        <f>IF(AND($L1000=$O$7,$B1000&lt;'111'!$N$11),"x","")</f>
        <v/>
      </c>
      <c r="Q1000" s="51" t="str">
        <f>IF(AND($M1000=$O$7,$B1000&lt;'111'!$N$11),"x","")</f>
        <v/>
      </c>
      <c r="R1000" s="51" t="str">
        <f>IF(ISERROR(FIND('112'!$M$9,G1000,1)),"",IF((AND(FIND('112'!$M$9,G1000,1)&gt;=1,$B1000&gt;='112'!$N$8,$B1000&lt;='112'!$O$8,OR($L1000='112'!$I$6,$M1000='112'!$I$6))),"x",""))</f>
        <v/>
      </c>
      <c r="S1000" s="51" t="str">
        <f>IF(ISERROR(FIND('112'!$M$9,G1000,1)),"",IF((AND(LEFT(G1000,2)=LEFT('112'!$M$9,2),B1000&lt;'112'!$N$8,$L1000='112'!$I$6)),"x",""))</f>
        <v/>
      </c>
      <c r="T1000" s="51" t="str">
        <f>IF(ISERROR(FIND('112'!$M$9,G1000,1)),"",IF((AND(RIGHT(G1000,2)=RIGHT('112'!$M$9,2),B1000&lt;'112'!$N$8,$M1000='112'!$I$6)),"x",""))</f>
        <v/>
      </c>
      <c r="U1000" s="51" t="str">
        <f>IF(AND(L1000="154",'154'!$O$5&lt;=B1000,'154'!$P$5&gt;=B1000),"154",IF(AND(L1000="632",'632'!$L$5&lt;=B1000,'632'!$M$5&gt;=B1000),"632",IF(AND(L1000="642",'642'!$N$5&lt;=B1000,'642'!$O$5&gt;=B1000),"642",IF(AND(L1000="641",'641'!$N$5&lt;=B1000,'641'!$O$5&gt;=B1000),"641",""))))</f>
        <v/>
      </c>
      <c r="V1000" s="51" t="str">
        <f>IF(OR(TH!L1000=TH!$V$7,M1000=TH!$V$7),"x","")</f>
        <v/>
      </c>
      <c r="W1000" s="51" t="str">
        <f>IF(AND(B1000&gt;='IN-NX'!$P$3,B1000&lt;='IN-NX'!$Q$3,'IN-NX'!$D$7=D1000,OR(LEFT(L1000,2)="15",AND(LEFT(M1000,2)&lt;&gt;"15",LEFT(M1000,2)&lt;&gt;"33"))),"x","")</f>
        <v/>
      </c>
      <c r="X1000" s="51" t="str">
        <f>IF(AND(OR(LEFT(TH!L1000,2)="15",LEFT(TH!M1000,2)="15"),'152-CT'!$J$8=TH!F1000),"x","")</f>
        <v/>
      </c>
      <c r="Y1000" s="51" t="str">
        <f>IF(AND(OR(LEFT(TH!L1000,2)="15",LEFT(TH!M1000,2)="15"),TK!$E$7=TH!F1000),"x","")</f>
        <v/>
      </c>
      <c r="Z1000" s="51" t="str">
        <f>IF(AND(B1000&lt;=NKC!$N$8,B1000&gt;=NKC!$M$8),"x","")</f>
        <v/>
      </c>
      <c r="AA1000" s="803"/>
      <c r="AB1000" s="565"/>
      <c r="AE1000" s="565"/>
    </row>
    <row r="1001" spans="1:31" ht="15.75" customHeight="1">
      <c r="A1001" s="804" t="str">
        <f>IF(B1001&lt;&gt;"",IF(AND(B1001&gt;=_TM1,B1001&lt;=_TM2,OR(TH!L1001="1111",TH!M1001="1111")),TH!D1001,""),"")</f>
        <v/>
      </c>
      <c r="B1001" s="36">
        <f t="shared" si="68"/>
        <v>10</v>
      </c>
      <c r="C1001" s="189">
        <f t="shared" si="69"/>
        <v>42308</v>
      </c>
      <c r="D1001" s="189" t="s">
        <v>1403</v>
      </c>
      <c r="E1001" s="189">
        <v>42308</v>
      </c>
      <c r="F1001" s="190" t="s">
        <v>817</v>
      </c>
      <c r="G1001" s="813" t="s">
        <v>801</v>
      </c>
      <c r="H1001" s="191" t="s">
        <v>448</v>
      </c>
      <c r="I1001" s="243">
        <v>20</v>
      </c>
      <c r="J1001" s="243">
        <v>21632</v>
      </c>
      <c r="K1001" s="573">
        <f t="shared" si="67"/>
        <v>432640</v>
      </c>
      <c r="L1001" s="574" t="s">
        <v>417</v>
      </c>
      <c r="M1001" s="574" t="s">
        <v>8</v>
      </c>
      <c r="N1001" s="51" t="str">
        <f>IF(AND('331-CT'!$E$7=TH!H1001,OR(L1001="331",M1001="331")),"331",IF(AND(OR(L1001="131",M1001="131"),H1001='131-CT'!$E$7),"131",""))</f>
        <v/>
      </c>
      <c r="O1001" s="51" t="str">
        <f>IF(AND($B1001&gt;='111'!$N$11,$B1001&lt;='111'!$O$11,OR($L1001=$O$7,$M1001=$O$7)),"x","")</f>
        <v/>
      </c>
      <c r="P1001" s="51" t="str">
        <f>IF(AND($L1001=$O$7,$B1001&lt;'111'!$N$11),"x","")</f>
        <v/>
      </c>
      <c r="Q1001" s="51" t="str">
        <f>IF(AND($M1001=$O$7,$B1001&lt;'111'!$N$11),"x","")</f>
        <v/>
      </c>
      <c r="R1001" s="51" t="str">
        <f>IF(ISERROR(FIND('112'!$M$9,G1001,1)),"",IF((AND(FIND('112'!$M$9,G1001,1)&gt;=1,$B1001&gt;='112'!$N$8,$B1001&lt;='112'!$O$8,OR($L1001='112'!$I$6,$M1001='112'!$I$6))),"x",""))</f>
        <v/>
      </c>
      <c r="S1001" s="51" t="str">
        <f>IF(ISERROR(FIND('112'!$M$9,G1001,1)),"",IF((AND(LEFT(G1001,2)=LEFT('112'!$M$9,2),B1001&lt;'112'!$N$8,$L1001='112'!$I$6)),"x",""))</f>
        <v/>
      </c>
      <c r="T1001" s="51" t="str">
        <f>IF(ISERROR(FIND('112'!$M$9,G1001,1)),"",IF((AND(RIGHT(G1001,2)=RIGHT('112'!$M$9,2),B1001&lt;'112'!$N$8,$M1001='112'!$I$6)),"x",""))</f>
        <v/>
      </c>
      <c r="U1001" s="51" t="str">
        <f>IF(AND(L1001="154",'154'!$O$5&lt;=B1001,'154'!$P$5&gt;=B1001),"154",IF(AND(L1001="632",'632'!$L$5&lt;=B1001,'632'!$M$5&gt;=B1001),"632",IF(AND(L1001="642",'642'!$N$5&lt;=B1001,'642'!$O$5&gt;=B1001),"642",IF(AND(L1001="641",'641'!$N$5&lt;=B1001,'641'!$O$5&gt;=B1001),"641",""))))</f>
        <v/>
      </c>
      <c r="V1001" s="51" t="str">
        <f>IF(OR(TH!L1001=TH!$V$7,M1001=TH!$V$7),"x","")</f>
        <v/>
      </c>
      <c r="W1001" s="51" t="str">
        <f>IF(AND(B1001&gt;='IN-NX'!$P$3,B1001&lt;='IN-NX'!$Q$3,'IN-NX'!$D$7=D1001,OR(LEFT(L1001,2)="15",AND(LEFT(M1001,2)&lt;&gt;"15",LEFT(M1001,2)&lt;&gt;"33"))),"x","")</f>
        <v/>
      </c>
      <c r="X1001" s="51" t="str">
        <f>IF(AND(OR(LEFT(TH!L1001,2)="15",LEFT(TH!M1001,2)="15"),'152-CT'!$J$8=TH!F1001),"x","")</f>
        <v/>
      </c>
      <c r="Y1001" s="51" t="str">
        <f>IF(AND(OR(LEFT(TH!L1001,2)="15",LEFT(TH!M1001,2)="15"),TK!$E$7=TH!F1001),"x","")</f>
        <v/>
      </c>
      <c r="Z1001" s="51" t="str">
        <f>IF(AND(B1001&lt;=NKC!$N$8,B1001&gt;=NKC!$M$8),"x","")</f>
        <v/>
      </c>
      <c r="AA1001" s="803"/>
      <c r="AB1001" s="565"/>
      <c r="AE1001" s="565"/>
    </row>
    <row r="1002" spans="1:31" ht="15.75" customHeight="1">
      <c r="A1002" s="804" t="str">
        <f>IF(B1002&lt;&gt;"",IF(AND(B1002&gt;=_TM1,B1002&lt;=_TM2,OR(TH!L1002="1111",TH!M1002="1111")),TH!D1002,""),"")</f>
        <v/>
      </c>
      <c r="B1002" s="36">
        <f t="shared" si="68"/>
        <v>10</v>
      </c>
      <c r="C1002" s="189">
        <f t="shared" si="69"/>
        <v>42308</v>
      </c>
      <c r="D1002" s="189" t="s">
        <v>1403</v>
      </c>
      <c r="E1002" s="189">
        <v>42308</v>
      </c>
      <c r="F1002" s="190" t="s">
        <v>818</v>
      </c>
      <c r="G1002" s="813" t="s">
        <v>801</v>
      </c>
      <c r="H1002" s="191" t="s">
        <v>448</v>
      </c>
      <c r="I1002" s="243">
        <v>100</v>
      </c>
      <c r="J1002" s="243">
        <v>27649</v>
      </c>
      <c r="K1002" s="573">
        <f t="shared" si="67"/>
        <v>2764900</v>
      </c>
      <c r="L1002" s="574" t="s">
        <v>417</v>
      </c>
      <c r="M1002" s="574" t="s">
        <v>8</v>
      </c>
      <c r="N1002" s="51" t="str">
        <f>IF(AND('331-CT'!$E$7=TH!H1002,OR(L1002="331",M1002="331")),"331",IF(AND(OR(L1002="131",M1002="131"),H1002='131-CT'!$E$7),"131",""))</f>
        <v/>
      </c>
      <c r="O1002" s="51" t="str">
        <f>IF(AND($B1002&gt;='111'!$N$11,$B1002&lt;='111'!$O$11,OR($L1002=$O$7,$M1002=$O$7)),"x","")</f>
        <v/>
      </c>
      <c r="P1002" s="51" t="str">
        <f>IF(AND($L1002=$O$7,$B1002&lt;'111'!$N$11),"x","")</f>
        <v/>
      </c>
      <c r="Q1002" s="51" t="str">
        <f>IF(AND($M1002=$O$7,$B1002&lt;'111'!$N$11),"x","")</f>
        <v/>
      </c>
      <c r="R1002" s="51" t="str">
        <f>IF(ISERROR(FIND('112'!$M$9,G1002,1)),"",IF((AND(FIND('112'!$M$9,G1002,1)&gt;=1,$B1002&gt;='112'!$N$8,$B1002&lt;='112'!$O$8,OR($L1002='112'!$I$6,$M1002='112'!$I$6))),"x",""))</f>
        <v/>
      </c>
      <c r="S1002" s="51" t="str">
        <f>IF(ISERROR(FIND('112'!$M$9,G1002,1)),"",IF((AND(LEFT(G1002,2)=LEFT('112'!$M$9,2),B1002&lt;'112'!$N$8,$L1002='112'!$I$6)),"x",""))</f>
        <v/>
      </c>
      <c r="T1002" s="51" t="str">
        <f>IF(ISERROR(FIND('112'!$M$9,G1002,1)),"",IF((AND(RIGHT(G1002,2)=RIGHT('112'!$M$9,2),B1002&lt;'112'!$N$8,$M1002='112'!$I$6)),"x",""))</f>
        <v/>
      </c>
      <c r="U1002" s="51" t="str">
        <f>IF(AND(L1002="154",'154'!$O$5&lt;=B1002,'154'!$P$5&gt;=B1002),"154",IF(AND(L1002="632",'632'!$L$5&lt;=B1002,'632'!$M$5&gt;=B1002),"632",IF(AND(L1002="642",'642'!$N$5&lt;=B1002,'642'!$O$5&gt;=B1002),"642",IF(AND(L1002="641",'641'!$N$5&lt;=B1002,'641'!$O$5&gt;=B1002),"641",""))))</f>
        <v/>
      </c>
      <c r="V1002" s="51" t="str">
        <f>IF(OR(TH!L1002=TH!$V$7,M1002=TH!$V$7),"x","")</f>
        <v/>
      </c>
      <c r="W1002" s="51" t="str">
        <f>IF(AND(B1002&gt;='IN-NX'!$P$3,B1002&lt;='IN-NX'!$Q$3,'IN-NX'!$D$7=D1002,OR(LEFT(L1002,2)="15",AND(LEFT(M1002,2)&lt;&gt;"15",LEFT(M1002,2)&lt;&gt;"33"))),"x","")</f>
        <v/>
      </c>
      <c r="X1002" s="51" t="str">
        <f>IF(AND(OR(LEFT(TH!L1002,2)="15",LEFT(TH!M1002,2)="15"),'152-CT'!$J$8=TH!F1002),"x","")</f>
        <v/>
      </c>
      <c r="Y1002" s="51" t="str">
        <f>IF(AND(OR(LEFT(TH!L1002,2)="15",LEFT(TH!M1002,2)="15"),TK!$E$7=TH!F1002),"x","")</f>
        <v/>
      </c>
      <c r="Z1002" s="51" t="str">
        <f>IF(AND(B1002&lt;=NKC!$N$8,B1002&gt;=NKC!$M$8),"x","")</f>
        <v/>
      </c>
      <c r="AA1002" s="803"/>
      <c r="AB1002" s="565"/>
      <c r="AE1002" s="565"/>
    </row>
    <row r="1003" spans="1:31" ht="15.75" customHeight="1">
      <c r="A1003" s="804" t="str">
        <f>IF(B1003&lt;&gt;"",IF(AND(B1003&gt;=_TM1,B1003&lt;=_TM2,OR(TH!L1003="1111",TH!M1003="1111")),TH!D1003,""),"")</f>
        <v/>
      </c>
      <c r="B1003" s="36">
        <f t="shared" si="68"/>
        <v>10</v>
      </c>
      <c r="C1003" s="189">
        <f t="shared" si="69"/>
        <v>42308</v>
      </c>
      <c r="D1003" s="189" t="s">
        <v>1403</v>
      </c>
      <c r="E1003" s="189">
        <v>42308</v>
      </c>
      <c r="F1003" s="190" t="s">
        <v>819</v>
      </c>
      <c r="G1003" s="813" t="s">
        <v>801</v>
      </c>
      <c r="H1003" s="191" t="s">
        <v>448</v>
      </c>
      <c r="I1003" s="243">
        <v>100</v>
      </c>
      <c r="J1003" s="243">
        <v>34041</v>
      </c>
      <c r="K1003" s="573">
        <f t="shared" si="67"/>
        <v>3404100</v>
      </c>
      <c r="L1003" s="574" t="s">
        <v>417</v>
      </c>
      <c r="M1003" s="574" t="s">
        <v>8</v>
      </c>
      <c r="N1003" s="51" t="str">
        <f>IF(AND('331-CT'!$E$7=TH!H1003,OR(L1003="331",M1003="331")),"331",IF(AND(OR(L1003="131",M1003="131"),H1003='131-CT'!$E$7),"131",""))</f>
        <v/>
      </c>
      <c r="O1003" s="51" t="str">
        <f>IF(AND($B1003&gt;='111'!$N$11,$B1003&lt;='111'!$O$11,OR($L1003=$O$7,$M1003=$O$7)),"x","")</f>
        <v/>
      </c>
      <c r="P1003" s="51" t="str">
        <f>IF(AND($L1003=$O$7,$B1003&lt;'111'!$N$11),"x","")</f>
        <v/>
      </c>
      <c r="Q1003" s="51" t="str">
        <f>IF(AND($M1003=$O$7,$B1003&lt;'111'!$N$11),"x","")</f>
        <v/>
      </c>
      <c r="R1003" s="51" t="str">
        <f>IF(ISERROR(FIND('112'!$M$9,G1003,1)),"",IF((AND(FIND('112'!$M$9,G1003,1)&gt;=1,$B1003&gt;='112'!$N$8,$B1003&lt;='112'!$O$8,OR($L1003='112'!$I$6,$M1003='112'!$I$6))),"x",""))</f>
        <v/>
      </c>
      <c r="S1003" s="51" t="str">
        <f>IF(ISERROR(FIND('112'!$M$9,G1003,1)),"",IF((AND(LEFT(G1003,2)=LEFT('112'!$M$9,2),B1003&lt;'112'!$N$8,$L1003='112'!$I$6)),"x",""))</f>
        <v/>
      </c>
      <c r="T1003" s="51" t="str">
        <f>IF(ISERROR(FIND('112'!$M$9,G1003,1)),"",IF((AND(RIGHT(G1003,2)=RIGHT('112'!$M$9,2),B1003&lt;'112'!$N$8,$M1003='112'!$I$6)),"x",""))</f>
        <v/>
      </c>
      <c r="U1003" s="51" t="str">
        <f>IF(AND(L1003="154",'154'!$O$5&lt;=B1003,'154'!$P$5&gt;=B1003),"154",IF(AND(L1003="632",'632'!$L$5&lt;=B1003,'632'!$M$5&gt;=B1003),"632",IF(AND(L1003="642",'642'!$N$5&lt;=B1003,'642'!$O$5&gt;=B1003),"642",IF(AND(L1003="641",'641'!$N$5&lt;=B1003,'641'!$O$5&gt;=B1003),"641",""))))</f>
        <v/>
      </c>
      <c r="V1003" s="51" t="str">
        <f>IF(OR(TH!L1003=TH!$V$7,M1003=TH!$V$7),"x","")</f>
        <v/>
      </c>
      <c r="W1003" s="51" t="str">
        <f>IF(AND(B1003&gt;='IN-NX'!$P$3,B1003&lt;='IN-NX'!$Q$3,'IN-NX'!$D$7=D1003,OR(LEFT(L1003,2)="15",AND(LEFT(M1003,2)&lt;&gt;"15",LEFT(M1003,2)&lt;&gt;"33"))),"x","")</f>
        <v/>
      </c>
      <c r="X1003" s="51" t="str">
        <f>IF(AND(OR(LEFT(TH!L1003,2)="15",LEFT(TH!M1003,2)="15"),'152-CT'!$J$8=TH!F1003),"x","")</f>
        <v/>
      </c>
      <c r="Y1003" s="51" t="str">
        <f>IF(AND(OR(LEFT(TH!L1003,2)="15",LEFT(TH!M1003,2)="15"),TK!$E$7=TH!F1003),"x","")</f>
        <v/>
      </c>
      <c r="Z1003" s="51" t="str">
        <f>IF(AND(B1003&lt;=NKC!$N$8,B1003&gt;=NKC!$M$8),"x","")</f>
        <v/>
      </c>
      <c r="AA1003" s="803"/>
      <c r="AB1003" s="565"/>
      <c r="AE1003" s="565"/>
    </row>
    <row r="1004" spans="1:31" ht="15.75" customHeight="1">
      <c r="A1004" s="804" t="str">
        <f>IF(B1004&lt;&gt;"",IF(AND(B1004&gt;=_TM1,B1004&lt;=_TM2,OR(TH!L1004="1111",TH!M1004="1111")),TH!D1004,""),"")</f>
        <v/>
      </c>
      <c r="B1004" s="36">
        <f t="shared" si="68"/>
        <v>10</v>
      </c>
      <c r="C1004" s="189">
        <f t="shared" si="69"/>
        <v>42308</v>
      </c>
      <c r="D1004" s="189" t="s">
        <v>1403</v>
      </c>
      <c r="E1004" s="189">
        <v>42308</v>
      </c>
      <c r="F1004" s="190" t="s">
        <v>778</v>
      </c>
      <c r="G1004" s="813" t="s">
        <v>801</v>
      </c>
      <c r="H1004" s="191" t="s">
        <v>448</v>
      </c>
      <c r="I1004" s="243"/>
      <c r="J1004" s="243"/>
      <c r="K1004" s="573">
        <v>2088359</v>
      </c>
      <c r="L1004" s="574" t="s">
        <v>9</v>
      </c>
      <c r="M1004" s="574" t="s">
        <v>8</v>
      </c>
      <c r="N1004" s="51" t="str">
        <f>IF(AND('331-CT'!$E$7=TH!H1004,OR(L1004="331",M1004="331")),"331",IF(AND(OR(L1004="131",M1004="131"),H1004='131-CT'!$E$7),"131",""))</f>
        <v/>
      </c>
      <c r="O1004" s="51" t="str">
        <f>IF(AND($B1004&gt;='111'!$N$11,$B1004&lt;='111'!$O$11,OR($L1004=$O$7,$M1004=$O$7)),"x","")</f>
        <v/>
      </c>
      <c r="P1004" s="51" t="str">
        <f>IF(AND($L1004=$O$7,$B1004&lt;'111'!$N$11),"x","")</f>
        <v/>
      </c>
      <c r="Q1004" s="51" t="str">
        <f>IF(AND($M1004=$O$7,$B1004&lt;'111'!$N$11),"x","")</f>
        <v/>
      </c>
      <c r="R1004" s="51" t="str">
        <f>IF(ISERROR(FIND('112'!$M$9,G1004,1)),"",IF((AND(FIND('112'!$M$9,G1004,1)&gt;=1,$B1004&gt;='112'!$N$8,$B1004&lt;='112'!$O$8,OR($L1004='112'!$I$6,$M1004='112'!$I$6))),"x",""))</f>
        <v/>
      </c>
      <c r="S1004" s="51" t="str">
        <f>IF(ISERROR(FIND('112'!$M$9,G1004,1)),"",IF((AND(LEFT(G1004,2)=LEFT('112'!$M$9,2),B1004&lt;'112'!$N$8,$L1004='112'!$I$6)),"x",""))</f>
        <v/>
      </c>
      <c r="T1004" s="51" t="str">
        <f>IF(ISERROR(FIND('112'!$M$9,G1004,1)),"",IF((AND(RIGHT(G1004,2)=RIGHT('112'!$M$9,2),B1004&lt;'112'!$N$8,$M1004='112'!$I$6)),"x",""))</f>
        <v/>
      </c>
      <c r="U1004" s="51" t="str">
        <f>IF(AND(L1004="154",'154'!$O$5&lt;=B1004,'154'!$P$5&gt;=B1004),"154",IF(AND(L1004="632",'632'!$L$5&lt;=B1004,'632'!$M$5&gt;=B1004),"632",IF(AND(L1004="642",'642'!$N$5&lt;=B1004,'642'!$O$5&gt;=B1004),"642",IF(AND(L1004="641",'641'!$N$5&lt;=B1004,'641'!$O$5&gt;=B1004),"641",""))))</f>
        <v/>
      </c>
      <c r="V1004" s="51" t="str">
        <f>IF(OR(TH!L1004=TH!$V$7,M1004=TH!$V$7),"x","")</f>
        <v/>
      </c>
      <c r="W1004" s="51" t="str">
        <f>IF(AND(B1004&gt;='IN-NX'!$P$3,B1004&lt;='IN-NX'!$Q$3,'IN-NX'!$D$7=D1004,OR(LEFT(L1004,2)="15",AND(LEFT(M1004,2)&lt;&gt;"15",LEFT(M1004,2)&lt;&gt;"33"))),"x","")</f>
        <v/>
      </c>
      <c r="X1004" s="51" t="str">
        <f>IF(AND(OR(LEFT(TH!L1004,2)="15",LEFT(TH!M1004,2)="15"),'152-CT'!$J$8=TH!F1004),"x","")</f>
        <v/>
      </c>
      <c r="Y1004" s="51" t="str">
        <f>IF(AND(OR(LEFT(TH!L1004,2)="15",LEFT(TH!M1004,2)="15"),TK!$E$7=TH!F1004),"x","")</f>
        <v/>
      </c>
      <c r="Z1004" s="51" t="str">
        <f>IF(AND(B1004&lt;=NKC!$N$8,B1004&gt;=NKC!$M$8),"x","")</f>
        <v/>
      </c>
      <c r="AA1004" s="803">
        <v>4</v>
      </c>
      <c r="AB1004" s="565"/>
      <c r="AE1004" s="565"/>
    </row>
    <row r="1005" spans="1:31" ht="15.75" customHeight="1">
      <c r="A1005" s="804" t="str">
        <f>IF(B1005&lt;&gt;"",IF(AND(B1005&gt;=_TM1,B1005&lt;=_TM2,OR(TH!L1005="1111",TH!M1005="1111")),TH!D1005,""),"")</f>
        <v/>
      </c>
      <c r="B1005" s="36">
        <f t="shared" si="68"/>
        <v>10</v>
      </c>
      <c r="C1005" s="189">
        <f t="shared" si="69"/>
        <v>42308</v>
      </c>
      <c r="D1005" s="189" t="s">
        <v>1304</v>
      </c>
      <c r="E1005" s="189">
        <v>42308</v>
      </c>
      <c r="F1005" s="926" t="s">
        <v>1209</v>
      </c>
      <c r="G1005" s="811" t="s">
        <v>556</v>
      </c>
      <c r="H1005" s="191" t="s">
        <v>1063</v>
      </c>
      <c r="I1005" s="243">
        <v>1000</v>
      </c>
      <c r="J1005" s="243">
        <v>9800</v>
      </c>
      <c r="K1005" s="573">
        <f>ROUND(I1005*J1005,0)</f>
        <v>9800000</v>
      </c>
      <c r="L1005" s="574" t="s">
        <v>250</v>
      </c>
      <c r="M1005" s="574" t="s">
        <v>164</v>
      </c>
      <c r="N1005" s="51" t="str">
        <f>IF(AND('331-CT'!$E$7=TH!H1005,OR(L1005="331",M1005="331")),"331",IF(AND(OR(L1005="131",M1005="131"),H1005='131-CT'!$E$7),"131",""))</f>
        <v/>
      </c>
      <c r="O1005" s="51" t="str">
        <f>IF(AND($B1005&gt;='111'!$N$11,$B1005&lt;='111'!$O$11,OR($L1005=$O$7,$M1005=$O$7)),"x","")</f>
        <v/>
      </c>
      <c r="P1005" s="51" t="str">
        <f>IF(AND($L1005=$O$7,$B1005&lt;'111'!$N$11),"x","")</f>
        <v/>
      </c>
      <c r="Q1005" s="51" t="str">
        <f>IF(AND($M1005=$O$7,$B1005&lt;'111'!$N$11),"x","")</f>
        <v/>
      </c>
      <c r="R1005" s="51" t="str">
        <f>IF(ISERROR(FIND('112'!$M$9,G1005,1)),"",IF((AND(FIND('112'!$M$9,G1005,1)&gt;=1,$B1005&gt;='112'!$N$8,$B1005&lt;='112'!$O$8,OR($L1005='112'!$I$6,$M1005='112'!$I$6))),"x",""))</f>
        <v/>
      </c>
      <c r="S1005" s="51" t="str">
        <f>IF(ISERROR(FIND('112'!$M$9,G1005,1)),"",IF((AND(LEFT(G1005,2)=LEFT('112'!$M$9,2),B1005&lt;'112'!$N$8,$L1005='112'!$I$6)),"x",""))</f>
        <v/>
      </c>
      <c r="T1005" s="51" t="str">
        <f>IF(ISERROR(FIND('112'!$M$9,G1005,1)),"",IF((AND(RIGHT(G1005,2)=RIGHT('112'!$M$9,2),B1005&lt;'112'!$N$8,$M1005='112'!$I$6)),"x",""))</f>
        <v/>
      </c>
      <c r="U1005" s="51" t="str">
        <f>IF(AND(L1005="154",'154'!$O$5&lt;=B1005,'154'!$P$5&gt;=B1005),"154",IF(AND(L1005="632",'632'!$L$5&lt;=B1005,'632'!$M$5&gt;=B1005),"632",IF(AND(L1005="642",'642'!$N$5&lt;=B1005,'642'!$O$5&gt;=B1005),"642",IF(AND(L1005="641",'641'!$N$5&lt;=B1005,'641'!$O$5&gt;=B1005),"641",""))))</f>
        <v/>
      </c>
      <c r="V1005" s="51" t="str">
        <f>IF(OR(TH!L1005=TH!$V$7,M1005=TH!$V$7),"x","")</f>
        <v/>
      </c>
      <c r="W1005" s="51" t="str">
        <f>IF(AND(B1005&gt;='IN-NX'!$P$3,B1005&lt;='IN-NX'!$Q$3,'IN-NX'!$D$7=D1005,OR(LEFT(L1005,2)="15",AND(LEFT(M1005,2)&lt;&gt;"15",LEFT(M1005,2)&lt;&gt;"33"))),"x","")</f>
        <v/>
      </c>
      <c r="X1005" s="51" t="str">
        <f>IF(AND(OR(LEFT(TH!L1005,2)="15",LEFT(TH!M1005,2)="15"),'152-CT'!$J$8=TH!F1005),"x","")</f>
        <v/>
      </c>
      <c r="Y1005" s="51" t="str">
        <f>IF(AND(OR(LEFT(TH!L1005,2)="15",LEFT(TH!M1005,2)="15"),TK!$E$7=TH!F1005),"x","")</f>
        <v/>
      </c>
      <c r="Z1005" s="51" t="str">
        <f>IF(AND(B1005&lt;=NKC!$N$8,B1005&gt;=NKC!$M$8),"x","")</f>
        <v/>
      </c>
      <c r="AA1005" s="803"/>
      <c r="AB1005" s="565"/>
    </row>
    <row r="1006" spans="1:31" ht="15.75" customHeight="1">
      <c r="A1006" s="804" t="str">
        <f>IF(B1006&lt;&gt;"",IF(AND(B1006&gt;=_TM1,B1006&lt;=_TM2,OR(TH!L1006="1111",TH!M1006="1111")),TH!D1006,""),"")</f>
        <v/>
      </c>
      <c r="B1006" s="36">
        <f t="shared" si="68"/>
        <v>10</v>
      </c>
      <c r="C1006" s="189">
        <f t="shared" si="69"/>
        <v>42308</v>
      </c>
      <c r="D1006" s="189" t="s">
        <v>1304</v>
      </c>
      <c r="E1006" s="189">
        <v>42308</v>
      </c>
      <c r="F1006" s="926" t="s">
        <v>962</v>
      </c>
      <c r="G1006" s="811" t="s">
        <v>556</v>
      </c>
      <c r="H1006" s="191" t="s">
        <v>1063</v>
      </c>
      <c r="I1006" s="243"/>
      <c r="J1006" s="243"/>
      <c r="K1006" s="573">
        <v>980000</v>
      </c>
      <c r="L1006" s="574" t="s">
        <v>250</v>
      </c>
      <c r="M1006" s="574" t="s">
        <v>352</v>
      </c>
      <c r="N1006" s="51" t="str">
        <f>IF(AND('331-CT'!$E$7=TH!H1006,OR(L1006="331",M1006="331")),"331",IF(AND(OR(L1006="131",M1006="131"),H1006='131-CT'!$E$7),"131",""))</f>
        <v/>
      </c>
      <c r="O1006" s="51" t="str">
        <f>IF(AND($B1006&gt;='111'!$N$11,$B1006&lt;='111'!$O$11,OR($L1006=$O$7,$M1006=$O$7)),"x","")</f>
        <v/>
      </c>
      <c r="P1006" s="51" t="str">
        <f>IF(AND($L1006=$O$7,$B1006&lt;'111'!$N$11),"x","")</f>
        <v/>
      </c>
      <c r="Q1006" s="51" t="str">
        <f>IF(AND($M1006=$O$7,$B1006&lt;'111'!$N$11),"x","")</f>
        <v/>
      </c>
      <c r="R1006" s="51" t="str">
        <f>IF(ISERROR(FIND('112'!$M$9,G1006,1)),"",IF((AND(FIND('112'!$M$9,G1006,1)&gt;=1,$B1006&gt;='112'!$N$8,$B1006&lt;='112'!$O$8,OR($L1006='112'!$I$6,$M1006='112'!$I$6))),"x",""))</f>
        <v/>
      </c>
      <c r="S1006" s="51" t="str">
        <f>IF(ISERROR(FIND('112'!$M$9,G1006,1)),"",IF((AND(LEFT(G1006,2)=LEFT('112'!$M$9,2),B1006&lt;'112'!$N$8,$L1006='112'!$I$6)),"x",""))</f>
        <v/>
      </c>
      <c r="T1006" s="51" t="str">
        <f>IF(ISERROR(FIND('112'!$M$9,G1006,1)),"",IF((AND(RIGHT(G1006,2)=RIGHT('112'!$M$9,2),B1006&lt;'112'!$N$8,$M1006='112'!$I$6)),"x",""))</f>
        <v/>
      </c>
      <c r="U1006" s="51" t="str">
        <f>IF(AND(L1006="154",'154'!$O$5&lt;=B1006,'154'!$P$5&gt;=B1006),"154",IF(AND(L1006="632",'632'!$L$5&lt;=B1006,'632'!$M$5&gt;=B1006),"632",IF(AND(L1006="642",'642'!$N$5&lt;=B1006,'642'!$O$5&gt;=B1006),"642",IF(AND(L1006="641",'641'!$N$5&lt;=B1006,'641'!$O$5&gt;=B1006),"641",""))))</f>
        <v/>
      </c>
      <c r="V1006" s="51" t="str">
        <f>IF(OR(TH!L1006=TH!$V$7,M1006=TH!$V$7),"x","")</f>
        <v/>
      </c>
      <c r="W1006" s="51" t="str">
        <f>IF(AND(B1006&gt;='IN-NX'!$P$3,B1006&lt;='IN-NX'!$Q$3,'IN-NX'!$D$7=D1006,OR(LEFT(L1006,2)="15",AND(LEFT(M1006,2)&lt;&gt;"15",LEFT(M1006,2)&lt;&gt;"33"))),"x","")</f>
        <v/>
      </c>
      <c r="X1006" s="51" t="str">
        <f>IF(AND(OR(LEFT(TH!L1006,2)="15",LEFT(TH!M1006,2)="15"),'152-CT'!$J$8=TH!F1006),"x","")</f>
        <v/>
      </c>
      <c r="Y1006" s="51" t="str">
        <f>IF(AND(OR(LEFT(TH!L1006,2)="15",LEFT(TH!M1006,2)="15"),TK!$E$7=TH!F1006),"x","")</f>
        <v/>
      </c>
      <c r="Z1006" s="51" t="str">
        <f>IF(AND(B1006&lt;=NKC!$N$8,B1006&gt;=NKC!$M$8),"x","")</f>
        <v/>
      </c>
      <c r="AA1006" s="803"/>
      <c r="AB1006" s="565"/>
    </row>
    <row r="1007" spans="1:31" ht="15.75" customHeight="1">
      <c r="A1007" s="804" t="str">
        <f>IF(B1007&lt;&gt;"",IF(AND(B1007&gt;=_TM1,B1007&lt;=_TM2,OR(TH!L1007="1111",TH!M1007="1111")),TH!D1007,""),"")</f>
        <v/>
      </c>
      <c r="B1007" s="36">
        <f t="shared" si="68"/>
        <v>10</v>
      </c>
      <c r="C1007" s="189">
        <f t="shared" si="69"/>
        <v>42308</v>
      </c>
      <c r="D1007" s="189" t="s">
        <v>1370</v>
      </c>
      <c r="E1007" s="189">
        <v>42308</v>
      </c>
      <c r="F1007" s="922" t="s">
        <v>423</v>
      </c>
      <c r="G1007" s="811" t="s">
        <v>556</v>
      </c>
      <c r="H1007" s="191" t="s">
        <v>1063</v>
      </c>
      <c r="I1007" s="243"/>
      <c r="J1007" s="243"/>
      <c r="K1007" s="573">
        <f>K1005+K1006</f>
        <v>10780000</v>
      </c>
      <c r="L1007" s="574" t="s">
        <v>47</v>
      </c>
      <c r="M1007" s="574" t="s">
        <v>250</v>
      </c>
      <c r="N1007" s="51" t="str">
        <f>IF(AND('331-CT'!$E$7=TH!H1007,OR(L1007="331",M1007="331")),"331",IF(AND(OR(L1007="131",M1007="131"),H1007='131-CT'!$E$7),"131",""))</f>
        <v/>
      </c>
      <c r="O1007" s="51" t="str">
        <f>IF(AND($B1007&gt;='111'!$N$11,$B1007&lt;='111'!$O$11,OR($L1007=$O$7,$M1007=$O$7)),"x","")</f>
        <v>x</v>
      </c>
      <c r="P1007" s="51" t="str">
        <f>IF(AND($L1007=$O$7,$B1007&lt;'111'!$N$11),"x","")</f>
        <v/>
      </c>
      <c r="Q1007" s="51" t="str">
        <f>IF(AND($M1007=$O$7,$B1007&lt;'111'!$N$11),"x","")</f>
        <v/>
      </c>
      <c r="R1007" s="51" t="str">
        <f>IF(ISERROR(FIND('112'!$M$9,G1007,1)),"",IF((AND(FIND('112'!$M$9,G1007,1)&gt;=1,$B1007&gt;='112'!$N$8,$B1007&lt;='112'!$O$8,OR($L1007='112'!$I$6,$M1007='112'!$I$6))),"x",""))</f>
        <v/>
      </c>
      <c r="S1007" s="51" t="str">
        <f>IF(ISERROR(FIND('112'!$M$9,G1007,1)),"",IF((AND(LEFT(G1007,2)=LEFT('112'!$M$9,2),B1007&lt;'112'!$N$8,$L1007='112'!$I$6)),"x",""))</f>
        <v/>
      </c>
      <c r="T1007" s="51" t="str">
        <f>IF(ISERROR(FIND('112'!$M$9,G1007,1)),"",IF((AND(RIGHT(G1007,2)=RIGHT('112'!$M$9,2),B1007&lt;'112'!$N$8,$M1007='112'!$I$6)),"x",""))</f>
        <v/>
      </c>
      <c r="U1007" s="51" t="str">
        <f>IF(AND(L1007="154",'154'!$O$5&lt;=B1007,'154'!$P$5&gt;=B1007),"154",IF(AND(L1007="632",'632'!$L$5&lt;=B1007,'632'!$M$5&gt;=B1007),"632",IF(AND(L1007="642",'642'!$N$5&lt;=B1007,'642'!$O$5&gt;=B1007),"642",IF(AND(L1007="641",'641'!$N$5&lt;=B1007,'641'!$O$5&gt;=B1007),"641",""))))</f>
        <v/>
      </c>
      <c r="V1007" s="51" t="str">
        <f>IF(OR(TH!L1007=TH!$V$7,M1007=TH!$V$7),"x","")</f>
        <v/>
      </c>
      <c r="W1007" s="51" t="str">
        <f>IF(AND(B1007&gt;='IN-NX'!$P$3,B1007&lt;='IN-NX'!$Q$3,'IN-NX'!$D$7=D1007,OR(LEFT(L1007,2)="15",AND(LEFT(M1007,2)&lt;&gt;"15",LEFT(M1007,2)&lt;&gt;"33"))),"x","")</f>
        <v/>
      </c>
      <c r="X1007" s="51" t="str">
        <f>IF(AND(OR(LEFT(TH!L1007,2)="15",LEFT(TH!M1007,2)="15"),'152-CT'!$J$8=TH!F1007),"x","")</f>
        <v/>
      </c>
      <c r="Y1007" s="51" t="str">
        <f>IF(AND(OR(LEFT(TH!L1007,2)="15",LEFT(TH!M1007,2)="15"),TK!$E$7=TH!F1007),"x","")</f>
        <v/>
      </c>
      <c r="Z1007" s="51" t="str">
        <f>IF(AND(B1007&lt;=NKC!$N$8,B1007&gt;=NKC!$M$8),"x","")</f>
        <v/>
      </c>
      <c r="AA1007" s="803"/>
      <c r="AB1007" s="565"/>
    </row>
    <row r="1008" spans="1:31" ht="15.75" customHeight="1">
      <c r="A1008" s="804" t="str">
        <f>IF(B1008&lt;&gt;"",IF(AND(B1008&gt;=_TM1,B1008&lt;=_TM2,OR(TH!L1008="1111",TH!M1008="1111")),TH!D1008,""),"")</f>
        <v/>
      </c>
      <c r="B1008" s="36">
        <f t="shared" si="68"/>
        <v>10</v>
      </c>
      <c r="C1008" s="189">
        <f t="shared" si="69"/>
        <v>42308</v>
      </c>
      <c r="D1008" s="189" t="s">
        <v>1371</v>
      </c>
      <c r="E1008" s="189">
        <v>42308</v>
      </c>
      <c r="F1008" s="190" t="s">
        <v>964</v>
      </c>
      <c r="G1008" s="811" t="s">
        <v>1082</v>
      </c>
      <c r="H1008" s="191" t="s">
        <v>975</v>
      </c>
      <c r="I1008" s="243"/>
      <c r="J1008" s="243"/>
      <c r="K1008" s="573">
        <v>6200000</v>
      </c>
      <c r="L1008" s="574" t="s">
        <v>47</v>
      </c>
      <c r="M1008" s="574" t="s">
        <v>408</v>
      </c>
      <c r="N1008" s="51" t="str">
        <f>IF(AND('331-CT'!$E$7=TH!H1008,OR(L1008="331",M1008="331")),"331",IF(AND(OR(L1008="131",M1008="131"),H1008='131-CT'!$E$7),"131",""))</f>
        <v/>
      </c>
      <c r="O1008" s="51" t="str">
        <f>IF(AND($B1008&gt;='111'!$N$11,$B1008&lt;='111'!$O$11,OR($L1008=$O$7,$M1008=$O$7)),"x","")</f>
        <v>x</v>
      </c>
      <c r="P1008" s="51" t="str">
        <f>IF(AND($L1008=$O$7,$B1008&lt;'111'!$N$11),"x","")</f>
        <v/>
      </c>
      <c r="Q1008" s="51" t="str">
        <f>IF(AND($M1008=$O$7,$B1008&lt;'111'!$N$11),"x","")</f>
        <v/>
      </c>
      <c r="R1008" s="51" t="str">
        <f>IF(ISERROR(FIND('112'!$M$9,G1008,1)),"",IF((AND(FIND('112'!$M$9,G1008,1)&gt;=1,$B1008&gt;='112'!$N$8,$B1008&lt;='112'!$O$8,OR($L1008='112'!$I$6,$M1008='112'!$I$6))),"x",""))</f>
        <v/>
      </c>
      <c r="S1008" s="51" t="str">
        <f>IF(ISERROR(FIND('112'!$M$9,G1008,1)),"",IF((AND(LEFT(G1008,2)=LEFT('112'!$M$9,2),B1008&lt;'112'!$N$8,$L1008='112'!$I$6)),"x",""))</f>
        <v/>
      </c>
      <c r="T1008" s="51" t="str">
        <f>IF(ISERROR(FIND('112'!$M$9,G1008,1)),"",IF((AND(RIGHT(G1008,2)=RIGHT('112'!$M$9,2),B1008&lt;'112'!$N$8,$M1008='112'!$I$6)),"x",""))</f>
        <v/>
      </c>
      <c r="U1008" s="51" t="str">
        <f>IF(AND(L1008="154",'154'!$O$5&lt;=B1008,'154'!$P$5&gt;=B1008),"154",IF(AND(L1008="632",'632'!$L$5&lt;=B1008,'632'!$M$5&gt;=B1008),"632",IF(AND(L1008="642",'642'!$N$5&lt;=B1008,'642'!$O$5&gt;=B1008),"642",IF(AND(L1008="641",'641'!$N$5&lt;=B1008,'641'!$O$5&gt;=B1008),"641",""))))</f>
        <v/>
      </c>
      <c r="V1008" s="51" t="str">
        <f>IF(OR(TH!L1008=TH!$V$7,M1008=TH!$V$7),"x","")</f>
        <v/>
      </c>
      <c r="W1008" s="51" t="str">
        <f>IF(AND(B1008&gt;='IN-NX'!$P$3,B1008&lt;='IN-NX'!$Q$3,'IN-NX'!$D$7=D1008,OR(LEFT(L1008,2)="15",AND(LEFT(M1008,2)&lt;&gt;"15",LEFT(M1008,2)&lt;&gt;"33"))),"x","")</f>
        <v/>
      </c>
      <c r="X1008" s="51" t="str">
        <f>IF(AND(OR(LEFT(TH!L1008,2)="15",LEFT(TH!M1008,2)="15"),'152-CT'!$J$8=TH!F1008),"x","")</f>
        <v/>
      </c>
      <c r="Y1008" s="51" t="str">
        <f>IF(AND(OR(LEFT(TH!L1008,2)="15",LEFT(TH!M1008,2)="15"),TK!$E$7=TH!F1008),"x","")</f>
        <v/>
      </c>
      <c r="Z1008" s="51" t="str">
        <f>IF(AND(B1008&lt;=NKC!$N$8,B1008&gt;=NKC!$M$8),"x","")</f>
        <v/>
      </c>
      <c r="AA1008" s="803"/>
      <c r="AB1008" s="565"/>
    </row>
    <row r="1009" spans="1:31" ht="15.75" customHeight="1">
      <c r="A1009" s="804" t="str">
        <f>IF(B1009&lt;&gt;"",IF(AND(B1009&gt;=_TM1,B1009&lt;=_TM2,OR(TH!L1009="1111",TH!M1009="1111")),TH!D1009,""),"")</f>
        <v/>
      </c>
      <c r="B1009" s="36">
        <f t="shared" si="68"/>
        <v>10</v>
      </c>
      <c r="C1009" s="189">
        <f t="shared" si="69"/>
        <v>42308</v>
      </c>
      <c r="D1009" s="189" t="s">
        <v>1371</v>
      </c>
      <c r="E1009" s="189">
        <v>42308</v>
      </c>
      <c r="F1009" s="190" t="s">
        <v>1110</v>
      </c>
      <c r="G1009" s="811" t="s">
        <v>1082</v>
      </c>
      <c r="H1009" s="191" t="s">
        <v>975</v>
      </c>
      <c r="I1009" s="243"/>
      <c r="J1009" s="243"/>
      <c r="K1009" s="573">
        <v>620000</v>
      </c>
      <c r="L1009" s="574" t="s">
        <v>47</v>
      </c>
      <c r="M1009" s="574" t="s">
        <v>352</v>
      </c>
      <c r="N1009" s="51" t="str">
        <f>IF(AND('331-CT'!$E$7=TH!H1009,OR(L1009="331",M1009="331")),"331",IF(AND(OR(L1009="131",M1009="131"),H1009='131-CT'!$E$7),"131",""))</f>
        <v/>
      </c>
      <c r="O1009" s="51" t="str">
        <f>IF(AND($B1009&gt;='111'!$N$11,$B1009&lt;='111'!$O$11,OR($L1009=$O$7,$M1009=$O$7)),"x","")</f>
        <v>x</v>
      </c>
      <c r="P1009" s="51" t="str">
        <f>IF(AND($L1009=$O$7,$B1009&lt;'111'!$N$11),"x","")</f>
        <v/>
      </c>
      <c r="Q1009" s="51" t="str">
        <f>IF(AND($M1009=$O$7,$B1009&lt;'111'!$N$11),"x","")</f>
        <v/>
      </c>
      <c r="R1009" s="51" t="str">
        <f>IF(ISERROR(FIND('112'!$M$9,G1009,1)),"",IF((AND(FIND('112'!$M$9,G1009,1)&gt;=1,$B1009&gt;='112'!$N$8,$B1009&lt;='112'!$O$8,OR($L1009='112'!$I$6,$M1009='112'!$I$6))),"x",""))</f>
        <v/>
      </c>
      <c r="S1009" s="51" t="str">
        <f>IF(ISERROR(FIND('112'!$M$9,G1009,1)),"",IF((AND(LEFT(G1009,2)=LEFT('112'!$M$9,2),B1009&lt;'112'!$N$8,$L1009='112'!$I$6)),"x",""))</f>
        <v/>
      </c>
      <c r="T1009" s="51" t="str">
        <f>IF(ISERROR(FIND('112'!$M$9,G1009,1)),"",IF((AND(RIGHT(G1009,2)=RIGHT('112'!$M$9,2),B1009&lt;'112'!$N$8,$M1009='112'!$I$6)),"x",""))</f>
        <v/>
      </c>
      <c r="U1009" s="51" t="str">
        <f>IF(AND(L1009="154",'154'!$O$5&lt;=B1009,'154'!$P$5&gt;=B1009),"154",IF(AND(L1009="632",'632'!$L$5&lt;=B1009,'632'!$M$5&gt;=B1009),"632",IF(AND(L1009="642",'642'!$N$5&lt;=B1009,'642'!$O$5&gt;=B1009),"642",IF(AND(L1009="641",'641'!$N$5&lt;=B1009,'641'!$O$5&gt;=B1009),"641",""))))</f>
        <v/>
      </c>
      <c r="V1009" s="51" t="str">
        <f>IF(OR(TH!L1009=TH!$V$7,M1009=TH!$V$7),"x","")</f>
        <v/>
      </c>
      <c r="W1009" s="51" t="str">
        <f>IF(AND(B1009&gt;='IN-NX'!$P$3,B1009&lt;='IN-NX'!$Q$3,'IN-NX'!$D$7=D1009,OR(LEFT(L1009,2)="15",AND(LEFT(M1009,2)&lt;&gt;"15",LEFT(M1009,2)&lt;&gt;"33"))),"x","")</f>
        <v/>
      </c>
      <c r="X1009" s="51" t="str">
        <f>IF(AND(OR(LEFT(TH!L1009,2)="15",LEFT(TH!M1009,2)="15"),'152-CT'!$J$8=TH!F1009),"x","")</f>
        <v/>
      </c>
      <c r="Y1009" s="51" t="str">
        <f>IF(AND(OR(LEFT(TH!L1009,2)="15",LEFT(TH!M1009,2)="15"),TK!$E$7=TH!F1009),"x","")</f>
        <v/>
      </c>
      <c r="Z1009" s="51" t="str">
        <f>IF(AND(B1009&lt;=NKC!$N$8,B1009&gt;=NKC!$M$8),"x","")</f>
        <v/>
      </c>
      <c r="AA1009" s="803"/>
      <c r="AB1009" s="565"/>
    </row>
    <row r="1010" spans="1:31" ht="15.75" customHeight="1">
      <c r="A1010" s="804" t="str">
        <f>IF(B1010&lt;&gt;"",IF(AND(B1010&gt;=_TM1,B1010&lt;=_TM2,OR(TH!L1010="1111",TH!M1010="1111")),TH!D1010,""),"")</f>
        <v/>
      </c>
      <c r="B1010" s="661">
        <f t="shared" si="68"/>
        <v>10</v>
      </c>
      <c r="C1010" s="830">
        <f t="shared" si="69"/>
        <v>42308</v>
      </c>
      <c r="D1010" s="830" t="s">
        <v>1366</v>
      </c>
      <c r="E1010" s="830">
        <v>42308</v>
      </c>
      <c r="F1010" s="836" t="s">
        <v>1468</v>
      </c>
      <c r="G1010" s="849"/>
      <c r="H1010" s="914" t="s">
        <v>437</v>
      </c>
      <c r="I1010" s="241"/>
      <c r="J1010" s="241"/>
      <c r="K1010" s="834">
        <v>5000000</v>
      </c>
      <c r="L1010" s="851" t="s">
        <v>83</v>
      </c>
      <c r="M1010" s="851" t="s">
        <v>47</v>
      </c>
      <c r="N1010" s="51" t="str">
        <f>IF(AND('331-CT'!$E$7=TH!H1010,OR(L1010="331",M1010="331")),"331",IF(AND(OR(L1010="131",M1010="131"),H1010='131-CT'!$E$7),"131",""))</f>
        <v/>
      </c>
      <c r="O1010" s="51" t="str">
        <f>IF(AND($B1010&gt;='111'!$N$11,$B1010&lt;='111'!$O$11,OR($L1010=$O$7,$M1010=$O$7)),"x","")</f>
        <v>x</v>
      </c>
      <c r="P1010" s="51" t="str">
        <f>IF(AND($L1010=$O$7,$B1010&lt;'111'!$N$11),"x","")</f>
        <v/>
      </c>
      <c r="Q1010" s="51" t="str">
        <f>IF(AND($M1010=$O$7,$B1010&lt;'111'!$N$11),"x","")</f>
        <v/>
      </c>
      <c r="R1010" s="51" t="str">
        <f>IF(ISERROR(FIND('112'!$M$9,G1010,1)),"",IF((AND(FIND('112'!$M$9,G1010,1)&gt;=1,$B1010&gt;='112'!$N$8,$B1010&lt;='112'!$O$8,OR($L1010='112'!$I$6,$M1010='112'!$I$6))),"x",""))</f>
        <v/>
      </c>
      <c r="S1010" s="51" t="str">
        <f>IF(ISERROR(FIND('112'!$M$9,G1010,1)),"",IF((AND(LEFT(G1010,2)=LEFT('112'!$M$9,2),B1010&lt;'112'!$N$8,$L1010='112'!$I$6)),"x",""))</f>
        <v/>
      </c>
      <c r="T1010" s="51" t="str">
        <f>IF(ISERROR(FIND('112'!$M$9,G1010,1)),"",IF((AND(RIGHT(G1010,2)=RIGHT('112'!$M$9,2),B1010&lt;'112'!$N$8,$M1010='112'!$I$6)),"x",""))</f>
        <v/>
      </c>
      <c r="U1010" s="51" t="str">
        <f>IF(AND(L1010="154",'154'!$O$5&lt;=B1010,'154'!$P$5&gt;=B1010),"154",IF(AND(L1010="632",'632'!$L$5&lt;=B1010,'632'!$M$5&gt;=B1010),"632",IF(AND(L1010="642",'642'!$N$5&lt;=B1010,'642'!$O$5&gt;=B1010),"642",IF(AND(L1010="641",'641'!$N$5&lt;=B1010,'641'!$O$5&gt;=B1010),"641",""))))</f>
        <v/>
      </c>
      <c r="V1010" s="51" t="str">
        <f>IF(OR(TH!L1010=TH!$V$7,M1010=TH!$V$7),"x","")</f>
        <v>x</v>
      </c>
      <c r="W1010" s="51" t="str">
        <f>IF(AND(B1010&gt;='IN-NX'!$P$3,B1010&lt;='IN-NX'!$Q$3,'IN-NX'!$D$7=D1010,OR(LEFT(L1010,2)="15",AND(LEFT(M1010,2)&lt;&gt;"15",LEFT(M1010,2)&lt;&gt;"33"))),"x","")</f>
        <v/>
      </c>
      <c r="X1010" s="51" t="str">
        <f>IF(AND(OR(LEFT(TH!L1010,2)="15",LEFT(TH!M1010,2)="15"),'152-CT'!$J$8=TH!F1010),"x","")</f>
        <v/>
      </c>
      <c r="Y1010" s="51" t="str">
        <f>IF(AND(OR(LEFT(TH!L1010,2)="15",LEFT(TH!M1010,2)="15"),TK!$E$7=TH!F1010),"x","")</f>
        <v/>
      </c>
      <c r="Z1010" s="51" t="str">
        <f>IF(AND(B1010&lt;=NKC!$N$8,B1010&gt;=NKC!$M$8),"x","")</f>
        <v/>
      </c>
      <c r="AA1010" s="915"/>
      <c r="AB1010" s="662"/>
      <c r="AC1010" s="916"/>
      <c r="AD1010" s="916"/>
      <c r="AE1010" s="565"/>
    </row>
    <row r="1011" spans="1:31" ht="15.75" customHeight="1">
      <c r="A1011" s="804" t="str">
        <f>IF(B1011&lt;&gt;"",IF(AND(B1011&gt;=_TM1,B1011&lt;=_TM2,OR(TH!L1011="1111",TH!M1011="1111")),TH!D1011,""),"")</f>
        <v/>
      </c>
      <c r="B1011" s="36">
        <f t="shared" si="68"/>
        <v>11</v>
      </c>
      <c r="C1011" s="189">
        <f t="shared" si="69"/>
        <v>42309</v>
      </c>
      <c r="D1011" s="189" t="s">
        <v>1367</v>
      </c>
      <c r="E1011" s="189">
        <v>42309</v>
      </c>
      <c r="F1011" s="926" t="s">
        <v>558</v>
      </c>
      <c r="G1011" s="813" t="s">
        <v>837</v>
      </c>
      <c r="H1011" s="7" t="s">
        <v>559</v>
      </c>
      <c r="I1011" s="243"/>
      <c r="J1011" s="243"/>
      <c r="K1011" s="573">
        <v>293636</v>
      </c>
      <c r="L1011" s="574" t="s">
        <v>83</v>
      </c>
      <c r="M1011" s="574" t="s">
        <v>47</v>
      </c>
      <c r="N1011" s="51" t="str">
        <f>IF(AND('331-CT'!$E$7=TH!H1011,OR(L1011="331",M1011="331")),"331",IF(AND(OR(L1011="131",M1011="131"),H1011='131-CT'!$E$7),"131",""))</f>
        <v/>
      </c>
      <c r="O1011" s="51" t="str">
        <f>IF(AND($B1011&gt;='111'!$N$11,$B1011&lt;='111'!$O$11,OR($L1011=$O$7,$M1011=$O$7)),"x","")</f>
        <v>x</v>
      </c>
      <c r="P1011" s="51" t="str">
        <f>IF(AND($L1011=$O$7,$B1011&lt;'111'!$N$11),"x","")</f>
        <v/>
      </c>
      <c r="Q1011" s="51" t="str">
        <f>IF(AND($M1011=$O$7,$B1011&lt;'111'!$N$11),"x","")</f>
        <v/>
      </c>
      <c r="R1011" s="51" t="str">
        <f>IF(ISERROR(FIND('112'!$M$9,G1011,1)),"",IF((AND(FIND('112'!$M$9,G1011,1)&gt;=1,$B1011&gt;='112'!$N$8,$B1011&lt;='112'!$O$8,OR($L1011='112'!$I$6,$M1011='112'!$I$6))),"x",""))</f>
        <v/>
      </c>
      <c r="S1011" s="51" t="str">
        <f>IF(ISERROR(FIND('112'!$M$9,G1011,1)),"",IF((AND(LEFT(G1011,2)=LEFT('112'!$M$9,2),B1011&lt;'112'!$N$8,$L1011='112'!$I$6)),"x",""))</f>
        <v/>
      </c>
      <c r="T1011" s="51" t="str">
        <f>IF(ISERROR(FIND('112'!$M$9,G1011,1)),"",IF((AND(RIGHT(G1011,2)=RIGHT('112'!$M$9,2),B1011&lt;'112'!$N$8,$M1011='112'!$I$6)),"x",""))</f>
        <v/>
      </c>
      <c r="U1011" s="51" t="str">
        <f>IF(AND(L1011="154",'154'!$O$5&lt;=B1011,'154'!$P$5&gt;=B1011),"154",IF(AND(L1011="632",'632'!$L$5&lt;=B1011,'632'!$M$5&gt;=B1011),"632",IF(AND(L1011="642",'642'!$N$5&lt;=B1011,'642'!$O$5&gt;=B1011),"642",IF(AND(L1011="641",'641'!$N$5&lt;=B1011,'641'!$O$5&gt;=B1011),"641",""))))</f>
        <v/>
      </c>
      <c r="V1011" s="51" t="str">
        <f>IF(OR(TH!L1011=TH!$V$7,M1011=TH!$V$7),"x","")</f>
        <v>x</v>
      </c>
      <c r="W1011" s="51" t="str">
        <f>IF(AND(B1011&gt;='IN-NX'!$P$3,B1011&lt;='IN-NX'!$Q$3,'IN-NX'!$D$7=D1011,OR(LEFT(L1011,2)="15",AND(LEFT(M1011,2)&lt;&gt;"15",LEFT(M1011,2)&lt;&gt;"33"))),"x","")</f>
        <v/>
      </c>
      <c r="X1011" s="51" t="str">
        <f>IF(AND(OR(LEFT(TH!L1011,2)="15",LEFT(TH!M1011,2)="15"),'152-CT'!$J$8=TH!F1011),"x","")</f>
        <v/>
      </c>
      <c r="Y1011" s="51" t="str">
        <f>IF(AND(OR(LEFT(TH!L1011,2)="15",LEFT(TH!M1011,2)="15"),TK!$E$7=TH!F1011),"x","")</f>
        <v/>
      </c>
      <c r="Z1011" s="51" t="str">
        <f>IF(AND(B1011&lt;=NKC!$N$8,B1011&gt;=NKC!$M$8),"x","")</f>
        <v/>
      </c>
      <c r="AA1011" s="803"/>
      <c r="AB1011" s="565"/>
      <c r="AE1011" s="565"/>
    </row>
    <row r="1012" spans="1:31" ht="15.75" customHeight="1">
      <c r="A1012" s="804" t="str">
        <f>IF(B1012&lt;&gt;"",IF(AND(B1012&gt;=_TM1,B1012&lt;=_TM2,OR(TH!L1012="1111",TH!M1012="1111")),TH!D1012,""),"")</f>
        <v/>
      </c>
      <c r="B1012" s="36">
        <f t="shared" si="68"/>
        <v>11</v>
      </c>
      <c r="C1012" s="189">
        <f t="shared" si="69"/>
        <v>42309</v>
      </c>
      <c r="D1012" s="189" t="s">
        <v>1367</v>
      </c>
      <c r="E1012" s="189">
        <v>42309</v>
      </c>
      <c r="F1012" s="926" t="s">
        <v>560</v>
      </c>
      <c r="G1012" s="813" t="s">
        <v>837</v>
      </c>
      <c r="H1012" s="7" t="s">
        <v>559</v>
      </c>
      <c r="I1012" s="243"/>
      <c r="J1012" s="243"/>
      <c r="K1012" s="573">
        <v>29364</v>
      </c>
      <c r="L1012" s="574" t="s">
        <v>9</v>
      </c>
      <c r="M1012" s="574" t="s">
        <v>47</v>
      </c>
      <c r="N1012" s="51" t="str">
        <f>IF(AND('331-CT'!$E$7=TH!H1012,OR(L1012="331",M1012="331")),"331",IF(AND(OR(L1012="131",M1012="131"),H1012='131-CT'!$E$7),"131",""))</f>
        <v/>
      </c>
      <c r="O1012" s="51" t="str">
        <f>IF(AND($B1012&gt;='111'!$N$11,$B1012&lt;='111'!$O$11,OR($L1012=$O$7,$M1012=$O$7)),"x","")</f>
        <v>x</v>
      </c>
      <c r="P1012" s="51" t="str">
        <f>IF(AND($L1012=$O$7,$B1012&lt;'111'!$N$11),"x","")</f>
        <v/>
      </c>
      <c r="Q1012" s="51" t="str">
        <f>IF(AND($M1012=$O$7,$B1012&lt;'111'!$N$11),"x","")</f>
        <v/>
      </c>
      <c r="R1012" s="51" t="str">
        <f>IF(ISERROR(FIND('112'!$M$9,G1012,1)),"",IF((AND(FIND('112'!$M$9,G1012,1)&gt;=1,$B1012&gt;='112'!$N$8,$B1012&lt;='112'!$O$8,OR($L1012='112'!$I$6,$M1012='112'!$I$6))),"x",""))</f>
        <v/>
      </c>
      <c r="S1012" s="51" t="str">
        <f>IF(ISERROR(FIND('112'!$M$9,G1012,1)),"",IF((AND(LEFT(G1012,2)=LEFT('112'!$M$9,2),B1012&lt;'112'!$N$8,$L1012='112'!$I$6)),"x",""))</f>
        <v/>
      </c>
      <c r="T1012" s="51" t="str">
        <f>IF(ISERROR(FIND('112'!$M$9,G1012,1)),"",IF((AND(RIGHT(G1012,2)=RIGHT('112'!$M$9,2),B1012&lt;'112'!$N$8,$M1012='112'!$I$6)),"x",""))</f>
        <v/>
      </c>
      <c r="U1012" s="51" t="str">
        <f>IF(AND(L1012="154",'154'!$O$5&lt;=B1012,'154'!$P$5&gt;=B1012),"154",IF(AND(L1012="632",'632'!$L$5&lt;=B1012,'632'!$M$5&gt;=B1012),"632",IF(AND(L1012="642",'642'!$N$5&lt;=B1012,'642'!$O$5&gt;=B1012),"642",IF(AND(L1012="641",'641'!$N$5&lt;=B1012,'641'!$O$5&gt;=B1012),"641",""))))</f>
        <v/>
      </c>
      <c r="V1012" s="51" t="str">
        <f>IF(OR(TH!L1012=TH!$V$7,M1012=TH!$V$7),"x","")</f>
        <v/>
      </c>
      <c r="W1012" s="51" t="str">
        <f>IF(AND(B1012&gt;='IN-NX'!$P$3,B1012&lt;='IN-NX'!$Q$3,'IN-NX'!$D$7=D1012,OR(LEFT(L1012,2)="15",AND(LEFT(M1012,2)&lt;&gt;"15",LEFT(M1012,2)&lt;&gt;"33"))),"x","")</f>
        <v/>
      </c>
      <c r="X1012" s="51" t="str">
        <f>IF(AND(OR(LEFT(TH!L1012,2)="15",LEFT(TH!M1012,2)="15"),'152-CT'!$J$8=TH!F1012),"x","")</f>
        <v/>
      </c>
      <c r="Y1012" s="51" t="str">
        <f>IF(AND(OR(LEFT(TH!L1012,2)="15",LEFT(TH!M1012,2)="15"),TK!$E$7=TH!F1012),"x","")</f>
        <v/>
      </c>
      <c r="Z1012" s="51" t="str">
        <f>IF(AND(B1012&lt;=NKC!$N$8,B1012&gt;=NKC!$M$8),"x","")</f>
        <v/>
      </c>
      <c r="AA1012" s="803">
        <v>4</v>
      </c>
      <c r="AB1012" s="565"/>
      <c r="AE1012" s="565"/>
    </row>
    <row r="1013" spans="1:31" ht="15.75" customHeight="1">
      <c r="A1013" s="804" t="str">
        <f>IF(B1013&lt;&gt;"",IF(AND(B1013&gt;=_TM1,B1013&lt;=_TM2,OR(TH!L1013="1111",TH!M1013="1111")),TH!D1013,""),"")</f>
        <v/>
      </c>
      <c r="B1013" s="36">
        <f t="shared" si="68"/>
        <v>11</v>
      </c>
      <c r="C1013" s="189">
        <f t="shared" si="69"/>
        <v>42310</v>
      </c>
      <c r="D1013" s="189" t="s">
        <v>421</v>
      </c>
      <c r="E1013" s="182">
        <v>42310</v>
      </c>
      <c r="F1013" s="922" t="s">
        <v>423</v>
      </c>
      <c r="G1013" s="811" t="s">
        <v>415</v>
      </c>
      <c r="H1013" s="191" t="s">
        <v>1051</v>
      </c>
      <c r="I1013" s="243"/>
      <c r="J1013" s="243"/>
      <c r="K1013" s="573">
        <v>3883500</v>
      </c>
      <c r="L1013" s="574" t="s">
        <v>24</v>
      </c>
      <c r="M1013" s="192" t="s">
        <v>250</v>
      </c>
      <c r="N1013" s="51" t="str">
        <f>IF(AND('331-CT'!$E$7=TH!H1013,OR(L1013="331",M1013="331")),"331",IF(AND(OR(L1013="131",M1013="131"),H1013='131-CT'!$E$7),"131",""))</f>
        <v/>
      </c>
      <c r="O1013" s="51" t="str">
        <f>IF(AND($B1013&gt;='111'!$N$11,$B1013&lt;='111'!$O$11,OR($L1013=$O$7,$M1013=$O$7)),"x","")</f>
        <v/>
      </c>
      <c r="P1013" s="51" t="str">
        <f>IF(AND($L1013=$O$7,$B1013&lt;'111'!$N$11),"x","")</f>
        <v/>
      </c>
      <c r="Q1013" s="51" t="str">
        <f>IF(AND($M1013=$O$7,$B1013&lt;'111'!$N$11),"x","")</f>
        <v/>
      </c>
      <c r="R1013" s="51" t="str">
        <f>IF(ISERROR(FIND('112'!$M$9,G1013,1)),"",IF((AND(FIND('112'!$M$9,G1013,1)&gt;=1,$B1013&gt;='112'!$N$8,$B1013&lt;='112'!$O$8,OR($L1013='112'!$I$6,$M1013='112'!$I$6))),"x",""))</f>
        <v/>
      </c>
      <c r="S1013" s="51" t="str">
        <f>IF(ISERROR(FIND('112'!$M$9,G1013,1)),"",IF((AND(LEFT(G1013,2)=LEFT('112'!$M$9,2),B1013&lt;'112'!$N$8,$L1013='112'!$I$6)),"x",""))</f>
        <v/>
      </c>
      <c r="T1013" s="51" t="str">
        <f>IF(ISERROR(FIND('112'!$M$9,G1013,1)),"",IF((AND(RIGHT(G1013,2)=RIGHT('112'!$M$9,2),B1013&lt;'112'!$N$8,$M1013='112'!$I$6)),"x",""))</f>
        <v/>
      </c>
      <c r="U1013" s="51" t="str">
        <f>IF(AND(L1013="154",'154'!$O$5&lt;=B1013,'154'!$P$5&gt;=B1013),"154",IF(AND(L1013="632",'632'!$L$5&lt;=B1013,'632'!$M$5&gt;=B1013),"632",IF(AND(L1013="642",'642'!$N$5&lt;=B1013,'642'!$O$5&gt;=B1013),"642",IF(AND(L1013="641",'641'!$N$5&lt;=B1013,'641'!$O$5&gt;=B1013),"641",""))))</f>
        <v/>
      </c>
      <c r="V1013" s="51" t="str">
        <f>IF(OR(TH!L1013=TH!$V$7,M1013=TH!$V$7),"x","")</f>
        <v/>
      </c>
      <c r="W1013" s="51" t="str">
        <f>IF(AND(B1013&gt;='IN-NX'!$P$3,B1013&lt;='IN-NX'!$Q$3,'IN-NX'!$D$7=D1013,OR(LEFT(L1013,2)="15",AND(LEFT(M1013,2)&lt;&gt;"15",LEFT(M1013,2)&lt;&gt;"33"))),"x","")</f>
        <v/>
      </c>
      <c r="X1013" s="51" t="str">
        <f>IF(AND(OR(LEFT(TH!L1013,2)="15",LEFT(TH!M1013,2)="15"),'152-CT'!$J$8=TH!F1013),"x","")</f>
        <v/>
      </c>
      <c r="Y1013" s="51" t="str">
        <f>IF(AND(OR(LEFT(TH!L1013,2)="15",LEFT(TH!M1013,2)="15"),TK!$E$7=TH!F1013),"x","")</f>
        <v/>
      </c>
      <c r="Z1013" s="51" t="str">
        <f>IF(AND(B1013&lt;=NKC!$N$8,B1013&gt;=NKC!$M$8),"x","")</f>
        <v/>
      </c>
      <c r="AA1013" s="803"/>
      <c r="AB1013" s="565"/>
      <c r="AD1013" s="565"/>
    </row>
    <row r="1014" spans="1:31" ht="15.75" customHeight="1">
      <c r="A1014" s="804" t="str">
        <f>IF(B1014&lt;&gt;"",IF(AND(B1014&gt;=_TM1,B1014&lt;=_TM2,OR(TH!L1014="1111",TH!M1014="1111")),TH!D1014,""),"")</f>
        <v/>
      </c>
      <c r="B1014" s="36">
        <f t="shared" si="68"/>
        <v>11</v>
      </c>
      <c r="C1014" s="189">
        <f t="shared" si="69"/>
        <v>42310</v>
      </c>
      <c r="D1014" s="189" t="s">
        <v>319</v>
      </c>
      <c r="E1014" s="182">
        <v>42310</v>
      </c>
      <c r="F1014" s="917" t="s">
        <v>1282</v>
      </c>
      <c r="G1014" s="811"/>
      <c r="H1014" s="191" t="s">
        <v>1051</v>
      </c>
      <c r="I1014" s="243"/>
      <c r="J1014" s="243"/>
      <c r="K1014" s="573">
        <v>22050</v>
      </c>
      <c r="L1014" s="574" t="s">
        <v>83</v>
      </c>
      <c r="M1014" s="192" t="s">
        <v>250</v>
      </c>
      <c r="N1014" s="51" t="str">
        <f>IF(AND('331-CT'!$E$7=TH!H1014,OR(L1014="331",M1014="331")),"331",IF(AND(OR(L1014="131",M1014="131"),H1014='131-CT'!$E$7),"131",""))</f>
        <v/>
      </c>
      <c r="O1014" s="51" t="str">
        <f>IF(AND($B1014&gt;='111'!$N$11,$B1014&lt;='111'!$O$11,OR($L1014=$O$7,$M1014=$O$7)),"x","")</f>
        <v/>
      </c>
      <c r="P1014" s="51" t="str">
        <f>IF(AND($L1014=$O$7,$B1014&lt;'111'!$N$11),"x","")</f>
        <v/>
      </c>
      <c r="Q1014" s="51" t="str">
        <f>IF(AND($M1014=$O$7,$B1014&lt;'111'!$N$11),"x","")</f>
        <v/>
      </c>
      <c r="R1014" s="51" t="str">
        <f>IF(ISERROR(FIND('112'!$M$9,G1014,1)),"",IF((AND(FIND('112'!$M$9,G1014,1)&gt;=1,$B1014&gt;='112'!$N$8,$B1014&lt;='112'!$O$8,OR($L1014='112'!$I$6,$M1014='112'!$I$6))),"x",""))</f>
        <v/>
      </c>
      <c r="S1014" s="51" t="str">
        <f>IF(ISERROR(FIND('112'!$M$9,G1014,1)),"",IF((AND(LEFT(G1014,2)=LEFT('112'!$M$9,2),B1014&lt;'112'!$N$8,$L1014='112'!$I$6)),"x",""))</f>
        <v/>
      </c>
      <c r="T1014" s="51" t="str">
        <f>IF(ISERROR(FIND('112'!$M$9,G1014,1)),"",IF((AND(RIGHT(G1014,2)=RIGHT('112'!$M$9,2),B1014&lt;'112'!$N$8,$M1014='112'!$I$6)),"x",""))</f>
        <v/>
      </c>
      <c r="U1014" s="51" t="str">
        <f>IF(AND(L1014="154",'154'!$O$5&lt;=B1014,'154'!$P$5&gt;=B1014),"154",IF(AND(L1014="632",'632'!$L$5&lt;=B1014,'632'!$M$5&gt;=B1014),"632",IF(AND(L1014="642",'642'!$N$5&lt;=B1014,'642'!$O$5&gt;=B1014),"642",IF(AND(L1014="641",'641'!$N$5&lt;=B1014,'641'!$O$5&gt;=B1014),"641",""))))</f>
        <v/>
      </c>
      <c r="V1014" s="51" t="str">
        <f>IF(OR(TH!L1014=TH!$V$7,M1014=TH!$V$7),"x","")</f>
        <v>x</v>
      </c>
      <c r="W1014" s="51" t="str">
        <f>IF(AND(B1014&gt;='IN-NX'!$P$3,B1014&lt;='IN-NX'!$Q$3,'IN-NX'!$D$7=D1014,OR(LEFT(L1014,2)="15",AND(LEFT(M1014,2)&lt;&gt;"15",LEFT(M1014,2)&lt;&gt;"33"))),"x","")</f>
        <v/>
      </c>
      <c r="X1014" s="51" t="str">
        <f>IF(AND(OR(LEFT(TH!L1014,2)="15",LEFT(TH!M1014,2)="15"),'152-CT'!$J$8=TH!F1014),"x","")</f>
        <v/>
      </c>
      <c r="Y1014" s="51" t="str">
        <f>IF(AND(OR(LEFT(TH!L1014,2)="15",LEFT(TH!M1014,2)="15"),TK!$E$7=TH!F1014),"x","")</f>
        <v/>
      </c>
      <c r="Z1014" s="51" t="str">
        <f>IF(AND(B1014&lt;=NKC!$N$8,B1014&gt;=NKC!$M$8),"x","")</f>
        <v/>
      </c>
      <c r="AA1014" s="803"/>
      <c r="AB1014" s="565"/>
      <c r="AD1014" s="565"/>
    </row>
    <row r="1015" spans="1:31" ht="15.75" customHeight="1">
      <c r="A1015" s="804" t="str">
        <f>IF(B1015&lt;&gt;"",IF(AND(B1015&gt;=_TM1,B1015&lt;=_TM2,OR(TH!L1015="1111",TH!M1015="1111")),TH!D1015,""),"")</f>
        <v/>
      </c>
      <c r="B1015" s="36">
        <f t="shared" si="68"/>
        <v>11</v>
      </c>
      <c r="C1015" s="189">
        <f t="shared" si="69"/>
        <v>42310</v>
      </c>
      <c r="D1015" s="189" t="s">
        <v>1373</v>
      </c>
      <c r="E1015" s="182">
        <v>42310</v>
      </c>
      <c r="F1015" s="187" t="s">
        <v>433</v>
      </c>
      <c r="G1015" s="811" t="s">
        <v>415</v>
      </c>
      <c r="H1015" s="7" t="s">
        <v>437</v>
      </c>
      <c r="I1015" s="243"/>
      <c r="J1015" s="243"/>
      <c r="K1015" s="573">
        <v>20700000</v>
      </c>
      <c r="L1015" s="574" t="s">
        <v>24</v>
      </c>
      <c r="M1015" s="192" t="s">
        <v>47</v>
      </c>
      <c r="N1015" s="51" t="str">
        <f>IF(AND('331-CT'!$E$7=TH!H1015,OR(L1015="331",M1015="331")),"331",IF(AND(OR(L1015="131",M1015="131"),H1015='131-CT'!$E$7),"131",""))</f>
        <v/>
      </c>
      <c r="O1015" s="51" t="str">
        <f>IF(AND($B1015&gt;='111'!$N$11,$B1015&lt;='111'!$O$11,OR($L1015=$O$7,$M1015=$O$7)),"x","")</f>
        <v>x</v>
      </c>
      <c r="P1015" s="51" t="str">
        <f>IF(AND($L1015=$O$7,$B1015&lt;'111'!$N$11),"x","")</f>
        <v/>
      </c>
      <c r="Q1015" s="51" t="str">
        <f>IF(AND($M1015=$O$7,$B1015&lt;'111'!$N$11),"x","")</f>
        <v/>
      </c>
      <c r="R1015" s="51" t="str">
        <f>IF(ISERROR(FIND('112'!$M$9,G1015,1)),"",IF((AND(FIND('112'!$M$9,G1015,1)&gt;=1,$B1015&gt;='112'!$N$8,$B1015&lt;='112'!$O$8,OR($L1015='112'!$I$6,$M1015='112'!$I$6))),"x",""))</f>
        <v/>
      </c>
      <c r="S1015" s="51" t="str">
        <f>IF(ISERROR(FIND('112'!$M$9,G1015,1)),"",IF((AND(LEFT(G1015,2)=LEFT('112'!$M$9,2),B1015&lt;'112'!$N$8,$L1015='112'!$I$6)),"x",""))</f>
        <v/>
      </c>
      <c r="T1015" s="51" t="str">
        <f>IF(ISERROR(FIND('112'!$M$9,G1015,1)),"",IF((AND(RIGHT(G1015,2)=RIGHT('112'!$M$9,2),B1015&lt;'112'!$N$8,$M1015='112'!$I$6)),"x",""))</f>
        <v/>
      </c>
      <c r="U1015" s="51" t="str">
        <f>IF(AND(L1015="154",'154'!$O$5&lt;=B1015,'154'!$P$5&gt;=B1015),"154",IF(AND(L1015="632",'632'!$L$5&lt;=B1015,'632'!$M$5&gt;=B1015),"632",IF(AND(L1015="642",'642'!$N$5&lt;=B1015,'642'!$O$5&gt;=B1015),"642",IF(AND(L1015="641",'641'!$N$5&lt;=B1015,'641'!$O$5&gt;=B1015),"641",""))))</f>
        <v/>
      </c>
      <c r="V1015" s="51" t="str">
        <f>IF(OR(TH!L1015=TH!$V$7,M1015=TH!$V$7),"x","")</f>
        <v/>
      </c>
      <c r="W1015" s="51" t="str">
        <f>IF(AND(B1015&gt;='IN-NX'!$P$3,B1015&lt;='IN-NX'!$Q$3,'IN-NX'!$D$7=D1015,OR(LEFT(L1015,2)="15",AND(LEFT(M1015,2)&lt;&gt;"15",LEFT(M1015,2)&lt;&gt;"33"))),"x","")</f>
        <v/>
      </c>
      <c r="X1015" s="51" t="str">
        <f>IF(AND(OR(LEFT(TH!L1015,2)="15",LEFT(TH!M1015,2)="15"),'152-CT'!$J$8=TH!F1015),"x","")</f>
        <v/>
      </c>
      <c r="Y1015" s="51" t="str">
        <f>IF(AND(OR(LEFT(TH!L1015,2)="15",LEFT(TH!M1015,2)="15"),TK!$E$7=TH!F1015),"x","")</f>
        <v/>
      </c>
      <c r="Z1015" s="51" t="str">
        <f>IF(AND(B1015&lt;=NKC!$N$8,B1015&gt;=NKC!$M$8),"x","")</f>
        <v/>
      </c>
      <c r="AA1015" s="803"/>
      <c r="AB1015" s="565"/>
      <c r="AC1015" s="565"/>
      <c r="AD1015" s="565"/>
      <c r="AE1015" s="565"/>
    </row>
    <row r="1016" spans="1:31" ht="15.75" customHeight="1">
      <c r="A1016" s="804" t="str">
        <f>IF(B1016&lt;&gt;"",IF(AND(B1016&gt;=_TM1,B1016&lt;=_TM2,OR(TH!L1016="1111",TH!M1016="1111")),TH!D1016,""),"")</f>
        <v/>
      </c>
      <c r="B1016" s="36">
        <f t="shared" si="68"/>
        <v>11</v>
      </c>
      <c r="C1016" s="189">
        <f t="shared" si="69"/>
        <v>42310</v>
      </c>
      <c r="D1016" s="189" t="s">
        <v>422</v>
      </c>
      <c r="E1016" s="182">
        <v>42310</v>
      </c>
      <c r="F1016" s="187" t="s">
        <v>438</v>
      </c>
      <c r="G1016" s="811" t="s">
        <v>415</v>
      </c>
      <c r="H1016" s="191" t="s">
        <v>959</v>
      </c>
      <c r="I1016" s="243"/>
      <c r="J1016" s="243"/>
      <c r="K1016" s="573">
        <v>20612513</v>
      </c>
      <c r="L1016" s="574" t="s">
        <v>8</v>
      </c>
      <c r="M1016" s="192" t="s">
        <v>24</v>
      </c>
      <c r="N1016" s="51" t="str">
        <f>IF(AND('331-CT'!$E$7=TH!H1016,OR(L1016="331",M1016="331")),"331",IF(AND(OR(L1016="131",M1016="131"),H1016='131-CT'!$E$7),"131",""))</f>
        <v>331</v>
      </c>
      <c r="O1016" s="51" t="str">
        <f>IF(AND($B1016&gt;='111'!$N$11,$B1016&lt;='111'!$O$11,OR($L1016=$O$7,$M1016=$O$7)),"x","")</f>
        <v/>
      </c>
      <c r="P1016" s="51" t="str">
        <f>IF(AND($L1016=$O$7,$B1016&lt;'111'!$N$11),"x","")</f>
        <v/>
      </c>
      <c r="Q1016" s="51" t="str">
        <f>IF(AND($M1016=$O$7,$B1016&lt;'111'!$N$11),"x","")</f>
        <v/>
      </c>
      <c r="R1016" s="51" t="str">
        <f>IF(ISERROR(FIND('112'!$M$9,G1016,1)),"",IF((AND(FIND('112'!$M$9,G1016,1)&gt;=1,$B1016&gt;='112'!$N$8,$B1016&lt;='112'!$O$8,OR($L1016='112'!$I$6,$M1016='112'!$I$6))),"x",""))</f>
        <v/>
      </c>
      <c r="S1016" s="51" t="str">
        <f>IF(ISERROR(FIND('112'!$M$9,G1016,1)),"",IF((AND(LEFT(G1016,2)=LEFT('112'!$M$9,2),B1016&lt;'112'!$N$8,$L1016='112'!$I$6)),"x",""))</f>
        <v/>
      </c>
      <c r="T1016" s="51" t="str">
        <f>IF(ISERROR(FIND('112'!$M$9,G1016,1)),"",IF((AND(RIGHT(G1016,2)=RIGHT('112'!$M$9,2),B1016&lt;'112'!$N$8,$M1016='112'!$I$6)),"x",""))</f>
        <v/>
      </c>
      <c r="U1016" s="51" t="str">
        <f>IF(AND(L1016="154",'154'!$O$5&lt;=B1016,'154'!$P$5&gt;=B1016),"154",IF(AND(L1016="632",'632'!$L$5&lt;=B1016,'632'!$M$5&gt;=B1016),"632",IF(AND(L1016="642",'642'!$N$5&lt;=B1016,'642'!$O$5&gt;=B1016),"642",IF(AND(L1016="641",'641'!$N$5&lt;=B1016,'641'!$O$5&gt;=B1016),"641",""))))</f>
        <v/>
      </c>
      <c r="V1016" s="51" t="str">
        <f>IF(OR(TH!L1016=TH!$V$7,M1016=TH!$V$7),"x","")</f>
        <v/>
      </c>
      <c r="W1016" s="51" t="str">
        <f>IF(AND(B1016&gt;='IN-NX'!$P$3,B1016&lt;='IN-NX'!$Q$3,'IN-NX'!$D$7=D1016,OR(LEFT(L1016,2)="15",AND(LEFT(M1016,2)&lt;&gt;"15",LEFT(M1016,2)&lt;&gt;"33"))),"x","")</f>
        <v/>
      </c>
      <c r="X1016" s="51" t="str">
        <f>IF(AND(OR(LEFT(TH!L1016,2)="15",LEFT(TH!M1016,2)="15"),'152-CT'!$J$8=TH!F1016),"x","")</f>
        <v/>
      </c>
      <c r="Y1016" s="51" t="str">
        <f>IF(AND(OR(LEFT(TH!L1016,2)="15",LEFT(TH!M1016,2)="15"),TK!$E$7=TH!F1016),"x","")</f>
        <v/>
      </c>
      <c r="Z1016" s="51" t="str">
        <f>IF(AND(B1016&lt;=NKC!$N$8,B1016&gt;=NKC!$M$8),"x","")</f>
        <v/>
      </c>
      <c r="AA1016" s="803"/>
      <c r="AB1016" s="565"/>
      <c r="AE1016" s="565"/>
    </row>
    <row r="1017" spans="1:31" ht="15.75" customHeight="1">
      <c r="A1017" s="804" t="str">
        <f>IF(B1017&lt;&gt;"",IF(AND(B1017&gt;=_TM1,B1017&lt;=_TM2,OR(TH!L1017="1111",TH!M1017="1111")),TH!D1017,""),"")</f>
        <v/>
      </c>
      <c r="B1017" s="36">
        <f t="shared" si="68"/>
        <v>11</v>
      </c>
      <c r="C1017" s="189">
        <f t="shared" si="69"/>
        <v>42310</v>
      </c>
      <c r="D1017" s="189" t="s">
        <v>1374</v>
      </c>
      <c r="E1017" s="189">
        <v>42310</v>
      </c>
      <c r="F1017" s="190" t="s">
        <v>526</v>
      </c>
      <c r="G1017" s="813" t="s">
        <v>836</v>
      </c>
      <c r="H1017" s="191" t="s">
        <v>525</v>
      </c>
      <c r="I1017" s="243"/>
      <c r="J1017" s="243"/>
      <c r="K1017" s="573">
        <f>381818+790908</f>
        <v>1172726</v>
      </c>
      <c r="L1017" s="574" t="s">
        <v>83</v>
      </c>
      <c r="M1017" s="574" t="s">
        <v>47</v>
      </c>
      <c r="N1017" s="51" t="str">
        <f>IF(AND('331-CT'!$E$7=TH!H1017,OR(L1017="331",M1017="331")),"331",IF(AND(OR(L1017="131",M1017="131"),H1017='131-CT'!$E$7),"131",""))</f>
        <v/>
      </c>
      <c r="O1017" s="51" t="str">
        <f>IF(AND($B1017&gt;='111'!$N$11,$B1017&lt;='111'!$O$11,OR($L1017=$O$7,$M1017=$O$7)),"x","")</f>
        <v>x</v>
      </c>
      <c r="P1017" s="51" t="str">
        <f>IF(AND($L1017=$O$7,$B1017&lt;'111'!$N$11),"x","")</f>
        <v/>
      </c>
      <c r="Q1017" s="51" t="str">
        <f>IF(AND($M1017=$O$7,$B1017&lt;'111'!$N$11),"x","")</f>
        <v/>
      </c>
      <c r="R1017" s="51" t="str">
        <f>IF(ISERROR(FIND('112'!$M$9,G1017,1)),"",IF((AND(FIND('112'!$M$9,G1017,1)&gt;=1,$B1017&gt;='112'!$N$8,$B1017&lt;='112'!$O$8,OR($L1017='112'!$I$6,$M1017='112'!$I$6))),"x",""))</f>
        <v/>
      </c>
      <c r="S1017" s="51" t="str">
        <f>IF(ISERROR(FIND('112'!$M$9,G1017,1)),"",IF((AND(LEFT(G1017,2)=LEFT('112'!$M$9,2),B1017&lt;'112'!$N$8,$L1017='112'!$I$6)),"x",""))</f>
        <v/>
      </c>
      <c r="T1017" s="51" t="str">
        <f>IF(ISERROR(FIND('112'!$M$9,G1017,1)),"",IF((AND(RIGHT(G1017,2)=RIGHT('112'!$M$9,2),B1017&lt;'112'!$N$8,$M1017='112'!$I$6)),"x",""))</f>
        <v/>
      </c>
      <c r="U1017" s="51" t="str">
        <f>IF(AND(L1017="154",'154'!$O$5&lt;=B1017,'154'!$P$5&gt;=B1017),"154",IF(AND(L1017="632",'632'!$L$5&lt;=B1017,'632'!$M$5&gt;=B1017),"632",IF(AND(L1017="642",'642'!$N$5&lt;=B1017,'642'!$O$5&gt;=B1017),"642",IF(AND(L1017="641",'641'!$N$5&lt;=B1017,'641'!$O$5&gt;=B1017),"641",""))))</f>
        <v/>
      </c>
      <c r="V1017" s="51" t="str">
        <f>IF(OR(TH!L1017=TH!$V$7,M1017=TH!$V$7),"x","")</f>
        <v>x</v>
      </c>
      <c r="W1017" s="51" t="str">
        <f>IF(AND(B1017&gt;='IN-NX'!$P$3,B1017&lt;='IN-NX'!$Q$3,'IN-NX'!$D$7=D1017,OR(LEFT(L1017,2)="15",AND(LEFT(M1017,2)&lt;&gt;"15",LEFT(M1017,2)&lt;&gt;"33"))),"x","")</f>
        <v/>
      </c>
      <c r="X1017" s="51" t="str">
        <f>IF(AND(OR(LEFT(TH!L1017,2)="15",LEFT(TH!M1017,2)="15"),'152-CT'!$J$8=TH!F1017),"x","")</f>
        <v/>
      </c>
      <c r="Y1017" s="51" t="str">
        <f>IF(AND(OR(LEFT(TH!L1017,2)="15",LEFT(TH!M1017,2)="15"),TK!$E$7=TH!F1017),"x","")</f>
        <v/>
      </c>
      <c r="Z1017" s="51" t="str">
        <f>IF(AND(B1017&lt;=NKC!$N$8,B1017&gt;=NKC!$M$8),"x","")</f>
        <v/>
      </c>
      <c r="AA1017" s="803"/>
      <c r="AB1017" s="565"/>
      <c r="AE1017" s="565"/>
    </row>
    <row r="1018" spans="1:31" ht="15.75" customHeight="1">
      <c r="A1018" s="804" t="str">
        <f>IF(B1018&lt;&gt;"",IF(AND(B1018&gt;=_TM1,B1018&lt;=_TM2,OR(TH!L1018="1111",TH!M1018="1111")),TH!D1018,""),"")</f>
        <v/>
      </c>
      <c r="B1018" s="36">
        <f t="shared" si="68"/>
        <v>11</v>
      </c>
      <c r="C1018" s="189">
        <f t="shared" si="69"/>
        <v>42310</v>
      </c>
      <c r="D1018" s="189" t="s">
        <v>1374</v>
      </c>
      <c r="E1018" s="189">
        <v>42310</v>
      </c>
      <c r="F1018" s="926" t="s">
        <v>527</v>
      </c>
      <c r="G1018" s="813" t="s">
        <v>836</v>
      </c>
      <c r="H1018" s="191" t="s">
        <v>525</v>
      </c>
      <c r="I1018" s="243"/>
      <c r="J1018" s="243"/>
      <c r="K1018" s="573">
        <f>38182+79091</f>
        <v>117273</v>
      </c>
      <c r="L1018" s="574" t="s">
        <v>9</v>
      </c>
      <c r="M1018" s="574" t="s">
        <v>47</v>
      </c>
      <c r="N1018" s="51" t="str">
        <f>IF(AND('331-CT'!$E$7=TH!H1018,OR(L1018="331",M1018="331")),"331",IF(AND(OR(L1018="131",M1018="131"),H1018='131-CT'!$E$7),"131",""))</f>
        <v/>
      </c>
      <c r="O1018" s="51" t="str">
        <f>IF(AND($B1018&gt;='111'!$N$11,$B1018&lt;='111'!$O$11,OR($L1018=$O$7,$M1018=$O$7)),"x","")</f>
        <v>x</v>
      </c>
      <c r="P1018" s="51" t="str">
        <f>IF(AND($L1018=$O$7,$B1018&lt;'111'!$N$11),"x","")</f>
        <v/>
      </c>
      <c r="Q1018" s="51" t="str">
        <f>IF(AND($M1018=$O$7,$B1018&lt;'111'!$N$11),"x","")</f>
        <v/>
      </c>
      <c r="R1018" s="51" t="str">
        <f>IF(ISERROR(FIND('112'!$M$9,G1018,1)),"",IF((AND(FIND('112'!$M$9,G1018,1)&gt;=1,$B1018&gt;='112'!$N$8,$B1018&lt;='112'!$O$8,OR($L1018='112'!$I$6,$M1018='112'!$I$6))),"x",""))</f>
        <v/>
      </c>
      <c r="S1018" s="51" t="str">
        <f>IF(ISERROR(FIND('112'!$M$9,G1018,1)),"",IF((AND(LEFT(G1018,2)=LEFT('112'!$M$9,2),B1018&lt;'112'!$N$8,$L1018='112'!$I$6)),"x",""))</f>
        <v/>
      </c>
      <c r="T1018" s="51" t="str">
        <f>IF(ISERROR(FIND('112'!$M$9,G1018,1)),"",IF((AND(RIGHT(G1018,2)=RIGHT('112'!$M$9,2),B1018&lt;'112'!$N$8,$M1018='112'!$I$6)),"x",""))</f>
        <v/>
      </c>
      <c r="U1018" s="51" t="str">
        <f>IF(AND(L1018="154",'154'!$O$5&lt;=B1018,'154'!$P$5&gt;=B1018),"154",IF(AND(L1018="632",'632'!$L$5&lt;=B1018,'632'!$M$5&gt;=B1018),"632",IF(AND(L1018="642",'642'!$N$5&lt;=B1018,'642'!$O$5&gt;=B1018),"642",IF(AND(L1018="641",'641'!$N$5&lt;=B1018,'641'!$O$5&gt;=B1018),"641",""))))</f>
        <v/>
      </c>
      <c r="V1018" s="51" t="str">
        <f>IF(OR(TH!L1018=TH!$V$7,M1018=TH!$V$7),"x","")</f>
        <v/>
      </c>
      <c r="W1018" s="51" t="str">
        <f>IF(AND(B1018&gt;='IN-NX'!$P$3,B1018&lt;='IN-NX'!$Q$3,'IN-NX'!$D$7=D1018,OR(LEFT(L1018,2)="15",AND(LEFT(M1018,2)&lt;&gt;"15",LEFT(M1018,2)&lt;&gt;"33"))),"x","")</f>
        <v/>
      </c>
      <c r="X1018" s="51" t="str">
        <f>IF(AND(OR(LEFT(TH!L1018,2)="15",LEFT(TH!M1018,2)="15"),'152-CT'!$J$8=TH!F1018),"x","")</f>
        <v/>
      </c>
      <c r="Y1018" s="51" t="str">
        <f>IF(AND(OR(LEFT(TH!L1018,2)="15",LEFT(TH!M1018,2)="15"),TK!$E$7=TH!F1018),"x","")</f>
        <v/>
      </c>
      <c r="Z1018" s="51" t="str">
        <f>IF(AND(B1018&lt;=NKC!$N$8,B1018&gt;=NKC!$M$8),"x","")</f>
        <v/>
      </c>
      <c r="AA1018" s="803">
        <v>4</v>
      </c>
      <c r="AB1018" s="565"/>
      <c r="AE1018" s="565"/>
    </row>
    <row r="1019" spans="1:31" ht="15.75" customHeight="1">
      <c r="A1019" s="804" t="str">
        <f>IF(B1019&lt;&gt;"",IF(AND(B1019&gt;=_TM1,B1019&lt;=_TM2,OR(TH!L1019="1111",TH!M1019="1111")),TH!D1019,""),"")</f>
        <v/>
      </c>
      <c r="B1019" s="36">
        <f t="shared" si="68"/>
        <v>11</v>
      </c>
      <c r="C1019" s="189">
        <f t="shared" si="69"/>
        <v>42311</v>
      </c>
      <c r="D1019" s="189" t="s">
        <v>1379</v>
      </c>
      <c r="E1019" s="189">
        <v>42311</v>
      </c>
      <c r="F1019" s="922" t="s">
        <v>490</v>
      </c>
      <c r="G1019" s="813" t="s">
        <v>827</v>
      </c>
      <c r="H1019" s="191" t="s">
        <v>540</v>
      </c>
      <c r="I1019" s="243"/>
      <c r="J1019" s="243"/>
      <c r="K1019" s="573">
        <v>460000</v>
      </c>
      <c r="L1019" s="574" t="s">
        <v>251</v>
      </c>
      <c r="M1019" s="574" t="s">
        <v>47</v>
      </c>
      <c r="N1019" s="51" t="str">
        <f>IF(AND('331-CT'!$E$7=TH!H1019,OR(L1019="331",M1019="331")),"331",IF(AND(OR(L1019="131",M1019="131"),H1019='131-CT'!$E$7),"131",""))</f>
        <v/>
      </c>
      <c r="O1019" s="51" t="str">
        <f>IF(AND($B1019&gt;='111'!$N$11,$B1019&lt;='111'!$O$11,OR($L1019=$O$7,$M1019=$O$7)),"x","")</f>
        <v>x</v>
      </c>
      <c r="P1019" s="51" t="str">
        <f>IF(AND($L1019=$O$7,$B1019&lt;'111'!$N$11),"x","")</f>
        <v/>
      </c>
      <c r="Q1019" s="51" t="str">
        <f>IF(AND($M1019=$O$7,$B1019&lt;'111'!$N$11),"x","")</f>
        <v/>
      </c>
      <c r="R1019" s="51" t="str">
        <f>IF(ISERROR(FIND('112'!$M$9,G1019,1)),"",IF((AND(FIND('112'!$M$9,G1019,1)&gt;=1,$B1019&gt;='112'!$N$8,$B1019&lt;='112'!$O$8,OR($L1019='112'!$I$6,$M1019='112'!$I$6))),"x",""))</f>
        <v/>
      </c>
      <c r="S1019" s="51" t="str">
        <f>IF(ISERROR(FIND('112'!$M$9,G1019,1)),"",IF((AND(LEFT(G1019,2)=LEFT('112'!$M$9,2),B1019&lt;'112'!$N$8,$L1019='112'!$I$6)),"x",""))</f>
        <v/>
      </c>
      <c r="T1019" s="51" t="str">
        <f>IF(ISERROR(FIND('112'!$M$9,G1019,1)),"",IF((AND(RIGHT(G1019,2)=RIGHT('112'!$M$9,2),B1019&lt;'112'!$N$8,$M1019='112'!$I$6)),"x",""))</f>
        <v/>
      </c>
      <c r="U1019" s="51" t="str">
        <f>IF(AND(L1019="154",'154'!$O$5&lt;=B1019,'154'!$P$5&gt;=B1019),"154",IF(AND(L1019="632",'632'!$L$5&lt;=B1019,'632'!$M$5&gt;=B1019),"632",IF(AND(L1019="642",'642'!$N$5&lt;=B1019,'642'!$O$5&gt;=B1019),"642",IF(AND(L1019="641",'641'!$N$5&lt;=B1019,'641'!$O$5&gt;=B1019),"641",""))))</f>
        <v/>
      </c>
      <c r="V1019" s="51" t="str">
        <f>IF(OR(TH!L1019=TH!$V$7,M1019=TH!$V$7),"x","")</f>
        <v/>
      </c>
      <c r="W1019" s="51" t="str">
        <f>IF(AND(B1019&gt;='IN-NX'!$P$3,B1019&lt;='IN-NX'!$Q$3,'IN-NX'!$D$7=D1019,OR(LEFT(L1019,2)="15",AND(LEFT(M1019,2)&lt;&gt;"15",LEFT(M1019,2)&lt;&gt;"33"))),"x","")</f>
        <v/>
      </c>
      <c r="X1019" s="51" t="str">
        <f>IF(AND(OR(LEFT(TH!L1019,2)="15",LEFT(TH!M1019,2)="15"),'152-CT'!$J$8=TH!F1019),"x","")</f>
        <v/>
      </c>
      <c r="Y1019" s="51" t="str">
        <f>IF(AND(OR(LEFT(TH!L1019,2)="15",LEFT(TH!M1019,2)="15"),TK!$E$7=TH!F1019),"x","")</f>
        <v/>
      </c>
      <c r="Z1019" s="51" t="str">
        <f>IF(AND(B1019&lt;=NKC!$N$8,B1019&gt;=NKC!$M$8),"x","")</f>
        <v/>
      </c>
      <c r="AA1019" s="803"/>
      <c r="AB1019" s="565"/>
      <c r="AE1019" s="565"/>
    </row>
    <row r="1020" spans="1:31" ht="15.75" customHeight="1">
      <c r="A1020" s="804" t="str">
        <f>IF(B1020&lt;&gt;"",IF(AND(B1020&gt;=_TM1,B1020&lt;=_TM2,OR(TH!L1020="1111",TH!M1020="1111")),TH!D1020,""),"")</f>
        <v/>
      </c>
      <c r="B1020" s="36">
        <f t="shared" si="68"/>
        <v>11</v>
      </c>
      <c r="C1020" s="189">
        <f t="shared" si="69"/>
        <v>42311</v>
      </c>
      <c r="D1020" s="189" t="s">
        <v>1379</v>
      </c>
      <c r="E1020" s="189">
        <v>42311</v>
      </c>
      <c r="F1020" s="190" t="s">
        <v>491</v>
      </c>
      <c r="G1020" s="813" t="s">
        <v>827</v>
      </c>
      <c r="H1020" s="191" t="s">
        <v>540</v>
      </c>
      <c r="I1020" s="243"/>
      <c r="J1020" s="243"/>
      <c r="K1020" s="573">
        <v>46000</v>
      </c>
      <c r="L1020" s="574" t="s">
        <v>9</v>
      </c>
      <c r="M1020" s="574" t="s">
        <v>47</v>
      </c>
      <c r="N1020" s="51" t="str">
        <f>IF(AND('331-CT'!$E$7=TH!H1020,OR(L1020="331",M1020="331")),"331",IF(AND(OR(L1020="131",M1020="131"),H1020='131-CT'!$E$7),"131",""))</f>
        <v/>
      </c>
      <c r="O1020" s="51" t="str">
        <f>IF(AND($B1020&gt;='111'!$N$11,$B1020&lt;='111'!$O$11,OR($L1020=$O$7,$M1020=$O$7)),"x","")</f>
        <v>x</v>
      </c>
      <c r="P1020" s="51" t="str">
        <f>IF(AND($L1020=$O$7,$B1020&lt;'111'!$N$11),"x","")</f>
        <v/>
      </c>
      <c r="Q1020" s="51" t="str">
        <f>IF(AND($M1020=$O$7,$B1020&lt;'111'!$N$11),"x","")</f>
        <v/>
      </c>
      <c r="R1020" s="51" t="str">
        <f>IF(ISERROR(FIND('112'!$M$9,G1020,1)),"",IF((AND(FIND('112'!$M$9,G1020,1)&gt;=1,$B1020&gt;='112'!$N$8,$B1020&lt;='112'!$O$8,OR($L1020='112'!$I$6,$M1020='112'!$I$6))),"x",""))</f>
        <v/>
      </c>
      <c r="S1020" s="51" t="str">
        <f>IF(ISERROR(FIND('112'!$M$9,G1020,1)),"",IF((AND(LEFT(G1020,2)=LEFT('112'!$M$9,2),B1020&lt;'112'!$N$8,$L1020='112'!$I$6)),"x",""))</f>
        <v/>
      </c>
      <c r="T1020" s="51" t="str">
        <f>IF(ISERROR(FIND('112'!$M$9,G1020,1)),"",IF((AND(RIGHT(G1020,2)=RIGHT('112'!$M$9,2),B1020&lt;'112'!$N$8,$M1020='112'!$I$6)),"x",""))</f>
        <v/>
      </c>
      <c r="U1020" s="51" t="str">
        <f>IF(AND(L1020="154",'154'!$O$5&lt;=B1020,'154'!$P$5&gt;=B1020),"154",IF(AND(L1020="632",'632'!$L$5&lt;=B1020,'632'!$M$5&gt;=B1020),"632",IF(AND(L1020="642",'642'!$N$5&lt;=B1020,'642'!$O$5&gt;=B1020),"642",IF(AND(L1020="641",'641'!$N$5&lt;=B1020,'641'!$O$5&gt;=B1020),"641",""))))</f>
        <v/>
      </c>
      <c r="V1020" s="51" t="str">
        <f>IF(OR(TH!L1020=TH!$V$7,M1020=TH!$V$7),"x","")</f>
        <v/>
      </c>
      <c r="W1020" s="51" t="str">
        <f>IF(AND(B1020&gt;='IN-NX'!$P$3,B1020&lt;='IN-NX'!$Q$3,'IN-NX'!$D$7=D1020,OR(LEFT(L1020,2)="15",AND(LEFT(M1020,2)&lt;&gt;"15",LEFT(M1020,2)&lt;&gt;"33"))),"x","")</f>
        <v/>
      </c>
      <c r="X1020" s="51" t="str">
        <f>IF(AND(OR(LEFT(TH!L1020,2)="15",LEFT(TH!M1020,2)="15"),'152-CT'!$J$8=TH!F1020),"x","")</f>
        <v/>
      </c>
      <c r="Y1020" s="51" t="str">
        <f>IF(AND(OR(LEFT(TH!L1020,2)="15",LEFT(TH!M1020,2)="15"),TK!$E$7=TH!F1020),"x","")</f>
        <v/>
      </c>
      <c r="Z1020" s="51" t="str">
        <f>IF(AND(B1020&lt;=NKC!$N$8,B1020&gt;=NKC!$M$8),"x","")</f>
        <v/>
      </c>
      <c r="AA1020" s="803">
        <v>4</v>
      </c>
      <c r="AB1020" s="565"/>
      <c r="AE1020" s="565"/>
    </row>
    <row r="1021" spans="1:31" ht="15.75" customHeight="1">
      <c r="A1021" s="804" t="str">
        <f>IF(B1021&lt;&gt;"",IF(AND(B1021&gt;=_TM1,B1021&lt;=_TM2,OR(TH!L1021="1111",TH!M1021="1111")),TH!D1021,""),"")</f>
        <v/>
      </c>
      <c r="B1021" s="36">
        <f t="shared" si="68"/>
        <v>11</v>
      </c>
      <c r="C1021" s="189">
        <f t="shared" si="69"/>
        <v>42312</v>
      </c>
      <c r="D1021" s="189" t="s">
        <v>1380</v>
      </c>
      <c r="E1021" s="182">
        <v>42312</v>
      </c>
      <c r="F1021" s="187" t="s">
        <v>433</v>
      </c>
      <c r="G1021" s="811" t="s">
        <v>415</v>
      </c>
      <c r="H1021" s="7" t="s">
        <v>437</v>
      </c>
      <c r="I1021" s="243"/>
      <c r="J1021" s="243"/>
      <c r="K1021" s="573">
        <v>19200000</v>
      </c>
      <c r="L1021" s="574" t="s">
        <v>24</v>
      </c>
      <c r="M1021" s="192" t="s">
        <v>47</v>
      </c>
      <c r="N1021" s="51" t="str">
        <f>IF(AND('331-CT'!$E$7=TH!H1021,OR(L1021="331",M1021="331")),"331",IF(AND(OR(L1021="131",M1021="131"),H1021='131-CT'!$E$7),"131",""))</f>
        <v/>
      </c>
      <c r="O1021" s="51" t="str">
        <f>IF(AND($B1021&gt;='111'!$N$11,$B1021&lt;='111'!$O$11,OR($L1021=$O$7,$M1021=$O$7)),"x","")</f>
        <v>x</v>
      </c>
      <c r="P1021" s="51" t="str">
        <f>IF(AND($L1021=$O$7,$B1021&lt;'111'!$N$11),"x","")</f>
        <v/>
      </c>
      <c r="Q1021" s="51" t="str">
        <f>IF(AND($M1021=$O$7,$B1021&lt;'111'!$N$11),"x","")</f>
        <v/>
      </c>
      <c r="R1021" s="51" t="str">
        <f>IF(ISERROR(FIND('112'!$M$9,G1021,1)),"",IF((AND(FIND('112'!$M$9,G1021,1)&gt;=1,$B1021&gt;='112'!$N$8,$B1021&lt;='112'!$O$8,OR($L1021='112'!$I$6,$M1021='112'!$I$6))),"x",""))</f>
        <v/>
      </c>
      <c r="S1021" s="51" t="str">
        <f>IF(ISERROR(FIND('112'!$M$9,G1021,1)),"",IF((AND(LEFT(G1021,2)=LEFT('112'!$M$9,2),B1021&lt;'112'!$N$8,$L1021='112'!$I$6)),"x",""))</f>
        <v/>
      </c>
      <c r="T1021" s="51" t="str">
        <f>IF(ISERROR(FIND('112'!$M$9,G1021,1)),"",IF((AND(RIGHT(G1021,2)=RIGHT('112'!$M$9,2),B1021&lt;'112'!$N$8,$M1021='112'!$I$6)),"x",""))</f>
        <v/>
      </c>
      <c r="U1021" s="51" t="str">
        <f>IF(AND(L1021="154",'154'!$O$5&lt;=B1021,'154'!$P$5&gt;=B1021),"154",IF(AND(L1021="632",'632'!$L$5&lt;=B1021,'632'!$M$5&gt;=B1021),"632",IF(AND(L1021="642",'642'!$N$5&lt;=B1021,'642'!$O$5&gt;=B1021),"642",IF(AND(L1021="641",'641'!$N$5&lt;=B1021,'641'!$O$5&gt;=B1021),"641",""))))</f>
        <v/>
      </c>
      <c r="V1021" s="51" t="str">
        <f>IF(OR(TH!L1021=TH!$V$7,M1021=TH!$V$7),"x","")</f>
        <v/>
      </c>
      <c r="W1021" s="51" t="str">
        <f>IF(AND(B1021&gt;='IN-NX'!$P$3,B1021&lt;='IN-NX'!$Q$3,'IN-NX'!$D$7=D1021,OR(LEFT(L1021,2)="15",AND(LEFT(M1021,2)&lt;&gt;"15",LEFT(M1021,2)&lt;&gt;"33"))),"x","")</f>
        <v/>
      </c>
      <c r="X1021" s="51" t="str">
        <f>IF(AND(OR(LEFT(TH!L1021,2)="15",LEFT(TH!M1021,2)="15"),'152-CT'!$J$8=TH!F1021),"x","")</f>
        <v/>
      </c>
      <c r="Y1021" s="51" t="str">
        <f>IF(AND(OR(LEFT(TH!L1021,2)="15",LEFT(TH!M1021,2)="15"),TK!$E$7=TH!F1021),"x","")</f>
        <v/>
      </c>
      <c r="Z1021" s="51" t="str">
        <f>IF(AND(B1021&lt;=NKC!$N$8,B1021&gt;=NKC!$M$8),"x","")</f>
        <v/>
      </c>
      <c r="AA1021" s="803"/>
      <c r="AB1021" s="565"/>
      <c r="AE1021" s="565"/>
    </row>
    <row r="1022" spans="1:31" ht="15.75" customHeight="1">
      <c r="A1022" s="804" t="str">
        <f>IF(B1022&lt;&gt;"",IF(AND(B1022&gt;=_TM1,B1022&lt;=_TM2,OR(TH!L1022="1111",TH!M1022="1111")),TH!D1022,""),"")</f>
        <v/>
      </c>
      <c r="B1022" s="36">
        <f t="shared" si="68"/>
        <v>11</v>
      </c>
      <c r="C1022" s="189">
        <f t="shared" si="69"/>
        <v>42312</v>
      </c>
      <c r="D1022" s="189" t="s">
        <v>422</v>
      </c>
      <c r="E1022" s="182">
        <v>42312</v>
      </c>
      <c r="F1022" s="187" t="s">
        <v>438</v>
      </c>
      <c r="G1022" s="811" t="s">
        <v>415</v>
      </c>
      <c r="H1022" s="7" t="s">
        <v>448</v>
      </c>
      <c r="I1022" s="243"/>
      <c r="J1022" s="243"/>
      <c r="K1022" s="573">
        <v>23022000</v>
      </c>
      <c r="L1022" s="574" t="s">
        <v>8</v>
      </c>
      <c r="M1022" s="192" t="s">
        <v>24</v>
      </c>
      <c r="N1022" s="51" t="str">
        <f>IF(AND('331-CT'!$E$7=TH!H1022,OR(L1022="331",M1022="331")),"331",IF(AND(OR(L1022="131",M1022="131"),H1022='131-CT'!$E$7),"131",""))</f>
        <v/>
      </c>
      <c r="O1022" s="51" t="str">
        <f>IF(AND($B1022&gt;='111'!$N$11,$B1022&lt;='111'!$O$11,OR($L1022=$O$7,$M1022=$O$7)),"x","")</f>
        <v/>
      </c>
      <c r="P1022" s="51" t="str">
        <f>IF(AND($L1022=$O$7,$B1022&lt;'111'!$N$11),"x","")</f>
        <v/>
      </c>
      <c r="Q1022" s="51" t="str">
        <f>IF(AND($M1022=$O$7,$B1022&lt;'111'!$N$11),"x","")</f>
        <v/>
      </c>
      <c r="R1022" s="51" t="str">
        <f>IF(ISERROR(FIND('112'!$M$9,G1022,1)),"",IF((AND(FIND('112'!$M$9,G1022,1)&gt;=1,$B1022&gt;='112'!$N$8,$B1022&lt;='112'!$O$8,OR($L1022='112'!$I$6,$M1022='112'!$I$6))),"x",""))</f>
        <v/>
      </c>
      <c r="S1022" s="51" t="str">
        <f>IF(ISERROR(FIND('112'!$M$9,G1022,1)),"",IF((AND(LEFT(G1022,2)=LEFT('112'!$M$9,2),B1022&lt;'112'!$N$8,$L1022='112'!$I$6)),"x",""))</f>
        <v/>
      </c>
      <c r="T1022" s="51" t="str">
        <f>IF(ISERROR(FIND('112'!$M$9,G1022,1)),"",IF((AND(RIGHT(G1022,2)=RIGHT('112'!$M$9,2),B1022&lt;'112'!$N$8,$M1022='112'!$I$6)),"x",""))</f>
        <v/>
      </c>
      <c r="U1022" s="51" t="str">
        <f>IF(AND(L1022="154",'154'!$O$5&lt;=B1022,'154'!$P$5&gt;=B1022),"154",IF(AND(L1022="632",'632'!$L$5&lt;=B1022,'632'!$M$5&gt;=B1022),"632",IF(AND(L1022="642",'642'!$N$5&lt;=B1022,'642'!$O$5&gt;=B1022),"642",IF(AND(L1022="641",'641'!$N$5&lt;=B1022,'641'!$O$5&gt;=B1022),"641",""))))</f>
        <v/>
      </c>
      <c r="V1022" s="51" t="str">
        <f>IF(OR(TH!L1022=TH!$V$7,M1022=TH!$V$7),"x","")</f>
        <v/>
      </c>
      <c r="W1022" s="51" t="str">
        <f>IF(AND(B1022&gt;='IN-NX'!$P$3,B1022&lt;='IN-NX'!$Q$3,'IN-NX'!$D$7=D1022,OR(LEFT(L1022,2)="15",AND(LEFT(M1022,2)&lt;&gt;"15",LEFT(M1022,2)&lt;&gt;"33"))),"x","")</f>
        <v/>
      </c>
      <c r="X1022" s="51" t="str">
        <f>IF(AND(OR(LEFT(TH!L1022,2)="15",LEFT(TH!M1022,2)="15"),'152-CT'!$J$8=TH!F1022),"x","")</f>
        <v/>
      </c>
      <c r="Y1022" s="51" t="str">
        <f>IF(AND(OR(LEFT(TH!L1022,2)="15",LEFT(TH!M1022,2)="15"),TK!$E$7=TH!F1022),"x","")</f>
        <v/>
      </c>
      <c r="Z1022" s="51" t="str">
        <f>IF(AND(B1022&lt;=NKC!$N$8,B1022&gt;=NKC!$M$8),"x","")</f>
        <v/>
      </c>
      <c r="AA1022" s="803"/>
      <c r="AB1022" s="565"/>
      <c r="AE1022" s="565"/>
    </row>
    <row r="1023" spans="1:31" ht="15.75" customHeight="1">
      <c r="A1023" s="804" t="str">
        <f>IF(B1023&lt;&gt;"",IF(AND(B1023&gt;=_TM1,B1023&lt;=_TM2,OR(TH!L1023="1111",TH!M1023="1111")),TH!D1023,""),"")</f>
        <v/>
      </c>
      <c r="B1023" s="36">
        <f t="shared" si="68"/>
        <v>11</v>
      </c>
      <c r="C1023" s="189">
        <f t="shared" si="69"/>
        <v>42312</v>
      </c>
      <c r="D1023" s="189" t="s">
        <v>1408</v>
      </c>
      <c r="E1023" s="189">
        <v>42312</v>
      </c>
      <c r="F1023" s="190" t="s">
        <v>848</v>
      </c>
      <c r="G1023" s="813" t="s">
        <v>846</v>
      </c>
      <c r="H1023" s="191" t="s">
        <v>448</v>
      </c>
      <c r="I1023" s="243">
        <v>100</v>
      </c>
      <c r="J1023" s="243">
        <v>27528</v>
      </c>
      <c r="K1023" s="573">
        <f>ROUND(I1023*J1023,0)</f>
        <v>2752800</v>
      </c>
      <c r="L1023" s="574" t="s">
        <v>417</v>
      </c>
      <c r="M1023" s="574" t="s">
        <v>8</v>
      </c>
      <c r="N1023" s="51" t="str">
        <f>IF(AND('331-CT'!$E$7=TH!H1023,OR(L1023="331",M1023="331")),"331",IF(AND(OR(L1023="131",M1023="131"),H1023='131-CT'!$E$7),"131",""))</f>
        <v/>
      </c>
      <c r="O1023" s="51" t="str">
        <f>IF(AND($B1023&gt;='111'!$N$11,$B1023&lt;='111'!$O$11,OR($L1023=$O$7,$M1023=$O$7)),"x","")</f>
        <v/>
      </c>
      <c r="P1023" s="51" t="str">
        <f>IF(AND($L1023=$O$7,$B1023&lt;'111'!$N$11),"x","")</f>
        <v/>
      </c>
      <c r="Q1023" s="51" t="str">
        <f>IF(AND($M1023=$O$7,$B1023&lt;'111'!$N$11),"x","")</f>
        <v/>
      </c>
      <c r="R1023" s="51" t="str">
        <f>IF(ISERROR(FIND('112'!$M$9,G1023,1)),"",IF((AND(FIND('112'!$M$9,G1023,1)&gt;=1,$B1023&gt;='112'!$N$8,$B1023&lt;='112'!$O$8,OR($L1023='112'!$I$6,$M1023='112'!$I$6))),"x",""))</f>
        <v/>
      </c>
      <c r="S1023" s="51" t="str">
        <f>IF(ISERROR(FIND('112'!$M$9,G1023,1)),"",IF((AND(LEFT(G1023,2)=LEFT('112'!$M$9,2),B1023&lt;'112'!$N$8,$L1023='112'!$I$6)),"x",""))</f>
        <v/>
      </c>
      <c r="T1023" s="51" t="str">
        <f>IF(ISERROR(FIND('112'!$M$9,G1023,1)),"",IF((AND(RIGHT(G1023,2)=RIGHT('112'!$M$9,2),B1023&lt;'112'!$N$8,$M1023='112'!$I$6)),"x",""))</f>
        <v/>
      </c>
      <c r="U1023" s="51" t="str">
        <f>IF(AND(L1023="154",'154'!$O$5&lt;=B1023,'154'!$P$5&gt;=B1023),"154",IF(AND(L1023="632",'632'!$L$5&lt;=B1023,'632'!$M$5&gt;=B1023),"632",IF(AND(L1023="642",'642'!$N$5&lt;=B1023,'642'!$O$5&gt;=B1023),"642",IF(AND(L1023="641",'641'!$N$5&lt;=B1023,'641'!$O$5&gt;=B1023),"641",""))))</f>
        <v/>
      </c>
      <c r="V1023" s="51" t="str">
        <f>IF(OR(TH!L1023=TH!$V$7,M1023=TH!$V$7),"x","")</f>
        <v/>
      </c>
      <c r="W1023" s="51" t="str">
        <f>IF(AND(B1023&gt;='IN-NX'!$P$3,B1023&lt;='IN-NX'!$Q$3,'IN-NX'!$D$7=D1023,OR(LEFT(L1023,2)="15",AND(LEFT(M1023,2)&lt;&gt;"15",LEFT(M1023,2)&lt;&gt;"33"))),"x","")</f>
        <v/>
      </c>
      <c r="X1023" s="51" t="str">
        <f>IF(AND(OR(LEFT(TH!L1023,2)="15",LEFT(TH!M1023,2)="15"),'152-CT'!$J$8=TH!F1023),"x","")</f>
        <v/>
      </c>
      <c r="Y1023" s="51" t="str">
        <f>IF(AND(OR(LEFT(TH!L1023,2)="15",LEFT(TH!M1023,2)="15"),TK!$E$7=TH!F1023),"x","")</f>
        <v/>
      </c>
      <c r="Z1023" s="51" t="str">
        <f>IF(AND(B1023&lt;=NKC!$N$8,B1023&gt;=NKC!$M$8),"x","")</f>
        <v/>
      </c>
      <c r="AA1023" s="803"/>
      <c r="AB1023" s="565"/>
    </row>
    <row r="1024" spans="1:31" ht="15.75" customHeight="1">
      <c r="A1024" s="804" t="str">
        <f>IF(B1024&lt;&gt;"",IF(AND(B1024&gt;=_TM1,B1024&lt;=_TM2,OR(TH!L1024="1111",TH!M1024="1111")),TH!D1024,""),"")</f>
        <v/>
      </c>
      <c r="B1024" s="36">
        <f t="shared" si="68"/>
        <v>11</v>
      </c>
      <c r="C1024" s="189">
        <f t="shared" si="69"/>
        <v>42312</v>
      </c>
      <c r="D1024" s="189" t="s">
        <v>1408</v>
      </c>
      <c r="E1024" s="189">
        <v>42312</v>
      </c>
      <c r="F1024" s="190" t="s">
        <v>849</v>
      </c>
      <c r="G1024" s="813" t="s">
        <v>846</v>
      </c>
      <c r="H1024" s="191" t="s">
        <v>448</v>
      </c>
      <c r="I1024" s="243">
        <v>90</v>
      </c>
      <c r="J1024" s="243">
        <v>19008</v>
      </c>
      <c r="K1024" s="573">
        <f>ROUND(I1024*J1024,0)</f>
        <v>1710720</v>
      </c>
      <c r="L1024" s="574" t="s">
        <v>417</v>
      </c>
      <c r="M1024" s="574" t="s">
        <v>8</v>
      </c>
      <c r="N1024" s="51" t="str">
        <f>IF(AND('331-CT'!$E$7=TH!H1024,OR(L1024="331",M1024="331")),"331",IF(AND(OR(L1024="131",M1024="131"),H1024='131-CT'!$E$7),"131",""))</f>
        <v/>
      </c>
      <c r="O1024" s="51" t="str">
        <f>IF(AND($B1024&gt;='111'!$N$11,$B1024&lt;='111'!$O$11,OR($L1024=$O$7,$M1024=$O$7)),"x","")</f>
        <v/>
      </c>
      <c r="P1024" s="51" t="str">
        <f>IF(AND($L1024=$O$7,$B1024&lt;'111'!$N$11),"x","")</f>
        <v/>
      </c>
      <c r="Q1024" s="51" t="str">
        <f>IF(AND($M1024=$O$7,$B1024&lt;'111'!$N$11),"x","")</f>
        <v/>
      </c>
      <c r="R1024" s="51" t="str">
        <f>IF(ISERROR(FIND('112'!$M$9,G1024,1)),"",IF((AND(FIND('112'!$M$9,G1024,1)&gt;=1,$B1024&gt;='112'!$N$8,$B1024&lt;='112'!$O$8,OR($L1024='112'!$I$6,$M1024='112'!$I$6))),"x",""))</f>
        <v/>
      </c>
      <c r="S1024" s="51" t="str">
        <f>IF(ISERROR(FIND('112'!$M$9,G1024,1)),"",IF((AND(LEFT(G1024,2)=LEFT('112'!$M$9,2),B1024&lt;'112'!$N$8,$L1024='112'!$I$6)),"x",""))</f>
        <v/>
      </c>
      <c r="T1024" s="51" t="str">
        <f>IF(ISERROR(FIND('112'!$M$9,G1024,1)),"",IF((AND(RIGHT(G1024,2)=RIGHT('112'!$M$9,2),B1024&lt;'112'!$N$8,$M1024='112'!$I$6)),"x",""))</f>
        <v/>
      </c>
      <c r="U1024" s="51" t="str">
        <f>IF(AND(L1024="154",'154'!$O$5&lt;=B1024,'154'!$P$5&gt;=B1024),"154",IF(AND(L1024="632",'632'!$L$5&lt;=B1024,'632'!$M$5&gt;=B1024),"632",IF(AND(L1024="642",'642'!$N$5&lt;=B1024,'642'!$O$5&gt;=B1024),"642",IF(AND(L1024="641",'641'!$N$5&lt;=B1024,'641'!$O$5&gt;=B1024),"641",""))))</f>
        <v/>
      </c>
      <c r="V1024" s="51" t="str">
        <f>IF(OR(TH!L1024=TH!$V$7,M1024=TH!$V$7),"x","")</f>
        <v/>
      </c>
      <c r="W1024" s="51" t="str">
        <f>IF(AND(B1024&gt;='IN-NX'!$P$3,B1024&lt;='IN-NX'!$Q$3,'IN-NX'!$D$7=D1024,OR(LEFT(L1024,2)="15",AND(LEFT(M1024,2)&lt;&gt;"15",LEFT(M1024,2)&lt;&gt;"33"))),"x","")</f>
        <v/>
      </c>
      <c r="X1024" s="51" t="str">
        <f>IF(AND(OR(LEFT(TH!L1024,2)="15",LEFT(TH!M1024,2)="15"),'152-CT'!$J$8=TH!F1024),"x","")</f>
        <v/>
      </c>
      <c r="Y1024" s="51" t="str">
        <f>IF(AND(OR(LEFT(TH!L1024,2)="15",LEFT(TH!M1024,2)="15"),TK!$E$7=TH!F1024),"x","")</f>
        <v/>
      </c>
      <c r="Z1024" s="51" t="str">
        <f>IF(AND(B1024&lt;=NKC!$N$8,B1024&gt;=NKC!$M$8),"x","")</f>
        <v/>
      </c>
      <c r="AA1024" s="803"/>
      <c r="AB1024" s="565"/>
      <c r="AE1024" s="565"/>
    </row>
    <row r="1025" spans="1:31" ht="15.75" customHeight="1">
      <c r="A1025" s="804" t="str">
        <f>IF(B1025&lt;&gt;"",IF(AND(B1025&gt;=_TM1,B1025&lt;=_TM2,OR(TH!L1025="1111",TH!M1025="1111")),TH!D1025,""),"")</f>
        <v/>
      </c>
      <c r="B1025" s="36">
        <f t="shared" si="68"/>
        <v>11</v>
      </c>
      <c r="C1025" s="189">
        <f t="shared" si="69"/>
        <v>42312</v>
      </c>
      <c r="D1025" s="189" t="s">
        <v>1408</v>
      </c>
      <c r="E1025" s="189">
        <v>42312</v>
      </c>
      <c r="F1025" s="190" t="s">
        <v>847</v>
      </c>
      <c r="G1025" s="813" t="s">
        <v>846</v>
      </c>
      <c r="H1025" s="191" t="s">
        <v>448</v>
      </c>
      <c r="I1025" s="243"/>
      <c r="J1025" s="243"/>
      <c r="K1025" s="573">
        <v>446352</v>
      </c>
      <c r="L1025" s="574" t="s">
        <v>9</v>
      </c>
      <c r="M1025" s="574" t="s">
        <v>8</v>
      </c>
      <c r="N1025" s="51" t="str">
        <f>IF(AND('331-CT'!$E$7=TH!H1025,OR(L1025="331",M1025="331")),"331",IF(AND(OR(L1025="131",M1025="131"),H1025='131-CT'!$E$7),"131",""))</f>
        <v/>
      </c>
      <c r="O1025" s="51" t="str">
        <f>IF(AND($B1025&gt;='111'!$N$11,$B1025&lt;='111'!$O$11,OR($L1025=$O$7,$M1025=$O$7)),"x","")</f>
        <v/>
      </c>
      <c r="P1025" s="51" t="str">
        <f>IF(AND($L1025=$O$7,$B1025&lt;'111'!$N$11),"x","")</f>
        <v/>
      </c>
      <c r="Q1025" s="51" t="str">
        <f>IF(AND($M1025=$O$7,$B1025&lt;'111'!$N$11),"x","")</f>
        <v/>
      </c>
      <c r="R1025" s="51" t="str">
        <f>IF(ISERROR(FIND('112'!$M$9,G1025,1)),"",IF((AND(FIND('112'!$M$9,G1025,1)&gt;=1,$B1025&gt;='112'!$N$8,$B1025&lt;='112'!$O$8,OR($L1025='112'!$I$6,$M1025='112'!$I$6))),"x",""))</f>
        <v/>
      </c>
      <c r="S1025" s="51" t="str">
        <f>IF(ISERROR(FIND('112'!$M$9,G1025,1)),"",IF((AND(LEFT(G1025,2)=LEFT('112'!$M$9,2),B1025&lt;'112'!$N$8,$L1025='112'!$I$6)),"x",""))</f>
        <v/>
      </c>
      <c r="T1025" s="51" t="str">
        <f>IF(ISERROR(FIND('112'!$M$9,G1025,1)),"",IF((AND(RIGHT(G1025,2)=RIGHT('112'!$M$9,2),B1025&lt;'112'!$N$8,$M1025='112'!$I$6)),"x",""))</f>
        <v/>
      </c>
      <c r="U1025" s="51" t="str">
        <f>IF(AND(L1025="154",'154'!$O$5&lt;=B1025,'154'!$P$5&gt;=B1025),"154",IF(AND(L1025="632",'632'!$L$5&lt;=B1025,'632'!$M$5&gt;=B1025),"632",IF(AND(L1025="642",'642'!$N$5&lt;=B1025,'642'!$O$5&gt;=B1025),"642",IF(AND(L1025="641",'641'!$N$5&lt;=B1025,'641'!$O$5&gt;=B1025),"641",""))))</f>
        <v/>
      </c>
      <c r="V1025" s="51" t="str">
        <f>IF(OR(TH!L1025=TH!$V$7,M1025=TH!$V$7),"x","")</f>
        <v/>
      </c>
      <c r="W1025" s="51" t="str">
        <f>IF(AND(B1025&gt;='IN-NX'!$P$3,B1025&lt;='IN-NX'!$Q$3,'IN-NX'!$D$7=D1025,OR(LEFT(L1025,2)="15",AND(LEFT(M1025,2)&lt;&gt;"15",LEFT(M1025,2)&lt;&gt;"33"))),"x","")</f>
        <v/>
      </c>
      <c r="X1025" s="51" t="str">
        <f>IF(AND(OR(LEFT(TH!L1025,2)="15",LEFT(TH!M1025,2)="15"),'152-CT'!$J$8=TH!F1025),"x","")</f>
        <v/>
      </c>
      <c r="Y1025" s="51" t="str">
        <f>IF(AND(OR(LEFT(TH!L1025,2)="15",LEFT(TH!M1025,2)="15"),TK!$E$7=TH!F1025),"x","")</f>
        <v/>
      </c>
      <c r="Z1025" s="51" t="str">
        <f>IF(AND(B1025&lt;=NKC!$N$8,B1025&gt;=NKC!$M$8),"x","")</f>
        <v/>
      </c>
      <c r="AA1025" s="803">
        <v>4</v>
      </c>
      <c r="AB1025" s="565"/>
      <c r="AE1025" s="565"/>
    </row>
    <row r="1026" spans="1:31" ht="15.75" customHeight="1">
      <c r="A1026" s="804" t="str">
        <f>IF(B1026&lt;&gt;"",IF(AND(B1026&gt;=_TM1,B1026&lt;=_TM2,OR(TH!L1026="1111",TH!M1026="1111")),TH!D1026,""),"")</f>
        <v/>
      </c>
      <c r="B1026" s="36">
        <f t="shared" si="68"/>
        <v>11</v>
      </c>
      <c r="C1026" s="189">
        <f t="shared" si="69"/>
        <v>42312</v>
      </c>
      <c r="D1026" s="189" t="s">
        <v>1408</v>
      </c>
      <c r="E1026" s="189">
        <v>42312</v>
      </c>
      <c r="F1026" s="190" t="s">
        <v>1261</v>
      </c>
      <c r="G1026" s="813" t="s">
        <v>897</v>
      </c>
      <c r="H1026" s="191" t="s">
        <v>892</v>
      </c>
      <c r="I1026" s="243">
        <v>68</v>
      </c>
      <c r="J1026" s="243">
        <v>10560</v>
      </c>
      <c r="K1026" s="573">
        <f>ROUND(I1026*J1026,0)</f>
        <v>718080</v>
      </c>
      <c r="L1026" s="574" t="s">
        <v>417</v>
      </c>
      <c r="M1026" s="574" t="s">
        <v>8</v>
      </c>
      <c r="N1026" s="51" t="str">
        <f>IF(AND('331-CT'!$E$7=TH!H1026,OR(L1026="331",M1026="331")),"331",IF(AND(OR(L1026="131",M1026="131"),H1026='131-CT'!$E$7),"131",""))</f>
        <v/>
      </c>
      <c r="O1026" s="51" t="str">
        <f>IF(AND($B1026&gt;='111'!$N$11,$B1026&lt;='111'!$O$11,OR($L1026=$O$7,$M1026=$O$7)),"x","")</f>
        <v/>
      </c>
      <c r="P1026" s="51" t="str">
        <f>IF(AND($L1026=$O$7,$B1026&lt;'111'!$N$11),"x","")</f>
        <v/>
      </c>
      <c r="Q1026" s="51" t="str">
        <f>IF(AND($M1026=$O$7,$B1026&lt;'111'!$N$11),"x","")</f>
        <v/>
      </c>
      <c r="R1026" s="51" t="str">
        <f>IF(ISERROR(FIND('112'!$M$9,G1026,1)),"",IF((AND(FIND('112'!$M$9,G1026,1)&gt;=1,$B1026&gt;='112'!$N$8,$B1026&lt;='112'!$O$8,OR($L1026='112'!$I$6,$M1026='112'!$I$6))),"x",""))</f>
        <v/>
      </c>
      <c r="S1026" s="51" t="str">
        <f>IF(ISERROR(FIND('112'!$M$9,G1026,1)),"",IF((AND(LEFT(G1026,2)=LEFT('112'!$M$9,2),B1026&lt;'112'!$N$8,$L1026='112'!$I$6)),"x",""))</f>
        <v/>
      </c>
      <c r="T1026" s="51" t="str">
        <f>IF(ISERROR(FIND('112'!$M$9,G1026,1)),"",IF((AND(RIGHT(G1026,2)=RIGHT('112'!$M$9,2),B1026&lt;'112'!$N$8,$M1026='112'!$I$6)),"x",""))</f>
        <v/>
      </c>
      <c r="U1026" s="51" t="str">
        <f>IF(AND(L1026="154",'154'!$O$5&lt;=B1026,'154'!$P$5&gt;=B1026),"154",IF(AND(L1026="632",'632'!$L$5&lt;=B1026,'632'!$M$5&gt;=B1026),"632",IF(AND(L1026="642",'642'!$N$5&lt;=B1026,'642'!$O$5&gt;=B1026),"642",IF(AND(L1026="641",'641'!$N$5&lt;=B1026,'641'!$O$5&gt;=B1026),"641",""))))</f>
        <v/>
      </c>
      <c r="V1026" s="51" t="str">
        <f>IF(OR(TH!L1026=TH!$V$7,M1026=TH!$V$7),"x","")</f>
        <v/>
      </c>
      <c r="W1026" s="51" t="str">
        <f>IF(AND(B1026&gt;='IN-NX'!$P$3,B1026&lt;='IN-NX'!$Q$3,'IN-NX'!$D$7=D1026,OR(LEFT(L1026,2)="15",AND(LEFT(M1026,2)&lt;&gt;"15",LEFT(M1026,2)&lt;&gt;"33"))),"x","")</f>
        <v/>
      </c>
      <c r="X1026" s="51" t="str">
        <f>IF(AND(OR(LEFT(TH!L1026,2)="15",LEFT(TH!M1026,2)="15"),'152-CT'!$J$8=TH!F1026),"x","")</f>
        <v/>
      </c>
      <c r="Y1026" s="51" t="str">
        <f>IF(AND(OR(LEFT(TH!L1026,2)="15",LEFT(TH!M1026,2)="15"),TK!$E$7=TH!F1026),"x","")</f>
        <v/>
      </c>
      <c r="Z1026" s="51" t="str">
        <f>IF(AND(B1026&lt;=NKC!$N$8,B1026&gt;=NKC!$M$8),"x","")</f>
        <v/>
      </c>
      <c r="AA1026" s="803"/>
      <c r="AB1026" s="565"/>
      <c r="AE1026" s="565"/>
    </row>
    <row r="1027" spans="1:31" ht="15.75" customHeight="1">
      <c r="A1027" s="804" t="str">
        <f>IF(B1027&lt;&gt;"",IF(AND(B1027&gt;=_TM1,B1027&lt;=_TM2,OR(TH!L1027="1111",TH!M1027="1111")),TH!D1027,""),"")</f>
        <v/>
      </c>
      <c r="B1027" s="36">
        <f t="shared" si="68"/>
        <v>11</v>
      </c>
      <c r="C1027" s="189">
        <f t="shared" si="69"/>
        <v>42312</v>
      </c>
      <c r="D1027" s="189" t="s">
        <v>1408</v>
      </c>
      <c r="E1027" s="189">
        <v>42312</v>
      </c>
      <c r="F1027" s="190" t="s">
        <v>898</v>
      </c>
      <c r="G1027" s="813" t="s">
        <v>897</v>
      </c>
      <c r="H1027" s="191" t="s">
        <v>892</v>
      </c>
      <c r="I1027" s="243"/>
      <c r="J1027" s="243"/>
      <c r="K1027" s="573">
        <v>71808</v>
      </c>
      <c r="L1027" s="574" t="s">
        <v>9</v>
      </c>
      <c r="M1027" s="574" t="s">
        <v>8</v>
      </c>
      <c r="N1027" s="51" t="str">
        <f>IF(AND('331-CT'!$E$7=TH!H1027,OR(L1027="331",M1027="331")),"331",IF(AND(OR(L1027="131",M1027="131"),H1027='131-CT'!$E$7),"131",""))</f>
        <v/>
      </c>
      <c r="O1027" s="51" t="str">
        <f>IF(AND($B1027&gt;='111'!$N$11,$B1027&lt;='111'!$O$11,OR($L1027=$O$7,$M1027=$O$7)),"x","")</f>
        <v/>
      </c>
      <c r="P1027" s="51" t="str">
        <f>IF(AND($L1027=$O$7,$B1027&lt;'111'!$N$11),"x","")</f>
        <v/>
      </c>
      <c r="Q1027" s="51" t="str">
        <f>IF(AND($M1027=$O$7,$B1027&lt;'111'!$N$11),"x","")</f>
        <v/>
      </c>
      <c r="R1027" s="51" t="str">
        <f>IF(ISERROR(FIND('112'!$M$9,G1027,1)),"",IF((AND(FIND('112'!$M$9,G1027,1)&gt;=1,$B1027&gt;='112'!$N$8,$B1027&lt;='112'!$O$8,OR($L1027='112'!$I$6,$M1027='112'!$I$6))),"x",""))</f>
        <v/>
      </c>
      <c r="S1027" s="51" t="str">
        <f>IF(ISERROR(FIND('112'!$M$9,G1027,1)),"",IF((AND(LEFT(G1027,2)=LEFT('112'!$M$9,2),B1027&lt;'112'!$N$8,$L1027='112'!$I$6)),"x",""))</f>
        <v/>
      </c>
      <c r="T1027" s="51" t="str">
        <f>IF(ISERROR(FIND('112'!$M$9,G1027,1)),"",IF((AND(RIGHT(G1027,2)=RIGHT('112'!$M$9,2),B1027&lt;'112'!$N$8,$M1027='112'!$I$6)),"x",""))</f>
        <v/>
      </c>
      <c r="U1027" s="51" t="str">
        <f>IF(AND(L1027="154",'154'!$O$5&lt;=B1027,'154'!$P$5&gt;=B1027),"154",IF(AND(L1027="632",'632'!$L$5&lt;=B1027,'632'!$M$5&gt;=B1027),"632",IF(AND(L1027="642",'642'!$N$5&lt;=B1027,'642'!$O$5&gt;=B1027),"642",IF(AND(L1027="641",'641'!$N$5&lt;=B1027,'641'!$O$5&gt;=B1027),"641",""))))</f>
        <v/>
      </c>
      <c r="V1027" s="51" t="str">
        <f>IF(OR(TH!L1027=TH!$V$7,M1027=TH!$V$7),"x","")</f>
        <v/>
      </c>
      <c r="W1027" s="51" t="str">
        <f>IF(AND(B1027&gt;='IN-NX'!$P$3,B1027&lt;='IN-NX'!$Q$3,'IN-NX'!$D$7=D1027,OR(LEFT(L1027,2)="15",AND(LEFT(M1027,2)&lt;&gt;"15",LEFT(M1027,2)&lt;&gt;"33"))),"x","")</f>
        <v/>
      </c>
      <c r="X1027" s="51" t="str">
        <f>IF(AND(OR(LEFT(TH!L1027,2)="15",LEFT(TH!M1027,2)="15"),'152-CT'!$J$8=TH!F1027),"x","")</f>
        <v/>
      </c>
      <c r="Y1027" s="51" t="str">
        <f>IF(AND(OR(LEFT(TH!L1027,2)="15",LEFT(TH!M1027,2)="15"),TK!$E$7=TH!F1027),"x","")</f>
        <v/>
      </c>
      <c r="Z1027" s="51" t="str">
        <f>IF(AND(B1027&lt;=NKC!$N$8,B1027&gt;=NKC!$M$8),"x","")</f>
        <v/>
      </c>
      <c r="AA1027" s="803">
        <v>4</v>
      </c>
      <c r="AB1027" s="565"/>
      <c r="AE1027" s="565"/>
    </row>
    <row r="1028" spans="1:31" ht="15.75" customHeight="1">
      <c r="A1028" s="804" t="str">
        <f>IF(B1028&lt;&gt;"",IF(AND(B1028&gt;=_TM1,B1028&lt;=_TM2,OR(TH!L1028="1111",TH!M1028="1111")),TH!D1028,""),"")</f>
        <v/>
      </c>
      <c r="B1028" s="36">
        <f t="shared" si="68"/>
        <v>11</v>
      </c>
      <c r="C1028" s="189">
        <f t="shared" si="69"/>
        <v>42312</v>
      </c>
      <c r="D1028" s="189" t="s">
        <v>345</v>
      </c>
      <c r="E1028" s="189">
        <v>42312</v>
      </c>
      <c r="F1028" s="187" t="s">
        <v>438</v>
      </c>
      <c r="G1028" s="813" t="s">
        <v>897</v>
      </c>
      <c r="H1028" s="191" t="s">
        <v>892</v>
      </c>
      <c r="I1028" s="243"/>
      <c r="J1028" s="243"/>
      <c r="K1028" s="573">
        <v>789888</v>
      </c>
      <c r="L1028" s="574" t="s">
        <v>8</v>
      </c>
      <c r="M1028" s="574" t="s">
        <v>47</v>
      </c>
      <c r="N1028" s="51" t="str">
        <f>IF(AND('331-CT'!$E$7=TH!H1028,OR(L1028="331",M1028="331")),"331",IF(AND(OR(L1028="131",M1028="131"),H1028='131-CT'!$E$7),"131",""))</f>
        <v/>
      </c>
      <c r="O1028" s="51" t="str">
        <f>IF(AND($B1028&gt;='111'!$N$11,$B1028&lt;='111'!$O$11,OR($L1028=$O$7,$M1028=$O$7)),"x","")</f>
        <v>x</v>
      </c>
      <c r="P1028" s="51" t="str">
        <f>IF(AND($L1028=$O$7,$B1028&lt;'111'!$N$11),"x","")</f>
        <v/>
      </c>
      <c r="Q1028" s="51" t="str">
        <f>IF(AND($M1028=$O$7,$B1028&lt;'111'!$N$11),"x","")</f>
        <v/>
      </c>
      <c r="R1028" s="51" t="str">
        <f>IF(ISERROR(FIND('112'!$M$9,G1028,1)),"",IF((AND(FIND('112'!$M$9,G1028,1)&gt;=1,$B1028&gt;='112'!$N$8,$B1028&lt;='112'!$O$8,OR($L1028='112'!$I$6,$M1028='112'!$I$6))),"x",""))</f>
        <v/>
      </c>
      <c r="S1028" s="51" t="str">
        <f>IF(ISERROR(FIND('112'!$M$9,G1028,1)),"",IF((AND(LEFT(G1028,2)=LEFT('112'!$M$9,2),B1028&lt;'112'!$N$8,$L1028='112'!$I$6)),"x",""))</f>
        <v/>
      </c>
      <c r="T1028" s="51" t="str">
        <f>IF(ISERROR(FIND('112'!$M$9,G1028,1)),"",IF((AND(RIGHT(G1028,2)=RIGHT('112'!$M$9,2),B1028&lt;'112'!$N$8,$M1028='112'!$I$6)),"x",""))</f>
        <v/>
      </c>
      <c r="U1028" s="51" t="str">
        <f>IF(AND(L1028="154",'154'!$O$5&lt;=B1028,'154'!$P$5&gt;=B1028),"154",IF(AND(L1028="632",'632'!$L$5&lt;=B1028,'632'!$M$5&gt;=B1028),"632",IF(AND(L1028="642",'642'!$N$5&lt;=B1028,'642'!$O$5&gt;=B1028),"642",IF(AND(L1028="641",'641'!$N$5&lt;=B1028,'641'!$O$5&gt;=B1028),"641",""))))</f>
        <v/>
      </c>
      <c r="V1028" s="51" t="str">
        <f>IF(OR(TH!L1028=TH!$V$7,M1028=TH!$V$7),"x","")</f>
        <v/>
      </c>
      <c r="W1028" s="51" t="str">
        <f>IF(AND(B1028&gt;='IN-NX'!$P$3,B1028&lt;='IN-NX'!$Q$3,'IN-NX'!$D$7=D1028,OR(LEFT(L1028,2)="15",AND(LEFT(M1028,2)&lt;&gt;"15",LEFT(M1028,2)&lt;&gt;"33"))),"x","")</f>
        <v/>
      </c>
      <c r="X1028" s="51" t="str">
        <f>IF(AND(OR(LEFT(TH!L1028,2)="15",LEFT(TH!M1028,2)="15"),'152-CT'!$J$8=TH!F1028),"x","")</f>
        <v/>
      </c>
      <c r="Y1028" s="51" t="str">
        <f>IF(AND(OR(LEFT(TH!L1028,2)="15",LEFT(TH!M1028,2)="15"),TK!$E$7=TH!F1028),"x","")</f>
        <v/>
      </c>
      <c r="Z1028" s="51" t="str">
        <f>IF(AND(B1028&lt;=NKC!$N$8,B1028&gt;=NKC!$M$8),"x","")</f>
        <v/>
      </c>
      <c r="AA1028" s="803">
        <v>4</v>
      </c>
      <c r="AB1028" s="565"/>
      <c r="AE1028" s="565"/>
    </row>
    <row r="1029" spans="1:31" ht="15.75" customHeight="1">
      <c r="A1029" s="804" t="str">
        <f>IF(B1029&lt;&gt;"",IF(AND(B1029&gt;=_TM1,B1029&lt;=_TM2,OR(TH!L1029="1111",TH!M1029="1111")),TH!D1029,""),"")</f>
        <v/>
      </c>
      <c r="B1029" s="36">
        <f t="shared" si="68"/>
        <v>11</v>
      </c>
      <c r="C1029" s="189">
        <f t="shared" si="69"/>
        <v>42312</v>
      </c>
      <c r="D1029" s="189" t="s">
        <v>1305</v>
      </c>
      <c r="E1029" s="189">
        <v>42312</v>
      </c>
      <c r="F1029" s="190" t="s">
        <v>1234</v>
      </c>
      <c r="G1029" s="811" t="s">
        <v>661</v>
      </c>
      <c r="H1029" s="191" t="s">
        <v>1070</v>
      </c>
      <c r="I1029" s="243">
        <v>3504</v>
      </c>
      <c r="J1029" s="243">
        <v>926</v>
      </c>
      <c r="K1029" s="573">
        <f>ROUND(I1029*J1029,0)</f>
        <v>3244704</v>
      </c>
      <c r="L1029" s="574" t="s">
        <v>250</v>
      </c>
      <c r="M1029" s="574" t="s">
        <v>164</v>
      </c>
      <c r="N1029" s="51" t="str">
        <f>IF(AND('331-CT'!$E$7=TH!H1029,OR(L1029="331",M1029="331")),"331",IF(AND(OR(L1029="131",M1029="131"),H1029='131-CT'!$E$7),"131",""))</f>
        <v/>
      </c>
      <c r="O1029" s="51" t="str">
        <f>IF(AND($B1029&gt;='111'!$N$11,$B1029&lt;='111'!$O$11,OR($L1029=$O$7,$M1029=$O$7)),"x","")</f>
        <v/>
      </c>
      <c r="P1029" s="51" t="str">
        <f>IF(AND($L1029=$O$7,$B1029&lt;'111'!$N$11),"x","")</f>
        <v/>
      </c>
      <c r="Q1029" s="51" t="str">
        <f>IF(AND($M1029=$O$7,$B1029&lt;'111'!$N$11),"x","")</f>
        <v/>
      </c>
      <c r="R1029" s="51" t="str">
        <f>IF(ISERROR(FIND('112'!$M$9,G1029,1)),"",IF((AND(FIND('112'!$M$9,G1029,1)&gt;=1,$B1029&gt;='112'!$N$8,$B1029&lt;='112'!$O$8,OR($L1029='112'!$I$6,$M1029='112'!$I$6))),"x",""))</f>
        <v/>
      </c>
      <c r="S1029" s="51" t="str">
        <f>IF(ISERROR(FIND('112'!$M$9,G1029,1)),"",IF((AND(LEFT(G1029,2)=LEFT('112'!$M$9,2),B1029&lt;'112'!$N$8,$L1029='112'!$I$6)),"x",""))</f>
        <v/>
      </c>
      <c r="T1029" s="51" t="str">
        <f>IF(ISERROR(FIND('112'!$M$9,G1029,1)),"",IF((AND(RIGHT(G1029,2)=RIGHT('112'!$M$9,2),B1029&lt;'112'!$N$8,$M1029='112'!$I$6)),"x",""))</f>
        <v/>
      </c>
      <c r="U1029" s="51" t="str">
        <f>IF(AND(L1029="154",'154'!$O$5&lt;=B1029,'154'!$P$5&gt;=B1029),"154",IF(AND(L1029="632",'632'!$L$5&lt;=B1029,'632'!$M$5&gt;=B1029),"632",IF(AND(L1029="642",'642'!$N$5&lt;=B1029,'642'!$O$5&gt;=B1029),"642",IF(AND(L1029="641",'641'!$N$5&lt;=B1029,'641'!$O$5&gt;=B1029),"641",""))))</f>
        <v/>
      </c>
      <c r="V1029" s="51" t="str">
        <f>IF(OR(TH!L1029=TH!$V$7,M1029=TH!$V$7),"x","")</f>
        <v/>
      </c>
      <c r="W1029" s="51" t="str">
        <f>IF(AND(B1029&gt;='IN-NX'!$P$3,B1029&lt;='IN-NX'!$Q$3,'IN-NX'!$D$7=D1029,OR(LEFT(L1029,2)="15",AND(LEFT(M1029,2)&lt;&gt;"15",LEFT(M1029,2)&lt;&gt;"33"))),"x","")</f>
        <v/>
      </c>
      <c r="X1029" s="51" t="str">
        <f>IF(AND(OR(LEFT(TH!L1029,2)="15",LEFT(TH!M1029,2)="15"),'152-CT'!$J$8=TH!F1029),"x","")</f>
        <v/>
      </c>
      <c r="Y1029" s="51" t="str">
        <f>IF(AND(OR(LEFT(TH!L1029,2)="15",LEFT(TH!M1029,2)="15"),TK!$E$7=TH!F1029),"x","")</f>
        <v/>
      </c>
      <c r="Z1029" s="51" t="str">
        <f>IF(AND(B1029&lt;=NKC!$N$8,B1029&gt;=NKC!$M$8),"x","")</f>
        <v/>
      </c>
      <c r="AA1029" s="803"/>
      <c r="AB1029" s="565"/>
    </row>
    <row r="1030" spans="1:31" ht="15.75" customHeight="1">
      <c r="A1030" s="804" t="str">
        <f>IF(B1030&lt;&gt;"",IF(AND(B1030&gt;=_TM1,B1030&lt;=_TM2,OR(TH!L1030="1111",TH!M1030="1111")),TH!D1030,""),"")</f>
        <v/>
      </c>
      <c r="B1030" s="36">
        <f t="shared" si="68"/>
        <v>11</v>
      </c>
      <c r="C1030" s="189">
        <f t="shared" si="69"/>
        <v>42312</v>
      </c>
      <c r="D1030" s="189" t="s">
        <v>1305</v>
      </c>
      <c r="E1030" s="189">
        <v>42312</v>
      </c>
      <c r="F1030" s="190" t="s">
        <v>962</v>
      </c>
      <c r="G1030" s="811" t="s">
        <v>661</v>
      </c>
      <c r="H1030" s="191" t="s">
        <v>1070</v>
      </c>
      <c r="I1030" s="243"/>
      <c r="J1030" s="243"/>
      <c r="K1030" s="573">
        <v>324470</v>
      </c>
      <c r="L1030" s="574" t="s">
        <v>250</v>
      </c>
      <c r="M1030" s="574" t="s">
        <v>352</v>
      </c>
      <c r="N1030" s="51" t="str">
        <f>IF(AND('331-CT'!$E$7=TH!H1030,OR(L1030="331",M1030="331")),"331",IF(AND(OR(L1030="131",M1030="131"),H1030='131-CT'!$E$7),"131",""))</f>
        <v/>
      </c>
      <c r="O1030" s="51" t="str">
        <f>IF(AND($B1030&gt;='111'!$N$11,$B1030&lt;='111'!$O$11,OR($L1030=$O$7,$M1030=$O$7)),"x","")</f>
        <v/>
      </c>
      <c r="P1030" s="51" t="str">
        <f>IF(AND($L1030=$O$7,$B1030&lt;'111'!$N$11),"x","")</f>
        <v/>
      </c>
      <c r="Q1030" s="51" t="str">
        <f>IF(AND($M1030=$O$7,$B1030&lt;'111'!$N$11),"x","")</f>
        <v/>
      </c>
      <c r="R1030" s="51" t="str">
        <f>IF(ISERROR(FIND('112'!$M$9,G1030,1)),"",IF((AND(FIND('112'!$M$9,G1030,1)&gt;=1,$B1030&gt;='112'!$N$8,$B1030&lt;='112'!$O$8,OR($L1030='112'!$I$6,$M1030='112'!$I$6))),"x",""))</f>
        <v/>
      </c>
      <c r="S1030" s="51" t="str">
        <f>IF(ISERROR(FIND('112'!$M$9,G1030,1)),"",IF((AND(LEFT(G1030,2)=LEFT('112'!$M$9,2),B1030&lt;'112'!$N$8,$L1030='112'!$I$6)),"x",""))</f>
        <v/>
      </c>
      <c r="T1030" s="51" t="str">
        <f>IF(ISERROR(FIND('112'!$M$9,G1030,1)),"",IF((AND(RIGHT(G1030,2)=RIGHT('112'!$M$9,2),B1030&lt;'112'!$N$8,$M1030='112'!$I$6)),"x",""))</f>
        <v/>
      </c>
      <c r="U1030" s="51" t="str">
        <f>IF(AND(L1030="154",'154'!$O$5&lt;=B1030,'154'!$P$5&gt;=B1030),"154",IF(AND(L1030="632",'632'!$L$5&lt;=B1030,'632'!$M$5&gt;=B1030),"632",IF(AND(L1030="642",'642'!$N$5&lt;=B1030,'642'!$O$5&gt;=B1030),"642",IF(AND(L1030="641",'641'!$N$5&lt;=B1030,'641'!$O$5&gt;=B1030),"641",""))))</f>
        <v/>
      </c>
      <c r="V1030" s="51" t="str">
        <f>IF(OR(TH!L1030=TH!$V$7,M1030=TH!$V$7),"x","")</f>
        <v/>
      </c>
      <c r="W1030" s="51" t="str">
        <f>IF(AND(B1030&gt;='IN-NX'!$P$3,B1030&lt;='IN-NX'!$Q$3,'IN-NX'!$D$7=D1030,OR(LEFT(L1030,2)="15",AND(LEFT(M1030,2)&lt;&gt;"15",LEFT(M1030,2)&lt;&gt;"33"))),"x","")</f>
        <v/>
      </c>
      <c r="X1030" s="51" t="str">
        <f>IF(AND(OR(LEFT(TH!L1030,2)="15",LEFT(TH!M1030,2)="15"),'152-CT'!$J$8=TH!F1030),"x","")</f>
        <v/>
      </c>
      <c r="Y1030" s="51" t="str">
        <f>IF(AND(OR(LEFT(TH!L1030,2)="15",LEFT(TH!M1030,2)="15"),TK!$E$7=TH!F1030),"x","")</f>
        <v/>
      </c>
      <c r="Z1030" s="51" t="str">
        <f>IF(AND(B1030&lt;=NKC!$N$8,B1030&gt;=NKC!$M$8),"x","")</f>
        <v/>
      </c>
      <c r="AA1030" s="803"/>
      <c r="AB1030" s="565"/>
    </row>
    <row r="1031" spans="1:31" ht="15.75" customHeight="1">
      <c r="A1031" s="804" t="str">
        <f>IF(B1031&lt;&gt;"",IF(AND(B1031&gt;=_TM1,B1031&lt;=_TM2,OR(TH!L1031="1111",TH!M1031="1111")),TH!D1031,""),"")</f>
        <v/>
      </c>
      <c r="B1031" s="36">
        <f t="shared" si="68"/>
        <v>11</v>
      </c>
      <c r="C1031" s="189">
        <f t="shared" si="69"/>
        <v>42312</v>
      </c>
      <c r="D1031" s="189" t="s">
        <v>1372</v>
      </c>
      <c r="E1031" s="189">
        <v>42312</v>
      </c>
      <c r="F1031" s="190" t="s">
        <v>423</v>
      </c>
      <c r="G1031" s="811" t="s">
        <v>661</v>
      </c>
      <c r="H1031" s="191" t="s">
        <v>1070</v>
      </c>
      <c r="I1031" s="243"/>
      <c r="J1031" s="243"/>
      <c r="K1031" s="573">
        <v>3569174</v>
      </c>
      <c r="L1031" s="574" t="s">
        <v>47</v>
      </c>
      <c r="M1031" s="574" t="s">
        <v>250</v>
      </c>
      <c r="N1031" s="51" t="str">
        <f>IF(AND('331-CT'!$E$7=TH!H1031,OR(L1031="331",M1031="331")),"331",IF(AND(OR(L1031="131",M1031="131"),H1031='131-CT'!$E$7),"131",""))</f>
        <v/>
      </c>
      <c r="O1031" s="51" t="str">
        <f>IF(AND($B1031&gt;='111'!$N$11,$B1031&lt;='111'!$O$11,OR($L1031=$O$7,$M1031=$O$7)),"x","")</f>
        <v>x</v>
      </c>
      <c r="P1031" s="51" t="str">
        <f>IF(AND($L1031=$O$7,$B1031&lt;'111'!$N$11),"x","")</f>
        <v/>
      </c>
      <c r="Q1031" s="51" t="str">
        <f>IF(AND($M1031=$O$7,$B1031&lt;'111'!$N$11),"x","")</f>
        <v/>
      </c>
      <c r="R1031" s="51" t="str">
        <f>IF(ISERROR(FIND('112'!$M$9,G1031,1)),"",IF((AND(FIND('112'!$M$9,G1031,1)&gt;=1,$B1031&gt;='112'!$N$8,$B1031&lt;='112'!$O$8,OR($L1031='112'!$I$6,$M1031='112'!$I$6))),"x",""))</f>
        <v/>
      </c>
      <c r="S1031" s="51" t="str">
        <f>IF(ISERROR(FIND('112'!$M$9,G1031,1)),"",IF((AND(LEFT(G1031,2)=LEFT('112'!$M$9,2),B1031&lt;'112'!$N$8,$L1031='112'!$I$6)),"x",""))</f>
        <v/>
      </c>
      <c r="T1031" s="51" t="str">
        <f>IF(ISERROR(FIND('112'!$M$9,G1031,1)),"",IF((AND(RIGHT(G1031,2)=RIGHT('112'!$M$9,2),B1031&lt;'112'!$N$8,$M1031='112'!$I$6)),"x",""))</f>
        <v/>
      </c>
      <c r="U1031" s="51" t="str">
        <f>IF(AND(L1031="154",'154'!$O$5&lt;=B1031,'154'!$P$5&gt;=B1031),"154",IF(AND(L1031="632",'632'!$L$5&lt;=B1031,'632'!$M$5&gt;=B1031),"632",IF(AND(L1031="642",'642'!$N$5&lt;=B1031,'642'!$O$5&gt;=B1031),"642",IF(AND(L1031="641",'641'!$N$5&lt;=B1031,'641'!$O$5&gt;=B1031),"641",""))))</f>
        <v/>
      </c>
      <c r="V1031" s="51" t="str">
        <f>IF(OR(TH!L1031=TH!$V$7,M1031=TH!$V$7),"x","")</f>
        <v/>
      </c>
      <c r="W1031" s="51" t="str">
        <f>IF(AND(B1031&gt;='IN-NX'!$P$3,B1031&lt;='IN-NX'!$Q$3,'IN-NX'!$D$7=D1031,OR(LEFT(L1031,2)="15",AND(LEFT(M1031,2)&lt;&gt;"15",LEFT(M1031,2)&lt;&gt;"33"))),"x","")</f>
        <v/>
      </c>
      <c r="X1031" s="51" t="str">
        <f>IF(AND(OR(LEFT(TH!L1031,2)="15",LEFT(TH!M1031,2)="15"),'152-CT'!$J$8=TH!F1031),"x","")</f>
        <v/>
      </c>
      <c r="Y1031" s="51" t="str">
        <f>IF(AND(OR(LEFT(TH!L1031,2)="15",LEFT(TH!M1031,2)="15"),TK!$E$7=TH!F1031),"x","")</f>
        <v/>
      </c>
      <c r="Z1031" s="51" t="str">
        <f>IF(AND(B1031&lt;=NKC!$N$8,B1031&gt;=NKC!$M$8),"x","")</f>
        <v/>
      </c>
      <c r="AA1031" s="803"/>
      <c r="AB1031" s="565"/>
    </row>
    <row r="1032" spans="1:31" ht="15.75" customHeight="1">
      <c r="A1032" s="804" t="str">
        <f>IF(B1032&lt;&gt;"",IF(AND(B1032&gt;=_TM1,B1032&lt;=_TM2,OR(TH!L1032="1111",TH!M1032="1111")),TH!D1032,""),"")</f>
        <v/>
      </c>
      <c r="B1032" s="36">
        <f t="shared" si="68"/>
        <v>11</v>
      </c>
      <c r="C1032" s="189">
        <f t="shared" si="69"/>
        <v>42313</v>
      </c>
      <c r="D1032" s="189" t="s">
        <v>1381</v>
      </c>
      <c r="E1032" s="189">
        <v>42313</v>
      </c>
      <c r="F1032" s="190" t="s">
        <v>451</v>
      </c>
      <c r="G1032" s="813" t="s">
        <v>826</v>
      </c>
      <c r="H1032" s="191" t="s">
        <v>523</v>
      </c>
      <c r="I1032" s="243"/>
      <c r="J1032" s="243"/>
      <c r="K1032" s="573">
        <f>321069+206216+203663</f>
        <v>730948</v>
      </c>
      <c r="L1032" s="574" t="s">
        <v>83</v>
      </c>
      <c r="M1032" s="574" t="s">
        <v>47</v>
      </c>
      <c r="N1032" s="51" t="str">
        <f>IF(AND('331-CT'!$E$7=TH!H1032,OR(L1032="331",M1032="331")),"331",IF(AND(OR(L1032="131",M1032="131"),H1032='131-CT'!$E$7),"131",""))</f>
        <v/>
      </c>
      <c r="O1032" s="51" t="str">
        <f>IF(AND($B1032&gt;='111'!$N$11,$B1032&lt;='111'!$O$11,OR($L1032=$O$7,$M1032=$O$7)),"x","")</f>
        <v>x</v>
      </c>
      <c r="P1032" s="51" t="str">
        <f>IF(AND($L1032=$O$7,$B1032&lt;'111'!$N$11),"x","")</f>
        <v/>
      </c>
      <c r="Q1032" s="51" t="str">
        <f>IF(AND($M1032=$O$7,$B1032&lt;'111'!$N$11),"x","")</f>
        <v/>
      </c>
      <c r="R1032" s="51" t="str">
        <f>IF(ISERROR(FIND('112'!$M$9,G1032,1)),"",IF((AND(FIND('112'!$M$9,G1032,1)&gt;=1,$B1032&gt;='112'!$N$8,$B1032&lt;='112'!$O$8,OR($L1032='112'!$I$6,$M1032='112'!$I$6))),"x",""))</f>
        <v/>
      </c>
      <c r="S1032" s="51" t="str">
        <f>IF(ISERROR(FIND('112'!$M$9,G1032,1)),"",IF((AND(LEFT(G1032,2)=LEFT('112'!$M$9,2),B1032&lt;'112'!$N$8,$L1032='112'!$I$6)),"x",""))</f>
        <v/>
      </c>
      <c r="T1032" s="51" t="str">
        <f>IF(ISERROR(FIND('112'!$M$9,G1032,1)),"",IF((AND(RIGHT(G1032,2)=RIGHT('112'!$M$9,2),B1032&lt;'112'!$N$8,$M1032='112'!$I$6)),"x",""))</f>
        <v/>
      </c>
      <c r="U1032" s="51" t="str">
        <f>IF(AND(L1032="154",'154'!$O$5&lt;=B1032,'154'!$P$5&gt;=B1032),"154",IF(AND(L1032="632",'632'!$L$5&lt;=B1032,'632'!$M$5&gt;=B1032),"632",IF(AND(L1032="642",'642'!$N$5&lt;=B1032,'642'!$O$5&gt;=B1032),"642",IF(AND(L1032="641",'641'!$N$5&lt;=B1032,'641'!$O$5&gt;=B1032),"641",""))))</f>
        <v/>
      </c>
      <c r="V1032" s="51" t="str">
        <f>IF(OR(TH!L1032=TH!$V$7,M1032=TH!$V$7),"x","")</f>
        <v>x</v>
      </c>
      <c r="W1032" s="51" t="str">
        <f>IF(AND(B1032&gt;='IN-NX'!$P$3,B1032&lt;='IN-NX'!$Q$3,'IN-NX'!$D$7=D1032,OR(LEFT(L1032,2)="15",AND(LEFT(M1032,2)&lt;&gt;"15",LEFT(M1032,2)&lt;&gt;"33"))),"x","")</f>
        <v/>
      </c>
      <c r="X1032" s="51" t="str">
        <f>IF(AND(OR(LEFT(TH!L1032,2)="15",LEFT(TH!M1032,2)="15"),'152-CT'!$J$8=TH!F1032),"x","")</f>
        <v/>
      </c>
      <c r="Y1032" s="51" t="str">
        <f>IF(AND(OR(LEFT(TH!L1032,2)="15",LEFT(TH!M1032,2)="15"),TK!$E$7=TH!F1032),"x","")</f>
        <v/>
      </c>
      <c r="Z1032" s="51" t="str">
        <f>IF(AND(B1032&lt;=NKC!$N$8,B1032&gt;=NKC!$M$8),"x","")</f>
        <v/>
      </c>
      <c r="AA1032" s="803"/>
      <c r="AB1032" s="565"/>
      <c r="AE1032" s="565"/>
    </row>
    <row r="1033" spans="1:31" ht="15.75" customHeight="1">
      <c r="A1033" s="804" t="str">
        <f>IF(B1033&lt;&gt;"",IF(AND(B1033&gt;=_TM1,B1033&lt;=_TM2,OR(TH!L1033="1111",TH!M1033="1111")),TH!D1033,""),"")</f>
        <v/>
      </c>
      <c r="B1033" s="36">
        <f t="shared" si="68"/>
        <v>11</v>
      </c>
      <c r="C1033" s="189">
        <f t="shared" si="69"/>
        <v>42313</v>
      </c>
      <c r="D1033" s="189" t="s">
        <v>1381</v>
      </c>
      <c r="E1033" s="189">
        <v>42313</v>
      </c>
      <c r="F1033" s="190" t="s">
        <v>453</v>
      </c>
      <c r="G1033" s="813" t="s">
        <v>826</v>
      </c>
      <c r="H1033" s="191" t="s">
        <v>523</v>
      </c>
      <c r="I1033" s="243"/>
      <c r="J1033" s="243"/>
      <c r="K1033" s="573">
        <f>32107+20622+20366</f>
        <v>73095</v>
      </c>
      <c r="L1033" s="574" t="s">
        <v>9</v>
      </c>
      <c r="M1033" s="574" t="s">
        <v>47</v>
      </c>
      <c r="N1033" s="51" t="str">
        <f>IF(AND('331-CT'!$E$7=TH!H1033,OR(L1033="331",M1033="331")),"331",IF(AND(OR(L1033="131",M1033="131"),H1033='131-CT'!$E$7),"131",""))</f>
        <v/>
      </c>
      <c r="O1033" s="51" t="str">
        <f>IF(AND($B1033&gt;='111'!$N$11,$B1033&lt;='111'!$O$11,OR($L1033=$O$7,$M1033=$O$7)),"x","")</f>
        <v>x</v>
      </c>
      <c r="P1033" s="51" t="str">
        <f>IF(AND($L1033=$O$7,$B1033&lt;'111'!$N$11),"x","")</f>
        <v/>
      </c>
      <c r="Q1033" s="51" t="str">
        <f>IF(AND($M1033=$O$7,$B1033&lt;'111'!$N$11),"x","")</f>
        <v/>
      </c>
      <c r="R1033" s="51" t="str">
        <f>IF(ISERROR(FIND('112'!$M$9,G1033,1)),"",IF((AND(FIND('112'!$M$9,G1033,1)&gt;=1,$B1033&gt;='112'!$N$8,$B1033&lt;='112'!$O$8,OR($L1033='112'!$I$6,$M1033='112'!$I$6))),"x",""))</f>
        <v/>
      </c>
      <c r="S1033" s="51" t="str">
        <f>IF(ISERROR(FIND('112'!$M$9,G1033,1)),"",IF((AND(LEFT(G1033,2)=LEFT('112'!$M$9,2),B1033&lt;'112'!$N$8,$L1033='112'!$I$6)),"x",""))</f>
        <v/>
      </c>
      <c r="T1033" s="51" t="str">
        <f>IF(ISERROR(FIND('112'!$M$9,G1033,1)),"",IF((AND(RIGHT(G1033,2)=RIGHT('112'!$M$9,2),B1033&lt;'112'!$N$8,$M1033='112'!$I$6)),"x",""))</f>
        <v/>
      </c>
      <c r="U1033" s="51" t="str">
        <f>IF(AND(L1033="154",'154'!$O$5&lt;=B1033,'154'!$P$5&gt;=B1033),"154",IF(AND(L1033="632",'632'!$L$5&lt;=B1033,'632'!$M$5&gt;=B1033),"632",IF(AND(L1033="642",'642'!$N$5&lt;=B1033,'642'!$O$5&gt;=B1033),"642",IF(AND(L1033="641",'641'!$N$5&lt;=B1033,'641'!$O$5&gt;=B1033),"641",""))))</f>
        <v/>
      </c>
      <c r="V1033" s="51" t="str">
        <f>IF(OR(TH!L1033=TH!$V$7,M1033=TH!$V$7),"x","")</f>
        <v/>
      </c>
      <c r="W1033" s="51" t="str">
        <f>IF(AND(B1033&gt;='IN-NX'!$P$3,B1033&lt;='IN-NX'!$Q$3,'IN-NX'!$D$7=D1033,OR(LEFT(L1033,2)="15",AND(LEFT(M1033,2)&lt;&gt;"15",LEFT(M1033,2)&lt;&gt;"33"))),"x","")</f>
        <v/>
      </c>
      <c r="X1033" s="51" t="str">
        <f>IF(AND(OR(LEFT(TH!L1033,2)="15",LEFT(TH!M1033,2)="15"),'152-CT'!$J$8=TH!F1033),"x","")</f>
        <v/>
      </c>
      <c r="Y1033" s="51" t="str">
        <f>IF(AND(OR(LEFT(TH!L1033,2)="15",LEFT(TH!M1033,2)="15"),TK!$E$7=TH!F1033),"x","")</f>
        <v/>
      </c>
      <c r="Z1033" s="51" t="str">
        <f>IF(AND(B1033&lt;=NKC!$N$8,B1033&gt;=NKC!$M$8),"x","")</f>
        <v/>
      </c>
      <c r="AA1033" s="803">
        <v>4</v>
      </c>
      <c r="AB1033" s="565"/>
      <c r="AE1033" s="565"/>
    </row>
    <row r="1034" spans="1:31" ht="15.75" customHeight="1">
      <c r="A1034" s="804" t="str">
        <f>IF(B1034&lt;&gt;"",IF(AND(B1034&gt;=_TM1,B1034&lt;=_TM2,OR(TH!L1034="1111",TH!M1034="1111")),TH!D1034,""),"")</f>
        <v/>
      </c>
      <c r="B1034" s="36">
        <f t="shared" si="68"/>
        <v>11</v>
      </c>
      <c r="C1034" s="189">
        <f t="shared" si="69"/>
        <v>42313</v>
      </c>
      <c r="D1034" s="189" t="s">
        <v>1384</v>
      </c>
      <c r="E1034" s="189">
        <v>42313</v>
      </c>
      <c r="F1034" s="190" t="s">
        <v>537</v>
      </c>
      <c r="G1034" s="813" t="s">
        <v>835</v>
      </c>
      <c r="H1034" s="191" t="s">
        <v>536</v>
      </c>
      <c r="I1034" s="243"/>
      <c r="J1034" s="243"/>
      <c r="K1034" s="573">
        <v>4500000</v>
      </c>
      <c r="L1034" s="574" t="s">
        <v>83</v>
      </c>
      <c r="M1034" s="574" t="s">
        <v>47</v>
      </c>
      <c r="N1034" s="51" t="str">
        <f>IF(AND('331-CT'!$E$7=TH!H1034,OR(L1034="331",M1034="331")),"331",IF(AND(OR(L1034="131",M1034="131"),H1034='131-CT'!$E$7),"131",""))</f>
        <v/>
      </c>
      <c r="O1034" s="51" t="str">
        <f>IF(AND($B1034&gt;='111'!$N$11,$B1034&lt;='111'!$O$11,OR($L1034=$O$7,$M1034=$O$7)),"x","")</f>
        <v>x</v>
      </c>
      <c r="P1034" s="51" t="str">
        <f>IF(AND($L1034=$O$7,$B1034&lt;'111'!$N$11),"x","")</f>
        <v/>
      </c>
      <c r="Q1034" s="51" t="str">
        <f>IF(AND($M1034=$O$7,$B1034&lt;'111'!$N$11),"x","")</f>
        <v/>
      </c>
      <c r="R1034" s="51" t="str">
        <f>IF(ISERROR(FIND('112'!$M$9,G1034,1)),"",IF((AND(FIND('112'!$M$9,G1034,1)&gt;=1,$B1034&gt;='112'!$N$8,$B1034&lt;='112'!$O$8,OR($L1034='112'!$I$6,$M1034='112'!$I$6))),"x",""))</f>
        <v/>
      </c>
      <c r="S1034" s="51" t="str">
        <f>IF(ISERROR(FIND('112'!$M$9,G1034,1)),"",IF((AND(LEFT(G1034,2)=LEFT('112'!$M$9,2),B1034&lt;'112'!$N$8,$L1034='112'!$I$6)),"x",""))</f>
        <v/>
      </c>
      <c r="T1034" s="51" t="str">
        <f>IF(ISERROR(FIND('112'!$M$9,G1034,1)),"",IF((AND(RIGHT(G1034,2)=RIGHT('112'!$M$9,2),B1034&lt;'112'!$N$8,$M1034='112'!$I$6)),"x",""))</f>
        <v/>
      </c>
      <c r="U1034" s="51" t="str">
        <f>IF(AND(L1034="154",'154'!$O$5&lt;=B1034,'154'!$P$5&gt;=B1034),"154",IF(AND(L1034="632",'632'!$L$5&lt;=B1034,'632'!$M$5&gt;=B1034),"632",IF(AND(L1034="642",'642'!$N$5&lt;=B1034,'642'!$O$5&gt;=B1034),"642",IF(AND(L1034="641",'641'!$N$5&lt;=B1034,'641'!$O$5&gt;=B1034),"641",""))))</f>
        <v/>
      </c>
      <c r="V1034" s="51" t="str">
        <f>IF(OR(TH!L1034=TH!$V$7,M1034=TH!$V$7),"x","")</f>
        <v>x</v>
      </c>
      <c r="W1034" s="51" t="str">
        <f>IF(AND(B1034&gt;='IN-NX'!$P$3,B1034&lt;='IN-NX'!$Q$3,'IN-NX'!$D$7=D1034,OR(LEFT(L1034,2)="15",AND(LEFT(M1034,2)&lt;&gt;"15",LEFT(M1034,2)&lt;&gt;"33"))),"x","")</f>
        <v/>
      </c>
      <c r="X1034" s="51" t="str">
        <f>IF(AND(OR(LEFT(TH!L1034,2)="15",LEFT(TH!M1034,2)="15"),'152-CT'!$J$8=TH!F1034),"x","")</f>
        <v/>
      </c>
      <c r="Y1034" s="51" t="str">
        <f>IF(AND(OR(LEFT(TH!L1034,2)="15",LEFT(TH!M1034,2)="15"),TK!$E$7=TH!F1034),"x","")</f>
        <v/>
      </c>
      <c r="Z1034" s="51" t="str">
        <f>IF(AND(B1034&lt;=NKC!$N$8,B1034&gt;=NKC!$M$8),"x","")</f>
        <v/>
      </c>
      <c r="AA1034" s="803"/>
      <c r="AB1034" s="565"/>
      <c r="AE1034" s="565"/>
    </row>
    <row r="1035" spans="1:31" ht="15.75" customHeight="1">
      <c r="A1035" s="804" t="str">
        <f>IF(B1035&lt;&gt;"",IF(AND(B1035&gt;=_TM1,B1035&lt;=_TM2,OR(TH!L1035="1111",TH!M1035="1111")),TH!D1035,""),"")</f>
        <v/>
      </c>
      <c r="B1035" s="36">
        <f t="shared" si="68"/>
        <v>11</v>
      </c>
      <c r="C1035" s="189">
        <f t="shared" si="69"/>
        <v>42313</v>
      </c>
      <c r="D1035" s="189" t="s">
        <v>1384</v>
      </c>
      <c r="E1035" s="189">
        <v>42313</v>
      </c>
      <c r="F1035" s="190" t="s">
        <v>538</v>
      </c>
      <c r="G1035" s="813" t="s">
        <v>835</v>
      </c>
      <c r="H1035" s="191" t="s">
        <v>536</v>
      </c>
      <c r="I1035" s="243"/>
      <c r="J1035" s="243"/>
      <c r="K1035" s="573">
        <v>450000</v>
      </c>
      <c r="L1035" s="574" t="s">
        <v>9</v>
      </c>
      <c r="M1035" s="574" t="s">
        <v>47</v>
      </c>
      <c r="N1035" s="51" t="str">
        <f>IF(AND('331-CT'!$E$7=TH!H1035,OR(L1035="331",M1035="331")),"331",IF(AND(OR(L1035="131",M1035="131"),H1035='131-CT'!$E$7),"131",""))</f>
        <v/>
      </c>
      <c r="O1035" s="51" t="str">
        <f>IF(AND($B1035&gt;='111'!$N$11,$B1035&lt;='111'!$O$11,OR($L1035=$O$7,$M1035=$O$7)),"x","")</f>
        <v>x</v>
      </c>
      <c r="P1035" s="51" t="str">
        <f>IF(AND($L1035=$O$7,$B1035&lt;'111'!$N$11),"x","")</f>
        <v/>
      </c>
      <c r="Q1035" s="51" t="str">
        <f>IF(AND($M1035=$O$7,$B1035&lt;'111'!$N$11),"x","")</f>
        <v/>
      </c>
      <c r="R1035" s="51" t="str">
        <f>IF(ISERROR(FIND('112'!$M$9,G1035,1)),"",IF((AND(FIND('112'!$M$9,G1035,1)&gt;=1,$B1035&gt;='112'!$N$8,$B1035&lt;='112'!$O$8,OR($L1035='112'!$I$6,$M1035='112'!$I$6))),"x",""))</f>
        <v/>
      </c>
      <c r="S1035" s="51" t="str">
        <f>IF(ISERROR(FIND('112'!$M$9,G1035,1)),"",IF((AND(LEFT(G1035,2)=LEFT('112'!$M$9,2),B1035&lt;'112'!$N$8,$L1035='112'!$I$6)),"x",""))</f>
        <v/>
      </c>
      <c r="T1035" s="51" t="str">
        <f>IF(ISERROR(FIND('112'!$M$9,G1035,1)),"",IF((AND(RIGHT(G1035,2)=RIGHT('112'!$M$9,2),B1035&lt;'112'!$N$8,$M1035='112'!$I$6)),"x",""))</f>
        <v/>
      </c>
      <c r="U1035" s="51" t="str">
        <f>IF(AND(L1035="154",'154'!$O$5&lt;=B1035,'154'!$P$5&gt;=B1035),"154",IF(AND(L1035="632",'632'!$L$5&lt;=B1035,'632'!$M$5&gt;=B1035),"632",IF(AND(L1035="642",'642'!$N$5&lt;=B1035,'642'!$O$5&gt;=B1035),"642",IF(AND(L1035="641",'641'!$N$5&lt;=B1035,'641'!$O$5&gt;=B1035),"641",""))))</f>
        <v/>
      </c>
      <c r="V1035" s="51" t="str">
        <f>IF(OR(TH!L1035=TH!$V$7,M1035=TH!$V$7),"x","")</f>
        <v/>
      </c>
      <c r="W1035" s="51" t="str">
        <f>IF(AND(B1035&gt;='IN-NX'!$P$3,B1035&lt;='IN-NX'!$Q$3,'IN-NX'!$D$7=D1035,OR(LEFT(L1035,2)="15",AND(LEFT(M1035,2)&lt;&gt;"15",LEFT(M1035,2)&lt;&gt;"33"))),"x","")</f>
        <v/>
      </c>
      <c r="X1035" s="51" t="str">
        <f>IF(AND(OR(LEFT(TH!L1035,2)="15",LEFT(TH!M1035,2)="15"),'152-CT'!$J$8=TH!F1035),"x","")</f>
        <v/>
      </c>
      <c r="Y1035" s="51" t="str">
        <f>IF(AND(OR(LEFT(TH!L1035,2)="15",LEFT(TH!M1035,2)="15"),TK!$E$7=TH!F1035),"x","")</f>
        <v/>
      </c>
      <c r="Z1035" s="51" t="str">
        <f>IF(AND(B1035&lt;=NKC!$N$8,B1035&gt;=NKC!$M$8),"x","")</f>
        <v/>
      </c>
      <c r="AA1035" s="803">
        <v>4</v>
      </c>
      <c r="AB1035" s="565"/>
      <c r="AE1035" s="565"/>
    </row>
    <row r="1036" spans="1:31" ht="15.75" customHeight="1">
      <c r="A1036" s="804" t="str">
        <f>IF(B1036&lt;&gt;"",IF(AND(B1036&gt;=_TM1,B1036&lt;=_TM2,OR(TH!L1036="1111",TH!M1036="1111")),TH!D1036,""),"")</f>
        <v/>
      </c>
      <c r="B1036" s="36">
        <f t="shared" si="68"/>
        <v>11</v>
      </c>
      <c r="C1036" s="189">
        <f t="shared" si="69"/>
        <v>42313</v>
      </c>
      <c r="D1036" s="189" t="s">
        <v>1411</v>
      </c>
      <c r="E1036" s="189">
        <v>42313</v>
      </c>
      <c r="F1036" s="917" t="s">
        <v>851</v>
      </c>
      <c r="G1036" s="813" t="s">
        <v>850</v>
      </c>
      <c r="H1036" s="191" t="s">
        <v>448</v>
      </c>
      <c r="I1036" s="243">
        <v>140</v>
      </c>
      <c r="J1036" s="243">
        <v>16662</v>
      </c>
      <c r="K1036" s="573">
        <f t="shared" ref="K1036:K1042" si="70">ROUND(I1036*J1036,0)</f>
        <v>2332680</v>
      </c>
      <c r="L1036" s="574" t="s">
        <v>417</v>
      </c>
      <c r="M1036" s="574" t="s">
        <v>8</v>
      </c>
      <c r="N1036" s="51" t="str">
        <f>IF(AND('331-CT'!$E$7=TH!H1036,OR(L1036="331",M1036="331")),"331",IF(AND(OR(L1036="131",M1036="131"),H1036='131-CT'!$E$7),"131",""))</f>
        <v/>
      </c>
      <c r="O1036" s="51" t="str">
        <f>IF(AND($B1036&gt;='111'!$N$11,$B1036&lt;='111'!$O$11,OR($L1036=$O$7,$M1036=$O$7)),"x","")</f>
        <v/>
      </c>
      <c r="P1036" s="51" t="str">
        <f>IF(AND($L1036=$O$7,$B1036&lt;'111'!$N$11),"x","")</f>
        <v/>
      </c>
      <c r="Q1036" s="51" t="str">
        <f>IF(AND($M1036=$O$7,$B1036&lt;'111'!$N$11),"x","")</f>
        <v/>
      </c>
      <c r="R1036" s="51" t="str">
        <f>IF(ISERROR(FIND('112'!$M$9,G1036,1)),"",IF((AND(FIND('112'!$M$9,G1036,1)&gt;=1,$B1036&gt;='112'!$N$8,$B1036&lt;='112'!$O$8,OR($L1036='112'!$I$6,$M1036='112'!$I$6))),"x",""))</f>
        <v/>
      </c>
      <c r="S1036" s="51" t="str">
        <f>IF(ISERROR(FIND('112'!$M$9,G1036,1)),"",IF((AND(LEFT(G1036,2)=LEFT('112'!$M$9,2),B1036&lt;'112'!$N$8,$L1036='112'!$I$6)),"x",""))</f>
        <v/>
      </c>
      <c r="T1036" s="51" t="str">
        <f>IF(ISERROR(FIND('112'!$M$9,G1036,1)),"",IF((AND(RIGHT(G1036,2)=RIGHT('112'!$M$9,2),B1036&lt;'112'!$N$8,$M1036='112'!$I$6)),"x",""))</f>
        <v/>
      </c>
      <c r="U1036" s="51" t="str">
        <f>IF(AND(L1036="154",'154'!$O$5&lt;=B1036,'154'!$P$5&gt;=B1036),"154",IF(AND(L1036="632",'632'!$L$5&lt;=B1036,'632'!$M$5&gt;=B1036),"632",IF(AND(L1036="642",'642'!$N$5&lt;=B1036,'642'!$O$5&gt;=B1036),"642",IF(AND(L1036="641",'641'!$N$5&lt;=B1036,'641'!$O$5&gt;=B1036),"641",""))))</f>
        <v/>
      </c>
      <c r="V1036" s="51" t="str">
        <f>IF(OR(TH!L1036=TH!$V$7,M1036=TH!$V$7),"x","")</f>
        <v/>
      </c>
      <c r="W1036" s="51" t="str">
        <f>IF(AND(B1036&gt;='IN-NX'!$P$3,B1036&lt;='IN-NX'!$Q$3,'IN-NX'!$D$7=D1036,OR(LEFT(L1036,2)="15",AND(LEFT(M1036,2)&lt;&gt;"15",LEFT(M1036,2)&lt;&gt;"33"))),"x","")</f>
        <v/>
      </c>
      <c r="X1036" s="51" t="str">
        <f>IF(AND(OR(LEFT(TH!L1036,2)="15",LEFT(TH!M1036,2)="15"),'152-CT'!$J$8=TH!F1036),"x","")</f>
        <v/>
      </c>
      <c r="Y1036" s="51" t="str">
        <f>IF(AND(OR(LEFT(TH!L1036,2)="15",LEFT(TH!M1036,2)="15"),TK!$E$7=TH!F1036),"x","")</f>
        <v/>
      </c>
      <c r="Z1036" s="51" t="str">
        <f>IF(AND(B1036&lt;=NKC!$N$8,B1036&gt;=NKC!$M$8),"x","")</f>
        <v/>
      </c>
      <c r="AA1036" s="803"/>
      <c r="AB1036" s="565"/>
      <c r="AE1036" s="565"/>
    </row>
    <row r="1037" spans="1:31" ht="15.75" customHeight="1">
      <c r="A1037" s="804" t="str">
        <f>IF(B1037&lt;&gt;"",IF(AND(B1037&gt;=_TM1,B1037&lt;=_TM2,OR(TH!L1037="1111",TH!M1037="1111")),TH!D1037,""),"")</f>
        <v/>
      </c>
      <c r="B1037" s="36">
        <f t="shared" si="68"/>
        <v>11</v>
      </c>
      <c r="C1037" s="189">
        <f t="shared" si="69"/>
        <v>42313</v>
      </c>
      <c r="D1037" s="189" t="s">
        <v>1411</v>
      </c>
      <c r="E1037" s="189">
        <v>42313</v>
      </c>
      <c r="F1037" s="190" t="s">
        <v>852</v>
      </c>
      <c r="G1037" s="813" t="s">
        <v>850</v>
      </c>
      <c r="H1037" s="191" t="s">
        <v>448</v>
      </c>
      <c r="I1037" s="243">
        <v>200</v>
      </c>
      <c r="J1037" s="243">
        <v>11421</v>
      </c>
      <c r="K1037" s="573">
        <f t="shared" si="70"/>
        <v>2284200</v>
      </c>
      <c r="L1037" s="574" t="s">
        <v>417</v>
      </c>
      <c r="M1037" s="574" t="s">
        <v>8</v>
      </c>
      <c r="N1037" s="51" t="str">
        <f>IF(AND('331-CT'!$E$7=TH!H1037,OR(L1037="331",M1037="331")),"331",IF(AND(OR(L1037="131",M1037="131"),H1037='131-CT'!$E$7),"131",""))</f>
        <v/>
      </c>
      <c r="O1037" s="51" t="str">
        <f>IF(AND($B1037&gt;='111'!$N$11,$B1037&lt;='111'!$O$11,OR($L1037=$O$7,$M1037=$O$7)),"x","")</f>
        <v/>
      </c>
      <c r="P1037" s="51" t="str">
        <f>IF(AND($L1037=$O$7,$B1037&lt;'111'!$N$11),"x","")</f>
        <v/>
      </c>
      <c r="Q1037" s="51" t="str">
        <f>IF(AND($M1037=$O$7,$B1037&lt;'111'!$N$11),"x","")</f>
        <v/>
      </c>
      <c r="R1037" s="51" t="str">
        <f>IF(ISERROR(FIND('112'!$M$9,G1037,1)),"",IF((AND(FIND('112'!$M$9,G1037,1)&gt;=1,$B1037&gt;='112'!$N$8,$B1037&lt;='112'!$O$8,OR($L1037='112'!$I$6,$M1037='112'!$I$6))),"x",""))</f>
        <v/>
      </c>
      <c r="S1037" s="51" t="str">
        <f>IF(ISERROR(FIND('112'!$M$9,G1037,1)),"",IF((AND(LEFT(G1037,2)=LEFT('112'!$M$9,2),B1037&lt;'112'!$N$8,$L1037='112'!$I$6)),"x",""))</f>
        <v/>
      </c>
      <c r="T1037" s="51" t="str">
        <f>IF(ISERROR(FIND('112'!$M$9,G1037,1)),"",IF((AND(RIGHT(G1037,2)=RIGHT('112'!$M$9,2),B1037&lt;'112'!$N$8,$M1037='112'!$I$6)),"x",""))</f>
        <v/>
      </c>
      <c r="U1037" s="51" t="str">
        <f>IF(AND(L1037="154",'154'!$O$5&lt;=B1037,'154'!$P$5&gt;=B1037),"154",IF(AND(L1037="632",'632'!$L$5&lt;=B1037,'632'!$M$5&gt;=B1037),"632",IF(AND(L1037="642",'642'!$N$5&lt;=B1037,'642'!$O$5&gt;=B1037),"642",IF(AND(L1037="641",'641'!$N$5&lt;=B1037,'641'!$O$5&gt;=B1037),"641",""))))</f>
        <v/>
      </c>
      <c r="V1037" s="51" t="str">
        <f>IF(OR(TH!L1037=TH!$V$7,M1037=TH!$V$7),"x","")</f>
        <v/>
      </c>
      <c r="W1037" s="51" t="str">
        <f>IF(AND(B1037&gt;='IN-NX'!$P$3,B1037&lt;='IN-NX'!$Q$3,'IN-NX'!$D$7=D1037,OR(LEFT(L1037,2)="15",AND(LEFT(M1037,2)&lt;&gt;"15",LEFT(M1037,2)&lt;&gt;"33"))),"x","")</f>
        <v/>
      </c>
      <c r="X1037" s="51" t="str">
        <f>IF(AND(OR(LEFT(TH!L1037,2)="15",LEFT(TH!M1037,2)="15"),'152-CT'!$J$8=TH!F1037),"x","")</f>
        <v/>
      </c>
      <c r="Y1037" s="51" t="str">
        <f>IF(AND(OR(LEFT(TH!L1037,2)="15",LEFT(TH!M1037,2)="15"),TK!$E$7=TH!F1037),"x","")</f>
        <v/>
      </c>
      <c r="Z1037" s="51" t="str">
        <f>IF(AND(B1037&lt;=NKC!$N$8,B1037&gt;=NKC!$M$8),"x","")</f>
        <v/>
      </c>
      <c r="AA1037" s="803"/>
      <c r="AB1037" s="565"/>
      <c r="AE1037" s="565"/>
    </row>
    <row r="1038" spans="1:31" ht="15.75" customHeight="1">
      <c r="A1038" s="804" t="str">
        <f>IF(B1038&lt;&gt;"",IF(AND(B1038&gt;=_TM1,B1038&lt;=_TM2,OR(TH!L1038="1111",TH!M1038="1111")),TH!D1038,""),"")</f>
        <v/>
      </c>
      <c r="B1038" s="36">
        <f t="shared" si="68"/>
        <v>11</v>
      </c>
      <c r="C1038" s="189">
        <f t="shared" si="69"/>
        <v>42313</v>
      </c>
      <c r="D1038" s="189" t="s">
        <v>1411</v>
      </c>
      <c r="E1038" s="189">
        <v>42313</v>
      </c>
      <c r="F1038" s="190" t="s">
        <v>853</v>
      </c>
      <c r="G1038" s="813" t="s">
        <v>850</v>
      </c>
      <c r="H1038" s="191" t="s">
        <v>448</v>
      </c>
      <c r="I1038" s="243">
        <v>200</v>
      </c>
      <c r="J1038" s="243">
        <v>9916</v>
      </c>
      <c r="K1038" s="573">
        <f t="shared" si="70"/>
        <v>1983200</v>
      </c>
      <c r="L1038" s="574" t="s">
        <v>417</v>
      </c>
      <c r="M1038" s="574" t="s">
        <v>8</v>
      </c>
      <c r="N1038" s="51" t="str">
        <f>IF(AND('331-CT'!$E$7=TH!H1038,OR(L1038="331",M1038="331")),"331",IF(AND(OR(L1038="131",M1038="131"),H1038='131-CT'!$E$7),"131",""))</f>
        <v/>
      </c>
      <c r="O1038" s="51" t="str">
        <f>IF(AND($B1038&gt;='111'!$N$11,$B1038&lt;='111'!$O$11,OR($L1038=$O$7,$M1038=$O$7)),"x","")</f>
        <v/>
      </c>
      <c r="P1038" s="51" t="str">
        <f>IF(AND($L1038=$O$7,$B1038&lt;'111'!$N$11),"x","")</f>
        <v/>
      </c>
      <c r="Q1038" s="51" t="str">
        <f>IF(AND($M1038=$O$7,$B1038&lt;'111'!$N$11),"x","")</f>
        <v/>
      </c>
      <c r="R1038" s="51" t="str">
        <f>IF(ISERROR(FIND('112'!$M$9,G1038,1)),"",IF((AND(FIND('112'!$M$9,G1038,1)&gt;=1,$B1038&gt;='112'!$N$8,$B1038&lt;='112'!$O$8,OR($L1038='112'!$I$6,$M1038='112'!$I$6))),"x",""))</f>
        <v/>
      </c>
      <c r="S1038" s="51" t="str">
        <f>IF(ISERROR(FIND('112'!$M$9,G1038,1)),"",IF((AND(LEFT(G1038,2)=LEFT('112'!$M$9,2),B1038&lt;'112'!$N$8,$L1038='112'!$I$6)),"x",""))</f>
        <v/>
      </c>
      <c r="T1038" s="51" t="str">
        <f>IF(ISERROR(FIND('112'!$M$9,G1038,1)),"",IF((AND(RIGHT(G1038,2)=RIGHT('112'!$M$9,2),B1038&lt;'112'!$N$8,$M1038='112'!$I$6)),"x",""))</f>
        <v/>
      </c>
      <c r="U1038" s="51" t="str">
        <f>IF(AND(L1038="154",'154'!$O$5&lt;=B1038,'154'!$P$5&gt;=B1038),"154",IF(AND(L1038="632",'632'!$L$5&lt;=B1038,'632'!$M$5&gt;=B1038),"632",IF(AND(L1038="642",'642'!$N$5&lt;=B1038,'642'!$O$5&gt;=B1038),"642",IF(AND(L1038="641",'641'!$N$5&lt;=B1038,'641'!$O$5&gt;=B1038),"641",""))))</f>
        <v/>
      </c>
      <c r="V1038" s="51" t="str">
        <f>IF(OR(TH!L1038=TH!$V$7,M1038=TH!$V$7),"x","")</f>
        <v/>
      </c>
      <c r="W1038" s="51" t="str">
        <f>IF(AND(B1038&gt;='IN-NX'!$P$3,B1038&lt;='IN-NX'!$Q$3,'IN-NX'!$D$7=D1038,OR(LEFT(L1038,2)="15",AND(LEFT(M1038,2)&lt;&gt;"15",LEFT(M1038,2)&lt;&gt;"33"))),"x","")</f>
        <v/>
      </c>
      <c r="X1038" s="51" t="str">
        <f>IF(AND(OR(LEFT(TH!L1038,2)="15",LEFT(TH!M1038,2)="15"),'152-CT'!$J$8=TH!F1038),"x","")</f>
        <v/>
      </c>
      <c r="Y1038" s="51" t="str">
        <f>IF(AND(OR(LEFT(TH!L1038,2)="15",LEFT(TH!M1038,2)="15"),TK!$E$7=TH!F1038),"x","")</f>
        <v/>
      </c>
      <c r="Z1038" s="51" t="str">
        <f>IF(AND(B1038&lt;=NKC!$N$8,B1038&gt;=NKC!$M$8),"x","")</f>
        <v/>
      </c>
      <c r="AA1038" s="803"/>
      <c r="AB1038" s="565"/>
      <c r="AE1038" s="565"/>
    </row>
    <row r="1039" spans="1:31" ht="15.75" customHeight="1">
      <c r="A1039" s="804" t="str">
        <f>IF(B1039&lt;&gt;"",IF(AND(B1039&gt;=_TM1,B1039&lt;=_TM2,OR(TH!L1039="1111",TH!M1039="1111")),TH!D1039,""),"")</f>
        <v/>
      </c>
      <c r="B1039" s="36">
        <f t="shared" si="68"/>
        <v>11</v>
      </c>
      <c r="C1039" s="189">
        <f t="shared" si="69"/>
        <v>42313</v>
      </c>
      <c r="D1039" s="189" t="s">
        <v>1411</v>
      </c>
      <c r="E1039" s="189">
        <v>42313</v>
      </c>
      <c r="F1039" s="190" t="s">
        <v>854</v>
      </c>
      <c r="G1039" s="813" t="s">
        <v>850</v>
      </c>
      <c r="H1039" s="191" t="s">
        <v>448</v>
      </c>
      <c r="I1039" s="243">
        <v>200</v>
      </c>
      <c r="J1039" s="243">
        <v>10978</v>
      </c>
      <c r="K1039" s="573">
        <f t="shared" si="70"/>
        <v>2195600</v>
      </c>
      <c r="L1039" s="574" t="s">
        <v>417</v>
      </c>
      <c r="M1039" s="574" t="s">
        <v>8</v>
      </c>
      <c r="N1039" s="51" t="str">
        <f>IF(AND('331-CT'!$E$7=TH!H1039,OR(L1039="331",M1039="331")),"331",IF(AND(OR(L1039="131",M1039="131"),H1039='131-CT'!$E$7),"131",""))</f>
        <v/>
      </c>
      <c r="O1039" s="51" t="str">
        <f>IF(AND($B1039&gt;='111'!$N$11,$B1039&lt;='111'!$O$11,OR($L1039=$O$7,$M1039=$O$7)),"x","")</f>
        <v/>
      </c>
      <c r="P1039" s="51" t="str">
        <f>IF(AND($L1039=$O$7,$B1039&lt;'111'!$N$11),"x","")</f>
        <v/>
      </c>
      <c r="Q1039" s="51" t="str">
        <f>IF(AND($M1039=$O$7,$B1039&lt;'111'!$N$11),"x","")</f>
        <v/>
      </c>
      <c r="R1039" s="51" t="str">
        <f>IF(ISERROR(FIND('112'!$M$9,G1039,1)),"",IF((AND(FIND('112'!$M$9,G1039,1)&gt;=1,$B1039&gt;='112'!$N$8,$B1039&lt;='112'!$O$8,OR($L1039='112'!$I$6,$M1039='112'!$I$6))),"x",""))</f>
        <v/>
      </c>
      <c r="S1039" s="51" t="str">
        <f>IF(ISERROR(FIND('112'!$M$9,G1039,1)),"",IF((AND(LEFT(G1039,2)=LEFT('112'!$M$9,2),B1039&lt;'112'!$N$8,$L1039='112'!$I$6)),"x",""))</f>
        <v/>
      </c>
      <c r="T1039" s="51" t="str">
        <f>IF(ISERROR(FIND('112'!$M$9,G1039,1)),"",IF((AND(RIGHT(G1039,2)=RIGHT('112'!$M$9,2),B1039&lt;'112'!$N$8,$M1039='112'!$I$6)),"x",""))</f>
        <v/>
      </c>
      <c r="U1039" s="51" t="str">
        <f>IF(AND(L1039="154",'154'!$O$5&lt;=B1039,'154'!$P$5&gt;=B1039),"154",IF(AND(L1039="632",'632'!$L$5&lt;=B1039,'632'!$M$5&gt;=B1039),"632",IF(AND(L1039="642",'642'!$N$5&lt;=B1039,'642'!$O$5&gt;=B1039),"642",IF(AND(L1039="641",'641'!$N$5&lt;=B1039,'641'!$O$5&gt;=B1039),"641",""))))</f>
        <v/>
      </c>
      <c r="V1039" s="51" t="str">
        <f>IF(OR(TH!L1039=TH!$V$7,M1039=TH!$V$7),"x","")</f>
        <v/>
      </c>
      <c r="W1039" s="51" t="str">
        <f>IF(AND(B1039&gt;='IN-NX'!$P$3,B1039&lt;='IN-NX'!$Q$3,'IN-NX'!$D$7=D1039,OR(LEFT(L1039,2)="15",AND(LEFT(M1039,2)&lt;&gt;"15",LEFT(M1039,2)&lt;&gt;"33"))),"x","")</f>
        <v/>
      </c>
      <c r="X1039" s="51" t="str">
        <f>IF(AND(OR(LEFT(TH!L1039,2)="15",LEFT(TH!M1039,2)="15"),'152-CT'!$J$8=TH!F1039),"x","")</f>
        <v/>
      </c>
      <c r="Y1039" s="51" t="str">
        <f>IF(AND(OR(LEFT(TH!L1039,2)="15",LEFT(TH!M1039,2)="15"),TK!$E$7=TH!F1039),"x","")</f>
        <v/>
      </c>
      <c r="Z1039" s="51" t="str">
        <f>IF(AND(B1039&lt;=NKC!$N$8,B1039&gt;=NKC!$M$8),"x","")</f>
        <v/>
      </c>
      <c r="AA1039" s="803"/>
      <c r="AB1039" s="565"/>
      <c r="AE1039" s="565"/>
    </row>
    <row r="1040" spans="1:31" ht="15.75" customHeight="1">
      <c r="A1040" s="804" t="str">
        <f>IF(B1040&lt;&gt;"",IF(AND(B1040&gt;=_TM1,B1040&lt;=_TM2,OR(TH!L1040="1111",TH!M1040="1111")),TH!D1040,""),"")</f>
        <v/>
      </c>
      <c r="B1040" s="36">
        <f t="shared" si="68"/>
        <v>11</v>
      </c>
      <c r="C1040" s="189">
        <f t="shared" si="69"/>
        <v>42313</v>
      </c>
      <c r="D1040" s="189" t="s">
        <v>1411</v>
      </c>
      <c r="E1040" s="189">
        <v>42313</v>
      </c>
      <c r="F1040" s="917" t="s">
        <v>855</v>
      </c>
      <c r="G1040" s="813" t="s">
        <v>850</v>
      </c>
      <c r="H1040" s="191" t="s">
        <v>448</v>
      </c>
      <c r="I1040" s="243">
        <v>140</v>
      </c>
      <c r="J1040" s="243">
        <v>15528</v>
      </c>
      <c r="K1040" s="573">
        <f t="shared" si="70"/>
        <v>2173920</v>
      </c>
      <c r="L1040" s="574" t="s">
        <v>417</v>
      </c>
      <c r="M1040" s="574" t="s">
        <v>8</v>
      </c>
      <c r="N1040" s="51" t="str">
        <f>IF(AND('331-CT'!$E$7=TH!H1040,OR(L1040="331",M1040="331")),"331",IF(AND(OR(L1040="131",M1040="131"),H1040='131-CT'!$E$7),"131",""))</f>
        <v/>
      </c>
      <c r="O1040" s="51" t="str">
        <f>IF(AND($B1040&gt;='111'!$N$11,$B1040&lt;='111'!$O$11,OR($L1040=$O$7,$M1040=$O$7)),"x","")</f>
        <v/>
      </c>
      <c r="P1040" s="51" t="str">
        <f>IF(AND($L1040=$O$7,$B1040&lt;'111'!$N$11),"x","")</f>
        <v/>
      </c>
      <c r="Q1040" s="51" t="str">
        <f>IF(AND($M1040=$O$7,$B1040&lt;'111'!$N$11),"x","")</f>
        <v/>
      </c>
      <c r="R1040" s="51" t="str">
        <f>IF(ISERROR(FIND('112'!$M$9,G1040,1)),"",IF((AND(FIND('112'!$M$9,G1040,1)&gt;=1,$B1040&gt;='112'!$N$8,$B1040&lt;='112'!$O$8,OR($L1040='112'!$I$6,$M1040='112'!$I$6))),"x",""))</f>
        <v/>
      </c>
      <c r="S1040" s="51" t="str">
        <f>IF(ISERROR(FIND('112'!$M$9,G1040,1)),"",IF((AND(LEFT(G1040,2)=LEFT('112'!$M$9,2),B1040&lt;'112'!$N$8,$L1040='112'!$I$6)),"x",""))</f>
        <v/>
      </c>
      <c r="T1040" s="51" t="str">
        <f>IF(ISERROR(FIND('112'!$M$9,G1040,1)),"",IF((AND(RIGHT(G1040,2)=RIGHT('112'!$M$9,2),B1040&lt;'112'!$N$8,$M1040='112'!$I$6)),"x",""))</f>
        <v/>
      </c>
      <c r="U1040" s="51" t="str">
        <f>IF(AND(L1040="154",'154'!$O$5&lt;=B1040,'154'!$P$5&gt;=B1040),"154",IF(AND(L1040="632",'632'!$L$5&lt;=B1040,'632'!$M$5&gt;=B1040),"632",IF(AND(L1040="642",'642'!$N$5&lt;=B1040,'642'!$O$5&gt;=B1040),"642",IF(AND(L1040="641",'641'!$N$5&lt;=B1040,'641'!$O$5&gt;=B1040),"641",""))))</f>
        <v/>
      </c>
      <c r="V1040" s="51" t="str">
        <f>IF(OR(TH!L1040=TH!$V$7,M1040=TH!$V$7),"x","")</f>
        <v/>
      </c>
      <c r="W1040" s="51" t="str">
        <f>IF(AND(B1040&gt;='IN-NX'!$P$3,B1040&lt;='IN-NX'!$Q$3,'IN-NX'!$D$7=D1040,OR(LEFT(L1040,2)="15",AND(LEFT(M1040,2)&lt;&gt;"15",LEFT(M1040,2)&lt;&gt;"33"))),"x","")</f>
        <v/>
      </c>
      <c r="X1040" s="51" t="str">
        <f>IF(AND(OR(LEFT(TH!L1040,2)="15",LEFT(TH!M1040,2)="15"),'152-CT'!$J$8=TH!F1040),"x","")</f>
        <v/>
      </c>
      <c r="Y1040" s="51" t="str">
        <f>IF(AND(OR(LEFT(TH!L1040,2)="15",LEFT(TH!M1040,2)="15"),TK!$E$7=TH!F1040),"x","")</f>
        <v/>
      </c>
      <c r="Z1040" s="51" t="str">
        <f>IF(AND(B1040&lt;=NKC!$N$8,B1040&gt;=NKC!$M$8),"x","")</f>
        <v/>
      </c>
      <c r="AA1040" s="803"/>
      <c r="AB1040" s="565"/>
      <c r="AE1040" s="565"/>
    </row>
    <row r="1041" spans="1:31" ht="15.75" customHeight="1">
      <c r="A1041" s="804" t="str">
        <f>IF(B1041&lt;&gt;"",IF(AND(B1041&gt;=_TM1,B1041&lt;=_TM2,OR(TH!L1041="1111",TH!M1041="1111")),TH!D1041,""),"")</f>
        <v/>
      </c>
      <c r="B1041" s="36">
        <f t="shared" si="68"/>
        <v>11</v>
      </c>
      <c r="C1041" s="189">
        <f t="shared" si="69"/>
        <v>42313</v>
      </c>
      <c r="D1041" s="189" t="s">
        <v>1411</v>
      </c>
      <c r="E1041" s="189">
        <v>42313</v>
      </c>
      <c r="F1041" s="190" t="s">
        <v>856</v>
      </c>
      <c r="G1041" s="813" t="s">
        <v>850</v>
      </c>
      <c r="H1041" s="191" t="s">
        <v>448</v>
      </c>
      <c r="I1041" s="243">
        <v>200</v>
      </c>
      <c r="J1041" s="243">
        <v>11316</v>
      </c>
      <c r="K1041" s="573">
        <f t="shared" si="70"/>
        <v>2263200</v>
      </c>
      <c r="L1041" s="574" t="s">
        <v>417</v>
      </c>
      <c r="M1041" s="574" t="s">
        <v>8</v>
      </c>
      <c r="N1041" s="51" t="str">
        <f>IF(AND('331-CT'!$E$7=TH!H1041,OR(L1041="331",M1041="331")),"331",IF(AND(OR(L1041="131",M1041="131"),H1041='131-CT'!$E$7),"131",""))</f>
        <v/>
      </c>
      <c r="O1041" s="51" t="str">
        <f>IF(AND($B1041&gt;='111'!$N$11,$B1041&lt;='111'!$O$11,OR($L1041=$O$7,$M1041=$O$7)),"x","")</f>
        <v/>
      </c>
      <c r="P1041" s="51" t="str">
        <f>IF(AND($L1041=$O$7,$B1041&lt;'111'!$N$11),"x","")</f>
        <v/>
      </c>
      <c r="Q1041" s="51" t="str">
        <f>IF(AND($M1041=$O$7,$B1041&lt;'111'!$N$11),"x","")</f>
        <v/>
      </c>
      <c r="R1041" s="51" t="str">
        <f>IF(ISERROR(FIND('112'!$M$9,G1041,1)),"",IF((AND(FIND('112'!$M$9,G1041,1)&gt;=1,$B1041&gt;='112'!$N$8,$B1041&lt;='112'!$O$8,OR($L1041='112'!$I$6,$M1041='112'!$I$6))),"x",""))</f>
        <v/>
      </c>
      <c r="S1041" s="51" t="str">
        <f>IF(ISERROR(FIND('112'!$M$9,G1041,1)),"",IF((AND(LEFT(G1041,2)=LEFT('112'!$M$9,2),B1041&lt;'112'!$N$8,$L1041='112'!$I$6)),"x",""))</f>
        <v/>
      </c>
      <c r="T1041" s="51" t="str">
        <f>IF(ISERROR(FIND('112'!$M$9,G1041,1)),"",IF((AND(RIGHT(G1041,2)=RIGHT('112'!$M$9,2),B1041&lt;'112'!$N$8,$M1041='112'!$I$6)),"x",""))</f>
        <v/>
      </c>
      <c r="U1041" s="51" t="str">
        <f>IF(AND(L1041="154",'154'!$O$5&lt;=B1041,'154'!$P$5&gt;=B1041),"154",IF(AND(L1041="632",'632'!$L$5&lt;=B1041,'632'!$M$5&gt;=B1041),"632",IF(AND(L1041="642",'642'!$N$5&lt;=B1041,'642'!$O$5&gt;=B1041),"642",IF(AND(L1041="641",'641'!$N$5&lt;=B1041,'641'!$O$5&gt;=B1041),"641",""))))</f>
        <v/>
      </c>
      <c r="V1041" s="51" t="str">
        <f>IF(OR(TH!L1041=TH!$V$7,M1041=TH!$V$7),"x","")</f>
        <v/>
      </c>
      <c r="W1041" s="51" t="str">
        <f>IF(AND(B1041&gt;='IN-NX'!$P$3,B1041&lt;='IN-NX'!$Q$3,'IN-NX'!$D$7=D1041,OR(LEFT(L1041,2)="15",AND(LEFT(M1041,2)&lt;&gt;"15",LEFT(M1041,2)&lt;&gt;"33"))),"x","")</f>
        <v/>
      </c>
      <c r="X1041" s="51" t="str">
        <f>IF(AND(OR(LEFT(TH!L1041,2)="15",LEFT(TH!M1041,2)="15"),'152-CT'!$J$8=TH!F1041),"x","")</f>
        <v/>
      </c>
      <c r="Y1041" s="51" t="str">
        <f>IF(AND(OR(LEFT(TH!L1041,2)="15",LEFT(TH!M1041,2)="15"),TK!$E$7=TH!F1041),"x","")</f>
        <v/>
      </c>
      <c r="Z1041" s="51" t="str">
        <f>IF(AND(B1041&lt;=NKC!$N$8,B1041&gt;=NKC!$M$8),"x","")</f>
        <v/>
      </c>
      <c r="AA1041" s="803"/>
      <c r="AB1041" s="565"/>
      <c r="AE1041" s="565"/>
    </row>
    <row r="1042" spans="1:31" ht="15.75" customHeight="1">
      <c r="A1042" s="804" t="str">
        <f>IF(B1042&lt;&gt;"",IF(AND(B1042&gt;=_TM1,B1042&lt;=_TM2,OR(TH!L1042="1111",TH!M1042="1111")),TH!D1042,""),"")</f>
        <v/>
      </c>
      <c r="B1042" s="36">
        <f t="shared" si="68"/>
        <v>11</v>
      </c>
      <c r="C1042" s="189">
        <f t="shared" si="69"/>
        <v>42313</v>
      </c>
      <c r="D1042" s="189" t="s">
        <v>1411</v>
      </c>
      <c r="E1042" s="189">
        <v>42313</v>
      </c>
      <c r="F1042" s="190" t="s">
        <v>857</v>
      </c>
      <c r="G1042" s="813" t="s">
        <v>850</v>
      </c>
      <c r="H1042" s="191" t="s">
        <v>448</v>
      </c>
      <c r="I1042" s="243">
        <v>2</v>
      </c>
      <c r="J1042" s="243">
        <v>35438</v>
      </c>
      <c r="K1042" s="573">
        <f t="shared" si="70"/>
        <v>70876</v>
      </c>
      <c r="L1042" s="574" t="s">
        <v>417</v>
      </c>
      <c r="M1042" s="574" t="s">
        <v>8</v>
      </c>
      <c r="N1042" s="51" t="str">
        <f>IF(AND('331-CT'!$E$7=TH!H1042,OR(L1042="331",M1042="331")),"331",IF(AND(OR(L1042="131",M1042="131"),H1042='131-CT'!$E$7),"131",""))</f>
        <v/>
      </c>
      <c r="O1042" s="51" t="str">
        <f>IF(AND($B1042&gt;='111'!$N$11,$B1042&lt;='111'!$O$11,OR($L1042=$O$7,$M1042=$O$7)),"x","")</f>
        <v/>
      </c>
      <c r="P1042" s="51" t="str">
        <f>IF(AND($L1042=$O$7,$B1042&lt;'111'!$N$11),"x","")</f>
        <v/>
      </c>
      <c r="Q1042" s="51" t="str">
        <f>IF(AND($M1042=$O$7,$B1042&lt;'111'!$N$11),"x","")</f>
        <v/>
      </c>
      <c r="R1042" s="51" t="str">
        <f>IF(ISERROR(FIND('112'!$M$9,G1042,1)),"",IF((AND(FIND('112'!$M$9,G1042,1)&gt;=1,$B1042&gt;='112'!$N$8,$B1042&lt;='112'!$O$8,OR($L1042='112'!$I$6,$M1042='112'!$I$6))),"x",""))</f>
        <v/>
      </c>
      <c r="S1042" s="51" t="str">
        <f>IF(ISERROR(FIND('112'!$M$9,G1042,1)),"",IF((AND(LEFT(G1042,2)=LEFT('112'!$M$9,2),B1042&lt;'112'!$N$8,$L1042='112'!$I$6)),"x",""))</f>
        <v/>
      </c>
      <c r="T1042" s="51" t="str">
        <f>IF(ISERROR(FIND('112'!$M$9,G1042,1)),"",IF((AND(RIGHT(G1042,2)=RIGHT('112'!$M$9,2),B1042&lt;'112'!$N$8,$M1042='112'!$I$6)),"x",""))</f>
        <v/>
      </c>
      <c r="U1042" s="51" t="str">
        <f>IF(AND(L1042="154",'154'!$O$5&lt;=B1042,'154'!$P$5&gt;=B1042),"154",IF(AND(L1042="632",'632'!$L$5&lt;=B1042,'632'!$M$5&gt;=B1042),"632",IF(AND(L1042="642",'642'!$N$5&lt;=B1042,'642'!$O$5&gt;=B1042),"642",IF(AND(L1042="641",'641'!$N$5&lt;=B1042,'641'!$O$5&gt;=B1042),"641",""))))</f>
        <v/>
      </c>
      <c r="V1042" s="51" t="str">
        <f>IF(OR(TH!L1042=TH!$V$7,M1042=TH!$V$7),"x","")</f>
        <v/>
      </c>
      <c r="W1042" s="51" t="str">
        <f>IF(AND(B1042&gt;='IN-NX'!$P$3,B1042&lt;='IN-NX'!$Q$3,'IN-NX'!$D$7=D1042,OR(LEFT(L1042,2)="15",AND(LEFT(M1042,2)&lt;&gt;"15",LEFT(M1042,2)&lt;&gt;"33"))),"x","")</f>
        <v/>
      </c>
      <c r="X1042" s="51" t="str">
        <f>IF(AND(OR(LEFT(TH!L1042,2)="15",LEFT(TH!M1042,2)="15"),'152-CT'!$J$8=TH!F1042),"x","")</f>
        <v/>
      </c>
      <c r="Y1042" s="51" t="str">
        <f>IF(AND(OR(LEFT(TH!L1042,2)="15",LEFT(TH!M1042,2)="15"),TK!$E$7=TH!F1042),"x","")</f>
        <v/>
      </c>
      <c r="Z1042" s="51" t="str">
        <f>IF(AND(B1042&lt;=NKC!$N$8,B1042&gt;=NKC!$M$8),"x","")</f>
        <v/>
      </c>
      <c r="AA1042" s="803"/>
      <c r="AB1042" s="565"/>
      <c r="AE1042" s="565"/>
    </row>
    <row r="1043" spans="1:31" ht="15.75" customHeight="1">
      <c r="A1043" s="804" t="str">
        <f>IF(B1043&lt;&gt;"",IF(AND(B1043&gt;=_TM1,B1043&lt;=_TM2,OR(TH!L1043="1111",TH!M1043="1111")),TH!D1043,""),"")</f>
        <v/>
      </c>
      <c r="B1043" s="36">
        <f t="shared" si="68"/>
        <v>11</v>
      </c>
      <c r="C1043" s="189">
        <f t="shared" si="69"/>
        <v>42313</v>
      </c>
      <c r="D1043" s="189" t="s">
        <v>1411</v>
      </c>
      <c r="E1043" s="189">
        <v>42313</v>
      </c>
      <c r="F1043" s="190" t="s">
        <v>847</v>
      </c>
      <c r="G1043" s="813" t="s">
        <v>850</v>
      </c>
      <c r="H1043" s="191" t="s">
        <v>448</v>
      </c>
      <c r="I1043" s="243"/>
      <c r="J1043" s="243"/>
      <c r="K1043" s="573">
        <v>1330368</v>
      </c>
      <c r="L1043" s="574" t="s">
        <v>9</v>
      </c>
      <c r="M1043" s="574" t="s">
        <v>8</v>
      </c>
      <c r="N1043" s="51" t="str">
        <f>IF(AND('331-CT'!$E$7=TH!H1043,OR(L1043="331",M1043="331")),"331",IF(AND(OR(L1043="131",M1043="131"),H1043='131-CT'!$E$7),"131",""))</f>
        <v/>
      </c>
      <c r="O1043" s="51" t="str">
        <f>IF(AND($B1043&gt;='111'!$N$11,$B1043&lt;='111'!$O$11,OR($L1043=$O$7,$M1043=$O$7)),"x","")</f>
        <v/>
      </c>
      <c r="P1043" s="51" t="str">
        <f>IF(AND($L1043=$O$7,$B1043&lt;'111'!$N$11),"x","")</f>
        <v/>
      </c>
      <c r="Q1043" s="51" t="str">
        <f>IF(AND($M1043=$O$7,$B1043&lt;'111'!$N$11),"x","")</f>
        <v/>
      </c>
      <c r="R1043" s="51" t="str">
        <f>IF(ISERROR(FIND('112'!$M$9,G1043,1)),"",IF((AND(FIND('112'!$M$9,G1043,1)&gt;=1,$B1043&gt;='112'!$N$8,$B1043&lt;='112'!$O$8,OR($L1043='112'!$I$6,$M1043='112'!$I$6))),"x",""))</f>
        <v/>
      </c>
      <c r="S1043" s="51" t="str">
        <f>IF(ISERROR(FIND('112'!$M$9,G1043,1)),"",IF((AND(LEFT(G1043,2)=LEFT('112'!$M$9,2),B1043&lt;'112'!$N$8,$L1043='112'!$I$6)),"x",""))</f>
        <v/>
      </c>
      <c r="T1043" s="51" t="str">
        <f>IF(ISERROR(FIND('112'!$M$9,G1043,1)),"",IF((AND(RIGHT(G1043,2)=RIGHT('112'!$M$9,2),B1043&lt;'112'!$N$8,$M1043='112'!$I$6)),"x",""))</f>
        <v/>
      </c>
      <c r="U1043" s="51" t="str">
        <f>IF(AND(L1043="154",'154'!$O$5&lt;=B1043,'154'!$P$5&gt;=B1043),"154",IF(AND(L1043="632",'632'!$L$5&lt;=B1043,'632'!$M$5&gt;=B1043),"632",IF(AND(L1043="642",'642'!$N$5&lt;=B1043,'642'!$O$5&gt;=B1043),"642",IF(AND(L1043="641",'641'!$N$5&lt;=B1043,'641'!$O$5&gt;=B1043),"641",""))))</f>
        <v/>
      </c>
      <c r="V1043" s="51" t="str">
        <f>IF(OR(TH!L1043=TH!$V$7,M1043=TH!$V$7),"x","")</f>
        <v/>
      </c>
      <c r="W1043" s="51" t="str">
        <f>IF(AND(B1043&gt;='IN-NX'!$P$3,B1043&lt;='IN-NX'!$Q$3,'IN-NX'!$D$7=D1043,OR(LEFT(L1043,2)="15",AND(LEFT(M1043,2)&lt;&gt;"15",LEFT(M1043,2)&lt;&gt;"33"))),"x","")</f>
        <v/>
      </c>
      <c r="X1043" s="51" t="str">
        <f>IF(AND(OR(LEFT(TH!L1043,2)="15",LEFT(TH!M1043,2)="15"),'152-CT'!$J$8=TH!F1043),"x","")</f>
        <v/>
      </c>
      <c r="Y1043" s="51" t="str">
        <f>IF(AND(OR(LEFT(TH!L1043,2)="15",LEFT(TH!M1043,2)="15"),TK!$E$7=TH!F1043),"x","")</f>
        <v/>
      </c>
      <c r="Z1043" s="51" t="str">
        <f>IF(AND(B1043&lt;=NKC!$N$8,B1043&gt;=NKC!$M$8),"x","")</f>
        <v/>
      </c>
      <c r="AA1043" s="803">
        <v>4</v>
      </c>
      <c r="AB1043" s="565"/>
      <c r="AE1043" s="565"/>
    </row>
    <row r="1044" spans="1:31" ht="15.75" customHeight="1">
      <c r="A1044" s="804" t="str">
        <f>IF(B1044&lt;&gt;"",IF(AND(B1044&gt;=_TM1,B1044&lt;=_TM2,OR(TH!L1044="1111",TH!M1044="1111")),TH!D1044,""),"")</f>
        <v/>
      </c>
      <c r="B1044" s="36">
        <f t="shared" si="68"/>
        <v>11</v>
      </c>
      <c r="C1044" s="189">
        <f t="shared" si="69"/>
        <v>42313</v>
      </c>
      <c r="D1044" s="189" t="s">
        <v>1306</v>
      </c>
      <c r="E1044" s="189">
        <v>42313</v>
      </c>
      <c r="F1044" s="190" t="s">
        <v>1083</v>
      </c>
      <c r="G1044" s="811" t="s">
        <v>1084</v>
      </c>
      <c r="H1044" s="191" t="s">
        <v>1085</v>
      </c>
      <c r="I1044" s="243">
        <v>68</v>
      </c>
      <c r="J1044" s="243">
        <v>11000</v>
      </c>
      <c r="K1044" s="573">
        <f>ROUND(I1044*J1044,0)</f>
        <v>748000</v>
      </c>
      <c r="L1044" s="574" t="s">
        <v>250</v>
      </c>
      <c r="M1044" s="574" t="s">
        <v>164</v>
      </c>
      <c r="N1044" s="51" t="str">
        <f>IF(AND('331-CT'!$E$7=TH!H1044,OR(L1044="331",M1044="331")),"331",IF(AND(OR(L1044="131",M1044="131"),H1044='131-CT'!$E$7),"131",""))</f>
        <v/>
      </c>
      <c r="O1044" s="51" t="str">
        <f>IF(AND($B1044&gt;='111'!$N$11,$B1044&lt;='111'!$O$11,OR($L1044=$O$7,$M1044=$O$7)),"x","")</f>
        <v/>
      </c>
      <c r="P1044" s="51" t="str">
        <f>IF(AND($L1044=$O$7,$B1044&lt;'111'!$N$11),"x","")</f>
        <v/>
      </c>
      <c r="Q1044" s="51" t="str">
        <f>IF(AND($M1044=$O$7,$B1044&lt;'111'!$N$11),"x","")</f>
        <v/>
      </c>
      <c r="R1044" s="51" t="str">
        <f>IF(ISERROR(FIND('112'!$M$9,G1044,1)),"",IF((AND(FIND('112'!$M$9,G1044,1)&gt;=1,$B1044&gt;='112'!$N$8,$B1044&lt;='112'!$O$8,OR($L1044='112'!$I$6,$M1044='112'!$I$6))),"x",""))</f>
        <v/>
      </c>
      <c r="S1044" s="51" t="str">
        <f>IF(ISERROR(FIND('112'!$M$9,G1044,1)),"",IF((AND(LEFT(G1044,2)=LEFT('112'!$M$9,2),B1044&lt;'112'!$N$8,$L1044='112'!$I$6)),"x",""))</f>
        <v/>
      </c>
      <c r="T1044" s="51" t="str">
        <f>IF(ISERROR(FIND('112'!$M$9,G1044,1)),"",IF((AND(RIGHT(G1044,2)=RIGHT('112'!$M$9,2),B1044&lt;'112'!$N$8,$M1044='112'!$I$6)),"x",""))</f>
        <v/>
      </c>
      <c r="U1044" s="51" t="str">
        <f>IF(AND(L1044="154",'154'!$O$5&lt;=B1044,'154'!$P$5&gt;=B1044),"154",IF(AND(L1044="632",'632'!$L$5&lt;=B1044,'632'!$M$5&gt;=B1044),"632",IF(AND(L1044="642",'642'!$N$5&lt;=B1044,'642'!$O$5&gt;=B1044),"642",IF(AND(L1044="641",'641'!$N$5&lt;=B1044,'641'!$O$5&gt;=B1044),"641",""))))</f>
        <v/>
      </c>
      <c r="V1044" s="51" t="str">
        <f>IF(OR(TH!L1044=TH!$V$7,M1044=TH!$V$7),"x","")</f>
        <v/>
      </c>
      <c r="W1044" s="51" t="str">
        <f>IF(AND(B1044&gt;='IN-NX'!$P$3,B1044&lt;='IN-NX'!$Q$3,'IN-NX'!$D$7=D1044,OR(LEFT(L1044,2)="15",AND(LEFT(M1044,2)&lt;&gt;"15",LEFT(M1044,2)&lt;&gt;"33"))),"x","")</f>
        <v/>
      </c>
      <c r="X1044" s="51" t="str">
        <f>IF(AND(OR(LEFT(TH!L1044,2)="15",LEFT(TH!M1044,2)="15"),'152-CT'!$J$8=TH!F1044),"x","")</f>
        <v/>
      </c>
      <c r="Y1044" s="51" t="str">
        <f>IF(AND(OR(LEFT(TH!L1044,2)="15",LEFT(TH!M1044,2)="15"),TK!$E$7=TH!F1044),"x","")</f>
        <v/>
      </c>
      <c r="Z1044" s="51" t="str">
        <f>IF(AND(B1044&lt;=NKC!$N$8,B1044&gt;=NKC!$M$8),"x","")</f>
        <v/>
      </c>
      <c r="AA1044" s="803"/>
      <c r="AB1044" s="565"/>
    </row>
    <row r="1045" spans="1:31" ht="15.75" customHeight="1">
      <c r="A1045" s="804" t="str">
        <f>IF(B1045&lt;&gt;"",IF(AND(B1045&gt;=_TM1,B1045&lt;=_TM2,OR(TH!L1045="1111",TH!M1045="1111")),TH!D1045,""),"")</f>
        <v/>
      </c>
      <c r="B1045" s="36">
        <f t="shared" si="68"/>
        <v>11</v>
      </c>
      <c r="C1045" s="189">
        <f t="shared" si="69"/>
        <v>42313</v>
      </c>
      <c r="D1045" s="189" t="s">
        <v>1306</v>
      </c>
      <c r="E1045" s="189">
        <v>42313</v>
      </c>
      <c r="F1045" s="190" t="s">
        <v>962</v>
      </c>
      <c r="G1045" s="811" t="s">
        <v>1084</v>
      </c>
      <c r="H1045" s="191" t="s">
        <v>1085</v>
      </c>
      <c r="I1045" s="246"/>
      <c r="J1045" s="246"/>
      <c r="K1045" s="573">
        <v>74800</v>
      </c>
      <c r="L1045" s="574" t="s">
        <v>250</v>
      </c>
      <c r="M1045" s="574" t="s">
        <v>352</v>
      </c>
      <c r="N1045" s="51" t="str">
        <f>IF(AND('331-CT'!$E$7=TH!H1045,OR(L1045="331",M1045="331")),"331",IF(AND(OR(L1045="131",M1045="131"),H1045='131-CT'!$E$7),"131",""))</f>
        <v/>
      </c>
      <c r="O1045" s="51" t="str">
        <f>IF(AND($B1045&gt;='111'!$N$11,$B1045&lt;='111'!$O$11,OR($L1045=$O$7,$M1045=$O$7)),"x","")</f>
        <v/>
      </c>
      <c r="P1045" s="51" t="str">
        <f>IF(AND($L1045=$O$7,$B1045&lt;'111'!$N$11),"x","")</f>
        <v/>
      </c>
      <c r="Q1045" s="51" t="str">
        <f>IF(AND($M1045=$O$7,$B1045&lt;'111'!$N$11),"x","")</f>
        <v/>
      </c>
      <c r="R1045" s="51" t="str">
        <f>IF(ISERROR(FIND('112'!$M$9,G1045,1)),"",IF((AND(FIND('112'!$M$9,G1045,1)&gt;=1,$B1045&gt;='112'!$N$8,$B1045&lt;='112'!$O$8,OR($L1045='112'!$I$6,$M1045='112'!$I$6))),"x",""))</f>
        <v/>
      </c>
      <c r="S1045" s="51" t="str">
        <f>IF(ISERROR(FIND('112'!$M$9,G1045,1)),"",IF((AND(LEFT(G1045,2)=LEFT('112'!$M$9,2),B1045&lt;'112'!$N$8,$L1045='112'!$I$6)),"x",""))</f>
        <v/>
      </c>
      <c r="T1045" s="51" t="str">
        <f>IF(ISERROR(FIND('112'!$M$9,G1045,1)),"",IF((AND(RIGHT(G1045,2)=RIGHT('112'!$M$9,2),B1045&lt;'112'!$N$8,$M1045='112'!$I$6)),"x",""))</f>
        <v/>
      </c>
      <c r="U1045" s="51" t="str">
        <f>IF(AND(L1045="154",'154'!$O$5&lt;=B1045,'154'!$P$5&gt;=B1045),"154",IF(AND(L1045="632",'632'!$L$5&lt;=B1045,'632'!$M$5&gt;=B1045),"632",IF(AND(L1045="642",'642'!$N$5&lt;=B1045,'642'!$O$5&gt;=B1045),"642",IF(AND(L1045="641",'641'!$N$5&lt;=B1045,'641'!$O$5&gt;=B1045),"641",""))))</f>
        <v/>
      </c>
      <c r="V1045" s="51" t="str">
        <f>IF(OR(TH!L1045=TH!$V$7,M1045=TH!$V$7),"x","")</f>
        <v/>
      </c>
      <c r="W1045" s="51" t="str">
        <f>IF(AND(B1045&gt;='IN-NX'!$P$3,B1045&lt;='IN-NX'!$Q$3,'IN-NX'!$D$7=D1045,OR(LEFT(L1045,2)="15",AND(LEFT(M1045,2)&lt;&gt;"15",LEFT(M1045,2)&lt;&gt;"33"))),"x","")</f>
        <v/>
      </c>
      <c r="X1045" s="51" t="str">
        <f>IF(AND(OR(LEFT(TH!L1045,2)="15",LEFT(TH!M1045,2)="15"),'152-CT'!$J$8=TH!F1045),"x","")</f>
        <v/>
      </c>
      <c r="Y1045" s="51" t="str">
        <f>IF(AND(OR(LEFT(TH!L1045,2)="15",LEFT(TH!M1045,2)="15"),TK!$E$7=TH!F1045),"x","")</f>
        <v/>
      </c>
      <c r="Z1045" s="51" t="str">
        <f>IF(AND(B1045&lt;=NKC!$N$8,B1045&gt;=NKC!$M$8),"x","")</f>
        <v/>
      </c>
      <c r="AA1045" s="803"/>
      <c r="AB1045" s="565"/>
    </row>
    <row r="1046" spans="1:31" ht="15.75" customHeight="1">
      <c r="A1046" s="804" t="str">
        <f>IF(B1046&lt;&gt;"",IF(AND(B1046&gt;=_TM1,B1046&lt;=_TM2,OR(TH!L1046="1111",TH!M1046="1111")),TH!D1046,""),"")</f>
        <v/>
      </c>
      <c r="B1046" s="36">
        <f t="shared" si="68"/>
        <v>11</v>
      </c>
      <c r="C1046" s="189">
        <f t="shared" si="69"/>
        <v>42313</v>
      </c>
      <c r="D1046" s="189" t="s">
        <v>1375</v>
      </c>
      <c r="E1046" s="189">
        <v>42313</v>
      </c>
      <c r="F1046" s="190" t="s">
        <v>423</v>
      </c>
      <c r="G1046" s="811" t="s">
        <v>1084</v>
      </c>
      <c r="H1046" s="191" t="s">
        <v>1085</v>
      </c>
      <c r="I1046" s="246"/>
      <c r="J1046" s="246"/>
      <c r="K1046" s="573">
        <v>822800</v>
      </c>
      <c r="L1046" s="574" t="s">
        <v>47</v>
      </c>
      <c r="M1046" s="574" t="s">
        <v>250</v>
      </c>
      <c r="N1046" s="51" t="str">
        <f>IF(AND('331-CT'!$E$7=TH!H1046,OR(L1046="331",M1046="331")),"331",IF(AND(OR(L1046="131",M1046="131"),H1046='131-CT'!$E$7),"131",""))</f>
        <v/>
      </c>
      <c r="O1046" s="51" t="str">
        <f>IF(AND($B1046&gt;='111'!$N$11,$B1046&lt;='111'!$O$11,OR($L1046=$O$7,$M1046=$O$7)),"x","")</f>
        <v>x</v>
      </c>
      <c r="P1046" s="51" t="str">
        <f>IF(AND($L1046=$O$7,$B1046&lt;'111'!$N$11),"x","")</f>
        <v/>
      </c>
      <c r="Q1046" s="51" t="str">
        <f>IF(AND($M1046=$O$7,$B1046&lt;'111'!$N$11),"x","")</f>
        <v/>
      </c>
      <c r="R1046" s="51" t="str">
        <f>IF(ISERROR(FIND('112'!$M$9,G1046,1)),"",IF((AND(FIND('112'!$M$9,G1046,1)&gt;=1,$B1046&gt;='112'!$N$8,$B1046&lt;='112'!$O$8,OR($L1046='112'!$I$6,$M1046='112'!$I$6))),"x",""))</f>
        <v/>
      </c>
      <c r="S1046" s="51" t="str">
        <f>IF(ISERROR(FIND('112'!$M$9,G1046,1)),"",IF((AND(LEFT(G1046,2)=LEFT('112'!$M$9,2),B1046&lt;'112'!$N$8,$L1046='112'!$I$6)),"x",""))</f>
        <v/>
      </c>
      <c r="T1046" s="51" t="str">
        <f>IF(ISERROR(FIND('112'!$M$9,G1046,1)),"",IF((AND(RIGHT(G1046,2)=RIGHT('112'!$M$9,2),B1046&lt;'112'!$N$8,$M1046='112'!$I$6)),"x",""))</f>
        <v/>
      </c>
      <c r="U1046" s="51" t="str">
        <f>IF(AND(L1046="154",'154'!$O$5&lt;=B1046,'154'!$P$5&gt;=B1046),"154",IF(AND(L1046="632",'632'!$L$5&lt;=B1046,'632'!$M$5&gt;=B1046),"632",IF(AND(L1046="642",'642'!$N$5&lt;=B1046,'642'!$O$5&gt;=B1046),"642",IF(AND(L1046="641",'641'!$N$5&lt;=B1046,'641'!$O$5&gt;=B1046),"641",""))))</f>
        <v/>
      </c>
      <c r="V1046" s="51" t="str">
        <f>IF(OR(TH!L1046=TH!$V$7,M1046=TH!$V$7),"x","")</f>
        <v/>
      </c>
      <c r="W1046" s="51" t="str">
        <f>IF(AND(B1046&gt;='IN-NX'!$P$3,B1046&lt;='IN-NX'!$Q$3,'IN-NX'!$D$7=D1046,OR(LEFT(L1046,2)="15",AND(LEFT(M1046,2)&lt;&gt;"15",LEFT(M1046,2)&lt;&gt;"33"))),"x","")</f>
        <v/>
      </c>
      <c r="X1046" s="51" t="str">
        <f>IF(AND(OR(LEFT(TH!L1046,2)="15",LEFT(TH!M1046,2)="15"),'152-CT'!$J$8=TH!F1046),"x","")</f>
        <v/>
      </c>
      <c r="Y1046" s="51" t="str">
        <f>IF(AND(OR(LEFT(TH!L1046,2)="15",LEFT(TH!M1046,2)="15"),TK!$E$7=TH!F1046),"x","")</f>
        <v/>
      </c>
      <c r="Z1046" s="51" t="str">
        <f>IF(AND(B1046&lt;=NKC!$N$8,B1046&gt;=NKC!$M$8),"x","")</f>
        <v/>
      </c>
      <c r="AA1046" s="803"/>
      <c r="AB1046" s="565"/>
    </row>
    <row r="1047" spans="1:31" ht="15.75" customHeight="1">
      <c r="A1047" s="804" t="str">
        <f>IF(B1047&lt;&gt;"",IF(AND(B1047&gt;=_TM1,B1047&lt;=_TM2,OR(TH!L1047="1111",TH!M1047="1111")),TH!D1047,""),"")</f>
        <v/>
      </c>
      <c r="B1047" s="36">
        <f t="shared" si="68"/>
        <v>11</v>
      </c>
      <c r="C1047" s="189">
        <f t="shared" si="69"/>
        <v>42314</v>
      </c>
      <c r="D1047" s="189" t="s">
        <v>1307</v>
      </c>
      <c r="E1047" s="189">
        <v>42314</v>
      </c>
      <c r="F1047" s="190" t="s">
        <v>1246</v>
      </c>
      <c r="G1047" s="811" t="s">
        <v>1086</v>
      </c>
      <c r="H1047" s="191" t="s">
        <v>449</v>
      </c>
      <c r="I1047" s="243">
        <v>35</v>
      </c>
      <c r="J1047" s="243">
        <v>35654</v>
      </c>
      <c r="K1047" s="573">
        <f t="shared" ref="K1047:K1054" si="71">ROUND(I1047*J1047,0)</f>
        <v>1247890</v>
      </c>
      <c r="L1047" s="574" t="s">
        <v>250</v>
      </c>
      <c r="M1047" s="574" t="s">
        <v>164</v>
      </c>
      <c r="N1047" s="51" t="str">
        <f>IF(AND('331-CT'!$E$7=TH!H1047,OR(L1047="331",M1047="331")),"331",IF(AND(OR(L1047="131",M1047="131"),H1047='131-CT'!$E$7),"131",""))</f>
        <v/>
      </c>
      <c r="O1047" s="51" t="str">
        <f>IF(AND($B1047&gt;='111'!$N$11,$B1047&lt;='111'!$O$11,OR($L1047=$O$7,$M1047=$O$7)),"x","")</f>
        <v/>
      </c>
      <c r="P1047" s="51" t="str">
        <f>IF(AND($L1047=$O$7,$B1047&lt;'111'!$N$11),"x","")</f>
        <v/>
      </c>
      <c r="Q1047" s="51" t="str">
        <f>IF(AND($M1047=$O$7,$B1047&lt;'111'!$N$11),"x","")</f>
        <v/>
      </c>
      <c r="R1047" s="51" t="str">
        <f>IF(ISERROR(FIND('112'!$M$9,G1047,1)),"",IF((AND(FIND('112'!$M$9,G1047,1)&gt;=1,$B1047&gt;='112'!$N$8,$B1047&lt;='112'!$O$8,OR($L1047='112'!$I$6,$M1047='112'!$I$6))),"x",""))</f>
        <v/>
      </c>
      <c r="S1047" s="51" t="str">
        <f>IF(ISERROR(FIND('112'!$M$9,G1047,1)),"",IF((AND(LEFT(G1047,2)=LEFT('112'!$M$9,2),B1047&lt;'112'!$N$8,$L1047='112'!$I$6)),"x",""))</f>
        <v/>
      </c>
      <c r="T1047" s="51" t="str">
        <f>IF(ISERROR(FIND('112'!$M$9,G1047,1)),"",IF((AND(RIGHT(G1047,2)=RIGHT('112'!$M$9,2),B1047&lt;'112'!$N$8,$M1047='112'!$I$6)),"x",""))</f>
        <v/>
      </c>
      <c r="U1047" s="51" t="str">
        <f>IF(AND(L1047="154",'154'!$O$5&lt;=B1047,'154'!$P$5&gt;=B1047),"154",IF(AND(L1047="632",'632'!$L$5&lt;=B1047,'632'!$M$5&gt;=B1047),"632",IF(AND(L1047="642",'642'!$N$5&lt;=B1047,'642'!$O$5&gt;=B1047),"642",IF(AND(L1047="641",'641'!$N$5&lt;=B1047,'641'!$O$5&gt;=B1047),"641",""))))</f>
        <v/>
      </c>
      <c r="V1047" s="51" t="str">
        <f>IF(OR(TH!L1047=TH!$V$7,M1047=TH!$V$7),"x","")</f>
        <v/>
      </c>
      <c r="W1047" s="51" t="str">
        <f>IF(AND(B1047&gt;='IN-NX'!$P$3,B1047&lt;='IN-NX'!$Q$3,'IN-NX'!$D$7=D1047,OR(LEFT(L1047,2)="15",AND(LEFT(M1047,2)&lt;&gt;"15",LEFT(M1047,2)&lt;&gt;"33"))),"x","")</f>
        <v/>
      </c>
      <c r="X1047" s="51" t="str">
        <f>IF(AND(OR(LEFT(TH!L1047,2)="15",LEFT(TH!M1047,2)="15"),'152-CT'!$J$8=TH!F1047),"x","")</f>
        <v/>
      </c>
      <c r="Y1047" s="51" t="str">
        <f>IF(AND(OR(LEFT(TH!L1047,2)="15",LEFT(TH!M1047,2)="15"),TK!$E$7=TH!F1047),"x","")</f>
        <v/>
      </c>
      <c r="Z1047" s="51" t="str">
        <f>IF(AND(B1047&lt;=NKC!$N$8,B1047&gt;=NKC!$M$8),"x","")</f>
        <v/>
      </c>
      <c r="AA1047" s="803"/>
      <c r="AB1047" s="565"/>
    </row>
    <row r="1048" spans="1:31" ht="15.75" customHeight="1">
      <c r="A1048" s="804" t="str">
        <f>IF(B1048&lt;&gt;"",IF(AND(B1048&gt;=_TM1,B1048&lt;=_TM2,OR(TH!L1048="1111",TH!M1048="1111")),TH!D1048,""),"")</f>
        <v/>
      </c>
      <c r="B1048" s="36">
        <f t="shared" si="68"/>
        <v>11</v>
      </c>
      <c r="C1048" s="189">
        <f t="shared" si="69"/>
        <v>42314</v>
      </c>
      <c r="D1048" s="189" t="s">
        <v>1307</v>
      </c>
      <c r="E1048" s="189">
        <v>42314</v>
      </c>
      <c r="F1048" s="190" t="s">
        <v>1247</v>
      </c>
      <c r="G1048" s="811" t="s">
        <v>1086</v>
      </c>
      <c r="H1048" s="191" t="s">
        <v>449</v>
      </c>
      <c r="I1048" s="243">
        <v>35</v>
      </c>
      <c r="J1048" s="243">
        <v>34406</v>
      </c>
      <c r="K1048" s="573">
        <f t="shared" si="71"/>
        <v>1204210</v>
      </c>
      <c r="L1048" s="574" t="s">
        <v>250</v>
      </c>
      <c r="M1048" s="574" t="s">
        <v>164</v>
      </c>
      <c r="N1048" s="51" t="str">
        <f>IF(AND('331-CT'!$E$7=TH!H1048,OR(L1048="331",M1048="331")),"331",IF(AND(OR(L1048="131",M1048="131"),H1048='131-CT'!$E$7),"131",""))</f>
        <v/>
      </c>
      <c r="O1048" s="51" t="str">
        <f>IF(AND($B1048&gt;='111'!$N$11,$B1048&lt;='111'!$O$11,OR($L1048=$O$7,$M1048=$O$7)),"x","")</f>
        <v/>
      </c>
      <c r="P1048" s="51" t="str">
        <f>IF(AND($L1048=$O$7,$B1048&lt;'111'!$N$11),"x","")</f>
        <v/>
      </c>
      <c r="Q1048" s="51" t="str">
        <f>IF(AND($M1048=$O$7,$B1048&lt;'111'!$N$11),"x","")</f>
        <v/>
      </c>
      <c r="R1048" s="51" t="str">
        <f>IF(ISERROR(FIND('112'!$M$9,G1048,1)),"",IF((AND(FIND('112'!$M$9,G1048,1)&gt;=1,$B1048&gt;='112'!$N$8,$B1048&lt;='112'!$O$8,OR($L1048='112'!$I$6,$M1048='112'!$I$6))),"x",""))</f>
        <v/>
      </c>
      <c r="S1048" s="51" t="str">
        <f>IF(ISERROR(FIND('112'!$M$9,G1048,1)),"",IF((AND(LEFT(G1048,2)=LEFT('112'!$M$9,2),B1048&lt;'112'!$N$8,$L1048='112'!$I$6)),"x",""))</f>
        <v/>
      </c>
      <c r="T1048" s="51" t="str">
        <f>IF(ISERROR(FIND('112'!$M$9,G1048,1)),"",IF((AND(RIGHT(G1048,2)=RIGHT('112'!$M$9,2),B1048&lt;'112'!$N$8,$M1048='112'!$I$6)),"x",""))</f>
        <v/>
      </c>
      <c r="U1048" s="51" t="str">
        <f>IF(AND(L1048="154",'154'!$O$5&lt;=B1048,'154'!$P$5&gt;=B1048),"154",IF(AND(L1048="632",'632'!$L$5&lt;=B1048,'632'!$M$5&gt;=B1048),"632",IF(AND(L1048="642",'642'!$N$5&lt;=B1048,'642'!$O$5&gt;=B1048),"642",IF(AND(L1048="641",'641'!$N$5&lt;=B1048,'641'!$O$5&gt;=B1048),"641",""))))</f>
        <v/>
      </c>
      <c r="V1048" s="51" t="str">
        <f>IF(OR(TH!L1048=TH!$V$7,M1048=TH!$V$7),"x","")</f>
        <v/>
      </c>
      <c r="W1048" s="51" t="str">
        <f>IF(AND(B1048&gt;='IN-NX'!$P$3,B1048&lt;='IN-NX'!$Q$3,'IN-NX'!$D$7=D1048,OR(LEFT(L1048,2)="15",AND(LEFT(M1048,2)&lt;&gt;"15",LEFT(M1048,2)&lt;&gt;"33"))),"x","")</f>
        <v/>
      </c>
      <c r="X1048" s="51" t="str">
        <f>IF(AND(OR(LEFT(TH!L1048,2)="15",LEFT(TH!M1048,2)="15"),'152-CT'!$J$8=TH!F1048),"x","")</f>
        <v/>
      </c>
      <c r="Y1048" s="51" t="str">
        <f>IF(AND(OR(LEFT(TH!L1048,2)="15",LEFT(TH!M1048,2)="15"),TK!$E$7=TH!F1048),"x","")</f>
        <v/>
      </c>
      <c r="Z1048" s="51" t="str">
        <f>IF(AND(B1048&lt;=NKC!$N$8,B1048&gt;=NKC!$M$8),"x","")</f>
        <v/>
      </c>
      <c r="AA1048" s="803"/>
      <c r="AB1048" s="565"/>
    </row>
    <row r="1049" spans="1:31" ht="15.75" customHeight="1">
      <c r="A1049" s="804" t="str">
        <f>IF(B1049&lt;&gt;"",IF(AND(B1049&gt;=_TM1,B1049&lt;=_TM2,OR(TH!L1049="1111",TH!M1049="1111")),TH!D1049,""),"")</f>
        <v/>
      </c>
      <c r="B1049" s="36">
        <f t="shared" si="68"/>
        <v>11</v>
      </c>
      <c r="C1049" s="189">
        <f t="shared" si="69"/>
        <v>42314</v>
      </c>
      <c r="D1049" s="189" t="s">
        <v>1307</v>
      </c>
      <c r="E1049" s="189">
        <v>42314</v>
      </c>
      <c r="F1049" s="190" t="s">
        <v>1248</v>
      </c>
      <c r="G1049" s="811" t="s">
        <v>1086</v>
      </c>
      <c r="H1049" s="191" t="s">
        <v>449</v>
      </c>
      <c r="I1049" s="243">
        <v>35</v>
      </c>
      <c r="J1049" s="243">
        <v>38960</v>
      </c>
      <c r="K1049" s="573">
        <f t="shared" si="71"/>
        <v>1363600</v>
      </c>
      <c r="L1049" s="574" t="s">
        <v>250</v>
      </c>
      <c r="M1049" s="574" t="s">
        <v>164</v>
      </c>
      <c r="N1049" s="51" t="str">
        <f>IF(AND('331-CT'!$E$7=TH!H1049,OR(L1049="331",M1049="331")),"331",IF(AND(OR(L1049="131",M1049="131"),H1049='131-CT'!$E$7),"131",""))</f>
        <v/>
      </c>
      <c r="O1049" s="51" t="str">
        <f>IF(AND($B1049&gt;='111'!$N$11,$B1049&lt;='111'!$O$11,OR($L1049=$O$7,$M1049=$O$7)),"x","")</f>
        <v/>
      </c>
      <c r="P1049" s="51" t="str">
        <f>IF(AND($L1049=$O$7,$B1049&lt;'111'!$N$11),"x","")</f>
        <v/>
      </c>
      <c r="Q1049" s="51" t="str">
        <f>IF(AND($M1049=$O$7,$B1049&lt;'111'!$N$11),"x","")</f>
        <v/>
      </c>
      <c r="R1049" s="51" t="str">
        <f>IF(ISERROR(FIND('112'!$M$9,G1049,1)),"",IF((AND(FIND('112'!$M$9,G1049,1)&gt;=1,$B1049&gt;='112'!$N$8,$B1049&lt;='112'!$O$8,OR($L1049='112'!$I$6,$M1049='112'!$I$6))),"x",""))</f>
        <v/>
      </c>
      <c r="S1049" s="51" t="str">
        <f>IF(ISERROR(FIND('112'!$M$9,G1049,1)),"",IF((AND(LEFT(G1049,2)=LEFT('112'!$M$9,2),B1049&lt;'112'!$N$8,$L1049='112'!$I$6)),"x",""))</f>
        <v/>
      </c>
      <c r="T1049" s="51" t="str">
        <f>IF(ISERROR(FIND('112'!$M$9,G1049,1)),"",IF((AND(RIGHT(G1049,2)=RIGHT('112'!$M$9,2),B1049&lt;'112'!$N$8,$M1049='112'!$I$6)),"x",""))</f>
        <v/>
      </c>
      <c r="U1049" s="51" t="str">
        <f>IF(AND(L1049="154",'154'!$O$5&lt;=B1049,'154'!$P$5&gt;=B1049),"154",IF(AND(L1049="632",'632'!$L$5&lt;=B1049,'632'!$M$5&gt;=B1049),"632",IF(AND(L1049="642",'642'!$N$5&lt;=B1049,'642'!$O$5&gt;=B1049),"642",IF(AND(L1049="641",'641'!$N$5&lt;=B1049,'641'!$O$5&gt;=B1049),"641",""))))</f>
        <v/>
      </c>
      <c r="V1049" s="51" t="str">
        <f>IF(OR(TH!L1049=TH!$V$7,M1049=TH!$V$7),"x","")</f>
        <v/>
      </c>
      <c r="W1049" s="51" t="str">
        <f>IF(AND(B1049&gt;='IN-NX'!$P$3,B1049&lt;='IN-NX'!$Q$3,'IN-NX'!$D$7=D1049,OR(LEFT(L1049,2)="15",AND(LEFT(M1049,2)&lt;&gt;"15",LEFT(M1049,2)&lt;&gt;"33"))),"x","")</f>
        <v/>
      </c>
      <c r="X1049" s="51" t="str">
        <f>IF(AND(OR(LEFT(TH!L1049,2)="15",LEFT(TH!M1049,2)="15"),'152-CT'!$J$8=TH!F1049),"x","")</f>
        <v/>
      </c>
      <c r="Y1049" s="51" t="str">
        <f>IF(AND(OR(LEFT(TH!L1049,2)="15",LEFT(TH!M1049,2)="15"),TK!$E$7=TH!F1049),"x","")</f>
        <v/>
      </c>
      <c r="Z1049" s="51" t="str">
        <f>IF(AND(B1049&lt;=NKC!$N$8,B1049&gt;=NKC!$M$8),"x","")</f>
        <v/>
      </c>
      <c r="AA1049" s="803"/>
      <c r="AB1049" s="565"/>
    </row>
    <row r="1050" spans="1:31" ht="15.75" customHeight="1">
      <c r="A1050" s="804" t="str">
        <f>IF(B1050&lt;&gt;"",IF(AND(B1050&gt;=_TM1,B1050&lt;=_TM2,OR(TH!L1050="1111",TH!M1050="1111")),TH!D1050,""),"")</f>
        <v/>
      </c>
      <c r="B1050" s="36">
        <f t="shared" si="68"/>
        <v>11</v>
      </c>
      <c r="C1050" s="189">
        <f t="shared" si="69"/>
        <v>42314</v>
      </c>
      <c r="D1050" s="189" t="s">
        <v>1307</v>
      </c>
      <c r="E1050" s="189">
        <v>42314</v>
      </c>
      <c r="F1050" s="190" t="s">
        <v>1249</v>
      </c>
      <c r="G1050" s="811" t="s">
        <v>1086</v>
      </c>
      <c r="H1050" s="191" t="s">
        <v>449</v>
      </c>
      <c r="I1050" s="243">
        <v>70</v>
      </c>
      <c r="J1050" s="243">
        <v>10714</v>
      </c>
      <c r="K1050" s="573">
        <f t="shared" si="71"/>
        <v>749980</v>
      </c>
      <c r="L1050" s="574" t="s">
        <v>250</v>
      </c>
      <c r="M1050" s="574" t="s">
        <v>164</v>
      </c>
      <c r="N1050" s="51" t="str">
        <f>IF(AND('331-CT'!$E$7=TH!H1050,OR(L1050="331",M1050="331")),"331",IF(AND(OR(L1050="131",M1050="131"),H1050='131-CT'!$E$7),"131",""))</f>
        <v/>
      </c>
      <c r="O1050" s="51" t="str">
        <f>IF(AND($B1050&gt;='111'!$N$11,$B1050&lt;='111'!$O$11,OR($L1050=$O$7,$M1050=$O$7)),"x","")</f>
        <v/>
      </c>
      <c r="P1050" s="51" t="str">
        <f>IF(AND($L1050=$O$7,$B1050&lt;'111'!$N$11),"x","")</f>
        <v/>
      </c>
      <c r="Q1050" s="51" t="str">
        <f>IF(AND($M1050=$O$7,$B1050&lt;'111'!$N$11),"x","")</f>
        <v/>
      </c>
      <c r="R1050" s="51" t="str">
        <f>IF(ISERROR(FIND('112'!$M$9,G1050,1)),"",IF((AND(FIND('112'!$M$9,G1050,1)&gt;=1,$B1050&gt;='112'!$N$8,$B1050&lt;='112'!$O$8,OR($L1050='112'!$I$6,$M1050='112'!$I$6))),"x",""))</f>
        <v/>
      </c>
      <c r="S1050" s="51" t="str">
        <f>IF(ISERROR(FIND('112'!$M$9,G1050,1)),"",IF((AND(LEFT(G1050,2)=LEFT('112'!$M$9,2),B1050&lt;'112'!$N$8,$L1050='112'!$I$6)),"x",""))</f>
        <v/>
      </c>
      <c r="T1050" s="51" t="str">
        <f>IF(ISERROR(FIND('112'!$M$9,G1050,1)),"",IF((AND(RIGHT(G1050,2)=RIGHT('112'!$M$9,2),B1050&lt;'112'!$N$8,$M1050='112'!$I$6)),"x",""))</f>
        <v/>
      </c>
      <c r="U1050" s="51" t="str">
        <f>IF(AND(L1050="154",'154'!$O$5&lt;=B1050,'154'!$P$5&gt;=B1050),"154",IF(AND(L1050="632",'632'!$L$5&lt;=B1050,'632'!$M$5&gt;=B1050),"632",IF(AND(L1050="642",'642'!$N$5&lt;=B1050,'642'!$O$5&gt;=B1050),"642",IF(AND(L1050="641",'641'!$N$5&lt;=B1050,'641'!$O$5&gt;=B1050),"641",""))))</f>
        <v/>
      </c>
      <c r="V1050" s="51" t="str">
        <f>IF(OR(TH!L1050=TH!$V$7,M1050=TH!$V$7),"x","")</f>
        <v/>
      </c>
      <c r="W1050" s="51" t="str">
        <f>IF(AND(B1050&gt;='IN-NX'!$P$3,B1050&lt;='IN-NX'!$Q$3,'IN-NX'!$D$7=D1050,OR(LEFT(L1050,2)="15",AND(LEFT(M1050,2)&lt;&gt;"15",LEFT(M1050,2)&lt;&gt;"33"))),"x","")</f>
        <v/>
      </c>
      <c r="X1050" s="51" t="str">
        <f>IF(AND(OR(LEFT(TH!L1050,2)="15",LEFT(TH!M1050,2)="15"),'152-CT'!$J$8=TH!F1050),"x","")</f>
        <v/>
      </c>
      <c r="Y1050" s="51" t="str">
        <f>IF(AND(OR(LEFT(TH!L1050,2)="15",LEFT(TH!M1050,2)="15"),TK!$E$7=TH!F1050),"x","")</f>
        <v/>
      </c>
      <c r="Z1050" s="51" t="str">
        <f>IF(AND(B1050&lt;=NKC!$N$8,B1050&gt;=NKC!$M$8),"x","")</f>
        <v/>
      </c>
      <c r="AA1050" s="803"/>
      <c r="AB1050" s="565"/>
    </row>
    <row r="1051" spans="1:31" ht="15.75" customHeight="1">
      <c r="A1051" s="804" t="str">
        <f>IF(B1051&lt;&gt;"",IF(AND(B1051&gt;=_TM1,B1051&lt;=_TM2,OR(TH!L1051="1111",TH!M1051="1111")),TH!D1051,""),"")</f>
        <v/>
      </c>
      <c r="B1051" s="36">
        <f t="shared" si="68"/>
        <v>11</v>
      </c>
      <c r="C1051" s="189">
        <f t="shared" si="69"/>
        <v>42314</v>
      </c>
      <c r="D1051" s="189" t="s">
        <v>1307</v>
      </c>
      <c r="E1051" s="189">
        <v>42314</v>
      </c>
      <c r="F1051" s="190" t="s">
        <v>1250</v>
      </c>
      <c r="G1051" s="811" t="s">
        <v>1086</v>
      </c>
      <c r="H1051" s="191" t="s">
        <v>449</v>
      </c>
      <c r="I1051" s="243">
        <v>70</v>
      </c>
      <c r="J1051" s="243">
        <v>10048</v>
      </c>
      <c r="K1051" s="573">
        <f t="shared" si="71"/>
        <v>703360</v>
      </c>
      <c r="L1051" s="574" t="s">
        <v>250</v>
      </c>
      <c r="M1051" s="574" t="s">
        <v>164</v>
      </c>
      <c r="N1051" s="51" t="str">
        <f>IF(AND('331-CT'!$E$7=TH!H1051,OR(L1051="331",M1051="331")),"331",IF(AND(OR(L1051="131",M1051="131"),H1051='131-CT'!$E$7),"131",""))</f>
        <v/>
      </c>
      <c r="O1051" s="51" t="str">
        <f>IF(AND($B1051&gt;='111'!$N$11,$B1051&lt;='111'!$O$11,OR($L1051=$O$7,$M1051=$O$7)),"x","")</f>
        <v/>
      </c>
      <c r="P1051" s="51" t="str">
        <f>IF(AND($L1051=$O$7,$B1051&lt;'111'!$N$11),"x","")</f>
        <v/>
      </c>
      <c r="Q1051" s="51" t="str">
        <f>IF(AND($M1051=$O$7,$B1051&lt;'111'!$N$11),"x","")</f>
        <v/>
      </c>
      <c r="R1051" s="51" t="str">
        <f>IF(ISERROR(FIND('112'!$M$9,G1051,1)),"",IF((AND(FIND('112'!$M$9,G1051,1)&gt;=1,$B1051&gt;='112'!$N$8,$B1051&lt;='112'!$O$8,OR($L1051='112'!$I$6,$M1051='112'!$I$6))),"x",""))</f>
        <v/>
      </c>
      <c r="S1051" s="51" t="str">
        <f>IF(ISERROR(FIND('112'!$M$9,G1051,1)),"",IF((AND(LEFT(G1051,2)=LEFT('112'!$M$9,2),B1051&lt;'112'!$N$8,$L1051='112'!$I$6)),"x",""))</f>
        <v/>
      </c>
      <c r="T1051" s="51" t="str">
        <f>IF(ISERROR(FIND('112'!$M$9,G1051,1)),"",IF((AND(RIGHT(G1051,2)=RIGHT('112'!$M$9,2),B1051&lt;'112'!$N$8,$M1051='112'!$I$6)),"x",""))</f>
        <v/>
      </c>
      <c r="U1051" s="51" t="str">
        <f>IF(AND(L1051="154",'154'!$O$5&lt;=B1051,'154'!$P$5&gt;=B1051),"154",IF(AND(L1051="632",'632'!$L$5&lt;=B1051,'632'!$M$5&gt;=B1051),"632",IF(AND(L1051="642",'642'!$N$5&lt;=B1051,'642'!$O$5&gt;=B1051),"642",IF(AND(L1051="641",'641'!$N$5&lt;=B1051,'641'!$O$5&gt;=B1051),"641",""))))</f>
        <v/>
      </c>
      <c r="V1051" s="51" t="str">
        <f>IF(OR(TH!L1051=TH!$V$7,M1051=TH!$V$7),"x","")</f>
        <v/>
      </c>
      <c r="W1051" s="51" t="str">
        <f>IF(AND(B1051&gt;='IN-NX'!$P$3,B1051&lt;='IN-NX'!$Q$3,'IN-NX'!$D$7=D1051,OR(LEFT(L1051,2)="15",AND(LEFT(M1051,2)&lt;&gt;"15",LEFT(M1051,2)&lt;&gt;"33"))),"x","")</f>
        <v/>
      </c>
      <c r="X1051" s="51" t="str">
        <f>IF(AND(OR(LEFT(TH!L1051,2)="15",LEFT(TH!M1051,2)="15"),'152-CT'!$J$8=TH!F1051),"x","")</f>
        <v/>
      </c>
      <c r="Y1051" s="51" t="str">
        <f>IF(AND(OR(LEFT(TH!L1051,2)="15",LEFT(TH!M1051,2)="15"),TK!$E$7=TH!F1051),"x","")</f>
        <v/>
      </c>
      <c r="Z1051" s="51" t="str">
        <f>IF(AND(B1051&lt;=NKC!$N$8,B1051&gt;=NKC!$M$8),"x","")</f>
        <v/>
      </c>
      <c r="AA1051" s="803"/>
      <c r="AB1051" s="565"/>
    </row>
    <row r="1052" spans="1:31" ht="15.75" customHeight="1">
      <c r="A1052" s="804" t="str">
        <f>IF(B1052&lt;&gt;"",IF(AND(B1052&gt;=_TM1,B1052&lt;=_TM2,OR(TH!L1052="1111",TH!M1052="1111")),TH!D1052,""),"")</f>
        <v/>
      </c>
      <c r="B1052" s="36">
        <f t="shared" si="68"/>
        <v>11</v>
      </c>
      <c r="C1052" s="189">
        <f t="shared" si="69"/>
        <v>42314</v>
      </c>
      <c r="D1052" s="189" t="s">
        <v>1307</v>
      </c>
      <c r="E1052" s="189">
        <v>42314</v>
      </c>
      <c r="F1052" s="190" t="s">
        <v>1251</v>
      </c>
      <c r="G1052" s="811" t="s">
        <v>1086</v>
      </c>
      <c r="H1052" s="191" t="s">
        <v>449</v>
      </c>
      <c r="I1052" s="243">
        <v>54</v>
      </c>
      <c r="J1052" s="243">
        <v>30210</v>
      </c>
      <c r="K1052" s="573">
        <f t="shared" si="71"/>
        <v>1631340</v>
      </c>
      <c r="L1052" s="574" t="s">
        <v>250</v>
      </c>
      <c r="M1052" s="574" t="s">
        <v>164</v>
      </c>
      <c r="N1052" s="51" t="str">
        <f>IF(AND('331-CT'!$E$7=TH!H1052,OR(L1052="331",M1052="331")),"331",IF(AND(OR(L1052="131",M1052="131"),H1052='131-CT'!$E$7),"131",""))</f>
        <v/>
      </c>
      <c r="O1052" s="51" t="str">
        <f>IF(AND($B1052&gt;='111'!$N$11,$B1052&lt;='111'!$O$11,OR($L1052=$O$7,$M1052=$O$7)),"x","")</f>
        <v/>
      </c>
      <c r="P1052" s="51" t="str">
        <f>IF(AND($L1052=$O$7,$B1052&lt;'111'!$N$11),"x","")</f>
        <v/>
      </c>
      <c r="Q1052" s="51" t="str">
        <f>IF(AND($M1052=$O$7,$B1052&lt;'111'!$N$11),"x","")</f>
        <v/>
      </c>
      <c r="R1052" s="51" t="str">
        <f>IF(ISERROR(FIND('112'!$M$9,G1052,1)),"",IF((AND(FIND('112'!$M$9,G1052,1)&gt;=1,$B1052&gt;='112'!$N$8,$B1052&lt;='112'!$O$8,OR($L1052='112'!$I$6,$M1052='112'!$I$6))),"x",""))</f>
        <v/>
      </c>
      <c r="S1052" s="51" t="str">
        <f>IF(ISERROR(FIND('112'!$M$9,G1052,1)),"",IF((AND(LEFT(G1052,2)=LEFT('112'!$M$9,2),B1052&lt;'112'!$N$8,$L1052='112'!$I$6)),"x",""))</f>
        <v/>
      </c>
      <c r="T1052" s="51" t="str">
        <f>IF(ISERROR(FIND('112'!$M$9,G1052,1)),"",IF((AND(RIGHT(G1052,2)=RIGHT('112'!$M$9,2),B1052&lt;'112'!$N$8,$M1052='112'!$I$6)),"x",""))</f>
        <v/>
      </c>
      <c r="U1052" s="51" t="str">
        <f>IF(AND(L1052="154",'154'!$O$5&lt;=B1052,'154'!$P$5&gt;=B1052),"154",IF(AND(L1052="632",'632'!$L$5&lt;=B1052,'632'!$M$5&gt;=B1052),"632",IF(AND(L1052="642",'642'!$N$5&lt;=B1052,'642'!$O$5&gt;=B1052),"642",IF(AND(L1052="641",'641'!$N$5&lt;=B1052,'641'!$O$5&gt;=B1052),"641",""))))</f>
        <v/>
      </c>
      <c r="V1052" s="51" t="str">
        <f>IF(OR(TH!L1052=TH!$V$7,M1052=TH!$V$7),"x","")</f>
        <v/>
      </c>
      <c r="W1052" s="51" t="str">
        <f>IF(AND(B1052&gt;='IN-NX'!$P$3,B1052&lt;='IN-NX'!$Q$3,'IN-NX'!$D$7=D1052,OR(LEFT(L1052,2)="15",AND(LEFT(M1052,2)&lt;&gt;"15",LEFT(M1052,2)&lt;&gt;"33"))),"x","")</f>
        <v/>
      </c>
      <c r="X1052" s="51" t="str">
        <f>IF(AND(OR(LEFT(TH!L1052,2)="15",LEFT(TH!M1052,2)="15"),'152-CT'!$J$8=TH!F1052),"x","")</f>
        <v/>
      </c>
      <c r="Y1052" s="51" t="str">
        <f>IF(AND(OR(LEFT(TH!L1052,2)="15",LEFT(TH!M1052,2)="15"),TK!$E$7=TH!F1052),"x","")</f>
        <v/>
      </c>
      <c r="Z1052" s="51" t="str">
        <f>IF(AND(B1052&lt;=NKC!$N$8,B1052&gt;=NKC!$M$8),"x","")</f>
        <v/>
      </c>
      <c r="AA1052" s="803"/>
      <c r="AB1052" s="565"/>
    </row>
    <row r="1053" spans="1:31" ht="15.75" customHeight="1">
      <c r="A1053" s="804" t="str">
        <f>IF(B1053&lt;&gt;"",IF(AND(B1053&gt;=_TM1,B1053&lt;=_TM2,OR(TH!L1053="1111",TH!M1053="1111")),TH!D1053,""),"")</f>
        <v/>
      </c>
      <c r="B1053" s="36">
        <f t="shared" ref="B1053:B1116" si="72">IF(C1053&lt;&gt;"",MONTH(C1053),"")</f>
        <v>11</v>
      </c>
      <c r="C1053" s="189">
        <f t="shared" ref="C1053:C1116" si="73">E1053</f>
        <v>42314</v>
      </c>
      <c r="D1053" s="189" t="s">
        <v>1307</v>
      </c>
      <c r="E1053" s="189">
        <v>42314</v>
      </c>
      <c r="F1053" s="190" t="s">
        <v>1252</v>
      </c>
      <c r="G1053" s="811" t="s">
        <v>1086</v>
      </c>
      <c r="H1053" s="191" t="s">
        <v>449</v>
      </c>
      <c r="I1053" s="243">
        <v>54</v>
      </c>
      <c r="J1053" s="243">
        <v>29081</v>
      </c>
      <c r="K1053" s="573">
        <f t="shared" si="71"/>
        <v>1570374</v>
      </c>
      <c r="L1053" s="574" t="s">
        <v>250</v>
      </c>
      <c r="M1053" s="574" t="s">
        <v>164</v>
      </c>
      <c r="N1053" s="51" t="str">
        <f>IF(AND('331-CT'!$E$7=TH!H1053,OR(L1053="331",M1053="331")),"331",IF(AND(OR(L1053="131",M1053="131"),H1053='131-CT'!$E$7),"131",""))</f>
        <v/>
      </c>
      <c r="O1053" s="51" t="str">
        <f>IF(AND($B1053&gt;='111'!$N$11,$B1053&lt;='111'!$O$11,OR($L1053=$O$7,$M1053=$O$7)),"x","")</f>
        <v/>
      </c>
      <c r="P1053" s="51" t="str">
        <f>IF(AND($L1053=$O$7,$B1053&lt;'111'!$N$11),"x","")</f>
        <v/>
      </c>
      <c r="Q1053" s="51" t="str">
        <f>IF(AND($M1053=$O$7,$B1053&lt;'111'!$N$11),"x","")</f>
        <v/>
      </c>
      <c r="R1053" s="51" t="str">
        <f>IF(ISERROR(FIND('112'!$M$9,G1053,1)),"",IF((AND(FIND('112'!$M$9,G1053,1)&gt;=1,$B1053&gt;='112'!$N$8,$B1053&lt;='112'!$O$8,OR($L1053='112'!$I$6,$M1053='112'!$I$6))),"x",""))</f>
        <v/>
      </c>
      <c r="S1053" s="51" t="str">
        <f>IF(ISERROR(FIND('112'!$M$9,G1053,1)),"",IF((AND(LEFT(G1053,2)=LEFT('112'!$M$9,2),B1053&lt;'112'!$N$8,$L1053='112'!$I$6)),"x",""))</f>
        <v/>
      </c>
      <c r="T1053" s="51" t="str">
        <f>IF(ISERROR(FIND('112'!$M$9,G1053,1)),"",IF((AND(RIGHT(G1053,2)=RIGHT('112'!$M$9,2),B1053&lt;'112'!$N$8,$M1053='112'!$I$6)),"x",""))</f>
        <v/>
      </c>
      <c r="U1053" s="51" t="str">
        <f>IF(AND(L1053="154",'154'!$O$5&lt;=B1053,'154'!$P$5&gt;=B1053),"154",IF(AND(L1053="632",'632'!$L$5&lt;=B1053,'632'!$M$5&gt;=B1053),"632",IF(AND(L1053="642",'642'!$N$5&lt;=B1053,'642'!$O$5&gt;=B1053),"642",IF(AND(L1053="641",'641'!$N$5&lt;=B1053,'641'!$O$5&gt;=B1053),"641",""))))</f>
        <v/>
      </c>
      <c r="V1053" s="51" t="str">
        <f>IF(OR(TH!L1053=TH!$V$7,M1053=TH!$V$7),"x","")</f>
        <v/>
      </c>
      <c r="W1053" s="51" t="str">
        <f>IF(AND(B1053&gt;='IN-NX'!$P$3,B1053&lt;='IN-NX'!$Q$3,'IN-NX'!$D$7=D1053,OR(LEFT(L1053,2)="15",AND(LEFT(M1053,2)&lt;&gt;"15",LEFT(M1053,2)&lt;&gt;"33"))),"x","")</f>
        <v/>
      </c>
      <c r="X1053" s="51" t="str">
        <f>IF(AND(OR(LEFT(TH!L1053,2)="15",LEFT(TH!M1053,2)="15"),'152-CT'!$J$8=TH!F1053),"x","")</f>
        <v/>
      </c>
      <c r="Y1053" s="51" t="str">
        <f>IF(AND(OR(LEFT(TH!L1053,2)="15",LEFT(TH!M1053,2)="15"),TK!$E$7=TH!F1053),"x","")</f>
        <v/>
      </c>
      <c r="Z1053" s="51" t="str">
        <f>IF(AND(B1053&lt;=NKC!$N$8,B1053&gt;=NKC!$M$8),"x","")</f>
        <v/>
      </c>
      <c r="AA1053" s="803"/>
      <c r="AB1053" s="565"/>
    </row>
    <row r="1054" spans="1:31" ht="15.75" customHeight="1">
      <c r="A1054" s="804" t="str">
        <f>IF(B1054&lt;&gt;"",IF(AND(B1054&gt;=_TM1,B1054&lt;=_TM2,OR(TH!L1054="1111",TH!M1054="1111")),TH!D1054,""),"")</f>
        <v/>
      </c>
      <c r="B1054" s="36">
        <f t="shared" si="72"/>
        <v>11</v>
      </c>
      <c r="C1054" s="189">
        <f t="shared" si="73"/>
        <v>42314</v>
      </c>
      <c r="D1054" s="189" t="s">
        <v>1307</v>
      </c>
      <c r="E1054" s="189">
        <v>42314</v>
      </c>
      <c r="F1054" s="190" t="s">
        <v>1253</v>
      </c>
      <c r="G1054" s="811" t="s">
        <v>1086</v>
      </c>
      <c r="H1054" s="191" t="s">
        <v>449</v>
      </c>
      <c r="I1054" s="243">
        <v>80</v>
      </c>
      <c r="J1054" s="243">
        <v>8883</v>
      </c>
      <c r="K1054" s="573">
        <f t="shared" si="71"/>
        <v>710640</v>
      </c>
      <c r="L1054" s="574" t="s">
        <v>250</v>
      </c>
      <c r="M1054" s="574" t="s">
        <v>164</v>
      </c>
      <c r="N1054" s="51" t="str">
        <f>IF(AND('331-CT'!$E$7=TH!H1054,OR(L1054="331",M1054="331")),"331",IF(AND(OR(L1054="131",M1054="131"),H1054='131-CT'!$E$7),"131",""))</f>
        <v/>
      </c>
      <c r="O1054" s="51" t="str">
        <f>IF(AND($B1054&gt;='111'!$N$11,$B1054&lt;='111'!$O$11,OR($L1054=$O$7,$M1054=$O$7)),"x","")</f>
        <v/>
      </c>
      <c r="P1054" s="51" t="str">
        <f>IF(AND($L1054=$O$7,$B1054&lt;'111'!$N$11),"x","")</f>
        <v/>
      </c>
      <c r="Q1054" s="51" t="str">
        <f>IF(AND($M1054=$O$7,$B1054&lt;'111'!$N$11),"x","")</f>
        <v/>
      </c>
      <c r="R1054" s="51" t="str">
        <f>IF(ISERROR(FIND('112'!$M$9,G1054,1)),"",IF((AND(FIND('112'!$M$9,G1054,1)&gt;=1,$B1054&gt;='112'!$N$8,$B1054&lt;='112'!$O$8,OR($L1054='112'!$I$6,$M1054='112'!$I$6))),"x",""))</f>
        <v/>
      </c>
      <c r="S1054" s="51" t="str">
        <f>IF(ISERROR(FIND('112'!$M$9,G1054,1)),"",IF((AND(LEFT(G1054,2)=LEFT('112'!$M$9,2),B1054&lt;'112'!$N$8,$L1054='112'!$I$6)),"x",""))</f>
        <v/>
      </c>
      <c r="T1054" s="51" t="str">
        <f>IF(ISERROR(FIND('112'!$M$9,G1054,1)),"",IF((AND(RIGHT(G1054,2)=RIGHT('112'!$M$9,2),B1054&lt;'112'!$N$8,$M1054='112'!$I$6)),"x",""))</f>
        <v/>
      </c>
      <c r="U1054" s="51" t="str">
        <f>IF(AND(L1054="154",'154'!$O$5&lt;=B1054,'154'!$P$5&gt;=B1054),"154",IF(AND(L1054="632",'632'!$L$5&lt;=B1054,'632'!$M$5&gt;=B1054),"632",IF(AND(L1054="642",'642'!$N$5&lt;=B1054,'642'!$O$5&gt;=B1054),"642",IF(AND(L1054="641",'641'!$N$5&lt;=B1054,'641'!$O$5&gt;=B1054),"641",""))))</f>
        <v/>
      </c>
      <c r="V1054" s="51" t="str">
        <f>IF(OR(TH!L1054=TH!$V$7,M1054=TH!$V$7),"x","")</f>
        <v/>
      </c>
      <c r="W1054" s="51" t="str">
        <f>IF(AND(B1054&gt;='IN-NX'!$P$3,B1054&lt;='IN-NX'!$Q$3,'IN-NX'!$D$7=D1054,OR(LEFT(L1054,2)="15",AND(LEFT(M1054,2)&lt;&gt;"15",LEFT(M1054,2)&lt;&gt;"33"))),"x","")</f>
        <v/>
      </c>
      <c r="X1054" s="51" t="str">
        <f>IF(AND(OR(LEFT(TH!L1054,2)="15",LEFT(TH!M1054,2)="15"),'152-CT'!$J$8=TH!F1054),"x","")</f>
        <v/>
      </c>
      <c r="Y1054" s="51" t="str">
        <f>IF(AND(OR(LEFT(TH!L1054,2)="15",LEFT(TH!M1054,2)="15"),TK!$E$7=TH!F1054),"x","")</f>
        <v/>
      </c>
      <c r="Z1054" s="51" t="str">
        <f>IF(AND(B1054&lt;=NKC!$N$8,B1054&gt;=NKC!$M$8),"x","")</f>
        <v/>
      </c>
      <c r="AA1054" s="803"/>
      <c r="AB1054" s="565"/>
    </row>
    <row r="1055" spans="1:31" ht="15.75" customHeight="1">
      <c r="A1055" s="804" t="str">
        <f>IF(B1055&lt;&gt;"",IF(AND(B1055&gt;=_TM1,B1055&lt;=_TM2,OR(TH!L1055="1111",TH!M1055="1111")),TH!D1055,""),"")</f>
        <v/>
      </c>
      <c r="B1055" s="36">
        <f t="shared" si="72"/>
        <v>11</v>
      </c>
      <c r="C1055" s="189">
        <f t="shared" si="73"/>
        <v>42314</v>
      </c>
      <c r="D1055" s="189" t="s">
        <v>1307</v>
      </c>
      <c r="E1055" s="189">
        <v>42314</v>
      </c>
      <c r="F1055" s="917" t="s">
        <v>962</v>
      </c>
      <c r="G1055" s="811" t="s">
        <v>1086</v>
      </c>
      <c r="H1055" s="191" t="s">
        <v>449</v>
      </c>
      <c r="I1055" s="243"/>
      <c r="J1055" s="243"/>
      <c r="K1055" s="573">
        <v>918135</v>
      </c>
      <c r="L1055" s="574" t="s">
        <v>250</v>
      </c>
      <c r="M1055" s="574" t="s">
        <v>352</v>
      </c>
      <c r="N1055" s="51" t="str">
        <f>IF(AND('331-CT'!$E$7=TH!H1055,OR(L1055="331",M1055="331")),"331",IF(AND(OR(L1055="131",M1055="131"),H1055='131-CT'!$E$7),"131",""))</f>
        <v/>
      </c>
      <c r="O1055" s="51" t="str">
        <f>IF(AND($B1055&gt;='111'!$N$11,$B1055&lt;='111'!$O$11,OR($L1055=$O$7,$M1055=$O$7)),"x","")</f>
        <v/>
      </c>
      <c r="P1055" s="51" t="str">
        <f>IF(AND($L1055=$O$7,$B1055&lt;'111'!$N$11),"x","")</f>
        <v/>
      </c>
      <c r="Q1055" s="51" t="str">
        <f>IF(AND($M1055=$O$7,$B1055&lt;'111'!$N$11),"x","")</f>
        <v/>
      </c>
      <c r="R1055" s="51" t="str">
        <f>IF(ISERROR(FIND('112'!$M$9,G1055,1)),"",IF((AND(FIND('112'!$M$9,G1055,1)&gt;=1,$B1055&gt;='112'!$N$8,$B1055&lt;='112'!$O$8,OR($L1055='112'!$I$6,$M1055='112'!$I$6))),"x",""))</f>
        <v/>
      </c>
      <c r="S1055" s="51" t="str">
        <f>IF(ISERROR(FIND('112'!$M$9,G1055,1)),"",IF((AND(LEFT(G1055,2)=LEFT('112'!$M$9,2),B1055&lt;'112'!$N$8,$L1055='112'!$I$6)),"x",""))</f>
        <v/>
      </c>
      <c r="T1055" s="51" t="str">
        <f>IF(ISERROR(FIND('112'!$M$9,G1055,1)),"",IF((AND(RIGHT(G1055,2)=RIGHT('112'!$M$9,2),B1055&lt;'112'!$N$8,$M1055='112'!$I$6)),"x",""))</f>
        <v/>
      </c>
      <c r="U1055" s="51" t="str">
        <f>IF(AND(L1055="154",'154'!$O$5&lt;=B1055,'154'!$P$5&gt;=B1055),"154",IF(AND(L1055="632",'632'!$L$5&lt;=B1055,'632'!$M$5&gt;=B1055),"632",IF(AND(L1055="642",'642'!$N$5&lt;=B1055,'642'!$O$5&gt;=B1055),"642",IF(AND(L1055="641",'641'!$N$5&lt;=B1055,'641'!$O$5&gt;=B1055),"641",""))))</f>
        <v/>
      </c>
      <c r="V1055" s="51" t="str">
        <f>IF(OR(TH!L1055=TH!$V$7,M1055=TH!$V$7),"x","")</f>
        <v/>
      </c>
      <c r="W1055" s="51" t="str">
        <f>IF(AND(B1055&gt;='IN-NX'!$P$3,B1055&lt;='IN-NX'!$Q$3,'IN-NX'!$D$7=D1055,OR(LEFT(L1055,2)="15",AND(LEFT(M1055,2)&lt;&gt;"15",LEFT(M1055,2)&lt;&gt;"33"))),"x","")</f>
        <v/>
      </c>
      <c r="X1055" s="51" t="str">
        <f>IF(AND(OR(LEFT(TH!L1055,2)="15",LEFT(TH!M1055,2)="15"),'152-CT'!$J$8=TH!F1055),"x","")</f>
        <v/>
      </c>
      <c r="Y1055" s="51" t="str">
        <f>IF(AND(OR(LEFT(TH!L1055,2)="15",LEFT(TH!M1055,2)="15"),TK!$E$7=TH!F1055),"x","")</f>
        <v/>
      </c>
      <c r="Z1055" s="51" t="str">
        <f>IF(AND(B1055&lt;=NKC!$N$8,B1055&gt;=NKC!$M$8),"x","")</f>
        <v/>
      </c>
      <c r="AA1055" s="803"/>
      <c r="AB1055" s="565"/>
    </row>
    <row r="1056" spans="1:31" ht="15.75" customHeight="1">
      <c r="A1056" s="804" t="str">
        <f>IF(B1056&lt;&gt;"",IF(AND(B1056&gt;=_TM1,B1056&lt;=_TM2,OR(TH!L1056="1111",TH!M1056="1111")),TH!D1056,""),"")</f>
        <v/>
      </c>
      <c r="B1056" s="36">
        <f t="shared" si="72"/>
        <v>11</v>
      </c>
      <c r="C1056" s="189">
        <f t="shared" si="73"/>
        <v>42314</v>
      </c>
      <c r="D1056" s="189" t="s">
        <v>1308</v>
      </c>
      <c r="E1056" s="189">
        <v>42314</v>
      </c>
      <c r="F1056" s="926" t="s">
        <v>1239</v>
      </c>
      <c r="G1056" s="811" t="s">
        <v>1087</v>
      </c>
      <c r="H1056" s="191" t="s">
        <v>449</v>
      </c>
      <c r="I1056" s="243">
        <v>80</v>
      </c>
      <c r="J1056" s="243">
        <v>8280</v>
      </c>
      <c r="K1056" s="573">
        <f t="shared" ref="K1056:K1063" si="74">ROUND(I1056*J1056,0)</f>
        <v>662400</v>
      </c>
      <c r="L1056" s="574" t="s">
        <v>250</v>
      </c>
      <c r="M1056" s="574" t="s">
        <v>164</v>
      </c>
      <c r="N1056" s="51" t="str">
        <f>IF(AND('331-CT'!$E$7=TH!H1056,OR(L1056="331",M1056="331")),"331",IF(AND(OR(L1056="131",M1056="131"),H1056='131-CT'!$E$7),"131",""))</f>
        <v/>
      </c>
      <c r="O1056" s="51" t="str">
        <f>IF(AND($B1056&gt;='111'!$N$11,$B1056&lt;='111'!$O$11,OR($L1056=$O$7,$M1056=$O$7)),"x","")</f>
        <v/>
      </c>
      <c r="P1056" s="51" t="str">
        <f>IF(AND($L1056=$O$7,$B1056&lt;'111'!$N$11),"x","")</f>
        <v/>
      </c>
      <c r="Q1056" s="51" t="str">
        <f>IF(AND($M1056=$O$7,$B1056&lt;'111'!$N$11),"x","")</f>
        <v/>
      </c>
      <c r="R1056" s="51" t="str">
        <f>IF(ISERROR(FIND('112'!$M$9,G1056,1)),"",IF((AND(FIND('112'!$M$9,G1056,1)&gt;=1,$B1056&gt;='112'!$N$8,$B1056&lt;='112'!$O$8,OR($L1056='112'!$I$6,$M1056='112'!$I$6))),"x",""))</f>
        <v/>
      </c>
      <c r="S1056" s="51" t="str">
        <f>IF(ISERROR(FIND('112'!$M$9,G1056,1)),"",IF((AND(LEFT(G1056,2)=LEFT('112'!$M$9,2),B1056&lt;'112'!$N$8,$L1056='112'!$I$6)),"x",""))</f>
        <v/>
      </c>
      <c r="T1056" s="51" t="str">
        <f>IF(ISERROR(FIND('112'!$M$9,G1056,1)),"",IF((AND(RIGHT(G1056,2)=RIGHT('112'!$M$9,2),B1056&lt;'112'!$N$8,$M1056='112'!$I$6)),"x",""))</f>
        <v/>
      </c>
      <c r="U1056" s="51" t="str">
        <f>IF(AND(L1056="154",'154'!$O$5&lt;=B1056,'154'!$P$5&gt;=B1056),"154",IF(AND(L1056="632",'632'!$L$5&lt;=B1056,'632'!$M$5&gt;=B1056),"632",IF(AND(L1056="642",'642'!$N$5&lt;=B1056,'642'!$O$5&gt;=B1056),"642",IF(AND(L1056="641",'641'!$N$5&lt;=B1056,'641'!$O$5&gt;=B1056),"641",""))))</f>
        <v/>
      </c>
      <c r="V1056" s="51" t="str">
        <f>IF(OR(TH!L1056=TH!$V$7,M1056=TH!$V$7),"x","")</f>
        <v/>
      </c>
      <c r="W1056" s="51" t="str">
        <f>IF(AND(B1056&gt;='IN-NX'!$P$3,B1056&lt;='IN-NX'!$Q$3,'IN-NX'!$D$7=D1056,OR(LEFT(L1056,2)="15",AND(LEFT(M1056,2)&lt;&gt;"15",LEFT(M1056,2)&lt;&gt;"33"))),"x","")</f>
        <v/>
      </c>
      <c r="X1056" s="51" t="str">
        <f>IF(AND(OR(LEFT(TH!L1056,2)="15",LEFT(TH!M1056,2)="15"),'152-CT'!$J$8=TH!F1056),"x","")</f>
        <v/>
      </c>
      <c r="Y1056" s="51" t="str">
        <f>IF(AND(OR(LEFT(TH!L1056,2)="15",LEFT(TH!M1056,2)="15"),TK!$E$7=TH!F1056),"x","")</f>
        <v/>
      </c>
      <c r="Z1056" s="51" t="str">
        <f>IF(AND(B1056&lt;=NKC!$N$8,B1056&gt;=NKC!$M$8),"x","")</f>
        <v/>
      </c>
      <c r="AA1056" s="803"/>
      <c r="AB1056" s="565"/>
    </row>
    <row r="1057" spans="1:31" ht="15.75" customHeight="1">
      <c r="A1057" s="804" t="str">
        <f>IF(B1057&lt;&gt;"",IF(AND(B1057&gt;=_TM1,B1057&lt;=_TM2,OR(TH!L1057="1111",TH!M1057="1111")),TH!D1057,""),"")</f>
        <v/>
      </c>
      <c r="B1057" s="36">
        <f t="shared" si="72"/>
        <v>11</v>
      </c>
      <c r="C1057" s="189">
        <f t="shared" si="73"/>
        <v>42314</v>
      </c>
      <c r="D1057" s="189" t="s">
        <v>1308</v>
      </c>
      <c r="E1057" s="189">
        <v>42314</v>
      </c>
      <c r="F1057" s="922" t="s">
        <v>1240</v>
      </c>
      <c r="G1057" s="811" t="s">
        <v>1087</v>
      </c>
      <c r="H1057" s="191" t="s">
        <v>449</v>
      </c>
      <c r="I1057" s="243">
        <v>20</v>
      </c>
      <c r="J1057" s="243">
        <v>68860</v>
      </c>
      <c r="K1057" s="573">
        <f t="shared" si="74"/>
        <v>1377200</v>
      </c>
      <c r="L1057" s="574" t="s">
        <v>250</v>
      </c>
      <c r="M1057" s="574" t="s">
        <v>164</v>
      </c>
      <c r="N1057" s="51" t="str">
        <f>IF(AND('331-CT'!$E$7=TH!H1057,OR(L1057="331",M1057="331")),"331",IF(AND(OR(L1057="131",M1057="131"),H1057='131-CT'!$E$7),"131",""))</f>
        <v/>
      </c>
      <c r="O1057" s="51" t="str">
        <f>IF(AND($B1057&gt;='111'!$N$11,$B1057&lt;='111'!$O$11,OR($L1057=$O$7,$M1057=$O$7)),"x","")</f>
        <v/>
      </c>
      <c r="P1057" s="51" t="str">
        <f>IF(AND($L1057=$O$7,$B1057&lt;'111'!$N$11),"x","")</f>
        <v/>
      </c>
      <c r="Q1057" s="51" t="str">
        <f>IF(AND($M1057=$O$7,$B1057&lt;'111'!$N$11),"x","")</f>
        <v/>
      </c>
      <c r="R1057" s="51" t="str">
        <f>IF(ISERROR(FIND('112'!$M$9,G1057,1)),"",IF((AND(FIND('112'!$M$9,G1057,1)&gt;=1,$B1057&gt;='112'!$N$8,$B1057&lt;='112'!$O$8,OR($L1057='112'!$I$6,$M1057='112'!$I$6))),"x",""))</f>
        <v/>
      </c>
      <c r="S1057" s="51" t="str">
        <f>IF(ISERROR(FIND('112'!$M$9,G1057,1)),"",IF((AND(LEFT(G1057,2)=LEFT('112'!$M$9,2),B1057&lt;'112'!$N$8,$L1057='112'!$I$6)),"x",""))</f>
        <v/>
      </c>
      <c r="T1057" s="51" t="str">
        <f>IF(ISERROR(FIND('112'!$M$9,G1057,1)),"",IF((AND(RIGHT(G1057,2)=RIGHT('112'!$M$9,2),B1057&lt;'112'!$N$8,$M1057='112'!$I$6)),"x",""))</f>
        <v/>
      </c>
      <c r="U1057" s="51" t="str">
        <f>IF(AND(L1057="154",'154'!$O$5&lt;=B1057,'154'!$P$5&gt;=B1057),"154",IF(AND(L1057="632",'632'!$L$5&lt;=B1057,'632'!$M$5&gt;=B1057),"632",IF(AND(L1057="642",'642'!$N$5&lt;=B1057,'642'!$O$5&gt;=B1057),"642",IF(AND(L1057="641",'641'!$N$5&lt;=B1057,'641'!$O$5&gt;=B1057),"641",""))))</f>
        <v/>
      </c>
      <c r="V1057" s="51" t="str">
        <f>IF(OR(TH!L1057=TH!$V$7,M1057=TH!$V$7),"x","")</f>
        <v/>
      </c>
      <c r="W1057" s="51" t="str">
        <f>IF(AND(B1057&gt;='IN-NX'!$P$3,B1057&lt;='IN-NX'!$Q$3,'IN-NX'!$D$7=D1057,OR(LEFT(L1057,2)="15",AND(LEFT(M1057,2)&lt;&gt;"15",LEFT(M1057,2)&lt;&gt;"33"))),"x","")</f>
        <v/>
      </c>
      <c r="X1057" s="51" t="str">
        <f>IF(AND(OR(LEFT(TH!L1057,2)="15",LEFT(TH!M1057,2)="15"),'152-CT'!$J$8=TH!F1057),"x","")</f>
        <v/>
      </c>
      <c r="Y1057" s="51" t="str">
        <f>IF(AND(OR(LEFT(TH!L1057,2)="15",LEFT(TH!M1057,2)="15"),TK!$E$7=TH!F1057),"x","")</f>
        <v/>
      </c>
      <c r="Z1057" s="51" t="str">
        <f>IF(AND(B1057&lt;=NKC!$N$8,B1057&gt;=NKC!$M$8),"x","")</f>
        <v/>
      </c>
      <c r="AA1057" s="803"/>
      <c r="AB1057" s="565"/>
    </row>
    <row r="1058" spans="1:31" ht="15.75" customHeight="1">
      <c r="A1058" s="804" t="str">
        <f>IF(B1058&lt;&gt;"",IF(AND(B1058&gt;=_TM1,B1058&lt;=_TM2,OR(TH!L1058="1111",TH!M1058="1111")),TH!D1058,""),"")</f>
        <v/>
      </c>
      <c r="B1058" s="36">
        <f t="shared" si="72"/>
        <v>11</v>
      </c>
      <c r="C1058" s="189">
        <f t="shared" si="73"/>
        <v>42314</v>
      </c>
      <c r="D1058" s="189" t="s">
        <v>1308</v>
      </c>
      <c r="E1058" s="189">
        <v>42314</v>
      </c>
      <c r="F1058" s="190" t="s">
        <v>1241</v>
      </c>
      <c r="G1058" s="811" t="s">
        <v>1087</v>
      </c>
      <c r="H1058" s="191" t="s">
        <v>449</v>
      </c>
      <c r="I1058" s="244">
        <v>11</v>
      </c>
      <c r="J1058" s="244">
        <v>71842</v>
      </c>
      <c r="K1058" s="573">
        <f t="shared" si="74"/>
        <v>790262</v>
      </c>
      <c r="L1058" s="574" t="s">
        <v>250</v>
      </c>
      <c r="M1058" s="574" t="s">
        <v>164</v>
      </c>
      <c r="N1058" s="51" t="str">
        <f>IF(AND('331-CT'!$E$7=TH!H1058,OR(L1058="331",M1058="331")),"331",IF(AND(OR(L1058="131",M1058="131"),H1058='131-CT'!$E$7),"131",""))</f>
        <v/>
      </c>
      <c r="O1058" s="51" t="str">
        <f>IF(AND($B1058&gt;='111'!$N$11,$B1058&lt;='111'!$O$11,OR($L1058=$O$7,$M1058=$O$7)),"x","")</f>
        <v/>
      </c>
      <c r="P1058" s="51" t="str">
        <f>IF(AND($L1058=$O$7,$B1058&lt;'111'!$N$11),"x","")</f>
        <v/>
      </c>
      <c r="Q1058" s="51" t="str">
        <f>IF(AND($M1058=$O$7,$B1058&lt;'111'!$N$11),"x","")</f>
        <v/>
      </c>
      <c r="R1058" s="51" t="str">
        <f>IF(ISERROR(FIND('112'!$M$9,G1058,1)),"",IF((AND(FIND('112'!$M$9,G1058,1)&gt;=1,$B1058&gt;='112'!$N$8,$B1058&lt;='112'!$O$8,OR($L1058='112'!$I$6,$M1058='112'!$I$6))),"x",""))</f>
        <v/>
      </c>
      <c r="S1058" s="51" t="str">
        <f>IF(ISERROR(FIND('112'!$M$9,G1058,1)),"",IF((AND(LEFT(G1058,2)=LEFT('112'!$M$9,2),B1058&lt;'112'!$N$8,$L1058='112'!$I$6)),"x",""))</f>
        <v/>
      </c>
      <c r="T1058" s="51" t="str">
        <f>IF(ISERROR(FIND('112'!$M$9,G1058,1)),"",IF((AND(RIGHT(G1058,2)=RIGHT('112'!$M$9,2),B1058&lt;'112'!$N$8,$M1058='112'!$I$6)),"x",""))</f>
        <v/>
      </c>
      <c r="U1058" s="51" t="str">
        <f>IF(AND(L1058="154",'154'!$O$5&lt;=B1058,'154'!$P$5&gt;=B1058),"154",IF(AND(L1058="632",'632'!$L$5&lt;=B1058,'632'!$M$5&gt;=B1058),"632",IF(AND(L1058="642",'642'!$N$5&lt;=B1058,'642'!$O$5&gt;=B1058),"642",IF(AND(L1058="641",'641'!$N$5&lt;=B1058,'641'!$O$5&gt;=B1058),"641",""))))</f>
        <v/>
      </c>
      <c r="V1058" s="51" t="str">
        <f>IF(OR(TH!L1058=TH!$V$7,M1058=TH!$V$7),"x","")</f>
        <v/>
      </c>
      <c r="W1058" s="51" t="str">
        <f>IF(AND(B1058&gt;='IN-NX'!$P$3,B1058&lt;='IN-NX'!$Q$3,'IN-NX'!$D$7=D1058,OR(LEFT(L1058,2)="15",AND(LEFT(M1058,2)&lt;&gt;"15",LEFT(M1058,2)&lt;&gt;"33"))),"x","")</f>
        <v/>
      </c>
      <c r="X1058" s="51" t="str">
        <f>IF(AND(OR(LEFT(TH!L1058,2)="15",LEFT(TH!M1058,2)="15"),'152-CT'!$J$8=TH!F1058),"x","")</f>
        <v/>
      </c>
      <c r="Y1058" s="51" t="str">
        <f>IF(AND(OR(LEFT(TH!L1058,2)="15",LEFT(TH!M1058,2)="15"),TK!$E$7=TH!F1058),"x","")</f>
        <v/>
      </c>
      <c r="Z1058" s="51" t="str">
        <f>IF(AND(B1058&lt;=NKC!$N$8,B1058&gt;=NKC!$M$8),"x","")</f>
        <v/>
      </c>
      <c r="AA1058" s="803"/>
      <c r="AB1058" s="565"/>
    </row>
    <row r="1059" spans="1:31" ht="15.75" customHeight="1">
      <c r="A1059" s="804" t="str">
        <f>IF(B1059&lt;&gt;"",IF(AND(B1059&gt;=_TM1,B1059&lt;=_TM2,OR(TH!L1059="1111",TH!M1059="1111")),TH!D1059,""),"")</f>
        <v/>
      </c>
      <c r="B1059" s="36">
        <f t="shared" si="72"/>
        <v>11</v>
      </c>
      <c r="C1059" s="189">
        <f t="shared" si="73"/>
        <v>42314</v>
      </c>
      <c r="D1059" s="189" t="s">
        <v>1308</v>
      </c>
      <c r="E1059" s="189">
        <v>42314</v>
      </c>
      <c r="F1059" s="190" t="s">
        <v>1242</v>
      </c>
      <c r="G1059" s="811" t="s">
        <v>1087</v>
      </c>
      <c r="H1059" s="191" t="s">
        <v>449</v>
      </c>
      <c r="I1059" s="244">
        <v>3</v>
      </c>
      <c r="J1059" s="244">
        <v>85009</v>
      </c>
      <c r="K1059" s="573">
        <f t="shared" si="74"/>
        <v>255027</v>
      </c>
      <c r="L1059" s="574" t="s">
        <v>250</v>
      </c>
      <c r="M1059" s="574" t="s">
        <v>164</v>
      </c>
      <c r="N1059" s="51" t="str">
        <f>IF(AND('331-CT'!$E$7=TH!H1059,OR(L1059="331",M1059="331")),"331",IF(AND(OR(L1059="131",M1059="131"),H1059='131-CT'!$E$7),"131",""))</f>
        <v/>
      </c>
      <c r="O1059" s="51" t="str">
        <f>IF(AND($B1059&gt;='111'!$N$11,$B1059&lt;='111'!$O$11,OR($L1059=$O$7,$M1059=$O$7)),"x","")</f>
        <v/>
      </c>
      <c r="P1059" s="51" t="str">
        <f>IF(AND($L1059=$O$7,$B1059&lt;'111'!$N$11),"x","")</f>
        <v/>
      </c>
      <c r="Q1059" s="51" t="str">
        <f>IF(AND($M1059=$O$7,$B1059&lt;'111'!$N$11),"x","")</f>
        <v/>
      </c>
      <c r="R1059" s="51" t="str">
        <f>IF(ISERROR(FIND('112'!$M$9,G1059,1)),"",IF((AND(FIND('112'!$M$9,G1059,1)&gt;=1,$B1059&gt;='112'!$N$8,$B1059&lt;='112'!$O$8,OR($L1059='112'!$I$6,$M1059='112'!$I$6))),"x",""))</f>
        <v/>
      </c>
      <c r="S1059" s="51" t="str">
        <f>IF(ISERROR(FIND('112'!$M$9,G1059,1)),"",IF((AND(LEFT(G1059,2)=LEFT('112'!$M$9,2),B1059&lt;'112'!$N$8,$L1059='112'!$I$6)),"x",""))</f>
        <v/>
      </c>
      <c r="T1059" s="51" t="str">
        <f>IF(ISERROR(FIND('112'!$M$9,G1059,1)),"",IF((AND(RIGHT(G1059,2)=RIGHT('112'!$M$9,2),B1059&lt;'112'!$N$8,$M1059='112'!$I$6)),"x",""))</f>
        <v/>
      </c>
      <c r="U1059" s="51" t="str">
        <f>IF(AND(L1059="154",'154'!$O$5&lt;=B1059,'154'!$P$5&gt;=B1059),"154",IF(AND(L1059="632",'632'!$L$5&lt;=B1059,'632'!$M$5&gt;=B1059),"632",IF(AND(L1059="642",'642'!$N$5&lt;=B1059,'642'!$O$5&gt;=B1059),"642",IF(AND(L1059="641",'641'!$N$5&lt;=B1059,'641'!$O$5&gt;=B1059),"641",""))))</f>
        <v/>
      </c>
      <c r="V1059" s="51" t="str">
        <f>IF(OR(TH!L1059=TH!$V$7,M1059=TH!$V$7),"x","")</f>
        <v/>
      </c>
      <c r="W1059" s="51" t="str">
        <f>IF(AND(B1059&gt;='IN-NX'!$P$3,B1059&lt;='IN-NX'!$Q$3,'IN-NX'!$D$7=D1059,OR(LEFT(L1059,2)="15",AND(LEFT(M1059,2)&lt;&gt;"15",LEFT(M1059,2)&lt;&gt;"33"))),"x","")</f>
        <v/>
      </c>
      <c r="X1059" s="51" t="str">
        <f>IF(AND(OR(LEFT(TH!L1059,2)="15",LEFT(TH!M1059,2)="15"),'152-CT'!$J$8=TH!F1059),"x","")</f>
        <v/>
      </c>
      <c r="Y1059" s="51" t="str">
        <f>IF(AND(OR(LEFT(TH!L1059,2)="15",LEFT(TH!M1059,2)="15"),TK!$E$7=TH!F1059),"x","")</f>
        <v/>
      </c>
      <c r="Z1059" s="51" t="str">
        <f>IF(AND(B1059&lt;=NKC!$N$8,B1059&gt;=NKC!$M$8),"x","")</f>
        <v/>
      </c>
      <c r="AA1059" s="803"/>
      <c r="AB1059" s="565"/>
    </row>
    <row r="1060" spans="1:31" ht="15.75" customHeight="1">
      <c r="A1060" s="804" t="str">
        <f>IF(B1060&lt;&gt;"",IF(AND(B1060&gt;=_TM1,B1060&lt;=_TM2,OR(TH!L1060="1111",TH!M1060="1111")),TH!D1060,""),"")</f>
        <v/>
      </c>
      <c r="B1060" s="36">
        <f t="shared" si="72"/>
        <v>11</v>
      </c>
      <c r="C1060" s="189">
        <f t="shared" si="73"/>
        <v>42314</v>
      </c>
      <c r="D1060" s="189" t="s">
        <v>1308</v>
      </c>
      <c r="E1060" s="189">
        <v>42314</v>
      </c>
      <c r="F1060" s="190" t="s">
        <v>1243</v>
      </c>
      <c r="G1060" s="811" t="s">
        <v>1087</v>
      </c>
      <c r="H1060" s="191" t="s">
        <v>449</v>
      </c>
      <c r="I1060" s="243">
        <v>40</v>
      </c>
      <c r="J1060" s="243">
        <v>88545</v>
      </c>
      <c r="K1060" s="573">
        <f t="shared" si="74"/>
        <v>3541800</v>
      </c>
      <c r="L1060" s="574" t="s">
        <v>250</v>
      </c>
      <c r="M1060" s="574" t="s">
        <v>164</v>
      </c>
      <c r="N1060" s="51" t="str">
        <f>IF(AND('331-CT'!$E$7=TH!H1060,OR(L1060="331",M1060="331")),"331",IF(AND(OR(L1060="131",M1060="131"),H1060='131-CT'!$E$7),"131",""))</f>
        <v/>
      </c>
      <c r="O1060" s="51" t="str">
        <f>IF(AND($B1060&gt;='111'!$N$11,$B1060&lt;='111'!$O$11,OR($L1060=$O$7,$M1060=$O$7)),"x","")</f>
        <v/>
      </c>
      <c r="P1060" s="51" t="str">
        <f>IF(AND($L1060=$O$7,$B1060&lt;'111'!$N$11),"x","")</f>
        <v/>
      </c>
      <c r="Q1060" s="51" t="str">
        <f>IF(AND($M1060=$O$7,$B1060&lt;'111'!$N$11),"x","")</f>
        <v/>
      </c>
      <c r="R1060" s="51" t="str">
        <f>IF(ISERROR(FIND('112'!$M$9,G1060,1)),"",IF((AND(FIND('112'!$M$9,G1060,1)&gt;=1,$B1060&gt;='112'!$N$8,$B1060&lt;='112'!$O$8,OR($L1060='112'!$I$6,$M1060='112'!$I$6))),"x",""))</f>
        <v/>
      </c>
      <c r="S1060" s="51" t="str">
        <f>IF(ISERROR(FIND('112'!$M$9,G1060,1)),"",IF((AND(LEFT(G1060,2)=LEFT('112'!$M$9,2),B1060&lt;'112'!$N$8,$L1060='112'!$I$6)),"x",""))</f>
        <v/>
      </c>
      <c r="T1060" s="51" t="str">
        <f>IF(ISERROR(FIND('112'!$M$9,G1060,1)),"",IF((AND(RIGHT(G1060,2)=RIGHT('112'!$M$9,2),B1060&lt;'112'!$N$8,$M1060='112'!$I$6)),"x",""))</f>
        <v/>
      </c>
      <c r="U1060" s="51" t="str">
        <f>IF(AND(L1060="154",'154'!$O$5&lt;=B1060,'154'!$P$5&gt;=B1060),"154",IF(AND(L1060="632",'632'!$L$5&lt;=B1060,'632'!$M$5&gt;=B1060),"632",IF(AND(L1060="642",'642'!$N$5&lt;=B1060,'642'!$O$5&gt;=B1060),"642",IF(AND(L1060="641",'641'!$N$5&lt;=B1060,'641'!$O$5&gt;=B1060),"641",""))))</f>
        <v/>
      </c>
      <c r="V1060" s="51" t="str">
        <f>IF(OR(TH!L1060=TH!$V$7,M1060=TH!$V$7),"x","")</f>
        <v/>
      </c>
      <c r="W1060" s="51" t="str">
        <f>IF(AND(B1060&gt;='IN-NX'!$P$3,B1060&lt;='IN-NX'!$Q$3,'IN-NX'!$D$7=D1060,OR(LEFT(L1060,2)="15",AND(LEFT(M1060,2)&lt;&gt;"15",LEFT(M1060,2)&lt;&gt;"33"))),"x","")</f>
        <v/>
      </c>
      <c r="X1060" s="51" t="str">
        <f>IF(AND(OR(LEFT(TH!L1060,2)="15",LEFT(TH!M1060,2)="15"),'152-CT'!$J$8=TH!F1060),"x","")</f>
        <v/>
      </c>
      <c r="Y1060" s="51" t="str">
        <f>IF(AND(OR(LEFT(TH!L1060,2)="15",LEFT(TH!M1060,2)="15"),TK!$E$7=TH!F1060),"x","")</f>
        <v/>
      </c>
      <c r="Z1060" s="51" t="str">
        <f>IF(AND(B1060&lt;=NKC!$N$8,B1060&gt;=NKC!$M$8),"x","")</f>
        <v/>
      </c>
      <c r="AA1060" s="803"/>
      <c r="AB1060" s="565"/>
    </row>
    <row r="1061" spans="1:31" ht="15.75" customHeight="1">
      <c r="A1061" s="804" t="str">
        <f>IF(B1061&lt;&gt;"",IF(AND(B1061&gt;=_TM1,B1061&lt;=_TM2,OR(TH!L1061="1111",TH!M1061="1111")),TH!D1061,""),"")</f>
        <v/>
      </c>
      <c r="B1061" s="36">
        <f t="shared" si="72"/>
        <v>11</v>
      </c>
      <c r="C1061" s="189">
        <f t="shared" si="73"/>
        <v>42314</v>
      </c>
      <c r="D1061" s="189" t="s">
        <v>1308</v>
      </c>
      <c r="E1061" s="189">
        <v>42314</v>
      </c>
      <c r="F1061" s="190" t="s">
        <v>1244</v>
      </c>
      <c r="G1061" s="811" t="s">
        <v>1087</v>
      </c>
      <c r="H1061" s="191" t="s">
        <v>449</v>
      </c>
      <c r="I1061" s="243">
        <v>12</v>
      </c>
      <c r="J1061" s="243">
        <v>55766</v>
      </c>
      <c r="K1061" s="573">
        <f t="shared" si="74"/>
        <v>669192</v>
      </c>
      <c r="L1061" s="574" t="s">
        <v>250</v>
      </c>
      <c r="M1061" s="574" t="s">
        <v>164</v>
      </c>
      <c r="N1061" s="51" t="str">
        <f>IF(AND('331-CT'!$E$7=TH!H1061,OR(L1061="331",M1061="331")),"331",IF(AND(OR(L1061="131",M1061="131"),H1061='131-CT'!$E$7),"131",""))</f>
        <v/>
      </c>
      <c r="O1061" s="51" t="str">
        <f>IF(AND($B1061&gt;='111'!$N$11,$B1061&lt;='111'!$O$11,OR($L1061=$O$7,$M1061=$O$7)),"x","")</f>
        <v/>
      </c>
      <c r="P1061" s="51" t="str">
        <f>IF(AND($L1061=$O$7,$B1061&lt;'111'!$N$11),"x","")</f>
        <v/>
      </c>
      <c r="Q1061" s="51" t="str">
        <f>IF(AND($M1061=$O$7,$B1061&lt;'111'!$N$11),"x","")</f>
        <v/>
      </c>
      <c r="R1061" s="51" t="str">
        <f>IF(ISERROR(FIND('112'!$M$9,G1061,1)),"",IF((AND(FIND('112'!$M$9,G1061,1)&gt;=1,$B1061&gt;='112'!$N$8,$B1061&lt;='112'!$O$8,OR($L1061='112'!$I$6,$M1061='112'!$I$6))),"x",""))</f>
        <v/>
      </c>
      <c r="S1061" s="51" t="str">
        <f>IF(ISERROR(FIND('112'!$M$9,G1061,1)),"",IF((AND(LEFT(G1061,2)=LEFT('112'!$M$9,2),B1061&lt;'112'!$N$8,$L1061='112'!$I$6)),"x",""))</f>
        <v/>
      </c>
      <c r="T1061" s="51" t="str">
        <f>IF(ISERROR(FIND('112'!$M$9,G1061,1)),"",IF((AND(RIGHT(G1061,2)=RIGHT('112'!$M$9,2),B1061&lt;'112'!$N$8,$M1061='112'!$I$6)),"x",""))</f>
        <v/>
      </c>
      <c r="U1061" s="51" t="str">
        <f>IF(AND(L1061="154",'154'!$O$5&lt;=B1061,'154'!$P$5&gt;=B1061),"154",IF(AND(L1061="632",'632'!$L$5&lt;=B1061,'632'!$M$5&gt;=B1061),"632",IF(AND(L1061="642",'642'!$N$5&lt;=B1061,'642'!$O$5&gt;=B1061),"642",IF(AND(L1061="641",'641'!$N$5&lt;=B1061,'641'!$O$5&gt;=B1061),"641",""))))</f>
        <v/>
      </c>
      <c r="V1061" s="51" t="str">
        <f>IF(OR(TH!L1061=TH!$V$7,M1061=TH!$V$7),"x","")</f>
        <v/>
      </c>
      <c r="W1061" s="51" t="str">
        <f>IF(AND(B1061&gt;='IN-NX'!$P$3,B1061&lt;='IN-NX'!$Q$3,'IN-NX'!$D$7=D1061,OR(LEFT(L1061,2)="15",AND(LEFT(M1061,2)&lt;&gt;"15",LEFT(M1061,2)&lt;&gt;"33"))),"x","")</f>
        <v/>
      </c>
      <c r="X1061" s="51" t="str">
        <f>IF(AND(OR(LEFT(TH!L1061,2)="15",LEFT(TH!M1061,2)="15"),'152-CT'!$J$8=TH!F1061),"x","")</f>
        <v/>
      </c>
      <c r="Y1061" s="51" t="str">
        <f>IF(AND(OR(LEFT(TH!L1061,2)="15",LEFT(TH!M1061,2)="15"),TK!$E$7=TH!F1061),"x","")</f>
        <v/>
      </c>
      <c r="Z1061" s="51" t="str">
        <f>IF(AND(B1061&lt;=NKC!$N$8,B1061&gt;=NKC!$M$8),"x","")</f>
        <v/>
      </c>
      <c r="AA1061" s="803"/>
      <c r="AB1061" s="565"/>
    </row>
    <row r="1062" spans="1:31" ht="15.75" customHeight="1">
      <c r="A1062" s="804" t="str">
        <f>IF(B1062&lt;&gt;"",IF(AND(B1062&gt;=_TM1,B1062&lt;=_TM2,OR(TH!L1062="1111",TH!M1062="1111")),TH!D1062,""),"")</f>
        <v/>
      </c>
      <c r="B1062" s="36">
        <f t="shared" si="72"/>
        <v>11</v>
      </c>
      <c r="C1062" s="189">
        <f t="shared" si="73"/>
        <v>42314</v>
      </c>
      <c r="D1062" s="189" t="s">
        <v>1308</v>
      </c>
      <c r="E1062" s="189">
        <v>42314</v>
      </c>
      <c r="F1062" s="190" t="s">
        <v>1245</v>
      </c>
      <c r="G1062" s="811" t="s">
        <v>1087</v>
      </c>
      <c r="H1062" s="191" t="s">
        <v>449</v>
      </c>
      <c r="I1062" s="243">
        <v>45</v>
      </c>
      <c r="J1062" s="243">
        <v>46205</v>
      </c>
      <c r="K1062" s="573">
        <f t="shared" si="74"/>
        <v>2079225</v>
      </c>
      <c r="L1062" s="574" t="s">
        <v>250</v>
      </c>
      <c r="M1062" s="574" t="s">
        <v>164</v>
      </c>
      <c r="N1062" s="51" t="str">
        <f>IF(AND('331-CT'!$E$7=TH!H1062,OR(L1062="331",M1062="331")),"331",IF(AND(OR(L1062="131",M1062="131"),H1062='131-CT'!$E$7),"131",""))</f>
        <v/>
      </c>
      <c r="O1062" s="51" t="str">
        <f>IF(AND($B1062&gt;='111'!$N$11,$B1062&lt;='111'!$O$11,OR($L1062=$O$7,$M1062=$O$7)),"x","")</f>
        <v/>
      </c>
      <c r="P1062" s="51" t="str">
        <f>IF(AND($L1062=$O$7,$B1062&lt;'111'!$N$11),"x","")</f>
        <v/>
      </c>
      <c r="Q1062" s="51" t="str">
        <f>IF(AND($M1062=$O$7,$B1062&lt;'111'!$N$11),"x","")</f>
        <v/>
      </c>
      <c r="R1062" s="51" t="str">
        <f>IF(ISERROR(FIND('112'!$M$9,G1062,1)),"",IF((AND(FIND('112'!$M$9,G1062,1)&gt;=1,$B1062&gt;='112'!$N$8,$B1062&lt;='112'!$O$8,OR($L1062='112'!$I$6,$M1062='112'!$I$6))),"x",""))</f>
        <v/>
      </c>
      <c r="S1062" s="51" t="str">
        <f>IF(ISERROR(FIND('112'!$M$9,G1062,1)),"",IF((AND(LEFT(G1062,2)=LEFT('112'!$M$9,2),B1062&lt;'112'!$N$8,$L1062='112'!$I$6)),"x",""))</f>
        <v/>
      </c>
      <c r="T1062" s="51" t="str">
        <f>IF(ISERROR(FIND('112'!$M$9,G1062,1)),"",IF((AND(RIGHT(G1062,2)=RIGHT('112'!$M$9,2),B1062&lt;'112'!$N$8,$M1062='112'!$I$6)),"x",""))</f>
        <v/>
      </c>
      <c r="U1062" s="51" t="str">
        <f>IF(AND(L1062="154",'154'!$O$5&lt;=B1062,'154'!$P$5&gt;=B1062),"154",IF(AND(L1062="632",'632'!$L$5&lt;=B1062,'632'!$M$5&gt;=B1062),"632",IF(AND(L1062="642",'642'!$N$5&lt;=B1062,'642'!$O$5&gt;=B1062),"642",IF(AND(L1062="641",'641'!$N$5&lt;=B1062,'641'!$O$5&gt;=B1062),"641",""))))</f>
        <v/>
      </c>
      <c r="V1062" s="51" t="str">
        <f>IF(OR(TH!L1062=TH!$V$7,M1062=TH!$V$7),"x","")</f>
        <v/>
      </c>
      <c r="W1062" s="51" t="str">
        <f>IF(AND(B1062&gt;='IN-NX'!$P$3,B1062&lt;='IN-NX'!$Q$3,'IN-NX'!$D$7=D1062,OR(LEFT(L1062,2)="15",AND(LEFT(M1062,2)&lt;&gt;"15",LEFT(M1062,2)&lt;&gt;"33"))),"x","")</f>
        <v/>
      </c>
      <c r="X1062" s="51" t="str">
        <f>IF(AND(OR(LEFT(TH!L1062,2)="15",LEFT(TH!M1062,2)="15"),'152-CT'!$J$8=TH!F1062),"x","")</f>
        <v/>
      </c>
      <c r="Y1062" s="51" t="str">
        <f>IF(AND(OR(LEFT(TH!L1062,2)="15",LEFT(TH!M1062,2)="15"),TK!$E$7=TH!F1062),"x","")</f>
        <v/>
      </c>
      <c r="Z1062" s="51" t="str">
        <f>IF(AND(B1062&lt;=NKC!$N$8,B1062&gt;=NKC!$M$8),"x","")</f>
        <v/>
      </c>
      <c r="AA1062" s="803"/>
      <c r="AB1062" s="565"/>
    </row>
    <row r="1063" spans="1:31" ht="15.75" customHeight="1">
      <c r="A1063" s="804" t="str">
        <f>IF(B1063&lt;&gt;"",IF(AND(B1063&gt;=_TM1,B1063&lt;=_TM2,OR(TH!L1063="1111",TH!M1063="1111")),TH!D1063,""),"")</f>
        <v/>
      </c>
      <c r="B1063" s="36">
        <f t="shared" si="72"/>
        <v>11</v>
      </c>
      <c r="C1063" s="189">
        <f t="shared" si="73"/>
        <v>42314</v>
      </c>
      <c r="D1063" s="189" t="s">
        <v>1308</v>
      </c>
      <c r="E1063" s="189">
        <v>42314</v>
      </c>
      <c r="F1063" s="917" t="s">
        <v>1220</v>
      </c>
      <c r="G1063" s="811" t="s">
        <v>1087</v>
      </c>
      <c r="H1063" s="191" t="s">
        <v>449</v>
      </c>
      <c r="I1063" s="243">
        <v>10</v>
      </c>
      <c r="J1063" s="243">
        <v>50825</v>
      </c>
      <c r="K1063" s="573">
        <f t="shared" si="74"/>
        <v>508250</v>
      </c>
      <c r="L1063" s="574" t="s">
        <v>250</v>
      </c>
      <c r="M1063" s="574" t="s">
        <v>164</v>
      </c>
      <c r="N1063" s="51" t="str">
        <f>IF(AND('331-CT'!$E$7=TH!H1063,OR(L1063="331",M1063="331")),"331",IF(AND(OR(L1063="131",M1063="131"),H1063='131-CT'!$E$7),"131",""))</f>
        <v/>
      </c>
      <c r="O1063" s="51" t="str">
        <f>IF(AND($B1063&gt;='111'!$N$11,$B1063&lt;='111'!$O$11,OR($L1063=$O$7,$M1063=$O$7)),"x","")</f>
        <v/>
      </c>
      <c r="P1063" s="51" t="str">
        <f>IF(AND($L1063=$O$7,$B1063&lt;'111'!$N$11),"x","")</f>
        <v/>
      </c>
      <c r="Q1063" s="51" t="str">
        <f>IF(AND($M1063=$O$7,$B1063&lt;'111'!$N$11),"x","")</f>
        <v/>
      </c>
      <c r="R1063" s="51" t="str">
        <f>IF(ISERROR(FIND('112'!$M$9,G1063,1)),"",IF((AND(FIND('112'!$M$9,G1063,1)&gt;=1,$B1063&gt;='112'!$N$8,$B1063&lt;='112'!$O$8,OR($L1063='112'!$I$6,$M1063='112'!$I$6))),"x",""))</f>
        <v/>
      </c>
      <c r="S1063" s="51" t="str">
        <f>IF(ISERROR(FIND('112'!$M$9,G1063,1)),"",IF((AND(LEFT(G1063,2)=LEFT('112'!$M$9,2),B1063&lt;'112'!$N$8,$L1063='112'!$I$6)),"x",""))</f>
        <v/>
      </c>
      <c r="T1063" s="51" t="str">
        <f>IF(ISERROR(FIND('112'!$M$9,G1063,1)),"",IF((AND(RIGHT(G1063,2)=RIGHT('112'!$M$9,2),B1063&lt;'112'!$N$8,$M1063='112'!$I$6)),"x",""))</f>
        <v/>
      </c>
      <c r="U1063" s="51" t="str">
        <f>IF(AND(L1063="154",'154'!$O$5&lt;=B1063,'154'!$P$5&gt;=B1063),"154",IF(AND(L1063="632",'632'!$L$5&lt;=B1063,'632'!$M$5&gt;=B1063),"632",IF(AND(L1063="642",'642'!$N$5&lt;=B1063,'642'!$O$5&gt;=B1063),"642",IF(AND(L1063="641",'641'!$N$5&lt;=B1063,'641'!$O$5&gt;=B1063),"641",""))))</f>
        <v/>
      </c>
      <c r="V1063" s="51" t="str">
        <f>IF(OR(TH!L1063=TH!$V$7,M1063=TH!$V$7),"x","")</f>
        <v/>
      </c>
      <c r="W1063" s="51" t="str">
        <f>IF(AND(B1063&gt;='IN-NX'!$P$3,B1063&lt;='IN-NX'!$Q$3,'IN-NX'!$D$7=D1063,OR(LEFT(L1063,2)="15",AND(LEFT(M1063,2)&lt;&gt;"15",LEFT(M1063,2)&lt;&gt;"33"))),"x","")</f>
        <v/>
      </c>
      <c r="X1063" s="51" t="str">
        <f>IF(AND(OR(LEFT(TH!L1063,2)="15",LEFT(TH!M1063,2)="15"),'152-CT'!$J$8=TH!F1063),"x","")</f>
        <v/>
      </c>
      <c r="Y1063" s="51" t="str">
        <f>IF(AND(OR(LEFT(TH!L1063,2)="15",LEFT(TH!M1063,2)="15"),TK!$E$7=TH!F1063),"x","")</f>
        <v/>
      </c>
      <c r="Z1063" s="51" t="str">
        <f>IF(AND(B1063&lt;=NKC!$N$8,B1063&gt;=NKC!$M$8),"x","")</f>
        <v/>
      </c>
      <c r="AA1063" s="803"/>
      <c r="AB1063" s="565"/>
    </row>
    <row r="1064" spans="1:31" ht="15.75" customHeight="1">
      <c r="A1064" s="804" t="str">
        <f>IF(B1064&lt;&gt;"",IF(AND(B1064&gt;=_TM1,B1064&lt;=_TM2,OR(TH!L1064="1111",TH!M1064="1111")),TH!D1064,""),"")</f>
        <v/>
      </c>
      <c r="B1064" s="36">
        <f t="shared" si="72"/>
        <v>11</v>
      </c>
      <c r="C1064" s="189">
        <f t="shared" si="73"/>
        <v>42314</v>
      </c>
      <c r="D1064" s="189" t="s">
        <v>1308</v>
      </c>
      <c r="E1064" s="189">
        <v>42314</v>
      </c>
      <c r="F1064" s="190" t="s">
        <v>962</v>
      </c>
      <c r="G1064" s="811" t="s">
        <v>1087</v>
      </c>
      <c r="H1064" s="191" t="s">
        <v>449</v>
      </c>
      <c r="I1064" s="243"/>
      <c r="J1064" s="243"/>
      <c r="K1064" s="573">
        <v>988334</v>
      </c>
      <c r="L1064" s="574" t="s">
        <v>250</v>
      </c>
      <c r="M1064" s="574" t="s">
        <v>352</v>
      </c>
      <c r="N1064" s="51" t="str">
        <f>IF(AND('331-CT'!$E$7=TH!H1064,OR(L1064="331",M1064="331")),"331",IF(AND(OR(L1064="131",M1064="131"),H1064='131-CT'!$E$7),"131",""))</f>
        <v/>
      </c>
      <c r="O1064" s="51" t="str">
        <f>IF(AND($B1064&gt;='111'!$N$11,$B1064&lt;='111'!$O$11,OR($L1064=$O$7,$M1064=$O$7)),"x","")</f>
        <v/>
      </c>
      <c r="P1064" s="51" t="str">
        <f>IF(AND($L1064=$O$7,$B1064&lt;'111'!$N$11),"x","")</f>
        <v/>
      </c>
      <c r="Q1064" s="51" t="str">
        <f>IF(AND($M1064=$O$7,$B1064&lt;'111'!$N$11),"x","")</f>
        <v/>
      </c>
      <c r="R1064" s="51" t="str">
        <f>IF(ISERROR(FIND('112'!$M$9,G1064,1)),"",IF((AND(FIND('112'!$M$9,G1064,1)&gt;=1,$B1064&gt;='112'!$N$8,$B1064&lt;='112'!$O$8,OR($L1064='112'!$I$6,$M1064='112'!$I$6))),"x",""))</f>
        <v/>
      </c>
      <c r="S1064" s="51" t="str">
        <f>IF(ISERROR(FIND('112'!$M$9,G1064,1)),"",IF((AND(LEFT(G1064,2)=LEFT('112'!$M$9,2),B1064&lt;'112'!$N$8,$L1064='112'!$I$6)),"x",""))</f>
        <v/>
      </c>
      <c r="T1064" s="51" t="str">
        <f>IF(ISERROR(FIND('112'!$M$9,G1064,1)),"",IF((AND(RIGHT(G1064,2)=RIGHT('112'!$M$9,2),B1064&lt;'112'!$N$8,$M1064='112'!$I$6)),"x",""))</f>
        <v/>
      </c>
      <c r="U1064" s="51" t="str">
        <f>IF(AND(L1064="154",'154'!$O$5&lt;=B1064,'154'!$P$5&gt;=B1064),"154",IF(AND(L1064="632",'632'!$L$5&lt;=B1064,'632'!$M$5&gt;=B1064),"632",IF(AND(L1064="642",'642'!$N$5&lt;=B1064,'642'!$O$5&gt;=B1064),"642",IF(AND(L1064="641",'641'!$N$5&lt;=B1064,'641'!$O$5&gt;=B1064),"641",""))))</f>
        <v/>
      </c>
      <c r="V1064" s="51" t="str">
        <f>IF(OR(TH!L1064=TH!$V$7,M1064=TH!$V$7),"x","")</f>
        <v/>
      </c>
      <c r="W1064" s="51" t="str">
        <f>IF(AND(B1064&gt;='IN-NX'!$P$3,B1064&lt;='IN-NX'!$Q$3,'IN-NX'!$D$7=D1064,OR(LEFT(L1064,2)="15",AND(LEFT(M1064,2)&lt;&gt;"15",LEFT(M1064,2)&lt;&gt;"33"))),"x","")</f>
        <v/>
      </c>
      <c r="X1064" s="51" t="str">
        <f>IF(AND(OR(LEFT(TH!L1064,2)="15",LEFT(TH!M1064,2)="15"),'152-CT'!$J$8=TH!F1064),"x","")</f>
        <v/>
      </c>
      <c r="Y1064" s="51" t="str">
        <f>IF(AND(OR(LEFT(TH!L1064,2)="15",LEFT(TH!M1064,2)="15"),TK!$E$7=TH!F1064),"x","")</f>
        <v/>
      </c>
      <c r="Z1064" s="51" t="str">
        <f>IF(AND(B1064&lt;=NKC!$N$8,B1064&gt;=NKC!$M$8),"x","")</f>
        <v/>
      </c>
      <c r="AA1064" s="803"/>
      <c r="AB1064" s="565"/>
    </row>
    <row r="1065" spans="1:31" ht="15.75" customHeight="1">
      <c r="A1065" s="804" t="str">
        <f>IF(B1065&lt;&gt;"",IF(AND(B1065&gt;=_TM1,B1065&lt;=_TM2,OR(TH!L1065="1111",TH!M1065="1111")),TH!D1065,""),"")</f>
        <v/>
      </c>
      <c r="B1065" s="36">
        <f t="shared" si="72"/>
        <v>11</v>
      </c>
      <c r="C1065" s="189">
        <f t="shared" si="73"/>
        <v>42317</v>
      </c>
      <c r="D1065" s="189" t="s">
        <v>421</v>
      </c>
      <c r="E1065" s="182">
        <v>42317</v>
      </c>
      <c r="F1065" s="190" t="s">
        <v>423</v>
      </c>
      <c r="G1065" s="811" t="s">
        <v>415</v>
      </c>
      <c r="H1065" s="202" t="s">
        <v>424</v>
      </c>
      <c r="I1065" s="243"/>
      <c r="J1065" s="243"/>
      <c r="K1065" s="573">
        <v>7663331</v>
      </c>
      <c r="L1065" s="574" t="s">
        <v>24</v>
      </c>
      <c r="M1065" s="192" t="s">
        <v>250</v>
      </c>
      <c r="N1065" s="51" t="str">
        <f>IF(AND('331-CT'!$E$7=TH!H1065,OR(L1065="331",M1065="331")),"331",IF(AND(OR(L1065="131",M1065="131"),H1065='131-CT'!$E$7),"131",""))</f>
        <v/>
      </c>
      <c r="O1065" s="51" t="str">
        <f>IF(AND($B1065&gt;='111'!$N$11,$B1065&lt;='111'!$O$11,OR($L1065=$O$7,$M1065=$O$7)),"x","")</f>
        <v/>
      </c>
      <c r="P1065" s="51" t="str">
        <f>IF(AND($L1065=$O$7,$B1065&lt;'111'!$N$11),"x","")</f>
        <v/>
      </c>
      <c r="Q1065" s="51" t="str">
        <f>IF(AND($M1065=$O$7,$B1065&lt;'111'!$N$11),"x","")</f>
        <v/>
      </c>
      <c r="R1065" s="51" t="str">
        <f>IF(ISERROR(FIND('112'!$M$9,G1065,1)),"",IF((AND(FIND('112'!$M$9,G1065,1)&gt;=1,$B1065&gt;='112'!$N$8,$B1065&lt;='112'!$O$8,OR($L1065='112'!$I$6,$M1065='112'!$I$6))),"x",""))</f>
        <v/>
      </c>
      <c r="S1065" s="51" t="str">
        <f>IF(ISERROR(FIND('112'!$M$9,G1065,1)),"",IF((AND(LEFT(G1065,2)=LEFT('112'!$M$9,2),B1065&lt;'112'!$N$8,$L1065='112'!$I$6)),"x",""))</f>
        <v/>
      </c>
      <c r="T1065" s="51" t="str">
        <f>IF(ISERROR(FIND('112'!$M$9,G1065,1)),"",IF((AND(RIGHT(G1065,2)=RIGHT('112'!$M$9,2),B1065&lt;'112'!$N$8,$M1065='112'!$I$6)),"x",""))</f>
        <v/>
      </c>
      <c r="U1065" s="51" t="str">
        <f>IF(AND(L1065="154",'154'!$O$5&lt;=B1065,'154'!$P$5&gt;=B1065),"154",IF(AND(L1065="632",'632'!$L$5&lt;=B1065,'632'!$M$5&gt;=B1065),"632",IF(AND(L1065="642",'642'!$N$5&lt;=B1065,'642'!$O$5&gt;=B1065),"642",IF(AND(L1065="641",'641'!$N$5&lt;=B1065,'641'!$O$5&gt;=B1065),"641",""))))</f>
        <v/>
      </c>
      <c r="V1065" s="51" t="str">
        <f>IF(OR(TH!L1065=TH!$V$7,M1065=TH!$V$7),"x","")</f>
        <v/>
      </c>
      <c r="W1065" s="51" t="str">
        <f>IF(AND(B1065&gt;='IN-NX'!$P$3,B1065&lt;='IN-NX'!$Q$3,'IN-NX'!$D$7=D1065,OR(LEFT(L1065,2)="15",AND(LEFT(M1065,2)&lt;&gt;"15",LEFT(M1065,2)&lt;&gt;"33"))),"x","")</f>
        <v/>
      </c>
      <c r="X1065" s="51" t="str">
        <f>IF(AND(OR(LEFT(TH!L1065,2)="15",LEFT(TH!M1065,2)="15"),'152-CT'!$J$8=TH!F1065),"x","")</f>
        <v/>
      </c>
      <c r="Y1065" s="51" t="str">
        <f>IF(AND(OR(LEFT(TH!L1065,2)="15",LEFT(TH!M1065,2)="15"),TK!$E$7=TH!F1065),"x","")</f>
        <v/>
      </c>
      <c r="Z1065" s="51" t="str">
        <f>IF(AND(B1065&lt;=NKC!$N$8,B1065&gt;=NKC!$M$8),"x","")</f>
        <v/>
      </c>
      <c r="AA1065" s="803"/>
      <c r="AB1065" s="565"/>
      <c r="AD1065" s="565"/>
      <c r="AE1065" s="565"/>
    </row>
    <row r="1066" spans="1:31" ht="15.75" customHeight="1">
      <c r="A1066" s="804" t="str">
        <f>IF(B1066&lt;&gt;"",IF(AND(B1066&gt;=_TM1,B1066&lt;=_TM2,OR(TH!L1066="1111",TH!M1066="1111")),TH!D1066,""),"")</f>
        <v/>
      </c>
      <c r="B1066" s="36">
        <f t="shared" si="72"/>
        <v>11</v>
      </c>
      <c r="C1066" s="189">
        <f t="shared" si="73"/>
        <v>42317</v>
      </c>
      <c r="D1066" s="189" t="s">
        <v>1376</v>
      </c>
      <c r="E1066" s="182">
        <v>42317</v>
      </c>
      <c r="F1066" s="187" t="s">
        <v>427</v>
      </c>
      <c r="G1066" s="811" t="s">
        <v>415</v>
      </c>
      <c r="H1066" s="7" t="s">
        <v>437</v>
      </c>
      <c r="I1066" s="243"/>
      <c r="J1066" s="243"/>
      <c r="K1066" s="573">
        <v>7800000</v>
      </c>
      <c r="L1066" s="574" t="s">
        <v>47</v>
      </c>
      <c r="M1066" s="192" t="s">
        <v>24</v>
      </c>
      <c r="N1066" s="51" t="str">
        <f>IF(AND('331-CT'!$E$7=TH!H1066,OR(L1066="331",M1066="331")),"331",IF(AND(OR(L1066="131",M1066="131"),H1066='131-CT'!$E$7),"131",""))</f>
        <v/>
      </c>
      <c r="O1066" s="51" t="str">
        <f>IF(AND($B1066&gt;='111'!$N$11,$B1066&lt;='111'!$O$11,OR($L1066=$O$7,$M1066=$O$7)),"x","")</f>
        <v>x</v>
      </c>
      <c r="P1066" s="51" t="str">
        <f>IF(AND($L1066=$O$7,$B1066&lt;'111'!$N$11),"x","")</f>
        <v/>
      </c>
      <c r="Q1066" s="51" t="str">
        <f>IF(AND($M1066=$O$7,$B1066&lt;'111'!$N$11),"x","")</f>
        <v/>
      </c>
      <c r="R1066" s="51" t="str">
        <f>IF(ISERROR(FIND('112'!$M$9,G1066,1)),"",IF((AND(FIND('112'!$M$9,G1066,1)&gt;=1,$B1066&gt;='112'!$N$8,$B1066&lt;='112'!$O$8,OR($L1066='112'!$I$6,$M1066='112'!$I$6))),"x",""))</f>
        <v/>
      </c>
      <c r="S1066" s="51" t="str">
        <f>IF(ISERROR(FIND('112'!$M$9,G1066,1)),"",IF((AND(LEFT(G1066,2)=LEFT('112'!$M$9,2),B1066&lt;'112'!$N$8,$L1066='112'!$I$6)),"x",""))</f>
        <v/>
      </c>
      <c r="T1066" s="51" t="str">
        <f>IF(ISERROR(FIND('112'!$M$9,G1066,1)),"",IF((AND(RIGHT(G1066,2)=RIGHT('112'!$M$9,2),B1066&lt;'112'!$N$8,$M1066='112'!$I$6)),"x",""))</f>
        <v/>
      </c>
      <c r="U1066" s="51" t="str">
        <f>IF(AND(L1066="154",'154'!$O$5&lt;=B1066,'154'!$P$5&gt;=B1066),"154",IF(AND(L1066="632",'632'!$L$5&lt;=B1066,'632'!$M$5&gt;=B1066),"632",IF(AND(L1066="642",'642'!$N$5&lt;=B1066,'642'!$O$5&gt;=B1066),"642",IF(AND(L1066="641",'641'!$N$5&lt;=B1066,'641'!$O$5&gt;=B1066),"641",""))))</f>
        <v/>
      </c>
      <c r="V1066" s="51" t="str">
        <f>IF(OR(TH!L1066=TH!$V$7,M1066=TH!$V$7),"x","")</f>
        <v/>
      </c>
      <c r="W1066" s="51" t="str">
        <f>IF(AND(B1066&gt;='IN-NX'!$P$3,B1066&lt;='IN-NX'!$Q$3,'IN-NX'!$D$7=D1066,OR(LEFT(L1066,2)="15",AND(LEFT(M1066,2)&lt;&gt;"15",LEFT(M1066,2)&lt;&gt;"33"))),"x","")</f>
        <v/>
      </c>
      <c r="X1066" s="51" t="str">
        <f>IF(AND(OR(LEFT(TH!L1066,2)="15",LEFT(TH!M1066,2)="15"),'152-CT'!$J$8=TH!F1066),"x","")</f>
        <v/>
      </c>
      <c r="Y1066" s="51" t="str">
        <f>IF(AND(OR(LEFT(TH!L1066,2)="15",LEFT(TH!M1066,2)="15"),TK!$E$7=TH!F1066),"x","")</f>
        <v/>
      </c>
      <c r="Z1066" s="51" t="str">
        <f>IF(AND(B1066&lt;=NKC!$N$8,B1066&gt;=NKC!$M$8),"x","")</f>
        <v/>
      </c>
      <c r="AA1066" s="803"/>
      <c r="AB1066" s="565"/>
      <c r="AE1066" s="565"/>
    </row>
    <row r="1067" spans="1:31" ht="15.75" customHeight="1">
      <c r="A1067" s="804" t="str">
        <f>IF(B1067&lt;&gt;"",IF(AND(B1067&gt;=_TM1,B1067&lt;=_TM2,OR(TH!L1067="1111",TH!M1067="1111")),TH!D1067,""),"")</f>
        <v/>
      </c>
      <c r="B1067" s="36">
        <f t="shared" si="72"/>
        <v>11</v>
      </c>
      <c r="C1067" s="189">
        <f t="shared" si="73"/>
        <v>42317</v>
      </c>
      <c r="D1067" s="189" t="s">
        <v>346</v>
      </c>
      <c r="E1067" s="189">
        <v>42317</v>
      </c>
      <c r="F1067" s="190" t="s">
        <v>490</v>
      </c>
      <c r="G1067" s="813" t="s">
        <v>829</v>
      </c>
      <c r="H1067" s="191" t="s">
        <v>828</v>
      </c>
      <c r="I1067" s="243"/>
      <c r="J1067" s="243"/>
      <c r="K1067" s="573">
        <v>1437000</v>
      </c>
      <c r="L1067" s="574" t="s">
        <v>251</v>
      </c>
      <c r="M1067" s="574" t="s">
        <v>47</v>
      </c>
      <c r="N1067" s="51" t="str">
        <f>IF(AND('331-CT'!$E$7=TH!H1067,OR(L1067="331",M1067="331")),"331",IF(AND(OR(L1067="131",M1067="131"),H1067='131-CT'!$E$7),"131",""))</f>
        <v/>
      </c>
      <c r="O1067" s="51" t="str">
        <f>IF(AND($B1067&gt;='111'!$N$11,$B1067&lt;='111'!$O$11,OR($L1067=$O$7,$M1067=$O$7)),"x","")</f>
        <v>x</v>
      </c>
      <c r="P1067" s="51" t="str">
        <f>IF(AND($L1067=$O$7,$B1067&lt;'111'!$N$11),"x","")</f>
        <v/>
      </c>
      <c r="Q1067" s="51" t="str">
        <f>IF(AND($M1067=$O$7,$B1067&lt;'111'!$N$11),"x","")</f>
        <v/>
      </c>
      <c r="R1067" s="51" t="str">
        <f>IF(ISERROR(FIND('112'!$M$9,G1067,1)),"",IF((AND(FIND('112'!$M$9,G1067,1)&gt;=1,$B1067&gt;='112'!$N$8,$B1067&lt;='112'!$O$8,OR($L1067='112'!$I$6,$M1067='112'!$I$6))),"x",""))</f>
        <v/>
      </c>
      <c r="S1067" s="51" t="str">
        <f>IF(ISERROR(FIND('112'!$M$9,G1067,1)),"",IF((AND(LEFT(G1067,2)=LEFT('112'!$M$9,2),B1067&lt;'112'!$N$8,$L1067='112'!$I$6)),"x",""))</f>
        <v/>
      </c>
      <c r="T1067" s="51" t="str">
        <f>IF(ISERROR(FIND('112'!$M$9,G1067,1)),"",IF((AND(RIGHT(G1067,2)=RIGHT('112'!$M$9,2),B1067&lt;'112'!$N$8,$M1067='112'!$I$6)),"x",""))</f>
        <v/>
      </c>
      <c r="U1067" s="51" t="str">
        <f>IF(AND(L1067="154",'154'!$O$5&lt;=B1067,'154'!$P$5&gt;=B1067),"154",IF(AND(L1067="632",'632'!$L$5&lt;=B1067,'632'!$M$5&gt;=B1067),"632",IF(AND(L1067="642",'642'!$N$5&lt;=B1067,'642'!$O$5&gt;=B1067),"642",IF(AND(L1067="641",'641'!$N$5&lt;=B1067,'641'!$O$5&gt;=B1067),"641",""))))</f>
        <v/>
      </c>
      <c r="V1067" s="51" t="str">
        <f>IF(OR(TH!L1067=TH!$V$7,M1067=TH!$V$7),"x","")</f>
        <v/>
      </c>
      <c r="W1067" s="51" t="str">
        <f>IF(AND(B1067&gt;='IN-NX'!$P$3,B1067&lt;='IN-NX'!$Q$3,'IN-NX'!$D$7=D1067,OR(LEFT(L1067,2)="15",AND(LEFT(M1067,2)&lt;&gt;"15",LEFT(M1067,2)&lt;&gt;"33"))),"x","")</f>
        <v/>
      </c>
      <c r="X1067" s="51" t="str">
        <f>IF(AND(OR(LEFT(TH!L1067,2)="15",LEFT(TH!M1067,2)="15"),'152-CT'!$J$8=TH!F1067),"x","")</f>
        <v/>
      </c>
      <c r="Y1067" s="51" t="str">
        <f>IF(AND(OR(LEFT(TH!L1067,2)="15",LEFT(TH!M1067,2)="15"),TK!$E$7=TH!F1067),"x","")</f>
        <v/>
      </c>
      <c r="Z1067" s="51" t="str">
        <f>IF(AND(B1067&lt;=NKC!$N$8,B1067&gt;=NKC!$M$8),"x","")</f>
        <v/>
      </c>
      <c r="AA1067" s="803"/>
      <c r="AB1067" s="565"/>
      <c r="AE1067" s="565"/>
    </row>
    <row r="1068" spans="1:31" ht="15.75" customHeight="1">
      <c r="A1068" s="804" t="str">
        <f>IF(B1068&lt;&gt;"",IF(AND(B1068&gt;=_TM1,B1068&lt;=_TM2,OR(TH!L1068="1111",TH!M1068="1111")),TH!D1068,""),"")</f>
        <v/>
      </c>
      <c r="B1068" s="36">
        <f t="shared" si="72"/>
        <v>11</v>
      </c>
      <c r="C1068" s="189">
        <f t="shared" si="73"/>
        <v>42317</v>
      </c>
      <c r="D1068" s="189" t="s">
        <v>1417</v>
      </c>
      <c r="E1068" s="189">
        <v>42317</v>
      </c>
      <c r="F1068" s="190" t="s">
        <v>870</v>
      </c>
      <c r="G1068" s="813" t="s">
        <v>869</v>
      </c>
      <c r="H1068" s="191" t="s">
        <v>448</v>
      </c>
      <c r="I1068" s="243">
        <v>30</v>
      </c>
      <c r="J1068" s="243">
        <v>30375</v>
      </c>
      <c r="K1068" s="573">
        <f t="shared" ref="K1068:K1092" si="75">ROUND(I1068*J1068,0)</f>
        <v>911250</v>
      </c>
      <c r="L1068" s="574" t="s">
        <v>417</v>
      </c>
      <c r="M1068" s="574" t="s">
        <v>8</v>
      </c>
      <c r="N1068" s="51" t="str">
        <f>IF(AND('331-CT'!$E$7=TH!H1068,OR(L1068="331",M1068="331")),"331",IF(AND(OR(L1068="131",M1068="131"),H1068='131-CT'!$E$7),"131",""))</f>
        <v/>
      </c>
      <c r="O1068" s="51" t="str">
        <f>IF(AND($B1068&gt;='111'!$N$11,$B1068&lt;='111'!$O$11,OR($L1068=$O$7,$M1068=$O$7)),"x","")</f>
        <v/>
      </c>
      <c r="P1068" s="51" t="str">
        <f>IF(AND($L1068=$O$7,$B1068&lt;'111'!$N$11),"x","")</f>
        <v/>
      </c>
      <c r="Q1068" s="51" t="str">
        <f>IF(AND($M1068=$O$7,$B1068&lt;'111'!$N$11),"x","")</f>
        <v/>
      </c>
      <c r="R1068" s="51" t="str">
        <f>IF(ISERROR(FIND('112'!$M$9,G1068,1)),"",IF((AND(FIND('112'!$M$9,G1068,1)&gt;=1,$B1068&gt;='112'!$N$8,$B1068&lt;='112'!$O$8,OR($L1068='112'!$I$6,$M1068='112'!$I$6))),"x",""))</f>
        <v/>
      </c>
      <c r="S1068" s="51" t="str">
        <f>IF(ISERROR(FIND('112'!$M$9,G1068,1)),"",IF((AND(LEFT(G1068,2)=LEFT('112'!$M$9,2),B1068&lt;'112'!$N$8,$L1068='112'!$I$6)),"x",""))</f>
        <v/>
      </c>
      <c r="T1068" s="51" t="str">
        <f>IF(ISERROR(FIND('112'!$M$9,G1068,1)),"",IF((AND(RIGHT(G1068,2)=RIGHT('112'!$M$9,2),B1068&lt;'112'!$N$8,$M1068='112'!$I$6)),"x",""))</f>
        <v/>
      </c>
      <c r="U1068" s="51" t="str">
        <f>IF(AND(L1068="154",'154'!$O$5&lt;=B1068,'154'!$P$5&gt;=B1068),"154",IF(AND(L1068="632",'632'!$L$5&lt;=B1068,'632'!$M$5&gt;=B1068),"632",IF(AND(L1068="642",'642'!$N$5&lt;=B1068,'642'!$O$5&gt;=B1068),"642",IF(AND(L1068="641",'641'!$N$5&lt;=B1068,'641'!$O$5&gt;=B1068),"641",""))))</f>
        <v/>
      </c>
      <c r="V1068" s="51" t="str">
        <f>IF(OR(TH!L1068=TH!$V$7,M1068=TH!$V$7),"x","")</f>
        <v/>
      </c>
      <c r="W1068" s="51" t="str">
        <f>IF(AND(B1068&gt;='IN-NX'!$P$3,B1068&lt;='IN-NX'!$Q$3,'IN-NX'!$D$7=D1068,OR(LEFT(L1068,2)="15",AND(LEFT(M1068,2)&lt;&gt;"15",LEFT(M1068,2)&lt;&gt;"33"))),"x","")</f>
        <v/>
      </c>
      <c r="X1068" s="51" t="str">
        <f>IF(AND(OR(LEFT(TH!L1068,2)="15",LEFT(TH!M1068,2)="15"),'152-CT'!$J$8=TH!F1068),"x","")</f>
        <v/>
      </c>
      <c r="Y1068" s="51" t="str">
        <f>IF(AND(OR(LEFT(TH!L1068,2)="15",LEFT(TH!M1068,2)="15"),TK!$E$7=TH!F1068),"x","")</f>
        <v/>
      </c>
      <c r="Z1068" s="51" t="str">
        <f>IF(AND(B1068&lt;=NKC!$N$8,B1068&gt;=NKC!$M$8),"x","")</f>
        <v/>
      </c>
      <c r="AA1068" s="803"/>
      <c r="AB1068" s="565"/>
      <c r="AE1068" s="565"/>
    </row>
    <row r="1069" spans="1:31" ht="15.75" customHeight="1">
      <c r="A1069" s="804" t="str">
        <f>IF(B1069&lt;&gt;"",IF(AND(B1069&gt;=_TM1,B1069&lt;=_TM2,OR(TH!L1069="1111",TH!M1069="1111")),TH!D1069,""),"")</f>
        <v/>
      </c>
      <c r="B1069" s="36">
        <f t="shared" si="72"/>
        <v>11</v>
      </c>
      <c r="C1069" s="189">
        <f t="shared" si="73"/>
        <v>42317</v>
      </c>
      <c r="D1069" s="189" t="s">
        <v>1417</v>
      </c>
      <c r="E1069" s="189">
        <v>42317</v>
      </c>
      <c r="F1069" s="190" t="s">
        <v>871</v>
      </c>
      <c r="G1069" s="813" t="s">
        <v>869</v>
      </c>
      <c r="H1069" s="191" t="s">
        <v>448</v>
      </c>
      <c r="I1069" s="243">
        <v>20</v>
      </c>
      <c r="J1069" s="243">
        <v>22545</v>
      </c>
      <c r="K1069" s="573">
        <f t="shared" si="75"/>
        <v>450900</v>
      </c>
      <c r="L1069" s="574" t="s">
        <v>417</v>
      </c>
      <c r="M1069" s="574" t="s">
        <v>8</v>
      </c>
      <c r="N1069" s="51" t="str">
        <f>IF(AND('331-CT'!$E$7=TH!H1069,OR(L1069="331",M1069="331")),"331",IF(AND(OR(L1069="131",M1069="131"),H1069='131-CT'!$E$7),"131",""))</f>
        <v/>
      </c>
      <c r="O1069" s="51" t="str">
        <f>IF(AND($B1069&gt;='111'!$N$11,$B1069&lt;='111'!$O$11,OR($L1069=$O$7,$M1069=$O$7)),"x","")</f>
        <v/>
      </c>
      <c r="P1069" s="51" t="str">
        <f>IF(AND($L1069=$O$7,$B1069&lt;'111'!$N$11),"x","")</f>
        <v/>
      </c>
      <c r="Q1069" s="51" t="str">
        <f>IF(AND($M1069=$O$7,$B1069&lt;'111'!$N$11),"x","")</f>
        <v/>
      </c>
      <c r="R1069" s="51" t="str">
        <f>IF(ISERROR(FIND('112'!$M$9,G1069,1)),"",IF((AND(FIND('112'!$M$9,G1069,1)&gt;=1,$B1069&gt;='112'!$N$8,$B1069&lt;='112'!$O$8,OR($L1069='112'!$I$6,$M1069='112'!$I$6))),"x",""))</f>
        <v/>
      </c>
      <c r="S1069" s="51" t="str">
        <f>IF(ISERROR(FIND('112'!$M$9,G1069,1)),"",IF((AND(LEFT(G1069,2)=LEFT('112'!$M$9,2),B1069&lt;'112'!$N$8,$L1069='112'!$I$6)),"x",""))</f>
        <v/>
      </c>
      <c r="T1069" s="51" t="str">
        <f>IF(ISERROR(FIND('112'!$M$9,G1069,1)),"",IF((AND(RIGHT(G1069,2)=RIGHT('112'!$M$9,2),B1069&lt;'112'!$N$8,$M1069='112'!$I$6)),"x",""))</f>
        <v/>
      </c>
      <c r="U1069" s="51" t="str">
        <f>IF(AND(L1069="154",'154'!$O$5&lt;=B1069,'154'!$P$5&gt;=B1069),"154",IF(AND(L1069="632",'632'!$L$5&lt;=B1069,'632'!$M$5&gt;=B1069),"632",IF(AND(L1069="642",'642'!$N$5&lt;=B1069,'642'!$O$5&gt;=B1069),"642",IF(AND(L1069="641",'641'!$N$5&lt;=B1069,'641'!$O$5&gt;=B1069),"641",""))))</f>
        <v/>
      </c>
      <c r="V1069" s="51" t="str">
        <f>IF(OR(TH!L1069=TH!$V$7,M1069=TH!$V$7),"x","")</f>
        <v/>
      </c>
      <c r="W1069" s="51" t="str">
        <f>IF(AND(B1069&gt;='IN-NX'!$P$3,B1069&lt;='IN-NX'!$Q$3,'IN-NX'!$D$7=D1069,OR(LEFT(L1069,2)="15",AND(LEFT(M1069,2)&lt;&gt;"15",LEFT(M1069,2)&lt;&gt;"33"))),"x","")</f>
        <v/>
      </c>
      <c r="X1069" s="51" t="str">
        <f>IF(AND(OR(LEFT(TH!L1069,2)="15",LEFT(TH!M1069,2)="15"),'152-CT'!$J$8=TH!F1069),"x","")</f>
        <v/>
      </c>
      <c r="Y1069" s="51" t="str">
        <f>IF(AND(OR(LEFT(TH!L1069,2)="15",LEFT(TH!M1069,2)="15"),TK!$E$7=TH!F1069),"x","")</f>
        <v/>
      </c>
      <c r="Z1069" s="51" t="str">
        <f>IF(AND(B1069&lt;=NKC!$N$8,B1069&gt;=NKC!$M$8),"x","")</f>
        <v/>
      </c>
      <c r="AA1069" s="803"/>
      <c r="AB1069" s="565"/>
      <c r="AE1069" s="565"/>
    </row>
    <row r="1070" spans="1:31" ht="15.75" customHeight="1">
      <c r="A1070" s="804" t="str">
        <f>IF(B1070&lt;&gt;"",IF(AND(B1070&gt;=_TM1,B1070&lt;=_TM2,OR(TH!L1070="1111",TH!M1070="1111")),TH!D1070,""),"")</f>
        <v/>
      </c>
      <c r="B1070" s="36">
        <f t="shared" si="72"/>
        <v>11</v>
      </c>
      <c r="C1070" s="189">
        <f t="shared" si="73"/>
        <v>42317</v>
      </c>
      <c r="D1070" s="189" t="s">
        <v>1417</v>
      </c>
      <c r="E1070" s="189">
        <v>42317</v>
      </c>
      <c r="F1070" s="917" t="s">
        <v>872</v>
      </c>
      <c r="G1070" s="813" t="s">
        <v>869</v>
      </c>
      <c r="H1070" s="191" t="s">
        <v>448</v>
      </c>
      <c r="I1070" s="243">
        <v>25</v>
      </c>
      <c r="J1070" s="243">
        <v>24188</v>
      </c>
      <c r="K1070" s="573">
        <f t="shared" si="75"/>
        <v>604700</v>
      </c>
      <c r="L1070" s="574" t="s">
        <v>417</v>
      </c>
      <c r="M1070" s="574" t="s">
        <v>8</v>
      </c>
      <c r="N1070" s="51" t="str">
        <f>IF(AND('331-CT'!$E$7=TH!H1070,OR(L1070="331",M1070="331")),"331",IF(AND(OR(L1070="131",M1070="131"),H1070='131-CT'!$E$7),"131",""))</f>
        <v/>
      </c>
      <c r="O1070" s="51" t="str">
        <f>IF(AND($B1070&gt;='111'!$N$11,$B1070&lt;='111'!$O$11,OR($L1070=$O$7,$M1070=$O$7)),"x","")</f>
        <v/>
      </c>
      <c r="P1070" s="51" t="str">
        <f>IF(AND($L1070=$O$7,$B1070&lt;'111'!$N$11),"x","")</f>
        <v/>
      </c>
      <c r="Q1070" s="51" t="str">
        <f>IF(AND($M1070=$O$7,$B1070&lt;'111'!$N$11),"x","")</f>
        <v/>
      </c>
      <c r="R1070" s="51" t="str">
        <f>IF(ISERROR(FIND('112'!$M$9,G1070,1)),"",IF((AND(FIND('112'!$M$9,G1070,1)&gt;=1,$B1070&gt;='112'!$N$8,$B1070&lt;='112'!$O$8,OR($L1070='112'!$I$6,$M1070='112'!$I$6))),"x",""))</f>
        <v/>
      </c>
      <c r="S1070" s="51" t="str">
        <f>IF(ISERROR(FIND('112'!$M$9,G1070,1)),"",IF((AND(LEFT(G1070,2)=LEFT('112'!$M$9,2),B1070&lt;'112'!$N$8,$L1070='112'!$I$6)),"x",""))</f>
        <v/>
      </c>
      <c r="T1070" s="51" t="str">
        <f>IF(ISERROR(FIND('112'!$M$9,G1070,1)),"",IF((AND(RIGHT(G1070,2)=RIGHT('112'!$M$9,2),B1070&lt;'112'!$N$8,$M1070='112'!$I$6)),"x",""))</f>
        <v/>
      </c>
      <c r="U1070" s="51" t="str">
        <f>IF(AND(L1070="154",'154'!$O$5&lt;=B1070,'154'!$P$5&gt;=B1070),"154",IF(AND(L1070="632",'632'!$L$5&lt;=B1070,'632'!$M$5&gt;=B1070),"632",IF(AND(L1070="642",'642'!$N$5&lt;=B1070,'642'!$O$5&gt;=B1070),"642",IF(AND(L1070="641",'641'!$N$5&lt;=B1070,'641'!$O$5&gt;=B1070),"641",""))))</f>
        <v/>
      </c>
      <c r="V1070" s="51" t="str">
        <f>IF(OR(TH!L1070=TH!$V$7,M1070=TH!$V$7),"x","")</f>
        <v/>
      </c>
      <c r="W1070" s="51" t="str">
        <f>IF(AND(B1070&gt;='IN-NX'!$P$3,B1070&lt;='IN-NX'!$Q$3,'IN-NX'!$D$7=D1070,OR(LEFT(L1070,2)="15",AND(LEFT(M1070,2)&lt;&gt;"15",LEFT(M1070,2)&lt;&gt;"33"))),"x","")</f>
        <v/>
      </c>
      <c r="X1070" s="51" t="str">
        <f>IF(AND(OR(LEFT(TH!L1070,2)="15",LEFT(TH!M1070,2)="15"),'152-CT'!$J$8=TH!F1070),"x","")</f>
        <v/>
      </c>
      <c r="Y1070" s="51" t="str">
        <f>IF(AND(OR(LEFT(TH!L1070,2)="15",LEFT(TH!M1070,2)="15"),TK!$E$7=TH!F1070),"x","")</f>
        <v/>
      </c>
      <c r="Z1070" s="51" t="str">
        <f>IF(AND(B1070&lt;=NKC!$N$8,B1070&gt;=NKC!$M$8),"x","")</f>
        <v/>
      </c>
      <c r="AA1070" s="803"/>
      <c r="AB1070" s="565"/>
      <c r="AE1070" s="565"/>
    </row>
    <row r="1071" spans="1:31" s="828" customFormat="1" ht="15.75" customHeight="1">
      <c r="A1071" s="804" t="str">
        <f>IF(B1071&lt;&gt;"",IF(AND(B1071&gt;=_TM1,B1071&lt;=_TM2,OR(TH!L1071="1111",TH!M1071="1111")),TH!D1071,""),"")</f>
        <v/>
      </c>
      <c r="B1071" s="36">
        <f t="shared" si="72"/>
        <v>11</v>
      </c>
      <c r="C1071" s="189">
        <f t="shared" si="73"/>
        <v>42317</v>
      </c>
      <c r="D1071" s="189" t="s">
        <v>1417</v>
      </c>
      <c r="E1071" s="189">
        <v>42317</v>
      </c>
      <c r="F1071" s="922" t="s">
        <v>873</v>
      </c>
      <c r="G1071" s="813" t="s">
        <v>869</v>
      </c>
      <c r="H1071" s="191" t="s">
        <v>448</v>
      </c>
      <c r="I1071" s="243">
        <v>102</v>
      </c>
      <c r="J1071" s="243">
        <v>22613</v>
      </c>
      <c r="K1071" s="573">
        <f t="shared" si="75"/>
        <v>2306526</v>
      </c>
      <c r="L1071" s="574" t="s">
        <v>417</v>
      </c>
      <c r="M1071" s="574" t="s">
        <v>8</v>
      </c>
      <c r="N1071" s="51" t="str">
        <f>IF(AND('331-CT'!$E$7=TH!H1071,OR(L1071="331",M1071="331")),"331",IF(AND(OR(L1071="131",M1071="131"),H1071='131-CT'!$E$7),"131",""))</f>
        <v/>
      </c>
      <c r="O1071" s="51" t="str">
        <f>IF(AND($B1071&gt;='111'!$N$11,$B1071&lt;='111'!$O$11,OR($L1071=$O$7,$M1071=$O$7)),"x","")</f>
        <v/>
      </c>
      <c r="P1071" s="51" t="str">
        <f>IF(AND($L1071=$O$7,$B1071&lt;'111'!$N$11),"x","")</f>
        <v/>
      </c>
      <c r="Q1071" s="51" t="str">
        <f>IF(AND($M1071=$O$7,$B1071&lt;'111'!$N$11),"x","")</f>
        <v/>
      </c>
      <c r="R1071" s="51" t="str">
        <f>IF(ISERROR(FIND('112'!$M$9,G1071,1)),"",IF((AND(FIND('112'!$M$9,G1071,1)&gt;=1,$B1071&gt;='112'!$N$8,$B1071&lt;='112'!$O$8,OR($L1071='112'!$I$6,$M1071='112'!$I$6))),"x",""))</f>
        <v/>
      </c>
      <c r="S1071" s="51" t="str">
        <f>IF(ISERROR(FIND('112'!$M$9,G1071,1)),"",IF((AND(LEFT(G1071,2)=LEFT('112'!$M$9,2),B1071&lt;'112'!$N$8,$L1071='112'!$I$6)),"x",""))</f>
        <v/>
      </c>
      <c r="T1071" s="51" t="str">
        <f>IF(ISERROR(FIND('112'!$M$9,G1071,1)),"",IF((AND(RIGHT(G1071,2)=RIGHT('112'!$M$9,2),B1071&lt;'112'!$N$8,$M1071='112'!$I$6)),"x",""))</f>
        <v/>
      </c>
      <c r="U1071" s="51" t="str">
        <f>IF(AND(L1071="154",'154'!$O$5&lt;=B1071,'154'!$P$5&gt;=B1071),"154",IF(AND(L1071="632",'632'!$L$5&lt;=B1071,'632'!$M$5&gt;=B1071),"632",IF(AND(L1071="642",'642'!$N$5&lt;=B1071,'642'!$O$5&gt;=B1071),"642",IF(AND(L1071="641",'641'!$N$5&lt;=B1071,'641'!$O$5&gt;=B1071),"641",""))))</f>
        <v/>
      </c>
      <c r="V1071" s="51" t="str">
        <f>IF(OR(TH!L1071=TH!$V$7,M1071=TH!$V$7),"x","")</f>
        <v/>
      </c>
      <c r="W1071" s="51" t="str">
        <f>IF(AND(B1071&gt;='IN-NX'!$P$3,B1071&lt;='IN-NX'!$Q$3,'IN-NX'!$D$7=D1071,OR(LEFT(L1071,2)="15",AND(LEFT(M1071,2)&lt;&gt;"15",LEFT(M1071,2)&lt;&gt;"33"))),"x","")</f>
        <v/>
      </c>
      <c r="X1071" s="51" t="str">
        <f>IF(AND(OR(LEFT(TH!L1071,2)="15",LEFT(TH!M1071,2)="15"),'152-CT'!$J$8=TH!F1071),"x","")</f>
        <v/>
      </c>
      <c r="Y1071" s="51" t="str">
        <f>IF(AND(OR(LEFT(TH!L1071,2)="15",LEFT(TH!M1071,2)="15"),TK!$E$7=TH!F1071),"x","")</f>
        <v/>
      </c>
      <c r="Z1071" s="51" t="str">
        <f>IF(AND(B1071&lt;=NKC!$N$8,B1071&gt;=NKC!$M$8),"x","")</f>
        <v/>
      </c>
      <c r="AA1071" s="803"/>
      <c r="AB1071" s="565"/>
      <c r="AC1071" s="203"/>
      <c r="AD1071" s="203"/>
      <c r="AE1071" s="565"/>
    </row>
    <row r="1072" spans="1:31" s="828" customFormat="1" ht="15.75" customHeight="1">
      <c r="A1072" s="804" t="str">
        <f>IF(B1072&lt;&gt;"",IF(AND(B1072&gt;=_TM1,B1072&lt;=_TM2,OR(TH!L1072="1111",TH!M1072="1111")),TH!D1072,""),"")</f>
        <v/>
      </c>
      <c r="B1072" s="36">
        <f t="shared" si="72"/>
        <v>11</v>
      </c>
      <c r="C1072" s="189">
        <f t="shared" si="73"/>
        <v>42317</v>
      </c>
      <c r="D1072" s="189" t="s">
        <v>1417</v>
      </c>
      <c r="E1072" s="189">
        <v>42317</v>
      </c>
      <c r="F1072" s="922" t="s">
        <v>874</v>
      </c>
      <c r="G1072" s="813" t="s">
        <v>869</v>
      </c>
      <c r="H1072" s="191" t="s">
        <v>448</v>
      </c>
      <c r="I1072" s="243">
        <v>15</v>
      </c>
      <c r="J1072" s="243">
        <v>21375</v>
      </c>
      <c r="K1072" s="573">
        <f t="shared" si="75"/>
        <v>320625</v>
      </c>
      <c r="L1072" s="574" t="s">
        <v>417</v>
      </c>
      <c r="M1072" s="574" t="s">
        <v>8</v>
      </c>
      <c r="N1072" s="51" t="str">
        <f>IF(AND('331-CT'!$E$7=TH!H1072,OR(L1072="331",M1072="331")),"331",IF(AND(OR(L1072="131",M1072="131"),H1072='131-CT'!$E$7),"131",""))</f>
        <v/>
      </c>
      <c r="O1072" s="51" t="str">
        <f>IF(AND($B1072&gt;='111'!$N$11,$B1072&lt;='111'!$O$11,OR($L1072=$O$7,$M1072=$O$7)),"x","")</f>
        <v/>
      </c>
      <c r="P1072" s="51" t="str">
        <f>IF(AND($L1072=$O$7,$B1072&lt;'111'!$N$11),"x","")</f>
        <v/>
      </c>
      <c r="Q1072" s="51" t="str">
        <f>IF(AND($M1072=$O$7,$B1072&lt;'111'!$N$11),"x","")</f>
        <v/>
      </c>
      <c r="R1072" s="51" t="str">
        <f>IF(ISERROR(FIND('112'!$M$9,G1072,1)),"",IF((AND(FIND('112'!$M$9,G1072,1)&gt;=1,$B1072&gt;='112'!$N$8,$B1072&lt;='112'!$O$8,OR($L1072='112'!$I$6,$M1072='112'!$I$6))),"x",""))</f>
        <v/>
      </c>
      <c r="S1072" s="51" t="str">
        <f>IF(ISERROR(FIND('112'!$M$9,G1072,1)),"",IF((AND(LEFT(G1072,2)=LEFT('112'!$M$9,2),B1072&lt;'112'!$N$8,$L1072='112'!$I$6)),"x",""))</f>
        <v/>
      </c>
      <c r="T1072" s="51" t="str">
        <f>IF(ISERROR(FIND('112'!$M$9,G1072,1)),"",IF((AND(RIGHT(G1072,2)=RIGHT('112'!$M$9,2),B1072&lt;'112'!$N$8,$M1072='112'!$I$6)),"x",""))</f>
        <v/>
      </c>
      <c r="U1072" s="51" t="str">
        <f>IF(AND(L1072="154",'154'!$O$5&lt;=B1072,'154'!$P$5&gt;=B1072),"154",IF(AND(L1072="632",'632'!$L$5&lt;=B1072,'632'!$M$5&gt;=B1072),"632",IF(AND(L1072="642",'642'!$N$5&lt;=B1072,'642'!$O$5&gt;=B1072),"642",IF(AND(L1072="641",'641'!$N$5&lt;=B1072,'641'!$O$5&gt;=B1072),"641",""))))</f>
        <v/>
      </c>
      <c r="V1072" s="51" t="str">
        <f>IF(OR(TH!L1072=TH!$V$7,M1072=TH!$V$7),"x","")</f>
        <v/>
      </c>
      <c r="W1072" s="51" t="str">
        <f>IF(AND(B1072&gt;='IN-NX'!$P$3,B1072&lt;='IN-NX'!$Q$3,'IN-NX'!$D$7=D1072,OR(LEFT(L1072,2)="15",AND(LEFT(M1072,2)&lt;&gt;"15",LEFT(M1072,2)&lt;&gt;"33"))),"x","")</f>
        <v/>
      </c>
      <c r="X1072" s="51" t="str">
        <f>IF(AND(OR(LEFT(TH!L1072,2)="15",LEFT(TH!M1072,2)="15"),'152-CT'!$J$8=TH!F1072),"x","")</f>
        <v/>
      </c>
      <c r="Y1072" s="51" t="str">
        <f>IF(AND(OR(LEFT(TH!L1072,2)="15",LEFT(TH!M1072,2)="15"),TK!$E$7=TH!F1072),"x","")</f>
        <v/>
      </c>
      <c r="Z1072" s="51" t="str">
        <f>IF(AND(B1072&lt;=NKC!$N$8,B1072&gt;=NKC!$M$8),"x","")</f>
        <v/>
      </c>
      <c r="AA1072" s="803"/>
      <c r="AB1072" s="565"/>
      <c r="AC1072" s="203"/>
      <c r="AD1072" s="203"/>
      <c r="AE1072" s="565"/>
    </row>
    <row r="1073" spans="1:31" s="828" customFormat="1" ht="15.75" customHeight="1">
      <c r="A1073" s="804" t="str">
        <f>IF(B1073&lt;&gt;"",IF(AND(B1073&gt;=_TM1,B1073&lt;=_TM2,OR(TH!L1073="1111",TH!M1073="1111")),TH!D1073,""),"")</f>
        <v/>
      </c>
      <c r="B1073" s="36">
        <f t="shared" si="72"/>
        <v>11</v>
      </c>
      <c r="C1073" s="189">
        <f t="shared" si="73"/>
        <v>42317</v>
      </c>
      <c r="D1073" s="189" t="s">
        <v>1417</v>
      </c>
      <c r="E1073" s="189">
        <v>42317</v>
      </c>
      <c r="F1073" s="922" t="s">
        <v>875</v>
      </c>
      <c r="G1073" s="813" t="s">
        <v>869</v>
      </c>
      <c r="H1073" s="191" t="s">
        <v>448</v>
      </c>
      <c r="I1073" s="243">
        <v>40</v>
      </c>
      <c r="J1073" s="243">
        <v>23738</v>
      </c>
      <c r="K1073" s="573">
        <f t="shared" si="75"/>
        <v>949520</v>
      </c>
      <c r="L1073" s="574" t="s">
        <v>417</v>
      </c>
      <c r="M1073" s="574" t="s">
        <v>8</v>
      </c>
      <c r="N1073" s="51" t="str">
        <f>IF(AND('331-CT'!$E$7=TH!H1073,OR(L1073="331",M1073="331")),"331",IF(AND(OR(L1073="131",M1073="131"),H1073='131-CT'!$E$7),"131",""))</f>
        <v/>
      </c>
      <c r="O1073" s="51" t="str">
        <f>IF(AND($B1073&gt;='111'!$N$11,$B1073&lt;='111'!$O$11,OR($L1073=$O$7,$M1073=$O$7)),"x","")</f>
        <v/>
      </c>
      <c r="P1073" s="51" t="str">
        <f>IF(AND($L1073=$O$7,$B1073&lt;'111'!$N$11),"x","")</f>
        <v/>
      </c>
      <c r="Q1073" s="51" t="str">
        <f>IF(AND($M1073=$O$7,$B1073&lt;'111'!$N$11),"x","")</f>
        <v/>
      </c>
      <c r="R1073" s="51" t="str">
        <f>IF(ISERROR(FIND('112'!$M$9,G1073,1)),"",IF((AND(FIND('112'!$M$9,G1073,1)&gt;=1,$B1073&gt;='112'!$N$8,$B1073&lt;='112'!$O$8,OR($L1073='112'!$I$6,$M1073='112'!$I$6))),"x",""))</f>
        <v/>
      </c>
      <c r="S1073" s="51" t="str">
        <f>IF(ISERROR(FIND('112'!$M$9,G1073,1)),"",IF((AND(LEFT(G1073,2)=LEFT('112'!$M$9,2),B1073&lt;'112'!$N$8,$L1073='112'!$I$6)),"x",""))</f>
        <v/>
      </c>
      <c r="T1073" s="51" t="str">
        <f>IF(ISERROR(FIND('112'!$M$9,G1073,1)),"",IF((AND(RIGHT(G1073,2)=RIGHT('112'!$M$9,2),B1073&lt;'112'!$N$8,$M1073='112'!$I$6)),"x",""))</f>
        <v/>
      </c>
      <c r="U1073" s="51" t="str">
        <f>IF(AND(L1073="154",'154'!$O$5&lt;=B1073,'154'!$P$5&gt;=B1073),"154",IF(AND(L1073="632",'632'!$L$5&lt;=B1073,'632'!$M$5&gt;=B1073),"632",IF(AND(L1073="642",'642'!$N$5&lt;=B1073,'642'!$O$5&gt;=B1073),"642",IF(AND(L1073="641",'641'!$N$5&lt;=B1073,'641'!$O$5&gt;=B1073),"641",""))))</f>
        <v/>
      </c>
      <c r="V1073" s="51" t="str">
        <f>IF(OR(TH!L1073=TH!$V$7,M1073=TH!$V$7),"x","")</f>
        <v/>
      </c>
      <c r="W1073" s="51" t="str">
        <f>IF(AND(B1073&gt;='IN-NX'!$P$3,B1073&lt;='IN-NX'!$Q$3,'IN-NX'!$D$7=D1073,OR(LEFT(L1073,2)="15",AND(LEFT(M1073,2)&lt;&gt;"15",LEFT(M1073,2)&lt;&gt;"33"))),"x","")</f>
        <v/>
      </c>
      <c r="X1073" s="51" t="str">
        <f>IF(AND(OR(LEFT(TH!L1073,2)="15",LEFT(TH!M1073,2)="15"),'152-CT'!$J$8=TH!F1073),"x","")</f>
        <v/>
      </c>
      <c r="Y1073" s="51" t="str">
        <f>IF(AND(OR(LEFT(TH!L1073,2)="15",LEFT(TH!M1073,2)="15"),TK!$E$7=TH!F1073),"x","")</f>
        <v/>
      </c>
      <c r="Z1073" s="51" t="str">
        <f>IF(AND(B1073&lt;=NKC!$N$8,B1073&gt;=NKC!$M$8),"x","")</f>
        <v/>
      </c>
      <c r="AA1073" s="803"/>
      <c r="AB1073" s="565"/>
      <c r="AC1073" s="203"/>
      <c r="AD1073" s="203"/>
      <c r="AE1073" s="565"/>
    </row>
    <row r="1074" spans="1:31" s="828" customFormat="1" ht="15.75" customHeight="1">
      <c r="A1074" s="804" t="str">
        <f>IF(B1074&lt;&gt;"",IF(AND(B1074&gt;=_TM1,B1074&lt;=_TM2,OR(TH!L1074="1111",TH!M1074="1111")),TH!D1074,""),"")</f>
        <v/>
      </c>
      <c r="B1074" s="36">
        <f t="shared" si="72"/>
        <v>11</v>
      </c>
      <c r="C1074" s="189">
        <f t="shared" si="73"/>
        <v>42317</v>
      </c>
      <c r="D1074" s="189" t="s">
        <v>1417</v>
      </c>
      <c r="E1074" s="189">
        <v>42317</v>
      </c>
      <c r="F1074" s="922" t="s">
        <v>876</v>
      </c>
      <c r="G1074" s="813" t="s">
        <v>869</v>
      </c>
      <c r="H1074" s="191" t="s">
        <v>448</v>
      </c>
      <c r="I1074" s="243">
        <v>24</v>
      </c>
      <c r="J1074" s="243">
        <v>24426</v>
      </c>
      <c r="K1074" s="573">
        <f t="shared" si="75"/>
        <v>586224</v>
      </c>
      <c r="L1074" s="574" t="s">
        <v>417</v>
      </c>
      <c r="M1074" s="574" t="s">
        <v>8</v>
      </c>
      <c r="N1074" s="51" t="str">
        <f>IF(AND('331-CT'!$E$7=TH!H1074,OR(L1074="331",M1074="331")),"331",IF(AND(OR(L1074="131",M1074="131"),H1074='131-CT'!$E$7),"131",""))</f>
        <v/>
      </c>
      <c r="O1074" s="51" t="str">
        <f>IF(AND($B1074&gt;='111'!$N$11,$B1074&lt;='111'!$O$11,OR($L1074=$O$7,$M1074=$O$7)),"x","")</f>
        <v/>
      </c>
      <c r="P1074" s="51" t="str">
        <f>IF(AND($L1074=$O$7,$B1074&lt;'111'!$N$11),"x","")</f>
        <v/>
      </c>
      <c r="Q1074" s="51" t="str">
        <f>IF(AND($M1074=$O$7,$B1074&lt;'111'!$N$11),"x","")</f>
        <v/>
      </c>
      <c r="R1074" s="51" t="str">
        <f>IF(ISERROR(FIND('112'!$M$9,G1074,1)),"",IF((AND(FIND('112'!$M$9,G1074,1)&gt;=1,$B1074&gt;='112'!$N$8,$B1074&lt;='112'!$O$8,OR($L1074='112'!$I$6,$M1074='112'!$I$6))),"x",""))</f>
        <v/>
      </c>
      <c r="S1074" s="51" t="str">
        <f>IF(ISERROR(FIND('112'!$M$9,G1074,1)),"",IF((AND(LEFT(G1074,2)=LEFT('112'!$M$9,2),B1074&lt;'112'!$N$8,$L1074='112'!$I$6)),"x",""))</f>
        <v/>
      </c>
      <c r="T1074" s="51" t="str">
        <f>IF(ISERROR(FIND('112'!$M$9,G1074,1)),"",IF((AND(RIGHT(G1074,2)=RIGHT('112'!$M$9,2),B1074&lt;'112'!$N$8,$M1074='112'!$I$6)),"x",""))</f>
        <v/>
      </c>
      <c r="U1074" s="51" t="str">
        <f>IF(AND(L1074="154",'154'!$O$5&lt;=B1074,'154'!$P$5&gt;=B1074),"154",IF(AND(L1074="632",'632'!$L$5&lt;=B1074,'632'!$M$5&gt;=B1074),"632",IF(AND(L1074="642",'642'!$N$5&lt;=B1074,'642'!$O$5&gt;=B1074),"642",IF(AND(L1074="641",'641'!$N$5&lt;=B1074,'641'!$O$5&gt;=B1074),"641",""))))</f>
        <v/>
      </c>
      <c r="V1074" s="51" t="str">
        <f>IF(OR(TH!L1074=TH!$V$7,M1074=TH!$V$7),"x","")</f>
        <v/>
      </c>
      <c r="W1074" s="51" t="str">
        <f>IF(AND(B1074&gt;='IN-NX'!$P$3,B1074&lt;='IN-NX'!$Q$3,'IN-NX'!$D$7=D1074,OR(LEFT(L1074,2)="15",AND(LEFT(M1074,2)&lt;&gt;"15",LEFT(M1074,2)&lt;&gt;"33"))),"x","")</f>
        <v/>
      </c>
      <c r="X1074" s="51" t="str">
        <f>IF(AND(OR(LEFT(TH!L1074,2)="15",LEFT(TH!M1074,2)="15"),'152-CT'!$J$8=TH!F1074),"x","")</f>
        <v/>
      </c>
      <c r="Y1074" s="51" t="str">
        <f>IF(AND(OR(LEFT(TH!L1074,2)="15",LEFT(TH!M1074,2)="15"),TK!$E$7=TH!F1074),"x","")</f>
        <v/>
      </c>
      <c r="Z1074" s="51" t="str">
        <f>IF(AND(B1074&lt;=NKC!$N$8,B1074&gt;=NKC!$M$8),"x","")</f>
        <v/>
      </c>
      <c r="AA1074" s="803"/>
      <c r="AB1074" s="565"/>
      <c r="AC1074" s="203"/>
      <c r="AD1074" s="203"/>
      <c r="AE1074" s="203"/>
    </row>
    <row r="1075" spans="1:31" s="828" customFormat="1" ht="15.75" customHeight="1">
      <c r="A1075" s="804" t="str">
        <f>IF(B1075&lt;&gt;"",IF(AND(B1075&gt;=_TM1,B1075&lt;=_TM2,OR(TH!L1075="1111",TH!M1075="1111")),TH!D1075,""),"")</f>
        <v/>
      </c>
      <c r="B1075" s="36">
        <f t="shared" si="72"/>
        <v>11</v>
      </c>
      <c r="C1075" s="189">
        <f t="shared" si="73"/>
        <v>42317</v>
      </c>
      <c r="D1075" s="189" t="s">
        <v>1417</v>
      </c>
      <c r="E1075" s="189">
        <v>42317</v>
      </c>
      <c r="F1075" s="922" t="s">
        <v>877</v>
      </c>
      <c r="G1075" s="813" t="s">
        <v>869</v>
      </c>
      <c r="H1075" s="191" t="s">
        <v>448</v>
      </c>
      <c r="I1075" s="243">
        <v>44</v>
      </c>
      <c r="J1075" s="243">
        <v>21839</v>
      </c>
      <c r="K1075" s="573">
        <f t="shared" si="75"/>
        <v>960916</v>
      </c>
      <c r="L1075" s="574" t="s">
        <v>417</v>
      </c>
      <c r="M1075" s="574" t="s">
        <v>8</v>
      </c>
      <c r="N1075" s="51" t="str">
        <f>IF(AND('331-CT'!$E$7=TH!H1075,OR(L1075="331",M1075="331")),"331",IF(AND(OR(L1075="131",M1075="131"),H1075='131-CT'!$E$7),"131",""))</f>
        <v/>
      </c>
      <c r="O1075" s="51" t="str">
        <f>IF(AND($B1075&gt;='111'!$N$11,$B1075&lt;='111'!$O$11,OR($L1075=$O$7,$M1075=$O$7)),"x","")</f>
        <v/>
      </c>
      <c r="P1075" s="51" t="str">
        <f>IF(AND($L1075=$O$7,$B1075&lt;'111'!$N$11),"x","")</f>
        <v/>
      </c>
      <c r="Q1075" s="51" t="str">
        <f>IF(AND($M1075=$O$7,$B1075&lt;'111'!$N$11),"x","")</f>
        <v/>
      </c>
      <c r="R1075" s="51" t="str">
        <f>IF(ISERROR(FIND('112'!$M$9,G1075,1)),"",IF((AND(FIND('112'!$M$9,G1075,1)&gt;=1,$B1075&gt;='112'!$N$8,$B1075&lt;='112'!$O$8,OR($L1075='112'!$I$6,$M1075='112'!$I$6))),"x",""))</f>
        <v/>
      </c>
      <c r="S1075" s="51" t="str">
        <f>IF(ISERROR(FIND('112'!$M$9,G1075,1)),"",IF((AND(LEFT(G1075,2)=LEFT('112'!$M$9,2),B1075&lt;'112'!$N$8,$L1075='112'!$I$6)),"x",""))</f>
        <v/>
      </c>
      <c r="T1075" s="51" t="str">
        <f>IF(ISERROR(FIND('112'!$M$9,G1075,1)),"",IF((AND(RIGHT(G1075,2)=RIGHT('112'!$M$9,2),B1075&lt;'112'!$N$8,$M1075='112'!$I$6)),"x",""))</f>
        <v/>
      </c>
      <c r="U1075" s="51" t="str">
        <f>IF(AND(L1075="154",'154'!$O$5&lt;=B1075,'154'!$P$5&gt;=B1075),"154",IF(AND(L1075="632",'632'!$L$5&lt;=B1075,'632'!$M$5&gt;=B1075),"632",IF(AND(L1075="642",'642'!$N$5&lt;=B1075,'642'!$O$5&gt;=B1075),"642",IF(AND(L1075="641",'641'!$N$5&lt;=B1075,'641'!$O$5&gt;=B1075),"641",""))))</f>
        <v/>
      </c>
      <c r="V1075" s="51" t="str">
        <f>IF(OR(TH!L1075=TH!$V$7,M1075=TH!$V$7),"x","")</f>
        <v/>
      </c>
      <c r="W1075" s="51" t="str">
        <f>IF(AND(B1075&gt;='IN-NX'!$P$3,B1075&lt;='IN-NX'!$Q$3,'IN-NX'!$D$7=D1075,OR(LEFT(L1075,2)="15",AND(LEFT(M1075,2)&lt;&gt;"15",LEFT(M1075,2)&lt;&gt;"33"))),"x","")</f>
        <v/>
      </c>
      <c r="X1075" s="51" t="str">
        <f>IF(AND(OR(LEFT(TH!L1075,2)="15",LEFT(TH!M1075,2)="15"),'152-CT'!$J$8=TH!F1075),"x","")</f>
        <v/>
      </c>
      <c r="Y1075" s="51" t="str">
        <f>IF(AND(OR(LEFT(TH!L1075,2)="15",LEFT(TH!M1075,2)="15"),TK!$E$7=TH!F1075),"x","")</f>
        <v/>
      </c>
      <c r="Z1075" s="51" t="str">
        <f>IF(AND(B1075&lt;=NKC!$N$8,B1075&gt;=NKC!$M$8),"x","")</f>
        <v/>
      </c>
      <c r="AA1075" s="803"/>
      <c r="AB1075" s="565"/>
      <c r="AC1075" s="203"/>
      <c r="AD1075" s="203"/>
      <c r="AE1075" s="203"/>
    </row>
    <row r="1076" spans="1:31" s="828" customFormat="1" ht="15.75" customHeight="1">
      <c r="A1076" s="804" t="str">
        <f>IF(B1076&lt;&gt;"",IF(AND(B1076&gt;=_TM1,B1076&lt;=_TM2,OR(TH!L1076="1111",TH!M1076="1111")),TH!D1076,""),"")</f>
        <v/>
      </c>
      <c r="B1076" s="36">
        <f t="shared" si="72"/>
        <v>11</v>
      </c>
      <c r="C1076" s="189">
        <f t="shared" si="73"/>
        <v>42317</v>
      </c>
      <c r="D1076" s="189" t="s">
        <v>1417</v>
      </c>
      <c r="E1076" s="189">
        <v>42317</v>
      </c>
      <c r="F1076" s="922" t="s">
        <v>878</v>
      </c>
      <c r="G1076" s="813" t="s">
        <v>869</v>
      </c>
      <c r="H1076" s="191" t="s">
        <v>448</v>
      </c>
      <c r="I1076" s="243">
        <v>104</v>
      </c>
      <c r="J1076" s="243">
        <v>36432</v>
      </c>
      <c r="K1076" s="573">
        <f t="shared" si="75"/>
        <v>3788928</v>
      </c>
      <c r="L1076" s="574" t="s">
        <v>417</v>
      </c>
      <c r="M1076" s="574" t="s">
        <v>8</v>
      </c>
      <c r="N1076" s="51" t="str">
        <f>IF(AND('331-CT'!$E$7=TH!H1076,OR(L1076="331",M1076="331")),"331",IF(AND(OR(L1076="131",M1076="131"),H1076='131-CT'!$E$7),"131",""))</f>
        <v/>
      </c>
      <c r="O1076" s="51" t="str">
        <f>IF(AND($B1076&gt;='111'!$N$11,$B1076&lt;='111'!$O$11,OR($L1076=$O$7,$M1076=$O$7)),"x","")</f>
        <v/>
      </c>
      <c r="P1076" s="51" t="str">
        <f>IF(AND($L1076=$O$7,$B1076&lt;'111'!$N$11),"x","")</f>
        <v/>
      </c>
      <c r="Q1076" s="51" t="str">
        <f>IF(AND($M1076=$O$7,$B1076&lt;'111'!$N$11),"x","")</f>
        <v/>
      </c>
      <c r="R1076" s="51" t="str">
        <f>IF(ISERROR(FIND('112'!$M$9,G1076,1)),"",IF((AND(FIND('112'!$M$9,G1076,1)&gt;=1,$B1076&gt;='112'!$N$8,$B1076&lt;='112'!$O$8,OR($L1076='112'!$I$6,$M1076='112'!$I$6))),"x",""))</f>
        <v/>
      </c>
      <c r="S1076" s="51" t="str">
        <f>IF(ISERROR(FIND('112'!$M$9,G1076,1)),"",IF((AND(LEFT(G1076,2)=LEFT('112'!$M$9,2),B1076&lt;'112'!$N$8,$L1076='112'!$I$6)),"x",""))</f>
        <v/>
      </c>
      <c r="T1076" s="51" t="str">
        <f>IF(ISERROR(FIND('112'!$M$9,G1076,1)),"",IF((AND(RIGHT(G1076,2)=RIGHT('112'!$M$9,2),B1076&lt;'112'!$N$8,$M1076='112'!$I$6)),"x",""))</f>
        <v/>
      </c>
      <c r="U1076" s="51" t="str">
        <f>IF(AND(L1076="154",'154'!$O$5&lt;=B1076,'154'!$P$5&gt;=B1076),"154",IF(AND(L1076="632",'632'!$L$5&lt;=B1076,'632'!$M$5&gt;=B1076),"632",IF(AND(L1076="642",'642'!$N$5&lt;=B1076,'642'!$O$5&gt;=B1076),"642",IF(AND(L1076="641",'641'!$N$5&lt;=B1076,'641'!$O$5&gt;=B1076),"641",""))))</f>
        <v/>
      </c>
      <c r="V1076" s="51" t="str">
        <f>IF(OR(TH!L1076=TH!$V$7,M1076=TH!$V$7),"x","")</f>
        <v/>
      </c>
      <c r="W1076" s="51" t="str">
        <f>IF(AND(B1076&gt;='IN-NX'!$P$3,B1076&lt;='IN-NX'!$Q$3,'IN-NX'!$D$7=D1076,OR(LEFT(L1076,2)="15",AND(LEFT(M1076,2)&lt;&gt;"15",LEFT(M1076,2)&lt;&gt;"33"))),"x","")</f>
        <v/>
      </c>
      <c r="X1076" s="51" t="str">
        <f>IF(AND(OR(LEFT(TH!L1076,2)="15",LEFT(TH!M1076,2)="15"),'152-CT'!$J$8=TH!F1076),"x","")</f>
        <v/>
      </c>
      <c r="Y1076" s="51" t="str">
        <f>IF(AND(OR(LEFT(TH!L1076,2)="15",LEFT(TH!M1076,2)="15"),TK!$E$7=TH!F1076),"x","")</f>
        <v/>
      </c>
      <c r="Z1076" s="51" t="str">
        <f>IF(AND(B1076&lt;=NKC!$N$8,B1076&gt;=NKC!$M$8),"x","")</f>
        <v/>
      </c>
      <c r="AA1076" s="803"/>
      <c r="AB1076" s="565"/>
      <c r="AC1076" s="203"/>
      <c r="AD1076" s="203"/>
      <c r="AE1076" s="565"/>
    </row>
    <row r="1077" spans="1:31" s="828" customFormat="1" ht="15.75" customHeight="1">
      <c r="A1077" s="804" t="str">
        <f>IF(B1077&lt;&gt;"",IF(AND(B1077&gt;=_TM1,B1077&lt;=_TM2,OR(TH!L1077="1111",TH!M1077="1111")),TH!D1077,""),"")</f>
        <v/>
      </c>
      <c r="B1077" s="36">
        <f t="shared" si="72"/>
        <v>11</v>
      </c>
      <c r="C1077" s="189">
        <f t="shared" si="73"/>
        <v>42317</v>
      </c>
      <c r="D1077" s="189" t="s">
        <v>1417</v>
      </c>
      <c r="E1077" s="189">
        <v>42317</v>
      </c>
      <c r="F1077" s="917" t="s">
        <v>879</v>
      </c>
      <c r="G1077" s="813" t="s">
        <v>869</v>
      </c>
      <c r="H1077" s="191" t="s">
        <v>448</v>
      </c>
      <c r="I1077" s="243">
        <v>65</v>
      </c>
      <c r="J1077" s="243">
        <v>37152</v>
      </c>
      <c r="K1077" s="573">
        <f t="shared" si="75"/>
        <v>2414880</v>
      </c>
      <c r="L1077" s="574" t="s">
        <v>417</v>
      </c>
      <c r="M1077" s="574" t="s">
        <v>8</v>
      </c>
      <c r="N1077" s="51" t="str">
        <f>IF(AND('331-CT'!$E$7=TH!H1077,OR(L1077="331",M1077="331")),"331",IF(AND(OR(L1077="131",M1077="131"),H1077='131-CT'!$E$7),"131",""))</f>
        <v/>
      </c>
      <c r="O1077" s="51" t="str">
        <f>IF(AND($B1077&gt;='111'!$N$11,$B1077&lt;='111'!$O$11,OR($L1077=$O$7,$M1077=$O$7)),"x","")</f>
        <v/>
      </c>
      <c r="P1077" s="51" t="str">
        <f>IF(AND($L1077=$O$7,$B1077&lt;'111'!$N$11),"x","")</f>
        <v/>
      </c>
      <c r="Q1077" s="51" t="str">
        <f>IF(AND($M1077=$O$7,$B1077&lt;'111'!$N$11),"x","")</f>
        <v/>
      </c>
      <c r="R1077" s="51" t="str">
        <f>IF(ISERROR(FIND('112'!$M$9,G1077,1)),"",IF((AND(FIND('112'!$M$9,G1077,1)&gt;=1,$B1077&gt;='112'!$N$8,$B1077&lt;='112'!$O$8,OR($L1077='112'!$I$6,$M1077='112'!$I$6))),"x",""))</f>
        <v/>
      </c>
      <c r="S1077" s="51" t="str">
        <f>IF(ISERROR(FIND('112'!$M$9,G1077,1)),"",IF((AND(LEFT(G1077,2)=LEFT('112'!$M$9,2),B1077&lt;'112'!$N$8,$L1077='112'!$I$6)),"x",""))</f>
        <v/>
      </c>
      <c r="T1077" s="51" t="str">
        <f>IF(ISERROR(FIND('112'!$M$9,G1077,1)),"",IF((AND(RIGHT(G1077,2)=RIGHT('112'!$M$9,2),B1077&lt;'112'!$N$8,$M1077='112'!$I$6)),"x",""))</f>
        <v/>
      </c>
      <c r="U1077" s="51" t="str">
        <f>IF(AND(L1077="154",'154'!$O$5&lt;=B1077,'154'!$P$5&gt;=B1077),"154",IF(AND(L1077="632",'632'!$L$5&lt;=B1077,'632'!$M$5&gt;=B1077),"632",IF(AND(L1077="642",'642'!$N$5&lt;=B1077,'642'!$O$5&gt;=B1077),"642",IF(AND(L1077="641",'641'!$N$5&lt;=B1077,'641'!$O$5&gt;=B1077),"641",""))))</f>
        <v/>
      </c>
      <c r="V1077" s="51" t="str">
        <f>IF(OR(TH!L1077=TH!$V$7,M1077=TH!$V$7),"x","")</f>
        <v/>
      </c>
      <c r="W1077" s="51" t="str">
        <f>IF(AND(B1077&gt;='IN-NX'!$P$3,B1077&lt;='IN-NX'!$Q$3,'IN-NX'!$D$7=D1077,OR(LEFT(L1077,2)="15",AND(LEFT(M1077,2)&lt;&gt;"15",LEFT(M1077,2)&lt;&gt;"33"))),"x","")</f>
        <v/>
      </c>
      <c r="X1077" s="51" t="str">
        <f>IF(AND(OR(LEFT(TH!L1077,2)="15",LEFT(TH!M1077,2)="15"),'152-CT'!$J$8=TH!F1077),"x","")</f>
        <v/>
      </c>
      <c r="Y1077" s="51" t="str">
        <f>IF(AND(OR(LEFT(TH!L1077,2)="15",LEFT(TH!M1077,2)="15"),TK!$E$7=TH!F1077),"x","")</f>
        <v/>
      </c>
      <c r="Z1077" s="51" t="str">
        <f>IF(AND(B1077&lt;=NKC!$N$8,B1077&gt;=NKC!$M$8),"x","")</f>
        <v/>
      </c>
      <c r="AA1077" s="803"/>
      <c r="AB1077" s="565"/>
      <c r="AC1077" s="203"/>
      <c r="AD1077" s="203"/>
      <c r="AE1077" s="565"/>
    </row>
    <row r="1078" spans="1:31" ht="15.75" customHeight="1">
      <c r="A1078" s="804" t="str">
        <f>IF(B1078&lt;&gt;"",IF(AND(B1078&gt;=_TM1,B1078&lt;=_TM2,OR(TH!L1078="1111",TH!M1078="1111")),TH!D1078,""),"")</f>
        <v/>
      </c>
      <c r="B1078" s="36">
        <f t="shared" si="72"/>
        <v>11</v>
      </c>
      <c r="C1078" s="189">
        <f t="shared" si="73"/>
        <v>42317</v>
      </c>
      <c r="D1078" s="189" t="s">
        <v>1417</v>
      </c>
      <c r="E1078" s="189">
        <v>42317</v>
      </c>
      <c r="F1078" s="190" t="s">
        <v>880</v>
      </c>
      <c r="G1078" s="813" t="s">
        <v>869</v>
      </c>
      <c r="H1078" s="191" t="s">
        <v>448</v>
      </c>
      <c r="I1078" s="243">
        <v>20</v>
      </c>
      <c r="J1078" s="243">
        <v>32288</v>
      </c>
      <c r="K1078" s="573">
        <f t="shared" si="75"/>
        <v>645760</v>
      </c>
      <c r="L1078" s="574" t="s">
        <v>417</v>
      </c>
      <c r="M1078" s="574" t="s">
        <v>8</v>
      </c>
      <c r="N1078" s="51" t="str">
        <f>IF(AND('331-CT'!$E$7=TH!H1078,OR(L1078="331",M1078="331")),"331",IF(AND(OR(L1078="131",M1078="131"),H1078='131-CT'!$E$7),"131",""))</f>
        <v/>
      </c>
      <c r="O1078" s="51" t="str">
        <f>IF(AND($B1078&gt;='111'!$N$11,$B1078&lt;='111'!$O$11,OR($L1078=$O$7,$M1078=$O$7)),"x","")</f>
        <v/>
      </c>
      <c r="P1078" s="51" t="str">
        <f>IF(AND($L1078=$O$7,$B1078&lt;'111'!$N$11),"x","")</f>
        <v/>
      </c>
      <c r="Q1078" s="51" t="str">
        <f>IF(AND($M1078=$O$7,$B1078&lt;'111'!$N$11),"x","")</f>
        <v/>
      </c>
      <c r="R1078" s="51" t="str">
        <f>IF(ISERROR(FIND('112'!$M$9,G1078,1)),"",IF((AND(FIND('112'!$M$9,G1078,1)&gt;=1,$B1078&gt;='112'!$N$8,$B1078&lt;='112'!$O$8,OR($L1078='112'!$I$6,$M1078='112'!$I$6))),"x",""))</f>
        <v/>
      </c>
      <c r="S1078" s="51" t="str">
        <f>IF(ISERROR(FIND('112'!$M$9,G1078,1)),"",IF((AND(LEFT(G1078,2)=LEFT('112'!$M$9,2),B1078&lt;'112'!$N$8,$L1078='112'!$I$6)),"x",""))</f>
        <v/>
      </c>
      <c r="T1078" s="51" t="str">
        <f>IF(ISERROR(FIND('112'!$M$9,G1078,1)),"",IF((AND(RIGHT(G1078,2)=RIGHT('112'!$M$9,2),B1078&lt;'112'!$N$8,$M1078='112'!$I$6)),"x",""))</f>
        <v/>
      </c>
      <c r="U1078" s="51" t="str">
        <f>IF(AND(L1078="154",'154'!$O$5&lt;=B1078,'154'!$P$5&gt;=B1078),"154",IF(AND(L1078="632",'632'!$L$5&lt;=B1078,'632'!$M$5&gt;=B1078),"632",IF(AND(L1078="642",'642'!$N$5&lt;=B1078,'642'!$O$5&gt;=B1078),"642",IF(AND(L1078="641",'641'!$N$5&lt;=B1078,'641'!$O$5&gt;=B1078),"641",""))))</f>
        <v/>
      </c>
      <c r="V1078" s="51" t="str">
        <f>IF(OR(TH!L1078=TH!$V$7,M1078=TH!$V$7),"x","")</f>
        <v/>
      </c>
      <c r="W1078" s="51" t="str">
        <f>IF(AND(B1078&gt;='IN-NX'!$P$3,B1078&lt;='IN-NX'!$Q$3,'IN-NX'!$D$7=D1078,OR(LEFT(L1078,2)="15",AND(LEFT(M1078,2)&lt;&gt;"15",LEFT(M1078,2)&lt;&gt;"33"))),"x","")</f>
        <v/>
      </c>
      <c r="X1078" s="51" t="str">
        <f>IF(AND(OR(LEFT(TH!L1078,2)="15",LEFT(TH!M1078,2)="15"),'152-CT'!$J$8=TH!F1078),"x","")</f>
        <v/>
      </c>
      <c r="Y1078" s="51" t="str">
        <f>IF(AND(OR(LEFT(TH!L1078,2)="15",LEFT(TH!M1078,2)="15"),TK!$E$7=TH!F1078),"x","")</f>
        <v/>
      </c>
      <c r="Z1078" s="51" t="str">
        <f>IF(AND(B1078&lt;=NKC!$N$8,B1078&gt;=NKC!$M$8),"x","")</f>
        <v/>
      </c>
      <c r="AA1078" s="803"/>
      <c r="AB1078" s="565"/>
      <c r="AE1078" s="565"/>
    </row>
    <row r="1079" spans="1:31" ht="15.75" customHeight="1">
      <c r="A1079" s="804" t="str">
        <f>IF(B1079&lt;&gt;"",IF(AND(B1079&gt;=_TM1,B1079&lt;=_TM2,OR(TH!L1079="1111",TH!M1079="1111")),TH!D1079,""),"")</f>
        <v/>
      </c>
      <c r="B1079" s="36">
        <f t="shared" si="72"/>
        <v>11</v>
      </c>
      <c r="C1079" s="189">
        <f t="shared" si="73"/>
        <v>42317</v>
      </c>
      <c r="D1079" s="189" t="s">
        <v>1420</v>
      </c>
      <c r="E1079" s="189">
        <v>42317</v>
      </c>
      <c r="F1079" s="190" t="s">
        <v>881</v>
      </c>
      <c r="G1079" s="813" t="s">
        <v>869</v>
      </c>
      <c r="H1079" s="191" t="s">
        <v>448</v>
      </c>
      <c r="I1079" s="243">
        <v>40</v>
      </c>
      <c r="J1079" s="243">
        <v>25830</v>
      </c>
      <c r="K1079" s="573">
        <f t="shared" si="75"/>
        <v>1033200</v>
      </c>
      <c r="L1079" s="574" t="s">
        <v>417</v>
      </c>
      <c r="M1079" s="574" t="s">
        <v>8</v>
      </c>
      <c r="N1079" s="51" t="str">
        <f>IF(AND('331-CT'!$E$7=TH!H1079,OR(L1079="331",M1079="331")),"331",IF(AND(OR(L1079="131",M1079="131"),H1079='131-CT'!$E$7),"131",""))</f>
        <v/>
      </c>
      <c r="O1079" s="51" t="str">
        <f>IF(AND($B1079&gt;='111'!$N$11,$B1079&lt;='111'!$O$11,OR($L1079=$O$7,$M1079=$O$7)),"x","")</f>
        <v/>
      </c>
      <c r="P1079" s="51" t="str">
        <f>IF(AND($L1079=$O$7,$B1079&lt;'111'!$N$11),"x","")</f>
        <v/>
      </c>
      <c r="Q1079" s="51" t="str">
        <f>IF(AND($M1079=$O$7,$B1079&lt;'111'!$N$11),"x","")</f>
        <v/>
      </c>
      <c r="R1079" s="51" t="str">
        <f>IF(ISERROR(FIND('112'!$M$9,G1079,1)),"",IF((AND(FIND('112'!$M$9,G1079,1)&gt;=1,$B1079&gt;='112'!$N$8,$B1079&lt;='112'!$O$8,OR($L1079='112'!$I$6,$M1079='112'!$I$6))),"x",""))</f>
        <v/>
      </c>
      <c r="S1079" s="51" t="str">
        <f>IF(ISERROR(FIND('112'!$M$9,G1079,1)),"",IF((AND(LEFT(G1079,2)=LEFT('112'!$M$9,2),B1079&lt;'112'!$N$8,$L1079='112'!$I$6)),"x",""))</f>
        <v/>
      </c>
      <c r="T1079" s="51" t="str">
        <f>IF(ISERROR(FIND('112'!$M$9,G1079,1)),"",IF((AND(RIGHT(G1079,2)=RIGHT('112'!$M$9,2),B1079&lt;'112'!$N$8,$M1079='112'!$I$6)),"x",""))</f>
        <v/>
      </c>
      <c r="U1079" s="51" t="str">
        <f>IF(AND(L1079="154",'154'!$O$5&lt;=B1079,'154'!$P$5&gt;=B1079),"154",IF(AND(L1079="632",'632'!$L$5&lt;=B1079,'632'!$M$5&gt;=B1079),"632",IF(AND(L1079="642",'642'!$N$5&lt;=B1079,'642'!$O$5&gt;=B1079),"642",IF(AND(L1079="641",'641'!$N$5&lt;=B1079,'641'!$O$5&gt;=B1079),"641",""))))</f>
        <v/>
      </c>
      <c r="V1079" s="51" t="str">
        <f>IF(OR(TH!L1079=TH!$V$7,M1079=TH!$V$7),"x","")</f>
        <v/>
      </c>
      <c r="W1079" s="51" t="str">
        <f>IF(AND(B1079&gt;='IN-NX'!$P$3,B1079&lt;='IN-NX'!$Q$3,'IN-NX'!$D$7=D1079,OR(LEFT(L1079,2)="15",AND(LEFT(M1079,2)&lt;&gt;"15",LEFT(M1079,2)&lt;&gt;"33"))),"x","")</f>
        <v/>
      </c>
      <c r="X1079" s="51" t="str">
        <f>IF(AND(OR(LEFT(TH!L1079,2)="15",LEFT(TH!M1079,2)="15"),'152-CT'!$J$8=TH!F1079),"x","")</f>
        <v/>
      </c>
      <c r="Y1079" s="51" t="str">
        <f>IF(AND(OR(LEFT(TH!L1079,2)="15",LEFT(TH!M1079,2)="15"),TK!$E$7=TH!F1079),"x","")</f>
        <v/>
      </c>
      <c r="Z1079" s="51" t="str">
        <f>IF(AND(B1079&lt;=NKC!$N$8,B1079&gt;=NKC!$M$8),"x","")</f>
        <v/>
      </c>
      <c r="AA1079" s="803"/>
      <c r="AB1079" s="565"/>
      <c r="AE1079" s="565"/>
    </row>
    <row r="1080" spans="1:31" ht="15.75" customHeight="1">
      <c r="A1080" s="804" t="str">
        <f>IF(B1080&lt;&gt;"",IF(AND(B1080&gt;=_TM1,B1080&lt;=_TM2,OR(TH!L1080="1111",TH!M1080="1111")),TH!D1080,""),"")</f>
        <v/>
      </c>
      <c r="B1080" s="36">
        <f t="shared" si="72"/>
        <v>11</v>
      </c>
      <c r="C1080" s="189">
        <f t="shared" si="73"/>
        <v>42317</v>
      </c>
      <c r="D1080" s="189" t="s">
        <v>1420</v>
      </c>
      <c r="E1080" s="189">
        <v>42317</v>
      </c>
      <c r="F1080" s="190" t="s">
        <v>788</v>
      </c>
      <c r="G1080" s="813" t="s">
        <v>869</v>
      </c>
      <c r="H1080" s="191" t="s">
        <v>448</v>
      </c>
      <c r="I1080" s="243">
        <v>10</v>
      </c>
      <c r="J1080" s="243">
        <v>30240</v>
      </c>
      <c r="K1080" s="573">
        <f t="shared" si="75"/>
        <v>302400</v>
      </c>
      <c r="L1080" s="574" t="s">
        <v>417</v>
      </c>
      <c r="M1080" s="574" t="s">
        <v>8</v>
      </c>
      <c r="N1080" s="51" t="str">
        <f>IF(AND('331-CT'!$E$7=TH!H1080,OR(L1080="331",M1080="331")),"331",IF(AND(OR(L1080="131",M1080="131"),H1080='131-CT'!$E$7),"131",""))</f>
        <v/>
      </c>
      <c r="O1080" s="51" t="str">
        <f>IF(AND($B1080&gt;='111'!$N$11,$B1080&lt;='111'!$O$11,OR($L1080=$O$7,$M1080=$O$7)),"x","")</f>
        <v/>
      </c>
      <c r="P1080" s="51" t="str">
        <f>IF(AND($L1080=$O$7,$B1080&lt;'111'!$N$11),"x","")</f>
        <v/>
      </c>
      <c r="Q1080" s="51" t="str">
        <f>IF(AND($M1080=$O$7,$B1080&lt;'111'!$N$11),"x","")</f>
        <v/>
      </c>
      <c r="R1080" s="51" t="str">
        <f>IF(ISERROR(FIND('112'!$M$9,G1080,1)),"",IF((AND(FIND('112'!$M$9,G1080,1)&gt;=1,$B1080&gt;='112'!$N$8,$B1080&lt;='112'!$O$8,OR($L1080='112'!$I$6,$M1080='112'!$I$6))),"x",""))</f>
        <v/>
      </c>
      <c r="S1080" s="51" t="str">
        <f>IF(ISERROR(FIND('112'!$M$9,G1080,1)),"",IF((AND(LEFT(G1080,2)=LEFT('112'!$M$9,2),B1080&lt;'112'!$N$8,$L1080='112'!$I$6)),"x",""))</f>
        <v/>
      </c>
      <c r="T1080" s="51" t="str">
        <f>IF(ISERROR(FIND('112'!$M$9,G1080,1)),"",IF((AND(RIGHT(G1080,2)=RIGHT('112'!$M$9,2),B1080&lt;'112'!$N$8,$M1080='112'!$I$6)),"x",""))</f>
        <v/>
      </c>
      <c r="U1080" s="51" t="str">
        <f>IF(AND(L1080="154",'154'!$O$5&lt;=B1080,'154'!$P$5&gt;=B1080),"154",IF(AND(L1080="632",'632'!$L$5&lt;=B1080,'632'!$M$5&gt;=B1080),"632",IF(AND(L1080="642",'642'!$N$5&lt;=B1080,'642'!$O$5&gt;=B1080),"642",IF(AND(L1080="641",'641'!$N$5&lt;=B1080,'641'!$O$5&gt;=B1080),"641",""))))</f>
        <v/>
      </c>
      <c r="V1080" s="51" t="str">
        <f>IF(OR(TH!L1080=TH!$V$7,M1080=TH!$V$7),"x","")</f>
        <v/>
      </c>
      <c r="W1080" s="51" t="str">
        <f>IF(AND(B1080&gt;='IN-NX'!$P$3,B1080&lt;='IN-NX'!$Q$3,'IN-NX'!$D$7=D1080,OR(LEFT(L1080,2)="15",AND(LEFT(M1080,2)&lt;&gt;"15",LEFT(M1080,2)&lt;&gt;"33"))),"x","")</f>
        <v/>
      </c>
      <c r="X1080" s="51" t="str">
        <f>IF(AND(OR(LEFT(TH!L1080,2)="15",LEFT(TH!M1080,2)="15"),'152-CT'!$J$8=TH!F1080),"x","")</f>
        <v/>
      </c>
      <c r="Y1080" s="51" t="str">
        <f>IF(AND(OR(LEFT(TH!L1080,2)="15",LEFT(TH!M1080,2)="15"),TK!$E$7=TH!F1080),"x","")</f>
        <v/>
      </c>
      <c r="Z1080" s="51" t="str">
        <f>IF(AND(B1080&lt;=NKC!$N$8,B1080&gt;=NKC!$M$8),"x","")</f>
        <v/>
      </c>
      <c r="AA1080" s="803"/>
      <c r="AB1080" s="565"/>
    </row>
    <row r="1081" spans="1:31" ht="15.75" customHeight="1">
      <c r="A1081" s="804" t="str">
        <f>IF(B1081&lt;&gt;"",IF(AND(B1081&gt;=_TM1,B1081&lt;=_TM2,OR(TH!L1081="1111",TH!M1081="1111")),TH!D1081,""),"")</f>
        <v/>
      </c>
      <c r="B1081" s="36">
        <f t="shared" si="72"/>
        <v>11</v>
      </c>
      <c r="C1081" s="189">
        <f t="shared" si="73"/>
        <v>42317</v>
      </c>
      <c r="D1081" s="189" t="s">
        <v>1420</v>
      </c>
      <c r="E1081" s="189">
        <v>42317</v>
      </c>
      <c r="F1081" s="190" t="s">
        <v>882</v>
      </c>
      <c r="G1081" s="813" t="s">
        <v>869</v>
      </c>
      <c r="H1081" s="191" t="s">
        <v>448</v>
      </c>
      <c r="I1081" s="243">
        <v>20</v>
      </c>
      <c r="J1081" s="243">
        <v>30024</v>
      </c>
      <c r="K1081" s="573">
        <f t="shared" si="75"/>
        <v>600480</v>
      </c>
      <c r="L1081" s="574" t="s">
        <v>417</v>
      </c>
      <c r="M1081" s="574" t="s">
        <v>8</v>
      </c>
      <c r="N1081" s="51" t="str">
        <f>IF(AND('331-CT'!$E$7=TH!H1081,OR(L1081="331",M1081="331")),"331",IF(AND(OR(L1081="131",M1081="131"),H1081='131-CT'!$E$7),"131",""))</f>
        <v/>
      </c>
      <c r="O1081" s="51" t="str">
        <f>IF(AND($B1081&gt;='111'!$N$11,$B1081&lt;='111'!$O$11,OR($L1081=$O$7,$M1081=$O$7)),"x","")</f>
        <v/>
      </c>
      <c r="P1081" s="51" t="str">
        <f>IF(AND($L1081=$O$7,$B1081&lt;'111'!$N$11),"x","")</f>
        <v/>
      </c>
      <c r="Q1081" s="51" t="str">
        <f>IF(AND($M1081=$O$7,$B1081&lt;'111'!$N$11),"x","")</f>
        <v/>
      </c>
      <c r="R1081" s="51" t="str">
        <f>IF(ISERROR(FIND('112'!$M$9,G1081,1)),"",IF((AND(FIND('112'!$M$9,G1081,1)&gt;=1,$B1081&gt;='112'!$N$8,$B1081&lt;='112'!$O$8,OR($L1081='112'!$I$6,$M1081='112'!$I$6))),"x",""))</f>
        <v/>
      </c>
      <c r="S1081" s="51" t="str">
        <f>IF(ISERROR(FIND('112'!$M$9,G1081,1)),"",IF((AND(LEFT(G1081,2)=LEFT('112'!$M$9,2),B1081&lt;'112'!$N$8,$L1081='112'!$I$6)),"x",""))</f>
        <v/>
      </c>
      <c r="T1081" s="51" t="str">
        <f>IF(ISERROR(FIND('112'!$M$9,G1081,1)),"",IF((AND(RIGHT(G1081,2)=RIGHT('112'!$M$9,2),B1081&lt;'112'!$N$8,$M1081='112'!$I$6)),"x",""))</f>
        <v/>
      </c>
      <c r="U1081" s="51" t="str">
        <f>IF(AND(L1081="154",'154'!$O$5&lt;=B1081,'154'!$P$5&gt;=B1081),"154",IF(AND(L1081="632",'632'!$L$5&lt;=B1081,'632'!$M$5&gt;=B1081),"632",IF(AND(L1081="642",'642'!$N$5&lt;=B1081,'642'!$O$5&gt;=B1081),"642",IF(AND(L1081="641",'641'!$N$5&lt;=B1081,'641'!$O$5&gt;=B1081),"641",""))))</f>
        <v/>
      </c>
      <c r="V1081" s="51" t="str">
        <f>IF(OR(TH!L1081=TH!$V$7,M1081=TH!$V$7),"x","")</f>
        <v/>
      </c>
      <c r="W1081" s="51" t="str">
        <f>IF(AND(B1081&gt;='IN-NX'!$P$3,B1081&lt;='IN-NX'!$Q$3,'IN-NX'!$D$7=D1081,OR(LEFT(L1081,2)="15",AND(LEFT(M1081,2)&lt;&gt;"15",LEFT(M1081,2)&lt;&gt;"33"))),"x","")</f>
        <v/>
      </c>
      <c r="X1081" s="51" t="str">
        <f>IF(AND(OR(LEFT(TH!L1081,2)="15",LEFT(TH!M1081,2)="15"),'152-CT'!$J$8=TH!F1081),"x","")</f>
        <v/>
      </c>
      <c r="Y1081" s="51" t="str">
        <f>IF(AND(OR(LEFT(TH!L1081,2)="15",LEFT(TH!M1081,2)="15"),TK!$E$7=TH!F1081),"x","")</f>
        <v/>
      </c>
      <c r="Z1081" s="51" t="str">
        <f>IF(AND(B1081&lt;=NKC!$N$8,B1081&gt;=NKC!$M$8),"x","")</f>
        <v/>
      </c>
      <c r="AA1081" s="803"/>
      <c r="AB1081" s="565"/>
    </row>
    <row r="1082" spans="1:31" ht="15.75" customHeight="1">
      <c r="A1082" s="804" t="str">
        <f>IF(B1082&lt;&gt;"",IF(AND(B1082&gt;=_TM1,B1082&lt;=_TM2,OR(TH!L1082="1111",TH!M1082="1111")),TH!D1082,""),"")</f>
        <v/>
      </c>
      <c r="B1082" s="36">
        <f t="shared" si="72"/>
        <v>11</v>
      </c>
      <c r="C1082" s="189">
        <f t="shared" si="73"/>
        <v>42317</v>
      </c>
      <c r="D1082" s="189" t="s">
        <v>1420</v>
      </c>
      <c r="E1082" s="189">
        <v>42317</v>
      </c>
      <c r="F1082" s="190" t="s">
        <v>883</v>
      </c>
      <c r="G1082" s="813" t="s">
        <v>869</v>
      </c>
      <c r="H1082" s="191" t="s">
        <v>448</v>
      </c>
      <c r="I1082" s="243">
        <v>40</v>
      </c>
      <c r="J1082" s="243">
        <v>24624</v>
      </c>
      <c r="K1082" s="573">
        <f t="shared" si="75"/>
        <v>984960</v>
      </c>
      <c r="L1082" s="574" t="s">
        <v>417</v>
      </c>
      <c r="M1082" s="574" t="s">
        <v>8</v>
      </c>
      <c r="N1082" s="51" t="str">
        <f>IF(AND('331-CT'!$E$7=TH!H1082,OR(L1082="331",M1082="331")),"331",IF(AND(OR(L1082="131",M1082="131"),H1082='131-CT'!$E$7),"131",""))</f>
        <v/>
      </c>
      <c r="O1082" s="51" t="str">
        <f>IF(AND($B1082&gt;='111'!$N$11,$B1082&lt;='111'!$O$11,OR($L1082=$O$7,$M1082=$O$7)),"x","")</f>
        <v/>
      </c>
      <c r="P1082" s="51" t="str">
        <f>IF(AND($L1082=$O$7,$B1082&lt;'111'!$N$11),"x","")</f>
        <v/>
      </c>
      <c r="Q1082" s="51" t="str">
        <f>IF(AND($M1082=$O$7,$B1082&lt;'111'!$N$11),"x","")</f>
        <v/>
      </c>
      <c r="R1082" s="51" t="str">
        <f>IF(ISERROR(FIND('112'!$M$9,G1082,1)),"",IF((AND(FIND('112'!$M$9,G1082,1)&gt;=1,$B1082&gt;='112'!$N$8,$B1082&lt;='112'!$O$8,OR($L1082='112'!$I$6,$M1082='112'!$I$6))),"x",""))</f>
        <v/>
      </c>
      <c r="S1082" s="51" t="str">
        <f>IF(ISERROR(FIND('112'!$M$9,G1082,1)),"",IF((AND(LEFT(G1082,2)=LEFT('112'!$M$9,2),B1082&lt;'112'!$N$8,$L1082='112'!$I$6)),"x",""))</f>
        <v/>
      </c>
      <c r="T1082" s="51" t="str">
        <f>IF(ISERROR(FIND('112'!$M$9,G1082,1)),"",IF((AND(RIGHT(G1082,2)=RIGHT('112'!$M$9,2),B1082&lt;'112'!$N$8,$M1082='112'!$I$6)),"x",""))</f>
        <v/>
      </c>
      <c r="U1082" s="51" t="str">
        <f>IF(AND(L1082="154",'154'!$O$5&lt;=B1082,'154'!$P$5&gt;=B1082),"154",IF(AND(L1082="632",'632'!$L$5&lt;=B1082,'632'!$M$5&gt;=B1082),"632",IF(AND(L1082="642",'642'!$N$5&lt;=B1082,'642'!$O$5&gt;=B1082),"642",IF(AND(L1082="641",'641'!$N$5&lt;=B1082,'641'!$O$5&gt;=B1082),"641",""))))</f>
        <v/>
      </c>
      <c r="V1082" s="51" t="str">
        <f>IF(OR(TH!L1082=TH!$V$7,M1082=TH!$V$7),"x","")</f>
        <v/>
      </c>
      <c r="W1082" s="51" t="str">
        <f>IF(AND(B1082&gt;='IN-NX'!$P$3,B1082&lt;='IN-NX'!$Q$3,'IN-NX'!$D$7=D1082,OR(LEFT(L1082,2)="15",AND(LEFT(M1082,2)&lt;&gt;"15",LEFT(M1082,2)&lt;&gt;"33"))),"x","")</f>
        <v/>
      </c>
      <c r="X1082" s="51" t="str">
        <f>IF(AND(OR(LEFT(TH!L1082,2)="15",LEFT(TH!M1082,2)="15"),'152-CT'!$J$8=TH!F1082),"x","")</f>
        <v/>
      </c>
      <c r="Y1082" s="51" t="str">
        <f>IF(AND(OR(LEFT(TH!L1082,2)="15",LEFT(TH!M1082,2)="15"),TK!$E$7=TH!F1082),"x","")</f>
        <v/>
      </c>
      <c r="Z1082" s="51" t="str">
        <f>IF(AND(B1082&lt;=NKC!$N$8,B1082&gt;=NKC!$M$8),"x","")</f>
        <v/>
      </c>
      <c r="AA1082" s="803"/>
      <c r="AB1082" s="565"/>
    </row>
    <row r="1083" spans="1:31" ht="15.75" customHeight="1">
      <c r="A1083" s="804" t="str">
        <f>IF(B1083&lt;&gt;"",IF(AND(B1083&gt;=_TM1,B1083&lt;=_TM2,OR(TH!L1083="1111",TH!M1083="1111")),TH!D1083,""),"")</f>
        <v/>
      </c>
      <c r="B1083" s="36">
        <f t="shared" si="72"/>
        <v>11</v>
      </c>
      <c r="C1083" s="189">
        <f t="shared" si="73"/>
        <v>42317</v>
      </c>
      <c r="D1083" s="189" t="s">
        <v>1420</v>
      </c>
      <c r="E1083" s="189">
        <v>42317</v>
      </c>
      <c r="F1083" s="190" t="s">
        <v>884</v>
      </c>
      <c r="G1083" s="813" t="s">
        <v>869</v>
      </c>
      <c r="H1083" s="191" t="s">
        <v>448</v>
      </c>
      <c r="I1083" s="243">
        <v>10</v>
      </c>
      <c r="J1083" s="243">
        <v>19116</v>
      </c>
      <c r="K1083" s="573">
        <f t="shared" si="75"/>
        <v>191160</v>
      </c>
      <c r="L1083" s="574" t="s">
        <v>417</v>
      </c>
      <c r="M1083" s="574" t="s">
        <v>8</v>
      </c>
      <c r="N1083" s="51" t="str">
        <f>IF(AND('331-CT'!$E$7=TH!H1083,OR(L1083="331",M1083="331")),"331",IF(AND(OR(L1083="131",M1083="131"),H1083='131-CT'!$E$7),"131",""))</f>
        <v/>
      </c>
      <c r="O1083" s="51" t="str">
        <f>IF(AND($B1083&gt;='111'!$N$11,$B1083&lt;='111'!$O$11,OR($L1083=$O$7,$M1083=$O$7)),"x","")</f>
        <v/>
      </c>
      <c r="P1083" s="51" t="str">
        <f>IF(AND($L1083=$O$7,$B1083&lt;'111'!$N$11),"x","")</f>
        <v/>
      </c>
      <c r="Q1083" s="51" t="str">
        <f>IF(AND($M1083=$O$7,$B1083&lt;'111'!$N$11),"x","")</f>
        <v/>
      </c>
      <c r="R1083" s="51" t="str">
        <f>IF(ISERROR(FIND('112'!$M$9,G1083,1)),"",IF((AND(FIND('112'!$M$9,G1083,1)&gt;=1,$B1083&gt;='112'!$N$8,$B1083&lt;='112'!$O$8,OR($L1083='112'!$I$6,$M1083='112'!$I$6))),"x",""))</f>
        <v/>
      </c>
      <c r="S1083" s="51" t="str">
        <f>IF(ISERROR(FIND('112'!$M$9,G1083,1)),"",IF((AND(LEFT(G1083,2)=LEFT('112'!$M$9,2),B1083&lt;'112'!$N$8,$L1083='112'!$I$6)),"x",""))</f>
        <v/>
      </c>
      <c r="T1083" s="51" t="str">
        <f>IF(ISERROR(FIND('112'!$M$9,G1083,1)),"",IF((AND(RIGHT(G1083,2)=RIGHT('112'!$M$9,2),B1083&lt;'112'!$N$8,$M1083='112'!$I$6)),"x",""))</f>
        <v/>
      </c>
      <c r="U1083" s="51" t="str">
        <f>IF(AND(L1083="154",'154'!$O$5&lt;=B1083,'154'!$P$5&gt;=B1083),"154",IF(AND(L1083="632",'632'!$L$5&lt;=B1083,'632'!$M$5&gt;=B1083),"632",IF(AND(L1083="642",'642'!$N$5&lt;=B1083,'642'!$O$5&gt;=B1083),"642",IF(AND(L1083="641",'641'!$N$5&lt;=B1083,'641'!$O$5&gt;=B1083),"641",""))))</f>
        <v/>
      </c>
      <c r="V1083" s="51" t="str">
        <f>IF(OR(TH!L1083=TH!$V$7,M1083=TH!$V$7),"x","")</f>
        <v/>
      </c>
      <c r="W1083" s="51" t="str">
        <f>IF(AND(B1083&gt;='IN-NX'!$P$3,B1083&lt;='IN-NX'!$Q$3,'IN-NX'!$D$7=D1083,OR(LEFT(L1083,2)="15",AND(LEFT(M1083,2)&lt;&gt;"15",LEFT(M1083,2)&lt;&gt;"33"))),"x","")</f>
        <v/>
      </c>
      <c r="X1083" s="51" t="str">
        <f>IF(AND(OR(LEFT(TH!L1083,2)="15",LEFT(TH!M1083,2)="15"),'152-CT'!$J$8=TH!F1083),"x","")</f>
        <v/>
      </c>
      <c r="Y1083" s="51" t="str">
        <f>IF(AND(OR(LEFT(TH!L1083,2)="15",LEFT(TH!M1083,2)="15"),TK!$E$7=TH!F1083),"x","")</f>
        <v/>
      </c>
      <c r="Z1083" s="51" t="str">
        <f>IF(AND(B1083&lt;=NKC!$N$8,B1083&gt;=NKC!$M$8),"x","")</f>
        <v/>
      </c>
      <c r="AA1083" s="803"/>
      <c r="AB1083" s="565"/>
      <c r="AE1083" s="565"/>
    </row>
    <row r="1084" spans="1:31" ht="15.75" customHeight="1">
      <c r="A1084" s="804" t="str">
        <f>IF(B1084&lt;&gt;"",IF(AND(B1084&gt;=_TM1,B1084&lt;=_TM2,OR(TH!L1084="1111",TH!M1084="1111")),TH!D1084,""),"")</f>
        <v/>
      </c>
      <c r="B1084" s="36">
        <f t="shared" si="72"/>
        <v>11</v>
      </c>
      <c r="C1084" s="189">
        <f t="shared" si="73"/>
        <v>42317</v>
      </c>
      <c r="D1084" s="189" t="s">
        <v>1420</v>
      </c>
      <c r="E1084" s="189">
        <v>42317</v>
      </c>
      <c r="F1084" s="926" t="s">
        <v>799</v>
      </c>
      <c r="G1084" s="813" t="s">
        <v>869</v>
      </c>
      <c r="H1084" s="191" t="s">
        <v>448</v>
      </c>
      <c r="I1084" s="243">
        <v>60</v>
      </c>
      <c r="J1084" s="243">
        <v>19562</v>
      </c>
      <c r="K1084" s="573">
        <f t="shared" si="75"/>
        <v>1173720</v>
      </c>
      <c r="L1084" s="574" t="s">
        <v>417</v>
      </c>
      <c r="M1084" s="574" t="s">
        <v>8</v>
      </c>
      <c r="N1084" s="51" t="str">
        <f>IF(AND('331-CT'!$E$7=TH!H1084,OR(L1084="331",M1084="331")),"331",IF(AND(OR(L1084="131",M1084="131"),H1084='131-CT'!$E$7),"131",""))</f>
        <v/>
      </c>
      <c r="O1084" s="51" t="str">
        <f>IF(AND($B1084&gt;='111'!$N$11,$B1084&lt;='111'!$O$11,OR($L1084=$O$7,$M1084=$O$7)),"x","")</f>
        <v/>
      </c>
      <c r="P1084" s="51" t="str">
        <f>IF(AND($L1084=$O$7,$B1084&lt;'111'!$N$11),"x","")</f>
        <v/>
      </c>
      <c r="Q1084" s="51" t="str">
        <f>IF(AND($M1084=$O$7,$B1084&lt;'111'!$N$11),"x","")</f>
        <v/>
      </c>
      <c r="R1084" s="51" t="str">
        <f>IF(ISERROR(FIND('112'!$M$9,G1084,1)),"",IF((AND(FIND('112'!$M$9,G1084,1)&gt;=1,$B1084&gt;='112'!$N$8,$B1084&lt;='112'!$O$8,OR($L1084='112'!$I$6,$M1084='112'!$I$6))),"x",""))</f>
        <v/>
      </c>
      <c r="S1084" s="51" t="str">
        <f>IF(ISERROR(FIND('112'!$M$9,G1084,1)),"",IF((AND(LEFT(G1084,2)=LEFT('112'!$M$9,2),B1084&lt;'112'!$N$8,$L1084='112'!$I$6)),"x",""))</f>
        <v/>
      </c>
      <c r="T1084" s="51" t="str">
        <f>IF(ISERROR(FIND('112'!$M$9,G1084,1)),"",IF((AND(RIGHT(G1084,2)=RIGHT('112'!$M$9,2),B1084&lt;'112'!$N$8,$M1084='112'!$I$6)),"x",""))</f>
        <v/>
      </c>
      <c r="U1084" s="51" t="str">
        <f>IF(AND(L1084="154",'154'!$O$5&lt;=B1084,'154'!$P$5&gt;=B1084),"154",IF(AND(L1084="632",'632'!$L$5&lt;=B1084,'632'!$M$5&gt;=B1084),"632",IF(AND(L1084="642",'642'!$N$5&lt;=B1084,'642'!$O$5&gt;=B1084),"642",IF(AND(L1084="641",'641'!$N$5&lt;=B1084,'641'!$O$5&gt;=B1084),"641",""))))</f>
        <v/>
      </c>
      <c r="V1084" s="51" t="str">
        <f>IF(OR(TH!L1084=TH!$V$7,M1084=TH!$V$7),"x","")</f>
        <v/>
      </c>
      <c r="W1084" s="51" t="str">
        <f>IF(AND(B1084&gt;='IN-NX'!$P$3,B1084&lt;='IN-NX'!$Q$3,'IN-NX'!$D$7=D1084,OR(LEFT(L1084,2)="15",AND(LEFT(M1084,2)&lt;&gt;"15",LEFT(M1084,2)&lt;&gt;"33"))),"x","")</f>
        <v/>
      </c>
      <c r="X1084" s="51" t="str">
        <f>IF(AND(OR(LEFT(TH!L1084,2)="15",LEFT(TH!M1084,2)="15"),'152-CT'!$J$8=TH!F1084),"x","")</f>
        <v/>
      </c>
      <c r="Y1084" s="51" t="str">
        <f>IF(AND(OR(LEFT(TH!L1084,2)="15",LEFT(TH!M1084,2)="15"),TK!$E$7=TH!F1084),"x","")</f>
        <v/>
      </c>
      <c r="Z1084" s="51" t="str">
        <f>IF(AND(B1084&lt;=NKC!$N$8,B1084&gt;=NKC!$M$8),"x","")</f>
        <v/>
      </c>
      <c r="AA1084" s="803"/>
      <c r="AB1084" s="565"/>
      <c r="AE1084" s="565"/>
    </row>
    <row r="1085" spans="1:31" ht="15.75" customHeight="1">
      <c r="A1085" s="804" t="str">
        <f>IF(B1085&lt;&gt;"",IF(AND(B1085&gt;=_TM1,B1085&lt;=_TM2,OR(TH!L1085="1111",TH!M1085="1111")),TH!D1085,""),"")</f>
        <v/>
      </c>
      <c r="B1085" s="36">
        <f t="shared" si="72"/>
        <v>11</v>
      </c>
      <c r="C1085" s="189">
        <f t="shared" si="73"/>
        <v>42317</v>
      </c>
      <c r="D1085" s="189" t="s">
        <v>1420</v>
      </c>
      <c r="E1085" s="189">
        <v>42317</v>
      </c>
      <c r="F1085" s="926" t="s">
        <v>885</v>
      </c>
      <c r="G1085" s="813" t="s">
        <v>869</v>
      </c>
      <c r="H1085" s="191" t="s">
        <v>448</v>
      </c>
      <c r="I1085" s="243">
        <v>40</v>
      </c>
      <c r="J1085" s="243">
        <v>20777</v>
      </c>
      <c r="K1085" s="573">
        <f t="shared" si="75"/>
        <v>831080</v>
      </c>
      <c r="L1085" s="574" t="s">
        <v>417</v>
      </c>
      <c r="M1085" s="574" t="s">
        <v>8</v>
      </c>
      <c r="N1085" s="51" t="str">
        <f>IF(AND('331-CT'!$E$7=TH!H1085,OR(L1085="331",M1085="331")),"331",IF(AND(OR(L1085="131",M1085="131"),H1085='131-CT'!$E$7),"131",""))</f>
        <v/>
      </c>
      <c r="O1085" s="51" t="str">
        <f>IF(AND($B1085&gt;='111'!$N$11,$B1085&lt;='111'!$O$11,OR($L1085=$O$7,$M1085=$O$7)),"x","")</f>
        <v/>
      </c>
      <c r="P1085" s="51" t="str">
        <f>IF(AND($L1085=$O$7,$B1085&lt;'111'!$N$11),"x","")</f>
        <v/>
      </c>
      <c r="Q1085" s="51" t="str">
        <f>IF(AND($M1085=$O$7,$B1085&lt;'111'!$N$11),"x","")</f>
        <v/>
      </c>
      <c r="R1085" s="51" t="str">
        <f>IF(ISERROR(FIND('112'!$M$9,G1085,1)),"",IF((AND(FIND('112'!$M$9,G1085,1)&gt;=1,$B1085&gt;='112'!$N$8,$B1085&lt;='112'!$O$8,OR($L1085='112'!$I$6,$M1085='112'!$I$6))),"x",""))</f>
        <v/>
      </c>
      <c r="S1085" s="51" t="str">
        <f>IF(ISERROR(FIND('112'!$M$9,G1085,1)),"",IF((AND(LEFT(G1085,2)=LEFT('112'!$M$9,2),B1085&lt;'112'!$N$8,$L1085='112'!$I$6)),"x",""))</f>
        <v/>
      </c>
      <c r="T1085" s="51" t="str">
        <f>IF(ISERROR(FIND('112'!$M$9,G1085,1)),"",IF((AND(RIGHT(G1085,2)=RIGHT('112'!$M$9,2),B1085&lt;'112'!$N$8,$M1085='112'!$I$6)),"x",""))</f>
        <v/>
      </c>
      <c r="U1085" s="51" t="str">
        <f>IF(AND(L1085="154",'154'!$O$5&lt;=B1085,'154'!$P$5&gt;=B1085),"154",IF(AND(L1085="632",'632'!$L$5&lt;=B1085,'632'!$M$5&gt;=B1085),"632",IF(AND(L1085="642",'642'!$N$5&lt;=B1085,'642'!$O$5&gt;=B1085),"642",IF(AND(L1085="641",'641'!$N$5&lt;=B1085,'641'!$O$5&gt;=B1085),"641",""))))</f>
        <v/>
      </c>
      <c r="V1085" s="51" t="str">
        <f>IF(OR(TH!L1085=TH!$V$7,M1085=TH!$V$7),"x","")</f>
        <v/>
      </c>
      <c r="W1085" s="51" t="str">
        <f>IF(AND(B1085&gt;='IN-NX'!$P$3,B1085&lt;='IN-NX'!$Q$3,'IN-NX'!$D$7=D1085,OR(LEFT(L1085,2)="15",AND(LEFT(M1085,2)&lt;&gt;"15",LEFT(M1085,2)&lt;&gt;"33"))),"x","")</f>
        <v/>
      </c>
      <c r="X1085" s="51" t="str">
        <f>IF(AND(OR(LEFT(TH!L1085,2)="15",LEFT(TH!M1085,2)="15"),'152-CT'!$J$8=TH!F1085),"x","")</f>
        <v/>
      </c>
      <c r="Y1085" s="51" t="str">
        <f>IF(AND(OR(LEFT(TH!L1085,2)="15",LEFT(TH!M1085,2)="15"),TK!$E$7=TH!F1085),"x","")</f>
        <v/>
      </c>
      <c r="Z1085" s="51" t="str">
        <f>IF(AND(B1085&lt;=NKC!$N$8,B1085&gt;=NKC!$M$8),"x","")</f>
        <v/>
      </c>
      <c r="AA1085" s="803"/>
      <c r="AB1085" s="565"/>
      <c r="AE1085" s="565"/>
    </row>
    <row r="1086" spans="1:31" ht="15.75" customHeight="1">
      <c r="A1086" s="804" t="str">
        <f>IF(B1086&lt;&gt;"",IF(AND(B1086&gt;=_TM1,B1086&lt;=_TM2,OR(TH!L1086="1111",TH!M1086="1111")),TH!D1086,""),"")</f>
        <v/>
      </c>
      <c r="B1086" s="36">
        <f t="shared" si="72"/>
        <v>11</v>
      </c>
      <c r="C1086" s="189">
        <f t="shared" si="73"/>
        <v>42317</v>
      </c>
      <c r="D1086" s="189" t="s">
        <v>1420</v>
      </c>
      <c r="E1086" s="189">
        <v>42317</v>
      </c>
      <c r="F1086" s="926" t="s">
        <v>886</v>
      </c>
      <c r="G1086" s="813" t="s">
        <v>869</v>
      </c>
      <c r="H1086" s="191" t="s">
        <v>448</v>
      </c>
      <c r="I1086" s="243">
        <v>10</v>
      </c>
      <c r="J1086" s="243">
        <v>28553</v>
      </c>
      <c r="K1086" s="573">
        <f t="shared" si="75"/>
        <v>285530</v>
      </c>
      <c r="L1086" s="574" t="s">
        <v>417</v>
      </c>
      <c r="M1086" s="574" t="s">
        <v>8</v>
      </c>
      <c r="N1086" s="51" t="str">
        <f>IF(AND('331-CT'!$E$7=TH!H1086,OR(L1086="331",M1086="331")),"331",IF(AND(OR(L1086="131",M1086="131"),H1086='131-CT'!$E$7),"131",""))</f>
        <v/>
      </c>
      <c r="O1086" s="51" t="str">
        <f>IF(AND($B1086&gt;='111'!$N$11,$B1086&lt;='111'!$O$11,OR($L1086=$O$7,$M1086=$O$7)),"x","")</f>
        <v/>
      </c>
      <c r="P1086" s="51" t="str">
        <f>IF(AND($L1086=$O$7,$B1086&lt;'111'!$N$11),"x","")</f>
        <v/>
      </c>
      <c r="Q1086" s="51" t="str">
        <f>IF(AND($M1086=$O$7,$B1086&lt;'111'!$N$11),"x","")</f>
        <v/>
      </c>
      <c r="R1086" s="51" t="str">
        <f>IF(ISERROR(FIND('112'!$M$9,G1086,1)),"",IF((AND(FIND('112'!$M$9,G1086,1)&gt;=1,$B1086&gt;='112'!$N$8,$B1086&lt;='112'!$O$8,OR($L1086='112'!$I$6,$M1086='112'!$I$6))),"x",""))</f>
        <v/>
      </c>
      <c r="S1086" s="51" t="str">
        <f>IF(ISERROR(FIND('112'!$M$9,G1086,1)),"",IF((AND(LEFT(G1086,2)=LEFT('112'!$M$9,2),B1086&lt;'112'!$N$8,$L1086='112'!$I$6)),"x",""))</f>
        <v/>
      </c>
      <c r="T1086" s="51" t="str">
        <f>IF(ISERROR(FIND('112'!$M$9,G1086,1)),"",IF((AND(RIGHT(G1086,2)=RIGHT('112'!$M$9,2),B1086&lt;'112'!$N$8,$M1086='112'!$I$6)),"x",""))</f>
        <v/>
      </c>
      <c r="U1086" s="51" t="str">
        <f>IF(AND(L1086="154",'154'!$O$5&lt;=B1086,'154'!$P$5&gt;=B1086),"154",IF(AND(L1086="632",'632'!$L$5&lt;=B1086,'632'!$M$5&gt;=B1086),"632",IF(AND(L1086="642",'642'!$N$5&lt;=B1086,'642'!$O$5&gt;=B1086),"642",IF(AND(L1086="641",'641'!$N$5&lt;=B1086,'641'!$O$5&gt;=B1086),"641",""))))</f>
        <v/>
      </c>
      <c r="V1086" s="51" t="str">
        <f>IF(OR(TH!L1086=TH!$V$7,M1086=TH!$V$7),"x","")</f>
        <v/>
      </c>
      <c r="W1086" s="51" t="str">
        <f>IF(AND(B1086&gt;='IN-NX'!$P$3,B1086&lt;='IN-NX'!$Q$3,'IN-NX'!$D$7=D1086,OR(LEFT(L1086,2)="15",AND(LEFT(M1086,2)&lt;&gt;"15",LEFT(M1086,2)&lt;&gt;"33"))),"x","")</f>
        <v/>
      </c>
      <c r="X1086" s="51" t="str">
        <f>IF(AND(OR(LEFT(TH!L1086,2)="15",LEFT(TH!M1086,2)="15"),'152-CT'!$J$8=TH!F1086),"x","")</f>
        <v/>
      </c>
      <c r="Y1086" s="51" t="str">
        <f>IF(AND(OR(LEFT(TH!L1086,2)="15",LEFT(TH!M1086,2)="15"),TK!$E$7=TH!F1086),"x","")</f>
        <v/>
      </c>
      <c r="Z1086" s="51" t="str">
        <f>IF(AND(B1086&lt;=NKC!$N$8,B1086&gt;=NKC!$M$8),"x","")</f>
        <v/>
      </c>
      <c r="AA1086" s="803"/>
      <c r="AB1086" s="565"/>
      <c r="AE1086" s="565"/>
    </row>
    <row r="1087" spans="1:31" ht="15.75" customHeight="1">
      <c r="A1087" s="804" t="str">
        <f>IF(B1087&lt;&gt;"",IF(AND(B1087&gt;=_TM1,B1087&lt;=_TM2,OR(TH!L1087="1111",TH!M1087="1111")),TH!D1087,""),"")</f>
        <v/>
      </c>
      <c r="B1087" s="36">
        <f t="shared" si="72"/>
        <v>11</v>
      </c>
      <c r="C1087" s="189">
        <f t="shared" si="73"/>
        <v>42317</v>
      </c>
      <c r="D1087" s="189" t="s">
        <v>1420</v>
      </c>
      <c r="E1087" s="189">
        <v>42317</v>
      </c>
      <c r="F1087" s="922" t="s">
        <v>887</v>
      </c>
      <c r="G1087" s="813" t="s">
        <v>869</v>
      </c>
      <c r="H1087" s="191" t="s">
        <v>448</v>
      </c>
      <c r="I1087" s="243">
        <v>10</v>
      </c>
      <c r="J1087" s="243">
        <v>25740</v>
      </c>
      <c r="K1087" s="573">
        <f t="shared" si="75"/>
        <v>257400</v>
      </c>
      <c r="L1087" s="574" t="s">
        <v>417</v>
      </c>
      <c r="M1087" s="574" t="s">
        <v>8</v>
      </c>
      <c r="N1087" s="51" t="str">
        <f>IF(AND('331-CT'!$E$7=TH!H1087,OR(L1087="331",M1087="331")),"331",IF(AND(OR(L1087="131",M1087="131"),H1087='131-CT'!$E$7),"131",""))</f>
        <v/>
      </c>
      <c r="O1087" s="51" t="str">
        <f>IF(AND($B1087&gt;='111'!$N$11,$B1087&lt;='111'!$O$11,OR($L1087=$O$7,$M1087=$O$7)),"x","")</f>
        <v/>
      </c>
      <c r="P1087" s="51" t="str">
        <f>IF(AND($L1087=$O$7,$B1087&lt;'111'!$N$11),"x","")</f>
        <v/>
      </c>
      <c r="Q1087" s="51" t="str">
        <f>IF(AND($M1087=$O$7,$B1087&lt;'111'!$N$11),"x","")</f>
        <v/>
      </c>
      <c r="R1087" s="51" t="str">
        <f>IF(ISERROR(FIND('112'!$M$9,G1087,1)),"",IF((AND(FIND('112'!$M$9,G1087,1)&gt;=1,$B1087&gt;='112'!$N$8,$B1087&lt;='112'!$O$8,OR($L1087='112'!$I$6,$M1087='112'!$I$6))),"x",""))</f>
        <v/>
      </c>
      <c r="S1087" s="51" t="str">
        <f>IF(ISERROR(FIND('112'!$M$9,G1087,1)),"",IF((AND(LEFT(G1087,2)=LEFT('112'!$M$9,2),B1087&lt;'112'!$N$8,$L1087='112'!$I$6)),"x",""))</f>
        <v/>
      </c>
      <c r="T1087" s="51" t="str">
        <f>IF(ISERROR(FIND('112'!$M$9,G1087,1)),"",IF((AND(RIGHT(G1087,2)=RIGHT('112'!$M$9,2),B1087&lt;'112'!$N$8,$M1087='112'!$I$6)),"x",""))</f>
        <v/>
      </c>
      <c r="U1087" s="51" t="str">
        <f>IF(AND(L1087="154",'154'!$O$5&lt;=B1087,'154'!$P$5&gt;=B1087),"154",IF(AND(L1087="632",'632'!$L$5&lt;=B1087,'632'!$M$5&gt;=B1087),"632",IF(AND(L1087="642",'642'!$N$5&lt;=B1087,'642'!$O$5&gt;=B1087),"642",IF(AND(L1087="641",'641'!$N$5&lt;=B1087,'641'!$O$5&gt;=B1087),"641",""))))</f>
        <v/>
      </c>
      <c r="V1087" s="51" t="str">
        <f>IF(OR(TH!L1087=TH!$V$7,M1087=TH!$V$7),"x","")</f>
        <v/>
      </c>
      <c r="W1087" s="51" t="str">
        <f>IF(AND(B1087&gt;='IN-NX'!$P$3,B1087&lt;='IN-NX'!$Q$3,'IN-NX'!$D$7=D1087,OR(LEFT(L1087,2)="15",AND(LEFT(M1087,2)&lt;&gt;"15",LEFT(M1087,2)&lt;&gt;"33"))),"x","")</f>
        <v/>
      </c>
      <c r="X1087" s="51" t="str">
        <f>IF(AND(OR(LEFT(TH!L1087,2)="15",LEFT(TH!M1087,2)="15"),'152-CT'!$J$8=TH!F1087),"x","")</f>
        <v/>
      </c>
      <c r="Y1087" s="51" t="str">
        <f>IF(AND(OR(LEFT(TH!L1087,2)="15",LEFT(TH!M1087,2)="15"),TK!$E$7=TH!F1087),"x","")</f>
        <v/>
      </c>
      <c r="Z1087" s="51" t="str">
        <f>IF(AND(B1087&lt;=NKC!$N$8,B1087&gt;=NKC!$M$8),"x","")</f>
        <v/>
      </c>
      <c r="AA1087" s="803"/>
      <c r="AB1087" s="565"/>
      <c r="AE1087" s="565"/>
    </row>
    <row r="1088" spans="1:31" ht="15.75" customHeight="1">
      <c r="A1088" s="804" t="str">
        <f>IF(B1088&lt;&gt;"",IF(AND(B1088&gt;=_TM1,B1088&lt;=_TM2,OR(TH!L1088="1111",TH!M1088="1111")),TH!D1088,""),"")</f>
        <v/>
      </c>
      <c r="B1088" s="36">
        <f t="shared" si="72"/>
        <v>11</v>
      </c>
      <c r="C1088" s="189">
        <f t="shared" si="73"/>
        <v>42317</v>
      </c>
      <c r="D1088" s="189" t="s">
        <v>1420</v>
      </c>
      <c r="E1088" s="189">
        <v>42317</v>
      </c>
      <c r="F1088" s="190" t="s">
        <v>888</v>
      </c>
      <c r="G1088" s="813" t="s">
        <v>869</v>
      </c>
      <c r="H1088" s="191" t="s">
        <v>448</v>
      </c>
      <c r="I1088" s="243">
        <v>10</v>
      </c>
      <c r="J1088" s="243">
        <v>25389</v>
      </c>
      <c r="K1088" s="573">
        <f t="shared" si="75"/>
        <v>253890</v>
      </c>
      <c r="L1088" s="574" t="s">
        <v>417</v>
      </c>
      <c r="M1088" s="574" t="s">
        <v>8</v>
      </c>
      <c r="N1088" s="51" t="str">
        <f>IF(AND('331-CT'!$E$7=TH!H1088,OR(L1088="331",M1088="331")),"331",IF(AND(OR(L1088="131",M1088="131"),H1088='131-CT'!$E$7),"131",""))</f>
        <v/>
      </c>
      <c r="O1088" s="51" t="str">
        <f>IF(AND($B1088&gt;='111'!$N$11,$B1088&lt;='111'!$O$11,OR($L1088=$O$7,$M1088=$O$7)),"x","")</f>
        <v/>
      </c>
      <c r="P1088" s="51" t="str">
        <f>IF(AND($L1088=$O$7,$B1088&lt;'111'!$N$11),"x","")</f>
        <v/>
      </c>
      <c r="Q1088" s="51" t="str">
        <f>IF(AND($M1088=$O$7,$B1088&lt;'111'!$N$11),"x","")</f>
        <v/>
      </c>
      <c r="R1088" s="51" t="str">
        <f>IF(ISERROR(FIND('112'!$M$9,G1088,1)),"",IF((AND(FIND('112'!$M$9,G1088,1)&gt;=1,$B1088&gt;='112'!$N$8,$B1088&lt;='112'!$O$8,OR($L1088='112'!$I$6,$M1088='112'!$I$6))),"x",""))</f>
        <v/>
      </c>
      <c r="S1088" s="51" t="str">
        <f>IF(ISERROR(FIND('112'!$M$9,G1088,1)),"",IF((AND(LEFT(G1088,2)=LEFT('112'!$M$9,2),B1088&lt;'112'!$N$8,$L1088='112'!$I$6)),"x",""))</f>
        <v/>
      </c>
      <c r="T1088" s="51" t="str">
        <f>IF(ISERROR(FIND('112'!$M$9,G1088,1)),"",IF((AND(RIGHT(G1088,2)=RIGHT('112'!$M$9,2),B1088&lt;'112'!$N$8,$M1088='112'!$I$6)),"x",""))</f>
        <v/>
      </c>
      <c r="U1088" s="51" t="str">
        <f>IF(AND(L1088="154",'154'!$O$5&lt;=B1088,'154'!$P$5&gt;=B1088),"154",IF(AND(L1088="632",'632'!$L$5&lt;=B1088,'632'!$M$5&gt;=B1088),"632",IF(AND(L1088="642",'642'!$N$5&lt;=B1088,'642'!$O$5&gt;=B1088),"642",IF(AND(L1088="641",'641'!$N$5&lt;=B1088,'641'!$O$5&gt;=B1088),"641",""))))</f>
        <v/>
      </c>
      <c r="V1088" s="51" t="str">
        <f>IF(OR(TH!L1088=TH!$V$7,M1088=TH!$V$7),"x","")</f>
        <v/>
      </c>
      <c r="W1088" s="51" t="str">
        <f>IF(AND(B1088&gt;='IN-NX'!$P$3,B1088&lt;='IN-NX'!$Q$3,'IN-NX'!$D$7=D1088,OR(LEFT(L1088,2)="15",AND(LEFT(M1088,2)&lt;&gt;"15",LEFT(M1088,2)&lt;&gt;"33"))),"x","")</f>
        <v/>
      </c>
      <c r="X1088" s="51" t="str">
        <f>IF(AND(OR(LEFT(TH!L1088,2)="15",LEFT(TH!M1088,2)="15"),'152-CT'!$J$8=TH!F1088),"x","")</f>
        <v/>
      </c>
      <c r="Y1088" s="51" t="str">
        <f>IF(AND(OR(LEFT(TH!L1088,2)="15",LEFT(TH!M1088,2)="15"),TK!$E$7=TH!F1088),"x","")</f>
        <v/>
      </c>
      <c r="Z1088" s="51" t="str">
        <f>IF(AND(B1088&lt;=NKC!$N$8,B1088&gt;=NKC!$M$8),"x","")</f>
        <v/>
      </c>
      <c r="AA1088" s="803"/>
      <c r="AB1088" s="565"/>
      <c r="AE1088" s="565"/>
    </row>
    <row r="1089" spans="1:31" ht="15.75" customHeight="1">
      <c r="A1089" s="804" t="str">
        <f>IF(B1089&lt;&gt;"",IF(AND(B1089&gt;=_TM1,B1089&lt;=_TM2,OR(TH!L1089="1111",TH!M1089="1111")),TH!D1089,""),"")</f>
        <v/>
      </c>
      <c r="B1089" s="36">
        <f t="shared" si="72"/>
        <v>11</v>
      </c>
      <c r="C1089" s="189">
        <f t="shared" si="73"/>
        <v>42317</v>
      </c>
      <c r="D1089" s="189" t="s">
        <v>1420</v>
      </c>
      <c r="E1089" s="189">
        <v>42317</v>
      </c>
      <c r="F1089" s="190" t="s">
        <v>889</v>
      </c>
      <c r="G1089" s="813" t="s">
        <v>869</v>
      </c>
      <c r="H1089" s="191" t="s">
        <v>448</v>
      </c>
      <c r="I1089" s="243">
        <v>15</v>
      </c>
      <c r="J1089" s="243">
        <v>23517</v>
      </c>
      <c r="K1089" s="573">
        <f t="shared" si="75"/>
        <v>352755</v>
      </c>
      <c r="L1089" s="574" t="s">
        <v>417</v>
      </c>
      <c r="M1089" s="574" t="s">
        <v>8</v>
      </c>
      <c r="N1089" s="51" t="str">
        <f>IF(AND('331-CT'!$E$7=TH!H1089,OR(L1089="331",M1089="331")),"331",IF(AND(OR(L1089="131",M1089="131"),H1089='131-CT'!$E$7),"131",""))</f>
        <v/>
      </c>
      <c r="O1089" s="51" t="str">
        <f>IF(AND($B1089&gt;='111'!$N$11,$B1089&lt;='111'!$O$11,OR($L1089=$O$7,$M1089=$O$7)),"x","")</f>
        <v/>
      </c>
      <c r="P1089" s="51" t="str">
        <f>IF(AND($L1089=$O$7,$B1089&lt;'111'!$N$11),"x","")</f>
        <v/>
      </c>
      <c r="Q1089" s="51" t="str">
        <f>IF(AND($M1089=$O$7,$B1089&lt;'111'!$N$11),"x","")</f>
        <v/>
      </c>
      <c r="R1089" s="51" t="str">
        <f>IF(ISERROR(FIND('112'!$M$9,G1089,1)),"",IF((AND(FIND('112'!$M$9,G1089,1)&gt;=1,$B1089&gt;='112'!$N$8,$B1089&lt;='112'!$O$8,OR($L1089='112'!$I$6,$M1089='112'!$I$6))),"x",""))</f>
        <v/>
      </c>
      <c r="S1089" s="51" t="str">
        <f>IF(ISERROR(FIND('112'!$M$9,G1089,1)),"",IF((AND(LEFT(G1089,2)=LEFT('112'!$M$9,2),B1089&lt;'112'!$N$8,$L1089='112'!$I$6)),"x",""))</f>
        <v/>
      </c>
      <c r="T1089" s="51" t="str">
        <f>IF(ISERROR(FIND('112'!$M$9,G1089,1)),"",IF((AND(RIGHT(G1089,2)=RIGHT('112'!$M$9,2),B1089&lt;'112'!$N$8,$M1089='112'!$I$6)),"x",""))</f>
        <v/>
      </c>
      <c r="U1089" s="51" t="str">
        <f>IF(AND(L1089="154",'154'!$O$5&lt;=B1089,'154'!$P$5&gt;=B1089),"154",IF(AND(L1089="632",'632'!$L$5&lt;=B1089,'632'!$M$5&gt;=B1089),"632",IF(AND(L1089="642",'642'!$N$5&lt;=B1089,'642'!$O$5&gt;=B1089),"642",IF(AND(L1089="641",'641'!$N$5&lt;=B1089,'641'!$O$5&gt;=B1089),"641",""))))</f>
        <v/>
      </c>
      <c r="V1089" s="51" t="str">
        <f>IF(OR(TH!L1089=TH!$V$7,M1089=TH!$V$7),"x","")</f>
        <v/>
      </c>
      <c r="W1089" s="51" t="str">
        <f>IF(AND(B1089&gt;='IN-NX'!$P$3,B1089&lt;='IN-NX'!$Q$3,'IN-NX'!$D$7=D1089,OR(LEFT(L1089,2)="15",AND(LEFT(M1089,2)&lt;&gt;"15",LEFT(M1089,2)&lt;&gt;"33"))),"x","")</f>
        <v/>
      </c>
      <c r="X1089" s="51" t="str">
        <f>IF(AND(OR(LEFT(TH!L1089,2)="15",LEFT(TH!M1089,2)="15"),'152-CT'!$J$8=TH!F1089),"x","")</f>
        <v/>
      </c>
      <c r="Y1089" s="51" t="str">
        <f>IF(AND(OR(LEFT(TH!L1089,2)="15",LEFT(TH!M1089,2)="15"),TK!$E$7=TH!F1089),"x","")</f>
        <v/>
      </c>
      <c r="Z1089" s="51" t="str">
        <f>IF(AND(B1089&lt;=NKC!$N$8,B1089&gt;=NKC!$M$8),"x","")</f>
        <v/>
      </c>
      <c r="AA1089" s="803"/>
      <c r="AB1089" s="565"/>
      <c r="AE1089" s="565"/>
    </row>
    <row r="1090" spans="1:31" ht="15.75" customHeight="1">
      <c r="A1090" s="804" t="str">
        <f>IF(B1090&lt;&gt;"",IF(AND(B1090&gt;=_TM1,B1090&lt;=_TM2,OR(TH!L1090="1111",TH!M1090="1111")),TH!D1090,""),"")</f>
        <v/>
      </c>
      <c r="B1090" s="36">
        <f t="shared" si="72"/>
        <v>11</v>
      </c>
      <c r="C1090" s="189">
        <f t="shared" si="73"/>
        <v>42317</v>
      </c>
      <c r="D1090" s="189" t="s">
        <v>1421</v>
      </c>
      <c r="E1090" s="189">
        <v>42317</v>
      </c>
      <c r="F1090" s="190" t="s">
        <v>888</v>
      </c>
      <c r="G1090" s="813" t="s">
        <v>869</v>
      </c>
      <c r="H1090" s="191" t="s">
        <v>448</v>
      </c>
      <c r="I1090" s="243">
        <v>25</v>
      </c>
      <c r="J1090" s="243">
        <v>25389</v>
      </c>
      <c r="K1090" s="573">
        <f t="shared" si="75"/>
        <v>634725</v>
      </c>
      <c r="L1090" s="574" t="s">
        <v>417</v>
      </c>
      <c r="M1090" s="574" t="s">
        <v>8</v>
      </c>
      <c r="N1090" s="51" t="str">
        <f>IF(AND('331-CT'!$E$7=TH!H1090,OR(L1090="331",M1090="331")),"331",IF(AND(OR(L1090="131",M1090="131"),H1090='131-CT'!$E$7),"131",""))</f>
        <v/>
      </c>
      <c r="O1090" s="51" t="str">
        <f>IF(AND($B1090&gt;='111'!$N$11,$B1090&lt;='111'!$O$11,OR($L1090=$O$7,$M1090=$O$7)),"x","")</f>
        <v/>
      </c>
      <c r="P1090" s="51" t="str">
        <f>IF(AND($L1090=$O$7,$B1090&lt;'111'!$N$11),"x","")</f>
        <v/>
      </c>
      <c r="Q1090" s="51" t="str">
        <f>IF(AND($M1090=$O$7,$B1090&lt;'111'!$N$11),"x","")</f>
        <v/>
      </c>
      <c r="R1090" s="51" t="str">
        <f>IF(ISERROR(FIND('112'!$M$9,G1090,1)),"",IF((AND(FIND('112'!$M$9,G1090,1)&gt;=1,$B1090&gt;='112'!$N$8,$B1090&lt;='112'!$O$8,OR($L1090='112'!$I$6,$M1090='112'!$I$6))),"x",""))</f>
        <v/>
      </c>
      <c r="S1090" s="51" t="str">
        <f>IF(ISERROR(FIND('112'!$M$9,G1090,1)),"",IF((AND(LEFT(G1090,2)=LEFT('112'!$M$9,2),B1090&lt;'112'!$N$8,$L1090='112'!$I$6)),"x",""))</f>
        <v/>
      </c>
      <c r="T1090" s="51" t="str">
        <f>IF(ISERROR(FIND('112'!$M$9,G1090,1)),"",IF((AND(RIGHT(G1090,2)=RIGHT('112'!$M$9,2),B1090&lt;'112'!$N$8,$M1090='112'!$I$6)),"x",""))</f>
        <v/>
      </c>
      <c r="U1090" s="51" t="str">
        <f>IF(AND(L1090="154",'154'!$O$5&lt;=B1090,'154'!$P$5&gt;=B1090),"154",IF(AND(L1090="632",'632'!$L$5&lt;=B1090,'632'!$M$5&gt;=B1090),"632",IF(AND(L1090="642",'642'!$N$5&lt;=B1090,'642'!$O$5&gt;=B1090),"642",IF(AND(L1090="641",'641'!$N$5&lt;=B1090,'641'!$O$5&gt;=B1090),"641",""))))</f>
        <v/>
      </c>
      <c r="V1090" s="51" t="str">
        <f>IF(OR(TH!L1090=TH!$V$7,M1090=TH!$V$7),"x","")</f>
        <v/>
      </c>
      <c r="W1090" s="51" t="str">
        <f>IF(AND(B1090&gt;='IN-NX'!$P$3,B1090&lt;='IN-NX'!$Q$3,'IN-NX'!$D$7=D1090,OR(LEFT(L1090,2)="15",AND(LEFT(M1090,2)&lt;&gt;"15",LEFT(M1090,2)&lt;&gt;"33"))),"x","")</f>
        <v/>
      </c>
      <c r="X1090" s="51" t="str">
        <f>IF(AND(OR(LEFT(TH!L1090,2)="15",LEFT(TH!M1090,2)="15"),'152-CT'!$J$8=TH!F1090),"x","")</f>
        <v/>
      </c>
      <c r="Y1090" s="51" t="str">
        <f>IF(AND(OR(LEFT(TH!L1090,2)="15",LEFT(TH!M1090,2)="15"),TK!$E$7=TH!F1090),"x","")</f>
        <v/>
      </c>
      <c r="Z1090" s="51" t="str">
        <f>IF(AND(B1090&lt;=NKC!$N$8,B1090&gt;=NKC!$M$8),"x","")</f>
        <v/>
      </c>
      <c r="AA1090" s="803"/>
      <c r="AB1090" s="565"/>
      <c r="AE1090" s="565"/>
    </row>
    <row r="1091" spans="1:31" ht="15.75" customHeight="1">
      <c r="A1091" s="804" t="str">
        <f>IF(B1091&lt;&gt;"",IF(AND(B1091&gt;=_TM1,B1091&lt;=_TM2,OR(TH!L1091="1111",TH!M1091="1111")),TH!D1091,""),"")</f>
        <v/>
      </c>
      <c r="B1091" s="36">
        <f t="shared" si="72"/>
        <v>11</v>
      </c>
      <c r="C1091" s="189">
        <f t="shared" si="73"/>
        <v>42317</v>
      </c>
      <c r="D1091" s="189" t="s">
        <v>1421</v>
      </c>
      <c r="E1091" s="189">
        <v>42317</v>
      </c>
      <c r="F1091" s="190" t="s">
        <v>890</v>
      </c>
      <c r="G1091" s="813" t="s">
        <v>869</v>
      </c>
      <c r="H1091" s="191" t="s">
        <v>448</v>
      </c>
      <c r="I1091" s="243">
        <v>20</v>
      </c>
      <c r="J1091" s="243">
        <v>7290</v>
      </c>
      <c r="K1091" s="573">
        <f t="shared" si="75"/>
        <v>145800</v>
      </c>
      <c r="L1091" s="574" t="s">
        <v>417</v>
      </c>
      <c r="M1091" s="574" t="s">
        <v>8</v>
      </c>
      <c r="N1091" s="51" t="str">
        <f>IF(AND('331-CT'!$E$7=TH!H1091,OR(L1091="331",M1091="331")),"331",IF(AND(OR(L1091="131",M1091="131"),H1091='131-CT'!$E$7),"131",""))</f>
        <v/>
      </c>
      <c r="O1091" s="51" t="str">
        <f>IF(AND($B1091&gt;='111'!$N$11,$B1091&lt;='111'!$O$11,OR($L1091=$O$7,$M1091=$O$7)),"x","")</f>
        <v/>
      </c>
      <c r="P1091" s="51" t="str">
        <f>IF(AND($L1091=$O$7,$B1091&lt;'111'!$N$11),"x","")</f>
        <v/>
      </c>
      <c r="Q1091" s="51" t="str">
        <f>IF(AND($M1091=$O$7,$B1091&lt;'111'!$N$11),"x","")</f>
        <v/>
      </c>
      <c r="R1091" s="51" t="str">
        <f>IF(ISERROR(FIND('112'!$M$9,G1091,1)),"",IF((AND(FIND('112'!$M$9,G1091,1)&gt;=1,$B1091&gt;='112'!$N$8,$B1091&lt;='112'!$O$8,OR($L1091='112'!$I$6,$M1091='112'!$I$6))),"x",""))</f>
        <v/>
      </c>
      <c r="S1091" s="51" t="str">
        <f>IF(ISERROR(FIND('112'!$M$9,G1091,1)),"",IF((AND(LEFT(G1091,2)=LEFT('112'!$M$9,2),B1091&lt;'112'!$N$8,$L1091='112'!$I$6)),"x",""))</f>
        <v/>
      </c>
      <c r="T1091" s="51" t="str">
        <f>IF(ISERROR(FIND('112'!$M$9,G1091,1)),"",IF((AND(RIGHT(G1091,2)=RIGHT('112'!$M$9,2),B1091&lt;'112'!$N$8,$M1091='112'!$I$6)),"x",""))</f>
        <v/>
      </c>
      <c r="U1091" s="51" t="str">
        <f>IF(AND(L1091="154",'154'!$O$5&lt;=B1091,'154'!$P$5&gt;=B1091),"154",IF(AND(L1091="632",'632'!$L$5&lt;=B1091,'632'!$M$5&gt;=B1091),"632",IF(AND(L1091="642",'642'!$N$5&lt;=B1091,'642'!$O$5&gt;=B1091),"642",IF(AND(L1091="641",'641'!$N$5&lt;=B1091,'641'!$O$5&gt;=B1091),"641",""))))</f>
        <v/>
      </c>
      <c r="V1091" s="51" t="str">
        <f>IF(OR(TH!L1091=TH!$V$7,M1091=TH!$V$7),"x","")</f>
        <v/>
      </c>
      <c r="W1091" s="51" t="str">
        <f>IF(AND(B1091&gt;='IN-NX'!$P$3,B1091&lt;='IN-NX'!$Q$3,'IN-NX'!$D$7=D1091,OR(LEFT(L1091,2)="15",AND(LEFT(M1091,2)&lt;&gt;"15",LEFT(M1091,2)&lt;&gt;"33"))),"x","")</f>
        <v/>
      </c>
      <c r="X1091" s="51" t="str">
        <f>IF(AND(OR(LEFT(TH!L1091,2)="15",LEFT(TH!M1091,2)="15"),'152-CT'!$J$8=TH!F1091),"x","")</f>
        <v/>
      </c>
      <c r="Y1091" s="51" t="str">
        <f>IF(AND(OR(LEFT(TH!L1091,2)="15",LEFT(TH!M1091,2)="15"),TK!$E$7=TH!F1091),"x","")</f>
        <v/>
      </c>
      <c r="Z1091" s="51" t="str">
        <f>IF(AND(B1091&lt;=NKC!$N$8,B1091&gt;=NKC!$M$8),"x","")</f>
        <v/>
      </c>
      <c r="AA1091" s="803"/>
      <c r="AB1091" s="565"/>
      <c r="AE1091" s="565"/>
    </row>
    <row r="1092" spans="1:31" ht="15.75" customHeight="1">
      <c r="A1092" s="804" t="str">
        <f>IF(B1092&lt;&gt;"",IF(AND(B1092&gt;=_TM1,B1092&lt;=_TM2,OR(TH!L1092="1111",TH!M1092="1111")),TH!D1092,""),"")</f>
        <v/>
      </c>
      <c r="B1092" s="36">
        <f t="shared" si="72"/>
        <v>11</v>
      </c>
      <c r="C1092" s="189">
        <f t="shared" si="73"/>
        <v>42317</v>
      </c>
      <c r="D1092" s="189" t="s">
        <v>1421</v>
      </c>
      <c r="E1092" s="189">
        <v>42317</v>
      </c>
      <c r="F1092" s="922" t="s">
        <v>891</v>
      </c>
      <c r="G1092" s="813" t="s">
        <v>869</v>
      </c>
      <c r="H1092" s="191" t="s">
        <v>448</v>
      </c>
      <c r="I1092" s="243">
        <v>20</v>
      </c>
      <c r="J1092" s="243">
        <v>6503</v>
      </c>
      <c r="K1092" s="573">
        <f t="shared" si="75"/>
        <v>130060</v>
      </c>
      <c r="L1092" s="574" t="s">
        <v>417</v>
      </c>
      <c r="M1092" s="574" t="s">
        <v>8</v>
      </c>
      <c r="N1092" s="51" t="str">
        <f>IF(AND('331-CT'!$E$7=TH!H1092,OR(L1092="331",M1092="331")),"331",IF(AND(OR(L1092="131",M1092="131"),H1092='131-CT'!$E$7),"131",""))</f>
        <v/>
      </c>
      <c r="O1092" s="51" t="str">
        <f>IF(AND($B1092&gt;='111'!$N$11,$B1092&lt;='111'!$O$11,OR($L1092=$O$7,$M1092=$O$7)),"x","")</f>
        <v/>
      </c>
      <c r="P1092" s="51" t="str">
        <f>IF(AND($L1092=$O$7,$B1092&lt;'111'!$N$11),"x","")</f>
        <v/>
      </c>
      <c r="Q1092" s="51" t="str">
        <f>IF(AND($M1092=$O$7,$B1092&lt;'111'!$N$11),"x","")</f>
        <v/>
      </c>
      <c r="R1092" s="51" t="str">
        <f>IF(ISERROR(FIND('112'!$M$9,G1092,1)),"",IF((AND(FIND('112'!$M$9,G1092,1)&gt;=1,$B1092&gt;='112'!$N$8,$B1092&lt;='112'!$O$8,OR($L1092='112'!$I$6,$M1092='112'!$I$6))),"x",""))</f>
        <v/>
      </c>
      <c r="S1092" s="51" t="str">
        <f>IF(ISERROR(FIND('112'!$M$9,G1092,1)),"",IF((AND(LEFT(G1092,2)=LEFT('112'!$M$9,2),B1092&lt;'112'!$N$8,$L1092='112'!$I$6)),"x",""))</f>
        <v/>
      </c>
      <c r="T1092" s="51" t="str">
        <f>IF(ISERROR(FIND('112'!$M$9,G1092,1)),"",IF((AND(RIGHT(G1092,2)=RIGHT('112'!$M$9,2),B1092&lt;'112'!$N$8,$M1092='112'!$I$6)),"x",""))</f>
        <v/>
      </c>
      <c r="U1092" s="51" t="str">
        <f>IF(AND(L1092="154",'154'!$O$5&lt;=B1092,'154'!$P$5&gt;=B1092),"154",IF(AND(L1092="632",'632'!$L$5&lt;=B1092,'632'!$M$5&gt;=B1092),"632",IF(AND(L1092="642",'642'!$N$5&lt;=B1092,'642'!$O$5&gt;=B1092),"642",IF(AND(L1092="641",'641'!$N$5&lt;=B1092,'641'!$O$5&gt;=B1092),"641",""))))</f>
        <v/>
      </c>
      <c r="V1092" s="51" t="str">
        <f>IF(OR(TH!L1092=TH!$V$7,M1092=TH!$V$7),"x","")</f>
        <v/>
      </c>
      <c r="W1092" s="51" t="str">
        <f>IF(AND(B1092&gt;='IN-NX'!$P$3,B1092&lt;='IN-NX'!$Q$3,'IN-NX'!$D$7=D1092,OR(LEFT(L1092,2)="15",AND(LEFT(M1092,2)&lt;&gt;"15",LEFT(M1092,2)&lt;&gt;"33"))),"x","")</f>
        <v/>
      </c>
      <c r="X1092" s="51" t="str">
        <f>IF(AND(OR(LEFT(TH!L1092,2)="15",LEFT(TH!M1092,2)="15"),'152-CT'!$J$8=TH!F1092),"x","")</f>
        <v/>
      </c>
      <c r="Y1092" s="51" t="str">
        <f>IF(AND(OR(LEFT(TH!L1092,2)="15",LEFT(TH!M1092,2)="15"),TK!$E$7=TH!F1092),"x","")</f>
        <v/>
      </c>
      <c r="Z1092" s="51" t="str">
        <f>IF(AND(B1092&lt;=NKC!$N$8,B1092&gt;=NKC!$M$8),"x","")</f>
        <v/>
      </c>
      <c r="AA1092" s="803"/>
      <c r="AB1092" s="565"/>
      <c r="AE1092" s="565"/>
    </row>
    <row r="1093" spans="1:31" ht="15.75" customHeight="1">
      <c r="A1093" s="804" t="str">
        <f>IF(B1093&lt;&gt;"",IF(AND(B1093&gt;=_TM1,B1093&lt;=_TM2,OR(TH!L1093="1111",TH!M1093="1111")),TH!D1093,""),"")</f>
        <v/>
      </c>
      <c r="B1093" s="36">
        <f t="shared" si="72"/>
        <v>11</v>
      </c>
      <c r="C1093" s="189">
        <f t="shared" si="73"/>
        <v>42317</v>
      </c>
      <c r="D1093" s="189" t="s">
        <v>1421</v>
      </c>
      <c r="E1093" s="189">
        <v>42317</v>
      </c>
      <c r="F1093" s="190" t="s">
        <v>847</v>
      </c>
      <c r="G1093" s="813" t="s">
        <v>869</v>
      </c>
      <c r="H1093" s="191" t="s">
        <v>448</v>
      </c>
      <c r="I1093" s="243"/>
      <c r="J1093" s="243"/>
      <c r="K1093" s="573">
        <v>2111739</v>
      </c>
      <c r="L1093" s="574" t="s">
        <v>9</v>
      </c>
      <c r="M1093" s="574" t="s">
        <v>8</v>
      </c>
      <c r="N1093" s="51" t="str">
        <f>IF(AND('331-CT'!$E$7=TH!H1093,OR(L1093="331",M1093="331")),"331",IF(AND(OR(L1093="131",M1093="131"),H1093='131-CT'!$E$7),"131",""))</f>
        <v/>
      </c>
      <c r="O1093" s="51" t="str">
        <f>IF(AND($B1093&gt;='111'!$N$11,$B1093&lt;='111'!$O$11,OR($L1093=$O$7,$M1093=$O$7)),"x","")</f>
        <v/>
      </c>
      <c r="P1093" s="51" t="str">
        <f>IF(AND($L1093=$O$7,$B1093&lt;'111'!$N$11),"x","")</f>
        <v/>
      </c>
      <c r="Q1093" s="51" t="str">
        <f>IF(AND($M1093=$O$7,$B1093&lt;'111'!$N$11),"x","")</f>
        <v/>
      </c>
      <c r="R1093" s="51" t="str">
        <f>IF(ISERROR(FIND('112'!$M$9,G1093,1)),"",IF((AND(FIND('112'!$M$9,G1093,1)&gt;=1,$B1093&gt;='112'!$N$8,$B1093&lt;='112'!$O$8,OR($L1093='112'!$I$6,$M1093='112'!$I$6))),"x",""))</f>
        <v/>
      </c>
      <c r="S1093" s="51" t="str">
        <f>IF(ISERROR(FIND('112'!$M$9,G1093,1)),"",IF((AND(LEFT(G1093,2)=LEFT('112'!$M$9,2),B1093&lt;'112'!$N$8,$L1093='112'!$I$6)),"x",""))</f>
        <v/>
      </c>
      <c r="T1093" s="51" t="str">
        <f>IF(ISERROR(FIND('112'!$M$9,G1093,1)),"",IF((AND(RIGHT(G1093,2)=RIGHT('112'!$M$9,2),B1093&lt;'112'!$N$8,$M1093='112'!$I$6)),"x",""))</f>
        <v/>
      </c>
      <c r="U1093" s="51" t="str">
        <f>IF(AND(L1093="154",'154'!$O$5&lt;=B1093,'154'!$P$5&gt;=B1093),"154",IF(AND(L1093="632",'632'!$L$5&lt;=B1093,'632'!$M$5&gt;=B1093),"632",IF(AND(L1093="642",'642'!$N$5&lt;=B1093,'642'!$O$5&gt;=B1093),"642",IF(AND(L1093="641",'641'!$N$5&lt;=B1093,'641'!$O$5&gt;=B1093),"641",""))))</f>
        <v/>
      </c>
      <c r="V1093" s="51" t="str">
        <f>IF(OR(TH!L1093=TH!$V$7,M1093=TH!$V$7),"x","")</f>
        <v/>
      </c>
      <c r="W1093" s="51" t="str">
        <f>IF(AND(B1093&gt;='IN-NX'!$P$3,B1093&lt;='IN-NX'!$Q$3,'IN-NX'!$D$7=D1093,OR(LEFT(L1093,2)="15",AND(LEFT(M1093,2)&lt;&gt;"15",LEFT(M1093,2)&lt;&gt;"33"))),"x","")</f>
        <v/>
      </c>
      <c r="X1093" s="51" t="str">
        <f>IF(AND(OR(LEFT(TH!L1093,2)="15",LEFT(TH!M1093,2)="15"),'152-CT'!$J$8=TH!F1093),"x","")</f>
        <v/>
      </c>
      <c r="Y1093" s="51" t="str">
        <f>IF(AND(OR(LEFT(TH!L1093,2)="15",LEFT(TH!M1093,2)="15"),TK!$E$7=TH!F1093),"x","")</f>
        <v/>
      </c>
      <c r="Z1093" s="51" t="str">
        <f>IF(AND(B1093&lt;=NKC!$N$8,B1093&gt;=NKC!$M$8),"x","")</f>
        <v/>
      </c>
      <c r="AA1093" s="803">
        <v>4</v>
      </c>
      <c r="AB1093" s="565"/>
      <c r="AE1093" s="565"/>
    </row>
    <row r="1094" spans="1:31" ht="15.75" customHeight="1">
      <c r="A1094" s="804" t="str">
        <f>IF(B1094&lt;&gt;"",IF(AND(B1094&gt;=_TM1,B1094&lt;=_TM2,OR(TH!L1094="1111",TH!M1094="1111")),TH!D1094,""),"")</f>
        <v/>
      </c>
      <c r="B1094" s="36">
        <f t="shared" si="72"/>
        <v>11</v>
      </c>
      <c r="C1094" s="189">
        <f t="shared" si="73"/>
        <v>42318</v>
      </c>
      <c r="D1094" s="189" t="s">
        <v>1386</v>
      </c>
      <c r="E1094" s="182">
        <v>42318</v>
      </c>
      <c r="F1094" s="187" t="s">
        <v>433</v>
      </c>
      <c r="G1094" s="811" t="s">
        <v>415</v>
      </c>
      <c r="H1094" s="7" t="s">
        <v>437</v>
      </c>
      <c r="I1094" s="243"/>
      <c r="J1094" s="243"/>
      <c r="K1094" s="573">
        <v>18000000</v>
      </c>
      <c r="L1094" s="574" t="s">
        <v>24</v>
      </c>
      <c r="M1094" s="192" t="s">
        <v>47</v>
      </c>
      <c r="N1094" s="51" t="str">
        <f>IF(AND('331-CT'!$E$7=TH!H1094,OR(L1094="331",M1094="331")),"331",IF(AND(OR(L1094="131",M1094="131"),H1094='131-CT'!$E$7),"131",""))</f>
        <v/>
      </c>
      <c r="O1094" s="51" t="str">
        <f>IF(AND($B1094&gt;='111'!$N$11,$B1094&lt;='111'!$O$11,OR($L1094=$O$7,$M1094=$O$7)),"x","")</f>
        <v>x</v>
      </c>
      <c r="P1094" s="51" t="str">
        <f>IF(AND($L1094=$O$7,$B1094&lt;'111'!$N$11),"x","")</f>
        <v/>
      </c>
      <c r="Q1094" s="51" t="str">
        <f>IF(AND($M1094=$O$7,$B1094&lt;'111'!$N$11),"x","")</f>
        <v/>
      </c>
      <c r="R1094" s="51" t="str">
        <f>IF(ISERROR(FIND('112'!$M$9,G1094,1)),"",IF((AND(FIND('112'!$M$9,G1094,1)&gt;=1,$B1094&gt;='112'!$N$8,$B1094&lt;='112'!$O$8,OR($L1094='112'!$I$6,$M1094='112'!$I$6))),"x",""))</f>
        <v/>
      </c>
      <c r="S1094" s="51" t="str">
        <f>IF(ISERROR(FIND('112'!$M$9,G1094,1)),"",IF((AND(LEFT(G1094,2)=LEFT('112'!$M$9,2),B1094&lt;'112'!$N$8,$L1094='112'!$I$6)),"x",""))</f>
        <v/>
      </c>
      <c r="T1094" s="51" t="str">
        <f>IF(ISERROR(FIND('112'!$M$9,G1094,1)),"",IF((AND(RIGHT(G1094,2)=RIGHT('112'!$M$9,2),B1094&lt;'112'!$N$8,$M1094='112'!$I$6)),"x",""))</f>
        <v/>
      </c>
      <c r="U1094" s="51" t="str">
        <f>IF(AND(L1094="154",'154'!$O$5&lt;=B1094,'154'!$P$5&gt;=B1094),"154",IF(AND(L1094="632",'632'!$L$5&lt;=B1094,'632'!$M$5&gt;=B1094),"632",IF(AND(L1094="642",'642'!$N$5&lt;=B1094,'642'!$O$5&gt;=B1094),"642",IF(AND(L1094="641",'641'!$N$5&lt;=B1094,'641'!$O$5&gt;=B1094),"641",""))))</f>
        <v/>
      </c>
      <c r="V1094" s="51" t="str">
        <f>IF(OR(TH!L1094=TH!$V$7,M1094=TH!$V$7),"x","")</f>
        <v/>
      </c>
      <c r="W1094" s="51" t="str">
        <f>IF(AND(B1094&gt;='IN-NX'!$P$3,B1094&lt;='IN-NX'!$Q$3,'IN-NX'!$D$7=D1094,OR(LEFT(L1094,2)="15",AND(LEFT(M1094,2)&lt;&gt;"15",LEFT(M1094,2)&lt;&gt;"33"))),"x","")</f>
        <v/>
      </c>
      <c r="X1094" s="51" t="str">
        <f>IF(AND(OR(LEFT(TH!L1094,2)="15",LEFT(TH!M1094,2)="15"),'152-CT'!$J$8=TH!F1094),"x","")</f>
        <v/>
      </c>
      <c r="Y1094" s="51" t="str">
        <f>IF(AND(OR(LEFT(TH!L1094,2)="15",LEFT(TH!M1094,2)="15"),TK!$E$7=TH!F1094),"x","")</f>
        <v/>
      </c>
      <c r="Z1094" s="51" t="str">
        <f>IF(AND(B1094&lt;=NKC!$N$8,B1094&gt;=NKC!$M$8),"x","")</f>
        <v/>
      </c>
      <c r="AA1094" s="803"/>
      <c r="AB1094" s="565"/>
      <c r="AC1094" s="565"/>
      <c r="AD1094" s="565"/>
      <c r="AE1094" s="565"/>
    </row>
    <row r="1095" spans="1:31" ht="15.75" customHeight="1">
      <c r="A1095" s="804" t="str">
        <f>IF(B1095&lt;&gt;"",IF(AND(B1095&gt;=_TM1,B1095&lt;=_TM2,OR(TH!L1095="1111",TH!M1095="1111")),TH!D1095,""),"")</f>
        <v/>
      </c>
      <c r="B1095" s="36">
        <f t="shared" si="72"/>
        <v>11</v>
      </c>
      <c r="C1095" s="189">
        <f t="shared" si="73"/>
        <v>42318</v>
      </c>
      <c r="D1095" s="189" t="s">
        <v>1386</v>
      </c>
      <c r="E1095" s="182">
        <v>42318</v>
      </c>
      <c r="F1095" s="187" t="s">
        <v>433</v>
      </c>
      <c r="G1095" s="811" t="s">
        <v>415</v>
      </c>
      <c r="H1095" s="7" t="s">
        <v>437</v>
      </c>
      <c r="I1095" s="243"/>
      <c r="J1095" s="243"/>
      <c r="K1095" s="573">
        <v>200000</v>
      </c>
      <c r="L1095" s="574" t="s">
        <v>24</v>
      </c>
      <c r="M1095" s="192" t="s">
        <v>47</v>
      </c>
      <c r="N1095" s="51" t="str">
        <f>IF(AND('331-CT'!$E$7=TH!H1095,OR(L1095="331",M1095="331")),"331",IF(AND(OR(L1095="131",M1095="131"),H1095='131-CT'!$E$7),"131",""))</f>
        <v/>
      </c>
      <c r="O1095" s="51" t="str">
        <f>IF(AND($B1095&gt;='111'!$N$11,$B1095&lt;='111'!$O$11,OR($L1095=$O$7,$M1095=$O$7)),"x","")</f>
        <v>x</v>
      </c>
      <c r="P1095" s="51" t="str">
        <f>IF(AND($L1095=$O$7,$B1095&lt;'111'!$N$11),"x","")</f>
        <v/>
      </c>
      <c r="Q1095" s="51" t="str">
        <f>IF(AND($M1095=$O$7,$B1095&lt;'111'!$N$11),"x","")</f>
        <v/>
      </c>
      <c r="R1095" s="51" t="str">
        <f>IF(ISERROR(FIND('112'!$M$9,G1095,1)),"",IF((AND(FIND('112'!$M$9,G1095,1)&gt;=1,$B1095&gt;='112'!$N$8,$B1095&lt;='112'!$O$8,OR($L1095='112'!$I$6,$M1095='112'!$I$6))),"x",""))</f>
        <v/>
      </c>
      <c r="S1095" s="51" t="str">
        <f>IF(ISERROR(FIND('112'!$M$9,G1095,1)),"",IF((AND(LEFT(G1095,2)=LEFT('112'!$M$9,2),B1095&lt;'112'!$N$8,$L1095='112'!$I$6)),"x",""))</f>
        <v/>
      </c>
      <c r="T1095" s="51" t="str">
        <f>IF(ISERROR(FIND('112'!$M$9,G1095,1)),"",IF((AND(RIGHT(G1095,2)=RIGHT('112'!$M$9,2),B1095&lt;'112'!$N$8,$M1095='112'!$I$6)),"x",""))</f>
        <v/>
      </c>
      <c r="U1095" s="51" t="str">
        <f>IF(AND(L1095="154",'154'!$O$5&lt;=B1095,'154'!$P$5&gt;=B1095),"154",IF(AND(L1095="632",'632'!$L$5&lt;=B1095,'632'!$M$5&gt;=B1095),"632",IF(AND(L1095="642",'642'!$N$5&lt;=B1095,'642'!$O$5&gt;=B1095),"642",IF(AND(L1095="641",'641'!$N$5&lt;=B1095,'641'!$O$5&gt;=B1095),"641",""))))</f>
        <v/>
      </c>
      <c r="V1095" s="51" t="str">
        <f>IF(OR(TH!L1095=TH!$V$7,M1095=TH!$V$7),"x","")</f>
        <v/>
      </c>
      <c r="W1095" s="51" t="str">
        <f>IF(AND(B1095&gt;='IN-NX'!$P$3,B1095&lt;='IN-NX'!$Q$3,'IN-NX'!$D$7=D1095,OR(LEFT(L1095,2)="15",AND(LEFT(M1095,2)&lt;&gt;"15",LEFT(M1095,2)&lt;&gt;"33"))),"x","")</f>
        <v/>
      </c>
      <c r="X1095" s="51" t="str">
        <f>IF(AND(OR(LEFT(TH!L1095,2)="15",LEFT(TH!M1095,2)="15"),'152-CT'!$J$8=TH!F1095),"x","")</f>
        <v/>
      </c>
      <c r="Y1095" s="51" t="str">
        <f>IF(AND(OR(LEFT(TH!L1095,2)="15",LEFT(TH!M1095,2)="15"),TK!$E$7=TH!F1095),"x","")</f>
        <v/>
      </c>
      <c r="Z1095" s="51" t="str">
        <f>IF(AND(B1095&lt;=NKC!$N$8,B1095&gt;=NKC!$M$8),"x","")</f>
        <v/>
      </c>
      <c r="AA1095" s="803"/>
      <c r="AB1095" s="565"/>
      <c r="AC1095" s="565"/>
      <c r="AD1095" s="565"/>
      <c r="AE1095" s="565"/>
    </row>
    <row r="1096" spans="1:31" ht="15.75" customHeight="1">
      <c r="A1096" s="804" t="str">
        <f>IF(B1096&lt;&gt;"",IF(AND(B1096&gt;=_TM1,B1096&lt;=_TM2,OR(TH!L1096="1111",TH!M1096="1111")),TH!D1096,""),"")</f>
        <v/>
      </c>
      <c r="B1096" s="36">
        <f t="shared" si="72"/>
        <v>11</v>
      </c>
      <c r="C1096" s="189">
        <f t="shared" si="73"/>
        <v>42318</v>
      </c>
      <c r="D1096" s="189" t="s">
        <v>422</v>
      </c>
      <c r="E1096" s="182">
        <v>42318</v>
      </c>
      <c r="F1096" s="187" t="s">
        <v>438</v>
      </c>
      <c r="G1096" s="811" t="s">
        <v>415</v>
      </c>
      <c r="H1096" s="7" t="s">
        <v>448</v>
      </c>
      <c r="I1096" s="243"/>
      <c r="J1096" s="243"/>
      <c r="K1096" s="573">
        <v>17952628</v>
      </c>
      <c r="L1096" s="574" t="s">
        <v>8</v>
      </c>
      <c r="M1096" s="192" t="s">
        <v>24</v>
      </c>
      <c r="N1096" s="51" t="str">
        <f>IF(AND('331-CT'!$E$7=TH!H1096,OR(L1096="331",M1096="331")),"331",IF(AND(OR(L1096="131",M1096="131"),H1096='131-CT'!$E$7),"131",""))</f>
        <v/>
      </c>
      <c r="O1096" s="51" t="str">
        <f>IF(AND($B1096&gt;='111'!$N$11,$B1096&lt;='111'!$O$11,OR($L1096=$O$7,$M1096=$O$7)),"x","")</f>
        <v/>
      </c>
      <c r="P1096" s="51" t="str">
        <f>IF(AND($L1096=$O$7,$B1096&lt;'111'!$N$11),"x","")</f>
        <v/>
      </c>
      <c r="Q1096" s="51" t="str">
        <f>IF(AND($M1096=$O$7,$B1096&lt;'111'!$N$11),"x","")</f>
        <v/>
      </c>
      <c r="R1096" s="51" t="str">
        <f>IF(ISERROR(FIND('112'!$M$9,G1096,1)),"",IF((AND(FIND('112'!$M$9,G1096,1)&gt;=1,$B1096&gt;='112'!$N$8,$B1096&lt;='112'!$O$8,OR($L1096='112'!$I$6,$M1096='112'!$I$6))),"x",""))</f>
        <v/>
      </c>
      <c r="S1096" s="51" t="str">
        <f>IF(ISERROR(FIND('112'!$M$9,G1096,1)),"",IF((AND(LEFT(G1096,2)=LEFT('112'!$M$9,2),B1096&lt;'112'!$N$8,$L1096='112'!$I$6)),"x",""))</f>
        <v/>
      </c>
      <c r="T1096" s="51" t="str">
        <f>IF(ISERROR(FIND('112'!$M$9,G1096,1)),"",IF((AND(RIGHT(G1096,2)=RIGHT('112'!$M$9,2),B1096&lt;'112'!$N$8,$M1096='112'!$I$6)),"x",""))</f>
        <v/>
      </c>
      <c r="U1096" s="51" t="str">
        <f>IF(AND(L1096="154",'154'!$O$5&lt;=B1096,'154'!$P$5&gt;=B1096),"154",IF(AND(L1096="632",'632'!$L$5&lt;=B1096,'632'!$M$5&gt;=B1096),"632",IF(AND(L1096="642",'642'!$N$5&lt;=B1096,'642'!$O$5&gt;=B1096),"642",IF(AND(L1096="641",'641'!$N$5&lt;=B1096,'641'!$O$5&gt;=B1096),"641",""))))</f>
        <v/>
      </c>
      <c r="V1096" s="51" t="str">
        <f>IF(OR(TH!L1096=TH!$V$7,M1096=TH!$V$7),"x","")</f>
        <v/>
      </c>
      <c r="W1096" s="51" t="str">
        <f>IF(AND(B1096&gt;='IN-NX'!$P$3,B1096&lt;='IN-NX'!$Q$3,'IN-NX'!$D$7=D1096,OR(LEFT(L1096,2)="15",AND(LEFT(M1096,2)&lt;&gt;"15",LEFT(M1096,2)&lt;&gt;"33"))),"x","")</f>
        <v/>
      </c>
      <c r="X1096" s="51" t="str">
        <f>IF(AND(OR(LEFT(TH!L1096,2)="15",LEFT(TH!M1096,2)="15"),'152-CT'!$J$8=TH!F1096),"x","")</f>
        <v/>
      </c>
      <c r="Y1096" s="51" t="str">
        <f>IF(AND(OR(LEFT(TH!L1096,2)="15",LEFT(TH!M1096,2)="15"),TK!$E$7=TH!F1096),"x","")</f>
        <v/>
      </c>
      <c r="Z1096" s="51" t="str">
        <f>IF(AND(B1096&lt;=NKC!$N$8,B1096&gt;=NKC!$M$8),"x","")</f>
        <v/>
      </c>
      <c r="AA1096" s="803"/>
      <c r="AB1096" s="565"/>
      <c r="AE1096" s="565"/>
    </row>
    <row r="1097" spans="1:31" ht="15.75" customHeight="1">
      <c r="A1097" s="804" t="str">
        <f>IF(B1097&lt;&gt;"",IF(AND(B1097&gt;=_TM1,B1097&lt;=_TM2,OR(TH!L1097="1111",TH!M1097="1111")),TH!D1097,""),"")</f>
        <v/>
      </c>
      <c r="B1097" s="36">
        <f t="shared" si="72"/>
        <v>11</v>
      </c>
      <c r="C1097" s="189">
        <f t="shared" si="73"/>
        <v>42318</v>
      </c>
      <c r="D1097" s="189" t="s">
        <v>1424</v>
      </c>
      <c r="E1097" s="189">
        <v>42318</v>
      </c>
      <c r="F1097" s="190" t="s">
        <v>856</v>
      </c>
      <c r="G1097" s="813" t="s">
        <v>862</v>
      </c>
      <c r="H1097" s="191" t="s">
        <v>448</v>
      </c>
      <c r="I1097" s="243">
        <v>40</v>
      </c>
      <c r="J1097" s="243">
        <v>11316</v>
      </c>
      <c r="K1097" s="573">
        <f>ROUND(I1097*J1097,0)</f>
        <v>452640</v>
      </c>
      <c r="L1097" s="574" t="s">
        <v>417</v>
      </c>
      <c r="M1097" s="574" t="s">
        <v>8</v>
      </c>
      <c r="N1097" s="51" t="str">
        <f>IF(AND('331-CT'!$E$7=TH!H1097,OR(L1097="331",M1097="331")),"331",IF(AND(OR(L1097="131",M1097="131"),H1097='131-CT'!$E$7),"131",""))</f>
        <v/>
      </c>
      <c r="O1097" s="51" t="str">
        <f>IF(AND($B1097&gt;='111'!$N$11,$B1097&lt;='111'!$O$11,OR($L1097=$O$7,$M1097=$O$7)),"x","")</f>
        <v/>
      </c>
      <c r="P1097" s="51" t="str">
        <f>IF(AND($L1097=$O$7,$B1097&lt;'111'!$N$11),"x","")</f>
        <v/>
      </c>
      <c r="Q1097" s="51" t="str">
        <f>IF(AND($M1097=$O$7,$B1097&lt;'111'!$N$11),"x","")</f>
        <v/>
      </c>
      <c r="R1097" s="51" t="str">
        <f>IF(ISERROR(FIND('112'!$M$9,G1097,1)),"",IF((AND(FIND('112'!$M$9,G1097,1)&gt;=1,$B1097&gt;='112'!$N$8,$B1097&lt;='112'!$O$8,OR($L1097='112'!$I$6,$M1097='112'!$I$6))),"x",""))</f>
        <v/>
      </c>
      <c r="S1097" s="51" t="str">
        <f>IF(ISERROR(FIND('112'!$M$9,G1097,1)),"",IF((AND(LEFT(G1097,2)=LEFT('112'!$M$9,2),B1097&lt;'112'!$N$8,$L1097='112'!$I$6)),"x",""))</f>
        <v/>
      </c>
      <c r="T1097" s="51" t="str">
        <f>IF(ISERROR(FIND('112'!$M$9,G1097,1)),"",IF((AND(RIGHT(G1097,2)=RIGHT('112'!$M$9,2),B1097&lt;'112'!$N$8,$M1097='112'!$I$6)),"x",""))</f>
        <v/>
      </c>
      <c r="U1097" s="51" t="str">
        <f>IF(AND(L1097="154",'154'!$O$5&lt;=B1097,'154'!$P$5&gt;=B1097),"154",IF(AND(L1097="632",'632'!$L$5&lt;=B1097,'632'!$M$5&gt;=B1097),"632",IF(AND(L1097="642",'642'!$N$5&lt;=B1097,'642'!$O$5&gt;=B1097),"642",IF(AND(L1097="641",'641'!$N$5&lt;=B1097,'641'!$O$5&gt;=B1097),"641",""))))</f>
        <v/>
      </c>
      <c r="V1097" s="51" t="str">
        <f>IF(OR(TH!L1097=TH!$V$7,M1097=TH!$V$7),"x","")</f>
        <v/>
      </c>
      <c r="W1097" s="51" t="str">
        <f>IF(AND(B1097&gt;='IN-NX'!$P$3,B1097&lt;='IN-NX'!$Q$3,'IN-NX'!$D$7=D1097,OR(LEFT(L1097,2)="15",AND(LEFT(M1097,2)&lt;&gt;"15",LEFT(M1097,2)&lt;&gt;"33"))),"x","")</f>
        <v/>
      </c>
      <c r="X1097" s="51" t="str">
        <f>IF(AND(OR(LEFT(TH!L1097,2)="15",LEFT(TH!M1097,2)="15"),'152-CT'!$J$8=TH!F1097),"x","")</f>
        <v/>
      </c>
      <c r="Y1097" s="51" t="str">
        <f>IF(AND(OR(LEFT(TH!L1097,2)="15",LEFT(TH!M1097,2)="15"),TK!$E$7=TH!F1097),"x","")</f>
        <v/>
      </c>
      <c r="Z1097" s="51" t="str">
        <f>IF(AND(B1097&lt;=NKC!$N$8,B1097&gt;=NKC!$M$8),"x","")</f>
        <v/>
      </c>
      <c r="AA1097" s="803"/>
      <c r="AB1097" s="565"/>
      <c r="AE1097" s="565"/>
    </row>
    <row r="1098" spans="1:31" ht="15.75" customHeight="1">
      <c r="A1098" s="804" t="str">
        <f>IF(B1098&lt;&gt;"",IF(AND(B1098&gt;=_TM1,B1098&lt;=_TM2,OR(TH!L1098="1111",TH!M1098="1111")),TH!D1098,""),"")</f>
        <v/>
      </c>
      <c r="B1098" s="36">
        <f t="shared" si="72"/>
        <v>11</v>
      </c>
      <c r="C1098" s="189">
        <f t="shared" si="73"/>
        <v>42318</v>
      </c>
      <c r="D1098" s="189" t="s">
        <v>1424</v>
      </c>
      <c r="E1098" s="189">
        <v>42318</v>
      </c>
      <c r="F1098" s="190" t="s">
        <v>858</v>
      </c>
      <c r="G1098" s="813" t="s">
        <v>862</v>
      </c>
      <c r="H1098" s="191" t="s">
        <v>448</v>
      </c>
      <c r="I1098" s="243">
        <v>250</v>
      </c>
      <c r="J1098" s="243">
        <v>26041</v>
      </c>
      <c r="K1098" s="573">
        <f>ROUND(I1098*J1098,0)</f>
        <v>6510250</v>
      </c>
      <c r="L1098" s="574" t="s">
        <v>417</v>
      </c>
      <c r="M1098" s="574" t="s">
        <v>8</v>
      </c>
      <c r="N1098" s="51" t="str">
        <f>IF(AND('331-CT'!$E$7=TH!H1098,OR(L1098="331",M1098="331")),"331",IF(AND(OR(L1098="131",M1098="131"),H1098='131-CT'!$E$7),"131",""))</f>
        <v/>
      </c>
      <c r="O1098" s="51" t="str">
        <f>IF(AND($B1098&gt;='111'!$N$11,$B1098&lt;='111'!$O$11,OR($L1098=$O$7,$M1098=$O$7)),"x","")</f>
        <v/>
      </c>
      <c r="P1098" s="51" t="str">
        <f>IF(AND($L1098=$O$7,$B1098&lt;'111'!$N$11),"x","")</f>
        <v/>
      </c>
      <c r="Q1098" s="51" t="str">
        <f>IF(AND($M1098=$O$7,$B1098&lt;'111'!$N$11),"x","")</f>
        <v/>
      </c>
      <c r="R1098" s="51" t="str">
        <f>IF(ISERROR(FIND('112'!$M$9,G1098,1)),"",IF((AND(FIND('112'!$M$9,G1098,1)&gt;=1,$B1098&gt;='112'!$N$8,$B1098&lt;='112'!$O$8,OR($L1098='112'!$I$6,$M1098='112'!$I$6))),"x",""))</f>
        <v/>
      </c>
      <c r="S1098" s="51" t="str">
        <f>IF(ISERROR(FIND('112'!$M$9,G1098,1)),"",IF((AND(LEFT(G1098,2)=LEFT('112'!$M$9,2),B1098&lt;'112'!$N$8,$L1098='112'!$I$6)),"x",""))</f>
        <v/>
      </c>
      <c r="T1098" s="51" t="str">
        <f>IF(ISERROR(FIND('112'!$M$9,G1098,1)),"",IF((AND(RIGHT(G1098,2)=RIGHT('112'!$M$9,2),B1098&lt;'112'!$N$8,$M1098='112'!$I$6)),"x",""))</f>
        <v/>
      </c>
      <c r="U1098" s="51" t="str">
        <f>IF(AND(L1098="154",'154'!$O$5&lt;=B1098,'154'!$P$5&gt;=B1098),"154",IF(AND(L1098="632",'632'!$L$5&lt;=B1098,'632'!$M$5&gt;=B1098),"632",IF(AND(L1098="642",'642'!$N$5&lt;=B1098,'642'!$O$5&gt;=B1098),"642",IF(AND(L1098="641",'641'!$N$5&lt;=B1098,'641'!$O$5&gt;=B1098),"641",""))))</f>
        <v/>
      </c>
      <c r="V1098" s="51" t="str">
        <f>IF(OR(TH!L1098=TH!$V$7,M1098=TH!$V$7),"x","")</f>
        <v/>
      </c>
      <c r="W1098" s="51" t="str">
        <f>IF(AND(B1098&gt;='IN-NX'!$P$3,B1098&lt;='IN-NX'!$Q$3,'IN-NX'!$D$7=D1098,OR(LEFT(L1098,2)="15",AND(LEFT(M1098,2)&lt;&gt;"15",LEFT(M1098,2)&lt;&gt;"33"))),"x","")</f>
        <v/>
      </c>
      <c r="X1098" s="51" t="str">
        <f>IF(AND(OR(LEFT(TH!L1098,2)="15",LEFT(TH!M1098,2)="15"),'152-CT'!$J$8=TH!F1098),"x","")</f>
        <v/>
      </c>
      <c r="Y1098" s="51" t="str">
        <f>IF(AND(OR(LEFT(TH!L1098,2)="15",LEFT(TH!M1098,2)="15"),TK!$E$7=TH!F1098),"x","")</f>
        <v/>
      </c>
      <c r="Z1098" s="51" t="str">
        <f>IF(AND(B1098&lt;=NKC!$N$8,B1098&gt;=NKC!$M$8),"x","")</f>
        <v/>
      </c>
      <c r="AA1098" s="803"/>
      <c r="AB1098" s="565"/>
      <c r="AE1098" s="565"/>
    </row>
    <row r="1099" spans="1:31" ht="15.75" customHeight="1">
      <c r="A1099" s="804" t="str">
        <f>IF(B1099&lt;&gt;"",IF(AND(B1099&gt;=_TM1,B1099&lt;=_TM2,OR(TH!L1099="1111",TH!M1099="1111")),TH!D1099,""),"")</f>
        <v/>
      </c>
      <c r="B1099" s="36">
        <f t="shared" si="72"/>
        <v>11</v>
      </c>
      <c r="C1099" s="189">
        <f t="shared" si="73"/>
        <v>42318</v>
      </c>
      <c r="D1099" s="189" t="s">
        <v>1424</v>
      </c>
      <c r="E1099" s="189">
        <v>42318</v>
      </c>
      <c r="F1099" s="190" t="s">
        <v>859</v>
      </c>
      <c r="G1099" s="813" t="s">
        <v>862</v>
      </c>
      <c r="H1099" s="191" t="s">
        <v>448</v>
      </c>
      <c r="I1099" s="243">
        <v>500</v>
      </c>
      <c r="J1099" s="243">
        <v>25000</v>
      </c>
      <c r="K1099" s="573">
        <f>ROUND(I1099*J1099,0)</f>
        <v>12500000</v>
      </c>
      <c r="L1099" s="574" t="s">
        <v>417</v>
      </c>
      <c r="M1099" s="574" t="s">
        <v>8</v>
      </c>
      <c r="N1099" s="51" t="str">
        <f>IF(AND('331-CT'!$E$7=TH!H1099,OR(L1099="331",M1099="331")),"331",IF(AND(OR(L1099="131",M1099="131"),H1099='131-CT'!$E$7),"131",""))</f>
        <v/>
      </c>
      <c r="O1099" s="51" t="str">
        <f>IF(AND($B1099&gt;='111'!$N$11,$B1099&lt;='111'!$O$11,OR($L1099=$O$7,$M1099=$O$7)),"x","")</f>
        <v/>
      </c>
      <c r="P1099" s="51" t="str">
        <f>IF(AND($L1099=$O$7,$B1099&lt;'111'!$N$11),"x","")</f>
        <v/>
      </c>
      <c r="Q1099" s="51" t="str">
        <f>IF(AND($M1099=$O$7,$B1099&lt;'111'!$N$11),"x","")</f>
        <v/>
      </c>
      <c r="R1099" s="51" t="str">
        <f>IF(ISERROR(FIND('112'!$M$9,G1099,1)),"",IF((AND(FIND('112'!$M$9,G1099,1)&gt;=1,$B1099&gt;='112'!$N$8,$B1099&lt;='112'!$O$8,OR($L1099='112'!$I$6,$M1099='112'!$I$6))),"x",""))</f>
        <v/>
      </c>
      <c r="S1099" s="51" t="str">
        <f>IF(ISERROR(FIND('112'!$M$9,G1099,1)),"",IF((AND(LEFT(G1099,2)=LEFT('112'!$M$9,2),B1099&lt;'112'!$N$8,$L1099='112'!$I$6)),"x",""))</f>
        <v/>
      </c>
      <c r="T1099" s="51" t="str">
        <f>IF(ISERROR(FIND('112'!$M$9,G1099,1)),"",IF((AND(RIGHT(G1099,2)=RIGHT('112'!$M$9,2),B1099&lt;'112'!$N$8,$M1099='112'!$I$6)),"x",""))</f>
        <v/>
      </c>
      <c r="U1099" s="51" t="str">
        <f>IF(AND(L1099="154",'154'!$O$5&lt;=B1099,'154'!$P$5&gt;=B1099),"154",IF(AND(L1099="632",'632'!$L$5&lt;=B1099,'632'!$M$5&gt;=B1099),"632",IF(AND(L1099="642",'642'!$N$5&lt;=B1099,'642'!$O$5&gt;=B1099),"642",IF(AND(L1099="641",'641'!$N$5&lt;=B1099,'641'!$O$5&gt;=B1099),"641",""))))</f>
        <v/>
      </c>
      <c r="V1099" s="51" t="str">
        <f>IF(OR(TH!L1099=TH!$V$7,M1099=TH!$V$7),"x","")</f>
        <v/>
      </c>
      <c r="W1099" s="51" t="str">
        <f>IF(AND(B1099&gt;='IN-NX'!$P$3,B1099&lt;='IN-NX'!$Q$3,'IN-NX'!$D$7=D1099,OR(LEFT(L1099,2)="15",AND(LEFT(M1099,2)&lt;&gt;"15",LEFT(M1099,2)&lt;&gt;"33"))),"x","")</f>
        <v/>
      </c>
      <c r="X1099" s="51" t="str">
        <f>IF(AND(OR(LEFT(TH!L1099,2)="15",LEFT(TH!M1099,2)="15"),'152-CT'!$J$8=TH!F1099),"x","")</f>
        <v/>
      </c>
      <c r="Y1099" s="51" t="str">
        <f>IF(AND(OR(LEFT(TH!L1099,2)="15",LEFT(TH!M1099,2)="15"),TK!$E$7=TH!F1099),"x","")</f>
        <v/>
      </c>
      <c r="Z1099" s="51" t="str">
        <f>IF(AND(B1099&lt;=NKC!$N$8,B1099&gt;=NKC!$M$8),"x","")</f>
        <v/>
      </c>
      <c r="AA1099" s="803"/>
      <c r="AB1099" s="565"/>
      <c r="AE1099" s="565"/>
    </row>
    <row r="1100" spans="1:31" ht="15.75" customHeight="1">
      <c r="A1100" s="804" t="str">
        <f>IF(B1100&lt;&gt;"",IF(AND(B1100&gt;=_TM1,B1100&lt;=_TM2,OR(TH!L1100="1111",TH!M1100="1111")),TH!D1100,""),"")</f>
        <v/>
      </c>
      <c r="B1100" s="36">
        <f t="shared" si="72"/>
        <v>11</v>
      </c>
      <c r="C1100" s="189">
        <f t="shared" si="73"/>
        <v>42318</v>
      </c>
      <c r="D1100" s="189" t="s">
        <v>1424</v>
      </c>
      <c r="E1100" s="189">
        <v>42318</v>
      </c>
      <c r="F1100" s="190" t="s">
        <v>860</v>
      </c>
      <c r="G1100" s="813" t="s">
        <v>862</v>
      </c>
      <c r="H1100" s="191" t="s">
        <v>448</v>
      </c>
      <c r="I1100" s="243">
        <v>170</v>
      </c>
      <c r="J1100" s="243">
        <v>20839</v>
      </c>
      <c r="K1100" s="573">
        <f>ROUND(I1100*J1100,0)</f>
        <v>3542630</v>
      </c>
      <c r="L1100" s="574" t="s">
        <v>417</v>
      </c>
      <c r="M1100" s="574" t="s">
        <v>8</v>
      </c>
      <c r="N1100" s="51" t="str">
        <f>IF(AND('331-CT'!$E$7=TH!H1100,OR(L1100="331",M1100="331")),"331",IF(AND(OR(L1100="131",M1100="131"),H1100='131-CT'!$E$7),"131",""))</f>
        <v/>
      </c>
      <c r="O1100" s="51" t="str">
        <f>IF(AND($B1100&gt;='111'!$N$11,$B1100&lt;='111'!$O$11,OR($L1100=$O$7,$M1100=$O$7)),"x","")</f>
        <v/>
      </c>
      <c r="P1100" s="51" t="str">
        <f>IF(AND($L1100=$O$7,$B1100&lt;'111'!$N$11),"x","")</f>
        <v/>
      </c>
      <c r="Q1100" s="51" t="str">
        <f>IF(AND($M1100=$O$7,$B1100&lt;'111'!$N$11),"x","")</f>
        <v/>
      </c>
      <c r="R1100" s="51" t="str">
        <f>IF(ISERROR(FIND('112'!$M$9,G1100,1)),"",IF((AND(FIND('112'!$M$9,G1100,1)&gt;=1,$B1100&gt;='112'!$N$8,$B1100&lt;='112'!$O$8,OR($L1100='112'!$I$6,$M1100='112'!$I$6))),"x",""))</f>
        <v/>
      </c>
      <c r="S1100" s="51" t="str">
        <f>IF(ISERROR(FIND('112'!$M$9,G1100,1)),"",IF((AND(LEFT(G1100,2)=LEFT('112'!$M$9,2),B1100&lt;'112'!$N$8,$L1100='112'!$I$6)),"x",""))</f>
        <v/>
      </c>
      <c r="T1100" s="51" t="str">
        <f>IF(ISERROR(FIND('112'!$M$9,G1100,1)),"",IF((AND(RIGHT(G1100,2)=RIGHT('112'!$M$9,2),B1100&lt;'112'!$N$8,$M1100='112'!$I$6)),"x",""))</f>
        <v/>
      </c>
      <c r="U1100" s="51" t="str">
        <f>IF(AND(L1100="154",'154'!$O$5&lt;=B1100,'154'!$P$5&gt;=B1100),"154",IF(AND(L1100="632",'632'!$L$5&lt;=B1100,'632'!$M$5&gt;=B1100),"632",IF(AND(L1100="642",'642'!$N$5&lt;=B1100,'642'!$O$5&gt;=B1100),"642",IF(AND(L1100="641",'641'!$N$5&lt;=B1100,'641'!$O$5&gt;=B1100),"641",""))))</f>
        <v/>
      </c>
      <c r="V1100" s="51" t="str">
        <f>IF(OR(TH!L1100=TH!$V$7,M1100=TH!$V$7),"x","")</f>
        <v/>
      </c>
      <c r="W1100" s="51" t="str">
        <f>IF(AND(B1100&gt;='IN-NX'!$P$3,B1100&lt;='IN-NX'!$Q$3,'IN-NX'!$D$7=D1100,OR(LEFT(L1100,2)="15",AND(LEFT(M1100,2)&lt;&gt;"15",LEFT(M1100,2)&lt;&gt;"33"))),"x","")</f>
        <v/>
      </c>
      <c r="X1100" s="51" t="str">
        <f>IF(AND(OR(LEFT(TH!L1100,2)="15",LEFT(TH!M1100,2)="15"),'152-CT'!$J$8=TH!F1100),"x","")</f>
        <v/>
      </c>
      <c r="Y1100" s="51" t="str">
        <f>IF(AND(OR(LEFT(TH!L1100,2)="15",LEFT(TH!M1100,2)="15"),TK!$E$7=TH!F1100),"x","")</f>
        <v/>
      </c>
      <c r="Z1100" s="51" t="str">
        <f>IF(AND(B1100&lt;=NKC!$N$8,B1100&gt;=NKC!$M$8),"x","")</f>
        <v/>
      </c>
      <c r="AA1100" s="803"/>
      <c r="AB1100" s="565"/>
      <c r="AE1100" s="565"/>
    </row>
    <row r="1101" spans="1:31" ht="15.75" customHeight="1">
      <c r="A1101" s="804" t="str">
        <f>IF(B1101&lt;&gt;"",IF(AND(B1101&gt;=_TM1,B1101&lt;=_TM2,OR(TH!L1101="1111",TH!M1101="1111")),TH!D1101,""),"")</f>
        <v/>
      </c>
      <c r="B1101" s="36">
        <f t="shared" si="72"/>
        <v>11</v>
      </c>
      <c r="C1101" s="189">
        <f t="shared" si="73"/>
        <v>42318</v>
      </c>
      <c r="D1101" s="189" t="s">
        <v>1424</v>
      </c>
      <c r="E1101" s="189">
        <v>42318</v>
      </c>
      <c r="F1101" s="190" t="s">
        <v>861</v>
      </c>
      <c r="G1101" s="813" t="s">
        <v>862</v>
      </c>
      <c r="H1101" s="191" t="s">
        <v>448</v>
      </c>
      <c r="I1101" s="243">
        <v>125</v>
      </c>
      <c r="J1101" s="243">
        <v>21611</v>
      </c>
      <c r="K1101" s="573">
        <f>ROUND(I1101*J1101,0)</f>
        <v>2701375</v>
      </c>
      <c r="L1101" s="574" t="s">
        <v>417</v>
      </c>
      <c r="M1101" s="574" t="s">
        <v>8</v>
      </c>
      <c r="N1101" s="51" t="str">
        <f>IF(AND('331-CT'!$E$7=TH!H1101,OR(L1101="331",M1101="331")),"331",IF(AND(OR(L1101="131",M1101="131"),H1101='131-CT'!$E$7),"131",""))</f>
        <v/>
      </c>
      <c r="O1101" s="51" t="str">
        <f>IF(AND($B1101&gt;='111'!$N$11,$B1101&lt;='111'!$O$11,OR($L1101=$O$7,$M1101=$O$7)),"x","")</f>
        <v/>
      </c>
      <c r="P1101" s="51" t="str">
        <f>IF(AND($L1101=$O$7,$B1101&lt;'111'!$N$11),"x","")</f>
        <v/>
      </c>
      <c r="Q1101" s="51" t="str">
        <f>IF(AND($M1101=$O$7,$B1101&lt;'111'!$N$11),"x","")</f>
        <v/>
      </c>
      <c r="R1101" s="51" t="str">
        <f>IF(ISERROR(FIND('112'!$M$9,G1101,1)),"",IF((AND(FIND('112'!$M$9,G1101,1)&gt;=1,$B1101&gt;='112'!$N$8,$B1101&lt;='112'!$O$8,OR($L1101='112'!$I$6,$M1101='112'!$I$6))),"x",""))</f>
        <v/>
      </c>
      <c r="S1101" s="51" t="str">
        <f>IF(ISERROR(FIND('112'!$M$9,G1101,1)),"",IF((AND(LEFT(G1101,2)=LEFT('112'!$M$9,2),B1101&lt;'112'!$N$8,$L1101='112'!$I$6)),"x",""))</f>
        <v/>
      </c>
      <c r="T1101" s="51" t="str">
        <f>IF(ISERROR(FIND('112'!$M$9,G1101,1)),"",IF((AND(RIGHT(G1101,2)=RIGHT('112'!$M$9,2),B1101&lt;'112'!$N$8,$M1101='112'!$I$6)),"x",""))</f>
        <v/>
      </c>
      <c r="U1101" s="51" t="str">
        <f>IF(AND(L1101="154",'154'!$O$5&lt;=B1101,'154'!$P$5&gt;=B1101),"154",IF(AND(L1101="632",'632'!$L$5&lt;=B1101,'632'!$M$5&gt;=B1101),"632",IF(AND(L1101="642",'642'!$N$5&lt;=B1101,'642'!$O$5&gt;=B1101),"642",IF(AND(L1101="641",'641'!$N$5&lt;=B1101,'641'!$O$5&gt;=B1101),"641",""))))</f>
        <v/>
      </c>
      <c r="V1101" s="51" t="str">
        <f>IF(OR(TH!L1101=TH!$V$7,M1101=TH!$V$7),"x","")</f>
        <v/>
      </c>
      <c r="W1101" s="51" t="str">
        <f>IF(AND(B1101&gt;='IN-NX'!$P$3,B1101&lt;='IN-NX'!$Q$3,'IN-NX'!$D$7=D1101,OR(LEFT(L1101,2)="15",AND(LEFT(M1101,2)&lt;&gt;"15",LEFT(M1101,2)&lt;&gt;"33"))),"x","")</f>
        <v/>
      </c>
      <c r="X1101" s="51" t="str">
        <f>IF(AND(OR(LEFT(TH!L1101,2)="15",LEFT(TH!M1101,2)="15"),'152-CT'!$J$8=TH!F1101),"x","")</f>
        <v/>
      </c>
      <c r="Y1101" s="51" t="str">
        <f>IF(AND(OR(LEFT(TH!L1101,2)="15",LEFT(TH!M1101,2)="15"),TK!$E$7=TH!F1101),"x","")</f>
        <v/>
      </c>
      <c r="Z1101" s="51" t="str">
        <f>IF(AND(B1101&lt;=NKC!$N$8,B1101&gt;=NKC!$M$8),"x","")</f>
        <v/>
      </c>
      <c r="AA1101" s="803"/>
      <c r="AB1101" s="565"/>
      <c r="AE1101" s="565"/>
    </row>
    <row r="1102" spans="1:31" ht="15.75" customHeight="1">
      <c r="A1102" s="804" t="str">
        <f>IF(B1102&lt;&gt;"",IF(AND(B1102&gt;=_TM1,B1102&lt;=_TM2,OR(TH!L1102="1111",TH!M1102="1111")),TH!D1102,""),"")</f>
        <v/>
      </c>
      <c r="B1102" s="36">
        <f t="shared" si="72"/>
        <v>11</v>
      </c>
      <c r="C1102" s="189">
        <f t="shared" si="73"/>
        <v>42318</v>
      </c>
      <c r="D1102" s="189" t="s">
        <v>1424</v>
      </c>
      <c r="E1102" s="189">
        <v>42318</v>
      </c>
      <c r="F1102" s="190" t="s">
        <v>847</v>
      </c>
      <c r="G1102" s="813" t="s">
        <v>862</v>
      </c>
      <c r="H1102" s="191" t="s">
        <v>448</v>
      </c>
      <c r="I1102" s="243"/>
      <c r="J1102" s="243"/>
      <c r="K1102" s="573">
        <v>2570690</v>
      </c>
      <c r="L1102" s="574" t="s">
        <v>9</v>
      </c>
      <c r="M1102" s="574" t="s">
        <v>8</v>
      </c>
      <c r="N1102" s="51" t="str">
        <f>IF(AND('331-CT'!$E$7=TH!H1102,OR(L1102="331",M1102="331")),"331",IF(AND(OR(L1102="131",M1102="131"),H1102='131-CT'!$E$7),"131",""))</f>
        <v/>
      </c>
      <c r="O1102" s="51" t="str">
        <f>IF(AND($B1102&gt;='111'!$N$11,$B1102&lt;='111'!$O$11,OR($L1102=$O$7,$M1102=$O$7)),"x","")</f>
        <v/>
      </c>
      <c r="P1102" s="51" t="str">
        <f>IF(AND($L1102=$O$7,$B1102&lt;'111'!$N$11),"x","")</f>
        <v/>
      </c>
      <c r="Q1102" s="51" t="str">
        <f>IF(AND($M1102=$O$7,$B1102&lt;'111'!$N$11),"x","")</f>
        <v/>
      </c>
      <c r="R1102" s="51" t="str">
        <f>IF(ISERROR(FIND('112'!$M$9,G1102,1)),"",IF((AND(FIND('112'!$M$9,G1102,1)&gt;=1,$B1102&gt;='112'!$N$8,$B1102&lt;='112'!$O$8,OR($L1102='112'!$I$6,$M1102='112'!$I$6))),"x",""))</f>
        <v/>
      </c>
      <c r="S1102" s="51" t="str">
        <f>IF(ISERROR(FIND('112'!$M$9,G1102,1)),"",IF((AND(LEFT(G1102,2)=LEFT('112'!$M$9,2),B1102&lt;'112'!$N$8,$L1102='112'!$I$6)),"x",""))</f>
        <v/>
      </c>
      <c r="T1102" s="51" t="str">
        <f>IF(ISERROR(FIND('112'!$M$9,G1102,1)),"",IF((AND(RIGHT(G1102,2)=RIGHT('112'!$M$9,2),B1102&lt;'112'!$N$8,$M1102='112'!$I$6)),"x",""))</f>
        <v/>
      </c>
      <c r="U1102" s="51" t="str">
        <f>IF(AND(L1102="154",'154'!$O$5&lt;=B1102,'154'!$P$5&gt;=B1102),"154",IF(AND(L1102="632",'632'!$L$5&lt;=B1102,'632'!$M$5&gt;=B1102),"632",IF(AND(L1102="642",'642'!$N$5&lt;=B1102,'642'!$O$5&gt;=B1102),"642",IF(AND(L1102="641",'641'!$N$5&lt;=B1102,'641'!$O$5&gt;=B1102),"641",""))))</f>
        <v/>
      </c>
      <c r="V1102" s="51" t="str">
        <f>IF(OR(TH!L1102=TH!$V$7,M1102=TH!$V$7),"x","")</f>
        <v/>
      </c>
      <c r="W1102" s="51" t="str">
        <f>IF(AND(B1102&gt;='IN-NX'!$P$3,B1102&lt;='IN-NX'!$Q$3,'IN-NX'!$D$7=D1102,OR(LEFT(L1102,2)="15",AND(LEFT(M1102,2)&lt;&gt;"15",LEFT(M1102,2)&lt;&gt;"33"))),"x","")</f>
        <v/>
      </c>
      <c r="X1102" s="51" t="str">
        <f>IF(AND(OR(LEFT(TH!L1102,2)="15",LEFT(TH!M1102,2)="15"),'152-CT'!$J$8=TH!F1102),"x","")</f>
        <v/>
      </c>
      <c r="Y1102" s="51" t="str">
        <f>IF(AND(OR(LEFT(TH!L1102,2)="15",LEFT(TH!M1102,2)="15"),TK!$E$7=TH!F1102),"x","")</f>
        <v/>
      </c>
      <c r="Z1102" s="51" t="str">
        <f>IF(AND(B1102&lt;=NKC!$N$8,B1102&gt;=NKC!$M$8),"x","")</f>
        <v/>
      </c>
      <c r="AA1102" s="803">
        <v>4</v>
      </c>
      <c r="AB1102" s="565"/>
      <c r="AE1102" s="565"/>
    </row>
    <row r="1103" spans="1:31" ht="15.75" customHeight="1">
      <c r="A1103" s="804" t="str">
        <f>IF(B1103&lt;&gt;"",IF(AND(B1103&gt;=_TM1,B1103&lt;=_TM2,OR(TH!L1103="1111",TH!M1103="1111")),TH!D1103,""),"")</f>
        <v/>
      </c>
      <c r="B1103" s="36">
        <f t="shared" si="72"/>
        <v>11</v>
      </c>
      <c r="C1103" s="189">
        <f t="shared" si="73"/>
        <v>42318</v>
      </c>
      <c r="D1103" s="189" t="s">
        <v>1309</v>
      </c>
      <c r="E1103" s="189">
        <v>42318</v>
      </c>
      <c r="F1103" s="917" t="s">
        <v>1209</v>
      </c>
      <c r="G1103" s="811" t="s">
        <v>1088</v>
      </c>
      <c r="H1103" s="191" t="s">
        <v>1063</v>
      </c>
      <c r="I1103" s="243">
        <v>1000</v>
      </c>
      <c r="J1103" s="243">
        <v>9800</v>
      </c>
      <c r="K1103" s="573">
        <f>ROUND(I1103*J1103,0)</f>
        <v>9800000</v>
      </c>
      <c r="L1103" s="574" t="s">
        <v>250</v>
      </c>
      <c r="M1103" s="574" t="s">
        <v>164</v>
      </c>
      <c r="N1103" s="51" t="str">
        <f>IF(AND('331-CT'!$E$7=TH!H1103,OR(L1103="331",M1103="331")),"331",IF(AND(OR(L1103="131",M1103="131"),H1103='131-CT'!$E$7),"131",""))</f>
        <v/>
      </c>
      <c r="O1103" s="51" t="str">
        <f>IF(AND($B1103&gt;='111'!$N$11,$B1103&lt;='111'!$O$11,OR($L1103=$O$7,$M1103=$O$7)),"x","")</f>
        <v/>
      </c>
      <c r="P1103" s="51" t="str">
        <f>IF(AND($L1103=$O$7,$B1103&lt;'111'!$N$11),"x","")</f>
        <v/>
      </c>
      <c r="Q1103" s="51" t="str">
        <f>IF(AND($M1103=$O$7,$B1103&lt;'111'!$N$11),"x","")</f>
        <v/>
      </c>
      <c r="R1103" s="51" t="str">
        <f>IF(ISERROR(FIND('112'!$M$9,G1103,1)),"",IF((AND(FIND('112'!$M$9,G1103,1)&gt;=1,$B1103&gt;='112'!$N$8,$B1103&lt;='112'!$O$8,OR($L1103='112'!$I$6,$M1103='112'!$I$6))),"x",""))</f>
        <v/>
      </c>
      <c r="S1103" s="51" t="str">
        <f>IF(ISERROR(FIND('112'!$M$9,G1103,1)),"",IF((AND(LEFT(G1103,2)=LEFT('112'!$M$9,2),B1103&lt;'112'!$N$8,$L1103='112'!$I$6)),"x",""))</f>
        <v/>
      </c>
      <c r="T1103" s="51" t="str">
        <f>IF(ISERROR(FIND('112'!$M$9,G1103,1)),"",IF((AND(RIGHT(G1103,2)=RIGHT('112'!$M$9,2),B1103&lt;'112'!$N$8,$M1103='112'!$I$6)),"x",""))</f>
        <v/>
      </c>
      <c r="U1103" s="51" t="str">
        <f>IF(AND(L1103="154",'154'!$O$5&lt;=B1103,'154'!$P$5&gt;=B1103),"154",IF(AND(L1103="632",'632'!$L$5&lt;=B1103,'632'!$M$5&gt;=B1103),"632",IF(AND(L1103="642",'642'!$N$5&lt;=B1103,'642'!$O$5&gt;=B1103),"642",IF(AND(L1103="641",'641'!$N$5&lt;=B1103,'641'!$O$5&gt;=B1103),"641",""))))</f>
        <v/>
      </c>
      <c r="V1103" s="51" t="str">
        <f>IF(OR(TH!L1103=TH!$V$7,M1103=TH!$V$7),"x","")</f>
        <v/>
      </c>
      <c r="W1103" s="51" t="str">
        <f>IF(AND(B1103&gt;='IN-NX'!$P$3,B1103&lt;='IN-NX'!$Q$3,'IN-NX'!$D$7=D1103,OR(LEFT(L1103,2)="15",AND(LEFT(M1103,2)&lt;&gt;"15",LEFT(M1103,2)&lt;&gt;"33"))),"x","")</f>
        <v/>
      </c>
      <c r="X1103" s="51" t="str">
        <f>IF(AND(OR(LEFT(TH!L1103,2)="15",LEFT(TH!M1103,2)="15"),'152-CT'!$J$8=TH!F1103),"x","")</f>
        <v/>
      </c>
      <c r="Y1103" s="51" t="str">
        <f>IF(AND(OR(LEFT(TH!L1103,2)="15",LEFT(TH!M1103,2)="15"),TK!$E$7=TH!F1103),"x","")</f>
        <v/>
      </c>
      <c r="Z1103" s="51" t="str">
        <f>IF(AND(B1103&lt;=NKC!$N$8,B1103&gt;=NKC!$M$8),"x","")</f>
        <v/>
      </c>
      <c r="AA1103" s="803"/>
      <c r="AB1103" s="565"/>
    </row>
    <row r="1104" spans="1:31" ht="15.75" customHeight="1">
      <c r="A1104" s="804" t="str">
        <f>IF(B1104&lt;&gt;"",IF(AND(B1104&gt;=_TM1,B1104&lt;=_TM2,OR(TH!L1104="1111",TH!M1104="1111")),TH!D1104,""),"")</f>
        <v/>
      </c>
      <c r="B1104" s="36">
        <f t="shared" si="72"/>
        <v>11</v>
      </c>
      <c r="C1104" s="189">
        <f t="shared" si="73"/>
        <v>42318</v>
      </c>
      <c r="D1104" s="189" t="s">
        <v>1309</v>
      </c>
      <c r="E1104" s="189">
        <v>42318</v>
      </c>
      <c r="F1104" s="190" t="s">
        <v>962</v>
      </c>
      <c r="G1104" s="811" t="s">
        <v>1088</v>
      </c>
      <c r="H1104" s="191" t="s">
        <v>1063</v>
      </c>
      <c r="I1104" s="243"/>
      <c r="J1104" s="243"/>
      <c r="K1104" s="573">
        <v>980000</v>
      </c>
      <c r="L1104" s="574" t="s">
        <v>250</v>
      </c>
      <c r="M1104" s="574" t="s">
        <v>352</v>
      </c>
      <c r="N1104" s="51" t="str">
        <f>IF(AND('331-CT'!$E$7=TH!H1104,OR(L1104="331",M1104="331")),"331",IF(AND(OR(L1104="131",M1104="131"),H1104='131-CT'!$E$7),"131",""))</f>
        <v/>
      </c>
      <c r="O1104" s="51" t="str">
        <f>IF(AND($B1104&gt;='111'!$N$11,$B1104&lt;='111'!$O$11,OR($L1104=$O$7,$M1104=$O$7)),"x","")</f>
        <v/>
      </c>
      <c r="P1104" s="51" t="str">
        <f>IF(AND($L1104=$O$7,$B1104&lt;'111'!$N$11),"x","")</f>
        <v/>
      </c>
      <c r="Q1104" s="51" t="str">
        <f>IF(AND($M1104=$O$7,$B1104&lt;'111'!$N$11),"x","")</f>
        <v/>
      </c>
      <c r="R1104" s="51" t="str">
        <f>IF(ISERROR(FIND('112'!$M$9,G1104,1)),"",IF((AND(FIND('112'!$M$9,G1104,1)&gt;=1,$B1104&gt;='112'!$N$8,$B1104&lt;='112'!$O$8,OR($L1104='112'!$I$6,$M1104='112'!$I$6))),"x",""))</f>
        <v/>
      </c>
      <c r="S1104" s="51" t="str">
        <f>IF(ISERROR(FIND('112'!$M$9,G1104,1)),"",IF((AND(LEFT(G1104,2)=LEFT('112'!$M$9,2),B1104&lt;'112'!$N$8,$L1104='112'!$I$6)),"x",""))</f>
        <v/>
      </c>
      <c r="T1104" s="51" t="str">
        <f>IF(ISERROR(FIND('112'!$M$9,G1104,1)),"",IF((AND(RIGHT(G1104,2)=RIGHT('112'!$M$9,2),B1104&lt;'112'!$N$8,$M1104='112'!$I$6)),"x",""))</f>
        <v/>
      </c>
      <c r="U1104" s="51" t="str">
        <f>IF(AND(L1104="154",'154'!$O$5&lt;=B1104,'154'!$P$5&gt;=B1104),"154",IF(AND(L1104="632",'632'!$L$5&lt;=B1104,'632'!$M$5&gt;=B1104),"632",IF(AND(L1104="642",'642'!$N$5&lt;=B1104,'642'!$O$5&gt;=B1104),"642",IF(AND(L1104="641",'641'!$N$5&lt;=B1104,'641'!$O$5&gt;=B1104),"641",""))))</f>
        <v/>
      </c>
      <c r="V1104" s="51" t="str">
        <f>IF(OR(TH!L1104=TH!$V$7,M1104=TH!$V$7),"x","")</f>
        <v/>
      </c>
      <c r="W1104" s="51" t="str">
        <f>IF(AND(B1104&gt;='IN-NX'!$P$3,B1104&lt;='IN-NX'!$Q$3,'IN-NX'!$D$7=D1104,OR(LEFT(L1104,2)="15",AND(LEFT(M1104,2)&lt;&gt;"15",LEFT(M1104,2)&lt;&gt;"33"))),"x","")</f>
        <v/>
      </c>
      <c r="X1104" s="51" t="str">
        <f>IF(AND(OR(LEFT(TH!L1104,2)="15",LEFT(TH!M1104,2)="15"),'152-CT'!$J$8=TH!F1104),"x","")</f>
        <v/>
      </c>
      <c r="Y1104" s="51" t="str">
        <f>IF(AND(OR(LEFT(TH!L1104,2)="15",LEFT(TH!M1104,2)="15"),TK!$E$7=TH!F1104),"x","")</f>
        <v/>
      </c>
      <c r="Z1104" s="51" t="str">
        <f>IF(AND(B1104&lt;=NKC!$N$8,B1104&gt;=NKC!$M$8),"x","")</f>
        <v/>
      </c>
      <c r="AA1104" s="803"/>
      <c r="AB1104" s="565"/>
    </row>
    <row r="1105" spans="1:31" ht="15.75" customHeight="1">
      <c r="A1105" s="804" t="str">
        <f>IF(B1105&lt;&gt;"",IF(AND(B1105&gt;=_TM1,B1105&lt;=_TM2,OR(TH!L1105="1111",TH!M1105="1111")),TH!D1105,""),"")</f>
        <v/>
      </c>
      <c r="B1105" s="36">
        <f t="shared" si="72"/>
        <v>11</v>
      </c>
      <c r="C1105" s="189">
        <f t="shared" si="73"/>
        <v>42318</v>
      </c>
      <c r="D1105" s="189" t="s">
        <v>1377</v>
      </c>
      <c r="E1105" s="189">
        <v>42318</v>
      </c>
      <c r="F1105" s="190" t="s">
        <v>423</v>
      </c>
      <c r="G1105" s="811" t="s">
        <v>1088</v>
      </c>
      <c r="H1105" s="191" t="s">
        <v>1063</v>
      </c>
      <c r="I1105" s="243"/>
      <c r="J1105" s="243"/>
      <c r="K1105" s="573">
        <f>K1103+K1104</f>
        <v>10780000</v>
      </c>
      <c r="L1105" s="574" t="s">
        <v>47</v>
      </c>
      <c r="M1105" s="574" t="s">
        <v>250</v>
      </c>
      <c r="N1105" s="51" t="str">
        <f>IF(AND('331-CT'!$E$7=TH!H1105,OR(L1105="331",M1105="331")),"331",IF(AND(OR(L1105="131",M1105="131"),H1105='131-CT'!$E$7),"131",""))</f>
        <v/>
      </c>
      <c r="O1105" s="51" t="str">
        <f>IF(AND($B1105&gt;='111'!$N$11,$B1105&lt;='111'!$O$11,OR($L1105=$O$7,$M1105=$O$7)),"x","")</f>
        <v>x</v>
      </c>
      <c r="P1105" s="51" t="str">
        <f>IF(AND($L1105=$O$7,$B1105&lt;'111'!$N$11),"x","")</f>
        <v/>
      </c>
      <c r="Q1105" s="51" t="str">
        <f>IF(AND($M1105=$O$7,$B1105&lt;'111'!$N$11),"x","")</f>
        <v/>
      </c>
      <c r="R1105" s="51" t="str">
        <f>IF(ISERROR(FIND('112'!$M$9,G1105,1)),"",IF((AND(FIND('112'!$M$9,G1105,1)&gt;=1,$B1105&gt;='112'!$N$8,$B1105&lt;='112'!$O$8,OR($L1105='112'!$I$6,$M1105='112'!$I$6))),"x",""))</f>
        <v/>
      </c>
      <c r="S1105" s="51" t="str">
        <f>IF(ISERROR(FIND('112'!$M$9,G1105,1)),"",IF((AND(LEFT(G1105,2)=LEFT('112'!$M$9,2),B1105&lt;'112'!$N$8,$L1105='112'!$I$6)),"x",""))</f>
        <v/>
      </c>
      <c r="T1105" s="51" t="str">
        <f>IF(ISERROR(FIND('112'!$M$9,G1105,1)),"",IF((AND(RIGHT(G1105,2)=RIGHT('112'!$M$9,2),B1105&lt;'112'!$N$8,$M1105='112'!$I$6)),"x",""))</f>
        <v/>
      </c>
      <c r="U1105" s="51" t="str">
        <f>IF(AND(L1105="154",'154'!$O$5&lt;=B1105,'154'!$P$5&gt;=B1105),"154",IF(AND(L1105="632",'632'!$L$5&lt;=B1105,'632'!$M$5&gt;=B1105),"632",IF(AND(L1105="642",'642'!$N$5&lt;=B1105,'642'!$O$5&gt;=B1105),"642",IF(AND(L1105="641",'641'!$N$5&lt;=B1105,'641'!$O$5&gt;=B1105),"641",""))))</f>
        <v/>
      </c>
      <c r="V1105" s="51" t="str">
        <f>IF(OR(TH!L1105=TH!$V$7,M1105=TH!$V$7),"x","")</f>
        <v/>
      </c>
      <c r="W1105" s="51" t="str">
        <f>IF(AND(B1105&gt;='IN-NX'!$P$3,B1105&lt;='IN-NX'!$Q$3,'IN-NX'!$D$7=D1105,OR(LEFT(L1105,2)="15",AND(LEFT(M1105,2)&lt;&gt;"15",LEFT(M1105,2)&lt;&gt;"33"))),"x","")</f>
        <v/>
      </c>
      <c r="X1105" s="51" t="str">
        <f>IF(AND(OR(LEFT(TH!L1105,2)="15",LEFT(TH!M1105,2)="15"),'152-CT'!$J$8=TH!F1105),"x","")</f>
        <v/>
      </c>
      <c r="Y1105" s="51" t="str">
        <f>IF(AND(OR(LEFT(TH!L1105,2)="15",LEFT(TH!M1105,2)="15"),TK!$E$7=TH!F1105),"x","")</f>
        <v/>
      </c>
      <c r="Z1105" s="51" t="str">
        <f>IF(AND(B1105&lt;=NKC!$N$8,B1105&gt;=NKC!$M$8),"x","")</f>
        <v/>
      </c>
      <c r="AA1105" s="803"/>
      <c r="AB1105" s="565"/>
    </row>
    <row r="1106" spans="1:31" ht="15.75" customHeight="1">
      <c r="A1106" s="804" t="str">
        <f>IF(B1106&lt;&gt;"",IF(AND(B1106&gt;=_TM1,B1106&lt;=_TM2,OR(TH!L1106="1111",TH!M1106="1111")),TH!D1106,""),"")</f>
        <v/>
      </c>
      <c r="B1106" s="36">
        <f t="shared" si="72"/>
        <v>11</v>
      </c>
      <c r="C1106" s="189">
        <f t="shared" si="73"/>
        <v>42318</v>
      </c>
      <c r="D1106" s="189" t="s">
        <v>1378</v>
      </c>
      <c r="E1106" s="189">
        <v>42318</v>
      </c>
      <c r="F1106" s="190" t="s">
        <v>964</v>
      </c>
      <c r="G1106" s="811" t="s">
        <v>1089</v>
      </c>
      <c r="H1106" s="191" t="s">
        <v>1090</v>
      </c>
      <c r="I1106" s="243"/>
      <c r="J1106" s="243"/>
      <c r="K1106" s="573">
        <v>17000000</v>
      </c>
      <c r="L1106" s="574" t="s">
        <v>47</v>
      </c>
      <c r="M1106" s="574" t="s">
        <v>408</v>
      </c>
      <c r="N1106" s="51" t="str">
        <f>IF(AND('331-CT'!$E$7=TH!H1106,OR(L1106="331",M1106="331")),"331",IF(AND(OR(L1106="131",M1106="131"),H1106='131-CT'!$E$7),"131",""))</f>
        <v/>
      </c>
      <c r="O1106" s="51" t="str">
        <f>IF(AND($B1106&gt;='111'!$N$11,$B1106&lt;='111'!$O$11,OR($L1106=$O$7,$M1106=$O$7)),"x","")</f>
        <v>x</v>
      </c>
      <c r="P1106" s="51" t="str">
        <f>IF(AND($L1106=$O$7,$B1106&lt;'111'!$N$11),"x","")</f>
        <v/>
      </c>
      <c r="Q1106" s="51" t="str">
        <f>IF(AND($M1106=$O$7,$B1106&lt;'111'!$N$11),"x","")</f>
        <v/>
      </c>
      <c r="R1106" s="51" t="str">
        <f>IF(ISERROR(FIND('112'!$M$9,G1106,1)),"",IF((AND(FIND('112'!$M$9,G1106,1)&gt;=1,$B1106&gt;='112'!$N$8,$B1106&lt;='112'!$O$8,OR($L1106='112'!$I$6,$M1106='112'!$I$6))),"x",""))</f>
        <v/>
      </c>
      <c r="S1106" s="51" t="str">
        <f>IF(ISERROR(FIND('112'!$M$9,G1106,1)),"",IF((AND(LEFT(G1106,2)=LEFT('112'!$M$9,2),B1106&lt;'112'!$N$8,$L1106='112'!$I$6)),"x",""))</f>
        <v/>
      </c>
      <c r="T1106" s="51" t="str">
        <f>IF(ISERROR(FIND('112'!$M$9,G1106,1)),"",IF((AND(RIGHT(G1106,2)=RIGHT('112'!$M$9,2),B1106&lt;'112'!$N$8,$M1106='112'!$I$6)),"x",""))</f>
        <v/>
      </c>
      <c r="U1106" s="51" t="str">
        <f>IF(AND(L1106="154",'154'!$O$5&lt;=B1106,'154'!$P$5&gt;=B1106),"154",IF(AND(L1106="632",'632'!$L$5&lt;=B1106,'632'!$M$5&gt;=B1106),"632",IF(AND(L1106="642",'642'!$N$5&lt;=B1106,'642'!$O$5&gt;=B1106),"642",IF(AND(L1106="641",'641'!$N$5&lt;=B1106,'641'!$O$5&gt;=B1106),"641",""))))</f>
        <v/>
      </c>
      <c r="V1106" s="51" t="str">
        <f>IF(OR(TH!L1106=TH!$V$7,M1106=TH!$V$7),"x","")</f>
        <v/>
      </c>
      <c r="W1106" s="51" t="str">
        <f>IF(AND(B1106&gt;='IN-NX'!$P$3,B1106&lt;='IN-NX'!$Q$3,'IN-NX'!$D$7=D1106,OR(LEFT(L1106,2)="15",AND(LEFT(M1106,2)&lt;&gt;"15",LEFT(M1106,2)&lt;&gt;"33"))),"x","")</f>
        <v/>
      </c>
      <c r="X1106" s="51" t="str">
        <f>IF(AND(OR(LEFT(TH!L1106,2)="15",LEFT(TH!M1106,2)="15"),'152-CT'!$J$8=TH!F1106),"x","")</f>
        <v/>
      </c>
      <c r="Y1106" s="51" t="str">
        <f>IF(AND(OR(LEFT(TH!L1106,2)="15",LEFT(TH!M1106,2)="15"),TK!$E$7=TH!F1106),"x","")</f>
        <v/>
      </c>
      <c r="Z1106" s="51" t="str">
        <f>IF(AND(B1106&lt;=NKC!$N$8,B1106&gt;=NKC!$M$8),"x","")</f>
        <v/>
      </c>
      <c r="AA1106" s="803"/>
      <c r="AB1106" s="565"/>
    </row>
    <row r="1107" spans="1:31" ht="15.75" customHeight="1">
      <c r="A1107" s="804" t="str">
        <f>IF(B1107&lt;&gt;"",IF(AND(B1107&gt;=_TM1,B1107&lt;=_TM2,OR(TH!L1107="1111",TH!M1107="1111")),TH!D1107,""),"")</f>
        <v/>
      </c>
      <c r="B1107" s="36">
        <f t="shared" si="72"/>
        <v>11</v>
      </c>
      <c r="C1107" s="189">
        <f t="shared" si="73"/>
        <v>42318</v>
      </c>
      <c r="D1107" s="189" t="s">
        <v>1378</v>
      </c>
      <c r="E1107" s="189">
        <v>42318</v>
      </c>
      <c r="F1107" s="190" t="s">
        <v>1110</v>
      </c>
      <c r="G1107" s="811" t="s">
        <v>1089</v>
      </c>
      <c r="H1107" s="191" t="s">
        <v>1090</v>
      </c>
      <c r="I1107" s="243"/>
      <c r="J1107" s="243"/>
      <c r="K1107" s="573">
        <v>1700000</v>
      </c>
      <c r="L1107" s="574" t="s">
        <v>47</v>
      </c>
      <c r="M1107" s="574" t="s">
        <v>352</v>
      </c>
      <c r="N1107" s="51" t="str">
        <f>IF(AND('331-CT'!$E$7=TH!H1107,OR(L1107="331",M1107="331")),"331",IF(AND(OR(L1107="131",M1107="131"),H1107='131-CT'!$E$7),"131",""))</f>
        <v/>
      </c>
      <c r="O1107" s="51" t="str">
        <f>IF(AND($B1107&gt;='111'!$N$11,$B1107&lt;='111'!$O$11,OR($L1107=$O$7,$M1107=$O$7)),"x","")</f>
        <v>x</v>
      </c>
      <c r="P1107" s="51" t="str">
        <f>IF(AND($L1107=$O$7,$B1107&lt;'111'!$N$11),"x","")</f>
        <v/>
      </c>
      <c r="Q1107" s="51" t="str">
        <f>IF(AND($M1107=$O$7,$B1107&lt;'111'!$N$11),"x","")</f>
        <v/>
      </c>
      <c r="R1107" s="51" t="str">
        <f>IF(ISERROR(FIND('112'!$M$9,G1107,1)),"",IF((AND(FIND('112'!$M$9,G1107,1)&gt;=1,$B1107&gt;='112'!$N$8,$B1107&lt;='112'!$O$8,OR($L1107='112'!$I$6,$M1107='112'!$I$6))),"x",""))</f>
        <v/>
      </c>
      <c r="S1107" s="51" t="str">
        <f>IF(ISERROR(FIND('112'!$M$9,G1107,1)),"",IF((AND(LEFT(G1107,2)=LEFT('112'!$M$9,2),B1107&lt;'112'!$N$8,$L1107='112'!$I$6)),"x",""))</f>
        <v/>
      </c>
      <c r="T1107" s="51" t="str">
        <f>IF(ISERROR(FIND('112'!$M$9,G1107,1)),"",IF((AND(RIGHT(G1107,2)=RIGHT('112'!$M$9,2),B1107&lt;'112'!$N$8,$M1107='112'!$I$6)),"x",""))</f>
        <v/>
      </c>
      <c r="U1107" s="51" t="str">
        <f>IF(AND(L1107="154",'154'!$O$5&lt;=B1107,'154'!$P$5&gt;=B1107),"154",IF(AND(L1107="632",'632'!$L$5&lt;=B1107,'632'!$M$5&gt;=B1107),"632",IF(AND(L1107="642",'642'!$N$5&lt;=B1107,'642'!$O$5&gt;=B1107),"642",IF(AND(L1107="641",'641'!$N$5&lt;=B1107,'641'!$O$5&gt;=B1107),"641",""))))</f>
        <v/>
      </c>
      <c r="V1107" s="51" t="str">
        <f>IF(OR(TH!L1107=TH!$V$7,M1107=TH!$V$7),"x","")</f>
        <v/>
      </c>
      <c r="W1107" s="51" t="str">
        <f>IF(AND(B1107&gt;='IN-NX'!$P$3,B1107&lt;='IN-NX'!$Q$3,'IN-NX'!$D$7=D1107,OR(LEFT(L1107,2)="15",AND(LEFT(M1107,2)&lt;&gt;"15",LEFT(M1107,2)&lt;&gt;"33"))),"x","")</f>
        <v/>
      </c>
      <c r="X1107" s="51" t="str">
        <f>IF(AND(OR(LEFT(TH!L1107,2)="15",LEFT(TH!M1107,2)="15"),'152-CT'!$J$8=TH!F1107),"x","")</f>
        <v/>
      </c>
      <c r="Y1107" s="51" t="str">
        <f>IF(AND(OR(LEFT(TH!L1107,2)="15",LEFT(TH!M1107,2)="15"),TK!$E$7=TH!F1107),"x","")</f>
        <v/>
      </c>
      <c r="Z1107" s="51" t="str">
        <f>IF(AND(B1107&lt;=NKC!$N$8,B1107&gt;=NKC!$M$8),"x","")</f>
        <v/>
      </c>
      <c r="AA1107" s="803"/>
      <c r="AB1107" s="565"/>
    </row>
    <row r="1108" spans="1:31" ht="15.75" customHeight="1">
      <c r="A1108" s="804" t="str">
        <f>IF(B1108&lt;&gt;"",IF(AND(B1108&gt;=_TM1,B1108&lt;=_TM2,OR(TH!L1108="1111",TH!M1108="1111")),TH!D1108,""),"")</f>
        <v/>
      </c>
      <c r="B1108" s="36">
        <f t="shared" si="72"/>
        <v>11</v>
      </c>
      <c r="C1108" s="189">
        <f t="shared" si="73"/>
        <v>42321</v>
      </c>
      <c r="D1108" s="189" t="s">
        <v>1425</v>
      </c>
      <c r="E1108" s="189">
        <v>42321</v>
      </c>
      <c r="F1108" s="917" t="s">
        <v>844</v>
      </c>
      <c r="G1108" s="813" t="s">
        <v>843</v>
      </c>
      <c r="H1108" s="191" t="s">
        <v>842</v>
      </c>
      <c r="I1108" s="243">
        <v>144</v>
      </c>
      <c r="J1108" s="243">
        <v>43915</v>
      </c>
      <c r="K1108" s="573">
        <f>ROUND(I1108*J1108,0)</f>
        <v>6323760</v>
      </c>
      <c r="L1108" s="574" t="s">
        <v>417</v>
      </c>
      <c r="M1108" s="574" t="s">
        <v>8</v>
      </c>
      <c r="N1108" s="51" t="str">
        <f>IF(AND('331-CT'!$E$7=TH!H1108,OR(L1108="331",M1108="331")),"331",IF(AND(OR(L1108="131",M1108="131"),H1108='131-CT'!$E$7),"131",""))</f>
        <v/>
      </c>
      <c r="O1108" s="51" t="str">
        <f>IF(AND($B1108&gt;='111'!$N$11,$B1108&lt;='111'!$O$11,OR($L1108=$O$7,$M1108=$O$7)),"x","")</f>
        <v/>
      </c>
      <c r="P1108" s="51" t="str">
        <f>IF(AND($L1108=$O$7,$B1108&lt;'111'!$N$11),"x","")</f>
        <v/>
      </c>
      <c r="Q1108" s="51" t="str">
        <f>IF(AND($M1108=$O$7,$B1108&lt;'111'!$N$11),"x","")</f>
        <v/>
      </c>
      <c r="R1108" s="51" t="str">
        <f>IF(ISERROR(FIND('112'!$M$9,G1108,1)),"",IF((AND(FIND('112'!$M$9,G1108,1)&gt;=1,$B1108&gt;='112'!$N$8,$B1108&lt;='112'!$O$8,OR($L1108='112'!$I$6,$M1108='112'!$I$6))),"x",""))</f>
        <v/>
      </c>
      <c r="S1108" s="51" t="str">
        <f>IF(ISERROR(FIND('112'!$M$9,G1108,1)),"",IF((AND(LEFT(G1108,2)=LEFT('112'!$M$9,2),B1108&lt;'112'!$N$8,$L1108='112'!$I$6)),"x",""))</f>
        <v/>
      </c>
      <c r="T1108" s="51" t="str">
        <f>IF(ISERROR(FIND('112'!$M$9,G1108,1)),"",IF((AND(RIGHT(G1108,2)=RIGHT('112'!$M$9,2),B1108&lt;'112'!$N$8,$M1108='112'!$I$6)),"x",""))</f>
        <v/>
      </c>
      <c r="U1108" s="51" t="str">
        <f>IF(AND(L1108="154",'154'!$O$5&lt;=B1108,'154'!$P$5&gt;=B1108),"154",IF(AND(L1108="632",'632'!$L$5&lt;=B1108,'632'!$M$5&gt;=B1108),"632",IF(AND(L1108="642",'642'!$N$5&lt;=B1108,'642'!$O$5&gt;=B1108),"642",IF(AND(L1108="641",'641'!$N$5&lt;=B1108,'641'!$O$5&gt;=B1108),"641",""))))</f>
        <v/>
      </c>
      <c r="V1108" s="51" t="str">
        <f>IF(OR(TH!L1108=TH!$V$7,M1108=TH!$V$7),"x","")</f>
        <v/>
      </c>
      <c r="W1108" s="51" t="str">
        <f>IF(AND(B1108&gt;='IN-NX'!$P$3,B1108&lt;='IN-NX'!$Q$3,'IN-NX'!$D$7=D1108,OR(LEFT(L1108,2)="15",AND(LEFT(M1108,2)&lt;&gt;"15",LEFT(M1108,2)&lt;&gt;"33"))),"x","")</f>
        <v/>
      </c>
      <c r="X1108" s="51" t="str">
        <f>IF(AND(OR(LEFT(TH!L1108,2)="15",LEFT(TH!M1108,2)="15"),'152-CT'!$J$8=TH!F1108),"x","")</f>
        <v/>
      </c>
      <c r="Y1108" s="51" t="str">
        <f>IF(AND(OR(LEFT(TH!L1108,2)="15",LEFT(TH!M1108,2)="15"),TK!$E$7=TH!F1108),"x","")</f>
        <v/>
      </c>
      <c r="Z1108" s="51" t="str">
        <f>IF(AND(B1108&lt;=NKC!$N$8,B1108&gt;=NKC!$M$8),"x","")</f>
        <v/>
      </c>
      <c r="AA1108" s="803"/>
      <c r="AB1108" s="565"/>
      <c r="AE1108" s="565"/>
    </row>
    <row r="1109" spans="1:31" ht="15.75" customHeight="1">
      <c r="A1109" s="804" t="str">
        <f>IF(B1109&lt;&gt;"",IF(AND(B1109&gt;=_TM1,B1109&lt;=_TM2,OR(TH!L1109="1111",TH!M1109="1111")),TH!D1109,""),"")</f>
        <v/>
      </c>
      <c r="B1109" s="36">
        <f t="shared" si="72"/>
        <v>11</v>
      </c>
      <c r="C1109" s="189">
        <f t="shared" si="73"/>
        <v>42321</v>
      </c>
      <c r="D1109" s="189" t="s">
        <v>1425</v>
      </c>
      <c r="E1109" s="189">
        <v>42321</v>
      </c>
      <c r="F1109" s="190" t="s">
        <v>845</v>
      </c>
      <c r="G1109" s="813" t="s">
        <v>843</v>
      </c>
      <c r="H1109" s="191" t="s">
        <v>842</v>
      </c>
      <c r="I1109" s="243">
        <v>500</v>
      </c>
      <c r="J1109" s="243">
        <v>16800</v>
      </c>
      <c r="K1109" s="573">
        <f>ROUND(I1109*J1109,0)</f>
        <v>8400000</v>
      </c>
      <c r="L1109" s="574" t="s">
        <v>417</v>
      </c>
      <c r="M1109" s="574" t="s">
        <v>8</v>
      </c>
      <c r="N1109" s="51" t="str">
        <f>IF(AND('331-CT'!$E$7=TH!H1109,OR(L1109="331",M1109="331")),"331",IF(AND(OR(L1109="131",M1109="131"),H1109='131-CT'!$E$7),"131",""))</f>
        <v/>
      </c>
      <c r="O1109" s="51" t="str">
        <f>IF(AND($B1109&gt;='111'!$N$11,$B1109&lt;='111'!$O$11,OR($L1109=$O$7,$M1109=$O$7)),"x","")</f>
        <v/>
      </c>
      <c r="P1109" s="51" t="str">
        <f>IF(AND($L1109=$O$7,$B1109&lt;'111'!$N$11),"x","")</f>
        <v/>
      </c>
      <c r="Q1109" s="51" t="str">
        <f>IF(AND($M1109=$O$7,$B1109&lt;'111'!$N$11),"x","")</f>
        <v/>
      </c>
      <c r="R1109" s="51" t="str">
        <f>IF(ISERROR(FIND('112'!$M$9,G1109,1)),"",IF((AND(FIND('112'!$M$9,G1109,1)&gt;=1,$B1109&gt;='112'!$N$8,$B1109&lt;='112'!$O$8,OR($L1109='112'!$I$6,$M1109='112'!$I$6))),"x",""))</f>
        <v/>
      </c>
      <c r="S1109" s="51" t="str">
        <f>IF(ISERROR(FIND('112'!$M$9,G1109,1)),"",IF((AND(LEFT(G1109,2)=LEFT('112'!$M$9,2),B1109&lt;'112'!$N$8,$L1109='112'!$I$6)),"x",""))</f>
        <v/>
      </c>
      <c r="T1109" s="51" t="str">
        <f>IF(ISERROR(FIND('112'!$M$9,G1109,1)),"",IF((AND(RIGHT(G1109,2)=RIGHT('112'!$M$9,2),B1109&lt;'112'!$N$8,$M1109='112'!$I$6)),"x",""))</f>
        <v/>
      </c>
      <c r="U1109" s="51" t="str">
        <f>IF(AND(L1109="154",'154'!$O$5&lt;=B1109,'154'!$P$5&gt;=B1109),"154",IF(AND(L1109="632",'632'!$L$5&lt;=B1109,'632'!$M$5&gt;=B1109),"632",IF(AND(L1109="642",'642'!$N$5&lt;=B1109,'642'!$O$5&gt;=B1109),"642",IF(AND(L1109="641",'641'!$N$5&lt;=B1109,'641'!$O$5&gt;=B1109),"641",""))))</f>
        <v/>
      </c>
      <c r="V1109" s="51" t="str">
        <f>IF(OR(TH!L1109=TH!$V$7,M1109=TH!$V$7),"x","")</f>
        <v/>
      </c>
      <c r="W1109" s="51" t="str">
        <f>IF(AND(B1109&gt;='IN-NX'!$P$3,B1109&lt;='IN-NX'!$Q$3,'IN-NX'!$D$7=D1109,OR(LEFT(L1109,2)="15",AND(LEFT(M1109,2)&lt;&gt;"15",LEFT(M1109,2)&lt;&gt;"33"))),"x","")</f>
        <v/>
      </c>
      <c r="X1109" s="51" t="str">
        <f>IF(AND(OR(LEFT(TH!L1109,2)="15",LEFT(TH!M1109,2)="15"),'152-CT'!$J$8=TH!F1109),"x","")</f>
        <v/>
      </c>
      <c r="Y1109" s="51" t="str">
        <f>IF(AND(OR(LEFT(TH!L1109,2)="15",LEFT(TH!M1109,2)="15"),TK!$E$7=TH!F1109),"x","")</f>
        <v/>
      </c>
      <c r="Z1109" s="51" t="str">
        <f>IF(AND(B1109&lt;=NKC!$N$8,B1109&gt;=NKC!$M$8),"x","")</f>
        <v/>
      </c>
      <c r="AA1109" s="803"/>
      <c r="AB1109" s="565"/>
      <c r="AE1109" s="565"/>
    </row>
    <row r="1110" spans="1:31" ht="15.75" customHeight="1">
      <c r="A1110" s="804" t="str">
        <f>IF(B1110&lt;&gt;"",IF(AND(B1110&gt;=_TM1,B1110&lt;=_TM2,OR(TH!L1110="1111",TH!M1110="1111")),TH!D1110,""),"")</f>
        <v/>
      </c>
      <c r="B1110" s="36">
        <f t="shared" si="72"/>
        <v>11</v>
      </c>
      <c r="C1110" s="189">
        <f t="shared" si="73"/>
        <v>42321</v>
      </c>
      <c r="D1110" s="189" t="s">
        <v>1425</v>
      </c>
      <c r="E1110" s="189">
        <v>42321</v>
      </c>
      <c r="F1110" s="190" t="s">
        <v>623</v>
      </c>
      <c r="G1110" s="813" t="s">
        <v>843</v>
      </c>
      <c r="H1110" s="191" t="s">
        <v>842</v>
      </c>
      <c r="I1110" s="243">
        <v>850</v>
      </c>
      <c r="J1110" s="243">
        <v>31200</v>
      </c>
      <c r="K1110" s="573">
        <f>ROUND(I1110*J1110,0)</f>
        <v>26520000</v>
      </c>
      <c r="L1110" s="574" t="s">
        <v>417</v>
      </c>
      <c r="M1110" s="574" t="s">
        <v>8</v>
      </c>
      <c r="N1110" s="51" t="str">
        <f>IF(AND('331-CT'!$E$7=TH!H1110,OR(L1110="331",M1110="331")),"331",IF(AND(OR(L1110="131",M1110="131"),H1110='131-CT'!$E$7),"131",""))</f>
        <v/>
      </c>
      <c r="O1110" s="51" t="str">
        <f>IF(AND($B1110&gt;='111'!$N$11,$B1110&lt;='111'!$O$11,OR($L1110=$O$7,$M1110=$O$7)),"x","")</f>
        <v/>
      </c>
      <c r="P1110" s="51" t="str">
        <f>IF(AND($L1110=$O$7,$B1110&lt;'111'!$N$11),"x","")</f>
        <v/>
      </c>
      <c r="Q1110" s="51" t="str">
        <f>IF(AND($M1110=$O$7,$B1110&lt;'111'!$N$11),"x","")</f>
        <v/>
      </c>
      <c r="R1110" s="51" t="str">
        <f>IF(ISERROR(FIND('112'!$M$9,G1110,1)),"",IF((AND(FIND('112'!$M$9,G1110,1)&gt;=1,$B1110&gt;='112'!$N$8,$B1110&lt;='112'!$O$8,OR($L1110='112'!$I$6,$M1110='112'!$I$6))),"x",""))</f>
        <v/>
      </c>
      <c r="S1110" s="51" t="str">
        <f>IF(ISERROR(FIND('112'!$M$9,G1110,1)),"",IF((AND(LEFT(G1110,2)=LEFT('112'!$M$9,2),B1110&lt;'112'!$N$8,$L1110='112'!$I$6)),"x",""))</f>
        <v/>
      </c>
      <c r="T1110" s="51" t="str">
        <f>IF(ISERROR(FIND('112'!$M$9,G1110,1)),"",IF((AND(RIGHT(G1110,2)=RIGHT('112'!$M$9,2),B1110&lt;'112'!$N$8,$M1110='112'!$I$6)),"x",""))</f>
        <v/>
      </c>
      <c r="U1110" s="51" t="str">
        <f>IF(AND(L1110="154",'154'!$O$5&lt;=B1110,'154'!$P$5&gt;=B1110),"154",IF(AND(L1110="632",'632'!$L$5&lt;=B1110,'632'!$M$5&gt;=B1110),"632",IF(AND(L1110="642",'642'!$N$5&lt;=B1110,'642'!$O$5&gt;=B1110),"642",IF(AND(L1110="641",'641'!$N$5&lt;=B1110,'641'!$O$5&gt;=B1110),"641",""))))</f>
        <v/>
      </c>
      <c r="V1110" s="51" t="str">
        <f>IF(OR(TH!L1110=TH!$V$7,M1110=TH!$V$7),"x","")</f>
        <v/>
      </c>
      <c r="W1110" s="51" t="str">
        <f>IF(AND(B1110&gt;='IN-NX'!$P$3,B1110&lt;='IN-NX'!$Q$3,'IN-NX'!$D$7=D1110,OR(LEFT(L1110,2)="15",AND(LEFT(M1110,2)&lt;&gt;"15",LEFT(M1110,2)&lt;&gt;"33"))),"x","")</f>
        <v/>
      </c>
      <c r="X1110" s="51" t="str">
        <f>IF(AND(OR(LEFT(TH!L1110,2)="15",LEFT(TH!M1110,2)="15"),'152-CT'!$J$8=TH!F1110),"x","")</f>
        <v/>
      </c>
      <c r="Y1110" s="51" t="str">
        <f>IF(AND(OR(LEFT(TH!L1110,2)="15",LEFT(TH!M1110,2)="15"),TK!$E$7=TH!F1110),"x","")</f>
        <v/>
      </c>
      <c r="Z1110" s="51" t="str">
        <f>IF(AND(B1110&lt;=NKC!$N$8,B1110&gt;=NKC!$M$8),"x","")</f>
        <v/>
      </c>
      <c r="AA1110" s="803"/>
      <c r="AB1110" s="565"/>
      <c r="AE1110" s="565"/>
    </row>
    <row r="1111" spans="1:31" ht="15.75" customHeight="1">
      <c r="A1111" s="804" t="str">
        <f>IF(B1111&lt;&gt;"",IF(AND(B1111&gt;=_TM1,B1111&lt;=_TM2,OR(TH!L1111="1111",TH!M1111="1111")),TH!D1111,""),"")</f>
        <v/>
      </c>
      <c r="B1111" s="36">
        <f t="shared" si="72"/>
        <v>11</v>
      </c>
      <c r="C1111" s="189">
        <f t="shared" si="73"/>
        <v>42321</v>
      </c>
      <c r="D1111" s="189" t="s">
        <v>1425</v>
      </c>
      <c r="E1111" s="189">
        <v>42321</v>
      </c>
      <c r="F1111" s="190" t="s">
        <v>621</v>
      </c>
      <c r="G1111" s="813" t="s">
        <v>843</v>
      </c>
      <c r="H1111" s="191" t="s">
        <v>842</v>
      </c>
      <c r="I1111" s="243">
        <v>3000</v>
      </c>
      <c r="J1111" s="243">
        <v>15840</v>
      </c>
      <c r="K1111" s="573">
        <f>ROUND(I1111*J1111,0)</f>
        <v>47520000</v>
      </c>
      <c r="L1111" s="574" t="s">
        <v>417</v>
      </c>
      <c r="M1111" s="574" t="s">
        <v>8</v>
      </c>
      <c r="N1111" s="51" t="str">
        <f>IF(AND('331-CT'!$E$7=TH!H1111,OR(L1111="331",M1111="331")),"331",IF(AND(OR(L1111="131",M1111="131"),H1111='131-CT'!$E$7),"131",""))</f>
        <v/>
      </c>
      <c r="O1111" s="51" t="str">
        <f>IF(AND($B1111&gt;='111'!$N$11,$B1111&lt;='111'!$O$11,OR($L1111=$O$7,$M1111=$O$7)),"x","")</f>
        <v/>
      </c>
      <c r="P1111" s="51" t="str">
        <f>IF(AND($L1111=$O$7,$B1111&lt;'111'!$N$11),"x","")</f>
        <v/>
      </c>
      <c r="Q1111" s="51" t="str">
        <f>IF(AND($M1111=$O$7,$B1111&lt;'111'!$N$11),"x","")</f>
        <v/>
      </c>
      <c r="R1111" s="51" t="str">
        <f>IF(ISERROR(FIND('112'!$M$9,G1111,1)),"",IF((AND(FIND('112'!$M$9,G1111,1)&gt;=1,$B1111&gt;='112'!$N$8,$B1111&lt;='112'!$O$8,OR($L1111='112'!$I$6,$M1111='112'!$I$6))),"x",""))</f>
        <v/>
      </c>
      <c r="S1111" s="51" t="str">
        <f>IF(ISERROR(FIND('112'!$M$9,G1111,1)),"",IF((AND(LEFT(G1111,2)=LEFT('112'!$M$9,2),B1111&lt;'112'!$N$8,$L1111='112'!$I$6)),"x",""))</f>
        <v/>
      </c>
      <c r="T1111" s="51" t="str">
        <f>IF(ISERROR(FIND('112'!$M$9,G1111,1)),"",IF((AND(RIGHT(G1111,2)=RIGHT('112'!$M$9,2),B1111&lt;'112'!$N$8,$M1111='112'!$I$6)),"x",""))</f>
        <v/>
      </c>
      <c r="U1111" s="51" t="str">
        <f>IF(AND(L1111="154",'154'!$O$5&lt;=B1111,'154'!$P$5&gt;=B1111),"154",IF(AND(L1111="632",'632'!$L$5&lt;=B1111,'632'!$M$5&gt;=B1111),"632",IF(AND(L1111="642",'642'!$N$5&lt;=B1111,'642'!$O$5&gt;=B1111),"642",IF(AND(L1111="641",'641'!$N$5&lt;=B1111,'641'!$O$5&gt;=B1111),"641",""))))</f>
        <v/>
      </c>
      <c r="V1111" s="51" t="str">
        <f>IF(OR(TH!L1111=TH!$V$7,M1111=TH!$V$7),"x","")</f>
        <v/>
      </c>
      <c r="W1111" s="51" t="str">
        <f>IF(AND(B1111&gt;='IN-NX'!$P$3,B1111&lt;='IN-NX'!$Q$3,'IN-NX'!$D$7=D1111,OR(LEFT(L1111,2)="15",AND(LEFT(M1111,2)&lt;&gt;"15",LEFT(M1111,2)&lt;&gt;"33"))),"x","")</f>
        <v/>
      </c>
      <c r="X1111" s="51" t="str">
        <f>IF(AND(OR(LEFT(TH!L1111,2)="15",LEFT(TH!M1111,2)="15"),'152-CT'!$J$8=TH!F1111),"x","")</f>
        <v/>
      </c>
      <c r="Y1111" s="51" t="str">
        <f>IF(AND(OR(LEFT(TH!L1111,2)="15",LEFT(TH!M1111,2)="15"),TK!$E$7=TH!F1111),"x","")</f>
        <v/>
      </c>
      <c r="Z1111" s="51" t="str">
        <f>IF(AND(B1111&lt;=NKC!$N$8,B1111&gt;=NKC!$M$8),"x","")</f>
        <v/>
      </c>
      <c r="AA1111" s="803"/>
      <c r="AB1111" s="565"/>
    </row>
    <row r="1112" spans="1:31" ht="15.75" customHeight="1">
      <c r="A1112" s="804" t="str">
        <f>IF(B1112&lt;&gt;"",IF(AND(B1112&gt;=_TM1,B1112&lt;=_TM2,OR(TH!L1112="1111",TH!M1112="1111")),TH!D1112,""),"")</f>
        <v/>
      </c>
      <c r="B1112" s="36">
        <f t="shared" si="72"/>
        <v>11</v>
      </c>
      <c r="C1112" s="189">
        <f t="shared" si="73"/>
        <v>42321</v>
      </c>
      <c r="D1112" s="189" t="s">
        <v>1425</v>
      </c>
      <c r="E1112" s="189">
        <v>42321</v>
      </c>
      <c r="F1112" s="190" t="s">
        <v>496</v>
      </c>
      <c r="G1112" s="813" t="s">
        <v>843</v>
      </c>
      <c r="H1112" s="191" t="s">
        <v>842</v>
      </c>
      <c r="I1112" s="243"/>
      <c r="J1112" s="243"/>
      <c r="K1112" s="573">
        <v>8876376</v>
      </c>
      <c r="L1112" s="574" t="s">
        <v>9</v>
      </c>
      <c r="M1112" s="574" t="s">
        <v>8</v>
      </c>
      <c r="N1112" s="51" t="str">
        <f>IF(AND('331-CT'!$E$7=TH!H1112,OR(L1112="331",M1112="331")),"331",IF(AND(OR(L1112="131",M1112="131"),H1112='131-CT'!$E$7),"131",""))</f>
        <v/>
      </c>
      <c r="O1112" s="51" t="str">
        <f>IF(AND($B1112&gt;='111'!$N$11,$B1112&lt;='111'!$O$11,OR($L1112=$O$7,$M1112=$O$7)),"x","")</f>
        <v/>
      </c>
      <c r="P1112" s="51" t="str">
        <f>IF(AND($L1112=$O$7,$B1112&lt;'111'!$N$11),"x","")</f>
        <v/>
      </c>
      <c r="Q1112" s="51" t="str">
        <f>IF(AND($M1112=$O$7,$B1112&lt;'111'!$N$11),"x","")</f>
        <v/>
      </c>
      <c r="R1112" s="51" t="str">
        <f>IF(ISERROR(FIND('112'!$M$9,G1112,1)),"",IF((AND(FIND('112'!$M$9,G1112,1)&gt;=1,$B1112&gt;='112'!$N$8,$B1112&lt;='112'!$O$8,OR($L1112='112'!$I$6,$M1112='112'!$I$6))),"x",""))</f>
        <v/>
      </c>
      <c r="S1112" s="51" t="str">
        <f>IF(ISERROR(FIND('112'!$M$9,G1112,1)),"",IF((AND(LEFT(G1112,2)=LEFT('112'!$M$9,2),B1112&lt;'112'!$N$8,$L1112='112'!$I$6)),"x",""))</f>
        <v/>
      </c>
      <c r="T1112" s="51" t="str">
        <f>IF(ISERROR(FIND('112'!$M$9,G1112,1)),"",IF((AND(RIGHT(G1112,2)=RIGHT('112'!$M$9,2),B1112&lt;'112'!$N$8,$M1112='112'!$I$6)),"x",""))</f>
        <v/>
      </c>
      <c r="U1112" s="51" t="str">
        <f>IF(AND(L1112="154",'154'!$O$5&lt;=B1112,'154'!$P$5&gt;=B1112),"154",IF(AND(L1112="632",'632'!$L$5&lt;=B1112,'632'!$M$5&gt;=B1112),"632",IF(AND(L1112="642",'642'!$N$5&lt;=B1112,'642'!$O$5&gt;=B1112),"642",IF(AND(L1112="641",'641'!$N$5&lt;=B1112,'641'!$O$5&gt;=B1112),"641",""))))</f>
        <v/>
      </c>
      <c r="V1112" s="51" t="str">
        <f>IF(OR(TH!L1112=TH!$V$7,M1112=TH!$V$7),"x","")</f>
        <v/>
      </c>
      <c r="W1112" s="51" t="str">
        <f>IF(AND(B1112&gt;='IN-NX'!$P$3,B1112&lt;='IN-NX'!$Q$3,'IN-NX'!$D$7=D1112,OR(LEFT(L1112,2)="15",AND(LEFT(M1112,2)&lt;&gt;"15",LEFT(M1112,2)&lt;&gt;"33"))),"x","")</f>
        <v/>
      </c>
      <c r="X1112" s="51" t="str">
        <f>IF(AND(OR(LEFT(TH!L1112,2)="15",LEFT(TH!M1112,2)="15"),'152-CT'!$J$8=TH!F1112),"x","")</f>
        <v/>
      </c>
      <c r="Y1112" s="51" t="str">
        <f>IF(AND(OR(LEFT(TH!L1112,2)="15",LEFT(TH!M1112,2)="15"),TK!$E$7=TH!F1112),"x","")</f>
        <v/>
      </c>
      <c r="Z1112" s="51" t="str">
        <f>IF(AND(B1112&lt;=NKC!$N$8,B1112&gt;=NKC!$M$8),"x","")</f>
        <v/>
      </c>
      <c r="AA1112" s="803">
        <v>4</v>
      </c>
      <c r="AB1112" s="565"/>
    </row>
    <row r="1113" spans="1:31" ht="15.75" customHeight="1">
      <c r="A1113" s="804" t="str">
        <f>IF(B1113&lt;&gt;"",IF(AND(B1113&gt;=_TM1,B1113&lt;=_TM2,OR(TH!L1113="1111",TH!M1113="1111")),TH!D1113,""),"")</f>
        <v/>
      </c>
      <c r="B1113" s="36">
        <f t="shared" si="72"/>
        <v>11</v>
      </c>
      <c r="C1113" s="189">
        <f t="shared" si="73"/>
        <v>42322</v>
      </c>
      <c r="D1113" s="189" t="s">
        <v>1433</v>
      </c>
      <c r="E1113" s="189">
        <v>42322</v>
      </c>
      <c r="F1113" s="190" t="s">
        <v>894</v>
      </c>
      <c r="G1113" s="813" t="s">
        <v>893</v>
      </c>
      <c r="H1113" s="191" t="s">
        <v>892</v>
      </c>
      <c r="I1113" s="243">
        <v>107</v>
      </c>
      <c r="J1113" s="243">
        <v>7709</v>
      </c>
      <c r="K1113" s="573">
        <f>ROUND(I1113*J1113,0)</f>
        <v>824863</v>
      </c>
      <c r="L1113" s="574" t="s">
        <v>417</v>
      </c>
      <c r="M1113" s="574" t="s">
        <v>8</v>
      </c>
      <c r="N1113" s="51" t="str">
        <f>IF(AND('331-CT'!$E$7=TH!H1113,OR(L1113="331",M1113="331")),"331",IF(AND(OR(L1113="131",M1113="131"),H1113='131-CT'!$E$7),"131",""))</f>
        <v/>
      </c>
      <c r="O1113" s="51" t="str">
        <f>IF(AND($B1113&gt;='111'!$N$11,$B1113&lt;='111'!$O$11,OR($L1113=$O$7,$M1113=$O$7)),"x","")</f>
        <v/>
      </c>
      <c r="P1113" s="51" t="str">
        <f>IF(AND($L1113=$O$7,$B1113&lt;'111'!$N$11),"x","")</f>
        <v/>
      </c>
      <c r="Q1113" s="51" t="str">
        <f>IF(AND($M1113=$O$7,$B1113&lt;'111'!$N$11),"x","")</f>
        <v/>
      </c>
      <c r="R1113" s="51" t="str">
        <f>IF(ISERROR(FIND('112'!$M$9,G1113,1)),"",IF((AND(FIND('112'!$M$9,G1113,1)&gt;=1,$B1113&gt;='112'!$N$8,$B1113&lt;='112'!$O$8,OR($L1113='112'!$I$6,$M1113='112'!$I$6))),"x",""))</f>
        <v/>
      </c>
      <c r="S1113" s="51" t="str">
        <f>IF(ISERROR(FIND('112'!$M$9,G1113,1)),"",IF((AND(LEFT(G1113,2)=LEFT('112'!$M$9,2),B1113&lt;'112'!$N$8,$L1113='112'!$I$6)),"x",""))</f>
        <v/>
      </c>
      <c r="T1113" s="51" t="str">
        <f>IF(ISERROR(FIND('112'!$M$9,G1113,1)),"",IF((AND(RIGHT(G1113,2)=RIGHT('112'!$M$9,2),B1113&lt;'112'!$N$8,$M1113='112'!$I$6)),"x",""))</f>
        <v/>
      </c>
      <c r="U1113" s="51" t="str">
        <f>IF(AND(L1113="154",'154'!$O$5&lt;=B1113,'154'!$P$5&gt;=B1113),"154",IF(AND(L1113="632",'632'!$L$5&lt;=B1113,'632'!$M$5&gt;=B1113),"632",IF(AND(L1113="642",'642'!$N$5&lt;=B1113,'642'!$O$5&gt;=B1113),"642",IF(AND(L1113="641",'641'!$N$5&lt;=B1113,'641'!$O$5&gt;=B1113),"641",""))))</f>
        <v/>
      </c>
      <c r="V1113" s="51" t="str">
        <f>IF(OR(TH!L1113=TH!$V$7,M1113=TH!$V$7),"x","")</f>
        <v/>
      </c>
      <c r="W1113" s="51" t="str">
        <f>IF(AND(B1113&gt;='IN-NX'!$P$3,B1113&lt;='IN-NX'!$Q$3,'IN-NX'!$D$7=D1113,OR(LEFT(L1113,2)="15",AND(LEFT(M1113,2)&lt;&gt;"15",LEFT(M1113,2)&lt;&gt;"33"))),"x","")</f>
        <v/>
      </c>
      <c r="X1113" s="51" t="str">
        <f>IF(AND(OR(LEFT(TH!L1113,2)="15",LEFT(TH!M1113,2)="15"),'152-CT'!$J$8=TH!F1113),"x","")</f>
        <v/>
      </c>
      <c r="Y1113" s="51" t="str">
        <f>IF(AND(OR(LEFT(TH!L1113,2)="15",LEFT(TH!M1113,2)="15"),TK!$E$7=TH!F1113),"x","")</f>
        <v/>
      </c>
      <c r="Z1113" s="51" t="str">
        <f>IF(AND(B1113&lt;=NKC!$N$8,B1113&gt;=NKC!$M$8),"x","")</f>
        <v/>
      </c>
      <c r="AA1113" s="803"/>
      <c r="AB1113" s="565"/>
      <c r="AE1113" s="565"/>
    </row>
    <row r="1114" spans="1:31" ht="15.75" customHeight="1">
      <c r="A1114" s="804" t="str">
        <f>IF(B1114&lt;&gt;"",IF(AND(B1114&gt;=_TM1,B1114&lt;=_TM2,OR(TH!L1114="1111",TH!M1114="1111")),TH!D1114,""),"")</f>
        <v/>
      </c>
      <c r="B1114" s="36">
        <f t="shared" si="72"/>
        <v>11</v>
      </c>
      <c r="C1114" s="189">
        <f t="shared" si="73"/>
        <v>42322</v>
      </c>
      <c r="D1114" s="189" t="s">
        <v>1433</v>
      </c>
      <c r="E1114" s="189">
        <v>42322</v>
      </c>
      <c r="F1114" s="190" t="s">
        <v>895</v>
      </c>
      <c r="G1114" s="813" t="s">
        <v>893</v>
      </c>
      <c r="H1114" s="191" t="s">
        <v>892</v>
      </c>
      <c r="I1114" s="243">
        <v>106</v>
      </c>
      <c r="J1114" s="243">
        <v>9571</v>
      </c>
      <c r="K1114" s="573">
        <f>ROUND(I1114*J1114,0)</f>
        <v>1014526</v>
      </c>
      <c r="L1114" s="574" t="s">
        <v>417</v>
      </c>
      <c r="M1114" s="574" t="s">
        <v>8</v>
      </c>
      <c r="N1114" s="51" t="str">
        <f>IF(AND('331-CT'!$E$7=TH!H1114,OR(L1114="331",M1114="331")),"331",IF(AND(OR(L1114="131",M1114="131"),H1114='131-CT'!$E$7),"131",""))</f>
        <v/>
      </c>
      <c r="O1114" s="51" t="str">
        <f>IF(AND($B1114&gt;='111'!$N$11,$B1114&lt;='111'!$O$11,OR($L1114=$O$7,$M1114=$O$7)),"x","")</f>
        <v/>
      </c>
      <c r="P1114" s="51" t="str">
        <f>IF(AND($L1114=$O$7,$B1114&lt;'111'!$N$11),"x","")</f>
        <v/>
      </c>
      <c r="Q1114" s="51" t="str">
        <f>IF(AND($M1114=$O$7,$B1114&lt;'111'!$N$11),"x","")</f>
        <v/>
      </c>
      <c r="R1114" s="51" t="str">
        <f>IF(ISERROR(FIND('112'!$M$9,G1114,1)),"",IF((AND(FIND('112'!$M$9,G1114,1)&gt;=1,$B1114&gt;='112'!$N$8,$B1114&lt;='112'!$O$8,OR($L1114='112'!$I$6,$M1114='112'!$I$6))),"x",""))</f>
        <v/>
      </c>
      <c r="S1114" s="51" t="str">
        <f>IF(ISERROR(FIND('112'!$M$9,G1114,1)),"",IF((AND(LEFT(G1114,2)=LEFT('112'!$M$9,2),B1114&lt;'112'!$N$8,$L1114='112'!$I$6)),"x",""))</f>
        <v/>
      </c>
      <c r="T1114" s="51" t="str">
        <f>IF(ISERROR(FIND('112'!$M$9,G1114,1)),"",IF((AND(RIGHT(G1114,2)=RIGHT('112'!$M$9,2),B1114&lt;'112'!$N$8,$M1114='112'!$I$6)),"x",""))</f>
        <v/>
      </c>
      <c r="U1114" s="51" t="str">
        <f>IF(AND(L1114="154",'154'!$O$5&lt;=B1114,'154'!$P$5&gt;=B1114),"154",IF(AND(L1114="632",'632'!$L$5&lt;=B1114,'632'!$M$5&gt;=B1114),"632",IF(AND(L1114="642",'642'!$N$5&lt;=B1114,'642'!$O$5&gt;=B1114),"642",IF(AND(L1114="641",'641'!$N$5&lt;=B1114,'641'!$O$5&gt;=B1114),"641",""))))</f>
        <v/>
      </c>
      <c r="V1114" s="51" t="str">
        <f>IF(OR(TH!L1114=TH!$V$7,M1114=TH!$V$7),"x","")</f>
        <v/>
      </c>
      <c r="W1114" s="51" t="str">
        <f>IF(AND(B1114&gt;='IN-NX'!$P$3,B1114&lt;='IN-NX'!$Q$3,'IN-NX'!$D$7=D1114,OR(LEFT(L1114,2)="15",AND(LEFT(M1114,2)&lt;&gt;"15",LEFT(M1114,2)&lt;&gt;"33"))),"x","")</f>
        <v/>
      </c>
      <c r="X1114" s="51" t="str">
        <f>IF(AND(OR(LEFT(TH!L1114,2)="15",LEFT(TH!M1114,2)="15"),'152-CT'!$J$8=TH!F1114),"x","")</f>
        <v/>
      </c>
      <c r="Y1114" s="51" t="str">
        <f>IF(AND(OR(LEFT(TH!L1114,2)="15",LEFT(TH!M1114,2)="15"),TK!$E$7=TH!F1114),"x","")</f>
        <v/>
      </c>
      <c r="Z1114" s="51" t="str">
        <f>IF(AND(B1114&lt;=NKC!$N$8,B1114&gt;=NKC!$M$8),"x","")</f>
        <v/>
      </c>
      <c r="AA1114" s="803"/>
      <c r="AB1114" s="565"/>
      <c r="AE1114" s="565"/>
    </row>
    <row r="1115" spans="1:31" ht="15.75" customHeight="1">
      <c r="A1115" s="804" t="str">
        <f>IF(B1115&lt;&gt;"",IF(AND(B1115&gt;=_TM1,B1115&lt;=_TM2,OR(TH!L1115="1111",TH!M1115="1111")),TH!D1115,""),"")</f>
        <v/>
      </c>
      <c r="B1115" s="36">
        <f t="shared" si="72"/>
        <v>11</v>
      </c>
      <c r="C1115" s="189">
        <f t="shared" si="73"/>
        <v>42322</v>
      </c>
      <c r="D1115" s="189" t="s">
        <v>1433</v>
      </c>
      <c r="E1115" s="189">
        <v>42322</v>
      </c>
      <c r="F1115" s="917" t="s">
        <v>896</v>
      </c>
      <c r="G1115" s="813" t="s">
        <v>893</v>
      </c>
      <c r="H1115" s="191" t="s">
        <v>892</v>
      </c>
      <c r="I1115" s="243">
        <v>110</v>
      </c>
      <c r="J1115" s="243">
        <v>7680</v>
      </c>
      <c r="K1115" s="573">
        <f>ROUND(I1115*J1115,0)</f>
        <v>844800</v>
      </c>
      <c r="L1115" s="574" t="s">
        <v>417</v>
      </c>
      <c r="M1115" s="574" t="s">
        <v>8</v>
      </c>
      <c r="N1115" s="51" t="str">
        <f>IF(AND('331-CT'!$E$7=TH!H1115,OR(L1115="331",M1115="331")),"331",IF(AND(OR(L1115="131",M1115="131"),H1115='131-CT'!$E$7),"131",""))</f>
        <v/>
      </c>
      <c r="O1115" s="51" t="str">
        <f>IF(AND($B1115&gt;='111'!$N$11,$B1115&lt;='111'!$O$11,OR($L1115=$O$7,$M1115=$O$7)),"x","")</f>
        <v/>
      </c>
      <c r="P1115" s="51" t="str">
        <f>IF(AND($L1115=$O$7,$B1115&lt;'111'!$N$11),"x","")</f>
        <v/>
      </c>
      <c r="Q1115" s="51" t="str">
        <f>IF(AND($M1115=$O$7,$B1115&lt;'111'!$N$11),"x","")</f>
        <v/>
      </c>
      <c r="R1115" s="51" t="str">
        <f>IF(ISERROR(FIND('112'!$M$9,G1115,1)),"",IF((AND(FIND('112'!$M$9,G1115,1)&gt;=1,$B1115&gt;='112'!$N$8,$B1115&lt;='112'!$O$8,OR($L1115='112'!$I$6,$M1115='112'!$I$6))),"x",""))</f>
        <v/>
      </c>
      <c r="S1115" s="51" t="str">
        <f>IF(ISERROR(FIND('112'!$M$9,G1115,1)),"",IF((AND(LEFT(G1115,2)=LEFT('112'!$M$9,2),B1115&lt;'112'!$N$8,$L1115='112'!$I$6)),"x",""))</f>
        <v/>
      </c>
      <c r="T1115" s="51" t="str">
        <f>IF(ISERROR(FIND('112'!$M$9,G1115,1)),"",IF((AND(RIGHT(G1115,2)=RIGHT('112'!$M$9,2),B1115&lt;'112'!$N$8,$M1115='112'!$I$6)),"x",""))</f>
        <v/>
      </c>
      <c r="U1115" s="51" t="str">
        <f>IF(AND(L1115="154",'154'!$O$5&lt;=B1115,'154'!$P$5&gt;=B1115),"154",IF(AND(L1115="632",'632'!$L$5&lt;=B1115,'632'!$M$5&gt;=B1115),"632",IF(AND(L1115="642",'642'!$N$5&lt;=B1115,'642'!$O$5&gt;=B1115),"642",IF(AND(L1115="641",'641'!$N$5&lt;=B1115,'641'!$O$5&gt;=B1115),"641",""))))</f>
        <v/>
      </c>
      <c r="V1115" s="51" t="str">
        <f>IF(OR(TH!L1115=TH!$V$7,M1115=TH!$V$7),"x","")</f>
        <v/>
      </c>
      <c r="W1115" s="51" t="str">
        <f>IF(AND(B1115&gt;='IN-NX'!$P$3,B1115&lt;='IN-NX'!$Q$3,'IN-NX'!$D$7=D1115,OR(LEFT(L1115,2)="15",AND(LEFT(M1115,2)&lt;&gt;"15",LEFT(M1115,2)&lt;&gt;"33"))),"x","")</f>
        <v/>
      </c>
      <c r="X1115" s="51" t="str">
        <f>IF(AND(OR(LEFT(TH!L1115,2)="15",LEFT(TH!M1115,2)="15"),'152-CT'!$J$8=TH!F1115),"x","")</f>
        <v/>
      </c>
      <c r="Y1115" s="51" t="str">
        <f>IF(AND(OR(LEFT(TH!L1115,2)="15",LEFT(TH!M1115,2)="15"),TK!$E$7=TH!F1115),"x","")</f>
        <v/>
      </c>
      <c r="Z1115" s="51" t="str">
        <f>IF(AND(B1115&lt;=NKC!$N$8,B1115&gt;=NKC!$M$8),"x","")</f>
        <v/>
      </c>
      <c r="AA1115" s="803"/>
      <c r="AB1115" s="565"/>
      <c r="AE1115" s="565"/>
    </row>
    <row r="1116" spans="1:31" ht="15.75" customHeight="1">
      <c r="A1116" s="804" t="str">
        <f>IF(B1116&lt;&gt;"",IF(AND(B1116&gt;=_TM1,B1116&lt;=_TM2,OR(TH!L1116="1111",TH!M1116="1111")),TH!D1116,""),"")</f>
        <v/>
      </c>
      <c r="B1116" s="36">
        <f t="shared" si="72"/>
        <v>11</v>
      </c>
      <c r="C1116" s="189">
        <f t="shared" si="73"/>
        <v>42322</v>
      </c>
      <c r="D1116" s="189" t="s">
        <v>1433</v>
      </c>
      <c r="E1116" s="189">
        <v>42322</v>
      </c>
      <c r="F1116" s="190" t="s">
        <v>624</v>
      </c>
      <c r="G1116" s="813" t="s">
        <v>893</v>
      </c>
      <c r="H1116" s="191" t="s">
        <v>892</v>
      </c>
      <c r="I1116" s="243">
        <v>850</v>
      </c>
      <c r="J1116" s="243">
        <v>30432</v>
      </c>
      <c r="K1116" s="573">
        <f>ROUND(I1116*J1116,0)</f>
        <v>25867200</v>
      </c>
      <c r="L1116" s="574" t="s">
        <v>417</v>
      </c>
      <c r="M1116" s="574" t="s">
        <v>8</v>
      </c>
      <c r="N1116" s="51" t="str">
        <f>IF(AND('331-CT'!$E$7=TH!H1116,OR(L1116="331",M1116="331")),"331",IF(AND(OR(L1116="131",M1116="131"),H1116='131-CT'!$E$7),"131",""))</f>
        <v/>
      </c>
      <c r="O1116" s="51" t="str">
        <f>IF(AND($B1116&gt;='111'!$N$11,$B1116&lt;='111'!$O$11,OR($L1116=$O$7,$M1116=$O$7)),"x","")</f>
        <v/>
      </c>
      <c r="P1116" s="51" t="str">
        <f>IF(AND($L1116=$O$7,$B1116&lt;'111'!$N$11),"x","")</f>
        <v/>
      </c>
      <c r="Q1116" s="51" t="str">
        <f>IF(AND($M1116=$O$7,$B1116&lt;'111'!$N$11),"x","")</f>
        <v/>
      </c>
      <c r="R1116" s="51" t="str">
        <f>IF(ISERROR(FIND('112'!$M$9,G1116,1)),"",IF((AND(FIND('112'!$M$9,G1116,1)&gt;=1,$B1116&gt;='112'!$N$8,$B1116&lt;='112'!$O$8,OR($L1116='112'!$I$6,$M1116='112'!$I$6))),"x",""))</f>
        <v/>
      </c>
      <c r="S1116" s="51" t="str">
        <f>IF(ISERROR(FIND('112'!$M$9,G1116,1)),"",IF((AND(LEFT(G1116,2)=LEFT('112'!$M$9,2),B1116&lt;'112'!$N$8,$L1116='112'!$I$6)),"x",""))</f>
        <v/>
      </c>
      <c r="T1116" s="51" t="str">
        <f>IF(ISERROR(FIND('112'!$M$9,G1116,1)),"",IF((AND(RIGHT(G1116,2)=RIGHT('112'!$M$9,2),B1116&lt;'112'!$N$8,$M1116='112'!$I$6)),"x",""))</f>
        <v/>
      </c>
      <c r="U1116" s="51" t="str">
        <f>IF(AND(L1116="154",'154'!$O$5&lt;=B1116,'154'!$P$5&gt;=B1116),"154",IF(AND(L1116="632",'632'!$L$5&lt;=B1116,'632'!$M$5&gt;=B1116),"632",IF(AND(L1116="642",'642'!$N$5&lt;=B1116,'642'!$O$5&gt;=B1116),"642",IF(AND(L1116="641",'641'!$N$5&lt;=B1116,'641'!$O$5&gt;=B1116),"641",""))))</f>
        <v/>
      </c>
      <c r="V1116" s="51" t="str">
        <f>IF(OR(TH!L1116=TH!$V$7,M1116=TH!$V$7),"x","")</f>
        <v/>
      </c>
      <c r="W1116" s="51" t="str">
        <f>IF(AND(B1116&gt;='IN-NX'!$P$3,B1116&lt;='IN-NX'!$Q$3,'IN-NX'!$D$7=D1116,OR(LEFT(L1116,2)="15",AND(LEFT(M1116,2)&lt;&gt;"15",LEFT(M1116,2)&lt;&gt;"33"))),"x","")</f>
        <v/>
      </c>
      <c r="X1116" s="51" t="str">
        <f>IF(AND(OR(LEFT(TH!L1116,2)="15",LEFT(TH!M1116,2)="15"),'152-CT'!$J$8=TH!F1116),"x","")</f>
        <v/>
      </c>
      <c r="Y1116" s="51" t="str">
        <f>IF(AND(OR(LEFT(TH!L1116,2)="15",LEFT(TH!M1116,2)="15"),TK!$E$7=TH!F1116),"x","")</f>
        <v/>
      </c>
      <c r="Z1116" s="51" t="str">
        <f>IF(AND(B1116&lt;=NKC!$N$8,B1116&gt;=NKC!$M$8),"x","")</f>
        <v/>
      </c>
      <c r="AA1116" s="803"/>
      <c r="AB1116" s="565"/>
      <c r="AE1116" s="565"/>
    </row>
    <row r="1117" spans="1:31" ht="15.75" customHeight="1">
      <c r="A1117" s="804" t="str">
        <f>IF(B1117&lt;&gt;"",IF(AND(B1117&gt;=_TM1,B1117&lt;=_TM2,OR(TH!L1117="1111",TH!M1117="1111")),TH!D1117,""),"")</f>
        <v/>
      </c>
      <c r="B1117" s="36">
        <f t="shared" ref="B1117:B1180" si="76">IF(C1117&lt;&gt;"",MONTH(C1117),"")</f>
        <v>11</v>
      </c>
      <c r="C1117" s="189">
        <f t="shared" ref="C1117:C1180" si="77">E1117</f>
        <v>42322</v>
      </c>
      <c r="D1117" s="189" t="s">
        <v>1433</v>
      </c>
      <c r="E1117" s="189">
        <v>42322</v>
      </c>
      <c r="F1117" s="190" t="s">
        <v>620</v>
      </c>
      <c r="G1117" s="813" t="s">
        <v>893</v>
      </c>
      <c r="H1117" s="191" t="s">
        <v>892</v>
      </c>
      <c r="I1117" s="243">
        <v>2500</v>
      </c>
      <c r="J1117" s="243">
        <v>14400</v>
      </c>
      <c r="K1117" s="573">
        <f>ROUND(I1117*J1117,0)</f>
        <v>36000000</v>
      </c>
      <c r="L1117" s="574" t="s">
        <v>417</v>
      </c>
      <c r="M1117" s="574" t="s">
        <v>8</v>
      </c>
      <c r="N1117" s="51" t="str">
        <f>IF(AND('331-CT'!$E$7=TH!H1117,OR(L1117="331",M1117="331")),"331",IF(AND(OR(L1117="131",M1117="131"),H1117='131-CT'!$E$7),"131",""))</f>
        <v/>
      </c>
      <c r="O1117" s="51" t="str">
        <f>IF(AND($B1117&gt;='111'!$N$11,$B1117&lt;='111'!$O$11,OR($L1117=$O$7,$M1117=$O$7)),"x","")</f>
        <v/>
      </c>
      <c r="P1117" s="51" t="str">
        <f>IF(AND($L1117=$O$7,$B1117&lt;'111'!$N$11),"x","")</f>
        <v/>
      </c>
      <c r="Q1117" s="51" t="str">
        <f>IF(AND($M1117=$O$7,$B1117&lt;'111'!$N$11),"x","")</f>
        <v/>
      </c>
      <c r="R1117" s="51" t="str">
        <f>IF(ISERROR(FIND('112'!$M$9,G1117,1)),"",IF((AND(FIND('112'!$M$9,G1117,1)&gt;=1,$B1117&gt;='112'!$N$8,$B1117&lt;='112'!$O$8,OR($L1117='112'!$I$6,$M1117='112'!$I$6))),"x",""))</f>
        <v/>
      </c>
      <c r="S1117" s="51" t="str">
        <f>IF(ISERROR(FIND('112'!$M$9,G1117,1)),"",IF((AND(LEFT(G1117,2)=LEFT('112'!$M$9,2),B1117&lt;'112'!$N$8,$L1117='112'!$I$6)),"x",""))</f>
        <v/>
      </c>
      <c r="T1117" s="51" t="str">
        <f>IF(ISERROR(FIND('112'!$M$9,G1117,1)),"",IF((AND(RIGHT(G1117,2)=RIGHT('112'!$M$9,2),B1117&lt;'112'!$N$8,$M1117='112'!$I$6)),"x",""))</f>
        <v/>
      </c>
      <c r="U1117" s="51" t="str">
        <f>IF(AND(L1117="154",'154'!$O$5&lt;=B1117,'154'!$P$5&gt;=B1117),"154",IF(AND(L1117="632",'632'!$L$5&lt;=B1117,'632'!$M$5&gt;=B1117),"632",IF(AND(L1117="642",'642'!$N$5&lt;=B1117,'642'!$O$5&gt;=B1117),"642",IF(AND(L1117="641",'641'!$N$5&lt;=B1117,'641'!$O$5&gt;=B1117),"641",""))))</f>
        <v/>
      </c>
      <c r="V1117" s="51" t="str">
        <f>IF(OR(TH!L1117=TH!$V$7,M1117=TH!$V$7),"x","")</f>
        <v/>
      </c>
      <c r="W1117" s="51" t="str">
        <f>IF(AND(B1117&gt;='IN-NX'!$P$3,B1117&lt;='IN-NX'!$Q$3,'IN-NX'!$D$7=D1117,OR(LEFT(L1117,2)="15",AND(LEFT(M1117,2)&lt;&gt;"15",LEFT(M1117,2)&lt;&gt;"33"))),"x","")</f>
        <v/>
      </c>
      <c r="X1117" s="51" t="str">
        <f>IF(AND(OR(LEFT(TH!L1117,2)="15",LEFT(TH!M1117,2)="15"),'152-CT'!$J$8=TH!F1117),"x","")</f>
        <v/>
      </c>
      <c r="Y1117" s="51" t="str">
        <f>IF(AND(OR(LEFT(TH!L1117,2)="15",LEFT(TH!M1117,2)="15"),TK!$E$7=TH!F1117),"x","")</f>
        <v/>
      </c>
      <c r="Z1117" s="51" t="str">
        <f>IF(AND(B1117&lt;=NKC!$N$8,B1117&gt;=NKC!$M$8),"x","")</f>
        <v/>
      </c>
      <c r="AA1117" s="803"/>
      <c r="AB1117" s="565"/>
      <c r="AE1117" s="565"/>
    </row>
    <row r="1118" spans="1:31" ht="15.75" customHeight="1">
      <c r="A1118" s="804" t="str">
        <f>IF(B1118&lt;&gt;"",IF(AND(B1118&gt;=_TM1,B1118&lt;=_TM2,OR(TH!L1118="1111",TH!M1118="1111")),TH!D1118,""),"")</f>
        <v/>
      </c>
      <c r="B1118" s="36">
        <f t="shared" si="76"/>
        <v>11</v>
      </c>
      <c r="C1118" s="189">
        <f t="shared" si="77"/>
        <v>42322</v>
      </c>
      <c r="D1118" s="189" t="s">
        <v>1433</v>
      </c>
      <c r="E1118" s="189">
        <v>42322</v>
      </c>
      <c r="F1118" s="917" t="s">
        <v>496</v>
      </c>
      <c r="G1118" s="813" t="s">
        <v>893</v>
      </c>
      <c r="H1118" s="191" t="s">
        <v>892</v>
      </c>
      <c r="I1118" s="243"/>
      <c r="J1118" s="243"/>
      <c r="K1118" s="573">
        <v>6455139</v>
      </c>
      <c r="L1118" s="574" t="s">
        <v>9</v>
      </c>
      <c r="M1118" s="574" t="s">
        <v>8</v>
      </c>
      <c r="N1118" s="51" t="str">
        <f>IF(AND('331-CT'!$E$7=TH!H1118,OR(L1118="331",M1118="331")),"331",IF(AND(OR(L1118="131",M1118="131"),H1118='131-CT'!$E$7),"131",""))</f>
        <v/>
      </c>
      <c r="O1118" s="51" t="str">
        <f>IF(AND($B1118&gt;='111'!$N$11,$B1118&lt;='111'!$O$11,OR($L1118=$O$7,$M1118=$O$7)),"x","")</f>
        <v/>
      </c>
      <c r="P1118" s="51" t="str">
        <f>IF(AND($L1118=$O$7,$B1118&lt;'111'!$N$11),"x","")</f>
        <v/>
      </c>
      <c r="Q1118" s="51" t="str">
        <f>IF(AND($M1118=$O$7,$B1118&lt;'111'!$N$11),"x","")</f>
        <v/>
      </c>
      <c r="R1118" s="51" t="str">
        <f>IF(ISERROR(FIND('112'!$M$9,G1118,1)),"",IF((AND(FIND('112'!$M$9,G1118,1)&gt;=1,$B1118&gt;='112'!$N$8,$B1118&lt;='112'!$O$8,OR($L1118='112'!$I$6,$M1118='112'!$I$6))),"x",""))</f>
        <v/>
      </c>
      <c r="S1118" s="51" t="str">
        <f>IF(ISERROR(FIND('112'!$M$9,G1118,1)),"",IF((AND(LEFT(G1118,2)=LEFT('112'!$M$9,2),B1118&lt;'112'!$N$8,$L1118='112'!$I$6)),"x",""))</f>
        <v/>
      </c>
      <c r="T1118" s="51" t="str">
        <f>IF(ISERROR(FIND('112'!$M$9,G1118,1)),"",IF((AND(RIGHT(G1118,2)=RIGHT('112'!$M$9,2),B1118&lt;'112'!$N$8,$M1118='112'!$I$6)),"x",""))</f>
        <v/>
      </c>
      <c r="U1118" s="51" t="str">
        <f>IF(AND(L1118="154",'154'!$O$5&lt;=B1118,'154'!$P$5&gt;=B1118),"154",IF(AND(L1118="632",'632'!$L$5&lt;=B1118,'632'!$M$5&gt;=B1118),"632",IF(AND(L1118="642",'642'!$N$5&lt;=B1118,'642'!$O$5&gt;=B1118),"642",IF(AND(L1118="641",'641'!$N$5&lt;=B1118,'641'!$O$5&gt;=B1118),"641",""))))</f>
        <v/>
      </c>
      <c r="V1118" s="51" t="str">
        <f>IF(OR(TH!L1118=TH!$V$7,M1118=TH!$V$7),"x","")</f>
        <v/>
      </c>
      <c r="W1118" s="51" t="str">
        <f>IF(AND(B1118&gt;='IN-NX'!$P$3,B1118&lt;='IN-NX'!$Q$3,'IN-NX'!$D$7=D1118,OR(LEFT(L1118,2)="15",AND(LEFT(M1118,2)&lt;&gt;"15",LEFT(M1118,2)&lt;&gt;"33"))),"x","")</f>
        <v/>
      </c>
      <c r="X1118" s="51" t="str">
        <f>IF(AND(OR(LEFT(TH!L1118,2)="15",LEFT(TH!M1118,2)="15"),'152-CT'!$J$8=TH!F1118),"x","")</f>
        <v/>
      </c>
      <c r="Y1118" s="51" t="str">
        <f>IF(AND(OR(LEFT(TH!L1118,2)="15",LEFT(TH!M1118,2)="15"),TK!$E$7=TH!F1118),"x","")</f>
        <v/>
      </c>
      <c r="Z1118" s="51" t="str">
        <f>IF(AND(B1118&lt;=NKC!$N$8,B1118&gt;=NKC!$M$8),"x","")</f>
        <v/>
      </c>
      <c r="AA1118" s="803">
        <v>4</v>
      </c>
      <c r="AB1118" s="565"/>
      <c r="AC1118" s="565"/>
      <c r="AD1118" s="565"/>
      <c r="AE1118" s="565"/>
    </row>
    <row r="1119" spans="1:31" ht="15.75" customHeight="1">
      <c r="A1119" s="804" t="str">
        <f>IF(B1119&lt;&gt;"",IF(AND(B1119&gt;=_TM1,B1119&lt;=_TM2,OR(TH!L1119="1111",TH!M1119="1111")),TH!D1119,""),"")</f>
        <v/>
      </c>
      <c r="B1119" s="36">
        <f t="shared" si="76"/>
        <v>11</v>
      </c>
      <c r="C1119" s="189">
        <f t="shared" si="77"/>
        <v>42324</v>
      </c>
      <c r="D1119" s="189" t="s">
        <v>1388</v>
      </c>
      <c r="E1119" s="189">
        <v>42324</v>
      </c>
      <c r="F1119" s="926" t="s">
        <v>558</v>
      </c>
      <c r="G1119" s="813" t="s">
        <v>838</v>
      </c>
      <c r="H1119" s="7" t="s">
        <v>559</v>
      </c>
      <c r="I1119" s="243"/>
      <c r="J1119" s="243"/>
      <c r="K1119" s="573">
        <v>327273</v>
      </c>
      <c r="L1119" s="574" t="s">
        <v>83</v>
      </c>
      <c r="M1119" s="574" t="s">
        <v>47</v>
      </c>
      <c r="N1119" s="51" t="str">
        <f>IF(AND('331-CT'!$E$7=TH!H1119,OR(L1119="331",M1119="331")),"331",IF(AND(OR(L1119="131",M1119="131"),H1119='131-CT'!$E$7),"131",""))</f>
        <v/>
      </c>
      <c r="O1119" s="51" t="str">
        <f>IF(AND($B1119&gt;='111'!$N$11,$B1119&lt;='111'!$O$11,OR($L1119=$O$7,$M1119=$O$7)),"x","")</f>
        <v>x</v>
      </c>
      <c r="P1119" s="51" t="str">
        <f>IF(AND($L1119=$O$7,$B1119&lt;'111'!$N$11),"x","")</f>
        <v/>
      </c>
      <c r="Q1119" s="51" t="str">
        <f>IF(AND($M1119=$O$7,$B1119&lt;'111'!$N$11),"x","")</f>
        <v/>
      </c>
      <c r="R1119" s="51" t="str">
        <f>IF(ISERROR(FIND('112'!$M$9,G1119,1)),"",IF((AND(FIND('112'!$M$9,G1119,1)&gt;=1,$B1119&gt;='112'!$N$8,$B1119&lt;='112'!$O$8,OR($L1119='112'!$I$6,$M1119='112'!$I$6))),"x",""))</f>
        <v/>
      </c>
      <c r="S1119" s="51" t="str">
        <f>IF(ISERROR(FIND('112'!$M$9,G1119,1)),"",IF((AND(LEFT(G1119,2)=LEFT('112'!$M$9,2),B1119&lt;'112'!$N$8,$L1119='112'!$I$6)),"x",""))</f>
        <v/>
      </c>
      <c r="T1119" s="51" t="str">
        <f>IF(ISERROR(FIND('112'!$M$9,G1119,1)),"",IF((AND(RIGHT(G1119,2)=RIGHT('112'!$M$9,2),B1119&lt;'112'!$N$8,$M1119='112'!$I$6)),"x",""))</f>
        <v/>
      </c>
      <c r="U1119" s="51" t="str">
        <f>IF(AND(L1119="154",'154'!$O$5&lt;=B1119,'154'!$P$5&gt;=B1119),"154",IF(AND(L1119="632",'632'!$L$5&lt;=B1119,'632'!$M$5&gt;=B1119),"632",IF(AND(L1119="642",'642'!$N$5&lt;=B1119,'642'!$O$5&gt;=B1119),"642",IF(AND(L1119="641",'641'!$N$5&lt;=B1119,'641'!$O$5&gt;=B1119),"641",""))))</f>
        <v/>
      </c>
      <c r="V1119" s="51" t="str">
        <f>IF(OR(TH!L1119=TH!$V$7,M1119=TH!$V$7),"x","")</f>
        <v>x</v>
      </c>
      <c r="W1119" s="51" t="str">
        <f>IF(AND(B1119&gt;='IN-NX'!$P$3,B1119&lt;='IN-NX'!$Q$3,'IN-NX'!$D$7=D1119,OR(LEFT(L1119,2)="15",AND(LEFT(M1119,2)&lt;&gt;"15",LEFT(M1119,2)&lt;&gt;"33"))),"x","")</f>
        <v/>
      </c>
      <c r="X1119" s="51" t="str">
        <f>IF(AND(OR(LEFT(TH!L1119,2)="15",LEFT(TH!M1119,2)="15"),'152-CT'!$J$8=TH!F1119),"x","")</f>
        <v/>
      </c>
      <c r="Y1119" s="51" t="str">
        <f>IF(AND(OR(LEFT(TH!L1119,2)="15",LEFT(TH!M1119,2)="15"),TK!$E$7=TH!F1119),"x","")</f>
        <v/>
      </c>
      <c r="Z1119" s="51" t="str">
        <f>IF(AND(B1119&lt;=NKC!$N$8,B1119&gt;=NKC!$M$8),"x","")</f>
        <v/>
      </c>
      <c r="AA1119" s="803"/>
      <c r="AB1119" s="565"/>
      <c r="AE1119" s="565"/>
    </row>
    <row r="1120" spans="1:31" ht="15.75" customHeight="1">
      <c r="A1120" s="804" t="str">
        <f>IF(B1120&lt;&gt;"",IF(AND(B1120&gt;=_TM1,B1120&lt;=_TM2,OR(TH!L1120="1111",TH!M1120="1111")),TH!D1120,""),"")</f>
        <v/>
      </c>
      <c r="B1120" s="36">
        <f t="shared" si="76"/>
        <v>11</v>
      </c>
      <c r="C1120" s="189">
        <f t="shared" si="77"/>
        <v>42324</v>
      </c>
      <c r="D1120" s="189" t="s">
        <v>1388</v>
      </c>
      <c r="E1120" s="189">
        <v>42324</v>
      </c>
      <c r="F1120" s="926" t="s">
        <v>560</v>
      </c>
      <c r="G1120" s="813" t="s">
        <v>838</v>
      </c>
      <c r="H1120" s="7" t="s">
        <v>559</v>
      </c>
      <c r="I1120" s="243"/>
      <c r="J1120" s="243"/>
      <c r="K1120" s="573">
        <v>32727</v>
      </c>
      <c r="L1120" s="574" t="s">
        <v>9</v>
      </c>
      <c r="M1120" s="574" t="s">
        <v>47</v>
      </c>
      <c r="N1120" s="51" t="str">
        <f>IF(AND('331-CT'!$E$7=TH!H1120,OR(L1120="331",M1120="331")),"331",IF(AND(OR(L1120="131",M1120="131"),H1120='131-CT'!$E$7),"131",""))</f>
        <v/>
      </c>
      <c r="O1120" s="51" t="str">
        <f>IF(AND($B1120&gt;='111'!$N$11,$B1120&lt;='111'!$O$11,OR($L1120=$O$7,$M1120=$O$7)),"x","")</f>
        <v>x</v>
      </c>
      <c r="P1120" s="51" t="str">
        <f>IF(AND($L1120=$O$7,$B1120&lt;'111'!$N$11),"x","")</f>
        <v/>
      </c>
      <c r="Q1120" s="51" t="str">
        <f>IF(AND($M1120=$O$7,$B1120&lt;'111'!$N$11),"x","")</f>
        <v/>
      </c>
      <c r="R1120" s="51" t="str">
        <f>IF(ISERROR(FIND('112'!$M$9,G1120,1)),"",IF((AND(FIND('112'!$M$9,G1120,1)&gt;=1,$B1120&gt;='112'!$N$8,$B1120&lt;='112'!$O$8,OR($L1120='112'!$I$6,$M1120='112'!$I$6))),"x",""))</f>
        <v/>
      </c>
      <c r="S1120" s="51" t="str">
        <f>IF(ISERROR(FIND('112'!$M$9,G1120,1)),"",IF((AND(LEFT(G1120,2)=LEFT('112'!$M$9,2),B1120&lt;'112'!$N$8,$L1120='112'!$I$6)),"x",""))</f>
        <v/>
      </c>
      <c r="T1120" s="51" t="str">
        <f>IF(ISERROR(FIND('112'!$M$9,G1120,1)),"",IF((AND(RIGHT(G1120,2)=RIGHT('112'!$M$9,2),B1120&lt;'112'!$N$8,$M1120='112'!$I$6)),"x",""))</f>
        <v/>
      </c>
      <c r="U1120" s="51" t="str">
        <f>IF(AND(L1120="154",'154'!$O$5&lt;=B1120,'154'!$P$5&gt;=B1120),"154",IF(AND(L1120="632",'632'!$L$5&lt;=B1120,'632'!$M$5&gt;=B1120),"632",IF(AND(L1120="642",'642'!$N$5&lt;=B1120,'642'!$O$5&gt;=B1120),"642",IF(AND(L1120="641",'641'!$N$5&lt;=B1120,'641'!$O$5&gt;=B1120),"641",""))))</f>
        <v/>
      </c>
      <c r="V1120" s="51" t="str">
        <f>IF(OR(TH!L1120=TH!$V$7,M1120=TH!$V$7),"x","")</f>
        <v/>
      </c>
      <c r="W1120" s="51" t="str">
        <f>IF(AND(B1120&gt;='IN-NX'!$P$3,B1120&lt;='IN-NX'!$Q$3,'IN-NX'!$D$7=D1120,OR(LEFT(L1120,2)="15",AND(LEFT(M1120,2)&lt;&gt;"15",LEFT(M1120,2)&lt;&gt;"33"))),"x","")</f>
        <v/>
      </c>
      <c r="X1120" s="51" t="str">
        <f>IF(AND(OR(LEFT(TH!L1120,2)="15",LEFT(TH!M1120,2)="15"),'152-CT'!$J$8=TH!F1120),"x","")</f>
        <v/>
      </c>
      <c r="Y1120" s="51" t="str">
        <f>IF(AND(OR(LEFT(TH!L1120,2)="15",LEFT(TH!M1120,2)="15"),TK!$E$7=TH!F1120),"x","")</f>
        <v/>
      </c>
      <c r="Z1120" s="51" t="str">
        <f>IF(AND(B1120&lt;=NKC!$N$8,B1120&gt;=NKC!$M$8),"x","")</f>
        <v/>
      </c>
      <c r="AA1120" s="803">
        <v>4</v>
      </c>
      <c r="AB1120" s="565"/>
      <c r="AE1120" s="565"/>
    </row>
    <row r="1121" spans="1:31" ht="15.75" customHeight="1">
      <c r="A1121" s="804" t="str">
        <f>IF(B1121&lt;&gt;"",IF(AND(B1121&gt;=_TM1,B1121&lt;=_TM2,OR(TH!L1121="1111",TH!M1121="1111")),TH!D1121,""),"")</f>
        <v/>
      </c>
      <c r="B1121" s="36">
        <f t="shared" si="76"/>
        <v>11</v>
      </c>
      <c r="C1121" s="189">
        <f t="shared" si="77"/>
        <v>42324</v>
      </c>
      <c r="D1121" s="189" t="s">
        <v>1435</v>
      </c>
      <c r="E1121" s="189">
        <v>42324</v>
      </c>
      <c r="F1121" s="926" t="s">
        <v>1238</v>
      </c>
      <c r="G1121" s="813" t="s">
        <v>863</v>
      </c>
      <c r="H1121" s="191" t="s">
        <v>448</v>
      </c>
      <c r="I1121" s="243">
        <v>1996</v>
      </c>
      <c r="J1121" s="243">
        <v>8771</v>
      </c>
      <c r="K1121" s="573">
        <f>ROUND(I1121*J1121,0)</f>
        <v>17506916</v>
      </c>
      <c r="L1121" s="574" t="s">
        <v>417</v>
      </c>
      <c r="M1121" s="574" t="s">
        <v>8</v>
      </c>
      <c r="N1121" s="51" t="str">
        <f>IF(AND('331-CT'!$E$7=TH!H1121,OR(L1121="331",M1121="331")),"331",IF(AND(OR(L1121="131",M1121="131"),H1121='131-CT'!$E$7),"131",""))</f>
        <v/>
      </c>
      <c r="O1121" s="51" t="str">
        <f>IF(AND($B1121&gt;='111'!$N$11,$B1121&lt;='111'!$O$11,OR($L1121=$O$7,$M1121=$O$7)),"x","")</f>
        <v/>
      </c>
      <c r="P1121" s="51" t="str">
        <f>IF(AND($L1121=$O$7,$B1121&lt;'111'!$N$11),"x","")</f>
        <v/>
      </c>
      <c r="Q1121" s="51" t="str">
        <f>IF(AND($M1121=$O$7,$B1121&lt;'111'!$N$11),"x","")</f>
        <v/>
      </c>
      <c r="R1121" s="51" t="str">
        <f>IF(ISERROR(FIND('112'!$M$9,G1121,1)),"",IF((AND(FIND('112'!$M$9,G1121,1)&gt;=1,$B1121&gt;='112'!$N$8,$B1121&lt;='112'!$O$8,OR($L1121='112'!$I$6,$M1121='112'!$I$6))),"x",""))</f>
        <v/>
      </c>
      <c r="S1121" s="51" t="str">
        <f>IF(ISERROR(FIND('112'!$M$9,G1121,1)),"",IF((AND(LEFT(G1121,2)=LEFT('112'!$M$9,2),B1121&lt;'112'!$N$8,$L1121='112'!$I$6)),"x",""))</f>
        <v/>
      </c>
      <c r="T1121" s="51" t="str">
        <f>IF(ISERROR(FIND('112'!$M$9,G1121,1)),"",IF((AND(RIGHT(G1121,2)=RIGHT('112'!$M$9,2),B1121&lt;'112'!$N$8,$M1121='112'!$I$6)),"x",""))</f>
        <v/>
      </c>
      <c r="U1121" s="51" t="str">
        <f>IF(AND(L1121="154",'154'!$O$5&lt;=B1121,'154'!$P$5&gt;=B1121),"154",IF(AND(L1121="632",'632'!$L$5&lt;=B1121,'632'!$M$5&gt;=B1121),"632",IF(AND(L1121="642",'642'!$N$5&lt;=B1121,'642'!$O$5&gt;=B1121),"642",IF(AND(L1121="641",'641'!$N$5&lt;=B1121,'641'!$O$5&gt;=B1121),"641",""))))</f>
        <v/>
      </c>
      <c r="V1121" s="51" t="str">
        <f>IF(OR(TH!L1121=TH!$V$7,M1121=TH!$V$7),"x","")</f>
        <v/>
      </c>
      <c r="W1121" s="51" t="str">
        <f>IF(AND(B1121&gt;='IN-NX'!$P$3,B1121&lt;='IN-NX'!$Q$3,'IN-NX'!$D$7=D1121,OR(LEFT(L1121,2)="15",AND(LEFT(M1121,2)&lt;&gt;"15",LEFT(M1121,2)&lt;&gt;"33"))),"x","")</f>
        <v/>
      </c>
      <c r="X1121" s="51" t="str">
        <f>IF(AND(OR(LEFT(TH!L1121,2)="15",LEFT(TH!M1121,2)="15"),'152-CT'!$J$8=TH!F1121),"x","")</f>
        <v>x</v>
      </c>
      <c r="Y1121" s="51" t="str">
        <f>IF(AND(OR(LEFT(TH!L1121,2)="15",LEFT(TH!M1121,2)="15"),TK!$E$7=TH!F1121),"x","")</f>
        <v/>
      </c>
      <c r="Z1121" s="51" t="str">
        <f>IF(AND(B1121&lt;=NKC!$N$8,B1121&gt;=NKC!$M$8),"x","")</f>
        <v/>
      </c>
      <c r="AA1121" s="803"/>
      <c r="AB1121" s="565"/>
      <c r="AE1121" s="565"/>
    </row>
    <row r="1122" spans="1:31" ht="15.75" customHeight="1">
      <c r="A1122" s="804" t="str">
        <f>IF(B1122&lt;&gt;"",IF(AND(B1122&gt;=_TM1,B1122&lt;=_TM2,OR(TH!L1122="1111",TH!M1122="1111")),TH!D1122,""),"")</f>
        <v/>
      </c>
      <c r="B1122" s="36">
        <f t="shared" si="76"/>
        <v>11</v>
      </c>
      <c r="C1122" s="189">
        <f t="shared" si="77"/>
        <v>42324</v>
      </c>
      <c r="D1122" s="189" t="s">
        <v>1435</v>
      </c>
      <c r="E1122" s="189">
        <v>42324</v>
      </c>
      <c r="F1122" s="922" t="s">
        <v>864</v>
      </c>
      <c r="G1122" s="813" t="s">
        <v>863</v>
      </c>
      <c r="H1122" s="191" t="s">
        <v>448</v>
      </c>
      <c r="I1122" s="243">
        <v>20</v>
      </c>
      <c r="J1122" s="243">
        <v>36045</v>
      </c>
      <c r="K1122" s="573">
        <f>ROUND(I1122*J1122,0)</f>
        <v>720900</v>
      </c>
      <c r="L1122" s="574" t="s">
        <v>417</v>
      </c>
      <c r="M1122" s="574" t="s">
        <v>8</v>
      </c>
      <c r="N1122" s="51" t="str">
        <f>IF(AND('331-CT'!$E$7=TH!H1122,OR(L1122="331",M1122="331")),"331",IF(AND(OR(L1122="131",M1122="131"),H1122='131-CT'!$E$7),"131",""))</f>
        <v/>
      </c>
      <c r="O1122" s="51" t="str">
        <f>IF(AND($B1122&gt;='111'!$N$11,$B1122&lt;='111'!$O$11,OR($L1122=$O$7,$M1122=$O$7)),"x","")</f>
        <v/>
      </c>
      <c r="P1122" s="51" t="str">
        <f>IF(AND($L1122=$O$7,$B1122&lt;'111'!$N$11),"x","")</f>
        <v/>
      </c>
      <c r="Q1122" s="51" t="str">
        <f>IF(AND($M1122=$O$7,$B1122&lt;'111'!$N$11),"x","")</f>
        <v/>
      </c>
      <c r="R1122" s="51" t="str">
        <f>IF(ISERROR(FIND('112'!$M$9,G1122,1)),"",IF((AND(FIND('112'!$M$9,G1122,1)&gt;=1,$B1122&gt;='112'!$N$8,$B1122&lt;='112'!$O$8,OR($L1122='112'!$I$6,$M1122='112'!$I$6))),"x",""))</f>
        <v/>
      </c>
      <c r="S1122" s="51" t="str">
        <f>IF(ISERROR(FIND('112'!$M$9,G1122,1)),"",IF((AND(LEFT(G1122,2)=LEFT('112'!$M$9,2),B1122&lt;'112'!$N$8,$L1122='112'!$I$6)),"x",""))</f>
        <v/>
      </c>
      <c r="T1122" s="51" t="str">
        <f>IF(ISERROR(FIND('112'!$M$9,G1122,1)),"",IF((AND(RIGHT(G1122,2)=RIGHT('112'!$M$9,2),B1122&lt;'112'!$N$8,$M1122='112'!$I$6)),"x",""))</f>
        <v/>
      </c>
      <c r="U1122" s="51" t="str">
        <f>IF(AND(L1122="154",'154'!$O$5&lt;=B1122,'154'!$P$5&gt;=B1122),"154",IF(AND(L1122="632",'632'!$L$5&lt;=B1122,'632'!$M$5&gt;=B1122),"632",IF(AND(L1122="642",'642'!$N$5&lt;=B1122,'642'!$O$5&gt;=B1122),"642",IF(AND(L1122="641",'641'!$N$5&lt;=B1122,'641'!$O$5&gt;=B1122),"641",""))))</f>
        <v/>
      </c>
      <c r="V1122" s="51" t="str">
        <f>IF(OR(TH!L1122=TH!$V$7,M1122=TH!$V$7),"x","")</f>
        <v/>
      </c>
      <c r="W1122" s="51" t="str">
        <f>IF(AND(B1122&gt;='IN-NX'!$P$3,B1122&lt;='IN-NX'!$Q$3,'IN-NX'!$D$7=D1122,OR(LEFT(L1122,2)="15",AND(LEFT(M1122,2)&lt;&gt;"15",LEFT(M1122,2)&lt;&gt;"33"))),"x","")</f>
        <v/>
      </c>
      <c r="X1122" s="51" t="str">
        <f>IF(AND(OR(LEFT(TH!L1122,2)="15",LEFT(TH!M1122,2)="15"),'152-CT'!$J$8=TH!F1122),"x","")</f>
        <v/>
      </c>
      <c r="Y1122" s="51" t="str">
        <f>IF(AND(OR(LEFT(TH!L1122,2)="15",LEFT(TH!M1122,2)="15"),TK!$E$7=TH!F1122),"x","")</f>
        <v/>
      </c>
      <c r="Z1122" s="51" t="str">
        <f>IF(AND(B1122&lt;=NKC!$N$8,B1122&gt;=NKC!$M$8),"x","")</f>
        <v/>
      </c>
      <c r="AA1122" s="803"/>
      <c r="AB1122" s="565"/>
      <c r="AE1122" s="565"/>
    </row>
    <row r="1123" spans="1:31" ht="15.75" customHeight="1">
      <c r="A1123" s="804" t="str">
        <f>IF(B1123&lt;&gt;"",IF(AND(B1123&gt;=_TM1,B1123&lt;=_TM2,OR(TH!L1123="1111",TH!M1123="1111")),TH!D1123,""),"")</f>
        <v/>
      </c>
      <c r="B1123" s="36">
        <f t="shared" si="76"/>
        <v>11</v>
      </c>
      <c r="C1123" s="189">
        <f t="shared" si="77"/>
        <v>42324</v>
      </c>
      <c r="D1123" s="189" t="s">
        <v>1435</v>
      </c>
      <c r="E1123" s="189">
        <v>42324</v>
      </c>
      <c r="F1123" s="917" t="s">
        <v>847</v>
      </c>
      <c r="G1123" s="813" t="s">
        <v>863</v>
      </c>
      <c r="H1123" s="191" t="s">
        <v>448</v>
      </c>
      <c r="I1123" s="243"/>
      <c r="J1123" s="243"/>
      <c r="K1123" s="573">
        <v>1822782</v>
      </c>
      <c r="L1123" s="574" t="s">
        <v>9</v>
      </c>
      <c r="M1123" s="574" t="s">
        <v>8</v>
      </c>
      <c r="N1123" s="51" t="str">
        <f>IF(AND('331-CT'!$E$7=TH!H1123,OR(L1123="331",M1123="331")),"331",IF(AND(OR(L1123="131",M1123="131"),H1123='131-CT'!$E$7),"131",""))</f>
        <v/>
      </c>
      <c r="O1123" s="51" t="str">
        <f>IF(AND($B1123&gt;='111'!$N$11,$B1123&lt;='111'!$O$11,OR($L1123=$O$7,$M1123=$O$7)),"x","")</f>
        <v/>
      </c>
      <c r="P1123" s="51" t="str">
        <f>IF(AND($L1123=$O$7,$B1123&lt;'111'!$N$11),"x","")</f>
        <v/>
      </c>
      <c r="Q1123" s="51" t="str">
        <f>IF(AND($M1123=$O$7,$B1123&lt;'111'!$N$11),"x","")</f>
        <v/>
      </c>
      <c r="R1123" s="51" t="str">
        <f>IF(ISERROR(FIND('112'!$M$9,G1123,1)),"",IF((AND(FIND('112'!$M$9,G1123,1)&gt;=1,$B1123&gt;='112'!$N$8,$B1123&lt;='112'!$O$8,OR($L1123='112'!$I$6,$M1123='112'!$I$6))),"x",""))</f>
        <v/>
      </c>
      <c r="S1123" s="51" t="str">
        <f>IF(ISERROR(FIND('112'!$M$9,G1123,1)),"",IF((AND(LEFT(G1123,2)=LEFT('112'!$M$9,2),B1123&lt;'112'!$N$8,$L1123='112'!$I$6)),"x",""))</f>
        <v/>
      </c>
      <c r="T1123" s="51" t="str">
        <f>IF(ISERROR(FIND('112'!$M$9,G1123,1)),"",IF((AND(RIGHT(G1123,2)=RIGHT('112'!$M$9,2),B1123&lt;'112'!$N$8,$M1123='112'!$I$6)),"x",""))</f>
        <v/>
      </c>
      <c r="U1123" s="51" t="str">
        <f>IF(AND(L1123="154",'154'!$O$5&lt;=B1123,'154'!$P$5&gt;=B1123),"154",IF(AND(L1123="632",'632'!$L$5&lt;=B1123,'632'!$M$5&gt;=B1123),"632",IF(AND(L1123="642",'642'!$N$5&lt;=B1123,'642'!$O$5&gt;=B1123),"642",IF(AND(L1123="641",'641'!$N$5&lt;=B1123,'641'!$O$5&gt;=B1123),"641",""))))</f>
        <v/>
      </c>
      <c r="V1123" s="51" t="str">
        <f>IF(OR(TH!L1123=TH!$V$7,M1123=TH!$V$7),"x","")</f>
        <v/>
      </c>
      <c r="W1123" s="51" t="str">
        <f>IF(AND(B1123&gt;='IN-NX'!$P$3,B1123&lt;='IN-NX'!$Q$3,'IN-NX'!$D$7=D1123,OR(LEFT(L1123,2)="15",AND(LEFT(M1123,2)&lt;&gt;"15",LEFT(M1123,2)&lt;&gt;"33"))),"x","")</f>
        <v/>
      </c>
      <c r="X1123" s="51" t="str">
        <f>IF(AND(OR(LEFT(TH!L1123,2)="15",LEFT(TH!M1123,2)="15"),'152-CT'!$J$8=TH!F1123),"x","")</f>
        <v/>
      </c>
      <c r="Y1123" s="51" t="str">
        <f>IF(AND(OR(LEFT(TH!L1123,2)="15",LEFT(TH!M1123,2)="15"),TK!$E$7=TH!F1123),"x","")</f>
        <v/>
      </c>
      <c r="Z1123" s="51" t="str">
        <f>IF(AND(B1123&lt;=NKC!$N$8,B1123&gt;=NKC!$M$8),"x","")</f>
        <v/>
      </c>
      <c r="AA1123" s="803">
        <v>4</v>
      </c>
      <c r="AB1123" s="565"/>
      <c r="AE1123" s="565"/>
    </row>
    <row r="1124" spans="1:31" ht="15.75" customHeight="1">
      <c r="A1124" s="804" t="str">
        <f>IF(B1124&lt;&gt;"",IF(AND(B1124&gt;=_TM1,B1124&lt;=_TM2,OR(TH!L1124="1111",TH!M1124="1111")),TH!D1124,""),"")</f>
        <v/>
      </c>
      <c r="B1124" s="36">
        <f t="shared" si="76"/>
        <v>11</v>
      </c>
      <c r="C1124" s="189">
        <f t="shared" si="77"/>
        <v>42324</v>
      </c>
      <c r="D1124" s="189" t="s">
        <v>1310</v>
      </c>
      <c r="E1124" s="189">
        <v>42324</v>
      </c>
      <c r="F1124" s="917" t="s">
        <v>894</v>
      </c>
      <c r="G1124" s="811" t="s">
        <v>1091</v>
      </c>
      <c r="H1124" s="191" t="s">
        <v>1092</v>
      </c>
      <c r="I1124" s="243">
        <v>107</v>
      </c>
      <c r="J1124" s="243">
        <v>8030</v>
      </c>
      <c r="K1124" s="573">
        <f>ROUND(I1124*J1124,0)</f>
        <v>859210</v>
      </c>
      <c r="L1124" s="574" t="s">
        <v>250</v>
      </c>
      <c r="M1124" s="574" t="s">
        <v>164</v>
      </c>
      <c r="N1124" s="51" t="str">
        <f>IF(AND('331-CT'!$E$7=TH!H1124,OR(L1124="331",M1124="331")),"331",IF(AND(OR(L1124="131",M1124="131"),H1124='131-CT'!$E$7),"131",""))</f>
        <v/>
      </c>
      <c r="O1124" s="51" t="str">
        <f>IF(AND($B1124&gt;='111'!$N$11,$B1124&lt;='111'!$O$11,OR($L1124=$O$7,$M1124=$O$7)),"x","")</f>
        <v/>
      </c>
      <c r="P1124" s="51" t="str">
        <f>IF(AND($L1124=$O$7,$B1124&lt;'111'!$N$11),"x","")</f>
        <v/>
      </c>
      <c r="Q1124" s="51" t="str">
        <f>IF(AND($M1124=$O$7,$B1124&lt;'111'!$N$11),"x","")</f>
        <v/>
      </c>
      <c r="R1124" s="51" t="str">
        <f>IF(ISERROR(FIND('112'!$M$9,G1124,1)),"",IF((AND(FIND('112'!$M$9,G1124,1)&gt;=1,$B1124&gt;='112'!$N$8,$B1124&lt;='112'!$O$8,OR($L1124='112'!$I$6,$M1124='112'!$I$6))),"x",""))</f>
        <v/>
      </c>
      <c r="S1124" s="51" t="str">
        <f>IF(ISERROR(FIND('112'!$M$9,G1124,1)),"",IF((AND(LEFT(G1124,2)=LEFT('112'!$M$9,2),B1124&lt;'112'!$N$8,$L1124='112'!$I$6)),"x",""))</f>
        <v/>
      </c>
      <c r="T1124" s="51" t="str">
        <f>IF(ISERROR(FIND('112'!$M$9,G1124,1)),"",IF((AND(RIGHT(G1124,2)=RIGHT('112'!$M$9,2),B1124&lt;'112'!$N$8,$M1124='112'!$I$6)),"x",""))</f>
        <v/>
      </c>
      <c r="U1124" s="51" t="str">
        <f>IF(AND(L1124="154",'154'!$O$5&lt;=B1124,'154'!$P$5&gt;=B1124),"154",IF(AND(L1124="632",'632'!$L$5&lt;=B1124,'632'!$M$5&gt;=B1124),"632",IF(AND(L1124="642",'642'!$N$5&lt;=B1124,'642'!$O$5&gt;=B1124),"642",IF(AND(L1124="641",'641'!$N$5&lt;=B1124,'641'!$O$5&gt;=B1124),"641",""))))</f>
        <v/>
      </c>
      <c r="V1124" s="51" t="str">
        <f>IF(OR(TH!L1124=TH!$V$7,M1124=TH!$V$7),"x","")</f>
        <v/>
      </c>
      <c r="W1124" s="51" t="str">
        <f>IF(AND(B1124&gt;='IN-NX'!$P$3,B1124&lt;='IN-NX'!$Q$3,'IN-NX'!$D$7=D1124,OR(LEFT(L1124,2)="15",AND(LEFT(M1124,2)&lt;&gt;"15",LEFT(M1124,2)&lt;&gt;"33"))),"x","")</f>
        <v/>
      </c>
      <c r="X1124" s="51" t="str">
        <f>IF(AND(OR(LEFT(TH!L1124,2)="15",LEFT(TH!M1124,2)="15"),'152-CT'!$J$8=TH!F1124),"x","")</f>
        <v/>
      </c>
      <c r="Y1124" s="51" t="str">
        <f>IF(AND(OR(LEFT(TH!L1124,2)="15",LEFT(TH!M1124,2)="15"),TK!$E$7=TH!F1124),"x","")</f>
        <v/>
      </c>
      <c r="Z1124" s="51" t="str">
        <f>IF(AND(B1124&lt;=NKC!$N$8,B1124&gt;=NKC!$M$8),"x","")</f>
        <v/>
      </c>
      <c r="AA1124" s="803"/>
      <c r="AB1124" s="565"/>
    </row>
    <row r="1125" spans="1:31" ht="15.75" customHeight="1">
      <c r="A1125" s="804" t="str">
        <f>IF(B1125&lt;&gt;"",IF(AND(B1125&gt;=_TM1,B1125&lt;=_TM2,OR(TH!L1125="1111",TH!M1125="1111")),TH!D1125,""),"")</f>
        <v/>
      </c>
      <c r="B1125" s="36">
        <f t="shared" si="76"/>
        <v>11</v>
      </c>
      <c r="C1125" s="189">
        <f t="shared" si="77"/>
        <v>42324</v>
      </c>
      <c r="D1125" s="189" t="s">
        <v>1310</v>
      </c>
      <c r="E1125" s="189">
        <v>42324</v>
      </c>
      <c r="F1125" s="190" t="s">
        <v>895</v>
      </c>
      <c r="G1125" s="811" t="s">
        <v>1091</v>
      </c>
      <c r="H1125" s="191" t="s">
        <v>1092</v>
      </c>
      <c r="I1125" s="243">
        <v>106</v>
      </c>
      <c r="J1125" s="243">
        <v>9970</v>
      </c>
      <c r="K1125" s="573">
        <f>ROUND(I1125*J1125,0)</f>
        <v>1056820</v>
      </c>
      <c r="L1125" s="574" t="s">
        <v>250</v>
      </c>
      <c r="M1125" s="574" t="s">
        <v>164</v>
      </c>
      <c r="N1125" s="51" t="str">
        <f>IF(AND('331-CT'!$E$7=TH!H1125,OR(L1125="331",M1125="331")),"331",IF(AND(OR(L1125="131",M1125="131"),H1125='131-CT'!$E$7),"131",""))</f>
        <v/>
      </c>
      <c r="O1125" s="51" t="str">
        <f>IF(AND($B1125&gt;='111'!$N$11,$B1125&lt;='111'!$O$11,OR($L1125=$O$7,$M1125=$O$7)),"x","")</f>
        <v/>
      </c>
      <c r="P1125" s="51" t="str">
        <f>IF(AND($L1125=$O$7,$B1125&lt;'111'!$N$11),"x","")</f>
        <v/>
      </c>
      <c r="Q1125" s="51" t="str">
        <f>IF(AND($M1125=$O$7,$B1125&lt;'111'!$N$11),"x","")</f>
        <v/>
      </c>
      <c r="R1125" s="51" t="str">
        <f>IF(ISERROR(FIND('112'!$M$9,G1125,1)),"",IF((AND(FIND('112'!$M$9,G1125,1)&gt;=1,$B1125&gt;='112'!$N$8,$B1125&lt;='112'!$O$8,OR($L1125='112'!$I$6,$M1125='112'!$I$6))),"x",""))</f>
        <v/>
      </c>
      <c r="S1125" s="51" t="str">
        <f>IF(ISERROR(FIND('112'!$M$9,G1125,1)),"",IF((AND(LEFT(G1125,2)=LEFT('112'!$M$9,2),B1125&lt;'112'!$N$8,$L1125='112'!$I$6)),"x",""))</f>
        <v/>
      </c>
      <c r="T1125" s="51" t="str">
        <f>IF(ISERROR(FIND('112'!$M$9,G1125,1)),"",IF((AND(RIGHT(G1125,2)=RIGHT('112'!$M$9,2),B1125&lt;'112'!$N$8,$M1125='112'!$I$6)),"x",""))</f>
        <v/>
      </c>
      <c r="U1125" s="51" t="str">
        <f>IF(AND(L1125="154",'154'!$O$5&lt;=B1125,'154'!$P$5&gt;=B1125),"154",IF(AND(L1125="632",'632'!$L$5&lt;=B1125,'632'!$M$5&gt;=B1125),"632",IF(AND(L1125="642",'642'!$N$5&lt;=B1125,'642'!$O$5&gt;=B1125),"642",IF(AND(L1125="641",'641'!$N$5&lt;=B1125,'641'!$O$5&gt;=B1125),"641",""))))</f>
        <v/>
      </c>
      <c r="V1125" s="51" t="str">
        <f>IF(OR(TH!L1125=TH!$V$7,M1125=TH!$V$7),"x","")</f>
        <v/>
      </c>
      <c r="W1125" s="51" t="str">
        <f>IF(AND(B1125&gt;='IN-NX'!$P$3,B1125&lt;='IN-NX'!$Q$3,'IN-NX'!$D$7=D1125,OR(LEFT(L1125,2)="15",AND(LEFT(M1125,2)&lt;&gt;"15",LEFT(M1125,2)&lt;&gt;"33"))),"x","")</f>
        <v/>
      </c>
      <c r="X1125" s="51" t="str">
        <f>IF(AND(OR(LEFT(TH!L1125,2)="15",LEFT(TH!M1125,2)="15"),'152-CT'!$J$8=TH!F1125),"x","")</f>
        <v/>
      </c>
      <c r="Y1125" s="51" t="str">
        <f>IF(AND(OR(LEFT(TH!L1125,2)="15",LEFT(TH!M1125,2)="15"),TK!$E$7=TH!F1125),"x","")</f>
        <v/>
      </c>
      <c r="Z1125" s="51" t="str">
        <f>IF(AND(B1125&lt;=NKC!$N$8,B1125&gt;=NKC!$M$8),"x","")</f>
        <v/>
      </c>
      <c r="AA1125" s="803"/>
      <c r="AB1125" s="565"/>
    </row>
    <row r="1126" spans="1:31" ht="15.75" customHeight="1">
      <c r="A1126" s="804" t="str">
        <f>IF(B1126&lt;&gt;"",IF(AND(B1126&gt;=_TM1,B1126&lt;=_TM2,OR(TH!L1126="1111",TH!M1126="1111")),TH!D1126,""),"")</f>
        <v/>
      </c>
      <c r="B1126" s="36">
        <f t="shared" si="76"/>
        <v>11</v>
      </c>
      <c r="C1126" s="189">
        <f t="shared" si="77"/>
        <v>42324</v>
      </c>
      <c r="D1126" s="189" t="s">
        <v>1310</v>
      </c>
      <c r="E1126" s="189">
        <v>42324</v>
      </c>
      <c r="F1126" s="190" t="s">
        <v>896</v>
      </c>
      <c r="G1126" s="811" t="s">
        <v>1091</v>
      </c>
      <c r="H1126" s="191" t="s">
        <v>1092</v>
      </c>
      <c r="I1126" s="243">
        <v>110</v>
      </c>
      <c r="J1126" s="243">
        <v>8000</v>
      </c>
      <c r="K1126" s="573">
        <f>ROUND(I1126*J1126,0)</f>
        <v>880000</v>
      </c>
      <c r="L1126" s="574" t="s">
        <v>250</v>
      </c>
      <c r="M1126" s="574" t="s">
        <v>164</v>
      </c>
      <c r="N1126" s="51" t="str">
        <f>IF(AND('331-CT'!$E$7=TH!H1126,OR(L1126="331",M1126="331")),"331",IF(AND(OR(L1126="131",M1126="131"),H1126='131-CT'!$E$7),"131",""))</f>
        <v/>
      </c>
      <c r="O1126" s="51" t="str">
        <f>IF(AND($B1126&gt;='111'!$N$11,$B1126&lt;='111'!$O$11,OR($L1126=$O$7,$M1126=$O$7)),"x","")</f>
        <v/>
      </c>
      <c r="P1126" s="51" t="str">
        <f>IF(AND($L1126=$O$7,$B1126&lt;'111'!$N$11),"x","")</f>
        <v/>
      </c>
      <c r="Q1126" s="51" t="str">
        <f>IF(AND($M1126=$O$7,$B1126&lt;'111'!$N$11),"x","")</f>
        <v/>
      </c>
      <c r="R1126" s="51" t="str">
        <f>IF(ISERROR(FIND('112'!$M$9,G1126,1)),"",IF((AND(FIND('112'!$M$9,G1126,1)&gt;=1,$B1126&gt;='112'!$N$8,$B1126&lt;='112'!$O$8,OR($L1126='112'!$I$6,$M1126='112'!$I$6))),"x",""))</f>
        <v/>
      </c>
      <c r="S1126" s="51" t="str">
        <f>IF(ISERROR(FIND('112'!$M$9,G1126,1)),"",IF((AND(LEFT(G1126,2)=LEFT('112'!$M$9,2),B1126&lt;'112'!$N$8,$L1126='112'!$I$6)),"x",""))</f>
        <v/>
      </c>
      <c r="T1126" s="51" t="str">
        <f>IF(ISERROR(FIND('112'!$M$9,G1126,1)),"",IF((AND(RIGHT(G1126,2)=RIGHT('112'!$M$9,2),B1126&lt;'112'!$N$8,$M1126='112'!$I$6)),"x",""))</f>
        <v/>
      </c>
      <c r="U1126" s="51" t="str">
        <f>IF(AND(L1126="154",'154'!$O$5&lt;=B1126,'154'!$P$5&gt;=B1126),"154",IF(AND(L1126="632",'632'!$L$5&lt;=B1126,'632'!$M$5&gt;=B1126),"632",IF(AND(L1126="642",'642'!$N$5&lt;=B1126,'642'!$O$5&gt;=B1126),"642",IF(AND(L1126="641",'641'!$N$5&lt;=B1126,'641'!$O$5&gt;=B1126),"641",""))))</f>
        <v/>
      </c>
      <c r="V1126" s="51" t="str">
        <f>IF(OR(TH!L1126=TH!$V$7,M1126=TH!$V$7),"x","")</f>
        <v/>
      </c>
      <c r="W1126" s="51" t="str">
        <f>IF(AND(B1126&gt;='IN-NX'!$P$3,B1126&lt;='IN-NX'!$Q$3,'IN-NX'!$D$7=D1126,OR(LEFT(L1126,2)="15",AND(LEFT(M1126,2)&lt;&gt;"15",LEFT(M1126,2)&lt;&gt;"33"))),"x","")</f>
        <v/>
      </c>
      <c r="X1126" s="51" t="str">
        <f>IF(AND(OR(LEFT(TH!L1126,2)="15",LEFT(TH!M1126,2)="15"),'152-CT'!$J$8=TH!F1126),"x","")</f>
        <v/>
      </c>
      <c r="Y1126" s="51" t="str">
        <f>IF(AND(OR(LEFT(TH!L1126,2)="15",LEFT(TH!M1126,2)="15"),TK!$E$7=TH!F1126),"x","")</f>
        <v/>
      </c>
      <c r="Z1126" s="51" t="str">
        <f>IF(AND(B1126&lt;=NKC!$N$8,B1126&gt;=NKC!$M$8),"x","")</f>
        <v/>
      </c>
      <c r="AA1126" s="803"/>
      <c r="AB1126" s="565"/>
    </row>
    <row r="1127" spans="1:31" ht="15.75" customHeight="1">
      <c r="A1127" s="804" t="str">
        <f>IF(B1127&lt;&gt;"",IF(AND(B1127&gt;=_TM1,B1127&lt;=_TM2,OR(TH!L1127="1111",TH!M1127="1111")),TH!D1127,""),"")</f>
        <v/>
      </c>
      <c r="B1127" s="36">
        <f t="shared" si="76"/>
        <v>11</v>
      </c>
      <c r="C1127" s="189">
        <f t="shared" si="77"/>
        <v>42324</v>
      </c>
      <c r="D1127" s="189" t="s">
        <v>1310</v>
      </c>
      <c r="E1127" s="189">
        <v>42324</v>
      </c>
      <c r="F1127" s="917" t="s">
        <v>962</v>
      </c>
      <c r="G1127" s="811" t="s">
        <v>1091</v>
      </c>
      <c r="H1127" s="191" t="s">
        <v>1092</v>
      </c>
      <c r="I1127" s="243"/>
      <c r="J1127" s="243"/>
      <c r="K1127" s="573">
        <v>279603</v>
      </c>
      <c r="L1127" s="574" t="s">
        <v>250</v>
      </c>
      <c r="M1127" s="574" t="s">
        <v>352</v>
      </c>
      <c r="N1127" s="51" t="str">
        <f>IF(AND('331-CT'!$E$7=TH!H1127,OR(L1127="331",M1127="331")),"331",IF(AND(OR(L1127="131",M1127="131"),H1127='131-CT'!$E$7),"131",""))</f>
        <v/>
      </c>
      <c r="O1127" s="51" t="str">
        <f>IF(AND($B1127&gt;='111'!$N$11,$B1127&lt;='111'!$O$11,OR($L1127=$O$7,$M1127=$O$7)),"x","")</f>
        <v/>
      </c>
      <c r="P1127" s="51" t="str">
        <f>IF(AND($L1127=$O$7,$B1127&lt;'111'!$N$11),"x","")</f>
        <v/>
      </c>
      <c r="Q1127" s="51" t="str">
        <f>IF(AND($M1127=$O$7,$B1127&lt;'111'!$N$11),"x","")</f>
        <v/>
      </c>
      <c r="R1127" s="51" t="str">
        <f>IF(ISERROR(FIND('112'!$M$9,G1127,1)),"",IF((AND(FIND('112'!$M$9,G1127,1)&gt;=1,$B1127&gt;='112'!$N$8,$B1127&lt;='112'!$O$8,OR($L1127='112'!$I$6,$M1127='112'!$I$6))),"x",""))</f>
        <v/>
      </c>
      <c r="S1127" s="51" t="str">
        <f>IF(ISERROR(FIND('112'!$M$9,G1127,1)),"",IF((AND(LEFT(G1127,2)=LEFT('112'!$M$9,2),B1127&lt;'112'!$N$8,$L1127='112'!$I$6)),"x",""))</f>
        <v/>
      </c>
      <c r="T1127" s="51" t="str">
        <f>IF(ISERROR(FIND('112'!$M$9,G1127,1)),"",IF((AND(RIGHT(G1127,2)=RIGHT('112'!$M$9,2),B1127&lt;'112'!$N$8,$M1127='112'!$I$6)),"x",""))</f>
        <v/>
      </c>
      <c r="U1127" s="51" t="str">
        <f>IF(AND(L1127="154",'154'!$O$5&lt;=B1127,'154'!$P$5&gt;=B1127),"154",IF(AND(L1127="632",'632'!$L$5&lt;=B1127,'632'!$M$5&gt;=B1127),"632",IF(AND(L1127="642",'642'!$N$5&lt;=B1127,'642'!$O$5&gt;=B1127),"642",IF(AND(L1127="641",'641'!$N$5&lt;=B1127,'641'!$O$5&gt;=B1127),"641",""))))</f>
        <v/>
      </c>
      <c r="V1127" s="51" t="str">
        <f>IF(OR(TH!L1127=TH!$V$7,M1127=TH!$V$7),"x","")</f>
        <v/>
      </c>
      <c r="W1127" s="51" t="str">
        <f>IF(AND(B1127&gt;='IN-NX'!$P$3,B1127&lt;='IN-NX'!$Q$3,'IN-NX'!$D$7=D1127,OR(LEFT(L1127,2)="15",AND(LEFT(M1127,2)&lt;&gt;"15",LEFT(M1127,2)&lt;&gt;"33"))),"x","")</f>
        <v/>
      </c>
      <c r="X1127" s="51" t="str">
        <f>IF(AND(OR(LEFT(TH!L1127,2)="15",LEFT(TH!M1127,2)="15"),'152-CT'!$J$8=TH!F1127),"x","")</f>
        <v/>
      </c>
      <c r="Y1127" s="51" t="str">
        <f>IF(AND(OR(LEFT(TH!L1127,2)="15",LEFT(TH!M1127,2)="15"),TK!$E$7=TH!F1127),"x","")</f>
        <v/>
      </c>
      <c r="Z1127" s="51" t="str">
        <f>IF(AND(B1127&lt;=NKC!$N$8,B1127&gt;=NKC!$M$8),"x","")</f>
        <v/>
      </c>
      <c r="AA1127" s="803"/>
      <c r="AB1127" s="565"/>
    </row>
    <row r="1128" spans="1:31" ht="15.75" customHeight="1">
      <c r="A1128" s="804" t="str">
        <f>IF(B1128&lt;&gt;"",IF(AND(B1128&gt;=_TM1,B1128&lt;=_TM2,OR(TH!L1128="1111",TH!M1128="1111")),TH!D1128,""),"")</f>
        <v/>
      </c>
      <c r="B1128" s="36">
        <f t="shared" si="76"/>
        <v>11</v>
      </c>
      <c r="C1128" s="189">
        <f t="shared" si="77"/>
        <v>42324</v>
      </c>
      <c r="D1128" s="189" t="s">
        <v>1382</v>
      </c>
      <c r="E1128" s="189">
        <v>42324</v>
      </c>
      <c r="F1128" s="190" t="s">
        <v>423</v>
      </c>
      <c r="G1128" s="811" t="s">
        <v>1091</v>
      </c>
      <c r="H1128" s="191" t="s">
        <v>1092</v>
      </c>
      <c r="I1128" s="243"/>
      <c r="J1128" s="243"/>
      <c r="K1128" s="573">
        <v>3075633</v>
      </c>
      <c r="L1128" s="574" t="s">
        <v>47</v>
      </c>
      <c r="M1128" s="574" t="s">
        <v>250</v>
      </c>
      <c r="N1128" s="51" t="str">
        <f>IF(AND('331-CT'!$E$7=TH!H1128,OR(L1128="331",M1128="331")),"331",IF(AND(OR(L1128="131",M1128="131"),H1128='131-CT'!$E$7),"131",""))</f>
        <v/>
      </c>
      <c r="O1128" s="51" t="str">
        <f>IF(AND($B1128&gt;='111'!$N$11,$B1128&lt;='111'!$O$11,OR($L1128=$O$7,$M1128=$O$7)),"x","")</f>
        <v>x</v>
      </c>
      <c r="P1128" s="51" t="str">
        <f>IF(AND($L1128=$O$7,$B1128&lt;'111'!$N$11),"x","")</f>
        <v/>
      </c>
      <c r="Q1128" s="51" t="str">
        <f>IF(AND($M1128=$O$7,$B1128&lt;'111'!$N$11),"x","")</f>
        <v/>
      </c>
      <c r="R1128" s="51" t="str">
        <f>IF(ISERROR(FIND('112'!$M$9,G1128,1)),"",IF((AND(FIND('112'!$M$9,G1128,1)&gt;=1,$B1128&gt;='112'!$N$8,$B1128&lt;='112'!$O$8,OR($L1128='112'!$I$6,$M1128='112'!$I$6))),"x",""))</f>
        <v/>
      </c>
      <c r="S1128" s="51" t="str">
        <f>IF(ISERROR(FIND('112'!$M$9,G1128,1)),"",IF((AND(LEFT(G1128,2)=LEFT('112'!$M$9,2),B1128&lt;'112'!$N$8,$L1128='112'!$I$6)),"x",""))</f>
        <v/>
      </c>
      <c r="T1128" s="51" t="str">
        <f>IF(ISERROR(FIND('112'!$M$9,G1128,1)),"",IF((AND(RIGHT(G1128,2)=RIGHT('112'!$M$9,2),B1128&lt;'112'!$N$8,$M1128='112'!$I$6)),"x",""))</f>
        <v/>
      </c>
      <c r="U1128" s="51" t="str">
        <f>IF(AND(L1128="154",'154'!$O$5&lt;=B1128,'154'!$P$5&gt;=B1128),"154",IF(AND(L1128="632",'632'!$L$5&lt;=B1128,'632'!$M$5&gt;=B1128),"632",IF(AND(L1128="642",'642'!$N$5&lt;=B1128,'642'!$O$5&gt;=B1128),"642",IF(AND(L1128="641",'641'!$N$5&lt;=B1128,'641'!$O$5&gt;=B1128),"641",""))))</f>
        <v/>
      </c>
      <c r="V1128" s="51" t="str">
        <f>IF(OR(TH!L1128=TH!$V$7,M1128=TH!$V$7),"x","")</f>
        <v/>
      </c>
      <c r="W1128" s="51" t="str">
        <f>IF(AND(B1128&gt;='IN-NX'!$P$3,B1128&lt;='IN-NX'!$Q$3,'IN-NX'!$D$7=D1128,OR(LEFT(L1128,2)="15",AND(LEFT(M1128,2)&lt;&gt;"15",LEFT(M1128,2)&lt;&gt;"33"))),"x","")</f>
        <v/>
      </c>
      <c r="X1128" s="51" t="str">
        <f>IF(AND(OR(LEFT(TH!L1128,2)="15",LEFT(TH!M1128,2)="15"),'152-CT'!$J$8=TH!F1128),"x","")</f>
        <v/>
      </c>
      <c r="Y1128" s="51" t="str">
        <f>IF(AND(OR(LEFT(TH!L1128,2)="15",LEFT(TH!M1128,2)="15"),TK!$E$7=TH!F1128),"x","")</f>
        <v/>
      </c>
      <c r="Z1128" s="51" t="str">
        <f>IF(AND(B1128&lt;=NKC!$N$8,B1128&gt;=NKC!$M$8),"x","")</f>
        <v/>
      </c>
      <c r="AA1128" s="803"/>
      <c r="AB1128" s="565"/>
    </row>
    <row r="1129" spans="1:31" ht="15.75" customHeight="1">
      <c r="A1129" s="804" t="str">
        <f>IF(B1129&lt;&gt;"",IF(AND(B1129&gt;=_TM1,B1129&lt;=_TM2,OR(TH!L1129="1111",TH!M1129="1111")),TH!D1129,""),"")</f>
        <v/>
      </c>
      <c r="B1129" s="36">
        <f t="shared" si="76"/>
        <v>11</v>
      </c>
      <c r="C1129" s="189">
        <f t="shared" si="77"/>
        <v>42326</v>
      </c>
      <c r="D1129" s="189" t="s">
        <v>1389</v>
      </c>
      <c r="E1129" s="182">
        <v>42326</v>
      </c>
      <c r="F1129" s="187" t="s">
        <v>433</v>
      </c>
      <c r="G1129" s="811" t="s">
        <v>415</v>
      </c>
      <c r="H1129" s="7" t="s">
        <v>437</v>
      </c>
      <c r="I1129" s="243"/>
      <c r="J1129" s="243"/>
      <c r="K1129" s="573">
        <v>20100000</v>
      </c>
      <c r="L1129" s="574" t="s">
        <v>24</v>
      </c>
      <c r="M1129" s="192" t="s">
        <v>47</v>
      </c>
      <c r="N1129" s="51" t="str">
        <f>IF(AND('331-CT'!$E$7=TH!H1129,OR(L1129="331",M1129="331")),"331",IF(AND(OR(L1129="131",M1129="131"),H1129='131-CT'!$E$7),"131",""))</f>
        <v/>
      </c>
      <c r="O1129" s="51" t="str">
        <f>IF(AND($B1129&gt;='111'!$N$11,$B1129&lt;='111'!$O$11,OR($L1129=$O$7,$M1129=$O$7)),"x","")</f>
        <v>x</v>
      </c>
      <c r="P1129" s="51" t="str">
        <f>IF(AND($L1129=$O$7,$B1129&lt;'111'!$N$11),"x","")</f>
        <v/>
      </c>
      <c r="Q1129" s="51" t="str">
        <f>IF(AND($M1129=$O$7,$B1129&lt;'111'!$N$11),"x","")</f>
        <v/>
      </c>
      <c r="R1129" s="51" t="str">
        <f>IF(ISERROR(FIND('112'!$M$9,G1129,1)),"",IF((AND(FIND('112'!$M$9,G1129,1)&gt;=1,$B1129&gt;='112'!$N$8,$B1129&lt;='112'!$O$8,OR($L1129='112'!$I$6,$M1129='112'!$I$6))),"x",""))</f>
        <v/>
      </c>
      <c r="S1129" s="51" t="str">
        <f>IF(ISERROR(FIND('112'!$M$9,G1129,1)),"",IF((AND(LEFT(G1129,2)=LEFT('112'!$M$9,2),B1129&lt;'112'!$N$8,$L1129='112'!$I$6)),"x",""))</f>
        <v/>
      </c>
      <c r="T1129" s="51" t="str">
        <f>IF(ISERROR(FIND('112'!$M$9,G1129,1)),"",IF((AND(RIGHT(G1129,2)=RIGHT('112'!$M$9,2),B1129&lt;'112'!$N$8,$M1129='112'!$I$6)),"x",""))</f>
        <v/>
      </c>
      <c r="U1129" s="51" t="str">
        <f>IF(AND(L1129="154",'154'!$O$5&lt;=B1129,'154'!$P$5&gt;=B1129),"154",IF(AND(L1129="632",'632'!$L$5&lt;=B1129,'632'!$M$5&gt;=B1129),"632",IF(AND(L1129="642",'642'!$N$5&lt;=B1129,'642'!$O$5&gt;=B1129),"642",IF(AND(L1129="641",'641'!$N$5&lt;=B1129,'641'!$O$5&gt;=B1129),"641",""))))</f>
        <v/>
      </c>
      <c r="V1129" s="51" t="str">
        <f>IF(OR(TH!L1129=TH!$V$7,M1129=TH!$V$7),"x","")</f>
        <v/>
      </c>
      <c r="W1129" s="51" t="str">
        <f>IF(AND(B1129&gt;='IN-NX'!$P$3,B1129&lt;='IN-NX'!$Q$3,'IN-NX'!$D$7=D1129,OR(LEFT(L1129,2)="15",AND(LEFT(M1129,2)&lt;&gt;"15",LEFT(M1129,2)&lt;&gt;"33"))),"x","")</f>
        <v/>
      </c>
      <c r="X1129" s="51" t="str">
        <f>IF(AND(OR(LEFT(TH!L1129,2)="15",LEFT(TH!M1129,2)="15"),'152-CT'!$J$8=TH!F1129),"x","")</f>
        <v/>
      </c>
      <c r="Y1129" s="51" t="str">
        <f>IF(AND(OR(LEFT(TH!L1129,2)="15",LEFT(TH!M1129,2)="15"),TK!$E$7=TH!F1129),"x","")</f>
        <v/>
      </c>
      <c r="Z1129" s="51" t="str">
        <f>IF(AND(B1129&lt;=NKC!$N$8,B1129&gt;=NKC!$M$8),"x","")</f>
        <v/>
      </c>
      <c r="AA1129" s="803"/>
      <c r="AB1129" s="565"/>
      <c r="AC1129" s="565"/>
      <c r="AD1129" s="565"/>
      <c r="AE1129" s="565"/>
    </row>
    <row r="1130" spans="1:31" ht="15.75" customHeight="1">
      <c r="A1130" s="804" t="str">
        <f>IF(B1130&lt;&gt;"",IF(AND(B1130&gt;=_TM1,B1130&lt;=_TM2,OR(TH!L1130="1111",TH!M1130="1111")),TH!D1130,""),"")</f>
        <v/>
      </c>
      <c r="B1130" s="36">
        <f t="shared" si="76"/>
        <v>11</v>
      </c>
      <c r="C1130" s="189">
        <f t="shared" si="77"/>
        <v>42326</v>
      </c>
      <c r="D1130" s="189" t="s">
        <v>422</v>
      </c>
      <c r="E1130" s="182">
        <v>42326</v>
      </c>
      <c r="F1130" s="187" t="s">
        <v>438</v>
      </c>
      <c r="G1130" s="811" t="s">
        <v>415</v>
      </c>
      <c r="H1130" s="7" t="s">
        <v>448</v>
      </c>
      <c r="I1130" s="243"/>
      <c r="J1130" s="243"/>
      <c r="K1130" s="573">
        <v>20056034</v>
      </c>
      <c r="L1130" s="574" t="s">
        <v>8</v>
      </c>
      <c r="M1130" s="192" t="s">
        <v>24</v>
      </c>
      <c r="N1130" s="51" t="str">
        <f>IF(AND('331-CT'!$E$7=TH!H1130,OR(L1130="331",M1130="331")),"331",IF(AND(OR(L1130="131",M1130="131"),H1130='131-CT'!$E$7),"131",""))</f>
        <v/>
      </c>
      <c r="O1130" s="51" t="str">
        <f>IF(AND($B1130&gt;='111'!$N$11,$B1130&lt;='111'!$O$11,OR($L1130=$O$7,$M1130=$O$7)),"x","")</f>
        <v/>
      </c>
      <c r="P1130" s="51" t="str">
        <f>IF(AND($L1130=$O$7,$B1130&lt;'111'!$N$11),"x","")</f>
        <v/>
      </c>
      <c r="Q1130" s="51" t="str">
        <f>IF(AND($M1130=$O$7,$B1130&lt;'111'!$N$11),"x","")</f>
        <v/>
      </c>
      <c r="R1130" s="51" t="str">
        <f>IF(ISERROR(FIND('112'!$M$9,G1130,1)),"",IF((AND(FIND('112'!$M$9,G1130,1)&gt;=1,$B1130&gt;='112'!$N$8,$B1130&lt;='112'!$O$8,OR($L1130='112'!$I$6,$M1130='112'!$I$6))),"x",""))</f>
        <v/>
      </c>
      <c r="S1130" s="51" t="str">
        <f>IF(ISERROR(FIND('112'!$M$9,G1130,1)),"",IF((AND(LEFT(G1130,2)=LEFT('112'!$M$9,2),B1130&lt;'112'!$N$8,$L1130='112'!$I$6)),"x",""))</f>
        <v/>
      </c>
      <c r="T1130" s="51" t="str">
        <f>IF(ISERROR(FIND('112'!$M$9,G1130,1)),"",IF((AND(RIGHT(G1130,2)=RIGHT('112'!$M$9,2),B1130&lt;'112'!$N$8,$M1130='112'!$I$6)),"x",""))</f>
        <v/>
      </c>
      <c r="U1130" s="51" t="str">
        <f>IF(AND(L1130="154",'154'!$O$5&lt;=B1130,'154'!$P$5&gt;=B1130),"154",IF(AND(L1130="632",'632'!$L$5&lt;=B1130,'632'!$M$5&gt;=B1130),"632",IF(AND(L1130="642",'642'!$N$5&lt;=B1130,'642'!$O$5&gt;=B1130),"642",IF(AND(L1130="641",'641'!$N$5&lt;=B1130,'641'!$O$5&gt;=B1130),"641",""))))</f>
        <v/>
      </c>
      <c r="V1130" s="51" t="str">
        <f>IF(OR(TH!L1130=TH!$V$7,M1130=TH!$V$7),"x","")</f>
        <v/>
      </c>
      <c r="W1130" s="51" t="str">
        <f>IF(AND(B1130&gt;='IN-NX'!$P$3,B1130&lt;='IN-NX'!$Q$3,'IN-NX'!$D$7=D1130,OR(LEFT(L1130,2)="15",AND(LEFT(M1130,2)&lt;&gt;"15",LEFT(M1130,2)&lt;&gt;"33"))),"x","")</f>
        <v/>
      </c>
      <c r="X1130" s="51" t="str">
        <f>IF(AND(OR(LEFT(TH!L1130,2)="15",LEFT(TH!M1130,2)="15"),'152-CT'!$J$8=TH!F1130),"x","")</f>
        <v/>
      </c>
      <c r="Y1130" s="51" t="str">
        <f>IF(AND(OR(LEFT(TH!L1130,2)="15",LEFT(TH!M1130,2)="15"),TK!$E$7=TH!F1130),"x","")</f>
        <v/>
      </c>
      <c r="Z1130" s="51" t="str">
        <f>IF(AND(B1130&lt;=NKC!$N$8,B1130&gt;=NKC!$M$8),"x","")</f>
        <v/>
      </c>
      <c r="AA1130" s="803"/>
      <c r="AB1130" s="565"/>
      <c r="AE1130" s="565"/>
    </row>
    <row r="1131" spans="1:31" ht="15.75" customHeight="1">
      <c r="A1131" s="804" t="str">
        <f>IF(B1131&lt;&gt;"",IF(AND(B1131&gt;=_TM1,B1131&lt;=_TM2,OR(TH!L1131="1111",TH!M1131="1111")),TH!D1131,""),"")</f>
        <v/>
      </c>
      <c r="B1131" s="36">
        <f t="shared" si="76"/>
        <v>11</v>
      </c>
      <c r="C1131" s="189">
        <f t="shared" si="77"/>
        <v>42326</v>
      </c>
      <c r="D1131" s="189" t="s">
        <v>422</v>
      </c>
      <c r="E1131" s="182">
        <v>42326</v>
      </c>
      <c r="F1131" s="187" t="s">
        <v>443</v>
      </c>
      <c r="G1131" s="811" t="s">
        <v>415</v>
      </c>
      <c r="H1131" s="7"/>
      <c r="I1131" s="243"/>
      <c r="J1131" s="243"/>
      <c r="K1131" s="573">
        <v>11000</v>
      </c>
      <c r="L1131" s="192" t="s">
        <v>83</v>
      </c>
      <c r="M1131" s="192" t="s">
        <v>24</v>
      </c>
      <c r="N1131" s="51" t="str">
        <f>IF(AND('331-CT'!$E$7=TH!H1131,OR(L1131="331",M1131="331")),"331",IF(AND(OR(L1131="131",M1131="131"),H1131='131-CT'!$E$7),"131",""))</f>
        <v/>
      </c>
      <c r="O1131" s="51" t="str">
        <f>IF(AND($B1131&gt;='111'!$N$11,$B1131&lt;='111'!$O$11,OR($L1131=$O$7,$M1131=$O$7)),"x","")</f>
        <v/>
      </c>
      <c r="P1131" s="51" t="str">
        <f>IF(AND($L1131=$O$7,$B1131&lt;'111'!$N$11),"x","")</f>
        <v/>
      </c>
      <c r="Q1131" s="51" t="str">
        <f>IF(AND($M1131=$O$7,$B1131&lt;'111'!$N$11),"x","")</f>
        <v/>
      </c>
      <c r="R1131" s="51" t="str">
        <f>IF(ISERROR(FIND('112'!$M$9,G1131,1)),"",IF((AND(FIND('112'!$M$9,G1131,1)&gt;=1,$B1131&gt;='112'!$N$8,$B1131&lt;='112'!$O$8,OR($L1131='112'!$I$6,$M1131='112'!$I$6))),"x",""))</f>
        <v/>
      </c>
      <c r="S1131" s="51" t="str">
        <f>IF(ISERROR(FIND('112'!$M$9,G1131,1)),"",IF((AND(LEFT(G1131,2)=LEFT('112'!$M$9,2),B1131&lt;'112'!$N$8,$L1131='112'!$I$6)),"x",""))</f>
        <v/>
      </c>
      <c r="T1131" s="51" t="str">
        <f>IF(ISERROR(FIND('112'!$M$9,G1131,1)),"",IF((AND(RIGHT(G1131,2)=RIGHT('112'!$M$9,2),B1131&lt;'112'!$N$8,$M1131='112'!$I$6)),"x",""))</f>
        <v/>
      </c>
      <c r="U1131" s="51" t="str">
        <f>IF(AND(L1131="154",'154'!$O$5&lt;=B1131,'154'!$P$5&gt;=B1131),"154",IF(AND(L1131="632",'632'!$L$5&lt;=B1131,'632'!$M$5&gt;=B1131),"632",IF(AND(L1131="642",'642'!$N$5&lt;=B1131,'642'!$O$5&gt;=B1131),"642",IF(AND(L1131="641",'641'!$N$5&lt;=B1131,'641'!$O$5&gt;=B1131),"641",""))))</f>
        <v/>
      </c>
      <c r="V1131" s="51" t="str">
        <f>IF(OR(TH!L1131=TH!$V$7,M1131=TH!$V$7),"x","")</f>
        <v>x</v>
      </c>
      <c r="W1131" s="51" t="str">
        <f>IF(AND(B1131&gt;='IN-NX'!$P$3,B1131&lt;='IN-NX'!$Q$3,'IN-NX'!$D$7=D1131,OR(LEFT(L1131,2)="15",AND(LEFT(M1131,2)&lt;&gt;"15",LEFT(M1131,2)&lt;&gt;"33"))),"x","")</f>
        <v/>
      </c>
      <c r="X1131" s="51" t="str">
        <f>IF(AND(OR(LEFT(TH!L1131,2)="15",LEFT(TH!M1131,2)="15"),'152-CT'!$J$8=TH!F1131),"x","")</f>
        <v/>
      </c>
      <c r="Y1131" s="51" t="str">
        <f>IF(AND(OR(LEFT(TH!L1131,2)="15",LEFT(TH!M1131,2)="15"),TK!$E$7=TH!F1131),"x","")</f>
        <v/>
      </c>
      <c r="Z1131" s="51" t="str">
        <f>IF(AND(B1131&lt;=NKC!$N$8,B1131&gt;=NKC!$M$8),"x","")</f>
        <v/>
      </c>
      <c r="AA1131" s="803"/>
      <c r="AB1131" s="565"/>
      <c r="AE1131" s="565"/>
    </row>
    <row r="1132" spans="1:31" ht="15.75" customHeight="1">
      <c r="A1132" s="804" t="str">
        <f>IF(B1132&lt;&gt;"",IF(AND(B1132&gt;=_TM1,B1132&lt;=_TM2,OR(TH!L1132="1111",TH!M1132="1111")),TH!D1132,""),"")</f>
        <v/>
      </c>
      <c r="B1132" s="36">
        <f t="shared" si="76"/>
        <v>11</v>
      </c>
      <c r="C1132" s="189">
        <f t="shared" si="77"/>
        <v>42327</v>
      </c>
      <c r="D1132" s="189" t="s">
        <v>1446</v>
      </c>
      <c r="E1132" s="189">
        <v>42327</v>
      </c>
      <c r="F1132" s="917" t="s">
        <v>692</v>
      </c>
      <c r="G1132" s="813" t="s">
        <v>865</v>
      </c>
      <c r="H1132" s="191" t="s">
        <v>448</v>
      </c>
      <c r="I1132" s="243">
        <v>200</v>
      </c>
      <c r="J1132" s="243">
        <v>20736</v>
      </c>
      <c r="K1132" s="573">
        <f>ROUND(I1132*J1132,0)</f>
        <v>4147200</v>
      </c>
      <c r="L1132" s="574" t="s">
        <v>417</v>
      </c>
      <c r="M1132" s="574" t="s">
        <v>8</v>
      </c>
      <c r="N1132" s="51" t="str">
        <f>IF(AND('331-CT'!$E$7=TH!H1132,OR(L1132="331",M1132="331")),"331",IF(AND(OR(L1132="131",M1132="131"),H1132='131-CT'!$E$7),"131",""))</f>
        <v/>
      </c>
      <c r="O1132" s="51" t="str">
        <f>IF(AND($B1132&gt;='111'!$N$11,$B1132&lt;='111'!$O$11,OR($L1132=$O$7,$M1132=$O$7)),"x","")</f>
        <v/>
      </c>
      <c r="P1132" s="51" t="str">
        <f>IF(AND($L1132=$O$7,$B1132&lt;'111'!$N$11),"x","")</f>
        <v/>
      </c>
      <c r="Q1132" s="51" t="str">
        <f>IF(AND($M1132=$O$7,$B1132&lt;'111'!$N$11),"x","")</f>
        <v/>
      </c>
      <c r="R1132" s="51" t="str">
        <f>IF(ISERROR(FIND('112'!$M$9,G1132,1)),"",IF((AND(FIND('112'!$M$9,G1132,1)&gt;=1,$B1132&gt;='112'!$N$8,$B1132&lt;='112'!$O$8,OR($L1132='112'!$I$6,$M1132='112'!$I$6))),"x",""))</f>
        <v/>
      </c>
      <c r="S1132" s="51" t="str">
        <f>IF(ISERROR(FIND('112'!$M$9,G1132,1)),"",IF((AND(LEFT(G1132,2)=LEFT('112'!$M$9,2),B1132&lt;'112'!$N$8,$L1132='112'!$I$6)),"x",""))</f>
        <v/>
      </c>
      <c r="T1132" s="51" t="str">
        <f>IF(ISERROR(FIND('112'!$M$9,G1132,1)),"",IF((AND(RIGHT(G1132,2)=RIGHT('112'!$M$9,2),B1132&lt;'112'!$N$8,$M1132='112'!$I$6)),"x",""))</f>
        <v/>
      </c>
      <c r="U1132" s="51" t="str">
        <f>IF(AND(L1132="154",'154'!$O$5&lt;=B1132,'154'!$P$5&gt;=B1132),"154",IF(AND(L1132="632",'632'!$L$5&lt;=B1132,'632'!$M$5&gt;=B1132),"632",IF(AND(L1132="642",'642'!$N$5&lt;=B1132,'642'!$O$5&gt;=B1132),"642",IF(AND(L1132="641",'641'!$N$5&lt;=B1132,'641'!$O$5&gt;=B1132),"641",""))))</f>
        <v/>
      </c>
      <c r="V1132" s="51" t="str">
        <f>IF(OR(TH!L1132=TH!$V$7,M1132=TH!$V$7),"x","")</f>
        <v/>
      </c>
      <c r="W1132" s="51" t="str">
        <f>IF(AND(B1132&gt;='IN-NX'!$P$3,B1132&lt;='IN-NX'!$Q$3,'IN-NX'!$D$7=D1132,OR(LEFT(L1132,2)="15",AND(LEFT(M1132,2)&lt;&gt;"15",LEFT(M1132,2)&lt;&gt;"33"))),"x","")</f>
        <v/>
      </c>
      <c r="X1132" s="51" t="str">
        <f>IF(AND(OR(LEFT(TH!L1132,2)="15",LEFT(TH!M1132,2)="15"),'152-CT'!$J$8=TH!F1132),"x","")</f>
        <v/>
      </c>
      <c r="Y1132" s="51" t="str">
        <f>IF(AND(OR(LEFT(TH!L1132,2)="15",LEFT(TH!M1132,2)="15"),TK!$E$7=TH!F1132),"x","")</f>
        <v/>
      </c>
      <c r="Z1132" s="51" t="str">
        <f>IF(AND(B1132&lt;=NKC!$N$8,B1132&gt;=NKC!$M$8),"x","")</f>
        <v/>
      </c>
      <c r="AA1132" s="803"/>
      <c r="AB1132" s="565"/>
      <c r="AE1132" s="565"/>
    </row>
    <row r="1133" spans="1:31" ht="15.75" customHeight="1">
      <c r="A1133" s="804" t="str">
        <f>IF(B1133&lt;&gt;"",IF(AND(B1133&gt;=_TM1,B1133&lt;=_TM2,OR(TH!L1133="1111",TH!M1133="1111")),TH!D1133,""),"")</f>
        <v/>
      </c>
      <c r="B1133" s="36">
        <f t="shared" si="76"/>
        <v>11</v>
      </c>
      <c r="C1133" s="189">
        <f t="shared" si="77"/>
        <v>42327</v>
      </c>
      <c r="D1133" s="189" t="s">
        <v>1446</v>
      </c>
      <c r="E1133" s="189">
        <v>42327</v>
      </c>
      <c r="F1133" s="917" t="s">
        <v>866</v>
      </c>
      <c r="G1133" s="813" t="s">
        <v>865</v>
      </c>
      <c r="H1133" s="191" t="s">
        <v>448</v>
      </c>
      <c r="I1133" s="243">
        <v>1000</v>
      </c>
      <c r="J1133" s="243">
        <v>8376</v>
      </c>
      <c r="K1133" s="573">
        <f>ROUND(I1133*J1133,0)</f>
        <v>8376000</v>
      </c>
      <c r="L1133" s="574" t="s">
        <v>417</v>
      </c>
      <c r="M1133" s="574" t="s">
        <v>8</v>
      </c>
      <c r="N1133" s="51" t="str">
        <f>IF(AND('331-CT'!$E$7=TH!H1133,OR(L1133="331",M1133="331")),"331",IF(AND(OR(L1133="131",M1133="131"),H1133='131-CT'!$E$7),"131",""))</f>
        <v/>
      </c>
      <c r="O1133" s="51" t="str">
        <f>IF(AND($B1133&gt;='111'!$N$11,$B1133&lt;='111'!$O$11,OR($L1133=$O$7,$M1133=$O$7)),"x","")</f>
        <v/>
      </c>
      <c r="P1133" s="51" t="str">
        <f>IF(AND($L1133=$O$7,$B1133&lt;'111'!$N$11),"x","")</f>
        <v/>
      </c>
      <c r="Q1133" s="51" t="str">
        <f>IF(AND($M1133=$O$7,$B1133&lt;'111'!$N$11),"x","")</f>
        <v/>
      </c>
      <c r="R1133" s="51" t="str">
        <f>IF(ISERROR(FIND('112'!$M$9,G1133,1)),"",IF((AND(FIND('112'!$M$9,G1133,1)&gt;=1,$B1133&gt;='112'!$N$8,$B1133&lt;='112'!$O$8,OR($L1133='112'!$I$6,$M1133='112'!$I$6))),"x",""))</f>
        <v/>
      </c>
      <c r="S1133" s="51" t="str">
        <f>IF(ISERROR(FIND('112'!$M$9,G1133,1)),"",IF((AND(LEFT(G1133,2)=LEFT('112'!$M$9,2),B1133&lt;'112'!$N$8,$L1133='112'!$I$6)),"x",""))</f>
        <v/>
      </c>
      <c r="T1133" s="51" t="str">
        <f>IF(ISERROR(FIND('112'!$M$9,G1133,1)),"",IF((AND(RIGHT(G1133,2)=RIGHT('112'!$M$9,2),B1133&lt;'112'!$N$8,$M1133='112'!$I$6)),"x",""))</f>
        <v/>
      </c>
      <c r="U1133" s="51" t="str">
        <f>IF(AND(L1133="154",'154'!$O$5&lt;=B1133,'154'!$P$5&gt;=B1133),"154",IF(AND(L1133="632",'632'!$L$5&lt;=B1133,'632'!$M$5&gt;=B1133),"632",IF(AND(L1133="642",'642'!$N$5&lt;=B1133,'642'!$O$5&gt;=B1133),"642",IF(AND(L1133="641",'641'!$N$5&lt;=B1133,'641'!$O$5&gt;=B1133),"641",""))))</f>
        <v/>
      </c>
      <c r="V1133" s="51" t="str">
        <f>IF(OR(TH!L1133=TH!$V$7,M1133=TH!$V$7),"x","")</f>
        <v/>
      </c>
      <c r="W1133" s="51" t="str">
        <f>IF(AND(B1133&gt;='IN-NX'!$P$3,B1133&lt;='IN-NX'!$Q$3,'IN-NX'!$D$7=D1133,OR(LEFT(L1133,2)="15",AND(LEFT(M1133,2)&lt;&gt;"15",LEFT(M1133,2)&lt;&gt;"33"))),"x","")</f>
        <v/>
      </c>
      <c r="X1133" s="51" t="str">
        <f>IF(AND(OR(LEFT(TH!L1133,2)="15",LEFT(TH!M1133,2)="15"),'152-CT'!$J$8=TH!F1133),"x","")</f>
        <v/>
      </c>
      <c r="Y1133" s="51" t="str">
        <f>IF(AND(OR(LEFT(TH!L1133,2)="15",LEFT(TH!M1133,2)="15"),TK!$E$7=TH!F1133),"x","")</f>
        <v/>
      </c>
      <c r="Z1133" s="51" t="str">
        <f>IF(AND(B1133&lt;=NKC!$N$8,B1133&gt;=NKC!$M$8),"x","")</f>
        <v/>
      </c>
      <c r="AA1133" s="803"/>
      <c r="AB1133" s="565"/>
      <c r="AE1133" s="565"/>
    </row>
    <row r="1134" spans="1:31" ht="15.75" customHeight="1">
      <c r="A1134" s="804" t="str">
        <f>IF(B1134&lt;&gt;"",IF(AND(B1134&gt;=_TM1,B1134&lt;=_TM2,OR(TH!L1134="1111",TH!M1134="1111")),TH!D1134,""),"")</f>
        <v/>
      </c>
      <c r="B1134" s="36">
        <f t="shared" si="76"/>
        <v>11</v>
      </c>
      <c r="C1134" s="189">
        <f t="shared" si="77"/>
        <v>42327</v>
      </c>
      <c r="D1134" s="189" t="s">
        <v>1446</v>
      </c>
      <c r="E1134" s="189">
        <v>42327</v>
      </c>
      <c r="F1134" s="917" t="s">
        <v>847</v>
      </c>
      <c r="G1134" s="813" t="s">
        <v>865</v>
      </c>
      <c r="H1134" s="191" t="s">
        <v>448</v>
      </c>
      <c r="I1134" s="243"/>
      <c r="J1134" s="243"/>
      <c r="K1134" s="573">
        <v>1252320</v>
      </c>
      <c r="L1134" s="574" t="s">
        <v>9</v>
      </c>
      <c r="M1134" s="574" t="s">
        <v>8</v>
      </c>
      <c r="N1134" s="51" t="str">
        <f>IF(AND('331-CT'!$E$7=TH!H1134,OR(L1134="331",M1134="331")),"331",IF(AND(OR(L1134="131",M1134="131"),H1134='131-CT'!$E$7),"131",""))</f>
        <v/>
      </c>
      <c r="O1134" s="51" t="str">
        <f>IF(AND($B1134&gt;='111'!$N$11,$B1134&lt;='111'!$O$11,OR($L1134=$O$7,$M1134=$O$7)),"x","")</f>
        <v/>
      </c>
      <c r="P1134" s="51" t="str">
        <f>IF(AND($L1134=$O$7,$B1134&lt;'111'!$N$11),"x","")</f>
        <v/>
      </c>
      <c r="Q1134" s="51" t="str">
        <f>IF(AND($M1134=$O$7,$B1134&lt;'111'!$N$11),"x","")</f>
        <v/>
      </c>
      <c r="R1134" s="51" t="str">
        <f>IF(ISERROR(FIND('112'!$M$9,G1134,1)),"",IF((AND(FIND('112'!$M$9,G1134,1)&gt;=1,$B1134&gt;='112'!$N$8,$B1134&lt;='112'!$O$8,OR($L1134='112'!$I$6,$M1134='112'!$I$6))),"x",""))</f>
        <v/>
      </c>
      <c r="S1134" s="51" t="str">
        <f>IF(ISERROR(FIND('112'!$M$9,G1134,1)),"",IF((AND(LEFT(G1134,2)=LEFT('112'!$M$9,2),B1134&lt;'112'!$N$8,$L1134='112'!$I$6)),"x",""))</f>
        <v/>
      </c>
      <c r="T1134" s="51" t="str">
        <f>IF(ISERROR(FIND('112'!$M$9,G1134,1)),"",IF((AND(RIGHT(G1134,2)=RIGHT('112'!$M$9,2),B1134&lt;'112'!$N$8,$M1134='112'!$I$6)),"x",""))</f>
        <v/>
      </c>
      <c r="U1134" s="51" t="str">
        <f>IF(AND(L1134="154",'154'!$O$5&lt;=B1134,'154'!$P$5&gt;=B1134),"154",IF(AND(L1134="632",'632'!$L$5&lt;=B1134,'632'!$M$5&gt;=B1134),"632",IF(AND(L1134="642",'642'!$N$5&lt;=B1134,'642'!$O$5&gt;=B1134),"642",IF(AND(L1134="641",'641'!$N$5&lt;=B1134,'641'!$O$5&gt;=B1134),"641",""))))</f>
        <v/>
      </c>
      <c r="V1134" s="51" t="str">
        <f>IF(OR(TH!L1134=TH!$V$7,M1134=TH!$V$7),"x","")</f>
        <v/>
      </c>
      <c r="W1134" s="51" t="str">
        <f>IF(AND(B1134&gt;='IN-NX'!$P$3,B1134&lt;='IN-NX'!$Q$3,'IN-NX'!$D$7=D1134,OR(LEFT(L1134,2)="15",AND(LEFT(M1134,2)&lt;&gt;"15",LEFT(M1134,2)&lt;&gt;"33"))),"x","")</f>
        <v/>
      </c>
      <c r="X1134" s="51" t="str">
        <f>IF(AND(OR(LEFT(TH!L1134,2)="15",LEFT(TH!M1134,2)="15"),'152-CT'!$J$8=TH!F1134),"x","")</f>
        <v/>
      </c>
      <c r="Y1134" s="51" t="str">
        <f>IF(AND(OR(LEFT(TH!L1134,2)="15",LEFT(TH!M1134,2)="15"),TK!$E$7=TH!F1134),"x","")</f>
        <v/>
      </c>
      <c r="Z1134" s="51" t="str">
        <f>IF(AND(B1134&lt;=NKC!$N$8,B1134&gt;=NKC!$M$8),"x","")</f>
        <v/>
      </c>
      <c r="AA1134" s="803">
        <v>4</v>
      </c>
      <c r="AB1134" s="565"/>
      <c r="AE1134" s="565"/>
    </row>
    <row r="1135" spans="1:31" ht="15.75" customHeight="1">
      <c r="A1135" s="804" t="str">
        <f>IF(B1135&lt;&gt;"",IF(AND(B1135&gt;=_TM1,B1135&lt;=_TM2,OR(TH!L1135="1111",TH!M1135="1111")),TH!D1135,""),"")</f>
        <v/>
      </c>
      <c r="B1135" s="36">
        <f t="shared" si="76"/>
        <v>11</v>
      </c>
      <c r="C1135" s="189">
        <f t="shared" si="77"/>
        <v>42327</v>
      </c>
      <c r="D1135" s="189" t="s">
        <v>1311</v>
      </c>
      <c r="E1135" s="189">
        <v>42327</v>
      </c>
      <c r="F1135" s="190" t="s">
        <v>844</v>
      </c>
      <c r="G1135" s="811" t="s">
        <v>1093</v>
      </c>
      <c r="H1135" s="191" t="s">
        <v>414</v>
      </c>
      <c r="I1135" s="244">
        <v>144</v>
      </c>
      <c r="J1135" s="244">
        <v>45745</v>
      </c>
      <c r="K1135" s="573">
        <f>ROUND(I1135*J1135,0)</f>
        <v>6587280</v>
      </c>
      <c r="L1135" s="574" t="s">
        <v>250</v>
      </c>
      <c r="M1135" s="574" t="s">
        <v>164</v>
      </c>
      <c r="N1135" s="51" t="str">
        <f>IF(AND('331-CT'!$E$7=TH!H1135,OR(L1135="331",M1135="331")),"331",IF(AND(OR(L1135="131",M1135="131"),H1135='131-CT'!$E$7),"131",""))</f>
        <v/>
      </c>
      <c r="O1135" s="51" t="str">
        <f>IF(AND($B1135&gt;='111'!$N$11,$B1135&lt;='111'!$O$11,OR($L1135=$O$7,$M1135=$O$7)),"x","")</f>
        <v/>
      </c>
      <c r="P1135" s="51" t="str">
        <f>IF(AND($L1135=$O$7,$B1135&lt;'111'!$N$11),"x","")</f>
        <v/>
      </c>
      <c r="Q1135" s="51" t="str">
        <f>IF(AND($M1135=$O$7,$B1135&lt;'111'!$N$11),"x","")</f>
        <v/>
      </c>
      <c r="R1135" s="51" t="str">
        <f>IF(ISERROR(FIND('112'!$M$9,G1135,1)),"",IF((AND(FIND('112'!$M$9,G1135,1)&gt;=1,$B1135&gt;='112'!$N$8,$B1135&lt;='112'!$O$8,OR($L1135='112'!$I$6,$M1135='112'!$I$6))),"x",""))</f>
        <v/>
      </c>
      <c r="S1135" s="51" t="str">
        <f>IF(ISERROR(FIND('112'!$M$9,G1135,1)),"",IF((AND(LEFT(G1135,2)=LEFT('112'!$M$9,2),B1135&lt;'112'!$N$8,$L1135='112'!$I$6)),"x",""))</f>
        <v/>
      </c>
      <c r="T1135" s="51" t="str">
        <f>IF(ISERROR(FIND('112'!$M$9,G1135,1)),"",IF((AND(RIGHT(G1135,2)=RIGHT('112'!$M$9,2),B1135&lt;'112'!$N$8,$M1135='112'!$I$6)),"x",""))</f>
        <v/>
      </c>
      <c r="U1135" s="51" t="str">
        <f>IF(AND(L1135="154",'154'!$O$5&lt;=B1135,'154'!$P$5&gt;=B1135),"154",IF(AND(L1135="632",'632'!$L$5&lt;=B1135,'632'!$M$5&gt;=B1135),"632",IF(AND(L1135="642",'642'!$N$5&lt;=B1135,'642'!$O$5&gt;=B1135),"642",IF(AND(L1135="641",'641'!$N$5&lt;=B1135,'641'!$O$5&gt;=B1135),"641",""))))</f>
        <v/>
      </c>
      <c r="V1135" s="51" t="str">
        <f>IF(OR(TH!L1135=TH!$V$7,M1135=TH!$V$7),"x","")</f>
        <v/>
      </c>
      <c r="W1135" s="51" t="str">
        <f>IF(AND(B1135&gt;='IN-NX'!$P$3,B1135&lt;='IN-NX'!$Q$3,'IN-NX'!$D$7=D1135,OR(LEFT(L1135,2)="15",AND(LEFT(M1135,2)&lt;&gt;"15",LEFT(M1135,2)&lt;&gt;"33"))),"x","")</f>
        <v/>
      </c>
      <c r="X1135" s="51" t="str">
        <f>IF(AND(OR(LEFT(TH!L1135,2)="15",LEFT(TH!M1135,2)="15"),'152-CT'!$J$8=TH!F1135),"x","")</f>
        <v/>
      </c>
      <c r="Y1135" s="51" t="str">
        <f>IF(AND(OR(LEFT(TH!L1135,2)="15",LEFT(TH!M1135,2)="15"),TK!$E$7=TH!F1135),"x","")</f>
        <v/>
      </c>
      <c r="Z1135" s="51" t="str">
        <f>IF(AND(B1135&lt;=NKC!$N$8,B1135&gt;=NKC!$M$8),"x","")</f>
        <v/>
      </c>
      <c r="AA1135" s="803"/>
      <c r="AB1135" s="565"/>
    </row>
    <row r="1136" spans="1:31" ht="15.75" customHeight="1">
      <c r="A1136" s="804" t="str">
        <f>IF(B1136&lt;&gt;"",IF(AND(B1136&gt;=_TM1,B1136&lt;=_TM2,OR(TH!L1136="1111",TH!M1136="1111")),TH!D1136,""),"")</f>
        <v/>
      </c>
      <c r="B1136" s="36">
        <f t="shared" si="76"/>
        <v>11</v>
      </c>
      <c r="C1136" s="189">
        <f t="shared" si="77"/>
        <v>42327</v>
      </c>
      <c r="D1136" s="189" t="s">
        <v>1311</v>
      </c>
      <c r="E1136" s="189">
        <v>42327</v>
      </c>
      <c r="F1136" s="190" t="s">
        <v>962</v>
      </c>
      <c r="G1136" s="811" t="s">
        <v>1093</v>
      </c>
      <c r="H1136" s="191" t="s">
        <v>414</v>
      </c>
      <c r="I1136" s="243"/>
      <c r="J1136" s="243"/>
      <c r="K1136" s="573">
        <v>658728</v>
      </c>
      <c r="L1136" s="574" t="s">
        <v>250</v>
      </c>
      <c r="M1136" s="574" t="s">
        <v>352</v>
      </c>
      <c r="N1136" s="51" t="str">
        <f>IF(AND('331-CT'!$E$7=TH!H1136,OR(L1136="331",M1136="331")),"331",IF(AND(OR(L1136="131",M1136="131"),H1136='131-CT'!$E$7),"131",""))</f>
        <v/>
      </c>
      <c r="O1136" s="51" t="str">
        <f>IF(AND($B1136&gt;='111'!$N$11,$B1136&lt;='111'!$O$11,OR($L1136=$O$7,$M1136=$O$7)),"x","")</f>
        <v/>
      </c>
      <c r="P1136" s="51" t="str">
        <f>IF(AND($L1136=$O$7,$B1136&lt;'111'!$N$11),"x","")</f>
        <v/>
      </c>
      <c r="Q1136" s="51" t="str">
        <f>IF(AND($M1136=$O$7,$B1136&lt;'111'!$N$11),"x","")</f>
        <v/>
      </c>
      <c r="R1136" s="51" t="str">
        <f>IF(ISERROR(FIND('112'!$M$9,G1136,1)),"",IF((AND(FIND('112'!$M$9,G1136,1)&gt;=1,$B1136&gt;='112'!$N$8,$B1136&lt;='112'!$O$8,OR($L1136='112'!$I$6,$M1136='112'!$I$6))),"x",""))</f>
        <v/>
      </c>
      <c r="S1136" s="51" t="str">
        <f>IF(ISERROR(FIND('112'!$M$9,G1136,1)),"",IF((AND(LEFT(G1136,2)=LEFT('112'!$M$9,2),B1136&lt;'112'!$N$8,$L1136='112'!$I$6)),"x",""))</f>
        <v/>
      </c>
      <c r="T1136" s="51" t="str">
        <f>IF(ISERROR(FIND('112'!$M$9,G1136,1)),"",IF((AND(RIGHT(G1136,2)=RIGHT('112'!$M$9,2),B1136&lt;'112'!$N$8,$M1136='112'!$I$6)),"x",""))</f>
        <v/>
      </c>
      <c r="U1136" s="51" t="str">
        <f>IF(AND(L1136="154",'154'!$O$5&lt;=B1136,'154'!$P$5&gt;=B1136),"154",IF(AND(L1136="632",'632'!$L$5&lt;=B1136,'632'!$M$5&gt;=B1136),"632",IF(AND(L1136="642",'642'!$N$5&lt;=B1136,'642'!$O$5&gt;=B1136),"642",IF(AND(L1136="641",'641'!$N$5&lt;=B1136,'641'!$O$5&gt;=B1136),"641",""))))</f>
        <v/>
      </c>
      <c r="V1136" s="51" t="str">
        <f>IF(OR(TH!L1136=TH!$V$7,M1136=TH!$V$7),"x","")</f>
        <v/>
      </c>
      <c r="W1136" s="51" t="str">
        <f>IF(AND(B1136&gt;='IN-NX'!$P$3,B1136&lt;='IN-NX'!$Q$3,'IN-NX'!$D$7=D1136,OR(LEFT(L1136,2)="15",AND(LEFT(M1136,2)&lt;&gt;"15",LEFT(M1136,2)&lt;&gt;"33"))),"x","")</f>
        <v/>
      </c>
      <c r="X1136" s="51" t="str">
        <f>IF(AND(OR(LEFT(TH!L1136,2)="15",LEFT(TH!M1136,2)="15"),'152-CT'!$J$8=TH!F1136),"x","")</f>
        <v/>
      </c>
      <c r="Y1136" s="51" t="str">
        <f>IF(AND(OR(LEFT(TH!L1136,2)="15",LEFT(TH!M1136,2)="15"),TK!$E$7=TH!F1136),"x","")</f>
        <v/>
      </c>
      <c r="Z1136" s="51" t="str">
        <f>IF(AND(B1136&lt;=NKC!$N$8,B1136&gt;=NKC!$M$8),"x","")</f>
        <v/>
      </c>
      <c r="AA1136" s="803"/>
      <c r="AB1136" s="565"/>
    </row>
    <row r="1137" spans="1:31" ht="15.75" customHeight="1">
      <c r="A1137" s="804" t="str">
        <f>IF(B1137&lt;&gt;"",IF(AND(B1137&gt;=_TM1,B1137&lt;=_TM2,OR(TH!L1137="1111",TH!M1137="1111")),TH!D1137,""),"")</f>
        <v/>
      </c>
      <c r="B1137" s="36">
        <f t="shared" si="76"/>
        <v>11</v>
      </c>
      <c r="C1137" s="189">
        <f t="shared" si="77"/>
        <v>42328</v>
      </c>
      <c r="D1137" s="189" t="s">
        <v>1407</v>
      </c>
      <c r="E1137" s="189">
        <v>42328</v>
      </c>
      <c r="F1137" s="190" t="s">
        <v>833</v>
      </c>
      <c r="G1137" s="813" t="s">
        <v>831</v>
      </c>
      <c r="H1137" s="191" t="s">
        <v>832</v>
      </c>
      <c r="I1137" s="243"/>
      <c r="J1137" s="243"/>
      <c r="K1137" s="573">
        <v>4800000</v>
      </c>
      <c r="L1137" s="574" t="s">
        <v>83</v>
      </c>
      <c r="M1137" s="574" t="s">
        <v>47</v>
      </c>
      <c r="N1137" s="51" t="str">
        <f>IF(AND('331-CT'!$E$7=TH!H1137,OR(L1137="331",M1137="331")),"331",IF(AND(OR(L1137="131",M1137="131"),H1137='131-CT'!$E$7),"131",""))</f>
        <v/>
      </c>
      <c r="O1137" s="51" t="str">
        <f>IF(AND($B1137&gt;='111'!$N$11,$B1137&lt;='111'!$O$11,OR($L1137=$O$7,$M1137=$O$7)),"x","")</f>
        <v>x</v>
      </c>
      <c r="P1137" s="51" t="str">
        <f>IF(AND($L1137=$O$7,$B1137&lt;'111'!$N$11),"x","")</f>
        <v/>
      </c>
      <c r="Q1137" s="51" t="str">
        <f>IF(AND($M1137=$O$7,$B1137&lt;'111'!$N$11),"x","")</f>
        <v/>
      </c>
      <c r="R1137" s="51" t="str">
        <f>IF(ISERROR(FIND('112'!$M$9,G1137,1)),"",IF((AND(FIND('112'!$M$9,G1137,1)&gt;=1,$B1137&gt;='112'!$N$8,$B1137&lt;='112'!$O$8,OR($L1137='112'!$I$6,$M1137='112'!$I$6))),"x",""))</f>
        <v/>
      </c>
      <c r="S1137" s="51" t="str">
        <f>IF(ISERROR(FIND('112'!$M$9,G1137,1)),"",IF((AND(LEFT(G1137,2)=LEFT('112'!$M$9,2),B1137&lt;'112'!$N$8,$L1137='112'!$I$6)),"x",""))</f>
        <v/>
      </c>
      <c r="T1137" s="51" t="str">
        <f>IF(ISERROR(FIND('112'!$M$9,G1137,1)),"",IF((AND(RIGHT(G1137,2)=RIGHT('112'!$M$9,2),B1137&lt;'112'!$N$8,$M1137='112'!$I$6)),"x",""))</f>
        <v/>
      </c>
      <c r="U1137" s="51" t="str">
        <f>IF(AND(L1137="154",'154'!$O$5&lt;=B1137,'154'!$P$5&gt;=B1137),"154",IF(AND(L1137="632",'632'!$L$5&lt;=B1137,'632'!$M$5&gt;=B1137),"632",IF(AND(L1137="642",'642'!$N$5&lt;=B1137,'642'!$O$5&gt;=B1137),"642",IF(AND(L1137="641",'641'!$N$5&lt;=B1137,'641'!$O$5&gt;=B1137),"641",""))))</f>
        <v/>
      </c>
      <c r="V1137" s="51" t="str">
        <f>IF(OR(TH!L1137=TH!$V$7,M1137=TH!$V$7),"x","")</f>
        <v>x</v>
      </c>
      <c r="W1137" s="51" t="str">
        <f>IF(AND(B1137&gt;='IN-NX'!$P$3,B1137&lt;='IN-NX'!$Q$3,'IN-NX'!$D$7=D1137,OR(LEFT(L1137,2)="15",AND(LEFT(M1137,2)&lt;&gt;"15",LEFT(M1137,2)&lt;&gt;"33"))),"x","")</f>
        <v/>
      </c>
      <c r="X1137" s="51" t="str">
        <f>IF(AND(OR(LEFT(TH!L1137,2)="15",LEFT(TH!M1137,2)="15"),'152-CT'!$J$8=TH!F1137),"x","")</f>
        <v/>
      </c>
      <c r="Y1137" s="51" t="str">
        <f>IF(AND(OR(LEFT(TH!L1137,2)="15",LEFT(TH!M1137,2)="15"),TK!$E$7=TH!F1137),"x","")</f>
        <v/>
      </c>
      <c r="Z1137" s="51" t="str">
        <f>IF(AND(B1137&lt;=NKC!$N$8,B1137&gt;=NKC!$M$8),"x","")</f>
        <v/>
      </c>
      <c r="AA1137" s="803"/>
      <c r="AB1137" s="565"/>
      <c r="AE1137" s="565"/>
    </row>
    <row r="1138" spans="1:31" ht="15.75" customHeight="1">
      <c r="A1138" s="804" t="str">
        <f>IF(B1138&lt;&gt;"",IF(AND(B1138&gt;=_TM1,B1138&lt;=_TM2,OR(TH!L1138="1111",TH!M1138="1111")),TH!D1138,""),"")</f>
        <v/>
      </c>
      <c r="B1138" s="36">
        <f t="shared" si="76"/>
        <v>11</v>
      </c>
      <c r="C1138" s="189">
        <f t="shared" si="77"/>
        <v>42328</v>
      </c>
      <c r="D1138" s="189" t="s">
        <v>1407</v>
      </c>
      <c r="E1138" s="189">
        <v>42328</v>
      </c>
      <c r="F1138" s="190" t="s">
        <v>834</v>
      </c>
      <c r="G1138" s="813" t="s">
        <v>831</v>
      </c>
      <c r="H1138" s="191" t="s">
        <v>832</v>
      </c>
      <c r="I1138" s="243"/>
      <c r="J1138" s="243"/>
      <c r="K1138" s="573">
        <v>480000</v>
      </c>
      <c r="L1138" s="574" t="s">
        <v>9</v>
      </c>
      <c r="M1138" s="574" t="s">
        <v>47</v>
      </c>
      <c r="N1138" s="51" t="str">
        <f>IF(AND('331-CT'!$E$7=TH!H1138,OR(L1138="331",M1138="331")),"331",IF(AND(OR(L1138="131",M1138="131"),H1138='131-CT'!$E$7),"131",""))</f>
        <v/>
      </c>
      <c r="O1138" s="51" t="str">
        <f>IF(AND($B1138&gt;='111'!$N$11,$B1138&lt;='111'!$O$11,OR($L1138=$O$7,$M1138=$O$7)),"x","")</f>
        <v>x</v>
      </c>
      <c r="P1138" s="51" t="str">
        <f>IF(AND($L1138=$O$7,$B1138&lt;'111'!$N$11),"x","")</f>
        <v/>
      </c>
      <c r="Q1138" s="51" t="str">
        <f>IF(AND($M1138=$O$7,$B1138&lt;'111'!$N$11),"x","")</f>
        <v/>
      </c>
      <c r="R1138" s="51" t="str">
        <f>IF(ISERROR(FIND('112'!$M$9,G1138,1)),"",IF((AND(FIND('112'!$M$9,G1138,1)&gt;=1,$B1138&gt;='112'!$N$8,$B1138&lt;='112'!$O$8,OR($L1138='112'!$I$6,$M1138='112'!$I$6))),"x",""))</f>
        <v/>
      </c>
      <c r="S1138" s="51" t="str">
        <f>IF(ISERROR(FIND('112'!$M$9,G1138,1)),"",IF((AND(LEFT(G1138,2)=LEFT('112'!$M$9,2),B1138&lt;'112'!$N$8,$L1138='112'!$I$6)),"x",""))</f>
        <v/>
      </c>
      <c r="T1138" s="51" t="str">
        <f>IF(ISERROR(FIND('112'!$M$9,G1138,1)),"",IF((AND(RIGHT(G1138,2)=RIGHT('112'!$M$9,2),B1138&lt;'112'!$N$8,$M1138='112'!$I$6)),"x",""))</f>
        <v/>
      </c>
      <c r="U1138" s="51" t="str">
        <f>IF(AND(L1138="154",'154'!$O$5&lt;=B1138,'154'!$P$5&gt;=B1138),"154",IF(AND(L1138="632",'632'!$L$5&lt;=B1138,'632'!$M$5&gt;=B1138),"632",IF(AND(L1138="642",'642'!$N$5&lt;=B1138,'642'!$O$5&gt;=B1138),"642",IF(AND(L1138="641",'641'!$N$5&lt;=B1138,'641'!$O$5&gt;=B1138),"641",""))))</f>
        <v/>
      </c>
      <c r="V1138" s="51" t="str">
        <f>IF(OR(TH!L1138=TH!$V$7,M1138=TH!$V$7),"x","")</f>
        <v/>
      </c>
      <c r="W1138" s="51" t="str">
        <f>IF(AND(B1138&gt;='IN-NX'!$P$3,B1138&lt;='IN-NX'!$Q$3,'IN-NX'!$D$7=D1138,OR(LEFT(L1138,2)="15",AND(LEFT(M1138,2)&lt;&gt;"15",LEFT(M1138,2)&lt;&gt;"33"))),"x","")</f>
        <v/>
      </c>
      <c r="X1138" s="51" t="str">
        <f>IF(AND(OR(LEFT(TH!L1138,2)="15",LEFT(TH!M1138,2)="15"),'152-CT'!$J$8=TH!F1138),"x","")</f>
        <v/>
      </c>
      <c r="Y1138" s="51" t="str">
        <f>IF(AND(OR(LEFT(TH!L1138,2)="15",LEFT(TH!M1138,2)="15"),TK!$E$7=TH!F1138),"x","")</f>
        <v/>
      </c>
      <c r="Z1138" s="51" t="str">
        <f>IF(AND(B1138&lt;=NKC!$N$8,B1138&gt;=NKC!$M$8),"x","")</f>
        <v/>
      </c>
      <c r="AA1138" s="803">
        <v>4</v>
      </c>
      <c r="AB1138" s="565"/>
      <c r="AE1138" s="565"/>
    </row>
    <row r="1139" spans="1:31" ht="15.75" customHeight="1">
      <c r="A1139" s="804" t="str">
        <f>IF(B1139&lt;&gt;"",IF(AND(B1139&gt;=_TM1,B1139&lt;=_TM2,OR(TH!L1139="1111",TH!M1139="1111")),TH!D1139,""),"")</f>
        <v/>
      </c>
      <c r="B1139" s="36">
        <f t="shared" si="76"/>
        <v>11</v>
      </c>
      <c r="C1139" s="189">
        <f t="shared" si="77"/>
        <v>42328</v>
      </c>
      <c r="D1139" s="189" t="s">
        <v>1312</v>
      </c>
      <c r="E1139" s="189">
        <v>42328</v>
      </c>
      <c r="F1139" s="190" t="s">
        <v>477</v>
      </c>
      <c r="G1139" s="811" t="s">
        <v>1094</v>
      </c>
      <c r="H1139" s="7" t="s">
        <v>416</v>
      </c>
      <c r="I1139" s="243">
        <v>1000</v>
      </c>
      <c r="J1139" s="243">
        <v>12550</v>
      </c>
      <c r="K1139" s="573">
        <f>ROUND(I1139*J1139,0)</f>
        <v>12550000</v>
      </c>
      <c r="L1139" s="574" t="s">
        <v>250</v>
      </c>
      <c r="M1139" s="574" t="s">
        <v>164</v>
      </c>
      <c r="N1139" s="51" t="str">
        <f>IF(AND('331-CT'!$E$7=TH!H1139,OR(L1139="331",M1139="331")),"331",IF(AND(OR(L1139="131",M1139="131"),H1139='131-CT'!$E$7),"131",""))</f>
        <v/>
      </c>
      <c r="O1139" s="51" t="str">
        <f>IF(AND($B1139&gt;='111'!$N$11,$B1139&lt;='111'!$O$11,OR($L1139=$O$7,$M1139=$O$7)),"x","")</f>
        <v/>
      </c>
      <c r="P1139" s="51" t="str">
        <f>IF(AND($L1139=$O$7,$B1139&lt;'111'!$N$11),"x","")</f>
        <v/>
      </c>
      <c r="Q1139" s="51" t="str">
        <f>IF(AND($M1139=$O$7,$B1139&lt;'111'!$N$11),"x","")</f>
        <v/>
      </c>
      <c r="R1139" s="51" t="str">
        <f>IF(ISERROR(FIND('112'!$M$9,G1139,1)),"",IF((AND(FIND('112'!$M$9,G1139,1)&gt;=1,$B1139&gt;='112'!$N$8,$B1139&lt;='112'!$O$8,OR($L1139='112'!$I$6,$M1139='112'!$I$6))),"x",""))</f>
        <v/>
      </c>
      <c r="S1139" s="51" t="str">
        <f>IF(ISERROR(FIND('112'!$M$9,G1139,1)),"",IF((AND(LEFT(G1139,2)=LEFT('112'!$M$9,2),B1139&lt;'112'!$N$8,$L1139='112'!$I$6)),"x",""))</f>
        <v/>
      </c>
      <c r="T1139" s="51" t="str">
        <f>IF(ISERROR(FIND('112'!$M$9,G1139,1)),"",IF((AND(RIGHT(G1139,2)=RIGHT('112'!$M$9,2),B1139&lt;'112'!$N$8,$M1139='112'!$I$6)),"x",""))</f>
        <v/>
      </c>
      <c r="U1139" s="51" t="str">
        <f>IF(AND(L1139="154",'154'!$O$5&lt;=B1139,'154'!$P$5&gt;=B1139),"154",IF(AND(L1139="632",'632'!$L$5&lt;=B1139,'632'!$M$5&gt;=B1139),"632",IF(AND(L1139="642",'642'!$N$5&lt;=B1139,'642'!$O$5&gt;=B1139),"642",IF(AND(L1139="641",'641'!$N$5&lt;=B1139,'641'!$O$5&gt;=B1139),"641",""))))</f>
        <v/>
      </c>
      <c r="V1139" s="51" t="str">
        <f>IF(OR(TH!L1139=TH!$V$7,M1139=TH!$V$7),"x","")</f>
        <v/>
      </c>
      <c r="W1139" s="51" t="str">
        <f>IF(AND(B1139&gt;='IN-NX'!$P$3,B1139&lt;='IN-NX'!$Q$3,'IN-NX'!$D$7=D1139,OR(LEFT(L1139,2)="15",AND(LEFT(M1139,2)&lt;&gt;"15",LEFT(M1139,2)&lt;&gt;"33"))),"x","")</f>
        <v/>
      </c>
      <c r="X1139" s="51" t="str">
        <f>IF(AND(OR(LEFT(TH!L1139,2)="15",LEFT(TH!M1139,2)="15"),'152-CT'!$J$8=TH!F1139),"x","")</f>
        <v/>
      </c>
      <c r="Y1139" s="51" t="str">
        <f>IF(AND(OR(LEFT(TH!L1139,2)="15",LEFT(TH!M1139,2)="15"),TK!$E$7=TH!F1139),"x","")</f>
        <v/>
      </c>
      <c r="Z1139" s="51" t="str">
        <f>IF(AND(B1139&lt;=NKC!$N$8,B1139&gt;=NKC!$M$8),"x","")</f>
        <v/>
      </c>
      <c r="AA1139" s="803"/>
      <c r="AB1139" s="565"/>
    </row>
    <row r="1140" spans="1:31" ht="15.75" customHeight="1">
      <c r="A1140" s="804" t="str">
        <f>IF(B1140&lt;&gt;"",IF(AND(B1140&gt;=_TM1,B1140&lt;=_TM2,OR(TH!L1140="1111",TH!M1140="1111")),TH!D1140,""),"")</f>
        <v/>
      </c>
      <c r="B1140" s="36">
        <f t="shared" si="76"/>
        <v>11</v>
      </c>
      <c r="C1140" s="189">
        <f t="shared" si="77"/>
        <v>42328</v>
      </c>
      <c r="D1140" s="189" t="s">
        <v>1312</v>
      </c>
      <c r="E1140" s="189">
        <v>42328</v>
      </c>
      <c r="F1140" s="917" t="s">
        <v>705</v>
      </c>
      <c r="G1140" s="811" t="s">
        <v>1094</v>
      </c>
      <c r="H1140" s="7" t="s">
        <v>416</v>
      </c>
      <c r="I1140" s="243"/>
      <c r="J1140" s="243"/>
      <c r="K1140" s="573">
        <v>1255000</v>
      </c>
      <c r="L1140" s="574" t="s">
        <v>250</v>
      </c>
      <c r="M1140" s="574" t="s">
        <v>352</v>
      </c>
      <c r="N1140" s="51" t="str">
        <f>IF(AND('331-CT'!$E$7=TH!H1140,OR(L1140="331",M1140="331")),"331",IF(AND(OR(L1140="131",M1140="131"),H1140='131-CT'!$E$7),"131",""))</f>
        <v/>
      </c>
      <c r="O1140" s="51" t="str">
        <f>IF(AND($B1140&gt;='111'!$N$11,$B1140&lt;='111'!$O$11,OR($L1140=$O$7,$M1140=$O$7)),"x","")</f>
        <v/>
      </c>
      <c r="P1140" s="51" t="str">
        <f>IF(AND($L1140=$O$7,$B1140&lt;'111'!$N$11),"x","")</f>
        <v/>
      </c>
      <c r="Q1140" s="51" t="str">
        <f>IF(AND($M1140=$O$7,$B1140&lt;'111'!$N$11),"x","")</f>
        <v/>
      </c>
      <c r="R1140" s="51" t="str">
        <f>IF(ISERROR(FIND('112'!$M$9,G1140,1)),"",IF((AND(FIND('112'!$M$9,G1140,1)&gt;=1,$B1140&gt;='112'!$N$8,$B1140&lt;='112'!$O$8,OR($L1140='112'!$I$6,$M1140='112'!$I$6))),"x",""))</f>
        <v/>
      </c>
      <c r="S1140" s="51" t="str">
        <f>IF(ISERROR(FIND('112'!$M$9,G1140,1)),"",IF((AND(LEFT(G1140,2)=LEFT('112'!$M$9,2),B1140&lt;'112'!$N$8,$L1140='112'!$I$6)),"x",""))</f>
        <v/>
      </c>
      <c r="T1140" s="51" t="str">
        <f>IF(ISERROR(FIND('112'!$M$9,G1140,1)),"",IF((AND(RIGHT(G1140,2)=RIGHT('112'!$M$9,2),B1140&lt;'112'!$N$8,$M1140='112'!$I$6)),"x",""))</f>
        <v/>
      </c>
      <c r="U1140" s="51" t="str">
        <f>IF(AND(L1140="154",'154'!$O$5&lt;=B1140,'154'!$P$5&gt;=B1140),"154",IF(AND(L1140="632",'632'!$L$5&lt;=B1140,'632'!$M$5&gt;=B1140),"632",IF(AND(L1140="642",'642'!$N$5&lt;=B1140,'642'!$O$5&gt;=B1140),"642",IF(AND(L1140="641",'641'!$N$5&lt;=B1140,'641'!$O$5&gt;=B1140),"641",""))))</f>
        <v/>
      </c>
      <c r="V1140" s="51" t="str">
        <f>IF(OR(TH!L1140=TH!$V$7,M1140=TH!$V$7),"x","")</f>
        <v/>
      </c>
      <c r="W1140" s="51" t="str">
        <f>IF(AND(B1140&gt;='IN-NX'!$P$3,B1140&lt;='IN-NX'!$Q$3,'IN-NX'!$D$7=D1140,OR(LEFT(L1140,2)="15",AND(LEFT(M1140,2)&lt;&gt;"15",LEFT(M1140,2)&lt;&gt;"33"))),"x","")</f>
        <v/>
      </c>
      <c r="X1140" s="51" t="str">
        <f>IF(AND(OR(LEFT(TH!L1140,2)="15",LEFT(TH!M1140,2)="15"),'152-CT'!$J$8=TH!F1140),"x","")</f>
        <v/>
      </c>
      <c r="Y1140" s="51" t="str">
        <f>IF(AND(OR(LEFT(TH!L1140,2)="15",LEFT(TH!M1140,2)="15"),TK!$E$7=TH!F1140),"x","")</f>
        <v/>
      </c>
      <c r="Z1140" s="51" t="str">
        <f>IF(AND(B1140&lt;=NKC!$N$8,B1140&gt;=NKC!$M$8),"x","")</f>
        <v/>
      </c>
      <c r="AA1140" s="803"/>
      <c r="AB1140" s="565"/>
    </row>
    <row r="1141" spans="1:31" ht="15.75" customHeight="1">
      <c r="A1141" s="804" t="str">
        <f>IF(B1141&lt;&gt;"",IF(AND(B1141&gt;=_TM1,B1141&lt;=_TM2,OR(TH!L1141="1111",TH!M1141="1111")),TH!D1141,""),"")</f>
        <v/>
      </c>
      <c r="B1141" s="36">
        <f t="shared" si="76"/>
        <v>11</v>
      </c>
      <c r="C1141" s="189">
        <f t="shared" si="77"/>
        <v>42328</v>
      </c>
      <c r="D1141" s="189" t="s">
        <v>1313</v>
      </c>
      <c r="E1141" s="189">
        <v>42328</v>
      </c>
      <c r="F1141" s="190" t="s">
        <v>845</v>
      </c>
      <c r="G1141" s="811" t="s">
        <v>1095</v>
      </c>
      <c r="H1141" s="191" t="s">
        <v>1014</v>
      </c>
      <c r="I1141" s="243">
        <v>500</v>
      </c>
      <c r="J1141" s="243">
        <v>17500</v>
      </c>
      <c r="K1141" s="573">
        <f>ROUND(I1141*J1141,0)</f>
        <v>8750000</v>
      </c>
      <c r="L1141" s="574" t="s">
        <v>250</v>
      </c>
      <c r="M1141" s="574" t="s">
        <v>164</v>
      </c>
      <c r="N1141" s="51" t="str">
        <f>IF(AND('331-CT'!$E$7=TH!H1141,OR(L1141="331",M1141="331")),"331",IF(AND(OR(L1141="131",M1141="131"),H1141='131-CT'!$E$7),"131",""))</f>
        <v/>
      </c>
      <c r="O1141" s="51" t="str">
        <f>IF(AND($B1141&gt;='111'!$N$11,$B1141&lt;='111'!$O$11,OR($L1141=$O$7,$M1141=$O$7)),"x","")</f>
        <v/>
      </c>
      <c r="P1141" s="51" t="str">
        <f>IF(AND($L1141=$O$7,$B1141&lt;'111'!$N$11),"x","")</f>
        <v/>
      </c>
      <c r="Q1141" s="51" t="str">
        <f>IF(AND($M1141=$O$7,$B1141&lt;'111'!$N$11),"x","")</f>
        <v/>
      </c>
      <c r="R1141" s="51" t="str">
        <f>IF(ISERROR(FIND('112'!$M$9,G1141,1)),"",IF((AND(FIND('112'!$M$9,G1141,1)&gt;=1,$B1141&gt;='112'!$N$8,$B1141&lt;='112'!$O$8,OR($L1141='112'!$I$6,$M1141='112'!$I$6))),"x",""))</f>
        <v/>
      </c>
      <c r="S1141" s="51" t="str">
        <f>IF(ISERROR(FIND('112'!$M$9,G1141,1)),"",IF((AND(LEFT(G1141,2)=LEFT('112'!$M$9,2),B1141&lt;'112'!$N$8,$L1141='112'!$I$6)),"x",""))</f>
        <v/>
      </c>
      <c r="T1141" s="51" t="str">
        <f>IF(ISERROR(FIND('112'!$M$9,G1141,1)),"",IF((AND(RIGHT(G1141,2)=RIGHT('112'!$M$9,2),B1141&lt;'112'!$N$8,$M1141='112'!$I$6)),"x",""))</f>
        <v/>
      </c>
      <c r="U1141" s="51" t="str">
        <f>IF(AND(L1141="154",'154'!$O$5&lt;=B1141,'154'!$P$5&gt;=B1141),"154",IF(AND(L1141="632",'632'!$L$5&lt;=B1141,'632'!$M$5&gt;=B1141),"632",IF(AND(L1141="642",'642'!$N$5&lt;=B1141,'642'!$O$5&gt;=B1141),"642",IF(AND(L1141="641",'641'!$N$5&lt;=B1141,'641'!$O$5&gt;=B1141),"641",""))))</f>
        <v/>
      </c>
      <c r="V1141" s="51" t="str">
        <f>IF(OR(TH!L1141=TH!$V$7,M1141=TH!$V$7),"x","")</f>
        <v/>
      </c>
      <c r="W1141" s="51" t="str">
        <f>IF(AND(B1141&gt;='IN-NX'!$P$3,B1141&lt;='IN-NX'!$Q$3,'IN-NX'!$D$7=D1141,OR(LEFT(L1141,2)="15",AND(LEFT(M1141,2)&lt;&gt;"15",LEFT(M1141,2)&lt;&gt;"33"))),"x","")</f>
        <v/>
      </c>
      <c r="X1141" s="51" t="str">
        <f>IF(AND(OR(LEFT(TH!L1141,2)="15",LEFT(TH!M1141,2)="15"),'152-CT'!$J$8=TH!F1141),"x","")</f>
        <v/>
      </c>
      <c r="Y1141" s="51" t="str">
        <f>IF(AND(OR(LEFT(TH!L1141,2)="15",LEFT(TH!M1141,2)="15"),TK!$E$7=TH!F1141),"x","")</f>
        <v/>
      </c>
      <c r="Z1141" s="51" t="str">
        <f>IF(AND(B1141&lt;=NKC!$N$8,B1141&gt;=NKC!$M$8),"x","")</f>
        <v/>
      </c>
      <c r="AA1141" s="803"/>
      <c r="AB1141" s="565"/>
    </row>
    <row r="1142" spans="1:31" ht="15.75" customHeight="1">
      <c r="A1142" s="804" t="str">
        <f>IF(B1142&lt;&gt;"",IF(AND(B1142&gt;=_TM1,B1142&lt;=_TM2,OR(TH!L1142="1111",TH!M1142="1111")),TH!D1142,""),"")</f>
        <v/>
      </c>
      <c r="B1142" s="36">
        <f t="shared" si="76"/>
        <v>11</v>
      </c>
      <c r="C1142" s="189">
        <f t="shared" si="77"/>
        <v>42328</v>
      </c>
      <c r="D1142" s="189" t="s">
        <v>1313</v>
      </c>
      <c r="E1142" s="189">
        <v>42328</v>
      </c>
      <c r="F1142" s="190" t="s">
        <v>1231</v>
      </c>
      <c r="G1142" s="811" t="s">
        <v>1095</v>
      </c>
      <c r="H1142" s="191" t="s">
        <v>1014</v>
      </c>
      <c r="I1142" s="243">
        <v>20</v>
      </c>
      <c r="J1142" s="243">
        <v>24948</v>
      </c>
      <c r="K1142" s="573">
        <f>ROUND(I1142*J1142,0)</f>
        <v>498960</v>
      </c>
      <c r="L1142" s="574" t="s">
        <v>250</v>
      </c>
      <c r="M1142" s="574" t="s">
        <v>164</v>
      </c>
      <c r="N1142" s="51" t="str">
        <f>IF(AND('331-CT'!$E$7=TH!H1142,OR(L1142="331",M1142="331")),"331",IF(AND(OR(L1142="131",M1142="131"),H1142='131-CT'!$E$7),"131",""))</f>
        <v/>
      </c>
      <c r="O1142" s="51" t="str">
        <f>IF(AND($B1142&gt;='111'!$N$11,$B1142&lt;='111'!$O$11,OR($L1142=$O$7,$M1142=$O$7)),"x","")</f>
        <v/>
      </c>
      <c r="P1142" s="51" t="str">
        <f>IF(AND($L1142=$O$7,$B1142&lt;'111'!$N$11),"x","")</f>
        <v/>
      </c>
      <c r="Q1142" s="51" t="str">
        <f>IF(AND($M1142=$O$7,$B1142&lt;'111'!$N$11),"x","")</f>
        <v/>
      </c>
      <c r="R1142" s="51" t="str">
        <f>IF(ISERROR(FIND('112'!$M$9,G1142,1)),"",IF((AND(FIND('112'!$M$9,G1142,1)&gt;=1,$B1142&gt;='112'!$N$8,$B1142&lt;='112'!$O$8,OR($L1142='112'!$I$6,$M1142='112'!$I$6))),"x",""))</f>
        <v/>
      </c>
      <c r="S1142" s="51" t="str">
        <f>IF(ISERROR(FIND('112'!$M$9,G1142,1)),"",IF((AND(LEFT(G1142,2)=LEFT('112'!$M$9,2),B1142&lt;'112'!$N$8,$L1142='112'!$I$6)),"x",""))</f>
        <v/>
      </c>
      <c r="T1142" s="51" t="str">
        <f>IF(ISERROR(FIND('112'!$M$9,G1142,1)),"",IF((AND(RIGHT(G1142,2)=RIGHT('112'!$M$9,2),B1142&lt;'112'!$N$8,$M1142='112'!$I$6)),"x",""))</f>
        <v/>
      </c>
      <c r="U1142" s="51" t="str">
        <f>IF(AND(L1142="154",'154'!$O$5&lt;=B1142,'154'!$P$5&gt;=B1142),"154",IF(AND(L1142="632",'632'!$L$5&lt;=B1142,'632'!$M$5&gt;=B1142),"632",IF(AND(L1142="642",'642'!$N$5&lt;=B1142,'642'!$O$5&gt;=B1142),"642",IF(AND(L1142="641",'641'!$N$5&lt;=B1142,'641'!$O$5&gt;=B1142),"641",""))))</f>
        <v/>
      </c>
      <c r="V1142" s="51" t="str">
        <f>IF(OR(TH!L1142=TH!$V$7,M1142=TH!$V$7),"x","")</f>
        <v/>
      </c>
      <c r="W1142" s="51" t="str">
        <f>IF(AND(B1142&gt;='IN-NX'!$P$3,B1142&lt;='IN-NX'!$Q$3,'IN-NX'!$D$7=D1142,OR(LEFT(L1142,2)="15",AND(LEFT(M1142,2)&lt;&gt;"15",LEFT(M1142,2)&lt;&gt;"33"))),"x","")</f>
        <v/>
      </c>
      <c r="X1142" s="51" t="str">
        <f>IF(AND(OR(LEFT(TH!L1142,2)="15",LEFT(TH!M1142,2)="15"),'152-CT'!$J$8=TH!F1142),"x","")</f>
        <v/>
      </c>
      <c r="Y1142" s="51" t="str">
        <f>IF(AND(OR(LEFT(TH!L1142,2)="15",LEFT(TH!M1142,2)="15"),TK!$E$7=TH!F1142),"x","")</f>
        <v/>
      </c>
      <c r="Z1142" s="51" t="str">
        <f>IF(AND(B1142&lt;=NKC!$N$8,B1142&gt;=NKC!$M$8),"x","")</f>
        <v/>
      </c>
      <c r="AA1142" s="803"/>
      <c r="AB1142" s="565"/>
    </row>
    <row r="1143" spans="1:31" ht="15.75" customHeight="1">
      <c r="A1143" s="804" t="str">
        <f>IF(B1143&lt;&gt;"",IF(AND(B1143&gt;=_TM1,B1143&lt;=_TM2,OR(TH!L1143="1111",TH!M1143="1111")),TH!D1143,""),"")</f>
        <v/>
      </c>
      <c r="B1143" s="36">
        <f t="shared" si="76"/>
        <v>11</v>
      </c>
      <c r="C1143" s="189">
        <f t="shared" si="77"/>
        <v>42328</v>
      </c>
      <c r="D1143" s="189" t="s">
        <v>1313</v>
      </c>
      <c r="E1143" s="189">
        <v>42328</v>
      </c>
      <c r="F1143" s="190" t="s">
        <v>705</v>
      </c>
      <c r="G1143" s="811" t="s">
        <v>1095</v>
      </c>
      <c r="H1143" s="191" t="s">
        <v>1014</v>
      </c>
      <c r="I1143" s="244"/>
      <c r="J1143" s="244"/>
      <c r="K1143" s="573">
        <v>924896</v>
      </c>
      <c r="L1143" s="574" t="s">
        <v>250</v>
      </c>
      <c r="M1143" s="574" t="s">
        <v>352</v>
      </c>
      <c r="N1143" s="51" t="str">
        <f>IF(AND('331-CT'!$E$7=TH!H1143,OR(L1143="331",M1143="331")),"331",IF(AND(OR(L1143="131",M1143="131"),H1143='131-CT'!$E$7),"131",""))</f>
        <v/>
      </c>
      <c r="O1143" s="51" t="str">
        <f>IF(AND($B1143&gt;='111'!$N$11,$B1143&lt;='111'!$O$11,OR($L1143=$O$7,$M1143=$O$7)),"x","")</f>
        <v/>
      </c>
      <c r="P1143" s="51" t="str">
        <f>IF(AND($L1143=$O$7,$B1143&lt;'111'!$N$11),"x","")</f>
        <v/>
      </c>
      <c r="Q1143" s="51" t="str">
        <f>IF(AND($M1143=$O$7,$B1143&lt;'111'!$N$11),"x","")</f>
        <v/>
      </c>
      <c r="R1143" s="51" t="str">
        <f>IF(ISERROR(FIND('112'!$M$9,G1143,1)),"",IF((AND(FIND('112'!$M$9,G1143,1)&gt;=1,$B1143&gt;='112'!$N$8,$B1143&lt;='112'!$O$8,OR($L1143='112'!$I$6,$M1143='112'!$I$6))),"x",""))</f>
        <v/>
      </c>
      <c r="S1143" s="51" t="str">
        <f>IF(ISERROR(FIND('112'!$M$9,G1143,1)),"",IF((AND(LEFT(G1143,2)=LEFT('112'!$M$9,2),B1143&lt;'112'!$N$8,$L1143='112'!$I$6)),"x",""))</f>
        <v/>
      </c>
      <c r="T1143" s="51" t="str">
        <f>IF(ISERROR(FIND('112'!$M$9,G1143,1)),"",IF((AND(RIGHT(G1143,2)=RIGHT('112'!$M$9,2),B1143&lt;'112'!$N$8,$M1143='112'!$I$6)),"x",""))</f>
        <v/>
      </c>
      <c r="U1143" s="51" t="str">
        <f>IF(AND(L1143="154",'154'!$O$5&lt;=B1143,'154'!$P$5&gt;=B1143),"154",IF(AND(L1143="632",'632'!$L$5&lt;=B1143,'632'!$M$5&gt;=B1143),"632",IF(AND(L1143="642",'642'!$N$5&lt;=B1143,'642'!$O$5&gt;=B1143),"642",IF(AND(L1143="641",'641'!$N$5&lt;=B1143,'641'!$O$5&gt;=B1143),"641",""))))</f>
        <v/>
      </c>
      <c r="V1143" s="51" t="str">
        <f>IF(OR(TH!L1143=TH!$V$7,M1143=TH!$V$7),"x","")</f>
        <v/>
      </c>
      <c r="W1143" s="51" t="str">
        <f>IF(AND(B1143&gt;='IN-NX'!$P$3,B1143&lt;='IN-NX'!$Q$3,'IN-NX'!$D$7=D1143,OR(LEFT(L1143,2)="15",AND(LEFT(M1143,2)&lt;&gt;"15",LEFT(M1143,2)&lt;&gt;"33"))),"x","")</f>
        <v/>
      </c>
      <c r="X1143" s="51" t="str">
        <f>IF(AND(OR(LEFT(TH!L1143,2)="15",LEFT(TH!M1143,2)="15"),'152-CT'!$J$8=TH!F1143),"x","")</f>
        <v/>
      </c>
      <c r="Y1143" s="51" t="str">
        <f>IF(AND(OR(LEFT(TH!L1143,2)="15",LEFT(TH!M1143,2)="15"),TK!$E$7=TH!F1143),"x","")</f>
        <v/>
      </c>
      <c r="Z1143" s="51" t="str">
        <f>IF(AND(B1143&lt;=NKC!$N$8,B1143&gt;=NKC!$M$8),"x","")</f>
        <v/>
      </c>
      <c r="AA1143" s="803"/>
      <c r="AB1143" s="565"/>
    </row>
    <row r="1144" spans="1:31" ht="15.75" customHeight="1">
      <c r="A1144" s="804" t="str">
        <f>IF(B1144&lt;&gt;"",IF(AND(B1144&gt;=_TM1,B1144&lt;=_TM2,OR(TH!L1144="1111",TH!M1144="1111")),TH!D1144,""),"")</f>
        <v/>
      </c>
      <c r="B1144" s="36">
        <f t="shared" si="76"/>
        <v>11</v>
      </c>
      <c r="C1144" s="189">
        <f t="shared" si="77"/>
        <v>42328</v>
      </c>
      <c r="D1144" s="189" t="s">
        <v>1383</v>
      </c>
      <c r="E1144" s="189">
        <v>42328</v>
      </c>
      <c r="F1144" s="190" t="s">
        <v>423</v>
      </c>
      <c r="G1144" s="811" t="s">
        <v>1095</v>
      </c>
      <c r="H1144" s="191" t="s">
        <v>1014</v>
      </c>
      <c r="I1144" s="244"/>
      <c r="J1144" s="244"/>
      <c r="K1144" s="573">
        <v>10173856</v>
      </c>
      <c r="L1144" s="574" t="s">
        <v>47</v>
      </c>
      <c r="M1144" s="574" t="s">
        <v>250</v>
      </c>
      <c r="N1144" s="51" t="str">
        <f>IF(AND('331-CT'!$E$7=TH!H1144,OR(L1144="331",M1144="331")),"331",IF(AND(OR(L1144="131",M1144="131"),H1144='131-CT'!$E$7),"131",""))</f>
        <v/>
      </c>
      <c r="O1144" s="51" t="str">
        <f>IF(AND($B1144&gt;='111'!$N$11,$B1144&lt;='111'!$O$11,OR($L1144=$O$7,$M1144=$O$7)),"x","")</f>
        <v>x</v>
      </c>
      <c r="P1144" s="51" t="str">
        <f>IF(AND($L1144=$O$7,$B1144&lt;'111'!$N$11),"x","")</f>
        <v/>
      </c>
      <c r="Q1144" s="51" t="str">
        <f>IF(AND($M1144=$O$7,$B1144&lt;'111'!$N$11),"x","")</f>
        <v/>
      </c>
      <c r="R1144" s="51" t="str">
        <f>IF(ISERROR(FIND('112'!$M$9,G1144,1)),"",IF((AND(FIND('112'!$M$9,G1144,1)&gt;=1,$B1144&gt;='112'!$N$8,$B1144&lt;='112'!$O$8,OR($L1144='112'!$I$6,$M1144='112'!$I$6))),"x",""))</f>
        <v/>
      </c>
      <c r="S1144" s="51" t="str">
        <f>IF(ISERROR(FIND('112'!$M$9,G1144,1)),"",IF((AND(LEFT(G1144,2)=LEFT('112'!$M$9,2),B1144&lt;'112'!$N$8,$L1144='112'!$I$6)),"x",""))</f>
        <v/>
      </c>
      <c r="T1144" s="51" t="str">
        <f>IF(ISERROR(FIND('112'!$M$9,G1144,1)),"",IF((AND(RIGHT(G1144,2)=RIGHT('112'!$M$9,2),B1144&lt;'112'!$N$8,$M1144='112'!$I$6)),"x",""))</f>
        <v/>
      </c>
      <c r="U1144" s="51" t="str">
        <f>IF(AND(L1144="154",'154'!$O$5&lt;=B1144,'154'!$P$5&gt;=B1144),"154",IF(AND(L1144="632",'632'!$L$5&lt;=B1144,'632'!$M$5&gt;=B1144),"632",IF(AND(L1144="642",'642'!$N$5&lt;=B1144,'642'!$O$5&gt;=B1144),"642",IF(AND(L1144="641",'641'!$N$5&lt;=B1144,'641'!$O$5&gt;=B1144),"641",""))))</f>
        <v/>
      </c>
      <c r="V1144" s="51" t="str">
        <f>IF(OR(TH!L1144=TH!$V$7,M1144=TH!$V$7),"x","")</f>
        <v/>
      </c>
      <c r="W1144" s="51" t="str">
        <f>IF(AND(B1144&gt;='IN-NX'!$P$3,B1144&lt;='IN-NX'!$Q$3,'IN-NX'!$D$7=D1144,OR(LEFT(L1144,2)="15",AND(LEFT(M1144,2)&lt;&gt;"15",LEFT(M1144,2)&lt;&gt;"33"))),"x","")</f>
        <v/>
      </c>
      <c r="X1144" s="51" t="str">
        <f>IF(AND(OR(LEFT(TH!L1144,2)="15",LEFT(TH!M1144,2)="15"),'152-CT'!$J$8=TH!F1144),"x","")</f>
        <v/>
      </c>
      <c r="Y1144" s="51" t="str">
        <f>IF(AND(OR(LEFT(TH!L1144,2)="15",LEFT(TH!M1144,2)="15"),TK!$E$7=TH!F1144),"x","")</f>
        <v/>
      </c>
      <c r="Z1144" s="51" t="str">
        <f>IF(AND(B1144&lt;=NKC!$N$8,B1144&gt;=NKC!$M$8),"x","")</f>
        <v/>
      </c>
      <c r="AA1144" s="803"/>
      <c r="AB1144" s="565"/>
    </row>
    <row r="1145" spans="1:31" ht="15.75" customHeight="1">
      <c r="A1145" s="804" t="str">
        <f>IF(B1145&lt;&gt;"",IF(AND(B1145&gt;=_TM1,B1145&lt;=_TM2,OR(TH!L1145="1111",TH!M1145="1111")),TH!D1145,""),"")</f>
        <v/>
      </c>
      <c r="B1145" s="36">
        <f t="shared" si="76"/>
        <v>11</v>
      </c>
      <c r="C1145" s="189">
        <f t="shared" si="77"/>
        <v>42329</v>
      </c>
      <c r="D1145" s="189" t="s">
        <v>1412</v>
      </c>
      <c r="E1145" s="189">
        <v>42329</v>
      </c>
      <c r="F1145" s="190" t="s">
        <v>558</v>
      </c>
      <c r="G1145" s="813" t="s">
        <v>839</v>
      </c>
      <c r="H1145" s="7" t="s">
        <v>559</v>
      </c>
      <c r="I1145" s="243"/>
      <c r="J1145" s="243"/>
      <c r="K1145" s="573">
        <v>109091</v>
      </c>
      <c r="L1145" s="574" t="s">
        <v>83</v>
      </c>
      <c r="M1145" s="574" t="s">
        <v>47</v>
      </c>
      <c r="N1145" s="51" t="str">
        <f>IF(AND('331-CT'!$E$7=TH!H1145,OR(L1145="331",M1145="331")),"331",IF(AND(OR(L1145="131",M1145="131"),H1145='131-CT'!$E$7),"131",""))</f>
        <v/>
      </c>
      <c r="O1145" s="51" t="str">
        <f>IF(AND($B1145&gt;='111'!$N$11,$B1145&lt;='111'!$O$11,OR($L1145=$O$7,$M1145=$O$7)),"x","")</f>
        <v>x</v>
      </c>
      <c r="P1145" s="51" t="str">
        <f>IF(AND($L1145=$O$7,$B1145&lt;'111'!$N$11),"x","")</f>
        <v/>
      </c>
      <c r="Q1145" s="51" t="str">
        <f>IF(AND($M1145=$O$7,$B1145&lt;'111'!$N$11),"x","")</f>
        <v/>
      </c>
      <c r="R1145" s="51" t="str">
        <f>IF(ISERROR(FIND('112'!$M$9,G1145,1)),"",IF((AND(FIND('112'!$M$9,G1145,1)&gt;=1,$B1145&gt;='112'!$N$8,$B1145&lt;='112'!$O$8,OR($L1145='112'!$I$6,$M1145='112'!$I$6))),"x",""))</f>
        <v/>
      </c>
      <c r="S1145" s="51" t="str">
        <f>IF(ISERROR(FIND('112'!$M$9,G1145,1)),"",IF((AND(LEFT(G1145,2)=LEFT('112'!$M$9,2),B1145&lt;'112'!$N$8,$L1145='112'!$I$6)),"x",""))</f>
        <v/>
      </c>
      <c r="T1145" s="51" t="str">
        <f>IF(ISERROR(FIND('112'!$M$9,G1145,1)),"",IF((AND(RIGHT(G1145,2)=RIGHT('112'!$M$9,2),B1145&lt;'112'!$N$8,$M1145='112'!$I$6)),"x",""))</f>
        <v/>
      </c>
      <c r="U1145" s="51" t="str">
        <f>IF(AND(L1145="154",'154'!$O$5&lt;=B1145,'154'!$P$5&gt;=B1145),"154",IF(AND(L1145="632",'632'!$L$5&lt;=B1145,'632'!$M$5&gt;=B1145),"632",IF(AND(L1145="642",'642'!$N$5&lt;=B1145,'642'!$O$5&gt;=B1145),"642",IF(AND(L1145="641",'641'!$N$5&lt;=B1145,'641'!$O$5&gt;=B1145),"641",""))))</f>
        <v/>
      </c>
      <c r="V1145" s="51" t="str">
        <f>IF(OR(TH!L1145=TH!$V$7,M1145=TH!$V$7),"x","")</f>
        <v>x</v>
      </c>
      <c r="W1145" s="51" t="str">
        <f>IF(AND(B1145&gt;='IN-NX'!$P$3,B1145&lt;='IN-NX'!$Q$3,'IN-NX'!$D$7=D1145,OR(LEFT(L1145,2)="15",AND(LEFT(M1145,2)&lt;&gt;"15",LEFT(M1145,2)&lt;&gt;"33"))),"x","")</f>
        <v/>
      </c>
      <c r="X1145" s="51" t="str">
        <f>IF(AND(OR(LEFT(TH!L1145,2)="15",LEFT(TH!M1145,2)="15"),'152-CT'!$J$8=TH!F1145),"x","")</f>
        <v/>
      </c>
      <c r="Y1145" s="51" t="str">
        <f>IF(AND(OR(LEFT(TH!L1145,2)="15",LEFT(TH!M1145,2)="15"),TK!$E$7=TH!F1145),"x","")</f>
        <v/>
      </c>
      <c r="Z1145" s="51" t="str">
        <f>IF(AND(B1145&lt;=NKC!$N$8,B1145&gt;=NKC!$M$8),"x","")</f>
        <v/>
      </c>
      <c r="AA1145" s="803"/>
      <c r="AB1145" s="565"/>
      <c r="AE1145" s="565"/>
    </row>
    <row r="1146" spans="1:31" ht="15.75" customHeight="1">
      <c r="A1146" s="804" t="str">
        <f>IF(B1146&lt;&gt;"",IF(AND(B1146&gt;=_TM1,B1146&lt;=_TM2,OR(TH!L1146="1111",TH!M1146="1111")),TH!D1146,""),"")</f>
        <v/>
      </c>
      <c r="B1146" s="36">
        <f t="shared" si="76"/>
        <v>11</v>
      </c>
      <c r="C1146" s="189">
        <f t="shared" si="77"/>
        <v>42329</v>
      </c>
      <c r="D1146" s="189" t="s">
        <v>1412</v>
      </c>
      <c r="E1146" s="189">
        <v>42329</v>
      </c>
      <c r="F1146" s="190" t="s">
        <v>560</v>
      </c>
      <c r="G1146" s="813" t="s">
        <v>839</v>
      </c>
      <c r="H1146" s="7" t="s">
        <v>559</v>
      </c>
      <c r="I1146" s="243"/>
      <c r="J1146" s="243"/>
      <c r="K1146" s="573">
        <v>10909</v>
      </c>
      <c r="L1146" s="574" t="s">
        <v>9</v>
      </c>
      <c r="M1146" s="574" t="s">
        <v>47</v>
      </c>
      <c r="N1146" s="51" t="str">
        <f>IF(AND('331-CT'!$E$7=TH!H1146,OR(L1146="331",M1146="331")),"331",IF(AND(OR(L1146="131",M1146="131"),H1146='131-CT'!$E$7),"131",""))</f>
        <v/>
      </c>
      <c r="O1146" s="51" t="str">
        <f>IF(AND($B1146&gt;='111'!$N$11,$B1146&lt;='111'!$O$11,OR($L1146=$O$7,$M1146=$O$7)),"x","")</f>
        <v>x</v>
      </c>
      <c r="P1146" s="51" t="str">
        <f>IF(AND($L1146=$O$7,$B1146&lt;'111'!$N$11),"x","")</f>
        <v/>
      </c>
      <c r="Q1146" s="51" t="str">
        <f>IF(AND($M1146=$O$7,$B1146&lt;'111'!$N$11),"x","")</f>
        <v/>
      </c>
      <c r="R1146" s="51" t="str">
        <f>IF(ISERROR(FIND('112'!$M$9,G1146,1)),"",IF((AND(FIND('112'!$M$9,G1146,1)&gt;=1,$B1146&gt;='112'!$N$8,$B1146&lt;='112'!$O$8,OR($L1146='112'!$I$6,$M1146='112'!$I$6))),"x",""))</f>
        <v/>
      </c>
      <c r="S1146" s="51" t="str">
        <f>IF(ISERROR(FIND('112'!$M$9,G1146,1)),"",IF((AND(LEFT(G1146,2)=LEFT('112'!$M$9,2),B1146&lt;'112'!$N$8,$L1146='112'!$I$6)),"x",""))</f>
        <v/>
      </c>
      <c r="T1146" s="51" t="str">
        <f>IF(ISERROR(FIND('112'!$M$9,G1146,1)),"",IF((AND(RIGHT(G1146,2)=RIGHT('112'!$M$9,2),B1146&lt;'112'!$N$8,$M1146='112'!$I$6)),"x",""))</f>
        <v/>
      </c>
      <c r="U1146" s="51" t="str">
        <f>IF(AND(L1146="154",'154'!$O$5&lt;=B1146,'154'!$P$5&gt;=B1146),"154",IF(AND(L1146="632",'632'!$L$5&lt;=B1146,'632'!$M$5&gt;=B1146),"632",IF(AND(L1146="642",'642'!$N$5&lt;=B1146,'642'!$O$5&gt;=B1146),"642",IF(AND(L1146="641",'641'!$N$5&lt;=B1146,'641'!$O$5&gt;=B1146),"641",""))))</f>
        <v/>
      </c>
      <c r="V1146" s="51" t="str">
        <f>IF(OR(TH!L1146=TH!$V$7,M1146=TH!$V$7),"x","")</f>
        <v/>
      </c>
      <c r="W1146" s="51" t="str">
        <f>IF(AND(B1146&gt;='IN-NX'!$P$3,B1146&lt;='IN-NX'!$Q$3,'IN-NX'!$D$7=D1146,OR(LEFT(L1146,2)="15",AND(LEFT(M1146,2)&lt;&gt;"15",LEFT(M1146,2)&lt;&gt;"33"))),"x","")</f>
        <v/>
      </c>
      <c r="X1146" s="51" t="str">
        <f>IF(AND(OR(LEFT(TH!L1146,2)="15",LEFT(TH!M1146,2)="15"),'152-CT'!$J$8=TH!F1146),"x","")</f>
        <v/>
      </c>
      <c r="Y1146" s="51" t="str">
        <f>IF(AND(OR(LEFT(TH!L1146,2)="15",LEFT(TH!M1146,2)="15"),TK!$E$7=TH!F1146),"x","")</f>
        <v/>
      </c>
      <c r="Z1146" s="51" t="str">
        <f>IF(AND(B1146&lt;=NKC!$N$8,B1146&gt;=NKC!$M$8),"x","")</f>
        <v/>
      </c>
      <c r="AA1146" s="803">
        <v>4</v>
      </c>
      <c r="AB1146" s="565"/>
      <c r="AE1146" s="565"/>
    </row>
    <row r="1147" spans="1:31" ht="15.75" customHeight="1">
      <c r="A1147" s="804" t="str">
        <f>IF(B1147&lt;&gt;"",IF(AND(B1147&gt;=_TM1,B1147&lt;=_TM2,OR(TH!L1147="1111",TH!M1147="1111")),TH!D1147,""),"")</f>
        <v/>
      </c>
      <c r="B1147" s="36">
        <f t="shared" si="76"/>
        <v>11</v>
      </c>
      <c r="C1147" s="189">
        <f t="shared" si="77"/>
        <v>42329</v>
      </c>
      <c r="D1147" s="189" t="s">
        <v>1314</v>
      </c>
      <c r="E1147" s="189">
        <v>42329</v>
      </c>
      <c r="F1147" s="917" t="s">
        <v>692</v>
      </c>
      <c r="G1147" s="811" t="s">
        <v>1096</v>
      </c>
      <c r="H1147" s="191" t="s">
        <v>1027</v>
      </c>
      <c r="I1147" s="243">
        <v>400</v>
      </c>
      <c r="J1147" s="243">
        <v>13300</v>
      </c>
      <c r="K1147" s="573">
        <f>ROUND(I1147*J1147,0)</f>
        <v>5320000</v>
      </c>
      <c r="L1147" s="574" t="s">
        <v>250</v>
      </c>
      <c r="M1147" s="574" t="s">
        <v>164</v>
      </c>
      <c r="N1147" s="51" t="str">
        <f>IF(AND('331-CT'!$E$7=TH!H1147,OR(L1147="331",M1147="331")),"331",IF(AND(OR(L1147="131",M1147="131"),H1147='131-CT'!$E$7),"131",""))</f>
        <v>131</v>
      </c>
      <c r="O1147" s="51" t="str">
        <f>IF(AND($B1147&gt;='111'!$N$11,$B1147&lt;='111'!$O$11,OR($L1147=$O$7,$M1147=$O$7)),"x","")</f>
        <v/>
      </c>
      <c r="P1147" s="51" t="str">
        <f>IF(AND($L1147=$O$7,$B1147&lt;'111'!$N$11),"x","")</f>
        <v/>
      </c>
      <c r="Q1147" s="51" t="str">
        <f>IF(AND($M1147=$O$7,$B1147&lt;'111'!$N$11),"x","")</f>
        <v/>
      </c>
      <c r="R1147" s="51" t="str">
        <f>IF(ISERROR(FIND('112'!$M$9,G1147,1)),"",IF((AND(FIND('112'!$M$9,G1147,1)&gt;=1,$B1147&gt;='112'!$N$8,$B1147&lt;='112'!$O$8,OR($L1147='112'!$I$6,$M1147='112'!$I$6))),"x",""))</f>
        <v/>
      </c>
      <c r="S1147" s="51" t="str">
        <f>IF(ISERROR(FIND('112'!$M$9,G1147,1)),"",IF((AND(LEFT(G1147,2)=LEFT('112'!$M$9,2),B1147&lt;'112'!$N$8,$L1147='112'!$I$6)),"x",""))</f>
        <v/>
      </c>
      <c r="T1147" s="51" t="str">
        <f>IF(ISERROR(FIND('112'!$M$9,G1147,1)),"",IF((AND(RIGHT(G1147,2)=RIGHT('112'!$M$9,2),B1147&lt;'112'!$N$8,$M1147='112'!$I$6)),"x",""))</f>
        <v/>
      </c>
      <c r="U1147" s="51" t="str">
        <f>IF(AND(L1147="154",'154'!$O$5&lt;=B1147,'154'!$P$5&gt;=B1147),"154",IF(AND(L1147="632",'632'!$L$5&lt;=B1147,'632'!$M$5&gt;=B1147),"632",IF(AND(L1147="642",'642'!$N$5&lt;=B1147,'642'!$O$5&gt;=B1147),"642",IF(AND(L1147="641",'641'!$N$5&lt;=B1147,'641'!$O$5&gt;=B1147),"641",""))))</f>
        <v/>
      </c>
      <c r="V1147" s="51" t="str">
        <f>IF(OR(TH!L1147=TH!$V$7,M1147=TH!$V$7),"x","")</f>
        <v/>
      </c>
      <c r="W1147" s="51" t="str">
        <f>IF(AND(B1147&gt;='IN-NX'!$P$3,B1147&lt;='IN-NX'!$Q$3,'IN-NX'!$D$7=D1147,OR(LEFT(L1147,2)="15",AND(LEFT(M1147,2)&lt;&gt;"15",LEFT(M1147,2)&lt;&gt;"33"))),"x","")</f>
        <v/>
      </c>
      <c r="X1147" s="51" t="str">
        <f>IF(AND(OR(LEFT(TH!L1147,2)="15",LEFT(TH!M1147,2)="15"),'152-CT'!$J$8=TH!F1147),"x","")</f>
        <v/>
      </c>
      <c r="Y1147" s="51" t="str">
        <f>IF(AND(OR(LEFT(TH!L1147,2)="15",LEFT(TH!M1147,2)="15"),TK!$E$7=TH!F1147),"x","")</f>
        <v/>
      </c>
      <c r="Z1147" s="51" t="str">
        <f>IF(AND(B1147&lt;=NKC!$N$8,B1147&gt;=NKC!$M$8),"x","")</f>
        <v/>
      </c>
      <c r="AA1147" s="803"/>
      <c r="AB1147" s="565"/>
    </row>
    <row r="1148" spans="1:31" ht="15.75" customHeight="1">
      <c r="A1148" s="804" t="str">
        <f>IF(B1148&lt;&gt;"",IF(AND(B1148&gt;=_TM1,B1148&lt;=_TM2,OR(TH!L1148="1111",TH!M1148="1111")),TH!D1148,""),"")</f>
        <v/>
      </c>
      <c r="B1148" s="36">
        <f t="shared" si="76"/>
        <v>11</v>
      </c>
      <c r="C1148" s="189">
        <f t="shared" si="77"/>
        <v>42329</v>
      </c>
      <c r="D1148" s="189" t="s">
        <v>1314</v>
      </c>
      <c r="E1148" s="189">
        <v>42329</v>
      </c>
      <c r="F1148" s="190" t="s">
        <v>962</v>
      </c>
      <c r="G1148" s="811" t="s">
        <v>1096</v>
      </c>
      <c r="H1148" s="191" t="s">
        <v>1027</v>
      </c>
      <c r="I1148" s="243"/>
      <c r="J1148" s="243"/>
      <c r="K1148" s="573">
        <v>532000</v>
      </c>
      <c r="L1148" s="574" t="s">
        <v>250</v>
      </c>
      <c r="M1148" s="574" t="s">
        <v>352</v>
      </c>
      <c r="N1148" s="51" t="str">
        <f>IF(AND('331-CT'!$E$7=TH!H1148,OR(L1148="331",M1148="331")),"331",IF(AND(OR(L1148="131",M1148="131"),H1148='131-CT'!$E$7),"131",""))</f>
        <v>131</v>
      </c>
      <c r="O1148" s="51" t="str">
        <f>IF(AND($B1148&gt;='111'!$N$11,$B1148&lt;='111'!$O$11,OR($L1148=$O$7,$M1148=$O$7)),"x","")</f>
        <v/>
      </c>
      <c r="P1148" s="51" t="str">
        <f>IF(AND($L1148=$O$7,$B1148&lt;'111'!$N$11),"x","")</f>
        <v/>
      </c>
      <c r="Q1148" s="51" t="str">
        <f>IF(AND($M1148=$O$7,$B1148&lt;'111'!$N$11),"x","")</f>
        <v/>
      </c>
      <c r="R1148" s="51" t="str">
        <f>IF(ISERROR(FIND('112'!$M$9,G1148,1)),"",IF((AND(FIND('112'!$M$9,G1148,1)&gt;=1,$B1148&gt;='112'!$N$8,$B1148&lt;='112'!$O$8,OR($L1148='112'!$I$6,$M1148='112'!$I$6))),"x",""))</f>
        <v/>
      </c>
      <c r="S1148" s="51" t="str">
        <f>IF(ISERROR(FIND('112'!$M$9,G1148,1)),"",IF((AND(LEFT(G1148,2)=LEFT('112'!$M$9,2),B1148&lt;'112'!$N$8,$L1148='112'!$I$6)),"x",""))</f>
        <v/>
      </c>
      <c r="T1148" s="51" t="str">
        <f>IF(ISERROR(FIND('112'!$M$9,G1148,1)),"",IF((AND(RIGHT(G1148,2)=RIGHT('112'!$M$9,2),B1148&lt;'112'!$N$8,$M1148='112'!$I$6)),"x",""))</f>
        <v/>
      </c>
      <c r="U1148" s="51" t="str">
        <f>IF(AND(L1148="154",'154'!$O$5&lt;=B1148,'154'!$P$5&gt;=B1148),"154",IF(AND(L1148="632",'632'!$L$5&lt;=B1148,'632'!$M$5&gt;=B1148),"632",IF(AND(L1148="642",'642'!$N$5&lt;=B1148,'642'!$O$5&gt;=B1148),"642",IF(AND(L1148="641",'641'!$N$5&lt;=B1148,'641'!$O$5&gt;=B1148),"641",""))))</f>
        <v/>
      </c>
      <c r="V1148" s="51" t="str">
        <f>IF(OR(TH!L1148=TH!$V$7,M1148=TH!$V$7),"x","")</f>
        <v/>
      </c>
      <c r="W1148" s="51" t="str">
        <f>IF(AND(B1148&gt;='IN-NX'!$P$3,B1148&lt;='IN-NX'!$Q$3,'IN-NX'!$D$7=D1148,OR(LEFT(L1148,2)="15",AND(LEFT(M1148,2)&lt;&gt;"15",LEFT(M1148,2)&lt;&gt;"33"))),"x","")</f>
        <v/>
      </c>
      <c r="X1148" s="51" t="str">
        <f>IF(AND(OR(LEFT(TH!L1148,2)="15",LEFT(TH!M1148,2)="15"),'152-CT'!$J$8=TH!F1148),"x","")</f>
        <v/>
      </c>
      <c r="Y1148" s="51" t="str">
        <f>IF(AND(OR(LEFT(TH!L1148,2)="15",LEFT(TH!M1148,2)="15"),TK!$E$7=TH!F1148),"x","")</f>
        <v/>
      </c>
      <c r="Z1148" s="51" t="str">
        <f>IF(AND(B1148&lt;=NKC!$N$8,B1148&gt;=NKC!$M$8),"x","")</f>
        <v/>
      </c>
      <c r="AA1148" s="803"/>
      <c r="AB1148" s="565"/>
    </row>
    <row r="1149" spans="1:31" ht="15.75" customHeight="1">
      <c r="A1149" s="804" t="str">
        <f>IF(B1149&lt;&gt;"",IF(AND(B1149&gt;=_TM1,B1149&lt;=_TM2,OR(TH!L1149="1111",TH!M1149="1111")),TH!D1149,""),"")</f>
        <v/>
      </c>
      <c r="B1149" s="36">
        <f t="shared" si="76"/>
        <v>11</v>
      </c>
      <c r="C1149" s="189">
        <f t="shared" si="77"/>
        <v>42329</v>
      </c>
      <c r="D1149" s="189" t="s">
        <v>1385</v>
      </c>
      <c r="E1149" s="189">
        <v>42329</v>
      </c>
      <c r="F1149" s="926" t="s">
        <v>423</v>
      </c>
      <c r="G1149" s="811" t="s">
        <v>1096</v>
      </c>
      <c r="H1149" s="191" t="s">
        <v>1027</v>
      </c>
      <c r="I1149" s="243"/>
      <c r="J1149" s="243"/>
      <c r="K1149" s="573">
        <v>5852000</v>
      </c>
      <c r="L1149" s="574" t="s">
        <v>47</v>
      </c>
      <c r="M1149" s="574" t="s">
        <v>250</v>
      </c>
      <c r="N1149" s="51" t="str">
        <f>IF(AND('331-CT'!$E$7=TH!H1149,OR(L1149="331",M1149="331")),"331",IF(AND(OR(L1149="131",M1149="131"),H1149='131-CT'!$E$7),"131",""))</f>
        <v>131</v>
      </c>
      <c r="O1149" s="51" t="str">
        <f>IF(AND($B1149&gt;='111'!$N$11,$B1149&lt;='111'!$O$11,OR($L1149=$O$7,$M1149=$O$7)),"x","")</f>
        <v>x</v>
      </c>
      <c r="P1149" s="51" t="str">
        <f>IF(AND($L1149=$O$7,$B1149&lt;'111'!$N$11),"x","")</f>
        <v/>
      </c>
      <c r="Q1149" s="51" t="str">
        <f>IF(AND($M1149=$O$7,$B1149&lt;'111'!$N$11),"x","")</f>
        <v/>
      </c>
      <c r="R1149" s="51" t="str">
        <f>IF(ISERROR(FIND('112'!$M$9,G1149,1)),"",IF((AND(FIND('112'!$M$9,G1149,1)&gt;=1,$B1149&gt;='112'!$N$8,$B1149&lt;='112'!$O$8,OR($L1149='112'!$I$6,$M1149='112'!$I$6))),"x",""))</f>
        <v/>
      </c>
      <c r="S1149" s="51" t="str">
        <f>IF(ISERROR(FIND('112'!$M$9,G1149,1)),"",IF((AND(LEFT(G1149,2)=LEFT('112'!$M$9,2),B1149&lt;'112'!$N$8,$L1149='112'!$I$6)),"x",""))</f>
        <v/>
      </c>
      <c r="T1149" s="51" t="str">
        <f>IF(ISERROR(FIND('112'!$M$9,G1149,1)),"",IF((AND(RIGHT(G1149,2)=RIGHT('112'!$M$9,2),B1149&lt;'112'!$N$8,$M1149='112'!$I$6)),"x",""))</f>
        <v/>
      </c>
      <c r="U1149" s="51" t="str">
        <f>IF(AND(L1149="154",'154'!$O$5&lt;=B1149,'154'!$P$5&gt;=B1149),"154",IF(AND(L1149="632",'632'!$L$5&lt;=B1149,'632'!$M$5&gt;=B1149),"632",IF(AND(L1149="642",'642'!$N$5&lt;=B1149,'642'!$O$5&gt;=B1149),"642",IF(AND(L1149="641",'641'!$N$5&lt;=B1149,'641'!$O$5&gt;=B1149),"641",""))))</f>
        <v/>
      </c>
      <c r="V1149" s="51" t="str">
        <f>IF(OR(TH!L1149=TH!$V$7,M1149=TH!$V$7),"x","")</f>
        <v/>
      </c>
      <c r="W1149" s="51" t="str">
        <f>IF(AND(B1149&gt;='IN-NX'!$P$3,B1149&lt;='IN-NX'!$Q$3,'IN-NX'!$D$7=D1149,OR(LEFT(L1149,2)="15",AND(LEFT(M1149,2)&lt;&gt;"15",LEFT(M1149,2)&lt;&gt;"33"))),"x","")</f>
        <v/>
      </c>
      <c r="X1149" s="51" t="str">
        <f>IF(AND(OR(LEFT(TH!L1149,2)="15",LEFT(TH!M1149,2)="15"),'152-CT'!$J$8=TH!F1149),"x","")</f>
        <v/>
      </c>
      <c r="Y1149" s="51" t="str">
        <f>IF(AND(OR(LEFT(TH!L1149,2)="15",LEFT(TH!M1149,2)="15"),TK!$E$7=TH!F1149),"x","")</f>
        <v/>
      </c>
      <c r="Z1149" s="51" t="str">
        <f>IF(AND(B1149&lt;=NKC!$N$8,B1149&gt;=NKC!$M$8),"x","")</f>
        <v/>
      </c>
      <c r="AA1149" s="803"/>
      <c r="AB1149" s="565"/>
    </row>
    <row r="1150" spans="1:31" ht="15.75" customHeight="1">
      <c r="A1150" s="804" t="str">
        <f>IF(B1150&lt;&gt;"",IF(AND(B1150&gt;=_TM1,B1150&lt;=_TM2,OR(TH!L1150="1111",TH!M1150="1111")),TH!D1150,""),"")</f>
        <v/>
      </c>
      <c r="B1150" s="36">
        <f t="shared" si="76"/>
        <v>11</v>
      </c>
      <c r="C1150" s="189">
        <f t="shared" si="77"/>
        <v>42329</v>
      </c>
      <c r="D1150" s="189" t="s">
        <v>1315</v>
      </c>
      <c r="E1150" s="189">
        <v>42329</v>
      </c>
      <c r="F1150" s="926" t="s">
        <v>1238</v>
      </c>
      <c r="G1150" s="811" t="s">
        <v>1097</v>
      </c>
      <c r="H1150" s="191" t="s">
        <v>1063</v>
      </c>
      <c r="I1150" s="244">
        <v>1000</v>
      </c>
      <c r="J1150" s="244">
        <v>9800</v>
      </c>
      <c r="K1150" s="573">
        <f>ROUND(I1150*J1150,0)</f>
        <v>9800000</v>
      </c>
      <c r="L1150" s="574" t="s">
        <v>250</v>
      </c>
      <c r="M1150" s="574" t="s">
        <v>164</v>
      </c>
      <c r="N1150" s="51" t="str">
        <f>IF(AND('331-CT'!$E$7=TH!H1150,OR(L1150="331",M1150="331")),"331",IF(AND(OR(L1150="131",M1150="131"),H1150='131-CT'!$E$7),"131",""))</f>
        <v/>
      </c>
      <c r="O1150" s="51" t="str">
        <f>IF(AND($B1150&gt;='111'!$N$11,$B1150&lt;='111'!$O$11,OR($L1150=$O$7,$M1150=$O$7)),"x","")</f>
        <v/>
      </c>
      <c r="P1150" s="51" t="str">
        <f>IF(AND($L1150=$O$7,$B1150&lt;'111'!$N$11),"x","")</f>
        <v/>
      </c>
      <c r="Q1150" s="51" t="str">
        <f>IF(AND($M1150=$O$7,$B1150&lt;'111'!$N$11),"x","")</f>
        <v/>
      </c>
      <c r="R1150" s="51" t="str">
        <f>IF(ISERROR(FIND('112'!$M$9,G1150,1)),"",IF((AND(FIND('112'!$M$9,G1150,1)&gt;=1,$B1150&gt;='112'!$N$8,$B1150&lt;='112'!$O$8,OR($L1150='112'!$I$6,$M1150='112'!$I$6))),"x",""))</f>
        <v/>
      </c>
      <c r="S1150" s="51" t="str">
        <f>IF(ISERROR(FIND('112'!$M$9,G1150,1)),"",IF((AND(LEFT(G1150,2)=LEFT('112'!$M$9,2),B1150&lt;'112'!$N$8,$L1150='112'!$I$6)),"x",""))</f>
        <v/>
      </c>
      <c r="T1150" s="51" t="str">
        <f>IF(ISERROR(FIND('112'!$M$9,G1150,1)),"",IF((AND(RIGHT(G1150,2)=RIGHT('112'!$M$9,2),B1150&lt;'112'!$N$8,$M1150='112'!$I$6)),"x",""))</f>
        <v/>
      </c>
      <c r="U1150" s="51" t="str">
        <f>IF(AND(L1150="154",'154'!$O$5&lt;=B1150,'154'!$P$5&gt;=B1150),"154",IF(AND(L1150="632",'632'!$L$5&lt;=B1150,'632'!$M$5&gt;=B1150),"632",IF(AND(L1150="642",'642'!$N$5&lt;=B1150,'642'!$O$5&gt;=B1150),"642",IF(AND(L1150="641",'641'!$N$5&lt;=B1150,'641'!$O$5&gt;=B1150),"641",""))))</f>
        <v/>
      </c>
      <c r="V1150" s="51" t="str">
        <f>IF(OR(TH!L1150=TH!$V$7,M1150=TH!$V$7),"x","")</f>
        <v/>
      </c>
      <c r="W1150" s="51" t="str">
        <f>IF(AND(B1150&gt;='IN-NX'!$P$3,B1150&lt;='IN-NX'!$Q$3,'IN-NX'!$D$7=D1150,OR(LEFT(L1150,2)="15",AND(LEFT(M1150,2)&lt;&gt;"15",LEFT(M1150,2)&lt;&gt;"33"))),"x","")</f>
        <v/>
      </c>
      <c r="X1150" s="51" t="str">
        <f>IF(AND(OR(LEFT(TH!L1150,2)="15",LEFT(TH!M1150,2)="15"),'152-CT'!$J$8=TH!F1150),"x","")</f>
        <v/>
      </c>
      <c r="Y1150" s="51" t="str">
        <f>IF(AND(OR(LEFT(TH!L1150,2)="15",LEFT(TH!M1150,2)="15"),TK!$E$7=TH!F1150),"x","")</f>
        <v/>
      </c>
      <c r="Z1150" s="51" t="str">
        <f>IF(AND(B1150&lt;=NKC!$N$8,B1150&gt;=NKC!$M$8),"x","")</f>
        <v/>
      </c>
      <c r="AA1150" s="803"/>
      <c r="AB1150" s="565"/>
    </row>
    <row r="1151" spans="1:31" ht="15.75" customHeight="1">
      <c r="A1151" s="804" t="str">
        <f>IF(B1151&lt;&gt;"",IF(AND(B1151&gt;=_TM1,B1151&lt;=_TM2,OR(TH!L1151="1111",TH!M1151="1111")),TH!D1151,""),"")</f>
        <v/>
      </c>
      <c r="B1151" s="36">
        <f t="shared" si="76"/>
        <v>11</v>
      </c>
      <c r="C1151" s="189">
        <f t="shared" si="77"/>
        <v>42329</v>
      </c>
      <c r="D1151" s="189" t="s">
        <v>1315</v>
      </c>
      <c r="E1151" s="189">
        <v>42329</v>
      </c>
      <c r="F1151" s="926" t="s">
        <v>962</v>
      </c>
      <c r="G1151" s="811" t="s">
        <v>1097</v>
      </c>
      <c r="H1151" s="191" t="s">
        <v>1063</v>
      </c>
      <c r="I1151" s="243"/>
      <c r="J1151" s="243"/>
      <c r="K1151" s="573">
        <v>980000</v>
      </c>
      <c r="L1151" s="574" t="s">
        <v>250</v>
      </c>
      <c r="M1151" s="574" t="s">
        <v>352</v>
      </c>
      <c r="N1151" s="51" t="str">
        <f>IF(AND('331-CT'!$E$7=TH!H1151,OR(L1151="331",M1151="331")),"331",IF(AND(OR(L1151="131",M1151="131"),H1151='131-CT'!$E$7),"131",""))</f>
        <v/>
      </c>
      <c r="O1151" s="51" t="str">
        <f>IF(AND($B1151&gt;='111'!$N$11,$B1151&lt;='111'!$O$11,OR($L1151=$O$7,$M1151=$O$7)),"x","")</f>
        <v/>
      </c>
      <c r="P1151" s="51" t="str">
        <f>IF(AND($L1151=$O$7,$B1151&lt;'111'!$N$11),"x","")</f>
        <v/>
      </c>
      <c r="Q1151" s="51" t="str">
        <f>IF(AND($M1151=$O$7,$B1151&lt;'111'!$N$11),"x","")</f>
        <v/>
      </c>
      <c r="R1151" s="51" t="str">
        <f>IF(ISERROR(FIND('112'!$M$9,G1151,1)),"",IF((AND(FIND('112'!$M$9,G1151,1)&gt;=1,$B1151&gt;='112'!$N$8,$B1151&lt;='112'!$O$8,OR($L1151='112'!$I$6,$M1151='112'!$I$6))),"x",""))</f>
        <v/>
      </c>
      <c r="S1151" s="51" t="str">
        <f>IF(ISERROR(FIND('112'!$M$9,G1151,1)),"",IF((AND(LEFT(G1151,2)=LEFT('112'!$M$9,2),B1151&lt;'112'!$N$8,$L1151='112'!$I$6)),"x",""))</f>
        <v/>
      </c>
      <c r="T1151" s="51" t="str">
        <f>IF(ISERROR(FIND('112'!$M$9,G1151,1)),"",IF((AND(RIGHT(G1151,2)=RIGHT('112'!$M$9,2),B1151&lt;'112'!$N$8,$M1151='112'!$I$6)),"x",""))</f>
        <v/>
      </c>
      <c r="U1151" s="51" t="str">
        <f>IF(AND(L1151="154",'154'!$O$5&lt;=B1151,'154'!$P$5&gt;=B1151),"154",IF(AND(L1151="632",'632'!$L$5&lt;=B1151,'632'!$M$5&gt;=B1151),"632",IF(AND(L1151="642",'642'!$N$5&lt;=B1151,'642'!$O$5&gt;=B1151),"642",IF(AND(L1151="641",'641'!$N$5&lt;=B1151,'641'!$O$5&gt;=B1151),"641",""))))</f>
        <v/>
      </c>
      <c r="V1151" s="51" t="str">
        <f>IF(OR(TH!L1151=TH!$V$7,M1151=TH!$V$7),"x","")</f>
        <v/>
      </c>
      <c r="W1151" s="51" t="str">
        <f>IF(AND(B1151&gt;='IN-NX'!$P$3,B1151&lt;='IN-NX'!$Q$3,'IN-NX'!$D$7=D1151,OR(LEFT(L1151,2)="15",AND(LEFT(M1151,2)&lt;&gt;"15",LEFT(M1151,2)&lt;&gt;"33"))),"x","")</f>
        <v/>
      </c>
      <c r="X1151" s="51" t="str">
        <f>IF(AND(OR(LEFT(TH!L1151,2)="15",LEFT(TH!M1151,2)="15"),'152-CT'!$J$8=TH!F1151),"x","")</f>
        <v/>
      </c>
      <c r="Y1151" s="51" t="str">
        <f>IF(AND(OR(LEFT(TH!L1151,2)="15",LEFT(TH!M1151,2)="15"),TK!$E$7=TH!F1151),"x","")</f>
        <v/>
      </c>
      <c r="Z1151" s="51" t="str">
        <f>IF(AND(B1151&lt;=NKC!$N$8,B1151&gt;=NKC!$M$8),"x","")</f>
        <v/>
      </c>
      <c r="AA1151" s="803"/>
      <c r="AB1151" s="565"/>
    </row>
    <row r="1152" spans="1:31" ht="15.75" customHeight="1">
      <c r="A1152" s="804" t="str">
        <f>IF(B1152&lt;&gt;"",IF(AND(B1152&gt;=_TM1,B1152&lt;=_TM2,OR(TH!L1152="1111",TH!M1152="1111")),TH!D1152,""),"")</f>
        <v/>
      </c>
      <c r="B1152" s="36">
        <f t="shared" si="76"/>
        <v>11</v>
      </c>
      <c r="C1152" s="189">
        <f t="shared" si="77"/>
        <v>42329</v>
      </c>
      <c r="D1152" s="189" t="s">
        <v>1387</v>
      </c>
      <c r="E1152" s="189">
        <v>42329</v>
      </c>
      <c r="F1152" s="926" t="s">
        <v>423</v>
      </c>
      <c r="G1152" s="811" t="s">
        <v>1097</v>
      </c>
      <c r="H1152" s="191" t="s">
        <v>1063</v>
      </c>
      <c r="I1152" s="243"/>
      <c r="J1152" s="243"/>
      <c r="K1152" s="573">
        <v>10780000</v>
      </c>
      <c r="L1152" s="574" t="s">
        <v>47</v>
      </c>
      <c r="M1152" s="574" t="s">
        <v>250</v>
      </c>
      <c r="N1152" s="51" t="str">
        <f>IF(AND('331-CT'!$E$7=TH!H1152,OR(L1152="331",M1152="331")),"331",IF(AND(OR(L1152="131",M1152="131"),H1152='131-CT'!$E$7),"131",""))</f>
        <v/>
      </c>
      <c r="O1152" s="51" t="str">
        <f>IF(AND($B1152&gt;='111'!$N$11,$B1152&lt;='111'!$O$11,OR($L1152=$O$7,$M1152=$O$7)),"x","")</f>
        <v>x</v>
      </c>
      <c r="P1152" s="51" t="str">
        <f>IF(AND($L1152=$O$7,$B1152&lt;'111'!$N$11),"x","")</f>
        <v/>
      </c>
      <c r="Q1152" s="51" t="str">
        <f>IF(AND($M1152=$O$7,$B1152&lt;'111'!$N$11),"x","")</f>
        <v/>
      </c>
      <c r="R1152" s="51" t="str">
        <f>IF(ISERROR(FIND('112'!$M$9,G1152,1)),"",IF((AND(FIND('112'!$M$9,G1152,1)&gt;=1,$B1152&gt;='112'!$N$8,$B1152&lt;='112'!$O$8,OR($L1152='112'!$I$6,$M1152='112'!$I$6))),"x",""))</f>
        <v/>
      </c>
      <c r="S1152" s="51" t="str">
        <f>IF(ISERROR(FIND('112'!$M$9,G1152,1)),"",IF((AND(LEFT(G1152,2)=LEFT('112'!$M$9,2),B1152&lt;'112'!$N$8,$L1152='112'!$I$6)),"x",""))</f>
        <v/>
      </c>
      <c r="T1152" s="51" t="str">
        <f>IF(ISERROR(FIND('112'!$M$9,G1152,1)),"",IF((AND(RIGHT(G1152,2)=RIGHT('112'!$M$9,2),B1152&lt;'112'!$N$8,$M1152='112'!$I$6)),"x",""))</f>
        <v/>
      </c>
      <c r="U1152" s="51" t="str">
        <f>IF(AND(L1152="154",'154'!$O$5&lt;=B1152,'154'!$P$5&gt;=B1152),"154",IF(AND(L1152="632",'632'!$L$5&lt;=B1152,'632'!$M$5&gt;=B1152),"632",IF(AND(L1152="642",'642'!$N$5&lt;=B1152,'642'!$O$5&gt;=B1152),"642",IF(AND(L1152="641",'641'!$N$5&lt;=B1152,'641'!$O$5&gt;=B1152),"641",""))))</f>
        <v/>
      </c>
      <c r="V1152" s="51" t="str">
        <f>IF(OR(TH!L1152=TH!$V$7,M1152=TH!$V$7),"x","")</f>
        <v/>
      </c>
      <c r="W1152" s="51" t="str">
        <f>IF(AND(B1152&gt;='IN-NX'!$P$3,B1152&lt;='IN-NX'!$Q$3,'IN-NX'!$D$7=D1152,OR(LEFT(L1152,2)="15",AND(LEFT(M1152,2)&lt;&gt;"15",LEFT(M1152,2)&lt;&gt;"33"))),"x","")</f>
        <v/>
      </c>
      <c r="X1152" s="51" t="str">
        <f>IF(AND(OR(LEFT(TH!L1152,2)="15",LEFT(TH!M1152,2)="15"),'152-CT'!$J$8=TH!F1152),"x","")</f>
        <v/>
      </c>
      <c r="Y1152" s="51" t="str">
        <f>IF(AND(OR(LEFT(TH!L1152,2)="15",LEFT(TH!M1152,2)="15"),TK!$E$7=TH!F1152),"x","")</f>
        <v/>
      </c>
      <c r="Z1152" s="51" t="str">
        <f>IF(AND(B1152&lt;=NKC!$N$8,B1152&gt;=NKC!$M$8),"x","")</f>
        <v/>
      </c>
      <c r="AA1152" s="803"/>
      <c r="AB1152" s="565"/>
    </row>
    <row r="1153" spans="1:31" ht="15.75" customHeight="1">
      <c r="A1153" s="804" t="str">
        <f>IF(B1153&lt;&gt;"",IF(AND(B1153&gt;=_TM1,B1153&lt;=_TM2,OR(TH!L1153="1111",TH!M1153="1111")),TH!D1153,""),"")</f>
        <v/>
      </c>
      <c r="B1153" s="36">
        <f t="shared" si="76"/>
        <v>11</v>
      </c>
      <c r="C1153" s="189">
        <f t="shared" si="77"/>
        <v>42331</v>
      </c>
      <c r="D1153" s="189" t="s">
        <v>1416</v>
      </c>
      <c r="E1153" s="189">
        <v>42331</v>
      </c>
      <c r="F1153" s="926" t="s">
        <v>558</v>
      </c>
      <c r="G1153" s="813" t="s">
        <v>840</v>
      </c>
      <c r="H1153" s="7" t="s">
        <v>559</v>
      </c>
      <c r="I1153" s="243"/>
      <c r="J1153" s="243"/>
      <c r="K1153" s="573">
        <f>112273+63810</f>
        <v>176083</v>
      </c>
      <c r="L1153" s="574" t="s">
        <v>83</v>
      </c>
      <c r="M1153" s="574" t="s">
        <v>47</v>
      </c>
      <c r="N1153" s="51" t="str">
        <f>IF(AND('331-CT'!$E$7=TH!H1153,OR(L1153="331",M1153="331")),"331",IF(AND(OR(L1153="131",M1153="131"),H1153='131-CT'!$E$7),"131",""))</f>
        <v/>
      </c>
      <c r="O1153" s="51" t="str">
        <f>IF(AND($B1153&gt;='111'!$N$11,$B1153&lt;='111'!$O$11,OR($L1153=$O$7,$M1153=$O$7)),"x","")</f>
        <v>x</v>
      </c>
      <c r="P1153" s="51" t="str">
        <f>IF(AND($L1153=$O$7,$B1153&lt;'111'!$N$11),"x","")</f>
        <v/>
      </c>
      <c r="Q1153" s="51" t="str">
        <f>IF(AND($M1153=$O$7,$B1153&lt;'111'!$N$11),"x","")</f>
        <v/>
      </c>
      <c r="R1153" s="51" t="str">
        <f>IF(ISERROR(FIND('112'!$M$9,G1153,1)),"",IF((AND(FIND('112'!$M$9,G1153,1)&gt;=1,$B1153&gt;='112'!$N$8,$B1153&lt;='112'!$O$8,OR($L1153='112'!$I$6,$M1153='112'!$I$6))),"x",""))</f>
        <v/>
      </c>
      <c r="S1153" s="51" t="str">
        <f>IF(ISERROR(FIND('112'!$M$9,G1153,1)),"",IF((AND(LEFT(G1153,2)=LEFT('112'!$M$9,2),B1153&lt;'112'!$N$8,$L1153='112'!$I$6)),"x",""))</f>
        <v/>
      </c>
      <c r="T1153" s="51" t="str">
        <f>IF(ISERROR(FIND('112'!$M$9,G1153,1)),"",IF((AND(RIGHT(G1153,2)=RIGHT('112'!$M$9,2),B1153&lt;'112'!$N$8,$M1153='112'!$I$6)),"x",""))</f>
        <v/>
      </c>
      <c r="U1153" s="51" t="str">
        <f>IF(AND(L1153="154",'154'!$O$5&lt;=B1153,'154'!$P$5&gt;=B1153),"154",IF(AND(L1153="632",'632'!$L$5&lt;=B1153,'632'!$M$5&gt;=B1153),"632",IF(AND(L1153="642",'642'!$N$5&lt;=B1153,'642'!$O$5&gt;=B1153),"642",IF(AND(L1153="641",'641'!$N$5&lt;=B1153,'641'!$O$5&gt;=B1153),"641",""))))</f>
        <v/>
      </c>
      <c r="V1153" s="51" t="str">
        <f>IF(OR(TH!L1153=TH!$V$7,M1153=TH!$V$7),"x","")</f>
        <v>x</v>
      </c>
      <c r="W1153" s="51" t="str">
        <f>IF(AND(B1153&gt;='IN-NX'!$P$3,B1153&lt;='IN-NX'!$Q$3,'IN-NX'!$D$7=D1153,OR(LEFT(L1153,2)="15",AND(LEFT(M1153,2)&lt;&gt;"15",LEFT(M1153,2)&lt;&gt;"33"))),"x","")</f>
        <v/>
      </c>
      <c r="X1153" s="51" t="str">
        <f>IF(AND(OR(LEFT(TH!L1153,2)="15",LEFT(TH!M1153,2)="15"),'152-CT'!$J$8=TH!F1153),"x","")</f>
        <v/>
      </c>
      <c r="Y1153" s="51" t="str">
        <f>IF(AND(OR(LEFT(TH!L1153,2)="15",LEFT(TH!M1153,2)="15"),TK!$E$7=TH!F1153),"x","")</f>
        <v/>
      </c>
      <c r="Z1153" s="51" t="str">
        <f>IF(AND(B1153&lt;=NKC!$N$8,B1153&gt;=NKC!$M$8),"x","")</f>
        <v/>
      </c>
      <c r="AA1153" s="803"/>
      <c r="AB1153" s="565"/>
    </row>
    <row r="1154" spans="1:31" ht="15.75" customHeight="1">
      <c r="A1154" s="804" t="str">
        <f>IF(B1154&lt;&gt;"",IF(AND(B1154&gt;=_TM1,B1154&lt;=_TM2,OR(TH!L1154="1111",TH!M1154="1111")),TH!D1154,""),"")</f>
        <v/>
      </c>
      <c r="B1154" s="36">
        <f t="shared" si="76"/>
        <v>11</v>
      </c>
      <c r="C1154" s="189">
        <f t="shared" si="77"/>
        <v>42331</v>
      </c>
      <c r="D1154" s="189" t="s">
        <v>1416</v>
      </c>
      <c r="E1154" s="189">
        <v>42331</v>
      </c>
      <c r="F1154" s="922" t="s">
        <v>560</v>
      </c>
      <c r="G1154" s="813" t="s">
        <v>840</v>
      </c>
      <c r="H1154" s="7" t="s">
        <v>559</v>
      </c>
      <c r="I1154" s="243"/>
      <c r="J1154" s="243"/>
      <c r="K1154" s="573">
        <f>11227+5190</f>
        <v>16417</v>
      </c>
      <c r="L1154" s="574" t="s">
        <v>9</v>
      </c>
      <c r="M1154" s="574" t="s">
        <v>47</v>
      </c>
      <c r="N1154" s="51" t="str">
        <f>IF(AND('331-CT'!$E$7=TH!H1154,OR(L1154="331",M1154="331")),"331",IF(AND(OR(L1154="131",M1154="131"),H1154='131-CT'!$E$7),"131",""))</f>
        <v/>
      </c>
      <c r="O1154" s="51" t="str">
        <f>IF(AND($B1154&gt;='111'!$N$11,$B1154&lt;='111'!$O$11,OR($L1154=$O$7,$M1154=$O$7)),"x","")</f>
        <v>x</v>
      </c>
      <c r="P1154" s="51" t="str">
        <f>IF(AND($L1154=$O$7,$B1154&lt;'111'!$N$11),"x","")</f>
        <v/>
      </c>
      <c r="Q1154" s="51" t="str">
        <f>IF(AND($M1154=$O$7,$B1154&lt;'111'!$N$11),"x","")</f>
        <v/>
      </c>
      <c r="R1154" s="51" t="str">
        <f>IF(ISERROR(FIND('112'!$M$9,G1154,1)),"",IF((AND(FIND('112'!$M$9,G1154,1)&gt;=1,$B1154&gt;='112'!$N$8,$B1154&lt;='112'!$O$8,OR($L1154='112'!$I$6,$M1154='112'!$I$6))),"x",""))</f>
        <v/>
      </c>
      <c r="S1154" s="51" t="str">
        <f>IF(ISERROR(FIND('112'!$M$9,G1154,1)),"",IF((AND(LEFT(G1154,2)=LEFT('112'!$M$9,2),B1154&lt;'112'!$N$8,$L1154='112'!$I$6)),"x",""))</f>
        <v/>
      </c>
      <c r="T1154" s="51" t="str">
        <f>IF(ISERROR(FIND('112'!$M$9,G1154,1)),"",IF((AND(RIGHT(G1154,2)=RIGHT('112'!$M$9,2),B1154&lt;'112'!$N$8,$M1154='112'!$I$6)),"x",""))</f>
        <v/>
      </c>
      <c r="U1154" s="51" t="str">
        <f>IF(AND(L1154="154",'154'!$O$5&lt;=B1154,'154'!$P$5&gt;=B1154),"154",IF(AND(L1154="632",'632'!$L$5&lt;=B1154,'632'!$M$5&gt;=B1154),"632",IF(AND(L1154="642",'642'!$N$5&lt;=B1154,'642'!$O$5&gt;=B1154),"642",IF(AND(L1154="641",'641'!$N$5&lt;=B1154,'641'!$O$5&gt;=B1154),"641",""))))</f>
        <v/>
      </c>
      <c r="V1154" s="51" t="str">
        <f>IF(OR(TH!L1154=TH!$V$7,M1154=TH!$V$7),"x","")</f>
        <v/>
      </c>
      <c r="W1154" s="51" t="str">
        <f>IF(AND(B1154&gt;='IN-NX'!$P$3,B1154&lt;='IN-NX'!$Q$3,'IN-NX'!$D$7=D1154,OR(LEFT(L1154,2)="15",AND(LEFT(M1154,2)&lt;&gt;"15",LEFT(M1154,2)&lt;&gt;"33"))),"x","")</f>
        <v/>
      </c>
      <c r="X1154" s="51" t="str">
        <f>IF(AND(OR(LEFT(TH!L1154,2)="15",LEFT(TH!M1154,2)="15"),'152-CT'!$J$8=TH!F1154),"x","")</f>
        <v/>
      </c>
      <c r="Y1154" s="51" t="str">
        <f>IF(AND(OR(LEFT(TH!L1154,2)="15",LEFT(TH!M1154,2)="15"),TK!$E$7=TH!F1154),"x","")</f>
        <v/>
      </c>
      <c r="Z1154" s="51" t="str">
        <f>IF(AND(B1154&lt;=NKC!$N$8,B1154&gt;=NKC!$M$8),"x","")</f>
        <v/>
      </c>
      <c r="AA1154" s="803">
        <v>4</v>
      </c>
      <c r="AB1154" s="565"/>
    </row>
    <row r="1155" spans="1:31" ht="15.75" customHeight="1">
      <c r="A1155" s="804" t="str">
        <f>IF(B1155&lt;&gt;"",IF(AND(B1155&gt;=_TM1,B1155&lt;=_TM2,OR(TH!L1155="1111",TH!M1155="1111")),TH!D1155,""),"")</f>
        <v/>
      </c>
      <c r="B1155" s="36">
        <f t="shared" si="76"/>
        <v>11</v>
      </c>
      <c r="C1155" s="189">
        <f t="shared" si="77"/>
        <v>42331</v>
      </c>
      <c r="D1155" s="189" t="s">
        <v>1390</v>
      </c>
      <c r="E1155" s="189">
        <v>42331</v>
      </c>
      <c r="F1155" s="190" t="s">
        <v>964</v>
      </c>
      <c r="G1155" s="811" t="s">
        <v>1098</v>
      </c>
      <c r="H1155" s="191" t="s">
        <v>1036</v>
      </c>
      <c r="I1155" s="243"/>
      <c r="J1155" s="243"/>
      <c r="K1155" s="573">
        <v>3000000</v>
      </c>
      <c r="L1155" s="574" t="s">
        <v>47</v>
      </c>
      <c r="M1155" s="574" t="s">
        <v>408</v>
      </c>
      <c r="N1155" s="51" t="str">
        <f>IF(AND('331-CT'!$E$7=TH!H1155,OR(L1155="331",M1155="331")),"331",IF(AND(OR(L1155="131",M1155="131"),H1155='131-CT'!$E$7),"131",""))</f>
        <v/>
      </c>
      <c r="O1155" s="51" t="str">
        <f>IF(AND($B1155&gt;='111'!$N$11,$B1155&lt;='111'!$O$11,OR($L1155=$O$7,$M1155=$O$7)),"x","")</f>
        <v>x</v>
      </c>
      <c r="P1155" s="51" t="str">
        <f>IF(AND($L1155=$O$7,$B1155&lt;'111'!$N$11),"x","")</f>
        <v/>
      </c>
      <c r="Q1155" s="51" t="str">
        <f>IF(AND($M1155=$O$7,$B1155&lt;'111'!$N$11),"x","")</f>
        <v/>
      </c>
      <c r="R1155" s="51" t="str">
        <f>IF(ISERROR(FIND('112'!$M$9,G1155,1)),"",IF((AND(FIND('112'!$M$9,G1155,1)&gt;=1,$B1155&gt;='112'!$N$8,$B1155&lt;='112'!$O$8,OR($L1155='112'!$I$6,$M1155='112'!$I$6))),"x",""))</f>
        <v/>
      </c>
      <c r="S1155" s="51" t="str">
        <f>IF(ISERROR(FIND('112'!$M$9,G1155,1)),"",IF((AND(LEFT(G1155,2)=LEFT('112'!$M$9,2),B1155&lt;'112'!$N$8,$L1155='112'!$I$6)),"x",""))</f>
        <v/>
      </c>
      <c r="T1155" s="51" t="str">
        <f>IF(ISERROR(FIND('112'!$M$9,G1155,1)),"",IF((AND(RIGHT(G1155,2)=RIGHT('112'!$M$9,2),B1155&lt;'112'!$N$8,$M1155='112'!$I$6)),"x",""))</f>
        <v/>
      </c>
      <c r="U1155" s="51" t="str">
        <f>IF(AND(L1155="154",'154'!$O$5&lt;=B1155,'154'!$P$5&gt;=B1155),"154",IF(AND(L1155="632",'632'!$L$5&lt;=B1155,'632'!$M$5&gt;=B1155),"632",IF(AND(L1155="642",'642'!$N$5&lt;=B1155,'642'!$O$5&gt;=B1155),"642",IF(AND(L1155="641",'641'!$N$5&lt;=B1155,'641'!$O$5&gt;=B1155),"641",""))))</f>
        <v/>
      </c>
      <c r="V1155" s="51" t="str">
        <f>IF(OR(TH!L1155=TH!$V$7,M1155=TH!$V$7),"x","")</f>
        <v/>
      </c>
      <c r="W1155" s="51" t="str">
        <f>IF(AND(B1155&gt;='IN-NX'!$P$3,B1155&lt;='IN-NX'!$Q$3,'IN-NX'!$D$7=D1155,OR(LEFT(L1155,2)="15",AND(LEFT(M1155,2)&lt;&gt;"15",LEFT(M1155,2)&lt;&gt;"33"))),"x","")</f>
        <v/>
      </c>
      <c r="X1155" s="51" t="str">
        <f>IF(AND(OR(LEFT(TH!L1155,2)="15",LEFT(TH!M1155,2)="15"),'152-CT'!$J$8=TH!F1155),"x","")</f>
        <v/>
      </c>
      <c r="Y1155" s="51" t="str">
        <f>IF(AND(OR(LEFT(TH!L1155,2)="15",LEFT(TH!M1155,2)="15"),TK!$E$7=TH!F1155),"x","")</f>
        <v/>
      </c>
      <c r="Z1155" s="51" t="str">
        <f>IF(AND(B1155&lt;=NKC!$N$8,B1155&gt;=NKC!$M$8),"x","")</f>
        <v/>
      </c>
      <c r="AA1155" s="803"/>
      <c r="AB1155" s="565"/>
    </row>
    <row r="1156" spans="1:31" ht="15.75" customHeight="1">
      <c r="A1156" s="804" t="str">
        <f>IF(B1156&lt;&gt;"",IF(AND(B1156&gt;=_TM1,B1156&lt;=_TM2,OR(TH!L1156="1111",TH!M1156="1111")),TH!D1156,""),"")</f>
        <v/>
      </c>
      <c r="B1156" s="36">
        <f t="shared" si="76"/>
        <v>11</v>
      </c>
      <c r="C1156" s="189">
        <f t="shared" si="77"/>
        <v>42331</v>
      </c>
      <c r="D1156" s="189" t="s">
        <v>1390</v>
      </c>
      <c r="E1156" s="189">
        <v>42331</v>
      </c>
      <c r="F1156" s="917" t="s">
        <v>1110</v>
      </c>
      <c r="G1156" s="811" t="s">
        <v>1098</v>
      </c>
      <c r="H1156" s="191" t="s">
        <v>1036</v>
      </c>
      <c r="I1156" s="243"/>
      <c r="J1156" s="243"/>
      <c r="K1156" s="573">
        <v>300000</v>
      </c>
      <c r="L1156" s="574" t="s">
        <v>47</v>
      </c>
      <c r="M1156" s="574" t="s">
        <v>352</v>
      </c>
      <c r="N1156" s="51" t="str">
        <f>IF(AND('331-CT'!$E$7=TH!H1156,OR(L1156="331",M1156="331")),"331",IF(AND(OR(L1156="131",M1156="131"),H1156='131-CT'!$E$7),"131",""))</f>
        <v/>
      </c>
      <c r="O1156" s="51" t="str">
        <f>IF(AND($B1156&gt;='111'!$N$11,$B1156&lt;='111'!$O$11,OR($L1156=$O$7,$M1156=$O$7)),"x","")</f>
        <v>x</v>
      </c>
      <c r="P1156" s="51" t="str">
        <f>IF(AND($L1156=$O$7,$B1156&lt;'111'!$N$11),"x","")</f>
        <v/>
      </c>
      <c r="Q1156" s="51" t="str">
        <f>IF(AND($M1156=$O$7,$B1156&lt;'111'!$N$11),"x","")</f>
        <v/>
      </c>
      <c r="R1156" s="51" t="str">
        <f>IF(ISERROR(FIND('112'!$M$9,G1156,1)),"",IF((AND(FIND('112'!$M$9,G1156,1)&gt;=1,$B1156&gt;='112'!$N$8,$B1156&lt;='112'!$O$8,OR($L1156='112'!$I$6,$M1156='112'!$I$6))),"x",""))</f>
        <v/>
      </c>
      <c r="S1156" s="51" t="str">
        <f>IF(ISERROR(FIND('112'!$M$9,G1156,1)),"",IF((AND(LEFT(G1156,2)=LEFT('112'!$M$9,2),B1156&lt;'112'!$N$8,$L1156='112'!$I$6)),"x",""))</f>
        <v/>
      </c>
      <c r="T1156" s="51" t="str">
        <f>IF(ISERROR(FIND('112'!$M$9,G1156,1)),"",IF((AND(RIGHT(G1156,2)=RIGHT('112'!$M$9,2),B1156&lt;'112'!$N$8,$M1156='112'!$I$6)),"x",""))</f>
        <v/>
      </c>
      <c r="U1156" s="51" t="str">
        <f>IF(AND(L1156="154",'154'!$O$5&lt;=B1156,'154'!$P$5&gt;=B1156),"154",IF(AND(L1156="632",'632'!$L$5&lt;=B1156,'632'!$M$5&gt;=B1156),"632",IF(AND(L1156="642",'642'!$N$5&lt;=B1156,'642'!$O$5&gt;=B1156),"642",IF(AND(L1156="641",'641'!$N$5&lt;=B1156,'641'!$O$5&gt;=B1156),"641",""))))</f>
        <v/>
      </c>
      <c r="V1156" s="51" t="str">
        <f>IF(OR(TH!L1156=TH!$V$7,M1156=TH!$V$7),"x","")</f>
        <v/>
      </c>
      <c r="W1156" s="51" t="str">
        <f>IF(AND(B1156&gt;='IN-NX'!$P$3,B1156&lt;='IN-NX'!$Q$3,'IN-NX'!$D$7=D1156,OR(LEFT(L1156,2)="15",AND(LEFT(M1156,2)&lt;&gt;"15",LEFT(M1156,2)&lt;&gt;"33"))),"x","")</f>
        <v/>
      </c>
      <c r="X1156" s="51" t="str">
        <f>IF(AND(OR(LEFT(TH!L1156,2)="15",LEFT(TH!M1156,2)="15"),'152-CT'!$J$8=TH!F1156),"x","")</f>
        <v/>
      </c>
      <c r="Y1156" s="51" t="str">
        <f>IF(AND(OR(LEFT(TH!L1156,2)="15",LEFT(TH!M1156,2)="15"),TK!$E$7=TH!F1156),"x","")</f>
        <v/>
      </c>
      <c r="Z1156" s="51" t="str">
        <f>IF(AND(B1156&lt;=NKC!$N$8,B1156&gt;=NKC!$M$8),"x","")</f>
        <v/>
      </c>
      <c r="AA1156" s="803"/>
      <c r="AB1156" s="565"/>
    </row>
    <row r="1157" spans="1:31" ht="15.75" customHeight="1">
      <c r="A1157" s="804" t="str">
        <f>IF(B1157&lt;&gt;"",IF(AND(B1157&gt;=_TM1,B1157&lt;=_TM2,OR(TH!L1157="1111",TH!M1157="1111")),TH!D1157,""),"")</f>
        <v/>
      </c>
      <c r="B1157" s="36">
        <f t="shared" si="76"/>
        <v>11</v>
      </c>
      <c r="C1157" s="189">
        <f t="shared" si="77"/>
        <v>42332</v>
      </c>
      <c r="D1157" s="189" t="s">
        <v>1419</v>
      </c>
      <c r="E1157" s="189">
        <v>42332</v>
      </c>
      <c r="F1157" s="926" t="s">
        <v>558</v>
      </c>
      <c r="G1157" s="813" t="s">
        <v>841</v>
      </c>
      <c r="H1157" s="7" t="s">
        <v>559</v>
      </c>
      <c r="I1157" s="243"/>
      <c r="J1157" s="243"/>
      <c r="K1157" s="573">
        <f>109091</f>
        <v>109091</v>
      </c>
      <c r="L1157" s="574" t="s">
        <v>83</v>
      </c>
      <c r="M1157" s="574" t="s">
        <v>47</v>
      </c>
      <c r="N1157" s="51" t="str">
        <f>IF(AND('331-CT'!$E$7=TH!H1157,OR(L1157="331",M1157="331")),"331",IF(AND(OR(L1157="131",M1157="131"),H1157='131-CT'!$E$7),"131",""))</f>
        <v/>
      </c>
      <c r="O1157" s="51" t="str">
        <f>IF(AND($B1157&gt;='111'!$N$11,$B1157&lt;='111'!$O$11,OR($L1157=$O$7,$M1157=$O$7)),"x","")</f>
        <v>x</v>
      </c>
      <c r="P1157" s="51" t="str">
        <f>IF(AND($L1157=$O$7,$B1157&lt;'111'!$N$11),"x","")</f>
        <v/>
      </c>
      <c r="Q1157" s="51" t="str">
        <f>IF(AND($M1157=$O$7,$B1157&lt;'111'!$N$11),"x","")</f>
        <v/>
      </c>
      <c r="R1157" s="51" t="str">
        <f>IF(ISERROR(FIND('112'!$M$9,G1157,1)),"",IF((AND(FIND('112'!$M$9,G1157,1)&gt;=1,$B1157&gt;='112'!$N$8,$B1157&lt;='112'!$O$8,OR($L1157='112'!$I$6,$M1157='112'!$I$6))),"x",""))</f>
        <v/>
      </c>
      <c r="S1157" s="51" t="str">
        <f>IF(ISERROR(FIND('112'!$M$9,G1157,1)),"",IF((AND(LEFT(G1157,2)=LEFT('112'!$M$9,2),B1157&lt;'112'!$N$8,$L1157='112'!$I$6)),"x",""))</f>
        <v/>
      </c>
      <c r="T1157" s="51" t="str">
        <f>IF(ISERROR(FIND('112'!$M$9,G1157,1)),"",IF((AND(RIGHT(G1157,2)=RIGHT('112'!$M$9,2),B1157&lt;'112'!$N$8,$M1157='112'!$I$6)),"x",""))</f>
        <v/>
      </c>
      <c r="U1157" s="51" t="str">
        <f>IF(AND(L1157="154",'154'!$O$5&lt;=B1157,'154'!$P$5&gt;=B1157),"154",IF(AND(L1157="632",'632'!$L$5&lt;=B1157,'632'!$M$5&gt;=B1157),"632",IF(AND(L1157="642",'642'!$N$5&lt;=B1157,'642'!$O$5&gt;=B1157),"642",IF(AND(L1157="641",'641'!$N$5&lt;=B1157,'641'!$O$5&gt;=B1157),"641",""))))</f>
        <v/>
      </c>
      <c r="V1157" s="51" t="str">
        <f>IF(OR(TH!L1157=TH!$V$7,M1157=TH!$V$7),"x","")</f>
        <v>x</v>
      </c>
      <c r="W1157" s="51" t="str">
        <f>IF(AND(B1157&gt;='IN-NX'!$P$3,B1157&lt;='IN-NX'!$Q$3,'IN-NX'!$D$7=D1157,OR(LEFT(L1157,2)="15",AND(LEFT(M1157,2)&lt;&gt;"15",LEFT(M1157,2)&lt;&gt;"33"))),"x","")</f>
        <v/>
      </c>
      <c r="X1157" s="51" t="str">
        <f>IF(AND(OR(LEFT(TH!L1157,2)="15",LEFT(TH!M1157,2)="15"),'152-CT'!$J$8=TH!F1157),"x","")</f>
        <v/>
      </c>
      <c r="Y1157" s="51" t="str">
        <f>IF(AND(OR(LEFT(TH!L1157,2)="15",LEFT(TH!M1157,2)="15"),TK!$E$7=TH!F1157),"x","")</f>
        <v/>
      </c>
      <c r="Z1157" s="51" t="str">
        <f>IF(AND(B1157&lt;=NKC!$N$8,B1157&gt;=NKC!$M$8),"x","")</f>
        <v/>
      </c>
      <c r="AA1157" s="803"/>
      <c r="AB1157" s="565"/>
      <c r="AE1157" s="565"/>
    </row>
    <row r="1158" spans="1:31" ht="15.75" customHeight="1">
      <c r="A1158" s="804" t="str">
        <f>IF(B1158&lt;&gt;"",IF(AND(B1158&gt;=_TM1,B1158&lt;=_TM2,OR(TH!L1158="1111",TH!M1158="1111")),TH!D1158,""),"")</f>
        <v/>
      </c>
      <c r="B1158" s="36">
        <f t="shared" si="76"/>
        <v>11</v>
      </c>
      <c r="C1158" s="189">
        <f t="shared" si="77"/>
        <v>42332</v>
      </c>
      <c r="D1158" s="189" t="s">
        <v>1419</v>
      </c>
      <c r="E1158" s="189">
        <v>42332</v>
      </c>
      <c r="F1158" s="926" t="s">
        <v>560</v>
      </c>
      <c r="G1158" s="813" t="s">
        <v>841</v>
      </c>
      <c r="H1158" s="7" t="s">
        <v>559</v>
      </c>
      <c r="I1158" s="243"/>
      <c r="J1158" s="243"/>
      <c r="K1158" s="573">
        <f>10909</f>
        <v>10909</v>
      </c>
      <c r="L1158" s="574" t="s">
        <v>9</v>
      </c>
      <c r="M1158" s="574" t="s">
        <v>47</v>
      </c>
      <c r="N1158" s="51" t="str">
        <f>IF(AND('331-CT'!$E$7=TH!H1158,OR(L1158="331",M1158="331")),"331",IF(AND(OR(L1158="131",M1158="131"),H1158='131-CT'!$E$7),"131",""))</f>
        <v/>
      </c>
      <c r="O1158" s="51" t="str">
        <f>IF(AND($B1158&gt;='111'!$N$11,$B1158&lt;='111'!$O$11,OR($L1158=$O$7,$M1158=$O$7)),"x","")</f>
        <v>x</v>
      </c>
      <c r="P1158" s="51" t="str">
        <f>IF(AND($L1158=$O$7,$B1158&lt;'111'!$N$11),"x","")</f>
        <v/>
      </c>
      <c r="Q1158" s="51" t="str">
        <f>IF(AND($M1158=$O$7,$B1158&lt;'111'!$N$11),"x","")</f>
        <v/>
      </c>
      <c r="R1158" s="51" t="str">
        <f>IF(ISERROR(FIND('112'!$M$9,G1158,1)),"",IF((AND(FIND('112'!$M$9,G1158,1)&gt;=1,$B1158&gt;='112'!$N$8,$B1158&lt;='112'!$O$8,OR($L1158='112'!$I$6,$M1158='112'!$I$6))),"x",""))</f>
        <v/>
      </c>
      <c r="S1158" s="51" t="str">
        <f>IF(ISERROR(FIND('112'!$M$9,G1158,1)),"",IF((AND(LEFT(G1158,2)=LEFT('112'!$M$9,2),B1158&lt;'112'!$N$8,$L1158='112'!$I$6)),"x",""))</f>
        <v/>
      </c>
      <c r="T1158" s="51" t="str">
        <f>IF(ISERROR(FIND('112'!$M$9,G1158,1)),"",IF((AND(RIGHT(G1158,2)=RIGHT('112'!$M$9,2),B1158&lt;'112'!$N$8,$M1158='112'!$I$6)),"x",""))</f>
        <v/>
      </c>
      <c r="U1158" s="51" t="str">
        <f>IF(AND(L1158="154",'154'!$O$5&lt;=B1158,'154'!$P$5&gt;=B1158),"154",IF(AND(L1158="632",'632'!$L$5&lt;=B1158,'632'!$M$5&gt;=B1158),"632",IF(AND(L1158="642",'642'!$N$5&lt;=B1158,'642'!$O$5&gt;=B1158),"642",IF(AND(L1158="641",'641'!$N$5&lt;=B1158,'641'!$O$5&gt;=B1158),"641",""))))</f>
        <v/>
      </c>
      <c r="V1158" s="51" t="str">
        <f>IF(OR(TH!L1158=TH!$V$7,M1158=TH!$V$7),"x","")</f>
        <v/>
      </c>
      <c r="W1158" s="51" t="str">
        <f>IF(AND(B1158&gt;='IN-NX'!$P$3,B1158&lt;='IN-NX'!$Q$3,'IN-NX'!$D$7=D1158,OR(LEFT(L1158,2)="15",AND(LEFT(M1158,2)&lt;&gt;"15",LEFT(M1158,2)&lt;&gt;"33"))),"x","")</f>
        <v/>
      </c>
      <c r="X1158" s="51" t="str">
        <f>IF(AND(OR(LEFT(TH!L1158,2)="15",LEFT(TH!M1158,2)="15"),'152-CT'!$J$8=TH!F1158),"x","")</f>
        <v/>
      </c>
      <c r="Y1158" s="51" t="str">
        <f>IF(AND(OR(LEFT(TH!L1158,2)="15",LEFT(TH!M1158,2)="15"),TK!$E$7=TH!F1158),"x","")</f>
        <v/>
      </c>
      <c r="Z1158" s="51" t="str">
        <f>IF(AND(B1158&lt;=NKC!$N$8,B1158&gt;=NKC!$M$8),"x","")</f>
        <v/>
      </c>
      <c r="AA1158" s="803">
        <v>4</v>
      </c>
      <c r="AB1158" s="565"/>
      <c r="AE1158" s="565"/>
    </row>
    <row r="1159" spans="1:31" ht="15.75" customHeight="1">
      <c r="A1159" s="804" t="str">
        <f>IF(B1159&lt;&gt;"",IF(AND(B1159&gt;=_TM1,B1159&lt;=_TM2,OR(TH!L1159="1111",TH!M1159="1111")),TH!D1159,""),"")</f>
        <v/>
      </c>
      <c r="B1159" s="36">
        <f t="shared" si="76"/>
        <v>11</v>
      </c>
      <c r="C1159" s="189">
        <f t="shared" si="77"/>
        <v>42333</v>
      </c>
      <c r="D1159" s="189" t="s">
        <v>421</v>
      </c>
      <c r="E1159" s="182">
        <v>42333</v>
      </c>
      <c r="F1159" s="187" t="s">
        <v>429</v>
      </c>
      <c r="G1159" s="811" t="s">
        <v>415</v>
      </c>
      <c r="H1159" s="7"/>
      <c r="I1159" s="243"/>
      <c r="J1159" s="243"/>
      <c r="K1159" s="573">
        <v>1288</v>
      </c>
      <c r="L1159" s="574" t="s">
        <v>24</v>
      </c>
      <c r="M1159" s="192" t="s">
        <v>40</v>
      </c>
      <c r="N1159" s="51" t="str">
        <f>IF(AND('331-CT'!$E$7=TH!H1159,OR(L1159="331",M1159="331")),"331",IF(AND(OR(L1159="131",M1159="131"),H1159='131-CT'!$E$7),"131",""))</f>
        <v/>
      </c>
      <c r="O1159" s="51" t="str">
        <f>IF(AND($B1159&gt;='111'!$N$11,$B1159&lt;='111'!$O$11,OR($L1159=$O$7,$M1159=$O$7)),"x","")</f>
        <v/>
      </c>
      <c r="P1159" s="51" t="str">
        <f>IF(AND($L1159=$O$7,$B1159&lt;'111'!$N$11),"x","")</f>
        <v/>
      </c>
      <c r="Q1159" s="51" t="str">
        <f>IF(AND($M1159=$O$7,$B1159&lt;'111'!$N$11),"x","")</f>
        <v/>
      </c>
      <c r="R1159" s="51" t="str">
        <f>IF(ISERROR(FIND('112'!$M$9,G1159,1)),"",IF((AND(FIND('112'!$M$9,G1159,1)&gt;=1,$B1159&gt;='112'!$N$8,$B1159&lt;='112'!$O$8,OR($L1159='112'!$I$6,$M1159='112'!$I$6))),"x",""))</f>
        <v/>
      </c>
      <c r="S1159" s="51" t="str">
        <f>IF(ISERROR(FIND('112'!$M$9,G1159,1)),"",IF((AND(LEFT(G1159,2)=LEFT('112'!$M$9,2),B1159&lt;'112'!$N$8,$L1159='112'!$I$6)),"x",""))</f>
        <v/>
      </c>
      <c r="T1159" s="51" t="str">
        <f>IF(ISERROR(FIND('112'!$M$9,G1159,1)),"",IF((AND(RIGHT(G1159,2)=RIGHT('112'!$M$9,2),B1159&lt;'112'!$N$8,$M1159='112'!$I$6)),"x",""))</f>
        <v/>
      </c>
      <c r="U1159" s="51" t="str">
        <f>IF(AND(L1159="154",'154'!$O$5&lt;=B1159,'154'!$P$5&gt;=B1159),"154",IF(AND(L1159="632",'632'!$L$5&lt;=B1159,'632'!$M$5&gt;=B1159),"632",IF(AND(L1159="642",'642'!$N$5&lt;=B1159,'642'!$O$5&gt;=B1159),"642",IF(AND(L1159="641",'641'!$N$5&lt;=B1159,'641'!$O$5&gt;=B1159),"641",""))))</f>
        <v/>
      </c>
      <c r="V1159" s="51" t="str">
        <f>IF(OR(TH!L1159=TH!$V$7,M1159=TH!$V$7),"x","")</f>
        <v/>
      </c>
      <c r="W1159" s="51" t="str">
        <f>IF(AND(B1159&gt;='IN-NX'!$P$3,B1159&lt;='IN-NX'!$Q$3,'IN-NX'!$D$7=D1159,OR(LEFT(L1159,2)="15",AND(LEFT(M1159,2)&lt;&gt;"15",LEFT(M1159,2)&lt;&gt;"33"))),"x","")</f>
        <v/>
      </c>
      <c r="X1159" s="51" t="str">
        <f>IF(AND(OR(LEFT(TH!L1159,2)="15",LEFT(TH!M1159,2)="15"),'152-CT'!$J$8=TH!F1159),"x","")</f>
        <v/>
      </c>
      <c r="Y1159" s="51" t="str">
        <f>IF(AND(OR(LEFT(TH!L1159,2)="15",LEFT(TH!M1159,2)="15"),TK!$E$7=TH!F1159),"x","")</f>
        <v/>
      </c>
      <c r="Z1159" s="51" t="str">
        <f>IF(AND(B1159&lt;=NKC!$N$8,B1159&gt;=NKC!$M$8),"x","")</f>
        <v/>
      </c>
      <c r="AA1159" s="803"/>
      <c r="AB1159" s="565"/>
      <c r="AC1159" s="565"/>
      <c r="AD1159" s="565"/>
      <c r="AE1159" s="565"/>
    </row>
    <row r="1160" spans="1:31" ht="15.75" customHeight="1">
      <c r="A1160" s="804" t="str">
        <f>IF(B1160&lt;&gt;"",IF(AND(B1160&gt;=_TM1,B1160&lt;=_TM2,OR(TH!L1160="1111",TH!M1160="1111")),TH!D1160,""),"")</f>
        <v/>
      </c>
      <c r="B1160" s="36">
        <f t="shared" si="76"/>
        <v>11</v>
      </c>
      <c r="C1160" s="189">
        <f t="shared" si="77"/>
        <v>42333</v>
      </c>
      <c r="D1160" s="189" t="s">
        <v>1422</v>
      </c>
      <c r="E1160" s="182">
        <v>42333</v>
      </c>
      <c r="F1160" s="187" t="s">
        <v>433</v>
      </c>
      <c r="G1160" s="811" t="s">
        <v>415</v>
      </c>
      <c r="H1160" s="7" t="s">
        <v>437</v>
      </c>
      <c r="I1160" s="243"/>
      <c r="J1160" s="243"/>
      <c r="K1160" s="573">
        <v>5000000</v>
      </c>
      <c r="L1160" s="574" t="s">
        <v>24</v>
      </c>
      <c r="M1160" s="192" t="s">
        <v>47</v>
      </c>
      <c r="N1160" s="51" t="str">
        <f>IF(AND('331-CT'!$E$7=TH!H1160,OR(L1160="331",M1160="331")),"331",IF(AND(OR(L1160="131",M1160="131"),H1160='131-CT'!$E$7),"131",""))</f>
        <v/>
      </c>
      <c r="O1160" s="51" t="str">
        <f>IF(AND($B1160&gt;='111'!$N$11,$B1160&lt;='111'!$O$11,OR($L1160=$O$7,$M1160=$O$7)),"x","")</f>
        <v>x</v>
      </c>
      <c r="P1160" s="51" t="str">
        <f>IF(AND($L1160=$O$7,$B1160&lt;'111'!$N$11),"x","")</f>
        <v/>
      </c>
      <c r="Q1160" s="51" t="str">
        <f>IF(AND($M1160=$O$7,$B1160&lt;'111'!$N$11),"x","")</f>
        <v/>
      </c>
      <c r="R1160" s="51" t="str">
        <f>IF(ISERROR(FIND('112'!$M$9,G1160,1)),"",IF((AND(FIND('112'!$M$9,G1160,1)&gt;=1,$B1160&gt;='112'!$N$8,$B1160&lt;='112'!$O$8,OR($L1160='112'!$I$6,$M1160='112'!$I$6))),"x",""))</f>
        <v/>
      </c>
      <c r="S1160" s="51" t="str">
        <f>IF(ISERROR(FIND('112'!$M$9,G1160,1)),"",IF((AND(LEFT(G1160,2)=LEFT('112'!$M$9,2),B1160&lt;'112'!$N$8,$L1160='112'!$I$6)),"x",""))</f>
        <v/>
      </c>
      <c r="T1160" s="51" t="str">
        <f>IF(ISERROR(FIND('112'!$M$9,G1160,1)),"",IF((AND(RIGHT(G1160,2)=RIGHT('112'!$M$9,2),B1160&lt;'112'!$N$8,$M1160='112'!$I$6)),"x",""))</f>
        <v/>
      </c>
      <c r="U1160" s="51" t="str">
        <f>IF(AND(L1160="154",'154'!$O$5&lt;=B1160,'154'!$P$5&gt;=B1160),"154",IF(AND(L1160="632",'632'!$L$5&lt;=B1160,'632'!$M$5&gt;=B1160),"632",IF(AND(L1160="642",'642'!$N$5&lt;=B1160,'642'!$O$5&gt;=B1160),"642",IF(AND(L1160="641",'641'!$N$5&lt;=B1160,'641'!$O$5&gt;=B1160),"641",""))))</f>
        <v/>
      </c>
      <c r="V1160" s="51" t="str">
        <f>IF(OR(TH!L1160=TH!$V$7,M1160=TH!$V$7),"x","")</f>
        <v/>
      </c>
      <c r="W1160" s="51" t="str">
        <f>IF(AND(B1160&gt;='IN-NX'!$P$3,B1160&lt;='IN-NX'!$Q$3,'IN-NX'!$D$7=D1160,OR(LEFT(L1160,2)="15",AND(LEFT(M1160,2)&lt;&gt;"15",LEFT(M1160,2)&lt;&gt;"33"))),"x","")</f>
        <v/>
      </c>
      <c r="X1160" s="51" t="str">
        <f>IF(AND(OR(LEFT(TH!L1160,2)="15",LEFT(TH!M1160,2)="15"),'152-CT'!$J$8=TH!F1160),"x","")</f>
        <v/>
      </c>
      <c r="Y1160" s="51" t="str">
        <f>IF(AND(OR(LEFT(TH!L1160,2)="15",LEFT(TH!M1160,2)="15"),TK!$E$7=TH!F1160),"x","")</f>
        <v/>
      </c>
      <c r="Z1160" s="51" t="str">
        <f>IF(AND(B1160&lt;=NKC!$N$8,B1160&gt;=NKC!$M$8),"x","")</f>
        <v/>
      </c>
      <c r="AA1160" s="803"/>
      <c r="AB1160" s="565"/>
      <c r="AC1160" s="565"/>
      <c r="AD1160" s="565"/>
      <c r="AE1160" s="565"/>
    </row>
    <row r="1161" spans="1:31" ht="15.75" customHeight="1">
      <c r="A1161" s="804" t="str">
        <f>IF(B1161&lt;&gt;"",IF(AND(B1161&gt;=_TM1,B1161&lt;=_TM2,OR(TH!L1161="1111",TH!M1161="1111")),TH!D1161,""),"")</f>
        <v/>
      </c>
      <c r="B1161" s="36">
        <f t="shared" si="76"/>
        <v>11</v>
      </c>
      <c r="C1161" s="189">
        <f t="shared" si="77"/>
        <v>42333</v>
      </c>
      <c r="D1161" s="189" t="s">
        <v>422</v>
      </c>
      <c r="E1161" s="182">
        <v>42333</v>
      </c>
      <c r="F1161" s="187" t="s">
        <v>426</v>
      </c>
      <c r="G1161" s="811" t="s">
        <v>415</v>
      </c>
      <c r="H1161" s="7"/>
      <c r="I1161" s="243"/>
      <c r="J1161" s="243"/>
      <c r="K1161" s="573">
        <v>11000</v>
      </c>
      <c r="L1161" s="574" t="s">
        <v>83</v>
      </c>
      <c r="M1161" s="192" t="s">
        <v>24</v>
      </c>
      <c r="N1161" s="51" t="str">
        <f>IF(AND('331-CT'!$E$7=TH!H1161,OR(L1161="331",M1161="331")),"331",IF(AND(OR(L1161="131",M1161="131"),H1161='131-CT'!$E$7),"131",""))</f>
        <v/>
      </c>
      <c r="O1161" s="51" t="str">
        <f>IF(AND($B1161&gt;='111'!$N$11,$B1161&lt;='111'!$O$11,OR($L1161=$O$7,$M1161=$O$7)),"x","")</f>
        <v/>
      </c>
      <c r="P1161" s="51" t="str">
        <f>IF(AND($L1161=$O$7,$B1161&lt;'111'!$N$11),"x","")</f>
        <v/>
      </c>
      <c r="Q1161" s="51" t="str">
        <f>IF(AND($M1161=$O$7,$B1161&lt;'111'!$N$11),"x","")</f>
        <v/>
      </c>
      <c r="R1161" s="51" t="str">
        <f>IF(ISERROR(FIND('112'!$M$9,G1161,1)),"",IF((AND(FIND('112'!$M$9,G1161,1)&gt;=1,$B1161&gt;='112'!$N$8,$B1161&lt;='112'!$O$8,OR($L1161='112'!$I$6,$M1161='112'!$I$6))),"x",""))</f>
        <v/>
      </c>
      <c r="S1161" s="51" t="str">
        <f>IF(ISERROR(FIND('112'!$M$9,G1161,1)),"",IF((AND(LEFT(G1161,2)=LEFT('112'!$M$9,2),B1161&lt;'112'!$N$8,$L1161='112'!$I$6)),"x",""))</f>
        <v/>
      </c>
      <c r="T1161" s="51" t="str">
        <f>IF(ISERROR(FIND('112'!$M$9,G1161,1)),"",IF((AND(RIGHT(G1161,2)=RIGHT('112'!$M$9,2),B1161&lt;'112'!$N$8,$M1161='112'!$I$6)),"x",""))</f>
        <v/>
      </c>
      <c r="U1161" s="51" t="str">
        <f>IF(AND(L1161="154",'154'!$O$5&lt;=B1161,'154'!$P$5&gt;=B1161),"154",IF(AND(L1161="632",'632'!$L$5&lt;=B1161,'632'!$M$5&gt;=B1161),"632",IF(AND(L1161="642",'642'!$N$5&lt;=B1161,'642'!$O$5&gt;=B1161),"642",IF(AND(L1161="641",'641'!$N$5&lt;=B1161,'641'!$O$5&gt;=B1161),"641",""))))</f>
        <v/>
      </c>
      <c r="V1161" s="51" t="str">
        <f>IF(OR(TH!L1161=TH!$V$7,M1161=TH!$V$7),"x","")</f>
        <v>x</v>
      </c>
      <c r="W1161" s="51" t="str">
        <f>IF(AND(B1161&gt;='IN-NX'!$P$3,B1161&lt;='IN-NX'!$Q$3,'IN-NX'!$D$7=D1161,OR(LEFT(L1161,2)="15",AND(LEFT(M1161,2)&lt;&gt;"15",LEFT(M1161,2)&lt;&gt;"33"))),"x","")</f>
        <v/>
      </c>
      <c r="X1161" s="51" t="str">
        <f>IF(AND(OR(LEFT(TH!L1161,2)="15",LEFT(TH!M1161,2)="15"),'152-CT'!$J$8=TH!F1161),"x","")</f>
        <v/>
      </c>
      <c r="Y1161" s="51" t="str">
        <f>IF(AND(OR(LEFT(TH!L1161,2)="15",LEFT(TH!M1161,2)="15"),TK!$E$7=TH!F1161),"x","")</f>
        <v/>
      </c>
      <c r="Z1161" s="51" t="str">
        <f>IF(AND(B1161&lt;=NKC!$N$8,B1161&gt;=NKC!$M$8),"x","")</f>
        <v/>
      </c>
      <c r="AA1161" s="803"/>
      <c r="AB1161" s="565"/>
      <c r="AE1161" s="565"/>
    </row>
    <row r="1162" spans="1:31" ht="15.75" customHeight="1">
      <c r="A1162" s="804" t="str">
        <f>IF(B1162&lt;&gt;"",IF(AND(B1162&gt;=_TM1,B1162&lt;=_TM2,OR(TH!L1162="1111",TH!M1162="1111")),TH!D1162,""),"")</f>
        <v/>
      </c>
      <c r="B1162" s="36">
        <f t="shared" si="76"/>
        <v>11</v>
      </c>
      <c r="C1162" s="189">
        <f t="shared" si="77"/>
        <v>42333</v>
      </c>
      <c r="D1162" s="189" t="s">
        <v>422</v>
      </c>
      <c r="E1162" s="182">
        <v>42333</v>
      </c>
      <c r="F1162" s="187" t="s">
        <v>438</v>
      </c>
      <c r="G1162" s="811" t="s">
        <v>415</v>
      </c>
      <c r="H1162" s="921" t="s">
        <v>448</v>
      </c>
      <c r="I1162" s="243"/>
      <c r="J1162" s="243"/>
      <c r="K1162" s="573">
        <v>4972000</v>
      </c>
      <c r="L1162" s="574" t="s">
        <v>8</v>
      </c>
      <c r="M1162" s="192" t="s">
        <v>24</v>
      </c>
      <c r="N1162" s="51" t="str">
        <f>IF(AND('331-CT'!$E$7=TH!H1162,OR(L1162="331",M1162="331")),"331",IF(AND(OR(L1162="131",M1162="131"),H1162='131-CT'!$E$7),"131",""))</f>
        <v/>
      </c>
      <c r="O1162" s="51" t="str">
        <f>IF(AND($B1162&gt;='111'!$N$11,$B1162&lt;='111'!$O$11,OR($L1162=$O$7,$M1162=$O$7)),"x","")</f>
        <v/>
      </c>
      <c r="P1162" s="51" t="str">
        <f>IF(AND($L1162=$O$7,$B1162&lt;'111'!$N$11),"x","")</f>
        <v/>
      </c>
      <c r="Q1162" s="51" t="str">
        <f>IF(AND($M1162=$O$7,$B1162&lt;'111'!$N$11),"x","")</f>
        <v/>
      </c>
      <c r="R1162" s="51" t="str">
        <f>IF(ISERROR(FIND('112'!$M$9,G1162,1)),"",IF((AND(FIND('112'!$M$9,G1162,1)&gt;=1,$B1162&gt;='112'!$N$8,$B1162&lt;='112'!$O$8,OR($L1162='112'!$I$6,$M1162='112'!$I$6))),"x",""))</f>
        <v/>
      </c>
      <c r="S1162" s="51" t="str">
        <f>IF(ISERROR(FIND('112'!$M$9,G1162,1)),"",IF((AND(LEFT(G1162,2)=LEFT('112'!$M$9,2),B1162&lt;'112'!$N$8,$L1162='112'!$I$6)),"x",""))</f>
        <v/>
      </c>
      <c r="T1162" s="51" t="str">
        <f>IF(ISERROR(FIND('112'!$M$9,G1162,1)),"",IF((AND(RIGHT(G1162,2)=RIGHT('112'!$M$9,2),B1162&lt;'112'!$N$8,$M1162='112'!$I$6)),"x",""))</f>
        <v/>
      </c>
      <c r="U1162" s="51" t="str">
        <f>IF(AND(L1162="154",'154'!$O$5&lt;=B1162,'154'!$P$5&gt;=B1162),"154",IF(AND(L1162="632",'632'!$L$5&lt;=B1162,'632'!$M$5&gt;=B1162),"632",IF(AND(L1162="642",'642'!$N$5&lt;=B1162,'642'!$O$5&gt;=B1162),"642",IF(AND(L1162="641",'641'!$N$5&lt;=B1162,'641'!$O$5&gt;=B1162),"641",""))))</f>
        <v/>
      </c>
      <c r="V1162" s="51" t="str">
        <f>IF(OR(TH!L1162=TH!$V$7,M1162=TH!$V$7),"x","")</f>
        <v/>
      </c>
      <c r="W1162" s="51" t="str">
        <f>IF(AND(B1162&gt;='IN-NX'!$P$3,B1162&lt;='IN-NX'!$Q$3,'IN-NX'!$D$7=D1162,OR(LEFT(L1162,2)="15",AND(LEFT(M1162,2)&lt;&gt;"15",LEFT(M1162,2)&lt;&gt;"33"))),"x","")</f>
        <v/>
      </c>
      <c r="X1162" s="51" t="str">
        <f>IF(AND(OR(LEFT(TH!L1162,2)="15",LEFT(TH!M1162,2)="15"),'152-CT'!$J$8=TH!F1162),"x","")</f>
        <v/>
      </c>
      <c r="Y1162" s="51" t="str">
        <f>IF(AND(OR(LEFT(TH!L1162,2)="15",LEFT(TH!M1162,2)="15"),TK!$E$7=TH!F1162),"x","")</f>
        <v/>
      </c>
      <c r="Z1162" s="51" t="str">
        <f>IF(AND(B1162&lt;=NKC!$N$8,B1162&gt;=NKC!$M$8),"x","")</f>
        <v/>
      </c>
      <c r="AA1162" s="803"/>
      <c r="AB1162" s="565"/>
      <c r="AE1162" s="565"/>
    </row>
    <row r="1163" spans="1:31" ht="15.75" customHeight="1">
      <c r="A1163" s="804" t="str">
        <f>IF(B1163&lt;&gt;"",IF(AND(B1163&gt;=_TM1,B1163&lt;=_TM2,OR(TH!L1163="1111",TH!M1163="1111")),TH!D1163,""),"")</f>
        <v/>
      </c>
      <c r="B1163" s="36">
        <f t="shared" si="76"/>
        <v>11</v>
      </c>
      <c r="C1163" s="189">
        <f t="shared" si="77"/>
        <v>42333</v>
      </c>
      <c r="D1163" s="189" t="s">
        <v>422</v>
      </c>
      <c r="E1163" s="182">
        <v>42333</v>
      </c>
      <c r="F1163" s="187" t="s">
        <v>443</v>
      </c>
      <c r="G1163" s="811" t="s">
        <v>415</v>
      </c>
      <c r="H1163" s="7"/>
      <c r="I1163" s="243"/>
      <c r="J1163" s="243"/>
      <c r="K1163" s="573">
        <v>11000</v>
      </c>
      <c r="L1163" s="192" t="s">
        <v>83</v>
      </c>
      <c r="M1163" s="192" t="s">
        <v>24</v>
      </c>
      <c r="N1163" s="51" t="str">
        <f>IF(AND('331-CT'!$E$7=TH!H1163,OR(L1163="331",M1163="331")),"331",IF(AND(OR(L1163="131",M1163="131"),H1163='131-CT'!$E$7),"131",""))</f>
        <v/>
      </c>
      <c r="O1163" s="51" t="str">
        <f>IF(AND($B1163&gt;='111'!$N$11,$B1163&lt;='111'!$O$11,OR($L1163=$O$7,$M1163=$O$7)),"x","")</f>
        <v/>
      </c>
      <c r="P1163" s="51" t="str">
        <f>IF(AND($L1163=$O$7,$B1163&lt;'111'!$N$11),"x","")</f>
        <v/>
      </c>
      <c r="Q1163" s="51" t="str">
        <f>IF(AND($M1163=$O$7,$B1163&lt;'111'!$N$11),"x","")</f>
        <v/>
      </c>
      <c r="R1163" s="51" t="str">
        <f>IF(ISERROR(FIND('112'!$M$9,G1163,1)),"",IF((AND(FIND('112'!$M$9,G1163,1)&gt;=1,$B1163&gt;='112'!$N$8,$B1163&lt;='112'!$O$8,OR($L1163='112'!$I$6,$M1163='112'!$I$6))),"x",""))</f>
        <v/>
      </c>
      <c r="S1163" s="51" t="str">
        <f>IF(ISERROR(FIND('112'!$M$9,G1163,1)),"",IF((AND(LEFT(G1163,2)=LEFT('112'!$M$9,2),B1163&lt;'112'!$N$8,$L1163='112'!$I$6)),"x",""))</f>
        <v/>
      </c>
      <c r="T1163" s="51" t="str">
        <f>IF(ISERROR(FIND('112'!$M$9,G1163,1)),"",IF((AND(RIGHT(G1163,2)=RIGHT('112'!$M$9,2),B1163&lt;'112'!$N$8,$M1163='112'!$I$6)),"x",""))</f>
        <v/>
      </c>
      <c r="U1163" s="51" t="str">
        <f>IF(AND(L1163="154",'154'!$O$5&lt;=B1163,'154'!$P$5&gt;=B1163),"154",IF(AND(L1163="632",'632'!$L$5&lt;=B1163,'632'!$M$5&gt;=B1163),"632",IF(AND(L1163="642",'642'!$N$5&lt;=B1163,'642'!$O$5&gt;=B1163),"642",IF(AND(L1163="641",'641'!$N$5&lt;=B1163,'641'!$O$5&gt;=B1163),"641",""))))</f>
        <v/>
      </c>
      <c r="V1163" s="51" t="str">
        <f>IF(OR(TH!L1163=TH!$V$7,M1163=TH!$V$7),"x","")</f>
        <v>x</v>
      </c>
      <c r="W1163" s="51" t="str">
        <f>IF(AND(B1163&gt;='IN-NX'!$P$3,B1163&lt;='IN-NX'!$Q$3,'IN-NX'!$D$7=D1163,OR(LEFT(L1163,2)="15",AND(LEFT(M1163,2)&lt;&gt;"15",LEFT(M1163,2)&lt;&gt;"33"))),"x","")</f>
        <v/>
      </c>
      <c r="X1163" s="51" t="str">
        <f>IF(AND(OR(LEFT(TH!L1163,2)="15",LEFT(TH!M1163,2)="15"),'152-CT'!$J$8=TH!F1163),"x","")</f>
        <v/>
      </c>
      <c r="Y1163" s="51" t="str">
        <f>IF(AND(OR(LEFT(TH!L1163,2)="15",LEFT(TH!M1163,2)="15"),TK!$E$7=TH!F1163),"x","")</f>
        <v/>
      </c>
      <c r="Z1163" s="51" t="str">
        <f>IF(AND(B1163&lt;=NKC!$N$8,B1163&gt;=NKC!$M$8),"x","")</f>
        <v/>
      </c>
      <c r="AA1163" s="803"/>
      <c r="AB1163" s="565"/>
      <c r="AE1163" s="565"/>
    </row>
    <row r="1164" spans="1:31" ht="15.75" customHeight="1">
      <c r="A1164" s="804" t="str">
        <f>IF(B1164&lt;&gt;"",IF(AND(B1164&gt;=_TM1,B1164&lt;=_TM2,OR(TH!L1164="1111",TH!M1164="1111")),TH!D1164,""),"")</f>
        <v/>
      </c>
      <c r="B1164" s="36">
        <f t="shared" si="76"/>
        <v>11</v>
      </c>
      <c r="C1164" s="189">
        <f t="shared" si="77"/>
        <v>42333</v>
      </c>
      <c r="D1164" s="189" t="s">
        <v>1447</v>
      </c>
      <c r="E1164" s="189">
        <v>42333</v>
      </c>
      <c r="F1164" s="190" t="s">
        <v>1258</v>
      </c>
      <c r="G1164" s="813" t="s">
        <v>867</v>
      </c>
      <c r="H1164" s="191" t="s">
        <v>448</v>
      </c>
      <c r="I1164" s="243">
        <v>166</v>
      </c>
      <c r="J1164" s="243">
        <v>35064</v>
      </c>
      <c r="K1164" s="573">
        <f>ROUND(I1164*J1164,0)</f>
        <v>5820624</v>
      </c>
      <c r="L1164" s="574" t="s">
        <v>417</v>
      </c>
      <c r="M1164" s="574" t="s">
        <v>8</v>
      </c>
      <c r="N1164" s="51" t="str">
        <f>IF(AND('331-CT'!$E$7=TH!H1164,OR(L1164="331",M1164="331")),"331",IF(AND(OR(L1164="131",M1164="131"),H1164='131-CT'!$E$7),"131",""))</f>
        <v/>
      </c>
      <c r="O1164" s="51" t="str">
        <f>IF(AND($B1164&gt;='111'!$N$11,$B1164&lt;='111'!$O$11,OR($L1164=$O$7,$M1164=$O$7)),"x","")</f>
        <v/>
      </c>
      <c r="P1164" s="51" t="str">
        <f>IF(AND($L1164=$O$7,$B1164&lt;'111'!$N$11),"x","")</f>
        <v/>
      </c>
      <c r="Q1164" s="51" t="str">
        <f>IF(AND($M1164=$O$7,$B1164&lt;'111'!$N$11),"x","")</f>
        <v/>
      </c>
      <c r="R1164" s="51" t="str">
        <f>IF(ISERROR(FIND('112'!$M$9,G1164,1)),"",IF((AND(FIND('112'!$M$9,G1164,1)&gt;=1,$B1164&gt;='112'!$N$8,$B1164&lt;='112'!$O$8,OR($L1164='112'!$I$6,$M1164='112'!$I$6))),"x",""))</f>
        <v/>
      </c>
      <c r="S1164" s="51" t="str">
        <f>IF(ISERROR(FIND('112'!$M$9,G1164,1)),"",IF((AND(LEFT(G1164,2)=LEFT('112'!$M$9,2),B1164&lt;'112'!$N$8,$L1164='112'!$I$6)),"x",""))</f>
        <v/>
      </c>
      <c r="T1164" s="51" t="str">
        <f>IF(ISERROR(FIND('112'!$M$9,G1164,1)),"",IF((AND(RIGHT(G1164,2)=RIGHT('112'!$M$9,2),B1164&lt;'112'!$N$8,$M1164='112'!$I$6)),"x",""))</f>
        <v/>
      </c>
      <c r="U1164" s="51" t="str">
        <f>IF(AND(L1164="154",'154'!$O$5&lt;=B1164,'154'!$P$5&gt;=B1164),"154",IF(AND(L1164="632",'632'!$L$5&lt;=B1164,'632'!$M$5&gt;=B1164),"632",IF(AND(L1164="642",'642'!$N$5&lt;=B1164,'642'!$O$5&gt;=B1164),"642",IF(AND(L1164="641",'641'!$N$5&lt;=B1164,'641'!$O$5&gt;=B1164),"641",""))))</f>
        <v/>
      </c>
      <c r="V1164" s="51" t="str">
        <f>IF(OR(TH!L1164=TH!$V$7,M1164=TH!$V$7),"x","")</f>
        <v/>
      </c>
      <c r="W1164" s="51" t="str">
        <f>IF(AND(B1164&gt;='IN-NX'!$P$3,B1164&lt;='IN-NX'!$Q$3,'IN-NX'!$D$7=D1164,OR(LEFT(L1164,2)="15",AND(LEFT(M1164,2)&lt;&gt;"15",LEFT(M1164,2)&lt;&gt;"33"))),"x","")</f>
        <v/>
      </c>
      <c r="X1164" s="51" t="str">
        <f>IF(AND(OR(LEFT(TH!L1164,2)="15",LEFT(TH!M1164,2)="15"),'152-CT'!$J$8=TH!F1164),"x","")</f>
        <v/>
      </c>
      <c r="Y1164" s="51" t="str">
        <f>IF(AND(OR(LEFT(TH!L1164,2)="15",LEFT(TH!M1164,2)="15"),TK!$E$7=TH!F1164),"x","")</f>
        <v/>
      </c>
      <c r="Z1164" s="51" t="str">
        <f>IF(AND(B1164&lt;=NKC!$N$8,B1164&gt;=NKC!$M$8),"x","")</f>
        <v/>
      </c>
      <c r="AA1164" s="803"/>
      <c r="AB1164" s="565"/>
      <c r="AE1164" s="565"/>
    </row>
    <row r="1165" spans="1:31" ht="15.75" customHeight="1">
      <c r="A1165" s="804" t="str">
        <f>IF(B1165&lt;&gt;"",IF(AND(B1165&gt;=_TM1,B1165&lt;=_TM2,OR(TH!L1165="1111",TH!M1165="1111")),TH!D1165,""),"")</f>
        <v/>
      </c>
      <c r="B1165" s="36">
        <f t="shared" si="76"/>
        <v>11</v>
      </c>
      <c r="C1165" s="189">
        <f t="shared" si="77"/>
        <v>42333</v>
      </c>
      <c r="D1165" s="189" t="s">
        <v>1447</v>
      </c>
      <c r="E1165" s="189">
        <v>42333</v>
      </c>
      <c r="F1165" s="190" t="s">
        <v>868</v>
      </c>
      <c r="G1165" s="813" t="s">
        <v>867</v>
      </c>
      <c r="H1165" s="191" t="s">
        <v>448</v>
      </c>
      <c r="I1165" s="243">
        <v>332</v>
      </c>
      <c r="J1165" s="243">
        <v>1913</v>
      </c>
      <c r="K1165" s="573">
        <f>ROUND(I1165*J1165,0)</f>
        <v>635116</v>
      </c>
      <c r="L1165" s="574" t="s">
        <v>417</v>
      </c>
      <c r="M1165" s="574" t="s">
        <v>8</v>
      </c>
      <c r="N1165" s="51" t="str">
        <f>IF(AND('331-CT'!$E$7=TH!H1165,OR(L1165="331",M1165="331")),"331",IF(AND(OR(L1165="131",M1165="131"),H1165='131-CT'!$E$7),"131",""))</f>
        <v/>
      </c>
      <c r="O1165" s="51" t="str">
        <f>IF(AND($B1165&gt;='111'!$N$11,$B1165&lt;='111'!$O$11,OR($L1165=$O$7,$M1165=$O$7)),"x","")</f>
        <v/>
      </c>
      <c r="P1165" s="51" t="str">
        <f>IF(AND($L1165=$O$7,$B1165&lt;'111'!$N$11),"x","")</f>
        <v/>
      </c>
      <c r="Q1165" s="51" t="str">
        <f>IF(AND($M1165=$O$7,$B1165&lt;'111'!$N$11),"x","")</f>
        <v/>
      </c>
      <c r="R1165" s="51" t="str">
        <f>IF(ISERROR(FIND('112'!$M$9,G1165,1)),"",IF((AND(FIND('112'!$M$9,G1165,1)&gt;=1,$B1165&gt;='112'!$N$8,$B1165&lt;='112'!$O$8,OR($L1165='112'!$I$6,$M1165='112'!$I$6))),"x",""))</f>
        <v/>
      </c>
      <c r="S1165" s="51" t="str">
        <f>IF(ISERROR(FIND('112'!$M$9,G1165,1)),"",IF((AND(LEFT(G1165,2)=LEFT('112'!$M$9,2),B1165&lt;'112'!$N$8,$L1165='112'!$I$6)),"x",""))</f>
        <v/>
      </c>
      <c r="T1165" s="51" t="str">
        <f>IF(ISERROR(FIND('112'!$M$9,G1165,1)),"",IF((AND(RIGHT(G1165,2)=RIGHT('112'!$M$9,2),B1165&lt;'112'!$N$8,$M1165='112'!$I$6)),"x",""))</f>
        <v/>
      </c>
      <c r="U1165" s="51" t="str">
        <f>IF(AND(L1165="154",'154'!$O$5&lt;=B1165,'154'!$P$5&gt;=B1165),"154",IF(AND(L1165="632",'632'!$L$5&lt;=B1165,'632'!$M$5&gt;=B1165),"632",IF(AND(L1165="642",'642'!$N$5&lt;=B1165,'642'!$O$5&gt;=B1165),"642",IF(AND(L1165="641",'641'!$N$5&lt;=B1165,'641'!$O$5&gt;=B1165),"641",""))))</f>
        <v/>
      </c>
      <c r="V1165" s="51" t="str">
        <f>IF(OR(TH!L1165=TH!$V$7,M1165=TH!$V$7),"x","")</f>
        <v/>
      </c>
      <c r="W1165" s="51" t="str">
        <f>IF(AND(B1165&gt;='IN-NX'!$P$3,B1165&lt;='IN-NX'!$Q$3,'IN-NX'!$D$7=D1165,OR(LEFT(L1165,2)="15",AND(LEFT(M1165,2)&lt;&gt;"15",LEFT(M1165,2)&lt;&gt;"33"))),"x","")</f>
        <v/>
      </c>
      <c r="X1165" s="51" t="str">
        <f>IF(AND(OR(LEFT(TH!L1165,2)="15",LEFT(TH!M1165,2)="15"),'152-CT'!$J$8=TH!F1165),"x","")</f>
        <v/>
      </c>
      <c r="Y1165" s="51" t="str">
        <f>IF(AND(OR(LEFT(TH!L1165,2)="15",LEFT(TH!M1165,2)="15"),TK!$E$7=TH!F1165),"x","")</f>
        <v/>
      </c>
      <c r="Z1165" s="51" t="str">
        <f>IF(AND(B1165&lt;=NKC!$N$8,B1165&gt;=NKC!$M$8),"x","")</f>
        <v/>
      </c>
      <c r="AA1165" s="803"/>
      <c r="AB1165" s="565"/>
      <c r="AE1165" s="565"/>
    </row>
    <row r="1166" spans="1:31" ht="15.75" customHeight="1">
      <c r="A1166" s="804" t="str">
        <f>IF(B1166&lt;&gt;"",IF(AND(B1166&gt;=_TM1,B1166&lt;=_TM2,OR(TH!L1166="1111",TH!M1166="1111")),TH!D1166,""),"")</f>
        <v/>
      </c>
      <c r="B1166" s="36">
        <f t="shared" si="76"/>
        <v>11</v>
      </c>
      <c r="C1166" s="189">
        <f t="shared" si="77"/>
        <v>42333</v>
      </c>
      <c r="D1166" s="189" t="s">
        <v>1447</v>
      </c>
      <c r="E1166" s="189">
        <v>42333</v>
      </c>
      <c r="F1166" s="926" t="s">
        <v>847</v>
      </c>
      <c r="G1166" s="813" t="s">
        <v>867</v>
      </c>
      <c r="H1166" s="191" t="s">
        <v>448</v>
      </c>
      <c r="I1166" s="243"/>
      <c r="J1166" s="243"/>
      <c r="K1166" s="573">
        <v>645574</v>
      </c>
      <c r="L1166" s="574" t="s">
        <v>9</v>
      </c>
      <c r="M1166" s="574" t="s">
        <v>8</v>
      </c>
      <c r="N1166" s="51" t="str">
        <f>IF(AND('331-CT'!$E$7=TH!H1166,OR(L1166="331",M1166="331")),"331",IF(AND(OR(L1166="131",M1166="131"),H1166='131-CT'!$E$7),"131",""))</f>
        <v/>
      </c>
      <c r="O1166" s="51" t="str">
        <f>IF(AND($B1166&gt;='111'!$N$11,$B1166&lt;='111'!$O$11,OR($L1166=$O$7,$M1166=$O$7)),"x","")</f>
        <v/>
      </c>
      <c r="P1166" s="51" t="str">
        <f>IF(AND($L1166=$O$7,$B1166&lt;'111'!$N$11),"x","")</f>
        <v/>
      </c>
      <c r="Q1166" s="51" t="str">
        <f>IF(AND($M1166=$O$7,$B1166&lt;'111'!$N$11),"x","")</f>
        <v/>
      </c>
      <c r="R1166" s="51" t="str">
        <f>IF(ISERROR(FIND('112'!$M$9,G1166,1)),"",IF((AND(FIND('112'!$M$9,G1166,1)&gt;=1,$B1166&gt;='112'!$N$8,$B1166&lt;='112'!$O$8,OR($L1166='112'!$I$6,$M1166='112'!$I$6))),"x",""))</f>
        <v/>
      </c>
      <c r="S1166" s="51" t="str">
        <f>IF(ISERROR(FIND('112'!$M$9,G1166,1)),"",IF((AND(LEFT(G1166,2)=LEFT('112'!$M$9,2),B1166&lt;'112'!$N$8,$L1166='112'!$I$6)),"x",""))</f>
        <v/>
      </c>
      <c r="T1166" s="51" t="str">
        <f>IF(ISERROR(FIND('112'!$M$9,G1166,1)),"",IF((AND(RIGHT(G1166,2)=RIGHT('112'!$M$9,2),B1166&lt;'112'!$N$8,$M1166='112'!$I$6)),"x",""))</f>
        <v/>
      </c>
      <c r="U1166" s="51" t="str">
        <f>IF(AND(L1166="154",'154'!$O$5&lt;=B1166,'154'!$P$5&gt;=B1166),"154",IF(AND(L1166="632",'632'!$L$5&lt;=B1166,'632'!$M$5&gt;=B1166),"632",IF(AND(L1166="642",'642'!$N$5&lt;=B1166,'642'!$O$5&gt;=B1166),"642",IF(AND(L1166="641",'641'!$N$5&lt;=B1166,'641'!$O$5&gt;=B1166),"641",""))))</f>
        <v/>
      </c>
      <c r="V1166" s="51" t="str">
        <f>IF(OR(TH!L1166=TH!$V$7,M1166=TH!$V$7),"x","")</f>
        <v/>
      </c>
      <c r="W1166" s="51" t="str">
        <f>IF(AND(B1166&gt;='IN-NX'!$P$3,B1166&lt;='IN-NX'!$Q$3,'IN-NX'!$D$7=D1166,OR(LEFT(L1166,2)="15",AND(LEFT(M1166,2)&lt;&gt;"15",LEFT(M1166,2)&lt;&gt;"33"))),"x","")</f>
        <v/>
      </c>
      <c r="X1166" s="51" t="str">
        <f>IF(AND(OR(LEFT(TH!L1166,2)="15",LEFT(TH!M1166,2)="15"),'152-CT'!$J$8=TH!F1166),"x","")</f>
        <v/>
      </c>
      <c r="Y1166" s="51" t="str">
        <f>IF(AND(OR(LEFT(TH!L1166,2)="15",LEFT(TH!M1166,2)="15"),TK!$E$7=TH!F1166),"x","")</f>
        <v/>
      </c>
      <c r="Z1166" s="51" t="str">
        <f>IF(AND(B1166&lt;=NKC!$N$8,B1166&gt;=NKC!$M$8),"x","")</f>
        <v/>
      </c>
      <c r="AA1166" s="803">
        <v>4</v>
      </c>
      <c r="AB1166" s="565"/>
      <c r="AE1166" s="565"/>
    </row>
    <row r="1167" spans="1:31" ht="15.75" customHeight="1">
      <c r="A1167" s="804" t="str">
        <f>IF(B1167&lt;&gt;"",IF(AND(B1167&gt;=_TM1,B1167&lt;=_TM2,OR(TH!L1167="1111",TH!M1167="1111")),TH!D1167,""),"")</f>
        <v/>
      </c>
      <c r="B1167" s="36">
        <f t="shared" si="76"/>
        <v>11</v>
      </c>
      <c r="C1167" s="189">
        <f t="shared" si="77"/>
        <v>42335</v>
      </c>
      <c r="D1167" s="189" t="s">
        <v>421</v>
      </c>
      <c r="E1167" s="189">
        <v>42335</v>
      </c>
      <c r="F1167" s="187" t="s">
        <v>423</v>
      </c>
      <c r="G1167" s="811" t="s">
        <v>415</v>
      </c>
      <c r="H1167" s="202" t="s">
        <v>424</v>
      </c>
      <c r="I1167" s="243"/>
      <c r="J1167" s="243"/>
      <c r="K1167" s="573">
        <v>12326081</v>
      </c>
      <c r="L1167" s="574" t="s">
        <v>24</v>
      </c>
      <c r="M1167" s="574" t="s">
        <v>250</v>
      </c>
      <c r="N1167" s="51" t="str">
        <f>IF(AND('331-CT'!$E$7=TH!H1167,OR(L1167="331",M1167="331")),"331",IF(AND(OR(L1167="131",M1167="131"),H1167='131-CT'!$E$7),"131",""))</f>
        <v/>
      </c>
      <c r="O1167" s="51" t="str">
        <f>IF(AND($B1167&gt;='111'!$N$11,$B1167&lt;='111'!$O$11,OR($L1167=$O$7,$M1167=$O$7)),"x","")</f>
        <v/>
      </c>
      <c r="P1167" s="51" t="str">
        <f>IF(AND($L1167=$O$7,$B1167&lt;'111'!$N$11),"x","")</f>
        <v/>
      </c>
      <c r="Q1167" s="51" t="str">
        <f>IF(AND($M1167=$O$7,$B1167&lt;'111'!$N$11),"x","")</f>
        <v/>
      </c>
      <c r="R1167" s="51" t="str">
        <f>IF(ISERROR(FIND('112'!$M$9,G1167,1)),"",IF((AND(FIND('112'!$M$9,G1167,1)&gt;=1,$B1167&gt;='112'!$N$8,$B1167&lt;='112'!$O$8,OR($L1167='112'!$I$6,$M1167='112'!$I$6))),"x",""))</f>
        <v/>
      </c>
      <c r="S1167" s="51" t="str">
        <f>IF(ISERROR(FIND('112'!$M$9,G1167,1)),"",IF((AND(LEFT(G1167,2)=LEFT('112'!$M$9,2),B1167&lt;'112'!$N$8,$L1167='112'!$I$6)),"x",""))</f>
        <v/>
      </c>
      <c r="T1167" s="51" t="str">
        <f>IF(ISERROR(FIND('112'!$M$9,G1167,1)),"",IF((AND(RIGHT(G1167,2)=RIGHT('112'!$M$9,2),B1167&lt;'112'!$N$8,$M1167='112'!$I$6)),"x",""))</f>
        <v/>
      </c>
      <c r="U1167" s="51" t="str">
        <f>IF(AND(L1167="154",'154'!$O$5&lt;=B1167,'154'!$P$5&gt;=B1167),"154",IF(AND(L1167="632",'632'!$L$5&lt;=B1167,'632'!$M$5&gt;=B1167),"632",IF(AND(L1167="642",'642'!$N$5&lt;=B1167,'642'!$O$5&gt;=B1167),"642",IF(AND(L1167="641",'641'!$N$5&lt;=B1167,'641'!$O$5&gt;=B1167),"641",""))))</f>
        <v/>
      </c>
      <c r="V1167" s="51" t="str">
        <f>IF(OR(TH!L1167=TH!$V$7,M1167=TH!$V$7),"x","")</f>
        <v/>
      </c>
      <c r="W1167" s="51" t="str">
        <f>IF(AND(B1167&gt;='IN-NX'!$P$3,B1167&lt;='IN-NX'!$Q$3,'IN-NX'!$D$7=D1167,OR(LEFT(L1167,2)="15",AND(LEFT(M1167,2)&lt;&gt;"15",LEFT(M1167,2)&lt;&gt;"33"))),"x","")</f>
        <v/>
      </c>
      <c r="X1167" s="51" t="str">
        <f>IF(AND(OR(LEFT(TH!L1167,2)="15",LEFT(TH!M1167,2)="15"),'152-CT'!$J$8=TH!F1167),"x","")</f>
        <v/>
      </c>
      <c r="Y1167" s="51" t="str">
        <f>IF(AND(OR(LEFT(TH!L1167,2)="15",LEFT(TH!M1167,2)="15"),TK!$E$7=TH!F1167),"x","")</f>
        <v/>
      </c>
      <c r="Z1167" s="51" t="str">
        <f>IF(AND(B1167&lt;=NKC!$N$8,B1167&gt;=NKC!$M$8),"x","")</f>
        <v/>
      </c>
      <c r="AA1167" s="803"/>
      <c r="AB1167" s="565"/>
      <c r="AE1167" s="565"/>
    </row>
    <row r="1168" spans="1:31" ht="15.75" customHeight="1">
      <c r="A1168" s="804" t="str">
        <f>IF(B1168&lt;&gt;"",IF(AND(B1168&gt;=_TM1,B1168&lt;=_TM2,OR(TH!L1168="1111",TH!M1168="1111")),TH!D1168,""),"")</f>
        <v/>
      </c>
      <c r="B1168" s="36">
        <f t="shared" si="76"/>
        <v>11</v>
      </c>
      <c r="C1168" s="189">
        <f t="shared" si="77"/>
        <v>42335</v>
      </c>
      <c r="D1168" s="189" t="s">
        <v>1423</v>
      </c>
      <c r="E1168" s="189">
        <v>42335</v>
      </c>
      <c r="F1168" s="187" t="s">
        <v>433</v>
      </c>
      <c r="G1168" s="811" t="s">
        <v>415</v>
      </c>
      <c r="H1168" s="7" t="s">
        <v>437</v>
      </c>
      <c r="I1168" s="243"/>
      <c r="J1168" s="243"/>
      <c r="K1168" s="573">
        <v>20000000</v>
      </c>
      <c r="L1168" s="574" t="s">
        <v>24</v>
      </c>
      <c r="M1168" s="574" t="s">
        <v>47</v>
      </c>
      <c r="N1168" s="51" t="str">
        <f>IF(AND('331-CT'!$E$7=TH!H1168,OR(L1168="331",M1168="331")),"331",IF(AND(OR(L1168="131",M1168="131"),H1168='131-CT'!$E$7),"131",""))</f>
        <v/>
      </c>
      <c r="O1168" s="51" t="str">
        <f>IF(AND($B1168&gt;='111'!$N$11,$B1168&lt;='111'!$O$11,OR($L1168=$O$7,$M1168=$O$7)),"x","")</f>
        <v>x</v>
      </c>
      <c r="P1168" s="51" t="str">
        <f>IF(AND($L1168=$O$7,$B1168&lt;'111'!$N$11),"x","")</f>
        <v/>
      </c>
      <c r="Q1168" s="51" t="str">
        <f>IF(AND($M1168=$O$7,$B1168&lt;'111'!$N$11),"x","")</f>
        <v/>
      </c>
      <c r="R1168" s="51" t="str">
        <f>IF(ISERROR(FIND('112'!$M$9,G1168,1)),"",IF((AND(FIND('112'!$M$9,G1168,1)&gt;=1,$B1168&gt;='112'!$N$8,$B1168&lt;='112'!$O$8,OR($L1168='112'!$I$6,$M1168='112'!$I$6))),"x",""))</f>
        <v/>
      </c>
      <c r="S1168" s="51" t="str">
        <f>IF(ISERROR(FIND('112'!$M$9,G1168,1)),"",IF((AND(LEFT(G1168,2)=LEFT('112'!$M$9,2),B1168&lt;'112'!$N$8,$L1168='112'!$I$6)),"x",""))</f>
        <v/>
      </c>
      <c r="T1168" s="51" t="str">
        <f>IF(ISERROR(FIND('112'!$M$9,G1168,1)),"",IF((AND(RIGHT(G1168,2)=RIGHT('112'!$M$9,2),B1168&lt;'112'!$N$8,$M1168='112'!$I$6)),"x",""))</f>
        <v/>
      </c>
      <c r="U1168" s="51" t="str">
        <f>IF(AND(L1168="154",'154'!$O$5&lt;=B1168,'154'!$P$5&gt;=B1168),"154",IF(AND(L1168="632",'632'!$L$5&lt;=B1168,'632'!$M$5&gt;=B1168),"632",IF(AND(L1168="642",'642'!$N$5&lt;=B1168,'642'!$O$5&gt;=B1168),"642",IF(AND(L1168="641",'641'!$N$5&lt;=B1168,'641'!$O$5&gt;=B1168),"641",""))))</f>
        <v/>
      </c>
      <c r="V1168" s="51" t="str">
        <f>IF(OR(TH!L1168=TH!$V$7,M1168=TH!$V$7),"x","")</f>
        <v/>
      </c>
      <c r="W1168" s="51" t="str">
        <f>IF(AND(B1168&gt;='IN-NX'!$P$3,B1168&lt;='IN-NX'!$Q$3,'IN-NX'!$D$7=D1168,OR(LEFT(L1168,2)="15",AND(LEFT(M1168,2)&lt;&gt;"15",LEFT(M1168,2)&lt;&gt;"33"))),"x","")</f>
        <v/>
      </c>
      <c r="X1168" s="51" t="str">
        <f>IF(AND(OR(LEFT(TH!L1168,2)="15",LEFT(TH!M1168,2)="15"),'152-CT'!$J$8=TH!F1168),"x","")</f>
        <v/>
      </c>
      <c r="Y1168" s="51" t="str">
        <f>IF(AND(OR(LEFT(TH!L1168,2)="15",LEFT(TH!M1168,2)="15"),TK!$E$7=TH!F1168),"x","")</f>
        <v/>
      </c>
      <c r="Z1168" s="51" t="str">
        <f>IF(AND(B1168&lt;=NKC!$N$8,B1168&gt;=NKC!$M$8),"x","")</f>
        <v/>
      </c>
      <c r="AA1168" s="803"/>
      <c r="AB1168" s="565"/>
    </row>
    <row r="1169" spans="1:31" ht="15.75" customHeight="1">
      <c r="A1169" s="804" t="str">
        <f>IF(B1169&lt;&gt;"",IF(AND(B1169&gt;=_TM1,B1169&lt;=_TM2,OR(TH!L1169="1111",TH!M1169="1111")),TH!D1169,""),"")</f>
        <v/>
      </c>
      <c r="B1169" s="36">
        <f t="shared" si="76"/>
        <v>11</v>
      </c>
      <c r="C1169" s="189">
        <f t="shared" si="77"/>
        <v>42335</v>
      </c>
      <c r="D1169" s="189" t="s">
        <v>422</v>
      </c>
      <c r="E1169" s="189">
        <v>42335</v>
      </c>
      <c r="F1169" s="187" t="s">
        <v>443</v>
      </c>
      <c r="G1169" s="811" t="s">
        <v>415</v>
      </c>
      <c r="H1169" s="191"/>
      <c r="I1169" s="243"/>
      <c r="J1169" s="243"/>
      <c r="K1169" s="573">
        <v>22000</v>
      </c>
      <c r="L1169" s="192" t="s">
        <v>83</v>
      </c>
      <c r="M1169" s="574" t="s">
        <v>24</v>
      </c>
      <c r="N1169" s="51" t="str">
        <f>IF(AND('331-CT'!$E$7=TH!H1169,OR(L1169="331",M1169="331")),"331",IF(AND(OR(L1169="131",M1169="131"),H1169='131-CT'!$E$7),"131",""))</f>
        <v/>
      </c>
      <c r="O1169" s="51" t="str">
        <f>IF(AND($B1169&gt;='111'!$N$11,$B1169&lt;='111'!$O$11,OR($L1169=$O$7,$M1169=$O$7)),"x","")</f>
        <v/>
      </c>
      <c r="P1169" s="51" t="str">
        <f>IF(AND($L1169=$O$7,$B1169&lt;'111'!$N$11),"x","")</f>
        <v/>
      </c>
      <c r="Q1169" s="51" t="str">
        <f>IF(AND($M1169=$O$7,$B1169&lt;'111'!$N$11),"x","")</f>
        <v/>
      </c>
      <c r="R1169" s="51" t="str">
        <f>IF(ISERROR(FIND('112'!$M$9,G1169,1)),"",IF((AND(FIND('112'!$M$9,G1169,1)&gt;=1,$B1169&gt;='112'!$N$8,$B1169&lt;='112'!$O$8,OR($L1169='112'!$I$6,$M1169='112'!$I$6))),"x",""))</f>
        <v/>
      </c>
      <c r="S1169" s="51" t="str">
        <f>IF(ISERROR(FIND('112'!$M$9,G1169,1)),"",IF((AND(LEFT(G1169,2)=LEFT('112'!$M$9,2),B1169&lt;'112'!$N$8,$L1169='112'!$I$6)),"x",""))</f>
        <v/>
      </c>
      <c r="T1169" s="51" t="str">
        <f>IF(ISERROR(FIND('112'!$M$9,G1169,1)),"",IF((AND(RIGHT(G1169,2)=RIGHT('112'!$M$9,2),B1169&lt;'112'!$N$8,$M1169='112'!$I$6)),"x",""))</f>
        <v/>
      </c>
      <c r="U1169" s="51" t="str">
        <f>IF(AND(L1169="154",'154'!$O$5&lt;=B1169,'154'!$P$5&gt;=B1169),"154",IF(AND(L1169="632",'632'!$L$5&lt;=B1169,'632'!$M$5&gt;=B1169),"632",IF(AND(L1169="642",'642'!$N$5&lt;=B1169,'642'!$O$5&gt;=B1169),"642",IF(AND(L1169="641",'641'!$N$5&lt;=B1169,'641'!$O$5&gt;=B1169),"641",""))))</f>
        <v/>
      </c>
      <c r="V1169" s="51" t="str">
        <f>IF(OR(TH!L1169=TH!$V$7,M1169=TH!$V$7),"x","")</f>
        <v>x</v>
      </c>
      <c r="W1169" s="51" t="str">
        <f>IF(AND(B1169&gt;='IN-NX'!$P$3,B1169&lt;='IN-NX'!$Q$3,'IN-NX'!$D$7=D1169,OR(LEFT(L1169,2)="15",AND(LEFT(M1169,2)&lt;&gt;"15",LEFT(M1169,2)&lt;&gt;"33"))),"x","")</f>
        <v/>
      </c>
      <c r="X1169" s="51" t="str">
        <f>IF(AND(OR(LEFT(TH!L1169,2)="15",LEFT(TH!M1169,2)="15"),'152-CT'!$J$8=TH!F1169),"x","")</f>
        <v/>
      </c>
      <c r="Y1169" s="51" t="str">
        <f>IF(AND(OR(LEFT(TH!L1169,2)="15",LEFT(TH!M1169,2)="15"),TK!$E$7=TH!F1169),"x","")</f>
        <v/>
      </c>
      <c r="Z1169" s="51" t="str">
        <f>IF(AND(B1169&lt;=NKC!$N$8,B1169&gt;=NKC!$M$8),"x","")</f>
        <v/>
      </c>
      <c r="AA1169" s="803"/>
      <c r="AB1169" s="565"/>
    </row>
    <row r="1170" spans="1:31" ht="15.75" customHeight="1">
      <c r="A1170" s="804" t="str">
        <f>IF(B1170&lt;&gt;"",IF(AND(B1170&gt;=_TM1,B1170&lt;=_TM2,OR(TH!L1170="1111",TH!M1170="1111")),TH!D1170,""),"")</f>
        <v/>
      </c>
      <c r="B1170" s="36">
        <f t="shared" si="76"/>
        <v>11</v>
      </c>
      <c r="C1170" s="189">
        <f t="shared" si="77"/>
        <v>42335</v>
      </c>
      <c r="D1170" s="189" t="s">
        <v>422</v>
      </c>
      <c r="E1170" s="189">
        <v>42335</v>
      </c>
      <c r="F1170" s="187" t="s">
        <v>438</v>
      </c>
      <c r="G1170" s="811" t="s">
        <v>415</v>
      </c>
      <c r="H1170" s="7" t="s">
        <v>448</v>
      </c>
      <c r="I1170" s="243"/>
      <c r="J1170" s="243"/>
      <c r="K1170" s="573">
        <v>20022000</v>
      </c>
      <c r="L1170" s="574" t="s">
        <v>8</v>
      </c>
      <c r="M1170" s="574" t="s">
        <v>24</v>
      </c>
      <c r="N1170" s="51" t="str">
        <f>IF(AND('331-CT'!$E$7=TH!H1170,OR(L1170="331",M1170="331")),"331",IF(AND(OR(L1170="131",M1170="131"),H1170='131-CT'!$E$7),"131",""))</f>
        <v/>
      </c>
      <c r="O1170" s="51" t="str">
        <f>IF(AND($B1170&gt;='111'!$N$11,$B1170&lt;='111'!$O$11,OR($L1170=$O$7,$M1170=$O$7)),"x","")</f>
        <v/>
      </c>
      <c r="P1170" s="51" t="str">
        <f>IF(AND($L1170=$O$7,$B1170&lt;'111'!$N$11),"x","")</f>
        <v/>
      </c>
      <c r="Q1170" s="51" t="str">
        <f>IF(AND($M1170=$O$7,$B1170&lt;'111'!$N$11),"x","")</f>
        <v/>
      </c>
      <c r="R1170" s="51" t="str">
        <f>IF(ISERROR(FIND('112'!$M$9,G1170,1)),"",IF((AND(FIND('112'!$M$9,G1170,1)&gt;=1,$B1170&gt;='112'!$N$8,$B1170&lt;='112'!$O$8,OR($L1170='112'!$I$6,$M1170='112'!$I$6))),"x",""))</f>
        <v/>
      </c>
      <c r="S1170" s="51" t="str">
        <f>IF(ISERROR(FIND('112'!$M$9,G1170,1)),"",IF((AND(LEFT(G1170,2)=LEFT('112'!$M$9,2),B1170&lt;'112'!$N$8,$L1170='112'!$I$6)),"x",""))</f>
        <v/>
      </c>
      <c r="T1170" s="51" t="str">
        <f>IF(ISERROR(FIND('112'!$M$9,G1170,1)),"",IF((AND(RIGHT(G1170,2)=RIGHT('112'!$M$9,2),B1170&lt;'112'!$N$8,$M1170='112'!$I$6)),"x",""))</f>
        <v/>
      </c>
      <c r="U1170" s="51" t="str">
        <f>IF(AND(L1170="154",'154'!$O$5&lt;=B1170,'154'!$P$5&gt;=B1170),"154",IF(AND(L1170="632",'632'!$L$5&lt;=B1170,'632'!$M$5&gt;=B1170),"632",IF(AND(L1170="642",'642'!$N$5&lt;=B1170,'642'!$O$5&gt;=B1170),"642",IF(AND(L1170="641",'641'!$N$5&lt;=B1170,'641'!$O$5&gt;=B1170),"641",""))))</f>
        <v/>
      </c>
      <c r="V1170" s="51" t="str">
        <f>IF(OR(TH!L1170=TH!$V$7,M1170=TH!$V$7),"x","")</f>
        <v/>
      </c>
      <c r="W1170" s="51" t="str">
        <f>IF(AND(B1170&gt;='IN-NX'!$P$3,B1170&lt;='IN-NX'!$Q$3,'IN-NX'!$D$7=D1170,OR(LEFT(L1170,2)="15",AND(LEFT(M1170,2)&lt;&gt;"15",LEFT(M1170,2)&lt;&gt;"33"))),"x","")</f>
        <v/>
      </c>
      <c r="X1170" s="51" t="str">
        <f>IF(AND(OR(LEFT(TH!L1170,2)="15",LEFT(TH!M1170,2)="15"),'152-CT'!$J$8=TH!F1170),"x","")</f>
        <v/>
      </c>
      <c r="Y1170" s="51" t="str">
        <f>IF(AND(OR(LEFT(TH!L1170,2)="15",LEFT(TH!M1170,2)="15"),TK!$E$7=TH!F1170),"x","")</f>
        <v/>
      </c>
      <c r="Z1170" s="51" t="str">
        <f>IF(AND(B1170&lt;=NKC!$N$8,B1170&gt;=NKC!$M$8),"x","")</f>
        <v/>
      </c>
      <c r="AA1170" s="803"/>
      <c r="AB1170" s="565"/>
    </row>
    <row r="1171" spans="1:31" ht="15.75" customHeight="1">
      <c r="A1171" s="804" t="str">
        <f>IF(B1171&lt;&gt;"",IF(AND(B1171&gt;=_TM1,B1171&lt;=_TM2,OR(TH!L1171="1111",TH!M1171="1111")),TH!D1171,""),"")</f>
        <v/>
      </c>
      <c r="B1171" s="36">
        <f t="shared" si="76"/>
        <v>11</v>
      </c>
      <c r="C1171" s="189">
        <f t="shared" si="77"/>
        <v>42335</v>
      </c>
      <c r="D1171" s="189" t="s">
        <v>1316</v>
      </c>
      <c r="E1171" s="189">
        <v>42335</v>
      </c>
      <c r="F1171" s="926" t="s">
        <v>1234</v>
      </c>
      <c r="G1171" s="811" t="s">
        <v>1099</v>
      </c>
      <c r="H1171" s="191" t="s">
        <v>1070</v>
      </c>
      <c r="I1171" s="243">
        <v>3119</v>
      </c>
      <c r="J1171" s="243">
        <v>926</v>
      </c>
      <c r="K1171" s="573">
        <f>ROUND(I1171*J1171,0)</f>
        <v>2888194</v>
      </c>
      <c r="L1171" s="574" t="s">
        <v>250</v>
      </c>
      <c r="M1171" s="574" t="s">
        <v>164</v>
      </c>
      <c r="N1171" s="51" t="str">
        <f>IF(AND('331-CT'!$E$7=TH!H1171,OR(L1171="331",M1171="331")),"331",IF(AND(OR(L1171="131",M1171="131"),H1171='131-CT'!$E$7),"131",""))</f>
        <v/>
      </c>
      <c r="O1171" s="51" t="str">
        <f>IF(AND($B1171&gt;='111'!$N$11,$B1171&lt;='111'!$O$11,OR($L1171=$O$7,$M1171=$O$7)),"x","")</f>
        <v/>
      </c>
      <c r="P1171" s="51" t="str">
        <f>IF(AND($L1171=$O$7,$B1171&lt;'111'!$N$11),"x","")</f>
        <v/>
      </c>
      <c r="Q1171" s="51" t="str">
        <f>IF(AND($M1171=$O$7,$B1171&lt;'111'!$N$11),"x","")</f>
        <v/>
      </c>
      <c r="R1171" s="51" t="str">
        <f>IF(ISERROR(FIND('112'!$M$9,G1171,1)),"",IF((AND(FIND('112'!$M$9,G1171,1)&gt;=1,$B1171&gt;='112'!$N$8,$B1171&lt;='112'!$O$8,OR($L1171='112'!$I$6,$M1171='112'!$I$6))),"x",""))</f>
        <v/>
      </c>
      <c r="S1171" s="51" t="str">
        <f>IF(ISERROR(FIND('112'!$M$9,G1171,1)),"",IF((AND(LEFT(G1171,2)=LEFT('112'!$M$9,2),B1171&lt;'112'!$N$8,$L1171='112'!$I$6)),"x",""))</f>
        <v/>
      </c>
      <c r="T1171" s="51" t="str">
        <f>IF(ISERROR(FIND('112'!$M$9,G1171,1)),"",IF((AND(RIGHT(G1171,2)=RIGHT('112'!$M$9,2),B1171&lt;'112'!$N$8,$M1171='112'!$I$6)),"x",""))</f>
        <v/>
      </c>
      <c r="U1171" s="51" t="str">
        <f>IF(AND(L1171="154",'154'!$O$5&lt;=B1171,'154'!$P$5&gt;=B1171),"154",IF(AND(L1171="632",'632'!$L$5&lt;=B1171,'632'!$M$5&gt;=B1171),"632",IF(AND(L1171="642",'642'!$N$5&lt;=B1171,'642'!$O$5&gt;=B1171),"642",IF(AND(L1171="641",'641'!$N$5&lt;=B1171,'641'!$O$5&gt;=B1171),"641",""))))</f>
        <v/>
      </c>
      <c r="V1171" s="51" t="str">
        <f>IF(OR(TH!L1171=TH!$V$7,M1171=TH!$V$7),"x","")</f>
        <v/>
      </c>
      <c r="W1171" s="51" t="str">
        <f>IF(AND(B1171&gt;='IN-NX'!$P$3,B1171&lt;='IN-NX'!$Q$3,'IN-NX'!$D$7=D1171,OR(LEFT(L1171,2)="15",AND(LEFT(M1171,2)&lt;&gt;"15",LEFT(M1171,2)&lt;&gt;"33"))),"x","")</f>
        <v/>
      </c>
      <c r="X1171" s="51" t="str">
        <f>IF(AND(OR(LEFT(TH!L1171,2)="15",LEFT(TH!M1171,2)="15"),'152-CT'!$J$8=TH!F1171),"x","")</f>
        <v/>
      </c>
      <c r="Y1171" s="51" t="str">
        <f>IF(AND(OR(LEFT(TH!L1171,2)="15",LEFT(TH!M1171,2)="15"),TK!$E$7=TH!F1171),"x","")</f>
        <v/>
      </c>
      <c r="Z1171" s="51" t="str">
        <f>IF(AND(B1171&lt;=NKC!$N$8,B1171&gt;=NKC!$M$8),"x","")</f>
        <v/>
      </c>
      <c r="AA1171" s="803"/>
      <c r="AB1171" s="565"/>
    </row>
    <row r="1172" spans="1:31" ht="15.75" customHeight="1">
      <c r="A1172" s="804" t="str">
        <f>IF(B1172&lt;&gt;"",IF(AND(B1172&gt;=_TM1,B1172&lt;=_TM2,OR(TH!L1172="1111",TH!M1172="1111")),TH!D1172,""),"")</f>
        <v/>
      </c>
      <c r="B1172" s="36">
        <f t="shared" si="76"/>
        <v>11</v>
      </c>
      <c r="C1172" s="189">
        <f t="shared" si="77"/>
        <v>42335</v>
      </c>
      <c r="D1172" s="189" t="s">
        <v>1316</v>
      </c>
      <c r="E1172" s="189">
        <v>42335</v>
      </c>
      <c r="F1172" s="926" t="s">
        <v>962</v>
      </c>
      <c r="G1172" s="811" t="s">
        <v>1099</v>
      </c>
      <c r="H1172" s="191" t="s">
        <v>1070</v>
      </c>
      <c r="I1172" s="243"/>
      <c r="J1172" s="243"/>
      <c r="K1172" s="573">
        <v>288819</v>
      </c>
      <c r="L1172" s="574" t="s">
        <v>250</v>
      </c>
      <c r="M1172" s="574" t="s">
        <v>352</v>
      </c>
      <c r="N1172" s="51" t="str">
        <f>IF(AND('331-CT'!$E$7=TH!H1172,OR(L1172="331",M1172="331")),"331",IF(AND(OR(L1172="131",M1172="131"),H1172='131-CT'!$E$7),"131",""))</f>
        <v/>
      </c>
      <c r="O1172" s="51" t="str">
        <f>IF(AND($B1172&gt;='111'!$N$11,$B1172&lt;='111'!$O$11,OR($L1172=$O$7,$M1172=$O$7)),"x","")</f>
        <v/>
      </c>
      <c r="P1172" s="51" t="str">
        <f>IF(AND($L1172=$O$7,$B1172&lt;'111'!$N$11),"x","")</f>
        <v/>
      </c>
      <c r="Q1172" s="51" t="str">
        <f>IF(AND($M1172=$O$7,$B1172&lt;'111'!$N$11),"x","")</f>
        <v/>
      </c>
      <c r="R1172" s="51" t="str">
        <f>IF(ISERROR(FIND('112'!$M$9,G1172,1)),"",IF((AND(FIND('112'!$M$9,G1172,1)&gt;=1,$B1172&gt;='112'!$N$8,$B1172&lt;='112'!$O$8,OR($L1172='112'!$I$6,$M1172='112'!$I$6))),"x",""))</f>
        <v/>
      </c>
      <c r="S1172" s="51" t="str">
        <f>IF(ISERROR(FIND('112'!$M$9,G1172,1)),"",IF((AND(LEFT(G1172,2)=LEFT('112'!$M$9,2),B1172&lt;'112'!$N$8,$L1172='112'!$I$6)),"x",""))</f>
        <v/>
      </c>
      <c r="T1172" s="51" t="str">
        <f>IF(ISERROR(FIND('112'!$M$9,G1172,1)),"",IF((AND(RIGHT(G1172,2)=RIGHT('112'!$M$9,2),B1172&lt;'112'!$N$8,$M1172='112'!$I$6)),"x",""))</f>
        <v/>
      </c>
      <c r="U1172" s="51" t="str">
        <f>IF(AND(L1172="154",'154'!$O$5&lt;=B1172,'154'!$P$5&gt;=B1172),"154",IF(AND(L1172="632",'632'!$L$5&lt;=B1172,'632'!$M$5&gt;=B1172),"632",IF(AND(L1172="642",'642'!$N$5&lt;=B1172,'642'!$O$5&gt;=B1172),"642",IF(AND(L1172="641",'641'!$N$5&lt;=B1172,'641'!$O$5&gt;=B1172),"641",""))))</f>
        <v/>
      </c>
      <c r="V1172" s="51" t="str">
        <f>IF(OR(TH!L1172=TH!$V$7,M1172=TH!$V$7),"x","")</f>
        <v/>
      </c>
      <c r="W1172" s="51" t="str">
        <f>IF(AND(B1172&gt;='IN-NX'!$P$3,B1172&lt;='IN-NX'!$Q$3,'IN-NX'!$D$7=D1172,OR(LEFT(L1172,2)="15",AND(LEFT(M1172,2)&lt;&gt;"15",LEFT(M1172,2)&lt;&gt;"33"))),"x","")</f>
        <v/>
      </c>
      <c r="X1172" s="51" t="str">
        <f>IF(AND(OR(LEFT(TH!L1172,2)="15",LEFT(TH!M1172,2)="15"),'152-CT'!$J$8=TH!F1172),"x","")</f>
        <v/>
      </c>
      <c r="Y1172" s="51" t="str">
        <f>IF(AND(OR(LEFT(TH!L1172,2)="15",LEFT(TH!M1172,2)="15"),TK!$E$7=TH!F1172),"x","")</f>
        <v/>
      </c>
      <c r="Z1172" s="51" t="str">
        <f>IF(AND(B1172&lt;=NKC!$N$8,B1172&gt;=NKC!$M$8),"x","")</f>
        <v/>
      </c>
      <c r="AA1172" s="803"/>
      <c r="AB1172" s="565"/>
    </row>
    <row r="1173" spans="1:31" ht="15.75" customHeight="1">
      <c r="A1173" s="804" t="str">
        <f>IF(B1173&lt;&gt;"",IF(AND(B1173&gt;=_TM1,B1173&lt;=_TM2,OR(TH!L1173="1111",TH!M1173="1111")),TH!D1173,""),"")</f>
        <v/>
      </c>
      <c r="B1173" s="36">
        <f t="shared" si="76"/>
        <v>11</v>
      </c>
      <c r="C1173" s="189">
        <f t="shared" si="77"/>
        <v>42335</v>
      </c>
      <c r="D1173" s="189" t="s">
        <v>1391</v>
      </c>
      <c r="E1173" s="189">
        <v>42335</v>
      </c>
      <c r="F1173" s="926" t="s">
        <v>423</v>
      </c>
      <c r="G1173" s="811" t="s">
        <v>1099</v>
      </c>
      <c r="H1173" s="191" t="s">
        <v>1070</v>
      </c>
      <c r="I1173" s="243"/>
      <c r="J1173" s="243"/>
      <c r="K1173" s="573">
        <v>3177013</v>
      </c>
      <c r="L1173" s="574" t="s">
        <v>47</v>
      </c>
      <c r="M1173" s="574" t="s">
        <v>250</v>
      </c>
      <c r="N1173" s="51" t="str">
        <f>IF(AND('331-CT'!$E$7=TH!H1173,OR(L1173="331",M1173="331")),"331",IF(AND(OR(L1173="131",M1173="131"),H1173='131-CT'!$E$7),"131",""))</f>
        <v/>
      </c>
      <c r="O1173" s="51" t="str">
        <f>IF(AND($B1173&gt;='111'!$N$11,$B1173&lt;='111'!$O$11,OR($L1173=$O$7,$M1173=$O$7)),"x","")</f>
        <v>x</v>
      </c>
      <c r="P1173" s="51" t="str">
        <f>IF(AND($L1173=$O$7,$B1173&lt;'111'!$N$11),"x","")</f>
        <v/>
      </c>
      <c r="Q1173" s="51" t="str">
        <f>IF(AND($M1173=$O$7,$B1173&lt;'111'!$N$11),"x","")</f>
        <v/>
      </c>
      <c r="R1173" s="51" t="str">
        <f>IF(ISERROR(FIND('112'!$M$9,G1173,1)),"",IF((AND(FIND('112'!$M$9,G1173,1)&gt;=1,$B1173&gt;='112'!$N$8,$B1173&lt;='112'!$O$8,OR($L1173='112'!$I$6,$M1173='112'!$I$6))),"x",""))</f>
        <v/>
      </c>
      <c r="S1173" s="51" t="str">
        <f>IF(ISERROR(FIND('112'!$M$9,G1173,1)),"",IF((AND(LEFT(G1173,2)=LEFT('112'!$M$9,2),B1173&lt;'112'!$N$8,$L1173='112'!$I$6)),"x",""))</f>
        <v/>
      </c>
      <c r="T1173" s="51" t="str">
        <f>IF(ISERROR(FIND('112'!$M$9,G1173,1)),"",IF((AND(RIGHT(G1173,2)=RIGHT('112'!$M$9,2),B1173&lt;'112'!$N$8,$M1173='112'!$I$6)),"x",""))</f>
        <v/>
      </c>
      <c r="U1173" s="51" t="str">
        <f>IF(AND(L1173="154",'154'!$O$5&lt;=B1173,'154'!$P$5&gt;=B1173),"154",IF(AND(L1173="632",'632'!$L$5&lt;=B1173,'632'!$M$5&gt;=B1173),"632",IF(AND(L1173="642",'642'!$N$5&lt;=B1173,'642'!$O$5&gt;=B1173),"642",IF(AND(L1173="641",'641'!$N$5&lt;=B1173,'641'!$O$5&gt;=B1173),"641",""))))</f>
        <v/>
      </c>
      <c r="V1173" s="51" t="str">
        <f>IF(OR(TH!L1173=TH!$V$7,M1173=TH!$V$7),"x","")</f>
        <v/>
      </c>
      <c r="W1173" s="51" t="str">
        <f>IF(AND(B1173&gt;='IN-NX'!$P$3,B1173&lt;='IN-NX'!$Q$3,'IN-NX'!$D$7=D1173,OR(LEFT(L1173,2)="15",AND(LEFT(M1173,2)&lt;&gt;"15",LEFT(M1173,2)&lt;&gt;"33"))),"x","")</f>
        <v/>
      </c>
      <c r="X1173" s="51" t="str">
        <f>IF(AND(OR(LEFT(TH!L1173,2)="15",LEFT(TH!M1173,2)="15"),'152-CT'!$J$8=TH!F1173),"x","")</f>
        <v/>
      </c>
      <c r="Y1173" s="51" t="str">
        <f>IF(AND(OR(LEFT(TH!L1173,2)="15",LEFT(TH!M1173,2)="15"),TK!$E$7=TH!F1173),"x","")</f>
        <v/>
      </c>
      <c r="Z1173" s="51" t="str">
        <f>IF(AND(B1173&lt;=NKC!$N$8,B1173&gt;=NKC!$M$8),"x","")</f>
        <v/>
      </c>
      <c r="AA1173" s="803"/>
      <c r="AB1173" s="565"/>
    </row>
    <row r="1174" spans="1:31" ht="15.75" customHeight="1">
      <c r="A1174" s="804" t="str">
        <f>IF(B1174&lt;&gt;"",IF(AND(B1174&gt;=_TM1,B1174&lt;=_TM2,OR(TH!L1174="1111",TH!M1174="1111")),TH!D1174,""),"")</f>
        <v/>
      </c>
      <c r="B1174" s="36">
        <f t="shared" si="76"/>
        <v>11</v>
      </c>
      <c r="C1174" s="189">
        <f t="shared" si="77"/>
        <v>42336</v>
      </c>
      <c r="D1174" s="189" t="s">
        <v>1392</v>
      </c>
      <c r="E1174" s="189">
        <v>42336</v>
      </c>
      <c r="F1174" s="926" t="s">
        <v>964</v>
      </c>
      <c r="G1174" s="811" t="s">
        <v>1100</v>
      </c>
      <c r="H1174" s="191" t="s">
        <v>975</v>
      </c>
      <c r="I1174" s="243"/>
      <c r="J1174" s="243"/>
      <c r="K1174" s="573">
        <v>9000000</v>
      </c>
      <c r="L1174" s="574" t="s">
        <v>47</v>
      </c>
      <c r="M1174" s="574" t="s">
        <v>408</v>
      </c>
      <c r="N1174" s="51" t="str">
        <f>IF(AND('331-CT'!$E$7=TH!H1174,OR(L1174="331",M1174="331")),"331",IF(AND(OR(L1174="131",M1174="131"),H1174='131-CT'!$E$7),"131",""))</f>
        <v/>
      </c>
      <c r="O1174" s="51" t="str">
        <f>IF(AND($B1174&gt;='111'!$N$11,$B1174&lt;='111'!$O$11,OR($L1174=$O$7,$M1174=$O$7)),"x","")</f>
        <v>x</v>
      </c>
      <c r="P1174" s="51" t="str">
        <f>IF(AND($L1174=$O$7,$B1174&lt;'111'!$N$11),"x","")</f>
        <v/>
      </c>
      <c r="Q1174" s="51" t="str">
        <f>IF(AND($M1174=$O$7,$B1174&lt;'111'!$N$11),"x","")</f>
        <v/>
      </c>
      <c r="R1174" s="51" t="str">
        <f>IF(ISERROR(FIND('112'!$M$9,G1174,1)),"",IF((AND(FIND('112'!$M$9,G1174,1)&gt;=1,$B1174&gt;='112'!$N$8,$B1174&lt;='112'!$O$8,OR($L1174='112'!$I$6,$M1174='112'!$I$6))),"x",""))</f>
        <v/>
      </c>
      <c r="S1174" s="51" t="str">
        <f>IF(ISERROR(FIND('112'!$M$9,G1174,1)),"",IF((AND(LEFT(G1174,2)=LEFT('112'!$M$9,2),B1174&lt;'112'!$N$8,$L1174='112'!$I$6)),"x",""))</f>
        <v/>
      </c>
      <c r="T1174" s="51" t="str">
        <f>IF(ISERROR(FIND('112'!$M$9,G1174,1)),"",IF((AND(RIGHT(G1174,2)=RIGHT('112'!$M$9,2),B1174&lt;'112'!$N$8,$M1174='112'!$I$6)),"x",""))</f>
        <v/>
      </c>
      <c r="U1174" s="51" t="str">
        <f>IF(AND(L1174="154",'154'!$O$5&lt;=B1174,'154'!$P$5&gt;=B1174),"154",IF(AND(L1174="632",'632'!$L$5&lt;=B1174,'632'!$M$5&gt;=B1174),"632",IF(AND(L1174="642",'642'!$N$5&lt;=B1174,'642'!$O$5&gt;=B1174),"642",IF(AND(L1174="641",'641'!$N$5&lt;=B1174,'641'!$O$5&gt;=B1174),"641",""))))</f>
        <v/>
      </c>
      <c r="V1174" s="51" t="str">
        <f>IF(OR(TH!L1174=TH!$V$7,M1174=TH!$V$7),"x","")</f>
        <v/>
      </c>
      <c r="W1174" s="51" t="str">
        <f>IF(AND(B1174&gt;='IN-NX'!$P$3,B1174&lt;='IN-NX'!$Q$3,'IN-NX'!$D$7=D1174,OR(LEFT(L1174,2)="15",AND(LEFT(M1174,2)&lt;&gt;"15",LEFT(M1174,2)&lt;&gt;"33"))),"x","")</f>
        <v/>
      </c>
      <c r="X1174" s="51" t="str">
        <f>IF(AND(OR(LEFT(TH!L1174,2)="15",LEFT(TH!M1174,2)="15"),'152-CT'!$J$8=TH!F1174),"x","")</f>
        <v/>
      </c>
      <c r="Y1174" s="51" t="str">
        <f>IF(AND(OR(LEFT(TH!L1174,2)="15",LEFT(TH!M1174,2)="15"),TK!$E$7=TH!F1174),"x","")</f>
        <v/>
      </c>
      <c r="Z1174" s="51" t="str">
        <f>IF(AND(B1174&lt;=NKC!$N$8,B1174&gt;=NKC!$M$8),"x","")</f>
        <v/>
      </c>
      <c r="AA1174" s="803"/>
      <c r="AB1174" s="565"/>
    </row>
    <row r="1175" spans="1:31" ht="15.75" customHeight="1">
      <c r="A1175" s="804" t="str">
        <f>IF(B1175&lt;&gt;"",IF(AND(B1175&gt;=_TM1,B1175&lt;=_TM2,OR(TH!L1175="1111",TH!M1175="1111")),TH!D1175,""),"")</f>
        <v/>
      </c>
      <c r="B1175" s="36">
        <f t="shared" si="76"/>
        <v>11</v>
      </c>
      <c r="C1175" s="189">
        <f t="shared" si="77"/>
        <v>42336</v>
      </c>
      <c r="D1175" s="189" t="s">
        <v>1392</v>
      </c>
      <c r="E1175" s="189">
        <v>42336</v>
      </c>
      <c r="F1175" s="926" t="s">
        <v>1110</v>
      </c>
      <c r="G1175" s="811" t="s">
        <v>1100</v>
      </c>
      <c r="H1175" s="191" t="s">
        <v>975</v>
      </c>
      <c r="I1175" s="243"/>
      <c r="J1175" s="243"/>
      <c r="K1175" s="573">
        <v>900000</v>
      </c>
      <c r="L1175" s="574" t="s">
        <v>47</v>
      </c>
      <c r="M1175" s="574" t="s">
        <v>352</v>
      </c>
      <c r="N1175" s="51" t="str">
        <f>IF(AND('331-CT'!$E$7=TH!H1175,OR(L1175="331",M1175="331")),"331",IF(AND(OR(L1175="131",M1175="131"),H1175='131-CT'!$E$7),"131",""))</f>
        <v/>
      </c>
      <c r="O1175" s="51" t="str">
        <f>IF(AND($B1175&gt;='111'!$N$11,$B1175&lt;='111'!$O$11,OR($L1175=$O$7,$M1175=$O$7)),"x","")</f>
        <v>x</v>
      </c>
      <c r="P1175" s="51" t="str">
        <f>IF(AND($L1175=$O$7,$B1175&lt;'111'!$N$11),"x","")</f>
        <v/>
      </c>
      <c r="Q1175" s="51" t="str">
        <f>IF(AND($M1175=$O$7,$B1175&lt;'111'!$N$11),"x","")</f>
        <v/>
      </c>
      <c r="R1175" s="51" t="str">
        <f>IF(ISERROR(FIND('112'!$M$9,G1175,1)),"",IF((AND(FIND('112'!$M$9,G1175,1)&gt;=1,$B1175&gt;='112'!$N$8,$B1175&lt;='112'!$O$8,OR($L1175='112'!$I$6,$M1175='112'!$I$6))),"x",""))</f>
        <v/>
      </c>
      <c r="S1175" s="51" t="str">
        <f>IF(ISERROR(FIND('112'!$M$9,G1175,1)),"",IF((AND(LEFT(G1175,2)=LEFT('112'!$M$9,2),B1175&lt;'112'!$N$8,$L1175='112'!$I$6)),"x",""))</f>
        <v/>
      </c>
      <c r="T1175" s="51" t="str">
        <f>IF(ISERROR(FIND('112'!$M$9,G1175,1)),"",IF((AND(RIGHT(G1175,2)=RIGHT('112'!$M$9,2),B1175&lt;'112'!$N$8,$M1175='112'!$I$6)),"x",""))</f>
        <v/>
      </c>
      <c r="U1175" s="51" t="str">
        <f>IF(AND(L1175="154",'154'!$O$5&lt;=B1175,'154'!$P$5&gt;=B1175),"154",IF(AND(L1175="632",'632'!$L$5&lt;=B1175,'632'!$M$5&gt;=B1175),"632",IF(AND(L1175="642",'642'!$N$5&lt;=B1175,'642'!$O$5&gt;=B1175),"642",IF(AND(L1175="641",'641'!$N$5&lt;=B1175,'641'!$O$5&gt;=B1175),"641",""))))</f>
        <v/>
      </c>
      <c r="V1175" s="51" t="str">
        <f>IF(OR(TH!L1175=TH!$V$7,M1175=TH!$V$7),"x","")</f>
        <v/>
      </c>
      <c r="W1175" s="51" t="str">
        <f>IF(AND(B1175&gt;='IN-NX'!$P$3,B1175&lt;='IN-NX'!$Q$3,'IN-NX'!$D$7=D1175,OR(LEFT(L1175,2)="15",AND(LEFT(M1175,2)&lt;&gt;"15",LEFT(M1175,2)&lt;&gt;"33"))),"x","")</f>
        <v/>
      </c>
      <c r="X1175" s="51" t="str">
        <f>IF(AND(OR(LEFT(TH!L1175,2)="15",LEFT(TH!M1175,2)="15"),'152-CT'!$J$8=TH!F1175),"x","")</f>
        <v/>
      </c>
      <c r="Y1175" s="51" t="str">
        <f>IF(AND(OR(LEFT(TH!L1175,2)="15",LEFT(TH!M1175,2)="15"),TK!$E$7=TH!F1175),"x","")</f>
        <v/>
      </c>
      <c r="Z1175" s="51" t="str">
        <f>IF(AND(B1175&lt;=NKC!$N$8,B1175&gt;=NKC!$M$8),"x","")</f>
        <v/>
      </c>
      <c r="AA1175" s="803"/>
      <c r="AB1175" s="565"/>
    </row>
    <row r="1176" spans="1:31" ht="15.75" customHeight="1">
      <c r="A1176" s="804" t="str">
        <f>IF(B1176&lt;&gt;"",IF(AND(B1176&gt;=_TM1,B1176&lt;=_TM2,OR(TH!L1176="1111",TH!M1176="1111")),TH!D1176,""),"")</f>
        <v/>
      </c>
      <c r="B1176" s="36">
        <f t="shared" si="76"/>
        <v>11</v>
      </c>
      <c r="C1176" s="189">
        <f t="shared" si="77"/>
        <v>42337</v>
      </c>
      <c r="D1176" s="189" t="s">
        <v>422</v>
      </c>
      <c r="E1176" s="189">
        <v>42337</v>
      </c>
      <c r="F1176" s="187" t="s">
        <v>425</v>
      </c>
      <c r="G1176" s="811" t="s">
        <v>415</v>
      </c>
      <c r="H1176" s="191"/>
      <c r="I1176" s="243"/>
      <c r="J1176" s="243"/>
      <c r="K1176" s="573">
        <v>55000</v>
      </c>
      <c r="L1176" s="574" t="s">
        <v>83</v>
      </c>
      <c r="M1176" s="574" t="s">
        <v>24</v>
      </c>
      <c r="N1176" s="51" t="str">
        <f>IF(AND('331-CT'!$E$7=TH!H1176,OR(L1176="331",M1176="331")),"331",IF(AND(OR(L1176="131",M1176="131"),H1176='131-CT'!$E$7),"131",""))</f>
        <v/>
      </c>
      <c r="O1176" s="51" t="str">
        <f>IF(AND($B1176&gt;='111'!$N$11,$B1176&lt;='111'!$O$11,OR($L1176=$O$7,$M1176=$O$7)),"x","")</f>
        <v/>
      </c>
      <c r="P1176" s="51" t="str">
        <f>IF(AND($L1176=$O$7,$B1176&lt;'111'!$N$11),"x","")</f>
        <v/>
      </c>
      <c r="Q1176" s="51" t="str">
        <f>IF(AND($M1176=$O$7,$B1176&lt;'111'!$N$11),"x","")</f>
        <v/>
      </c>
      <c r="R1176" s="51" t="str">
        <f>IF(ISERROR(FIND('112'!$M$9,G1176,1)),"",IF((AND(FIND('112'!$M$9,G1176,1)&gt;=1,$B1176&gt;='112'!$N$8,$B1176&lt;='112'!$O$8,OR($L1176='112'!$I$6,$M1176='112'!$I$6))),"x",""))</f>
        <v/>
      </c>
      <c r="S1176" s="51" t="str">
        <f>IF(ISERROR(FIND('112'!$M$9,G1176,1)),"",IF((AND(LEFT(G1176,2)=LEFT('112'!$M$9,2),B1176&lt;'112'!$N$8,$L1176='112'!$I$6)),"x",""))</f>
        <v/>
      </c>
      <c r="T1176" s="51" t="str">
        <f>IF(ISERROR(FIND('112'!$M$9,G1176,1)),"",IF((AND(RIGHT(G1176,2)=RIGHT('112'!$M$9,2),B1176&lt;'112'!$N$8,$M1176='112'!$I$6)),"x",""))</f>
        <v/>
      </c>
      <c r="U1176" s="51" t="str">
        <f>IF(AND(L1176="154",'154'!$O$5&lt;=B1176,'154'!$P$5&gt;=B1176),"154",IF(AND(L1176="632",'632'!$L$5&lt;=B1176,'632'!$M$5&gt;=B1176),"632",IF(AND(L1176="642",'642'!$N$5&lt;=B1176,'642'!$O$5&gt;=B1176),"642",IF(AND(L1176="641",'641'!$N$5&lt;=B1176,'641'!$O$5&gt;=B1176),"641",""))))</f>
        <v/>
      </c>
      <c r="V1176" s="51" t="str">
        <f>IF(OR(TH!L1176=TH!$V$7,M1176=TH!$V$7),"x","")</f>
        <v>x</v>
      </c>
      <c r="W1176" s="51" t="str">
        <f>IF(AND(B1176&gt;='IN-NX'!$P$3,B1176&lt;='IN-NX'!$Q$3,'IN-NX'!$D$7=D1176,OR(LEFT(L1176,2)="15",AND(LEFT(M1176,2)&lt;&gt;"15",LEFT(M1176,2)&lt;&gt;"33"))),"x","")</f>
        <v/>
      </c>
      <c r="X1176" s="51" t="str">
        <f>IF(AND(OR(LEFT(TH!L1176,2)="15",LEFT(TH!M1176,2)="15"),'152-CT'!$J$8=TH!F1176),"x","")</f>
        <v/>
      </c>
      <c r="Y1176" s="51" t="str">
        <f>IF(AND(OR(LEFT(TH!L1176,2)="15",LEFT(TH!M1176,2)="15"),TK!$E$7=TH!F1176),"x","")</f>
        <v/>
      </c>
      <c r="Z1176" s="51" t="str">
        <f>IF(AND(B1176&lt;=NKC!$N$8,B1176&gt;=NKC!$M$8),"x","")</f>
        <v/>
      </c>
      <c r="AA1176" s="803"/>
      <c r="AB1176" s="565"/>
    </row>
    <row r="1177" spans="1:31" ht="15.75" customHeight="1">
      <c r="A1177" s="804" t="str">
        <f>IF(B1177&lt;&gt;"",IF(AND(B1177&gt;=_TM1,B1177&lt;=_TM2,OR(TH!L1177="1111",TH!M1177="1111")),TH!D1177,""),"")</f>
        <v/>
      </c>
      <c r="B1177" s="36">
        <f t="shared" si="76"/>
        <v>11</v>
      </c>
      <c r="C1177" s="189">
        <f t="shared" si="77"/>
        <v>42337</v>
      </c>
      <c r="D1177" s="189" t="s">
        <v>1431</v>
      </c>
      <c r="E1177" s="189">
        <v>42337</v>
      </c>
      <c r="F1177" s="922" t="s">
        <v>460</v>
      </c>
      <c r="G1177" s="813" t="s">
        <v>830</v>
      </c>
      <c r="H1177" s="191" t="s">
        <v>492</v>
      </c>
      <c r="I1177" s="243"/>
      <c r="J1177" s="243"/>
      <c r="K1177" s="573">
        <v>3181851</v>
      </c>
      <c r="L1177" s="574" t="s">
        <v>83</v>
      </c>
      <c r="M1177" s="574" t="s">
        <v>47</v>
      </c>
      <c r="N1177" s="51" t="str">
        <f>IF(AND('331-CT'!$E$7=TH!H1177,OR(L1177="331",M1177="331")),"331",IF(AND(OR(L1177="131",M1177="131"),H1177='131-CT'!$E$7),"131",""))</f>
        <v/>
      </c>
      <c r="O1177" s="51" t="str">
        <f>IF(AND($B1177&gt;='111'!$N$11,$B1177&lt;='111'!$O$11,OR($L1177=$O$7,$M1177=$O$7)),"x","")</f>
        <v>x</v>
      </c>
      <c r="P1177" s="51" t="str">
        <f>IF(AND($L1177=$O$7,$B1177&lt;'111'!$N$11),"x","")</f>
        <v/>
      </c>
      <c r="Q1177" s="51" t="str">
        <f>IF(AND($M1177=$O$7,$B1177&lt;'111'!$N$11),"x","")</f>
        <v/>
      </c>
      <c r="R1177" s="51" t="str">
        <f>IF(ISERROR(FIND('112'!$M$9,G1177,1)),"",IF((AND(FIND('112'!$M$9,G1177,1)&gt;=1,$B1177&gt;='112'!$N$8,$B1177&lt;='112'!$O$8,OR($L1177='112'!$I$6,$M1177='112'!$I$6))),"x",""))</f>
        <v/>
      </c>
      <c r="S1177" s="51" t="str">
        <f>IF(ISERROR(FIND('112'!$M$9,G1177,1)),"",IF((AND(LEFT(G1177,2)=LEFT('112'!$M$9,2),B1177&lt;'112'!$N$8,$L1177='112'!$I$6)),"x",""))</f>
        <v/>
      </c>
      <c r="T1177" s="51" t="str">
        <f>IF(ISERROR(FIND('112'!$M$9,G1177,1)),"",IF((AND(RIGHT(G1177,2)=RIGHT('112'!$M$9,2),B1177&lt;'112'!$N$8,$M1177='112'!$I$6)),"x",""))</f>
        <v/>
      </c>
      <c r="U1177" s="51" t="str">
        <f>IF(AND(L1177="154",'154'!$O$5&lt;=B1177,'154'!$P$5&gt;=B1177),"154",IF(AND(L1177="632",'632'!$L$5&lt;=B1177,'632'!$M$5&gt;=B1177),"632",IF(AND(L1177="642",'642'!$N$5&lt;=B1177,'642'!$O$5&gt;=B1177),"642",IF(AND(L1177="641",'641'!$N$5&lt;=B1177,'641'!$O$5&gt;=B1177),"641",""))))</f>
        <v/>
      </c>
      <c r="V1177" s="51" t="str">
        <f>IF(OR(TH!L1177=TH!$V$7,M1177=TH!$V$7),"x","")</f>
        <v>x</v>
      </c>
      <c r="W1177" s="51" t="str">
        <f>IF(AND(B1177&gt;='IN-NX'!$P$3,B1177&lt;='IN-NX'!$Q$3,'IN-NX'!$D$7=D1177,OR(LEFT(L1177,2)="15",AND(LEFT(M1177,2)&lt;&gt;"15",LEFT(M1177,2)&lt;&gt;"33"))),"x","")</f>
        <v/>
      </c>
      <c r="X1177" s="51" t="str">
        <f>IF(AND(OR(LEFT(TH!L1177,2)="15",LEFT(TH!M1177,2)="15"),'152-CT'!$J$8=TH!F1177),"x","")</f>
        <v/>
      </c>
      <c r="Y1177" s="51" t="str">
        <f>IF(AND(OR(LEFT(TH!L1177,2)="15",LEFT(TH!M1177,2)="15"),TK!$E$7=TH!F1177),"x","")</f>
        <v/>
      </c>
      <c r="Z1177" s="51" t="str">
        <f>IF(AND(B1177&lt;=NKC!$N$8,B1177&gt;=NKC!$M$8),"x","")</f>
        <v/>
      </c>
      <c r="AA1177" s="803"/>
      <c r="AB1177" s="565"/>
      <c r="AE1177" s="565"/>
    </row>
    <row r="1178" spans="1:31" ht="15.75" customHeight="1">
      <c r="A1178" s="804" t="str">
        <f>IF(B1178&lt;&gt;"",IF(AND(B1178&gt;=_TM1,B1178&lt;=_TM2,OR(TH!L1178="1111",TH!M1178="1111")),TH!D1178,""),"")</f>
        <v/>
      </c>
      <c r="B1178" s="36">
        <f t="shared" si="76"/>
        <v>11</v>
      </c>
      <c r="C1178" s="189">
        <f t="shared" si="77"/>
        <v>42337</v>
      </c>
      <c r="D1178" s="189" t="s">
        <v>1431</v>
      </c>
      <c r="E1178" s="189">
        <v>42337</v>
      </c>
      <c r="F1178" s="190" t="s">
        <v>461</v>
      </c>
      <c r="G1178" s="813" t="s">
        <v>830</v>
      </c>
      <c r="H1178" s="191" t="s">
        <v>492</v>
      </c>
      <c r="I1178" s="243"/>
      <c r="J1178" s="243"/>
      <c r="K1178" s="573">
        <v>318185</v>
      </c>
      <c r="L1178" s="574" t="s">
        <v>9</v>
      </c>
      <c r="M1178" s="574" t="s">
        <v>47</v>
      </c>
      <c r="N1178" s="51" t="str">
        <f>IF(AND('331-CT'!$E$7=TH!H1178,OR(L1178="331",M1178="331")),"331",IF(AND(OR(L1178="131",M1178="131"),H1178='131-CT'!$E$7),"131",""))</f>
        <v/>
      </c>
      <c r="O1178" s="51" t="str">
        <f>IF(AND($B1178&gt;='111'!$N$11,$B1178&lt;='111'!$O$11,OR($L1178=$O$7,$M1178=$O$7)),"x","")</f>
        <v>x</v>
      </c>
      <c r="P1178" s="51" t="str">
        <f>IF(AND($L1178=$O$7,$B1178&lt;'111'!$N$11),"x","")</f>
        <v/>
      </c>
      <c r="Q1178" s="51" t="str">
        <f>IF(AND($M1178=$O$7,$B1178&lt;'111'!$N$11),"x","")</f>
        <v/>
      </c>
      <c r="R1178" s="51" t="str">
        <f>IF(ISERROR(FIND('112'!$M$9,G1178,1)),"",IF((AND(FIND('112'!$M$9,G1178,1)&gt;=1,$B1178&gt;='112'!$N$8,$B1178&lt;='112'!$O$8,OR($L1178='112'!$I$6,$M1178='112'!$I$6))),"x",""))</f>
        <v/>
      </c>
      <c r="S1178" s="51" t="str">
        <f>IF(ISERROR(FIND('112'!$M$9,G1178,1)),"",IF((AND(LEFT(G1178,2)=LEFT('112'!$M$9,2),B1178&lt;'112'!$N$8,$L1178='112'!$I$6)),"x",""))</f>
        <v/>
      </c>
      <c r="T1178" s="51" t="str">
        <f>IF(ISERROR(FIND('112'!$M$9,G1178,1)),"",IF((AND(RIGHT(G1178,2)=RIGHT('112'!$M$9,2),B1178&lt;'112'!$N$8,$M1178='112'!$I$6)),"x",""))</f>
        <v/>
      </c>
      <c r="U1178" s="51" t="str">
        <f>IF(AND(L1178="154",'154'!$O$5&lt;=B1178,'154'!$P$5&gt;=B1178),"154",IF(AND(L1178="632",'632'!$L$5&lt;=B1178,'632'!$M$5&gt;=B1178),"632",IF(AND(L1178="642",'642'!$N$5&lt;=B1178,'642'!$O$5&gt;=B1178),"642",IF(AND(L1178="641",'641'!$N$5&lt;=B1178,'641'!$O$5&gt;=B1178),"641",""))))</f>
        <v/>
      </c>
      <c r="V1178" s="51" t="str">
        <f>IF(OR(TH!L1178=TH!$V$7,M1178=TH!$V$7),"x","")</f>
        <v/>
      </c>
      <c r="W1178" s="51" t="str">
        <f>IF(AND(B1178&gt;='IN-NX'!$P$3,B1178&lt;='IN-NX'!$Q$3,'IN-NX'!$D$7=D1178,OR(LEFT(L1178,2)="15",AND(LEFT(M1178,2)&lt;&gt;"15",LEFT(M1178,2)&lt;&gt;"33"))),"x","")</f>
        <v/>
      </c>
      <c r="X1178" s="51" t="str">
        <f>IF(AND(OR(LEFT(TH!L1178,2)="15",LEFT(TH!M1178,2)="15"),'152-CT'!$J$8=TH!F1178),"x","")</f>
        <v/>
      </c>
      <c r="Y1178" s="51" t="str">
        <f>IF(AND(OR(LEFT(TH!L1178,2)="15",LEFT(TH!M1178,2)="15"),TK!$E$7=TH!F1178),"x","")</f>
        <v/>
      </c>
      <c r="Z1178" s="51" t="str">
        <f>IF(AND(B1178&lt;=NKC!$N$8,B1178&gt;=NKC!$M$8),"x","")</f>
        <v/>
      </c>
      <c r="AA1178" s="803">
        <v>4</v>
      </c>
      <c r="AB1178" s="565"/>
      <c r="AE1178" s="565"/>
    </row>
    <row r="1179" spans="1:31" ht="15.75" customHeight="1">
      <c r="A1179" s="804" t="str">
        <f>IF(B1179&lt;&gt;"",IF(AND(B1179&gt;=_TM1,B1179&lt;=_TM2,OR(TH!L1179="1111",TH!M1179="1111")),TH!D1179,""),"")</f>
        <v/>
      </c>
      <c r="B1179" s="820">
        <f t="shared" si="76"/>
        <v>11</v>
      </c>
      <c r="C1179" s="821">
        <f t="shared" si="77"/>
        <v>42337</v>
      </c>
      <c r="D1179" s="821" t="s">
        <v>1317</v>
      </c>
      <c r="E1179" s="821">
        <v>42337</v>
      </c>
      <c r="F1179" s="822" t="s">
        <v>1141</v>
      </c>
      <c r="G1179" s="823" t="s">
        <v>475</v>
      </c>
      <c r="H1179" s="824" t="s">
        <v>1042</v>
      </c>
      <c r="I1179" s="825">
        <v>417</v>
      </c>
      <c r="J1179" s="825">
        <v>34900.050000000003</v>
      </c>
      <c r="K1179" s="818">
        <f t="shared" ref="K1179:K1184" si="78">ROUND(I1179*J1179,0)</f>
        <v>14553321</v>
      </c>
      <c r="L1179" s="819" t="s">
        <v>250</v>
      </c>
      <c r="M1179" s="574" t="s">
        <v>164</v>
      </c>
      <c r="N1179" s="51" t="str">
        <f>IF(AND('331-CT'!$E$7=TH!H1179,OR(L1179="331",M1179="331")),"331",IF(AND(OR(L1179="131",M1179="131"),H1179='131-CT'!$E$7),"131",""))</f>
        <v/>
      </c>
      <c r="O1179" s="51" t="str">
        <f>IF(AND($B1179&gt;='111'!$N$11,$B1179&lt;='111'!$O$11,OR($L1179=$O$7,$M1179=$O$7)),"x","")</f>
        <v/>
      </c>
      <c r="P1179" s="51" t="str">
        <f>IF(AND($L1179=$O$7,$B1179&lt;'111'!$N$11),"x","")</f>
        <v/>
      </c>
      <c r="Q1179" s="51" t="str">
        <f>IF(AND($M1179=$O$7,$B1179&lt;'111'!$N$11),"x","")</f>
        <v/>
      </c>
      <c r="R1179" s="51" t="str">
        <f>IF(ISERROR(FIND('112'!$M$9,G1179,1)),"",IF((AND(FIND('112'!$M$9,G1179,1)&gt;=1,$B1179&gt;='112'!$N$8,$B1179&lt;='112'!$O$8,OR($L1179='112'!$I$6,$M1179='112'!$I$6))),"x",""))</f>
        <v/>
      </c>
      <c r="S1179" s="51" t="str">
        <f>IF(ISERROR(FIND('112'!$M$9,G1179,1)),"",IF((AND(LEFT(G1179,2)=LEFT('112'!$M$9,2),B1179&lt;'112'!$N$8,$L1179='112'!$I$6)),"x",""))</f>
        <v/>
      </c>
      <c r="T1179" s="51" t="str">
        <f>IF(ISERROR(FIND('112'!$M$9,G1179,1)),"",IF((AND(RIGHT(G1179,2)=RIGHT('112'!$M$9,2),B1179&lt;'112'!$N$8,$M1179='112'!$I$6)),"x",""))</f>
        <v/>
      </c>
      <c r="U1179" s="51" t="str">
        <f>IF(AND(L1179="154",'154'!$O$5&lt;=B1179,'154'!$P$5&gt;=B1179),"154",IF(AND(L1179="632",'632'!$L$5&lt;=B1179,'632'!$M$5&gt;=B1179),"632",IF(AND(L1179="642",'642'!$N$5&lt;=B1179,'642'!$O$5&gt;=B1179),"642",IF(AND(L1179="641",'641'!$N$5&lt;=B1179,'641'!$O$5&gt;=B1179),"641",""))))</f>
        <v/>
      </c>
      <c r="V1179" s="51" t="str">
        <f>IF(OR(TH!L1179=TH!$V$7,M1179=TH!$V$7),"x","")</f>
        <v/>
      </c>
      <c r="W1179" s="51" t="str">
        <f>IF(AND(B1179&gt;='IN-NX'!$P$3,B1179&lt;='IN-NX'!$Q$3,'IN-NX'!$D$7=D1179,OR(LEFT(L1179,2)="15",AND(LEFT(M1179,2)&lt;&gt;"15",LEFT(M1179,2)&lt;&gt;"33"))),"x","")</f>
        <v/>
      </c>
      <c r="X1179" s="51" t="str">
        <f>IF(AND(OR(LEFT(TH!L1179,2)="15",LEFT(TH!M1179,2)="15"),'152-CT'!$J$8=TH!F1179),"x","")</f>
        <v/>
      </c>
      <c r="Y1179" s="51" t="str">
        <f>IF(AND(OR(LEFT(TH!L1179,2)="15",LEFT(TH!M1179,2)="15"),TK!$E$7=TH!F1179),"x","")</f>
        <v/>
      </c>
      <c r="Z1179" s="51" t="str">
        <f>IF(AND(B1179&lt;=NKC!$N$8,B1179&gt;=NKC!$M$8),"x","")</f>
        <v/>
      </c>
      <c r="AA1179" s="826"/>
      <c r="AB1179" s="565"/>
      <c r="AD1179" s="828"/>
      <c r="AE1179" s="828"/>
    </row>
    <row r="1180" spans="1:31" ht="15.75" customHeight="1">
      <c r="A1180" s="804" t="str">
        <f>IF(B1180&lt;&gt;"",IF(AND(B1180&gt;=_TM1,B1180&lt;=_TM2,OR(TH!L1180="1111",TH!M1180="1111")),TH!D1180,""),"")</f>
        <v/>
      </c>
      <c r="B1180" s="820">
        <f t="shared" si="76"/>
        <v>11</v>
      </c>
      <c r="C1180" s="821">
        <f t="shared" si="77"/>
        <v>42337</v>
      </c>
      <c r="D1180" s="821" t="s">
        <v>1317</v>
      </c>
      <c r="E1180" s="821">
        <v>42337</v>
      </c>
      <c r="F1180" s="822" t="s">
        <v>771</v>
      </c>
      <c r="G1180" s="823" t="s">
        <v>475</v>
      </c>
      <c r="H1180" s="824" t="s">
        <v>1042</v>
      </c>
      <c r="I1180" s="825">
        <v>24</v>
      </c>
      <c r="J1180" s="825">
        <v>10900</v>
      </c>
      <c r="K1180" s="818">
        <f t="shared" si="78"/>
        <v>261600</v>
      </c>
      <c r="L1180" s="819" t="s">
        <v>250</v>
      </c>
      <c r="M1180" s="574" t="s">
        <v>164</v>
      </c>
      <c r="N1180" s="51" t="str">
        <f>IF(AND('331-CT'!$E$7=TH!H1180,OR(L1180="331",M1180="331")),"331",IF(AND(OR(L1180="131",M1180="131"),H1180='131-CT'!$E$7),"131",""))</f>
        <v/>
      </c>
      <c r="O1180" s="51" t="str">
        <f>IF(AND($B1180&gt;='111'!$N$11,$B1180&lt;='111'!$O$11,OR($L1180=$O$7,$M1180=$O$7)),"x","")</f>
        <v/>
      </c>
      <c r="P1180" s="51" t="str">
        <f>IF(AND($L1180=$O$7,$B1180&lt;'111'!$N$11),"x","")</f>
        <v/>
      </c>
      <c r="Q1180" s="51" t="str">
        <f>IF(AND($M1180=$O$7,$B1180&lt;'111'!$N$11),"x","")</f>
        <v/>
      </c>
      <c r="R1180" s="51" t="str">
        <f>IF(ISERROR(FIND('112'!$M$9,G1180,1)),"",IF((AND(FIND('112'!$M$9,G1180,1)&gt;=1,$B1180&gt;='112'!$N$8,$B1180&lt;='112'!$O$8,OR($L1180='112'!$I$6,$M1180='112'!$I$6))),"x",""))</f>
        <v/>
      </c>
      <c r="S1180" s="51" t="str">
        <f>IF(ISERROR(FIND('112'!$M$9,G1180,1)),"",IF((AND(LEFT(G1180,2)=LEFT('112'!$M$9,2),B1180&lt;'112'!$N$8,$L1180='112'!$I$6)),"x",""))</f>
        <v/>
      </c>
      <c r="T1180" s="51" t="str">
        <f>IF(ISERROR(FIND('112'!$M$9,G1180,1)),"",IF((AND(RIGHT(G1180,2)=RIGHT('112'!$M$9,2),B1180&lt;'112'!$N$8,$M1180='112'!$I$6)),"x",""))</f>
        <v/>
      </c>
      <c r="U1180" s="51" t="str">
        <f>IF(AND(L1180="154",'154'!$O$5&lt;=B1180,'154'!$P$5&gt;=B1180),"154",IF(AND(L1180="632",'632'!$L$5&lt;=B1180,'632'!$M$5&gt;=B1180),"632",IF(AND(L1180="642",'642'!$N$5&lt;=B1180,'642'!$O$5&gt;=B1180),"642",IF(AND(L1180="641",'641'!$N$5&lt;=B1180,'641'!$O$5&gt;=B1180),"641",""))))</f>
        <v/>
      </c>
      <c r="V1180" s="51" t="str">
        <f>IF(OR(TH!L1180=TH!$V$7,M1180=TH!$V$7),"x","")</f>
        <v/>
      </c>
      <c r="W1180" s="51" t="str">
        <f>IF(AND(B1180&gt;='IN-NX'!$P$3,B1180&lt;='IN-NX'!$Q$3,'IN-NX'!$D$7=D1180,OR(LEFT(L1180,2)="15",AND(LEFT(M1180,2)&lt;&gt;"15",LEFT(M1180,2)&lt;&gt;"33"))),"x","")</f>
        <v/>
      </c>
      <c r="X1180" s="51" t="str">
        <f>IF(AND(OR(LEFT(TH!L1180,2)="15",LEFT(TH!M1180,2)="15"),'152-CT'!$J$8=TH!F1180),"x","")</f>
        <v/>
      </c>
      <c r="Y1180" s="51" t="str">
        <f>IF(AND(OR(LEFT(TH!L1180,2)="15",LEFT(TH!M1180,2)="15"),TK!$E$7=TH!F1180),"x","")</f>
        <v/>
      </c>
      <c r="Z1180" s="51" t="str">
        <f>IF(AND(B1180&lt;=NKC!$N$8,B1180&gt;=NKC!$M$8),"x","")</f>
        <v/>
      </c>
      <c r="AA1180" s="826"/>
      <c r="AB1180" s="565"/>
      <c r="AD1180" s="828"/>
      <c r="AE1180" s="828"/>
    </row>
    <row r="1181" spans="1:31" ht="15.75" customHeight="1">
      <c r="A1181" s="804" t="str">
        <f>IF(B1181&lt;&gt;"",IF(AND(B1181&gt;=_TM1,B1181&lt;=_TM2,OR(TH!L1181="1111",TH!M1181="1111")),TH!D1181,""),"")</f>
        <v/>
      </c>
      <c r="B1181" s="820">
        <f t="shared" ref="B1181:B1244" si="79">IF(C1181&lt;&gt;"",MONTH(C1181),"")</f>
        <v>11</v>
      </c>
      <c r="C1181" s="821">
        <f t="shared" ref="C1181:C1244" si="80">E1181</f>
        <v>42337</v>
      </c>
      <c r="D1181" s="821" t="s">
        <v>1317</v>
      </c>
      <c r="E1181" s="821">
        <v>42337</v>
      </c>
      <c r="F1181" s="822" t="s">
        <v>692</v>
      </c>
      <c r="G1181" s="823" t="s">
        <v>475</v>
      </c>
      <c r="H1181" s="824" t="s">
        <v>1042</v>
      </c>
      <c r="I1181" s="825">
        <v>200</v>
      </c>
      <c r="J1181" s="825">
        <v>20700</v>
      </c>
      <c r="K1181" s="818">
        <f t="shared" si="78"/>
        <v>4140000</v>
      </c>
      <c r="L1181" s="819" t="s">
        <v>250</v>
      </c>
      <c r="M1181" s="574" t="s">
        <v>164</v>
      </c>
      <c r="N1181" s="51" t="str">
        <f>IF(AND('331-CT'!$E$7=TH!H1181,OR(L1181="331",M1181="331")),"331",IF(AND(OR(L1181="131",M1181="131"),H1181='131-CT'!$E$7),"131",""))</f>
        <v/>
      </c>
      <c r="O1181" s="51" t="str">
        <f>IF(AND($B1181&gt;='111'!$N$11,$B1181&lt;='111'!$O$11,OR($L1181=$O$7,$M1181=$O$7)),"x","")</f>
        <v/>
      </c>
      <c r="P1181" s="51" t="str">
        <f>IF(AND($L1181=$O$7,$B1181&lt;'111'!$N$11),"x","")</f>
        <v/>
      </c>
      <c r="Q1181" s="51" t="str">
        <f>IF(AND($M1181=$O$7,$B1181&lt;'111'!$N$11),"x","")</f>
        <v/>
      </c>
      <c r="R1181" s="51" t="str">
        <f>IF(ISERROR(FIND('112'!$M$9,G1181,1)),"",IF((AND(FIND('112'!$M$9,G1181,1)&gt;=1,$B1181&gt;='112'!$N$8,$B1181&lt;='112'!$O$8,OR($L1181='112'!$I$6,$M1181='112'!$I$6))),"x",""))</f>
        <v/>
      </c>
      <c r="S1181" s="51" t="str">
        <f>IF(ISERROR(FIND('112'!$M$9,G1181,1)),"",IF((AND(LEFT(G1181,2)=LEFT('112'!$M$9,2),B1181&lt;'112'!$N$8,$L1181='112'!$I$6)),"x",""))</f>
        <v/>
      </c>
      <c r="T1181" s="51" t="str">
        <f>IF(ISERROR(FIND('112'!$M$9,G1181,1)),"",IF((AND(RIGHT(G1181,2)=RIGHT('112'!$M$9,2),B1181&lt;'112'!$N$8,$M1181='112'!$I$6)),"x",""))</f>
        <v/>
      </c>
      <c r="U1181" s="51" t="str">
        <f>IF(AND(L1181="154",'154'!$O$5&lt;=B1181,'154'!$P$5&gt;=B1181),"154",IF(AND(L1181="632",'632'!$L$5&lt;=B1181,'632'!$M$5&gt;=B1181),"632",IF(AND(L1181="642",'642'!$N$5&lt;=B1181,'642'!$O$5&gt;=B1181),"642",IF(AND(L1181="641",'641'!$N$5&lt;=B1181,'641'!$O$5&gt;=B1181),"641",""))))</f>
        <v/>
      </c>
      <c r="V1181" s="51" t="str">
        <f>IF(OR(TH!L1181=TH!$V$7,M1181=TH!$V$7),"x","")</f>
        <v/>
      </c>
      <c r="W1181" s="51" t="str">
        <f>IF(AND(B1181&gt;='IN-NX'!$P$3,B1181&lt;='IN-NX'!$Q$3,'IN-NX'!$D$7=D1181,OR(LEFT(L1181,2)="15",AND(LEFT(M1181,2)&lt;&gt;"15",LEFT(M1181,2)&lt;&gt;"33"))),"x","")</f>
        <v/>
      </c>
      <c r="X1181" s="51" t="str">
        <f>IF(AND(OR(LEFT(TH!L1181,2)="15",LEFT(TH!M1181,2)="15"),'152-CT'!$J$8=TH!F1181),"x","")</f>
        <v/>
      </c>
      <c r="Y1181" s="51" t="str">
        <f>IF(AND(OR(LEFT(TH!L1181,2)="15",LEFT(TH!M1181,2)="15"),TK!$E$7=TH!F1181),"x","")</f>
        <v/>
      </c>
      <c r="Z1181" s="51" t="str">
        <f>IF(AND(B1181&lt;=NKC!$N$8,B1181&gt;=NKC!$M$8),"x","")</f>
        <v/>
      </c>
      <c r="AA1181" s="826"/>
      <c r="AB1181" s="565"/>
      <c r="AD1181" s="828"/>
      <c r="AE1181" s="828"/>
    </row>
    <row r="1182" spans="1:31" ht="15.75" customHeight="1">
      <c r="A1182" s="804" t="str">
        <f>IF(B1182&lt;&gt;"",IF(AND(B1182&gt;=_TM1,B1182&lt;=_TM2,OR(TH!L1182="1111",TH!M1182="1111")),TH!D1182,""),"")</f>
        <v/>
      </c>
      <c r="B1182" s="820">
        <f t="shared" si="79"/>
        <v>11</v>
      </c>
      <c r="C1182" s="821">
        <f t="shared" si="80"/>
        <v>42337</v>
      </c>
      <c r="D1182" s="821" t="s">
        <v>1317</v>
      </c>
      <c r="E1182" s="821">
        <v>42337</v>
      </c>
      <c r="F1182" s="822" t="s">
        <v>1143</v>
      </c>
      <c r="G1182" s="823" t="s">
        <v>475</v>
      </c>
      <c r="H1182" s="824" t="s">
        <v>1042</v>
      </c>
      <c r="I1182" s="825">
        <v>655</v>
      </c>
      <c r="J1182" s="825">
        <v>19201</v>
      </c>
      <c r="K1182" s="818">
        <f t="shared" si="78"/>
        <v>12576655</v>
      </c>
      <c r="L1182" s="819" t="s">
        <v>250</v>
      </c>
      <c r="M1182" s="574" t="s">
        <v>164</v>
      </c>
      <c r="N1182" s="51" t="str">
        <f>IF(AND('331-CT'!$E$7=TH!H1182,OR(L1182="331",M1182="331")),"331",IF(AND(OR(L1182="131",M1182="131"),H1182='131-CT'!$E$7),"131",""))</f>
        <v/>
      </c>
      <c r="O1182" s="51" t="str">
        <f>IF(AND($B1182&gt;='111'!$N$11,$B1182&lt;='111'!$O$11,OR($L1182=$O$7,$M1182=$O$7)),"x","")</f>
        <v/>
      </c>
      <c r="P1182" s="51" t="str">
        <f>IF(AND($L1182=$O$7,$B1182&lt;'111'!$N$11),"x","")</f>
        <v/>
      </c>
      <c r="Q1182" s="51" t="str">
        <f>IF(AND($M1182=$O$7,$B1182&lt;'111'!$N$11),"x","")</f>
        <v/>
      </c>
      <c r="R1182" s="51" t="str">
        <f>IF(ISERROR(FIND('112'!$M$9,G1182,1)),"",IF((AND(FIND('112'!$M$9,G1182,1)&gt;=1,$B1182&gt;='112'!$N$8,$B1182&lt;='112'!$O$8,OR($L1182='112'!$I$6,$M1182='112'!$I$6))),"x",""))</f>
        <v/>
      </c>
      <c r="S1182" s="51" t="str">
        <f>IF(ISERROR(FIND('112'!$M$9,G1182,1)),"",IF((AND(LEFT(G1182,2)=LEFT('112'!$M$9,2),B1182&lt;'112'!$N$8,$L1182='112'!$I$6)),"x",""))</f>
        <v/>
      </c>
      <c r="T1182" s="51" t="str">
        <f>IF(ISERROR(FIND('112'!$M$9,G1182,1)),"",IF((AND(RIGHT(G1182,2)=RIGHT('112'!$M$9,2),B1182&lt;'112'!$N$8,$M1182='112'!$I$6)),"x",""))</f>
        <v/>
      </c>
      <c r="U1182" s="51" t="str">
        <f>IF(AND(L1182="154",'154'!$O$5&lt;=B1182,'154'!$P$5&gt;=B1182),"154",IF(AND(L1182="632",'632'!$L$5&lt;=B1182,'632'!$M$5&gt;=B1182),"632",IF(AND(L1182="642",'642'!$N$5&lt;=B1182,'642'!$O$5&gt;=B1182),"642",IF(AND(L1182="641",'641'!$N$5&lt;=B1182,'641'!$O$5&gt;=B1182),"641",""))))</f>
        <v/>
      </c>
      <c r="V1182" s="51" t="str">
        <f>IF(OR(TH!L1182=TH!$V$7,M1182=TH!$V$7),"x","")</f>
        <v/>
      </c>
      <c r="W1182" s="51" t="str">
        <f>IF(AND(B1182&gt;='IN-NX'!$P$3,B1182&lt;='IN-NX'!$Q$3,'IN-NX'!$D$7=D1182,OR(LEFT(L1182,2)="15",AND(LEFT(M1182,2)&lt;&gt;"15",LEFT(M1182,2)&lt;&gt;"33"))),"x","")</f>
        <v/>
      </c>
      <c r="X1182" s="51" t="str">
        <f>IF(AND(OR(LEFT(TH!L1182,2)="15",LEFT(TH!M1182,2)="15"),'152-CT'!$J$8=TH!F1182),"x","")</f>
        <v/>
      </c>
      <c r="Y1182" s="51" t="str">
        <f>IF(AND(OR(LEFT(TH!L1182,2)="15",LEFT(TH!M1182,2)="15"),TK!$E$7=TH!F1182),"x","")</f>
        <v/>
      </c>
      <c r="Z1182" s="51" t="str">
        <f>IF(AND(B1182&lt;=NKC!$N$8,B1182&gt;=NKC!$M$8),"x","")</f>
        <v/>
      </c>
      <c r="AA1182" s="826"/>
      <c r="AB1182" s="565"/>
      <c r="AD1182" s="828"/>
      <c r="AE1182" s="828"/>
    </row>
    <row r="1183" spans="1:31" ht="15.75" customHeight="1">
      <c r="A1183" s="804" t="str">
        <f>IF(B1183&lt;&gt;"",IF(AND(B1183&gt;=_TM1,B1183&lt;=_TM2,OR(TH!L1183="1111",TH!M1183="1111")),TH!D1183,""),"")</f>
        <v/>
      </c>
      <c r="B1183" s="820">
        <f t="shared" si="79"/>
        <v>11</v>
      </c>
      <c r="C1183" s="821">
        <f t="shared" si="80"/>
        <v>42337</v>
      </c>
      <c r="D1183" s="821" t="s">
        <v>1317</v>
      </c>
      <c r="E1183" s="821">
        <v>42337</v>
      </c>
      <c r="F1183" s="822" t="s">
        <v>1238</v>
      </c>
      <c r="G1183" s="823" t="s">
        <v>475</v>
      </c>
      <c r="H1183" s="824" t="s">
        <v>1042</v>
      </c>
      <c r="I1183" s="825">
        <v>1905</v>
      </c>
      <c r="J1183" s="825">
        <v>11055</v>
      </c>
      <c r="K1183" s="818">
        <f t="shared" si="78"/>
        <v>21059775</v>
      </c>
      <c r="L1183" s="819" t="s">
        <v>250</v>
      </c>
      <c r="M1183" s="574" t="s">
        <v>164</v>
      </c>
      <c r="N1183" s="51" t="str">
        <f>IF(AND('331-CT'!$E$7=TH!H1183,OR(L1183="331",M1183="331")),"331",IF(AND(OR(L1183="131",M1183="131"),H1183='131-CT'!$E$7),"131",""))</f>
        <v/>
      </c>
      <c r="O1183" s="51" t="str">
        <f>IF(AND($B1183&gt;='111'!$N$11,$B1183&lt;='111'!$O$11,OR($L1183=$O$7,$M1183=$O$7)),"x","")</f>
        <v/>
      </c>
      <c r="P1183" s="51" t="str">
        <f>IF(AND($L1183=$O$7,$B1183&lt;'111'!$N$11),"x","")</f>
        <v/>
      </c>
      <c r="Q1183" s="51" t="str">
        <f>IF(AND($M1183=$O$7,$B1183&lt;'111'!$N$11),"x","")</f>
        <v/>
      </c>
      <c r="R1183" s="51" t="str">
        <f>IF(ISERROR(FIND('112'!$M$9,G1183,1)),"",IF((AND(FIND('112'!$M$9,G1183,1)&gt;=1,$B1183&gt;='112'!$N$8,$B1183&lt;='112'!$O$8,OR($L1183='112'!$I$6,$M1183='112'!$I$6))),"x",""))</f>
        <v/>
      </c>
      <c r="S1183" s="51" t="str">
        <f>IF(ISERROR(FIND('112'!$M$9,G1183,1)),"",IF((AND(LEFT(G1183,2)=LEFT('112'!$M$9,2),B1183&lt;'112'!$N$8,$L1183='112'!$I$6)),"x",""))</f>
        <v/>
      </c>
      <c r="T1183" s="51" t="str">
        <f>IF(ISERROR(FIND('112'!$M$9,G1183,1)),"",IF((AND(RIGHT(G1183,2)=RIGHT('112'!$M$9,2),B1183&lt;'112'!$N$8,$M1183='112'!$I$6)),"x",""))</f>
        <v/>
      </c>
      <c r="U1183" s="51" t="str">
        <f>IF(AND(L1183="154",'154'!$O$5&lt;=B1183,'154'!$P$5&gt;=B1183),"154",IF(AND(L1183="632",'632'!$L$5&lt;=B1183,'632'!$M$5&gt;=B1183),"632",IF(AND(L1183="642",'642'!$N$5&lt;=B1183,'642'!$O$5&gt;=B1183),"642",IF(AND(L1183="641",'641'!$N$5&lt;=B1183,'641'!$O$5&gt;=B1183),"641",""))))</f>
        <v/>
      </c>
      <c r="V1183" s="51" t="str">
        <f>IF(OR(TH!L1183=TH!$V$7,M1183=TH!$V$7),"x","")</f>
        <v/>
      </c>
      <c r="W1183" s="51" t="str">
        <f>IF(AND(B1183&gt;='IN-NX'!$P$3,B1183&lt;='IN-NX'!$Q$3,'IN-NX'!$D$7=D1183,OR(LEFT(L1183,2)="15",AND(LEFT(M1183,2)&lt;&gt;"15",LEFT(M1183,2)&lt;&gt;"33"))),"x","")</f>
        <v/>
      </c>
      <c r="X1183" s="51" t="str">
        <f>IF(AND(OR(LEFT(TH!L1183,2)="15",LEFT(TH!M1183,2)="15"),'152-CT'!$J$8=TH!F1183),"x","")</f>
        <v/>
      </c>
      <c r="Y1183" s="51" t="str">
        <f>IF(AND(OR(LEFT(TH!L1183,2)="15",LEFT(TH!M1183,2)="15"),TK!$E$7=TH!F1183),"x","")</f>
        <v/>
      </c>
      <c r="Z1183" s="51" t="str">
        <f>IF(AND(B1183&lt;=NKC!$N$8,B1183&gt;=NKC!$M$8),"x","")</f>
        <v/>
      </c>
      <c r="AA1183" s="826"/>
      <c r="AB1183" s="565"/>
      <c r="AD1183" s="828"/>
      <c r="AE1183" s="828"/>
    </row>
    <row r="1184" spans="1:31" ht="15.75" customHeight="1">
      <c r="A1184" s="804" t="str">
        <f>IF(B1184&lt;&gt;"",IF(AND(B1184&gt;=_TM1,B1184&lt;=_TM2,OR(TH!L1184="1111",TH!M1184="1111")),TH!D1184,""),"")</f>
        <v/>
      </c>
      <c r="B1184" s="820">
        <f t="shared" si="79"/>
        <v>11</v>
      </c>
      <c r="C1184" s="821">
        <f t="shared" si="80"/>
        <v>42337</v>
      </c>
      <c r="D1184" s="821" t="s">
        <v>1317</v>
      </c>
      <c r="E1184" s="821">
        <v>42337</v>
      </c>
      <c r="F1184" s="822" t="s">
        <v>1238</v>
      </c>
      <c r="G1184" s="823" t="s">
        <v>475</v>
      </c>
      <c r="H1184" s="824" t="s">
        <v>1042</v>
      </c>
      <c r="I1184" s="825">
        <v>2000</v>
      </c>
      <c r="J1184" s="825">
        <v>8790</v>
      </c>
      <c r="K1184" s="818">
        <f t="shared" si="78"/>
        <v>17580000</v>
      </c>
      <c r="L1184" s="819" t="s">
        <v>250</v>
      </c>
      <c r="M1184" s="574" t="s">
        <v>164</v>
      </c>
      <c r="N1184" s="51" t="str">
        <f>IF(AND('331-CT'!$E$7=TH!H1184,OR(L1184="331",M1184="331")),"331",IF(AND(OR(L1184="131",M1184="131"),H1184='131-CT'!$E$7),"131",""))</f>
        <v/>
      </c>
      <c r="O1184" s="51" t="str">
        <f>IF(AND($B1184&gt;='111'!$N$11,$B1184&lt;='111'!$O$11,OR($L1184=$O$7,$M1184=$O$7)),"x","")</f>
        <v/>
      </c>
      <c r="P1184" s="51" t="str">
        <f>IF(AND($L1184=$O$7,$B1184&lt;'111'!$N$11),"x","")</f>
        <v/>
      </c>
      <c r="Q1184" s="51" t="str">
        <f>IF(AND($M1184=$O$7,$B1184&lt;'111'!$N$11),"x","")</f>
        <v/>
      </c>
      <c r="R1184" s="51" t="str">
        <f>IF(ISERROR(FIND('112'!$M$9,G1184,1)),"",IF((AND(FIND('112'!$M$9,G1184,1)&gt;=1,$B1184&gt;='112'!$N$8,$B1184&lt;='112'!$O$8,OR($L1184='112'!$I$6,$M1184='112'!$I$6))),"x",""))</f>
        <v/>
      </c>
      <c r="S1184" s="51" t="str">
        <f>IF(ISERROR(FIND('112'!$M$9,G1184,1)),"",IF((AND(LEFT(G1184,2)=LEFT('112'!$M$9,2),B1184&lt;'112'!$N$8,$L1184='112'!$I$6)),"x",""))</f>
        <v/>
      </c>
      <c r="T1184" s="51" t="str">
        <f>IF(ISERROR(FIND('112'!$M$9,G1184,1)),"",IF((AND(RIGHT(G1184,2)=RIGHT('112'!$M$9,2),B1184&lt;'112'!$N$8,$M1184='112'!$I$6)),"x",""))</f>
        <v/>
      </c>
      <c r="U1184" s="51" t="str">
        <f>IF(AND(L1184="154",'154'!$O$5&lt;=B1184,'154'!$P$5&gt;=B1184),"154",IF(AND(L1184="632",'632'!$L$5&lt;=B1184,'632'!$M$5&gt;=B1184),"632",IF(AND(L1184="642",'642'!$N$5&lt;=B1184,'642'!$O$5&gt;=B1184),"642",IF(AND(L1184="641",'641'!$N$5&lt;=B1184,'641'!$O$5&gt;=B1184),"641",""))))</f>
        <v/>
      </c>
      <c r="V1184" s="51" t="str">
        <f>IF(OR(TH!L1184=TH!$V$7,M1184=TH!$V$7),"x","")</f>
        <v/>
      </c>
      <c r="W1184" s="51" t="str">
        <f>IF(AND(B1184&gt;='IN-NX'!$P$3,B1184&lt;='IN-NX'!$Q$3,'IN-NX'!$D$7=D1184,OR(LEFT(L1184,2)="15",AND(LEFT(M1184,2)&lt;&gt;"15",LEFT(M1184,2)&lt;&gt;"33"))),"x","")</f>
        <v/>
      </c>
      <c r="X1184" s="51" t="str">
        <f>IF(AND(OR(LEFT(TH!L1184,2)="15",LEFT(TH!M1184,2)="15"),'152-CT'!$J$8=TH!F1184),"x","")</f>
        <v/>
      </c>
      <c r="Y1184" s="51" t="str">
        <f>IF(AND(OR(LEFT(TH!L1184,2)="15",LEFT(TH!M1184,2)="15"),TK!$E$7=TH!F1184),"x","")</f>
        <v/>
      </c>
      <c r="Z1184" s="51" t="str">
        <f>IF(AND(B1184&lt;=NKC!$N$8,B1184&gt;=NKC!$M$8),"x","")</f>
        <v/>
      </c>
      <c r="AA1184" s="826"/>
      <c r="AB1184" s="565"/>
      <c r="AD1184" s="828"/>
      <c r="AE1184" s="828"/>
    </row>
    <row r="1185" spans="1:31" ht="15.75" customHeight="1">
      <c r="A1185" s="804" t="str">
        <f>IF(B1185&lt;&gt;"",IF(AND(B1185&gt;=_TM1,B1185&lt;=_TM2,OR(TH!L1185="1111",TH!M1185="1111")),TH!D1185,""),"")</f>
        <v/>
      </c>
      <c r="B1185" s="820">
        <f t="shared" si="79"/>
        <v>11</v>
      </c>
      <c r="C1185" s="821">
        <f t="shared" si="80"/>
        <v>42337</v>
      </c>
      <c r="D1185" s="821" t="s">
        <v>1317</v>
      </c>
      <c r="E1185" s="821">
        <v>42337</v>
      </c>
      <c r="F1185" s="822" t="s">
        <v>962</v>
      </c>
      <c r="G1185" s="823" t="s">
        <v>475</v>
      </c>
      <c r="H1185" s="824" t="s">
        <v>1042</v>
      </c>
      <c r="I1185" s="825"/>
      <c r="J1185" s="825"/>
      <c r="K1185" s="818">
        <v>7017135</v>
      </c>
      <c r="L1185" s="819" t="s">
        <v>250</v>
      </c>
      <c r="M1185" s="819" t="s">
        <v>352</v>
      </c>
      <c r="N1185" s="51" t="str">
        <f>IF(AND('331-CT'!$E$7=TH!H1185,OR(L1185="331",M1185="331")),"331",IF(AND(OR(L1185="131",M1185="131"),H1185='131-CT'!$E$7),"131",""))</f>
        <v/>
      </c>
      <c r="O1185" s="51" t="str">
        <f>IF(AND($B1185&gt;='111'!$N$11,$B1185&lt;='111'!$O$11,OR($L1185=$O$7,$M1185=$O$7)),"x","")</f>
        <v/>
      </c>
      <c r="P1185" s="51" t="str">
        <f>IF(AND($L1185=$O$7,$B1185&lt;'111'!$N$11),"x","")</f>
        <v/>
      </c>
      <c r="Q1185" s="51" t="str">
        <f>IF(AND($M1185=$O$7,$B1185&lt;'111'!$N$11),"x","")</f>
        <v/>
      </c>
      <c r="R1185" s="51" t="str">
        <f>IF(ISERROR(FIND('112'!$M$9,G1185,1)),"",IF((AND(FIND('112'!$M$9,G1185,1)&gt;=1,$B1185&gt;='112'!$N$8,$B1185&lt;='112'!$O$8,OR($L1185='112'!$I$6,$M1185='112'!$I$6))),"x",""))</f>
        <v/>
      </c>
      <c r="S1185" s="51" t="str">
        <f>IF(ISERROR(FIND('112'!$M$9,G1185,1)),"",IF((AND(LEFT(G1185,2)=LEFT('112'!$M$9,2),B1185&lt;'112'!$N$8,$L1185='112'!$I$6)),"x",""))</f>
        <v/>
      </c>
      <c r="T1185" s="51" t="str">
        <f>IF(ISERROR(FIND('112'!$M$9,G1185,1)),"",IF((AND(RIGHT(G1185,2)=RIGHT('112'!$M$9,2),B1185&lt;'112'!$N$8,$M1185='112'!$I$6)),"x",""))</f>
        <v/>
      </c>
      <c r="U1185" s="51" t="str">
        <f>IF(AND(L1185="154",'154'!$O$5&lt;=B1185,'154'!$P$5&gt;=B1185),"154",IF(AND(L1185="632",'632'!$L$5&lt;=B1185,'632'!$M$5&gt;=B1185),"632",IF(AND(L1185="642",'642'!$N$5&lt;=B1185,'642'!$O$5&gt;=B1185),"642",IF(AND(L1185="641",'641'!$N$5&lt;=B1185,'641'!$O$5&gt;=B1185),"641",""))))</f>
        <v/>
      </c>
      <c r="V1185" s="51" t="str">
        <f>IF(OR(TH!L1185=TH!$V$7,M1185=TH!$V$7),"x","")</f>
        <v/>
      </c>
      <c r="W1185" s="51" t="str">
        <f>IF(AND(B1185&gt;='IN-NX'!$P$3,B1185&lt;='IN-NX'!$Q$3,'IN-NX'!$D$7=D1185,OR(LEFT(L1185,2)="15",AND(LEFT(M1185,2)&lt;&gt;"15",LEFT(M1185,2)&lt;&gt;"33"))),"x","")</f>
        <v/>
      </c>
      <c r="X1185" s="51" t="str">
        <f>IF(AND(OR(LEFT(TH!L1185,2)="15",LEFT(TH!M1185,2)="15"),'152-CT'!$J$8=TH!F1185),"x","")</f>
        <v/>
      </c>
      <c r="Y1185" s="51" t="str">
        <f>IF(AND(OR(LEFT(TH!L1185,2)="15",LEFT(TH!M1185,2)="15"),TK!$E$7=TH!F1185),"x","")</f>
        <v/>
      </c>
      <c r="Z1185" s="51" t="str">
        <f>IF(AND(B1185&lt;=NKC!$N$8,B1185&gt;=NKC!$M$8),"x","")</f>
        <v/>
      </c>
      <c r="AA1185" s="826"/>
      <c r="AB1185" s="565"/>
      <c r="AC1185" s="840"/>
      <c r="AD1185" s="840"/>
      <c r="AE1185" s="840"/>
    </row>
    <row r="1186" spans="1:31" ht="15.75" customHeight="1">
      <c r="A1186" s="804" t="str">
        <f>IF(B1186&lt;&gt;"",IF(AND(B1186&gt;=_TM1,B1186&lt;=_TM2,OR(TH!L1186="1111",TH!M1186="1111")),TH!D1186,""),"")</f>
        <v/>
      </c>
      <c r="B1186" s="820">
        <f t="shared" si="79"/>
        <v>11</v>
      </c>
      <c r="C1186" s="821">
        <f t="shared" si="80"/>
        <v>42337</v>
      </c>
      <c r="D1186" s="821" t="s">
        <v>1393</v>
      </c>
      <c r="E1186" s="821">
        <v>42337</v>
      </c>
      <c r="F1186" s="822" t="s">
        <v>423</v>
      </c>
      <c r="G1186" s="823" t="s">
        <v>475</v>
      </c>
      <c r="H1186" s="824" t="s">
        <v>1042</v>
      </c>
      <c r="I1186" s="825"/>
      <c r="J1186" s="825"/>
      <c r="K1186" s="818">
        <v>77188486</v>
      </c>
      <c r="L1186" s="819" t="s">
        <v>47</v>
      </c>
      <c r="M1186" s="819" t="s">
        <v>250</v>
      </c>
      <c r="N1186" s="51" t="str">
        <f>IF(AND('331-CT'!$E$7=TH!H1186,OR(L1186="331",M1186="331")),"331",IF(AND(OR(L1186="131",M1186="131"),H1186='131-CT'!$E$7),"131",""))</f>
        <v/>
      </c>
      <c r="O1186" s="51" t="str">
        <f>IF(AND($B1186&gt;='111'!$N$11,$B1186&lt;='111'!$O$11,OR($L1186=$O$7,$M1186=$O$7)),"x","")</f>
        <v>x</v>
      </c>
      <c r="P1186" s="51" t="str">
        <f>IF(AND($L1186=$O$7,$B1186&lt;'111'!$N$11),"x","")</f>
        <v/>
      </c>
      <c r="Q1186" s="51" t="str">
        <f>IF(AND($M1186=$O$7,$B1186&lt;'111'!$N$11),"x","")</f>
        <v/>
      </c>
      <c r="R1186" s="51" t="str">
        <f>IF(ISERROR(FIND('112'!$M$9,G1186,1)),"",IF((AND(FIND('112'!$M$9,G1186,1)&gt;=1,$B1186&gt;='112'!$N$8,$B1186&lt;='112'!$O$8,OR($L1186='112'!$I$6,$M1186='112'!$I$6))),"x",""))</f>
        <v/>
      </c>
      <c r="S1186" s="51" t="str">
        <f>IF(ISERROR(FIND('112'!$M$9,G1186,1)),"",IF((AND(LEFT(G1186,2)=LEFT('112'!$M$9,2),B1186&lt;'112'!$N$8,$L1186='112'!$I$6)),"x",""))</f>
        <v/>
      </c>
      <c r="T1186" s="51" t="str">
        <f>IF(ISERROR(FIND('112'!$M$9,G1186,1)),"",IF((AND(RIGHT(G1186,2)=RIGHT('112'!$M$9,2),B1186&lt;'112'!$N$8,$M1186='112'!$I$6)),"x",""))</f>
        <v/>
      </c>
      <c r="U1186" s="51" t="str">
        <f>IF(AND(L1186="154",'154'!$O$5&lt;=B1186,'154'!$P$5&gt;=B1186),"154",IF(AND(L1186="632",'632'!$L$5&lt;=B1186,'632'!$M$5&gt;=B1186),"632",IF(AND(L1186="642",'642'!$N$5&lt;=B1186,'642'!$O$5&gt;=B1186),"642",IF(AND(L1186="641",'641'!$N$5&lt;=B1186,'641'!$O$5&gt;=B1186),"641",""))))</f>
        <v/>
      </c>
      <c r="V1186" s="51" t="str">
        <f>IF(OR(TH!L1186=TH!$V$7,M1186=TH!$V$7),"x","")</f>
        <v/>
      </c>
      <c r="W1186" s="51" t="str">
        <f>IF(AND(B1186&gt;='IN-NX'!$P$3,B1186&lt;='IN-NX'!$Q$3,'IN-NX'!$D$7=D1186,OR(LEFT(L1186,2)="15",AND(LEFT(M1186,2)&lt;&gt;"15",LEFT(M1186,2)&lt;&gt;"33"))),"x","")</f>
        <v/>
      </c>
      <c r="X1186" s="51" t="str">
        <f>IF(AND(OR(LEFT(TH!L1186,2)="15",LEFT(TH!M1186,2)="15"),'152-CT'!$J$8=TH!F1186),"x","")</f>
        <v/>
      </c>
      <c r="Y1186" s="51" t="str">
        <f>IF(AND(OR(LEFT(TH!L1186,2)="15",LEFT(TH!M1186,2)="15"),TK!$E$7=TH!F1186),"x","")</f>
        <v/>
      </c>
      <c r="Z1186" s="51" t="str">
        <f>IF(AND(B1186&lt;=NKC!$N$8,B1186&gt;=NKC!$M$8),"x","")</f>
        <v/>
      </c>
      <c r="AA1186" s="826"/>
      <c r="AB1186" s="565"/>
      <c r="AC1186" s="840"/>
      <c r="AD1186" s="840"/>
      <c r="AE1186" s="840"/>
    </row>
    <row r="1187" spans="1:31" ht="15.75" customHeight="1">
      <c r="A1187" s="804" t="str">
        <f>IF(B1187&lt;&gt;"",IF(AND(B1187&gt;=_TM1,B1187&lt;=_TM2,OR(TH!L1187="1111",TH!M1187="1111")),TH!D1187,""),"")</f>
        <v/>
      </c>
      <c r="B1187" s="36">
        <f t="shared" si="79"/>
        <v>11</v>
      </c>
      <c r="C1187" s="189">
        <f t="shared" si="80"/>
        <v>42337</v>
      </c>
      <c r="D1187" s="189" t="s">
        <v>1318</v>
      </c>
      <c r="E1187" s="189">
        <v>42337</v>
      </c>
      <c r="F1187" s="926" t="s">
        <v>623</v>
      </c>
      <c r="G1187" s="811" t="s">
        <v>1101</v>
      </c>
      <c r="H1187" s="191" t="s">
        <v>413</v>
      </c>
      <c r="I1187" s="243">
        <v>850</v>
      </c>
      <c r="J1187" s="243">
        <v>32500</v>
      </c>
      <c r="K1187" s="573">
        <f>ROUND(I1187*J1187,0)</f>
        <v>27625000</v>
      </c>
      <c r="L1187" s="574" t="s">
        <v>250</v>
      </c>
      <c r="M1187" s="574" t="s">
        <v>164</v>
      </c>
      <c r="N1187" s="51" t="str">
        <f>IF(AND('331-CT'!$E$7=TH!H1187,OR(L1187="331",M1187="331")),"331",IF(AND(OR(L1187="131",M1187="131"),H1187='131-CT'!$E$7),"131",""))</f>
        <v/>
      </c>
      <c r="O1187" s="51" t="str">
        <f>IF(AND($B1187&gt;='111'!$N$11,$B1187&lt;='111'!$O$11,OR($L1187=$O$7,$M1187=$O$7)),"x","")</f>
        <v/>
      </c>
      <c r="P1187" s="51" t="str">
        <f>IF(AND($L1187=$O$7,$B1187&lt;'111'!$N$11),"x","")</f>
        <v/>
      </c>
      <c r="Q1187" s="51" t="str">
        <f>IF(AND($M1187=$O$7,$B1187&lt;'111'!$N$11),"x","")</f>
        <v/>
      </c>
      <c r="R1187" s="51" t="str">
        <f>IF(ISERROR(FIND('112'!$M$9,G1187,1)),"",IF((AND(FIND('112'!$M$9,G1187,1)&gt;=1,$B1187&gt;='112'!$N$8,$B1187&lt;='112'!$O$8,OR($L1187='112'!$I$6,$M1187='112'!$I$6))),"x",""))</f>
        <v/>
      </c>
      <c r="S1187" s="51" t="str">
        <f>IF(ISERROR(FIND('112'!$M$9,G1187,1)),"",IF((AND(LEFT(G1187,2)=LEFT('112'!$M$9,2),B1187&lt;'112'!$N$8,$L1187='112'!$I$6)),"x",""))</f>
        <v/>
      </c>
      <c r="T1187" s="51" t="str">
        <f>IF(ISERROR(FIND('112'!$M$9,G1187,1)),"",IF((AND(RIGHT(G1187,2)=RIGHT('112'!$M$9,2),B1187&lt;'112'!$N$8,$M1187='112'!$I$6)),"x",""))</f>
        <v/>
      </c>
      <c r="U1187" s="51" t="str">
        <f>IF(AND(L1187="154",'154'!$O$5&lt;=B1187,'154'!$P$5&gt;=B1187),"154",IF(AND(L1187="632",'632'!$L$5&lt;=B1187,'632'!$M$5&gt;=B1187),"632",IF(AND(L1187="642",'642'!$N$5&lt;=B1187,'642'!$O$5&gt;=B1187),"642",IF(AND(L1187="641",'641'!$N$5&lt;=B1187,'641'!$O$5&gt;=B1187),"641",""))))</f>
        <v/>
      </c>
      <c r="V1187" s="51" t="str">
        <f>IF(OR(TH!L1187=TH!$V$7,M1187=TH!$V$7),"x","")</f>
        <v/>
      </c>
      <c r="W1187" s="51" t="str">
        <f>IF(AND(B1187&gt;='IN-NX'!$P$3,B1187&lt;='IN-NX'!$Q$3,'IN-NX'!$D$7=D1187,OR(LEFT(L1187,2)="15",AND(LEFT(M1187,2)&lt;&gt;"15",LEFT(M1187,2)&lt;&gt;"33"))),"x","")</f>
        <v/>
      </c>
      <c r="X1187" s="51" t="str">
        <f>IF(AND(OR(LEFT(TH!L1187,2)="15",LEFT(TH!M1187,2)="15"),'152-CT'!$J$8=TH!F1187),"x","")</f>
        <v/>
      </c>
      <c r="Y1187" s="51" t="str">
        <f>IF(AND(OR(LEFT(TH!L1187,2)="15",LEFT(TH!M1187,2)="15"),TK!$E$7=TH!F1187),"x","")</f>
        <v/>
      </c>
      <c r="Z1187" s="51" t="str">
        <f>IF(AND(B1187&lt;=NKC!$N$8,B1187&gt;=NKC!$M$8),"x","")</f>
        <v/>
      </c>
      <c r="AA1187" s="803"/>
      <c r="AB1187" s="565"/>
    </row>
    <row r="1188" spans="1:31" ht="15.75" customHeight="1">
      <c r="A1188" s="804" t="str">
        <f>IF(B1188&lt;&gt;"",IF(AND(B1188&gt;=_TM1,B1188&lt;=_TM2,OR(TH!L1188="1111",TH!M1188="1111")),TH!D1188,""),"")</f>
        <v/>
      </c>
      <c r="B1188" s="36">
        <f t="shared" si="79"/>
        <v>11</v>
      </c>
      <c r="C1188" s="189">
        <f t="shared" si="80"/>
        <v>42337</v>
      </c>
      <c r="D1188" s="189" t="s">
        <v>1318</v>
      </c>
      <c r="E1188" s="189">
        <v>42337</v>
      </c>
      <c r="F1188" s="926" t="s">
        <v>624</v>
      </c>
      <c r="G1188" s="811" t="s">
        <v>1101</v>
      </c>
      <c r="H1188" s="191" t="s">
        <v>413</v>
      </c>
      <c r="I1188" s="243">
        <v>850</v>
      </c>
      <c r="J1188" s="243">
        <v>31700</v>
      </c>
      <c r="K1188" s="573">
        <f>ROUND(I1188*J1188,0)</f>
        <v>26945000</v>
      </c>
      <c r="L1188" s="574" t="s">
        <v>250</v>
      </c>
      <c r="M1188" s="574" t="s">
        <v>164</v>
      </c>
      <c r="N1188" s="51" t="str">
        <f>IF(AND('331-CT'!$E$7=TH!H1188,OR(L1188="331",M1188="331")),"331",IF(AND(OR(L1188="131",M1188="131"),H1188='131-CT'!$E$7),"131",""))</f>
        <v/>
      </c>
      <c r="O1188" s="51" t="str">
        <f>IF(AND($B1188&gt;='111'!$N$11,$B1188&lt;='111'!$O$11,OR($L1188=$O$7,$M1188=$O$7)),"x","")</f>
        <v/>
      </c>
      <c r="P1188" s="51" t="str">
        <f>IF(AND($L1188=$O$7,$B1188&lt;'111'!$N$11),"x","")</f>
        <v/>
      </c>
      <c r="Q1188" s="51" t="str">
        <f>IF(AND($M1188=$O$7,$B1188&lt;'111'!$N$11),"x","")</f>
        <v/>
      </c>
      <c r="R1188" s="51" t="str">
        <f>IF(ISERROR(FIND('112'!$M$9,G1188,1)),"",IF((AND(FIND('112'!$M$9,G1188,1)&gt;=1,$B1188&gt;='112'!$N$8,$B1188&lt;='112'!$O$8,OR($L1188='112'!$I$6,$M1188='112'!$I$6))),"x",""))</f>
        <v/>
      </c>
      <c r="S1188" s="51" t="str">
        <f>IF(ISERROR(FIND('112'!$M$9,G1188,1)),"",IF((AND(LEFT(G1188,2)=LEFT('112'!$M$9,2),B1188&lt;'112'!$N$8,$L1188='112'!$I$6)),"x",""))</f>
        <v/>
      </c>
      <c r="T1188" s="51" t="str">
        <f>IF(ISERROR(FIND('112'!$M$9,G1188,1)),"",IF((AND(RIGHT(G1188,2)=RIGHT('112'!$M$9,2),B1188&lt;'112'!$N$8,$M1188='112'!$I$6)),"x",""))</f>
        <v/>
      </c>
      <c r="U1188" s="51" t="str">
        <f>IF(AND(L1188="154",'154'!$O$5&lt;=B1188,'154'!$P$5&gt;=B1188),"154",IF(AND(L1188="632",'632'!$L$5&lt;=B1188,'632'!$M$5&gt;=B1188),"632",IF(AND(L1188="642",'642'!$N$5&lt;=B1188,'642'!$O$5&gt;=B1188),"642",IF(AND(L1188="641",'641'!$N$5&lt;=B1188,'641'!$O$5&gt;=B1188),"641",""))))</f>
        <v/>
      </c>
      <c r="V1188" s="51" t="str">
        <f>IF(OR(TH!L1188=TH!$V$7,M1188=TH!$V$7),"x","")</f>
        <v/>
      </c>
      <c r="W1188" s="51" t="str">
        <f>IF(AND(B1188&gt;='IN-NX'!$P$3,B1188&lt;='IN-NX'!$Q$3,'IN-NX'!$D$7=D1188,OR(LEFT(L1188,2)="15",AND(LEFT(M1188,2)&lt;&gt;"15",LEFT(M1188,2)&lt;&gt;"33"))),"x","")</f>
        <v/>
      </c>
      <c r="X1188" s="51" t="str">
        <f>IF(AND(OR(LEFT(TH!L1188,2)="15",LEFT(TH!M1188,2)="15"),'152-CT'!$J$8=TH!F1188),"x","")</f>
        <v/>
      </c>
      <c r="Y1188" s="51" t="str">
        <f>IF(AND(OR(LEFT(TH!L1188,2)="15",LEFT(TH!M1188,2)="15"),TK!$E$7=TH!F1188),"x","")</f>
        <v/>
      </c>
      <c r="Z1188" s="51" t="str">
        <f>IF(AND(B1188&lt;=NKC!$N$8,B1188&gt;=NKC!$M$8),"x","")</f>
        <v/>
      </c>
      <c r="AA1188" s="803"/>
      <c r="AB1188" s="565"/>
    </row>
    <row r="1189" spans="1:31" ht="15.75" customHeight="1">
      <c r="A1189" s="804" t="str">
        <f>IF(B1189&lt;&gt;"",IF(AND(B1189&gt;=_TM1,B1189&lt;=_TM2,OR(TH!L1189="1111",TH!M1189="1111")),TH!D1189,""),"")</f>
        <v/>
      </c>
      <c r="B1189" s="36">
        <f t="shared" si="79"/>
        <v>11</v>
      </c>
      <c r="C1189" s="189">
        <f t="shared" si="80"/>
        <v>42337</v>
      </c>
      <c r="D1189" s="189" t="s">
        <v>1318</v>
      </c>
      <c r="E1189" s="189">
        <v>42337</v>
      </c>
      <c r="F1189" s="926" t="s">
        <v>620</v>
      </c>
      <c r="G1189" s="811" t="s">
        <v>1101</v>
      </c>
      <c r="H1189" s="191" t="s">
        <v>413</v>
      </c>
      <c r="I1189" s="243">
        <v>2500</v>
      </c>
      <c r="J1189" s="243">
        <v>15000</v>
      </c>
      <c r="K1189" s="573">
        <f>ROUND(I1189*J1189,0)</f>
        <v>37500000</v>
      </c>
      <c r="L1189" s="574" t="s">
        <v>250</v>
      </c>
      <c r="M1189" s="574" t="s">
        <v>164</v>
      </c>
      <c r="N1189" s="51" t="str">
        <f>IF(AND('331-CT'!$E$7=TH!H1189,OR(L1189="331",M1189="331")),"331",IF(AND(OR(L1189="131",M1189="131"),H1189='131-CT'!$E$7),"131",""))</f>
        <v/>
      </c>
      <c r="O1189" s="51" t="str">
        <f>IF(AND($B1189&gt;='111'!$N$11,$B1189&lt;='111'!$O$11,OR($L1189=$O$7,$M1189=$O$7)),"x","")</f>
        <v/>
      </c>
      <c r="P1189" s="51" t="str">
        <f>IF(AND($L1189=$O$7,$B1189&lt;'111'!$N$11),"x","")</f>
        <v/>
      </c>
      <c r="Q1189" s="51" t="str">
        <f>IF(AND($M1189=$O$7,$B1189&lt;'111'!$N$11),"x","")</f>
        <v/>
      </c>
      <c r="R1189" s="51" t="str">
        <f>IF(ISERROR(FIND('112'!$M$9,G1189,1)),"",IF((AND(FIND('112'!$M$9,G1189,1)&gt;=1,$B1189&gt;='112'!$N$8,$B1189&lt;='112'!$O$8,OR($L1189='112'!$I$6,$M1189='112'!$I$6))),"x",""))</f>
        <v/>
      </c>
      <c r="S1189" s="51" t="str">
        <f>IF(ISERROR(FIND('112'!$M$9,G1189,1)),"",IF((AND(LEFT(G1189,2)=LEFT('112'!$M$9,2),B1189&lt;'112'!$N$8,$L1189='112'!$I$6)),"x",""))</f>
        <v/>
      </c>
      <c r="T1189" s="51" t="str">
        <f>IF(ISERROR(FIND('112'!$M$9,G1189,1)),"",IF((AND(RIGHT(G1189,2)=RIGHT('112'!$M$9,2),B1189&lt;'112'!$N$8,$M1189='112'!$I$6)),"x",""))</f>
        <v/>
      </c>
      <c r="U1189" s="51" t="str">
        <f>IF(AND(L1189="154",'154'!$O$5&lt;=B1189,'154'!$P$5&gt;=B1189),"154",IF(AND(L1189="632",'632'!$L$5&lt;=B1189,'632'!$M$5&gt;=B1189),"632",IF(AND(L1189="642",'642'!$N$5&lt;=B1189,'642'!$O$5&gt;=B1189),"642",IF(AND(L1189="641",'641'!$N$5&lt;=B1189,'641'!$O$5&gt;=B1189),"641",""))))</f>
        <v/>
      </c>
      <c r="V1189" s="51" t="str">
        <f>IF(OR(TH!L1189=TH!$V$7,M1189=TH!$V$7),"x","")</f>
        <v/>
      </c>
      <c r="W1189" s="51" t="str">
        <f>IF(AND(B1189&gt;='IN-NX'!$P$3,B1189&lt;='IN-NX'!$Q$3,'IN-NX'!$D$7=D1189,OR(LEFT(L1189,2)="15",AND(LEFT(M1189,2)&lt;&gt;"15",LEFT(M1189,2)&lt;&gt;"33"))),"x","")</f>
        <v/>
      </c>
      <c r="X1189" s="51" t="str">
        <f>IF(AND(OR(LEFT(TH!L1189,2)="15",LEFT(TH!M1189,2)="15"),'152-CT'!$J$8=TH!F1189),"x","")</f>
        <v/>
      </c>
      <c r="Y1189" s="51" t="str">
        <f>IF(AND(OR(LEFT(TH!L1189,2)="15",LEFT(TH!M1189,2)="15"),TK!$E$7=TH!F1189),"x","")</f>
        <v/>
      </c>
      <c r="Z1189" s="51" t="str">
        <f>IF(AND(B1189&lt;=NKC!$N$8,B1189&gt;=NKC!$M$8),"x","")</f>
        <v/>
      </c>
      <c r="AA1189" s="803"/>
      <c r="AB1189" s="565"/>
    </row>
    <row r="1190" spans="1:31" ht="15.75" customHeight="1">
      <c r="A1190" s="804" t="str">
        <f>IF(B1190&lt;&gt;"",IF(AND(B1190&gt;=_TM1,B1190&lt;=_TM2,OR(TH!L1190="1111",TH!M1190="1111")),TH!D1190,""),"")</f>
        <v/>
      </c>
      <c r="B1190" s="36">
        <f t="shared" si="79"/>
        <v>11</v>
      </c>
      <c r="C1190" s="189">
        <f t="shared" si="80"/>
        <v>42337</v>
      </c>
      <c r="D1190" s="189" t="s">
        <v>1318</v>
      </c>
      <c r="E1190" s="189">
        <v>42337</v>
      </c>
      <c r="F1190" s="926" t="s">
        <v>621</v>
      </c>
      <c r="G1190" s="811" t="s">
        <v>1101</v>
      </c>
      <c r="H1190" s="191" t="s">
        <v>413</v>
      </c>
      <c r="I1190" s="243">
        <v>3000</v>
      </c>
      <c r="J1190" s="243">
        <v>16500</v>
      </c>
      <c r="K1190" s="573">
        <f>ROUND(I1190*J1190,0)</f>
        <v>49500000</v>
      </c>
      <c r="L1190" s="574" t="s">
        <v>250</v>
      </c>
      <c r="M1190" s="574" t="s">
        <v>164</v>
      </c>
      <c r="N1190" s="51" t="str">
        <f>IF(AND('331-CT'!$E$7=TH!H1190,OR(L1190="331",M1190="331")),"331",IF(AND(OR(L1190="131",M1190="131"),H1190='131-CT'!$E$7),"131",""))</f>
        <v/>
      </c>
      <c r="O1190" s="51" t="str">
        <f>IF(AND($B1190&gt;='111'!$N$11,$B1190&lt;='111'!$O$11,OR($L1190=$O$7,$M1190=$O$7)),"x","")</f>
        <v/>
      </c>
      <c r="P1190" s="51" t="str">
        <f>IF(AND($L1190=$O$7,$B1190&lt;'111'!$N$11),"x","")</f>
        <v/>
      </c>
      <c r="Q1190" s="51" t="str">
        <f>IF(AND($M1190=$O$7,$B1190&lt;'111'!$N$11),"x","")</f>
        <v/>
      </c>
      <c r="R1190" s="51" t="str">
        <f>IF(ISERROR(FIND('112'!$M$9,G1190,1)),"",IF((AND(FIND('112'!$M$9,G1190,1)&gt;=1,$B1190&gt;='112'!$N$8,$B1190&lt;='112'!$O$8,OR($L1190='112'!$I$6,$M1190='112'!$I$6))),"x",""))</f>
        <v/>
      </c>
      <c r="S1190" s="51" t="str">
        <f>IF(ISERROR(FIND('112'!$M$9,G1190,1)),"",IF((AND(LEFT(G1190,2)=LEFT('112'!$M$9,2),B1190&lt;'112'!$N$8,$L1190='112'!$I$6)),"x",""))</f>
        <v/>
      </c>
      <c r="T1190" s="51" t="str">
        <f>IF(ISERROR(FIND('112'!$M$9,G1190,1)),"",IF((AND(RIGHT(G1190,2)=RIGHT('112'!$M$9,2),B1190&lt;'112'!$N$8,$M1190='112'!$I$6)),"x",""))</f>
        <v/>
      </c>
      <c r="U1190" s="51" t="str">
        <f>IF(AND(L1190="154",'154'!$O$5&lt;=B1190,'154'!$P$5&gt;=B1190),"154",IF(AND(L1190="632",'632'!$L$5&lt;=B1190,'632'!$M$5&gt;=B1190),"632",IF(AND(L1190="642",'642'!$N$5&lt;=B1190,'642'!$O$5&gt;=B1190),"642",IF(AND(L1190="641",'641'!$N$5&lt;=B1190,'641'!$O$5&gt;=B1190),"641",""))))</f>
        <v/>
      </c>
      <c r="V1190" s="51" t="str">
        <f>IF(OR(TH!L1190=TH!$V$7,M1190=TH!$V$7),"x","")</f>
        <v/>
      </c>
      <c r="W1190" s="51" t="str">
        <f>IF(AND(B1190&gt;='IN-NX'!$P$3,B1190&lt;='IN-NX'!$Q$3,'IN-NX'!$D$7=D1190,OR(LEFT(L1190,2)="15",AND(LEFT(M1190,2)&lt;&gt;"15",LEFT(M1190,2)&lt;&gt;"33"))),"x","")</f>
        <v/>
      </c>
      <c r="X1190" s="51" t="str">
        <f>IF(AND(OR(LEFT(TH!L1190,2)="15",LEFT(TH!M1190,2)="15"),'152-CT'!$J$8=TH!F1190),"x","")</f>
        <v/>
      </c>
      <c r="Y1190" s="51" t="str">
        <f>IF(AND(OR(LEFT(TH!L1190,2)="15",LEFT(TH!M1190,2)="15"),TK!$E$7=TH!F1190),"x","")</f>
        <v/>
      </c>
      <c r="Z1190" s="51" t="str">
        <f>IF(AND(B1190&lt;=NKC!$N$8,B1190&gt;=NKC!$M$8),"x","")</f>
        <v/>
      </c>
      <c r="AA1190" s="803"/>
      <c r="AB1190" s="565"/>
    </row>
    <row r="1191" spans="1:31" ht="15.75" customHeight="1">
      <c r="A1191" s="804" t="str">
        <f>IF(B1191&lt;&gt;"",IF(AND(B1191&gt;=_TM1,B1191&lt;=_TM2,OR(TH!L1191="1111",TH!M1191="1111")),TH!D1191,""),"")</f>
        <v/>
      </c>
      <c r="B1191" s="36">
        <f t="shared" si="79"/>
        <v>11</v>
      </c>
      <c r="C1191" s="189">
        <f t="shared" si="80"/>
        <v>42337</v>
      </c>
      <c r="D1191" s="189" t="s">
        <v>1318</v>
      </c>
      <c r="E1191" s="189">
        <v>42337</v>
      </c>
      <c r="F1191" s="926" t="s">
        <v>962</v>
      </c>
      <c r="G1191" s="811" t="s">
        <v>1101</v>
      </c>
      <c r="H1191" s="191" t="s">
        <v>413</v>
      </c>
      <c r="I1191" s="243"/>
      <c r="J1191" s="243"/>
      <c r="K1191" s="573">
        <v>14157000</v>
      </c>
      <c r="L1191" s="574" t="s">
        <v>250</v>
      </c>
      <c r="M1191" s="574" t="s">
        <v>352</v>
      </c>
      <c r="N1191" s="51" t="str">
        <f>IF(AND('331-CT'!$E$7=TH!H1191,OR(L1191="331",M1191="331")),"331",IF(AND(OR(L1191="131",M1191="131"),H1191='131-CT'!$E$7),"131",""))</f>
        <v/>
      </c>
      <c r="O1191" s="51" t="str">
        <f>IF(AND($B1191&gt;='111'!$N$11,$B1191&lt;='111'!$O$11,OR($L1191=$O$7,$M1191=$O$7)),"x","")</f>
        <v/>
      </c>
      <c r="P1191" s="51" t="str">
        <f>IF(AND($L1191=$O$7,$B1191&lt;'111'!$N$11),"x","")</f>
        <v/>
      </c>
      <c r="Q1191" s="51" t="str">
        <f>IF(AND($M1191=$O$7,$B1191&lt;'111'!$N$11),"x","")</f>
        <v/>
      </c>
      <c r="R1191" s="51" t="str">
        <f>IF(ISERROR(FIND('112'!$M$9,G1191,1)),"",IF((AND(FIND('112'!$M$9,G1191,1)&gt;=1,$B1191&gt;='112'!$N$8,$B1191&lt;='112'!$O$8,OR($L1191='112'!$I$6,$M1191='112'!$I$6))),"x",""))</f>
        <v/>
      </c>
      <c r="S1191" s="51" t="str">
        <f>IF(ISERROR(FIND('112'!$M$9,G1191,1)),"",IF((AND(LEFT(G1191,2)=LEFT('112'!$M$9,2),B1191&lt;'112'!$N$8,$L1191='112'!$I$6)),"x",""))</f>
        <v/>
      </c>
      <c r="T1191" s="51" t="str">
        <f>IF(ISERROR(FIND('112'!$M$9,G1191,1)),"",IF((AND(RIGHT(G1191,2)=RIGHT('112'!$M$9,2),B1191&lt;'112'!$N$8,$M1191='112'!$I$6)),"x",""))</f>
        <v/>
      </c>
      <c r="U1191" s="51" t="str">
        <f>IF(AND(L1191="154",'154'!$O$5&lt;=B1191,'154'!$P$5&gt;=B1191),"154",IF(AND(L1191="632",'632'!$L$5&lt;=B1191,'632'!$M$5&gt;=B1191),"632",IF(AND(L1191="642",'642'!$N$5&lt;=B1191,'642'!$O$5&gt;=B1191),"642",IF(AND(L1191="641",'641'!$N$5&lt;=B1191,'641'!$O$5&gt;=B1191),"641",""))))</f>
        <v/>
      </c>
      <c r="V1191" s="51" t="str">
        <f>IF(OR(TH!L1191=TH!$V$7,M1191=TH!$V$7),"x","")</f>
        <v/>
      </c>
      <c r="W1191" s="51" t="str">
        <f>IF(AND(B1191&gt;='IN-NX'!$P$3,B1191&lt;='IN-NX'!$Q$3,'IN-NX'!$D$7=D1191,OR(LEFT(L1191,2)="15",AND(LEFT(M1191,2)&lt;&gt;"15",LEFT(M1191,2)&lt;&gt;"33"))),"x","")</f>
        <v/>
      </c>
      <c r="X1191" s="51" t="str">
        <f>IF(AND(OR(LEFT(TH!L1191,2)="15",LEFT(TH!M1191,2)="15"),'152-CT'!$J$8=TH!F1191),"x","")</f>
        <v/>
      </c>
      <c r="Y1191" s="51" t="str">
        <f>IF(AND(OR(LEFT(TH!L1191,2)="15",LEFT(TH!M1191,2)="15"),TK!$E$7=TH!F1191),"x","")</f>
        <v/>
      </c>
      <c r="Z1191" s="51" t="str">
        <f>IF(AND(B1191&lt;=NKC!$N$8,B1191&gt;=NKC!$M$8),"x","")</f>
        <v/>
      </c>
      <c r="AA1191" s="803"/>
      <c r="AB1191" s="565"/>
    </row>
    <row r="1192" spans="1:31" ht="15.75" customHeight="1">
      <c r="A1192" s="804" t="str">
        <f>IF(B1192&lt;&gt;"",IF(AND(B1192&gt;=_TM1,B1192&lt;=_TM2,OR(TH!L1192="1111",TH!M1192="1111")),TH!D1192,""),"")</f>
        <v/>
      </c>
      <c r="B1192" s="36">
        <f t="shared" si="79"/>
        <v>11</v>
      </c>
      <c r="C1192" s="189">
        <f t="shared" si="80"/>
        <v>42338</v>
      </c>
      <c r="D1192" s="189" t="s">
        <v>421</v>
      </c>
      <c r="E1192" s="189">
        <v>42338</v>
      </c>
      <c r="F1192" s="187" t="s">
        <v>423</v>
      </c>
      <c r="G1192" s="811" t="s">
        <v>415</v>
      </c>
      <c r="H1192" s="191" t="s">
        <v>416</v>
      </c>
      <c r="I1192" s="243"/>
      <c r="J1192" s="243"/>
      <c r="K1192" s="573">
        <v>13805000</v>
      </c>
      <c r="L1192" s="574" t="s">
        <v>24</v>
      </c>
      <c r="M1192" s="574" t="s">
        <v>250</v>
      </c>
      <c r="N1192" s="51" t="str">
        <f>IF(AND('331-CT'!$E$7=TH!H1192,OR(L1192="331",M1192="331")),"331",IF(AND(OR(L1192="131",M1192="131"),H1192='131-CT'!$E$7),"131",""))</f>
        <v/>
      </c>
      <c r="O1192" s="51" t="str">
        <f>IF(AND($B1192&gt;='111'!$N$11,$B1192&lt;='111'!$O$11,OR($L1192=$O$7,$M1192=$O$7)),"x","")</f>
        <v/>
      </c>
      <c r="P1192" s="51" t="str">
        <f>IF(AND($L1192=$O$7,$B1192&lt;'111'!$N$11),"x","")</f>
        <v/>
      </c>
      <c r="Q1192" s="51" t="str">
        <f>IF(AND($M1192=$O$7,$B1192&lt;'111'!$N$11),"x","")</f>
        <v/>
      </c>
      <c r="R1192" s="51" t="str">
        <f>IF(ISERROR(FIND('112'!$M$9,G1192,1)),"",IF((AND(FIND('112'!$M$9,G1192,1)&gt;=1,$B1192&gt;='112'!$N$8,$B1192&lt;='112'!$O$8,OR($L1192='112'!$I$6,$M1192='112'!$I$6))),"x",""))</f>
        <v/>
      </c>
      <c r="S1192" s="51" t="str">
        <f>IF(ISERROR(FIND('112'!$M$9,G1192,1)),"",IF((AND(LEFT(G1192,2)=LEFT('112'!$M$9,2),B1192&lt;'112'!$N$8,$L1192='112'!$I$6)),"x",""))</f>
        <v/>
      </c>
      <c r="T1192" s="51" t="str">
        <f>IF(ISERROR(FIND('112'!$M$9,G1192,1)),"",IF((AND(RIGHT(G1192,2)=RIGHT('112'!$M$9,2),B1192&lt;'112'!$N$8,$M1192='112'!$I$6)),"x",""))</f>
        <v/>
      </c>
      <c r="U1192" s="51" t="str">
        <f>IF(AND(L1192="154",'154'!$O$5&lt;=B1192,'154'!$P$5&gt;=B1192),"154",IF(AND(L1192="632",'632'!$L$5&lt;=B1192,'632'!$M$5&gt;=B1192),"632",IF(AND(L1192="642",'642'!$N$5&lt;=B1192,'642'!$O$5&gt;=B1192),"642",IF(AND(L1192="641",'641'!$N$5&lt;=B1192,'641'!$O$5&gt;=B1192),"641",""))))</f>
        <v/>
      </c>
      <c r="V1192" s="51" t="str">
        <f>IF(OR(TH!L1192=TH!$V$7,M1192=TH!$V$7),"x","")</f>
        <v/>
      </c>
      <c r="W1192" s="51" t="str">
        <f>IF(AND(B1192&gt;='IN-NX'!$P$3,B1192&lt;='IN-NX'!$Q$3,'IN-NX'!$D$7=D1192,OR(LEFT(L1192,2)="15",AND(LEFT(M1192,2)&lt;&gt;"15",LEFT(M1192,2)&lt;&gt;"33"))),"x","")</f>
        <v/>
      </c>
      <c r="X1192" s="51" t="str">
        <f>IF(AND(OR(LEFT(TH!L1192,2)="15",LEFT(TH!M1192,2)="15"),'152-CT'!$J$8=TH!F1192),"x","")</f>
        <v/>
      </c>
      <c r="Y1192" s="51" t="str">
        <f>IF(AND(OR(LEFT(TH!L1192,2)="15",LEFT(TH!M1192,2)="15"),TK!$E$7=TH!F1192),"x","")</f>
        <v/>
      </c>
      <c r="Z1192" s="51" t="str">
        <f>IF(AND(B1192&lt;=NKC!$N$8,B1192&gt;=NKC!$M$8),"x","")</f>
        <v/>
      </c>
      <c r="AA1192" s="803"/>
      <c r="AB1192" s="565"/>
    </row>
    <row r="1193" spans="1:31" ht="15.75" customHeight="1">
      <c r="A1193" s="804" t="str">
        <f>IF(B1193&lt;&gt;"",IF(AND(B1193&gt;=_TM1,B1193&lt;=_TM2,OR(TH!L1193="1111",TH!M1193="1111")),TH!D1193,""),"")</f>
        <v/>
      </c>
      <c r="B1193" s="36">
        <f t="shared" si="79"/>
        <v>11</v>
      </c>
      <c r="C1193" s="189">
        <f t="shared" si="80"/>
        <v>42338</v>
      </c>
      <c r="D1193" s="189" t="s">
        <v>319</v>
      </c>
      <c r="E1193" s="189">
        <v>42338</v>
      </c>
      <c r="F1193" s="187" t="s">
        <v>1280</v>
      </c>
      <c r="G1193" s="811"/>
      <c r="H1193" s="191" t="s">
        <v>416</v>
      </c>
      <c r="I1193" s="243"/>
      <c r="J1193" s="243"/>
      <c r="K1193" s="573">
        <v>50000</v>
      </c>
      <c r="L1193" s="574" t="s">
        <v>250</v>
      </c>
      <c r="M1193" s="574" t="s">
        <v>85</v>
      </c>
      <c r="N1193" s="51" t="str">
        <f>IF(AND('331-CT'!$E$7=TH!H1193,OR(L1193="331",M1193="331")),"331",IF(AND(OR(L1193="131",M1193="131"),H1193='131-CT'!$E$7),"131",""))</f>
        <v/>
      </c>
      <c r="O1193" s="51" t="str">
        <f>IF(AND($B1193&gt;='111'!$N$11,$B1193&lt;='111'!$O$11,OR($L1193=$O$7,$M1193=$O$7)),"x","")</f>
        <v/>
      </c>
      <c r="P1193" s="51" t="str">
        <f>IF(AND($L1193=$O$7,$B1193&lt;'111'!$N$11),"x","")</f>
        <v/>
      </c>
      <c r="Q1193" s="51" t="str">
        <f>IF(AND($M1193=$O$7,$B1193&lt;'111'!$N$11),"x","")</f>
        <v/>
      </c>
      <c r="R1193" s="51" t="str">
        <f>IF(ISERROR(FIND('112'!$M$9,G1193,1)),"",IF((AND(FIND('112'!$M$9,G1193,1)&gt;=1,$B1193&gt;='112'!$N$8,$B1193&lt;='112'!$O$8,OR($L1193='112'!$I$6,$M1193='112'!$I$6))),"x",""))</f>
        <v/>
      </c>
      <c r="S1193" s="51" t="str">
        <f>IF(ISERROR(FIND('112'!$M$9,G1193,1)),"",IF((AND(LEFT(G1193,2)=LEFT('112'!$M$9,2),B1193&lt;'112'!$N$8,$L1193='112'!$I$6)),"x",""))</f>
        <v/>
      </c>
      <c r="T1193" s="51" t="str">
        <f>IF(ISERROR(FIND('112'!$M$9,G1193,1)),"",IF((AND(RIGHT(G1193,2)=RIGHT('112'!$M$9,2),B1193&lt;'112'!$N$8,$M1193='112'!$I$6)),"x",""))</f>
        <v/>
      </c>
      <c r="U1193" s="51" t="str">
        <f>IF(AND(L1193="154",'154'!$O$5&lt;=B1193,'154'!$P$5&gt;=B1193),"154",IF(AND(L1193="632",'632'!$L$5&lt;=B1193,'632'!$M$5&gt;=B1193),"632",IF(AND(L1193="642",'642'!$N$5&lt;=B1193,'642'!$O$5&gt;=B1193),"642",IF(AND(L1193="641",'641'!$N$5&lt;=B1193,'641'!$O$5&gt;=B1193),"641",""))))</f>
        <v/>
      </c>
      <c r="V1193" s="51" t="str">
        <f>IF(OR(TH!L1193=TH!$V$7,M1193=TH!$V$7),"x","")</f>
        <v/>
      </c>
      <c r="W1193" s="51" t="str">
        <f>IF(AND(B1193&gt;='IN-NX'!$P$3,B1193&lt;='IN-NX'!$Q$3,'IN-NX'!$D$7=D1193,OR(LEFT(L1193,2)="15",AND(LEFT(M1193,2)&lt;&gt;"15",LEFT(M1193,2)&lt;&gt;"33"))),"x","")</f>
        <v/>
      </c>
      <c r="X1193" s="51" t="str">
        <f>IF(AND(OR(LEFT(TH!L1193,2)="15",LEFT(TH!M1193,2)="15"),'152-CT'!$J$8=TH!F1193),"x","")</f>
        <v/>
      </c>
      <c r="Y1193" s="51" t="str">
        <f>IF(AND(OR(LEFT(TH!L1193,2)="15",LEFT(TH!M1193,2)="15"),TK!$E$7=TH!F1193),"x","")</f>
        <v/>
      </c>
      <c r="Z1193" s="51" t="str">
        <f>IF(AND(B1193&lt;=NKC!$N$8,B1193&gt;=NKC!$M$8),"x","")</f>
        <v/>
      </c>
      <c r="AA1193" s="803"/>
      <c r="AB1193" s="565"/>
    </row>
    <row r="1194" spans="1:31" ht="15.75" customHeight="1">
      <c r="A1194" s="804" t="str">
        <f>IF(B1194&lt;&gt;"",IF(AND(B1194&gt;=_TM1,B1194&lt;=_TM2,OR(TH!L1194="1111",TH!M1194="1111")),TH!D1194,""),"")</f>
        <v/>
      </c>
      <c r="B1194" s="36">
        <f t="shared" si="79"/>
        <v>11</v>
      </c>
      <c r="C1194" s="189">
        <f t="shared" si="80"/>
        <v>42338</v>
      </c>
      <c r="D1194" s="189" t="s">
        <v>1394</v>
      </c>
      <c r="E1194" s="189">
        <v>42338</v>
      </c>
      <c r="F1194" s="187" t="s">
        <v>427</v>
      </c>
      <c r="G1194" s="811" t="s">
        <v>415</v>
      </c>
      <c r="H1194" s="7" t="s">
        <v>437</v>
      </c>
      <c r="I1194" s="243"/>
      <c r="J1194" s="243"/>
      <c r="K1194" s="573">
        <v>12400000</v>
      </c>
      <c r="L1194" s="574" t="s">
        <v>47</v>
      </c>
      <c r="M1194" s="574" t="s">
        <v>24</v>
      </c>
      <c r="N1194" s="51" t="str">
        <f>IF(AND('331-CT'!$E$7=TH!H1194,OR(L1194="331",M1194="331")),"331",IF(AND(OR(L1194="131",M1194="131"),H1194='131-CT'!$E$7),"131",""))</f>
        <v/>
      </c>
      <c r="O1194" s="51" t="str">
        <f>IF(AND($B1194&gt;='111'!$N$11,$B1194&lt;='111'!$O$11,OR($L1194=$O$7,$M1194=$O$7)),"x","")</f>
        <v>x</v>
      </c>
      <c r="P1194" s="51" t="str">
        <f>IF(AND($L1194=$O$7,$B1194&lt;'111'!$N$11),"x","")</f>
        <v/>
      </c>
      <c r="Q1194" s="51" t="str">
        <f>IF(AND($M1194=$O$7,$B1194&lt;'111'!$N$11),"x","")</f>
        <v/>
      </c>
      <c r="R1194" s="51" t="str">
        <f>IF(ISERROR(FIND('112'!$M$9,G1194,1)),"",IF((AND(FIND('112'!$M$9,G1194,1)&gt;=1,$B1194&gt;='112'!$N$8,$B1194&lt;='112'!$O$8,OR($L1194='112'!$I$6,$M1194='112'!$I$6))),"x",""))</f>
        <v/>
      </c>
      <c r="S1194" s="51" t="str">
        <f>IF(ISERROR(FIND('112'!$M$9,G1194,1)),"",IF((AND(LEFT(G1194,2)=LEFT('112'!$M$9,2),B1194&lt;'112'!$N$8,$L1194='112'!$I$6)),"x",""))</f>
        <v/>
      </c>
      <c r="T1194" s="51" t="str">
        <f>IF(ISERROR(FIND('112'!$M$9,G1194,1)),"",IF((AND(RIGHT(G1194,2)=RIGHT('112'!$M$9,2),B1194&lt;'112'!$N$8,$M1194='112'!$I$6)),"x",""))</f>
        <v/>
      </c>
      <c r="U1194" s="51" t="str">
        <f>IF(AND(L1194="154",'154'!$O$5&lt;=B1194,'154'!$P$5&gt;=B1194),"154",IF(AND(L1194="632",'632'!$L$5&lt;=B1194,'632'!$M$5&gt;=B1194),"632",IF(AND(L1194="642",'642'!$N$5&lt;=B1194,'642'!$O$5&gt;=B1194),"642",IF(AND(L1194="641",'641'!$N$5&lt;=B1194,'641'!$O$5&gt;=B1194),"641",""))))</f>
        <v/>
      </c>
      <c r="V1194" s="51" t="str">
        <f>IF(OR(TH!L1194=TH!$V$7,M1194=TH!$V$7),"x","")</f>
        <v/>
      </c>
      <c r="W1194" s="51" t="str">
        <f>IF(AND(B1194&gt;='IN-NX'!$P$3,B1194&lt;='IN-NX'!$Q$3,'IN-NX'!$D$7=D1194,OR(LEFT(L1194,2)="15",AND(LEFT(M1194,2)&lt;&gt;"15",LEFT(M1194,2)&lt;&gt;"33"))),"x","")</f>
        <v/>
      </c>
      <c r="X1194" s="51" t="str">
        <f>IF(AND(OR(LEFT(TH!L1194,2)="15",LEFT(TH!M1194,2)="15"),'152-CT'!$J$8=TH!F1194),"x","")</f>
        <v/>
      </c>
      <c r="Y1194" s="51" t="str">
        <f>IF(AND(OR(LEFT(TH!L1194,2)="15",LEFT(TH!M1194,2)="15"),TK!$E$7=TH!F1194),"x","")</f>
        <v/>
      </c>
      <c r="Z1194" s="51" t="str">
        <f>IF(AND(B1194&lt;=NKC!$N$8,B1194&gt;=NKC!$M$8),"x","")</f>
        <v/>
      </c>
      <c r="AA1194" s="803"/>
      <c r="AB1194" s="565"/>
    </row>
    <row r="1195" spans="1:31" ht="15.75" customHeight="1">
      <c r="A1195" s="804" t="str">
        <f>IF(B1195&lt;&gt;"",IF(AND(B1195&gt;=_TM1,B1195&lt;=_TM2,OR(TH!L1195="1111",TH!M1195="1111")),TH!D1195,""),"")</f>
        <v/>
      </c>
      <c r="B1195" s="36">
        <f t="shared" si="79"/>
        <v>11</v>
      </c>
      <c r="C1195" s="853">
        <f t="shared" si="80"/>
        <v>42338</v>
      </c>
      <c r="D1195" s="853" t="s">
        <v>319</v>
      </c>
      <c r="E1195" s="853">
        <v>42338</v>
      </c>
      <c r="F1195" s="854" t="s">
        <v>1262</v>
      </c>
      <c r="G1195" s="855"/>
      <c r="H1195" s="856"/>
      <c r="I1195" s="857"/>
      <c r="J1195" s="857"/>
      <c r="K1195" s="858">
        <v>11600000</v>
      </c>
      <c r="L1195" s="859" t="s">
        <v>83</v>
      </c>
      <c r="M1195" s="859" t="s">
        <v>252</v>
      </c>
      <c r="N1195" s="51" t="str">
        <f>IF(AND('331-CT'!$E$7=TH!H1195,OR(L1195="331",M1195="331")),"331",IF(AND(OR(L1195="131",M1195="131"),H1195='131-CT'!$E$7),"131",""))</f>
        <v/>
      </c>
      <c r="O1195" s="51" t="str">
        <f>IF(AND($B1195&gt;='111'!$N$11,$B1195&lt;='111'!$O$11,OR($L1195=$O$7,$M1195=$O$7)),"x","")</f>
        <v/>
      </c>
      <c r="P1195" s="51" t="str">
        <f>IF(AND($L1195=$O$7,$B1195&lt;'111'!$N$11),"x","")</f>
        <v/>
      </c>
      <c r="Q1195" s="51" t="str">
        <f>IF(AND($M1195=$O$7,$B1195&lt;'111'!$N$11),"x","")</f>
        <v/>
      </c>
      <c r="R1195" s="51" t="str">
        <f>IF(ISERROR(FIND('112'!$M$9,G1195,1)),"",IF((AND(FIND('112'!$M$9,G1195,1)&gt;=1,$B1195&gt;='112'!$N$8,$B1195&lt;='112'!$O$8,OR($L1195='112'!$I$6,$M1195='112'!$I$6))),"x",""))</f>
        <v/>
      </c>
      <c r="S1195" s="51" t="str">
        <f>IF(ISERROR(FIND('112'!$M$9,G1195,1)),"",IF((AND(LEFT(G1195,2)=LEFT('112'!$M$9,2),B1195&lt;'112'!$N$8,$L1195='112'!$I$6)),"x",""))</f>
        <v/>
      </c>
      <c r="T1195" s="51" t="str">
        <f>IF(ISERROR(FIND('112'!$M$9,G1195,1)),"",IF((AND(RIGHT(G1195,2)=RIGHT('112'!$M$9,2),B1195&lt;'112'!$N$8,$M1195='112'!$I$6)),"x",""))</f>
        <v/>
      </c>
      <c r="U1195" s="51" t="str">
        <f>IF(AND(L1195="154",'154'!$O$5&lt;=B1195,'154'!$P$5&gt;=B1195),"154",IF(AND(L1195="632",'632'!$L$5&lt;=B1195,'632'!$M$5&gt;=B1195),"632",IF(AND(L1195="642",'642'!$N$5&lt;=B1195,'642'!$O$5&gt;=B1195),"642",IF(AND(L1195="641",'641'!$N$5&lt;=B1195,'641'!$O$5&gt;=B1195),"641",""))))</f>
        <v/>
      </c>
      <c r="V1195" s="51" t="str">
        <f>IF(OR(TH!L1195=TH!$V$7,M1195=TH!$V$7),"x","")</f>
        <v>x</v>
      </c>
      <c r="W1195" s="51" t="str">
        <f>IF(AND(B1195&gt;='IN-NX'!$P$3,B1195&lt;='IN-NX'!$Q$3,'IN-NX'!$D$7=D1195,OR(LEFT(L1195,2)="15",AND(LEFT(M1195,2)&lt;&gt;"15",LEFT(M1195,2)&lt;&gt;"33"))),"x","")</f>
        <v/>
      </c>
      <c r="X1195" s="51" t="str">
        <f>IF(AND(OR(LEFT(TH!L1195,2)="15",LEFT(TH!M1195,2)="15"),'152-CT'!$J$8=TH!F1195),"x","")</f>
        <v/>
      </c>
      <c r="Y1195" s="51" t="str">
        <f>IF(AND(OR(LEFT(TH!L1195,2)="15",LEFT(TH!M1195,2)="15"),TK!$E$7=TH!F1195),"x","")</f>
        <v/>
      </c>
      <c r="Z1195" s="51" t="str">
        <f>IF(AND(B1195&lt;=NKC!$N$8,B1195&gt;=NKC!$M$8),"x","")</f>
        <v/>
      </c>
      <c r="AA1195" s="860"/>
      <c r="AB1195" s="565"/>
      <c r="AE1195" s="565"/>
    </row>
    <row r="1196" spans="1:31" ht="15.75" customHeight="1">
      <c r="A1196" s="804" t="str">
        <f>IF(B1196&lt;&gt;"",IF(AND(B1196&gt;=_TM1,B1196&lt;=_TM2,OR(TH!L1196="1111",TH!M1196="1111")),TH!D1196,""),"")</f>
        <v/>
      </c>
      <c r="B1196" s="36">
        <f t="shared" si="79"/>
        <v>11</v>
      </c>
      <c r="C1196" s="853">
        <f t="shared" si="80"/>
        <v>42338</v>
      </c>
      <c r="D1196" s="853" t="s">
        <v>319</v>
      </c>
      <c r="E1196" s="853">
        <v>42338</v>
      </c>
      <c r="F1196" s="854" t="s">
        <v>1263</v>
      </c>
      <c r="G1196" s="855"/>
      <c r="H1196" s="856"/>
      <c r="I1196" s="857"/>
      <c r="J1196" s="857"/>
      <c r="K1196" s="858">
        <v>3000000</v>
      </c>
      <c r="L1196" s="859" t="s">
        <v>160</v>
      </c>
      <c r="M1196" s="859" t="s">
        <v>252</v>
      </c>
      <c r="N1196" s="51" t="str">
        <f>IF(AND('331-CT'!$E$7=TH!H1196,OR(L1196="331",M1196="331")),"331",IF(AND(OR(L1196="131",M1196="131"),H1196='131-CT'!$E$7),"131",""))</f>
        <v/>
      </c>
      <c r="O1196" s="51" t="str">
        <f>IF(AND($B1196&gt;='111'!$N$11,$B1196&lt;='111'!$O$11,OR($L1196=$O$7,$M1196=$O$7)),"x","")</f>
        <v/>
      </c>
      <c r="P1196" s="51" t="str">
        <f>IF(AND($L1196=$O$7,$B1196&lt;'111'!$N$11),"x","")</f>
        <v/>
      </c>
      <c r="Q1196" s="51" t="str">
        <f>IF(AND($M1196=$O$7,$B1196&lt;'111'!$N$11),"x","")</f>
        <v/>
      </c>
      <c r="R1196" s="51" t="str">
        <f>IF(ISERROR(FIND('112'!$M$9,G1196,1)),"",IF((AND(FIND('112'!$M$9,G1196,1)&gt;=1,$B1196&gt;='112'!$N$8,$B1196&lt;='112'!$O$8,OR($L1196='112'!$I$6,$M1196='112'!$I$6))),"x",""))</f>
        <v/>
      </c>
      <c r="S1196" s="51" t="str">
        <f>IF(ISERROR(FIND('112'!$M$9,G1196,1)),"",IF((AND(LEFT(G1196,2)=LEFT('112'!$M$9,2),B1196&lt;'112'!$N$8,$L1196='112'!$I$6)),"x",""))</f>
        <v/>
      </c>
      <c r="T1196" s="51" t="str">
        <f>IF(ISERROR(FIND('112'!$M$9,G1196,1)),"",IF((AND(RIGHT(G1196,2)=RIGHT('112'!$M$9,2),B1196&lt;'112'!$N$8,$M1196='112'!$I$6)),"x",""))</f>
        <v/>
      </c>
      <c r="U1196" s="51" t="str">
        <f>IF(AND(L1196="154",'154'!$O$5&lt;=B1196,'154'!$P$5&gt;=B1196),"154",IF(AND(L1196="632",'632'!$L$5&lt;=B1196,'632'!$M$5&gt;=B1196),"632",IF(AND(L1196="642",'642'!$N$5&lt;=B1196,'642'!$O$5&gt;=B1196),"642",IF(AND(L1196="641",'641'!$N$5&lt;=B1196,'641'!$O$5&gt;=B1196),"641",""))))</f>
        <v/>
      </c>
      <c r="V1196" s="51" t="str">
        <f>IF(OR(TH!L1196=TH!$V$7,M1196=TH!$V$7),"x","")</f>
        <v/>
      </c>
      <c r="W1196" s="51" t="str">
        <f>IF(AND(B1196&gt;='IN-NX'!$P$3,B1196&lt;='IN-NX'!$Q$3,'IN-NX'!$D$7=D1196,OR(LEFT(L1196,2)="15",AND(LEFT(M1196,2)&lt;&gt;"15",LEFT(M1196,2)&lt;&gt;"33"))),"x","")</f>
        <v/>
      </c>
      <c r="X1196" s="51" t="str">
        <f>IF(AND(OR(LEFT(TH!L1196,2)="15",LEFT(TH!M1196,2)="15"),'152-CT'!$J$8=TH!F1196),"x","")</f>
        <v/>
      </c>
      <c r="Y1196" s="51" t="str">
        <f>IF(AND(OR(LEFT(TH!L1196,2)="15",LEFT(TH!M1196,2)="15"),TK!$E$7=TH!F1196),"x","")</f>
        <v/>
      </c>
      <c r="Z1196" s="51" t="str">
        <f>IF(AND(B1196&lt;=NKC!$N$8,B1196&gt;=NKC!$M$8),"x","")</f>
        <v/>
      </c>
      <c r="AA1196" s="860"/>
      <c r="AB1196" s="565"/>
      <c r="AE1196" s="565"/>
    </row>
    <row r="1197" spans="1:31" ht="15.75" customHeight="1">
      <c r="A1197" s="804" t="str">
        <f>IF(B1197&lt;&gt;"",IF(AND(B1197&gt;=_TM1,B1197&lt;=_TM2,OR(TH!L1197="1111",TH!M1197="1111")),TH!D1197,""),"")</f>
        <v/>
      </c>
      <c r="B1197" s="36">
        <f t="shared" si="79"/>
        <v>11</v>
      </c>
      <c r="C1197" s="853">
        <f t="shared" si="80"/>
        <v>42338</v>
      </c>
      <c r="D1197" s="861" t="s">
        <v>1432</v>
      </c>
      <c r="E1197" s="853">
        <v>42338</v>
      </c>
      <c r="F1197" s="854" t="s">
        <v>1267</v>
      </c>
      <c r="G1197" s="855"/>
      <c r="H1197" s="7" t="s">
        <v>437</v>
      </c>
      <c r="I1197" s="857"/>
      <c r="J1197" s="857"/>
      <c r="K1197" s="858">
        <f>K1195+K1196</f>
        <v>14600000</v>
      </c>
      <c r="L1197" s="859" t="s">
        <v>252</v>
      </c>
      <c r="M1197" s="859" t="s">
        <v>47</v>
      </c>
      <c r="N1197" s="51" t="str">
        <f>IF(AND('331-CT'!$E$7=TH!H1197,OR(L1197="331",M1197="331")),"331",IF(AND(OR(L1197="131",M1197="131"),H1197='131-CT'!$E$7),"131",""))</f>
        <v/>
      </c>
      <c r="O1197" s="51" t="str">
        <f>IF(AND($B1197&gt;='111'!$N$11,$B1197&lt;='111'!$O$11,OR($L1197=$O$7,$M1197=$O$7)),"x","")</f>
        <v>x</v>
      </c>
      <c r="P1197" s="51" t="str">
        <f>IF(AND($L1197=$O$7,$B1197&lt;'111'!$N$11),"x","")</f>
        <v/>
      </c>
      <c r="Q1197" s="51" t="str">
        <f>IF(AND($M1197=$O$7,$B1197&lt;'111'!$N$11),"x","")</f>
        <v/>
      </c>
      <c r="R1197" s="51" t="str">
        <f>IF(ISERROR(FIND('112'!$M$9,G1197,1)),"",IF((AND(FIND('112'!$M$9,G1197,1)&gt;=1,$B1197&gt;='112'!$N$8,$B1197&lt;='112'!$O$8,OR($L1197='112'!$I$6,$M1197='112'!$I$6))),"x",""))</f>
        <v/>
      </c>
      <c r="S1197" s="51" t="str">
        <f>IF(ISERROR(FIND('112'!$M$9,G1197,1)),"",IF((AND(LEFT(G1197,2)=LEFT('112'!$M$9,2),B1197&lt;'112'!$N$8,$L1197='112'!$I$6)),"x",""))</f>
        <v/>
      </c>
      <c r="T1197" s="51" t="str">
        <f>IF(ISERROR(FIND('112'!$M$9,G1197,1)),"",IF((AND(RIGHT(G1197,2)=RIGHT('112'!$M$9,2),B1197&lt;'112'!$N$8,$M1197='112'!$I$6)),"x",""))</f>
        <v/>
      </c>
      <c r="U1197" s="51" t="str">
        <f>IF(AND(L1197="154",'154'!$O$5&lt;=B1197,'154'!$P$5&gt;=B1197),"154",IF(AND(L1197="632",'632'!$L$5&lt;=B1197,'632'!$M$5&gt;=B1197),"632",IF(AND(L1197="642",'642'!$N$5&lt;=B1197,'642'!$O$5&gt;=B1197),"642",IF(AND(L1197="641",'641'!$N$5&lt;=B1197,'641'!$O$5&gt;=B1197),"641",""))))</f>
        <v/>
      </c>
      <c r="V1197" s="51" t="str">
        <f>IF(OR(TH!L1197=TH!$V$7,M1197=TH!$V$7),"x","")</f>
        <v/>
      </c>
      <c r="W1197" s="51" t="str">
        <f>IF(AND(B1197&gt;='IN-NX'!$P$3,B1197&lt;='IN-NX'!$Q$3,'IN-NX'!$D$7=D1197,OR(LEFT(L1197,2)="15",AND(LEFT(M1197,2)&lt;&gt;"15",LEFT(M1197,2)&lt;&gt;"33"))),"x","")</f>
        <v/>
      </c>
      <c r="X1197" s="51" t="str">
        <f>IF(AND(OR(LEFT(TH!L1197,2)="15",LEFT(TH!M1197,2)="15"),'152-CT'!$J$8=TH!F1197),"x","")</f>
        <v/>
      </c>
      <c r="Y1197" s="51" t="str">
        <f>IF(AND(OR(LEFT(TH!L1197,2)="15",LEFT(TH!M1197,2)="15"),TK!$E$7=TH!F1197),"x","")</f>
        <v/>
      </c>
      <c r="Z1197" s="51" t="str">
        <f>IF(AND(B1197&lt;=NKC!$N$8,B1197&gt;=NKC!$M$8),"x","")</f>
        <v/>
      </c>
      <c r="AA1197" s="860"/>
      <c r="AB1197" s="565"/>
      <c r="AE1197" s="565"/>
    </row>
    <row r="1198" spans="1:31" ht="15.75" customHeight="1">
      <c r="A1198" s="804" t="str">
        <f>IF(B1198&lt;&gt;"",IF(AND(B1198&gt;=_TM1,B1198&lt;=_TM2,OR(TH!L1198="1111",TH!M1198="1111")),TH!D1198,""),"")</f>
        <v/>
      </c>
      <c r="B1198" s="661">
        <f t="shared" si="79"/>
        <v>11</v>
      </c>
      <c r="C1198" s="830">
        <f t="shared" si="80"/>
        <v>42338</v>
      </c>
      <c r="D1198" s="830" t="s">
        <v>1436</v>
      </c>
      <c r="E1198" s="830">
        <v>42338</v>
      </c>
      <c r="F1198" s="836" t="s">
        <v>1469</v>
      </c>
      <c r="G1198" s="849"/>
      <c r="H1198" s="914" t="s">
        <v>437</v>
      </c>
      <c r="I1198" s="241"/>
      <c r="J1198" s="241"/>
      <c r="K1198" s="834">
        <v>5000000</v>
      </c>
      <c r="L1198" s="851" t="s">
        <v>83</v>
      </c>
      <c r="M1198" s="851" t="s">
        <v>47</v>
      </c>
      <c r="N1198" s="51" t="str">
        <f>IF(AND('331-CT'!$E$7=TH!H1198,OR(L1198="331",M1198="331")),"331",IF(AND(OR(L1198="131",M1198="131"),H1198='131-CT'!$E$7),"131",""))</f>
        <v/>
      </c>
      <c r="O1198" s="51" t="str">
        <f>IF(AND($B1198&gt;='111'!$N$11,$B1198&lt;='111'!$O$11,OR($L1198=$O$7,$M1198=$O$7)),"x","")</f>
        <v>x</v>
      </c>
      <c r="P1198" s="51" t="str">
        <f>IF(AND($L1198=$O$7,$B1198&lt;'111'!$N$11),"x","")</f>
        <v/>
      </c>
      <c r="Q1198" s="51" t="str">
        <f>IF(AND($M1198=$O$7,$B1198&lt;'111'!$N$11),"x","")</f>
        <v/>
      </c>
      <c r="R1198" s="51" t="str">
        <f>IF(ISERROR(FIND('112'!$M$9,G1198,1)),"",IF((AND(FIND('112'!$M$9,G1198,1)&gt;=1,$B1198&gt;='112'!$N$8,$B1198&lt;='112'!$O$8,OR($L1198='112'!$I$6,$M1198='112'!$I$6))),"x",""))</f>
        <v/>
      </c>
      <c r="S1198" s="51" t="str">
        <f>IF(ISERROR(FIND('112'!$M$9,G1198,1)),"",IF((AND(LEFT(G1198,2)=LEFT('112'!$M$9,2),B1198&lt;'112'!$N$8,$L1198='112'!$I$6)),"x",""))</f>
        <v/>
      </c>
      <c r="T1198" s="51" t="str">
        <f>IF(ISERROR(FIND('112'!$M$9,G1198,1)),"",IF((AND(RIGHT(G1198,2)=RIGHT('112'!$M$9,2),B1198&lt;'112'!$N$8,$M1198='112'!$I$6)),"x",""))</f>
        <v/>
      </c>
      <c r="U1198" s="51" t="str">
        <f>IF(AND(L1198="154",'154'!$O$5&lt;=B1198,'154'!$P$5&gt;=B1198),"154",IF(AND(L1198="632",'632'!$L$5&lt;=B1198,'632'!$M$5&gt;=B1198),"632",IF(AND(L1198="642",'642'!$N$5&lt;=B1198,'642'!$O$5&gt;=B1198),"642",IF(AND(L1198="641",'641'!$N$5&lt;=B1198,'641'!$O$5&gt;=B1198),"641",""))))</f>
        <v/>
      </c>
      <c r="V1198" s="51" t="str">
        <f>IF(OR(TH!L1198=TH!$V$7,M1198=TH!$V$7),"x","")</f>
        <v>x</v>
      </c>
      <c r="W1198" s="51" t="str">
        <f>IF(AND(B1198&gt;='IN-NX'!$P$3,B1198&lt;='IN-NX'!$Q$3,'IN-NX'!$D$7=D1198,OR(LEFT(L1198,2)="15",AND(LEFT(M1198,2)&lt;&gt;"15",LEFT(M1198,2)&lt;&gt;"33"))),"x","")</f>
        <v/>
      </c>
      <c r="X1198" s="51" t="str">
        <f>IF(AND(OR(LEFT(TH!L1198,2)="15",LEFT(TH!M1198,2)="15"),'152-CT'!$J$8=TH!F1198),"x","")</f>
        <v/>
      </c>
      <c r="Y1198" s="51" t="str">
        <f>IF(AND(OR(LEFT(TH!L1198,2)="15",LEFT(TH!M1198,2)="15"),TK!$E$7=TH!F1198),"x","")</f>
        <v/>
      </c>
      <c r="Z1198" s="51" t="str">
        <f>IF(AND(B1198&lt;=NKC!$N$8,B1198&gt;=NKC!$M$8),"x","")</f>
        <v/>
      </c>
      <c r="AA1198" s="915"/>
      <c r="AB1198" s="662"/>
      <c r="AC1198" s="916"/>
      <c r="AD1198" s="916"/>
      <c r="AE1198" s="565"/>
    </row>
    <row r="1199" spans="1:31" ht="15.75" customHeight="1">
      <c r="A1199" s="804" t="str">
        <f>IF(B1199&lt;&gt;"",IF(AND(B1199&gt;=_TM1,B1199&lt;=_TM2,OR(TH!L1199="1111",TH!M1199="1111")),TH!D1199,""),"")</f>
        <v/>
      </c>
      <c r="B1199" s="36">
        <f t="shared" si="79"/>
        <v>12</v>
      </c>
      <c r="C1199" s="189">
        <f t="shared" si="80"/>
        <v>42339</v>
      </c>
      <c r="D1199" s="189" t="s">
        <v>1440</v>
      </c>
      <c r="E1199" s="182">
        <v>42339</v>
      </c>
      <c r="F1199" s="187" t="s">
        <v>433</v>
      </c>
      <c r="G1199" s="811" t="s">
        <v>415</v>
      </c>
      <c r="H1199" s="7" t="s">
        <v>437</v>
      </c>
      <c r="I1199" s="243"/>
      <c r="J1199" s="243"/>
      <c r="K1199" s="573">
        <v>135360000</v>
      </c>
      <c r="L1199" s="574" t="s">
        <v>24</v>
      </c>
      <c r="M1199" s="192" t="s">
        <v>47</v>
      </c>
      <c r="N1199" s="51" t="str">
        <f>IF(AND('331-CT'!$E$7=TH!H1199,OR(L1199="331",M1199="331")),"331",IF(AND(OR(L1199="131",M1199="131"),H1199='131-CT'!$E$7),"131",""))</f>
        <v/>
      </c>
      <c r="O1199" s="51" t="str">
        <f>IF(AND($B1199&gt;='111'!$N$11,$B1199&lt;='111'!$O$11,OR($L1199=$O$7,$M1199=$O$7)),"x","")</f>
        <v>x</v>
      </c>
      <c r="P1199" s="51" t="str">
        <f>IF(AND($L1199=$O$7,$B1199&lt;'111'!$N$11),"x","")</f>
        <v/>
      </c>
      <c r="Q1199" s="51" t="str">
        <f>IF(AND($M1199=$O$7,$B1199&lt;'111'!$N$11),"x","")</f>
        <v/>
      </c>
      <c r="R1199" s="51" t="str">
        <f>IF(ISERROR(FIND('112'!$M$9,G1199,1)),"",IF((AND(FIND('112'!$M$9,G1199,1)&gt;=1,$B1199&gt;='112'!$N$8,$B1199&lt;='112'!$O$8,OR($L1199='112'!$I$6,$M1199='112'!$I$6))),"x",""))</f>
        <v/>
      </c>
      <c r="S1199" s="51" t="str">
        <f>IF(ISERROR(FIND('112'!$M$9,G1199,1)),"",IF((AND(LEFT(G1199,2)=LEFT('112'!$M$9,2),B1199&lt;'112'!$N$8,$L1199='112'!$I$6)),"x",""))</f>
        <v/>
      </c>
      <c r="T1199" s="51" t="str">
        <f>IF(ISERROR(FIND('112'!$M$9,G1199,1)),"",IF((AND(RIGHT(G1199,2)=RIGHT('112'!$M$9,2),B1199&lt;'112'!$N$8,$M1199='112'!$I$6)),"x",""))</f>
        <v/>
      </c>
      <c r="U1199" s="51" t="str">
        <f>IF(AND(L1199="154",'154'!$O$5&lt;=B1199,'154'!$P$5&gt;=B1199),"154",IF(AND(L1199="632",'632'!$L$5&lt;=B1199,'632'!$M$5&gt;=B1199),"632",IF(AND(L1199="642",'642'!$N$5&lt;=B1199,'642'!$O$5&gt;=B1199),"642",IF(AND(L1199="641",'641'!$N$5&lt;=B1199,'641'!$O$5&gt;=B1199),"641",""))))</f>
        <v/>
      </c>
      <c r="V1199" s="51" t="str">
        <f>IF(OR(TH!L1199=TH!$V$7,M1199=TH!$V$7),"x","")</f>
        <v/>
      </c>
      <c r="W1199" s="51" t="str">
        <f>IF(AND(B1199&gt;='IN-NX'!$P$3,B1199&lt;='IN-NX'!$Q$3,'IN-NX'!$D$7=D1199,OR(LEFT(L1199,2)="15",AND(LEFT(M1199,2)&lt;&gt;"15",LEFT(M1199,2)&lt;&gt;"33"))),"x","")</f>
        <v/>
      </c>
      <c r="X1199" s="51" t="str">
        <f>IF(AND(OR(LEFT(TH!L1199,2)="15",LEFT(TH!M1199,2)="15"),'152-CT'!$J$8=TH!F1199),"x","")</f>
        <v/>
      </c>
      <c r="Y1199" s="51" t="str">
        <f>IF(AND(OR(LEFT(TH!L1199,2)="15",LEFT(TH!M1199,2)="15"),TK!$E$7=TH!F1199),"x","")</f>
        <v/>
      </c>
      <c r="Z1199" s="51" t="str">
        <f>IF(AND(B1199&lt;=NKC!$N$8,B1199&gt;=NKC!$M$8),"x","")</f>
        <v/>
      </c>
      <c r="AA1199" s="803"/>
      <c r="AB1199" s="565"/>
    </row>
    <row r="1200" spans="1:31" ht="15.75" customHeight="1">
      <c r="A1200" s="804" t="str">
        <f>IF(B1200&lt;&gt;"",IF(AND(B1200&gt;=_TM1,B1200&lt;=_TM2,OR(TH!L1200="1111",TH!M1200="1111")),TH!D1200,""),"")</f>
        <v/>
      </c>
      <c r="B1200" s="36">
        <f t="shared" si="79"/>
        <v>12</v>
      </c>
      <c r="C1200" s="189">
        <f t="shared" si="80"/>
        <v>42339</v>
      </c>
      <c r="D1200" s="189" t="s">
        <v>422</v>
      </c>
      <c r="E1200" s="182">
        <v>42339</v>
      </c>
      <c r="F1200" s="187" t="s">
        <v>438</v>
      </c>
      <c r="G1200" s="811" t="s">
        <v>415</v>
      </c>
      <c r="H1200" s="191" t="s">
        <v>732</v>
      </c>
      <c r="I1200" s="243"/>
      <c r="J1200" s="243"/>
      <c r="K1200" s="573">
        <v>55005632</v>
      </c>
      <c r="L1200" s="574" t="s">
        <v>8</v>
      </c>
      <c r="M1200" s="574" t="s">
        <v>24</v>
      </c>
      <c r="N1200" s="51" t="str">
        <f>IF(AND('331-CT'!$E$7=TH!H1200,OR(L1200="331",M1200="331")),"331",IF(AND(OR(L1200="131",M1200="131"),H1200='131-CT'!$E$7),"131",""))</f>
        <v/>
      </c>
      <c r="O1200" s="51" t="str">
        <f>IF(AND($B1200&gt;='111'!$N$11,$B1200&lt;='111'!$O$11,OR($L1200=$O$7,$M1200=$O$7)),"x","")</f>
        <v/>
      </c>
      <c r="P1200" s="51" t="str">
        <f>IF(AND($L1200=$O$7,$B1200&lt;'111'!$N$11),"x","")</f>
        <v/>
      </c>
      <c r="Q1200" s="51" t="str">
        <f>IF(AND($M1200=$O$7,$B1200&lt;'111'!$N$11),"x","")</f>
        <v/>
      </c>
      <c r="R1200" s="51" t="str">
        <f>IF(ISERROR(FIND('112'!$M$9,G1200,1)),"",IF((AND(FIND('112'!$M$9,G1200,1)&gt;=1,$B1200&gt;='112'!$N$8,$B1200&lt;='112'!$O$8,OR($L1200='112'!$I$6,$M1200='112'!$I$6))),"x",""))</f>
        <v/>
      </c>
      <c r="S1200" s="51" t="str">
        <f>IF(ISERROR(FIND('112'!$M$9,G1200,1)),"",IF((AND(LEFT(G1200,2)=LEFT('112'!$M$9,2),B1200&lt;'112'!$N$8,$L1200='112'!$I$6)),"x",""))</f>
        <v/>
      </c>
      <c r="T1200" s="51" t="str">
        <f>IF(ISERROR(FIND('112'!$M$9,G1200,1)),"",IF((AND(RIGHT(G1200,2)=RIGHT('112'!$M$9,2),B1200&lt;'112'!$N$8,$M1200='112'!$I$6)),"x",""))</f>
        <v/>
      </c>
      <c r="U1200" s="51" t="str">
        <f>IF(AND(L1200="154",'154'!$O$5&lt;=B1200,'154'!$P$5&gt;=B1200),"154",IF(AND(L1200="632",'632'!$L$5&lt;=B1200,'632'!$M$5&gt;=B1200),"632",IF(AND(L1200="642",'642'!$N$5&lt;=B1200,'642'!$O$5&gt;=B1200),"642",IF(AND(L1200="641",'641'!$N$5&lt;=B1200,'641'!$O$5&gt;=B1200),"641",""))))</f>
        <v/>
      </c>
      <c r="V1200" s="51" t="str">
        <f>IF(OR(TH!L1200=TH!$V$7,M1200=TH!$V$7),"x","")</f>
        <v/>
      </c>
      <c r="W1200" s="51" t="str">
        <f>IF(AND(B1200&gt;='IN-NX'!$P$3,B1200&lt;='IN-NX'!$Q$3,'IN-NX'!$D$7=D1200,OR(LEFT(L1200,2)="15",AND(LEFT(M1200,2)&lt;&gt;"15",LEFT(M1200,2)&lt;&gt;"33"))),"x","")</f>
        <v/>
      </c>
      <c r="X1200" s="51" t="str">
        <f>IF(AND(OR(LEFT(TH!L1200,2)="15",LEFT(TH!M1200,2)="15"),'152-CT'!$J$8=TH!F1200),"x","")</f>
        <v/>
      </c>
      <c r="Y1200" s="51" t="str">
        <f>IF(AND(OR(LEFT(TH!L1200,2)="15",LEFT(TH!M1200,2)="15"),TK!$E$7=TH!F1200),"x","")</f>
        <v/>
      </c>
      <c r="Z1200" s="51" t="str">
        <f>IF(AND(B1200&lt;=NKC!$N$8,B1200&gt;=NKC!$M$8),"x","")</f>
        <v/>
      </c>
      <c r="AA1200" s="803"/>
      <c r="AB1200" s="565"/>
    </row>
    <row r="1201" spans="1:31" ht="15.75" customHeight="1">
      <c r="A1201" s="804" t="str">
        <f>IF(B1201&lt;&gt;"",IF(AND(B1201&gt;=_TM1,B1201&lt;=_TM2,OR(TH!L1201="1111",TH!M1201="1111")),TH!D1201,""),"")</f>
        <v/>
      </c>
      <c r="B1201" s="36">
        <f t="shared" si="79"/>
        <v>12</v>
      </c>
      <c r="C1201" s="189">
        <f t="shared" si="80"/>
        <v>42339</v>
      </c>
      <c r="D1201" s="189" t="s">
        <v>422</v>
      </c>
      <c r="E1201" s="182">
        <v>42339</v>
      </c>
      <c r="F1201" s="187" t="s">
        <v>438</v>
      </c>
      <c r="G1201" s="811" t="s">
        <v>415</v>
      </c>
      <c r="H1201" s="7" t="s">
        <v>494</v>
      </c>
      <c r="I1201" s="243"/>
      <c r="J1201" s="243"/>
      <c r="K1201" s="573">
        <v>80354909</v>
      </c>
      <c r="L1201" s="574" t="s">
        <v>8</v>
      </c>
      <c r="M1201" s="574" t="s">
        <v>24</v>
      </c>
      <c r="N1201" s="51" t="str">
        <f>IF(AND('331-CT'!$E$7=TH!H1201,OR(L1201="331",M1201="331")),"331",IF(AND(OR(L1201="131",M1201="131"),H1201='131-CT'!$E$7),"131",""))</f>
        <v/>
      </c>
      <c r="O1201" s="51" t="str">
        <f>IF(AND($B1201&gt;='111'!$N$11,$B1201&lt;='111'!$O$11,OR($L1201=$O$7,$M1201=$O$7)),"x","")</f>
        <v/>
      </c>
      <c r="P1201" s="51" t="str">
        <f>IF(AND($L1201=$O$7,$B1201&lt;'111'!$N$11),"x","")</f>
        <v/>
      </c>
      <c r="Q1201" s="51" t="str">
        <f>IF(AND($M1201=$O$7,$B1201&lt;'111'!$N$11),"x","")</f>
        <v/>
      </c>
      <c r="R1201" s="51" t="str">
        <f>IF(ISERROR(FIND('112'!$M$9,G1201,1)),"",IF((AND(FIND('112'!$M$9,G1201,1)&gt;=1,$B1201&gt;='112'!$N$8,$B1201&lt;='112'!$O$8,OR($L1201='112'!$I$6,$M1201='112'!$I$6))),"x",""))</f>
        <v/>
      </c>
      <c r="S1201" s="51" t="str">
        <f>IF(ISERROR(FIND('112'!$M$9,G1201,1)),"",IF((AND(LEFT(G1201,2)=LEFT('112'!$M$9,2),B1201&lt;'112'!$N$8,$L1201='112'!$I$6)),"x",""))</f>
        <v/>
      </c>
      <c r="T1201" s="51" t="str">
        <f>IF(ISERROR(FIND('112'!$M$9,G1201,1)),"",IF((AND(RIGHT(G1201,2)=RIGHT('112'!$M$9,2),B1201&lt;'112'!$N$8,$M1201='112'!$I$6)),"x",""))</f>
        <v/>
      </c>
      <c r="U1201" s="51" t="str">
        <f>IF(AND(L1201="154",'154'!$O$5&lt;=B1201,'154'!$P$5&gt;=B1201),"154",IF(AND(L1201="632",'632'!$L$5&lt;=B1201,'632'!$M$5&gt;=B1201),"632",IF(AND(L1201="642",'642'!$N$5&lt;=B1201,'642'!$O$5&gt;=B1201),"642",IF(AND(L1201="641",'641'!$N$5&lt;=B1201,'641'!$O$5&gt;=B1201),"641",""))))</f>
        <v/>
      </c>
      <c r="V1201" s="51" t="str">
        <f>IF(OR(TH!L1201=TH!$V$7,M1201=TH!$V$7),"x","")</f>
        <v/>
      </c>
      <c r="W1201" s="51" t="str">
        <f>IF(AND(B1201&gt;='IN-NX'!$P$3,B1201&lt;='IN-NX'!$Q$3,'IN-NX'!$D$7=D1201,OR(LEFT(L1201,2)="15",AND(LEFT(M1201,2)&lt;&gt;"15",LEFT(M1201,2)&lt;&gt;"33"))),"x","")</f>
        <v/>
      </c>
      <c r="X1201" s="51" t="str">
        <f>IF(AND(OR(LEFT(TH!L1201,2)="15",LEFT(TH!M1201,2)="15"),'152-CT'!$J$8=TH!F1201),"x","")</f>
        <v/>
      </c>
      <c r="Y1201" s="51" t="str">
        <f>IF(AND(OR(LEFT(TH!L1201,2)="15",LEFT(TH!M1201,2)="15"),TK!$E$7=TH!F1201),"x","")</f>
        <v/>
      </c>
      <c r="Z1201" s="51" t="str">
        <f>IF(AND(B1201&lt;=NKC!$N$8,B1201&gt;=NKC!$M$8),"x","")</f>
        <v/>
      </c>
      <c r="AA1201" s="803"/>
      <c r="AB1201" s="565"/>
    </row>
    <row r="1202" spans="1:31" ht="15.75" customHeight="1">
      <c r="A1202" s="804" t="str">
        <f>IF(B1202&lt;&gt;"",IF(AND(B1202&gt;=_TM1,B1202&lt;=_TM2,OR(TH!L1202="1111",TH!M1202="1111")),TH!D1202,""),"")</f>
        <v/>
      </c>
      <c r="B1202" s="36">
        <f t="shared" si="79"/>
        <v>12</v>
      </c>
      <c r="C1202" s="189">
        <f t="shared" si="80"/>
        <v>42339</v>
      </c>
      <c r="D1202" s="189" t="s">
        <v>422</v>
      </c>
      <c r="E1202" s="182">
        <v>42339</v>
      </c>
      <c r="F1202" s="187" t="s">
        <v>443</v>
      </c>
      <c r="G1202" s="811" t="s">
        <v>415</v>
      </c>
      <c r="H1202" s="191"/>
      <c r="I1202" s="243"/>
      <c r="J1202" s="243"/>
      <c r="K1202" s="573">
        <v>92517</v>
      </c>
      <c r="L1202" s="192" t="s">
        <v>83</v>
      </c>
      <c r="M1202" s="574" t="s">
        <v>24</v>
      </c>
      <c r="N1202" s="51" t="str">
        <f>IF(AND('331-CT'!$E$7=TH!H1202,OR(L1202="331",M1202="331")),"331",IF(AND(OR(L1202="131",M1202="131"),H1202='131-CT'!$E$7),"131",""))</f>
        <v/>
      </c>
      <c r="O1202" s="51" t="str">
        <f>IF(AND($B1202&gt;='111'!$N$11,$B1202&lt;='111'!$O$11,OR($L1202=$O$7,$M1202=$O$7)),"x","")</f>
        <v/>
      </c>
      <c r="P1202" s="51" t="str">
        <f>IF(AND($L1202=$O$7,$B1202&lt;'111'!$N$11),"x","")</f>
        <v/>
      </c>
      <c r="Q1202" s="51" t="str">
        <f>IF(AND($M1202=$O$7,$B1202&lt;'111'!$N$11),"x","")</f>
        <v/>
      </c>
      <c r="R1202" s="51" t="str">
        <f>IF(ISERROR(FIND('112'!$M$9,G1202,1)),"",IF((AND(FIND('112'!$M$9,G1202,1)&gt;=1,$B1202&gt;='112'!$N$8,$B1202&lt;='112'!$O$8,OR($L1202='112'!$I$6,$M1202='112'!$I$6))),"x",""))</f>
        <v/>
      </c>
      <c r="S1202" s="51" t="str">
        <f>IF(ISERROR(FIND('112'!$M$9,G1202,1)),"",IF((AND(LEFT(G1202,2)=LEFT('112'!$M$9,2),B1202&lt;'112'!$N$8,$L1202='112'!$I$6)),"x",""))</f>
        <v/>
      </c>
      <c r="T1202" s="51" t="str">
        <f>IF(ISERROR(FIND('112'!$M$9,G1202,1)),"",IF((AND(RIGHT(G1202,2)=RIGHT('112'!$M$9,2),B1202&lt;'112'!$N$8,$M1202='112'!$I$6)),"x",""))</f>
        <v/>
      </c>
      <c r="U1202" s="51" t="str">
        <f>IF(AND(L1202="154",'154'!$O$5&lt;=B1202,'154'!$P$5&gt;=B1202),"154",IF(AND(L1202="632",'632'!$L$5&lt;=B1202,'632'!$M$5&gt;=B1202),"632",IF(AND(L1202="642",'642'!$N$5&lt;=B1202,'642'!$O$5&gt;=B1202),"642",IF(AND(L1202="641",'641'!$N$5&lt;=B1202,'641'!$O$5&gt;=B1202),"641",""))))</f>
        <v/>
      </c>
      <c r="V1202" s="51" t="str">
        <f>IF(OR(TH!L1202=TH!$V$7,M1202=TH!$V$7),"x","")</f>
        <v>x</v>
      </c>
      <c r="W1202" s="51" t="str">
        <f>IF(AND(B1202&gt;='IN-NX'!$P$3,B1202&lt;='IN-NX'!$Q$3,'IN-NX'!$D$7=D1202,OR(LEFT(L1202,2)="15",AND(LEFT(M1202,2)&lt;&gt;"15",LEFT(M1202,2)&lt;&gt;"33"))),"x","")</f>
        <v/>
      </c>
      <c r="X1202" s="51" t="str">
        <f>IF(AND(OR(LEFT(TH!L1202,2)="15",LEFT(TH!M1202,2)="15"),'152-CT'!$J$8=TH!F1202),"x","")</f>
        <v/>
      </c>
      <c r="Y1202" s="51" t="str">
        <f>IF(AND(OR(LEFT(TH!L1202,2)="15",LEFT(TH!M1202,2)="15"),TK!$E$7=TH!F1202),"x","")</f>
        <v/>
      </c>
      <c r="Z1202" s="51" t="str">
        <f>IF(AND(B1202&lt;=NKC!$N$8,B1202&gt;=NKC!$M$8),"x","")</f>
        <v/>
      </c>
      <c r="AA1202" s="803"/>
      <c r="AB1202" s="565"/>
    </row>
    <row r="1203" spans="1:31" ht="15.75" customHeight="1">
      <c r="A1203" s="804" t="str">
        <f>IF(B1203&lt;&gt;"",IF(AND(B1203&gt;=_TM1,B1203&lt;=_TM2,OR(TH!L1203="1111",TH!M1203="1111")),TH!D1203,""),"")</f>
        <v/>
      </c>
      <c r="B1203" s="36">
        <f t="shared" si="79"/>
        <v>12</v>
      </c>
      <c r="C1203" s="189">
        <f t="shared" si="80"/>
        <v>42339</v>
      </c>
      <c r="D1203" s="189" t="s">
        <v>1395</v>
      </c>
      <c r="E1203" s="182">
        <v>42339</v>
      </c>
      <c r="F1203" s="187" t="s">
        <v>427</v>
      </c>
      <c r="G1203" s="811" t="s">
        <v>415</v>
      </c>
      <c r="H1203" s="7" t="s">
        <v>437</v>
      </c>
      <c r="I1203" s="243"/>
      <c r="J1203" s="243"/>
      <c r="K1203" s="573">
        <v>13800000</v>
      </c>
      <c r="L1203" s="574" t="s">
        <v>47</v>
      </c>
      <c r="M1203" s="574" t="s">
        <v>24</v>
      </c>
      <c r="N1203" s="51" t="str">
        <f>IF(AND('331-CT'!$E$7=TH!H1203,OR(L1203="331",M1203="331")),"331",IF(AND(OR(L1203="131",M1203="131"),H1203='131-CT'!$E$7),"131",""))</f>
        <v/>
      </c>
      <c r="O1203" s="51" t="str">
        <f>IF(AND($B1203&gt;='111'!$N$11,$B1203&lt;='111'!$O$11,OR($L1203=$O$7,$M1203=$O$7)),"x","")</f>
        <v>x</v>
      </c>
      <c r="P1203" s="51" t="str">
        <f>IF(AND($L1203=$O$7,$B1203&lt;'111'!$N$11),"x","")</f>
        <v/>
      </c>
      <c r="Q1203" s="51" t="str">
        <f>IF(AND($M1203=$O$7,$B1203&lt;'111'!$N$11),"x","")</f>
        <v/>
      </c>
      <c r="R1203" s="51" t="str">
        <f>IF(ISERROR(FIND('112'!$M$9,G1203,1)),"",IF((AND(FIND('112'!$M$9,G1203,1)&gt;=1,$B1203&gt;='112'!$N$8,$B1203&lt;='112'!$O$8,OR($L1203='112'!$I$6,$M1203='112'!$I$6))),"x",""))</f>
        <v/>
      </c>
      <c r="S1203" s="51" t="str">
        <f>IF(ISERROR(FIND('112'!$M$9,G1203,1)),"",IF((AND(LEFT(G1203,2)=LEFT('112'!$M$9,2),B1203&lt;'112'!$N$8,$L1203='112'!$I$6)),"x",""))</f>
        <v/>
      </c>
      <c r="T1203" s="51" t="str">
        <f>IF(ISERROR(FIND('112'!$M$9,G1203,1)),"",IF((AND(RIGHT(G1203,2)=RIGHT('112'!$M$9,2),B1203&lt;'112'!$N$8,$M1203='112'!$I$6)),"x",""))</f>
        <v/>
      </c>
      <c r="U1203" s="51" t="str">
        <f>IF(AND(L1203="154",'154'!$O$5&lt;=B1203,'154'!$P$5&gt;=B1203),"154",IF(AND(L1203="632",'632'!$L$5&lt;=B1203,'632'!$M$5&gt;=B1203),"632",IF(AND(L1203="642",'642'!$N$5&lt;=B1203,'642'!$O$5&gt;=B1203),"642",IF(AND(L1203="641",'641'!$N$5&lt;=B1203,'641'!$O$5&gt;=B1203),"641",""))))</f>
        <v/>
      </c>
      <c r="V1203" s="51" t="str">
        <f>IF(OR(TH!L1203=TH!$V$7,M1203=TH!$V$7),"x","")</f>
        <v/>
      </c>
      <c r="W1203" s="51" t="str">
        <f>IF(AND(B1203&gt;='IN-NX'!$P$3,B1203&lt;='IN-NX'!$Q$3,'IN-NX'!$D$7=D1203,OR(LEFT(L1203,2)="15",AND(LEFT(M1203,2)&lt;&gt;"15",LEFT(M1203,2)&lt;&gt;"33"))),"x","")</f>
        <v/>
      </c>
      <c r="X1203" s="51" t="str">
        <f>IF(AND(OR(LEFT(TH!L1203,2)="15",LEFT(TH!M1203,2)="15"),'152-CT'!$J$8=TH!F1203),"x","")</f>
        <v/>
      </c>
      <c r="Y1203" s="51" t="str">
        <f>IF(AND(OR(LEFT(TH!L1203,2)="15",LEFT(TH!M1203,2)="15"),TK!$E$7=TH!F1203),"x","")</f>
        <v/>
      </c>
      <c r="Z1203" s="51" t="str">
        <f>IF(AND(B1203&lt;=NKC!$N$8,B1203&gt;=NKC!$M$8),"x","")</f>
        <v/>
      </c>
      <c r="AA1203" s="803"/>
      <c r="AB1203" s="565"/>
    </row>
    <row r="1204" spans="1:31" ht="15.75" customHeight="1">
      <c r="A1204" s="804" t="str">
        <f>IF(B1204&lt;&gt;"",IF(AND(B1204&gt;=_TM1,B1204&lt;=_TM2,OR(TH!L1204="1111",TH!M1204="1111")),TH!D1204,""),"")</f>
        <v/>
      </c>
      <c r="B1204" s="36">
        <f t="shared" si="79"/>
        <v>12</v>
      </c>
      <c r="C1204" s="189">
        <f t="shared" si="80"/>
        <v>42341</v>
      </c>
      <c r="D1204" s="189" t="s">
        <v>1441</v>
      </c>
      <c r="E1204" s="189">
        <v>42341</v>
      </c>
      <c r="F1204" s="926" t="s">
        <v>526</v>
      </c>
      <c r="G1204" s="813" t="s">
        <v>902</v>
      </c>
      <c r="H1204" s="191" t="s">
        <v>525</v>
      </c>
      <c r="I1204" s="243"/>
      <c r="J1204" s="243"/>
      <c r="K1204" s="573">
        <f>109091</f>
        <v>109091</v>
      </c>
      <c r="L1204" s="574" t="s">
        <v>83</v>
      </c>
      <c r="M1204" s="574" t="s">
        <v>47</v>
      </c>
      <c r="N1204" s="51" t="str">
        <f>IF(AND('331-CT'!$E$7=TH!H1204,OR(L1204="331",M1204="331")),"331",IF(AND(OR(L1204="131",M1204="131"),H1204='131-CT'!$E$7),"131",""))</f>
        <v/>
      </c>
      <c r="O1204" s="51" t="str">
        <f>IF(AND($B1204&gt;='111'!$N$11,$B1204&lt;='111'!$O$11,OR($L1204=$O$7,$M1204=$O$7)),"x","")</f>
        <v>x</v>
      </c>
      <c r="P1204" s="51" t="str">
        <f>IF(AND($L1204=$O$7,$B1204&lt;'111'!$N$11),"x","")</f>
        <v/>
      </c>
      <c r="Q1204" s="51" t="str">
        <f>IF(AND($M1204=$O$7,$B1204&lt;'111'!$N$11),"x","")</f>
        <v/>
      </c>
      <c r="R1204" s="51" t="str">
        <f>IF(ISERROR(FIND('112'!$M$9,G1204,1)),"",IF((AND(FIND('112'!$M$9,G1204,1)&gt;=1,$B1204&gt;='112'!$N$8,$B1204&lt;='112'!$O$8,OR($L1204='112'!$I$6,$M1204='112'!$I$6))),"x",""))</f>
        <v/>
      </c>
      <c r="S1204" s="51" t="str">
        <f>IF(ISERROR(FIND('112'!$M$9,G1204,1)),"",IF((AND(LEFT(G1204,2)=LEFT('112'!$M$9,2),B1204&lt;'112'!$N$8,$L1204='112'!$I$6)),"x",""))</f>
        <v/>
      </c>
      <c r="T1204" s="51" t="str">
        <f>IF(ISERROR(FIND('112'!$M$9,G1204,1)),"",IF((AND(RIGHT(G1204,2)=RIGHT('112'!$M$9,2),B1204&lt;'112'!$N$8,$M1204='112'!$I$6)),"x",""))</f>
        <v/>
      </c>
      <c r="U1204" s="51" t="str">
        <f>IF(AND(L1204="154",'154'!$O$5&lt;=B1204,'154'!$P$5&gt;=B1204),"154",IF(AND(L1204="632",'632'!$L$5&lt;=B1204,'632'!$M$5&gt;=B1204),"632",IF(AND(L1204="642",'642'!$N$5&lt;=B1204,'642'!$O$5&gt;=B1204),"642",IF(AND(L1204="641",'641'!$N$5&lt;=B1204,'641'!$O$5&gt;=B1204),"641",""))))</f>
        <v/>
      </c>
      <c r="V1204" s="51" t="str">
        <f>IF(OR(TH!L1204=TH!$V$7,M1204=TH!$V$7),"x","")</f>
        <v>x</v>
      </c>
      <c r="W1204" s="51" t="str">
        <f>IF(AND(B1204&gt;='IN-NX'!$P$3,B1204&lt;='IN-NX'!$Q$3,'IN-NX'!$D$7=D1204,OR(LEFT(L1204,2)="15",AND(LEFT(M1204,2)&lt;&gt;"15",LEFT(M1204,2)&lt;&gt;"33"))),"x","")</f>
        <v/>
      </c>
      <c r="X1204" s="51" t="str">
        <f>IF(AND(OR(LEFT(TH!L1204,2)="15",LEFT(TH!M1204,2)="15"),'152-CT'!$J$8=TH!F1204),"x","")</f>
        <v/>
      </c>
      <c r="Y1204" s="51" t="str">
        <f>IF(AND(OR(LEFT(TH!L1204,2)="15",LEFT(TH!M1204,2)="15"),TK!$E$7=TH!F1204),"x","")</f>
        <v/>
      </c>
      <c r="Z1204" s="51" t="str">
        <f>IF(AND(B1204&lt;=NKC!$N$8,B1204&gt;=NKC!$M$8),"x","")</f>
        <v/>
      </c>
      <c r="AA1204" s="803"/>
      <c r="AB1204" s="565"/>
      <c r="AE1204" s="565"/>
    </row>
    <row r="1205" spans="1:31" ht="15.75" customHeight="1">
      <c r="A1205" s="804" t="str">
        <f>IF(B1205&lt;&gt;"",IF(AND(B1205&gt;=_TM1,B1205&lt;=_TM2,OR(TH!L1205="1111",TH!M1205="1111")),TH!D1205,""),"")</f>
        <v/>
      </c>
      <c r="B1205" s="36">
        <f t="shared" si="79"/>
        <v>12</v>
      </c>
      <c r="C1205" s="189">
        <f t="shared" si="80"/>
        <v>42341</v>
      </c>
      <c r="D1205" s="189" t="s">
        <v>1441</v>
      </c>
      <c r="E1205" s="189">
        <v>42341</v>
      </c>
      <c r="F1205" s="922" t="s">
        <v>527</v>
      </c>
      <c r="G1205" s="813" t="s">
        <v>902</v>
      </c>
      <c r="H1205" s="191" t="s">
        <v>525</v>
      </c>
      <c r="I1205" s="243"/>
      <c r="J1205" s="243"/>
      <c r="K1205" s="573">
        <f>10909</f>
        <v>10909</v>
      </c>
      <c r="L1205" s="574" t="s">
        <v>9</v>
      </c>
      <c r="M1205" s="574" t="s">
        <v>47</v>
      </c>
      <c r="N1205" s="51" t="str">
        <f>IF(AND('331-CT'!$E$7=TH!H1205,OR(L1205="331",M1205="331")),"331",IF(AND(OR(L1205="131",M1205="131"),H1205='131-CT'!$E$7),"131",""))</f>
        <v/>
      </c>
      <c r="O1205" s="51" t="str">
        <f>IF(AND($B1205&gt;='111'!$N$11,$B1205&lt;='111'!$O$11,OR($L1205=$O$7,$M1205=$O$7)),"x","")</f>
        <v>x</v>
      </c>
      <c r="P1205" s="51" t="str">
        <f>IF(AND($L1205=$O$7,$B1205&lt;'111'!$N$11),"x","")</f>
        <v/>
      </c>
      <c r="Q1205" s="51" t="str">
        <f>IF(AND($M1205=$O$7,$B1205&lt;'111'!$N$11),"x","")</f>
        <v/>
      </c>
      <c r="R1205" s="51" t="str">
        <f>IF(ISERROR(FIND('112'!$M$9,G1205,1)),"",IF((AND(FIND('112'!$M$9,G1205,1)&gt;=1,$B1205&gt;='112'!$N$8,$B1205&lt;='112'!$O$8,OR($L1205='112'!$I$6,$M1205='112'!$I$6))),"x",""))</f>
        <v/>
      </c>
      <c r="S1205" s="51" t="str">
        <f>IF(ISERROR(FIND('112'!$M$9,G1205,1)),"",IF((AND(LEFT(G1205,2)=LEFT('112'!$M$9,2),B1205&lt;'112'!$N$8,$L1205='112'!$I$6)),"x",""))</f>
        <v/>
      </c>
      <c r="T1205" s="51" t="str">
        <f>IF(ISERROR(FIND('112'!$M$9,G1205,1)),"",IF((AND(RIGHT(G1205,2)=RIGHT('112'!$M$9,2),B1205&lt;'112'!$N$8,$M1205='112'!$I$6)),"x",""))</f>
        <v/>
      </c>
      <c r="U1205" s="51" t="str">
        <f>IF(AND(L1205="154",'154'!$O$5&lt;=B1205,'154'!$P$5&gt;=B1205),"154",IF(AND(L1205="632",'632'!$L$5&lt;=B1205,'632'!$M$5&gt;=B1205),"632",IF(AND(L1205="642",'642'!$N$5&lt;=B1205,'642'!$O$5&gt;=B1205),"642",IF(AND(L1205="641",'641'!$N$5&lt;=B1205,'641'!$O$5&gt;=B1205),"641",""))))</f>
        <v/>
      </c>
      <c r="V1205" s="51" t="str">
        <f>IF(OR(TH!L1205=TH!$V$7,M1205=TH!$V$7),"x","")</f>
        <v/>
      </c>
      <c r="W1205" s="51" t="str">
        <f>IF(AND(B1205&gt;='IN-NX'!$P$3,B1205&lt;='IN-NX'!$Q$3,'IN-NX'!$D$7=D1205,OR(LEFT(L1205,2)="15",AND(LEFT(M1205,2)&lt;&gt;"15",LEFT(M1205,2)&lt;&gt;"33"))),"x","")</f>
        <v/>
      </c>
      <c r="X1205" s="51" t="str">
        <f>IF(AND(OR(LEFT(TH!L1205,2)="15",LEFT(TH!M1205,2)="15"),'152-CT'!$J$8=TH!F1205),"x","")</f>
        <v/>
      </c>
      <c r="Y1205" s="51" t="str">
        <f>IF(AND(OR(LEFT(TH!L1205,2)="15",LEFT(TH!M1205,2)="15"),TK!$E$7=TH!F1205),"x","")</f>
        <v/>
      </c>
      <c r="Z1205" s="51" t="str">
        <f>IF(AND(B1205&lt;=NKC!$N$8,B1205&gt;=NKC!$M$8),"x","")</f>
        <v/>
      </c>
      <c r="AA1205" s="803">
        <v>4</v>
      </c>
      <c r="AB1205" s="565"/>
      <c r="AE1205" s="565"/>
    </row>
    <row r="1206" spans="1:31" ht="15.75" customHeight="1">
      <c r="A1206" s="804" t="str">
        <f>IF(B1206&lt;&gt;"",IF(AND(B1206&gt;=_TM1,B1206&lt;=_TM2,OR(TH!L1206="1111",TH!M1206="1111")),TH!D1206,""),"")</f>
        <v/>
      </c>
      <c r="B1206" s="36">
        <f t="shared" si="79"/>
        <v>12</v>
      </c>
      <c r="C1206" s="189">
        <f t="shared" si="80"/>
        <v>42341</v>
      </c>
      <c r="D1206" s="189" t="s">
        <v>1319</v>
      </c>
      <c r="E1206" s="189">
        <v>42341</v>
      </c>
      <c r="F1206" s="190" t="s">
        <v>1258</v>
      </c>
      <c r="G1206" s="811" t="s">
        <v>1102</v>
      </c>
      <c r="H1206" s="191" t="s">
        <v>450</v>
      </c>
      <c r="I1206" s="243">
        <v>166</v>
      </c>
      <c r="J1206" s="243">
        <v>47780</v>
      </c>
      <c r="K1206" s="573">
        <f>ROUND(I1206*J1206,0)</f>
        <v>7931480</v>
      </c>
      <c r="L1206" s="574" t="s">
        <v>250</v>
      </c>
      <c r="M1206" s="574" t="s">
        <v>164</v>
      </c>
      <c r="N1206" s="51" t="str">
        <f>IF(AND('331-CT'!$E$7=TH!H1206,OR(L1206="331",M1206="331")),"331",IF(AND(OR(L1206="131",M1206="131"),H1206='131-CT'!$E$7),"131",""))</f>
        <v/>
      </c>
      <c r="O1206" s="51" t="str">
        <f>IF(AND($B1206&gt;='111'!$N$11,$B1206&lt;='111'!$O$11,OR($L1206=$O$7,$M1206=$O$7)),"x","")</f>
        <v/>
      </c>
      <c r="P1206" s="51" t="str">
        <f>IF(AND($L1206=$O$7,$B1206&lt;'111'!$N$11),"x","")</f>
        <v/>
      </c>
      <c r="Q1206" s="51" t="str">
        <f>IF(AND($M1206=$O$7,$B1206&lt;'111'!$N$11),"x","")</f>
        <v/>
      </c>
      <c r="R1206" s="51" t="str">
        <f>IF(ISERROR(FIND('112'!$M$9,G1206,1)),"",IF((AND(FIND('112'!$M$9,G1206,1)&gt;=1,$B1206&gt;='112'!$N$8,$B1206&lt;='112'!$O$8,OR($L1206='112'!$I$6,$M1206='112'!$I$6))),"x",""))</f>
        <v/>
      </c>
      <c r="S1206" s="51" t="str">
        <f>IF(ISERROR(FIND('112'!$M$9,G1206,1)),"",IF((AND(LEFT(G1206,2)=LEFT('112'!$M$9,2),B1206&lt;'112'!$N$8,$L1206='112'!$I$6)),"x",""))</f>
        <v/>
      </c>
      <c r="T1206" s="51" t="str">
        <f>IF(ISERROR(FIND('112'!$M$9,G1206,1)),"",IF((AND(RIGHT(G1206,2)=RIGHT('112'!$M$9,2),B1206&lt;'112'!$N$8,$M1206='112'!$I$6)),"x",""))</f>
        <v/>
      </c>
      <c r="U1206" s="51" t="str">
        <f>IF(AND(L1206="154",'154'!$O$5&lt;=B1206,'154'!$P$5&gt;=B1206),"154",IF(AND(L1206="632",'632'!$L$5&lt;=B1206,'632'!$M$5&gt;=B1206),"632",IF(AND(L1206="642",'642'!$N$5&lt;=B1206,'642'!$O$5&gt;=B1206),"642",IF(AND(L1206="641",'641'!$N$5&lt;=B1206,'641'!$O$5&gt;=B1206),"641",""))))</f>
        <v/>
      </c>
      <c r="V1206" s="51" t="str">
        <f>IF(OR(TH!L1206=TH!$V$7,M1206=TH!$V$7),"x","")</f>
        <v/>
      </c>
      <c r="W1206" s="51" t="str">
        <f>IF(AND(B1206&gt;='IN-NX'!$P$3,B1206&lt;='IN-NX'!$Q$3,'IN-NX'!$D$7=D1206,OR(LEFT(L1206,2)="15",AND(LEFT(M1206,2)&lt;&gt;"15",LEFT(M1206,2)&lt;&gt;"33"))),"x","")</f>
        <v/>
      </c>
      <c r="X1206" s="51" t="str">
        <f>IF(AND(OR(LEFT(TH!L1206,2)="15",LEFT(TH!M1206,2)="15"),'152-CT'!$J$8=TH!F1206),"x","")</f>
        <v/>
      </c>
      <c r="Y1206" s="51" t="str">
        <f>IF(AND(OR(LEFT(TH!L1206,2)="15",LEFT(TH!M1206,2)="15"),TK!$E$7=TH!F1206),"x","")</f>
        <v/>
      </c>
      <c r="Z1206" s="51" t="str">
        <f>IF(AND(B1206&lt;=NKC!$N$8,B1206&gt;=NKC!$M$8),"x","")</f>
        <v/>
      </c>
      <c r="AA1206" s="803"/>
      <c r="AB1206" s="565"/>
    </row>
    <row r="1207" spans="1:31" ht="15.75" customHeight="1">
      <c r="A1207" s="804" t="str">
        <f>IF(B1207&lt;&gt;"",IF(AND(B1207&gt;=_TM1,B1207&lt;=_TM2,OR(TH!L1207="1111",TH!M1207="1111")),TH!D1207,""),"")</f>
        <v/>
      </c>
      <c r="B1207" s="36">
        <f t="shared" si="79"/>
        <v>12</v>
      </c>
      <c r="C1207" s="189">
        <f t="shared" si="80"/>
        <v>42341</v>
      </c>
      <c r="D1207" s="189" t="s">
        <v>1319</v>
      </c>
      <c r="E1207" s="189">
        <v>42341</v>
      </c>
      <c r="F1207" s="190" t="s">
        <v>962</v>
      </c>
      <c r="G1207" s="811" t="s">
        <v>1102</v>
      </c>
      <c r="H1207" s="191" t="s">
        <v>450</v>
      </c>
      <c r="I1207" s="243"/>
      <c r="J1207" s="243"/>
      <c r="K1207" s="573">
        <v>793148</v>
      </c>
      <c r="L1207" s="574" t="s">
        <v>250</v>
      </c>
      <c r="M1207" s="574" t="s">
        <v>352</v>
      </c>
      <c r="N1207" s="51" t="str">
        <f>IF(AND('331-CT'!$E$7=TH!H1207,OR(L1207="331",M1207="331")),"331",IF(AND(OR(L1207="131",M1207="131"),H1207='131-CT'!$E$7),"131",""))</f>
        <v/>
      </c>
      <c r="O1207" s="51" t="str">
        <f>IF(AND($B1207&gt;='111'!$N$11,$B1207&lt;='111'!$O$11,OR($L1207=$O$7,$M1207=$O$7)),"x","")</f>
        <v/>
      </c>
      <c r="P1207" s="51" t="str">
        <f>IF(AND($L1207=$O$7,$B1207&lt;'111'!$N$11),"x","")</f>
        <v/>
      </c>
      <c r="Q1207" s="51" t="str">
        <f>IF(AND($M1207=$O$7,$B1207&lt;'111'!$N$11),"x","")</f>
        <v/>
      </c>
      <c r="R1207" s="51" t="str">
        <f>IF(ISERROR(FIND('112'!$M$9,G1207,1)),"",IF((AND(FIND('112'!$M$9,G1207,1)&gt;=1,$B1207&gt;='112'!$N$8,$B1207&lt;='112'!$O$8,OR($L1207='112'!$I$6,$M1207='112'!$I$6))),"x",""))</f>
        <v/>
      </c>
      <c r="S1207" s="51" t="str">
        <f>IF(ISERROR(FIND('112'!$M$9,G1207,1)),"",IF((AND(LEFT(G1207,2)=LEFT('112'!$M$9,2),B1207&lt;'112'!$N$8,$L1207='112'!$I$6)),"x",""))</f>
        <v/>
      </c>
      <c r="T1207" s="51" t="str">
        <f>IF(ISERROR(FIND('112'!$M$9,G1207,1)),"",IF((AND(RIGHT(G1207,2)=RIGHT('112'!$M$9,2),B1207&lt;'112'!$N$8,$M1207='112'!$I$6)),"x",""))</f>
        <v/>
      </c>
      <c r="U1207" s="51" t="str">
        <f>IF(AND(L1207="154",'154'!$O$5&lt;=B1207,'154'!$P$5&gt;=B1207),"154",IF(AND(L1207="632",'632'!$L$5&lt;=B1207,'632'!$M$5&gt;=B1207),"632",IF(AND(L1207="642",'642'!$N$5&lt;=B1207,'642'!$O$5&gt;=B1207),"642",IF(AND(L1207="641",'641'!$N$5&lt;=B1207,'641'!$O$5&gt;=B1207),"641",""))))</f>
        <v/>
      </c>
      <c r="V1207" s="51" t="str">
        <f>IF(OR(TH!L1207=TH!$V$7,M1207=TH!$V$7),"x","")</f>
        <v/>
      </c>
      <c r="W1207" s="51" t="str">
        <f>IF(AND(B1207&gt;='IN-NX'!$P$3,B1207&lt;='IN-NX'!$Q$3,'IN-NX'!$D$7=D1207,OR(LEFT(L1207,2)="15",AND(LEFT(M1207,2)&lt;&gt;"15",LEFT(M1207,2)&lt;&gt;"33"))),"x","")</f>
        <v/>
      </c>
      <c r="X1207" s="51" t="str">
        <f>IF(AND(OR(LEFT(TH!L1207,2)="15",LEFT(TH!M1207,2)="15"),'152-CT'!$J$8=TH!F1207),"x","")</f>
        <v/>
      </c>
      <c r="Y1207" s="51" t="str">
        <f>IF(AND(OR(LEFT(TH!L1207,2)="15",LEFT(TH!M1207,2)="15"),TK!$E$7=TH!F1207),"x","")</f>
        <v/>
      </c>
      <c r="Z1207" s="51" t="str">
        <f>IF(AND(B1207&lt;=NKC!$N$8,B1207&gt;=NKC!$M$8),"x","")</f>
        <v/>
      </c>
      <c r="AA1207" s="803"/>
      <c r="AB1207" s="565"/>
    </row>
    <row r="1208" spans="1:31" ht="15.75" customHeight="1">
      <c r="A1208" s="804" t="str">
        <f>IF(B1208&lt;&gt;"",IF(AND(B1208&gt;=_TM1,B1208&lt;=_TM2,OR(TH!L1208="1111",TH!M1208="1111")),TH!D1208,""),"")</f>
        <v/>
      </c>
      <c r="B1208" s="36">
        <f t="shared" si="79"/>
        <v>12</v>
      </c>
      <c r="C1208" s="189">
        <f t="shared" si="80"/>
        <v>42342</v>
      </c>
      <c r="D1208" s="189" t="s">
        <v>421</v>
      </c>
      <c r="E1208" s="182">
        <v>42342</v>
      </c>
      <c r="F1208" s="187" t="s">
        <v>423</v>
      </c>
      <c r="G1208" s="811" t="s">
        <v>415</v>
      </c>
      <c r="H1208" s="7" t="s">
        <v>413</v>
      </c>
      <c r="I1208" s="243"/>
      <c r="J1208" s="243"/>
      <c r="K1208" s="573">
        <v>190058000</v>
      </c>
      <c r="L1208" s="574" t="s">
        <v>24</v>
      </c>
      <c r="M1208" s="192" t="s">
        <v>250</v>
      </c>
      <c r="N1208" s="51" t="str">
        <f>IF(AND('331-CT'!$E$7=TH!H1208,OR(L1208="331",M1208="331")),"331",IF(AND(OR(L1208="131",M1208="131"),H1208='131-CT'!$E$7),"131",""))</f>
        <v/>
      </c>
      <c r="O1208" s="51" t="str">
        <f>IF(AND($B1208&gt;='111'!$N$11,$B1208&lt;='111'!$O$11,OR($L1208=$O$7,$M1208=$O$7)),"x","")</f>
        <v/>
      </c>
      <c r="P1208" s="51" t="str">
        <f>IF(AND($L1208=$O$7,$B1208&lt;'111'!$N$11),"x","")</f>
        <v/>
      </c>
      <c r="Q1208" s="51" t="str">
        <f>IF(AND($M1208=$O$7,$B1208&lt;'111'!$N$11),"x","")</f>
        <v/>
      </c>
      <c r="R1208" s="51" t="str">
        <f>IF(ISERROR(FIND('112'!$M$9,G1208,1)),"",IF((AND(FIND('112'!$M$9,G1208,1)&gt;=1,$B1208&gt;='112'!$N$8,$B1208&lt;='112'!$O$8,OR($L1208='112'!$I$6,$M1208='112'!$I$6))),"x",""))</f>
        <v/>
      </c>
      <c r="S1208" s="51" t="str">
        <f>IF(ISERROR(FIND('112'!$M$9,G1208,1)),"",IF((AND(LEFT(G1208,2)=LEFT('112'!$M$9,2),B1208&lt;'112'!$N$8,$L1208='112'!$I$6)),"x",""))</f>
        <v/>
      </c>
      <c r="T1208" s="51" t="str">
        <f>IF(ISERROR(FIND('112'!$M$9,G1208,1)),"",IF((AND(RIGHT(G1208,2)=RIGHT('112'!$M$9,2),B1208&lt;'112'!$N$8,$M1208='112'!$I$6)),"x",""))</f>
        <v/>
      </c>
      <c r="U1208" s="51" t="str">
        <f>IF(AND(L1208="154",'154'!$O$5&lt;=B1208,'154'!$P$5&gt;=B1208),"154",IF(AND(L1208="632",'632'!$L$5&lt;=B1208,'632'!$M$5&gt;=B1208),"632",IF(AND(L1208="642",'642'!$N$5&lt;=B1208,'642'!$O$5&gt;=B1208),"642",IF(AND(L1208="641",'641'!$N$5&lt;=B1208,'641'!$O$5&gt;=B1208),"641",""))))</f>
        <v/>
      </c>
      <c r="V1208" s="51" t="str">
        <f>IF(OR(TH!L1208=TH!$V$7,M1208=TH!$V$7),"x","")</f>
        <v/>
      </c>
      <c r="W1208" s="51" t="str">
        <f>IF(AND(B1208&gt;='IN-NX'!$P$3,B1208&lt;='IN-NX'!$Q$3,'IN-NX'!$D$7=D1208,OR(LEFT(L1208,2)="15",AND(LEFT(M1208,2)&lt;&gt;"15",LEFT(M1208,2)&lt;&gt;"33"))),"x","")</f>
        <v/>
      </c>
      <c r="X1208" s="51" t="str">
        <f>IF(AND(OR(LEFT(TH!L1208,2)="15",LEFT(TH!M1208,2)="15"),'152-CT'!$J$8=TH!F1208),"x","")</f>
        <v/>
      </c>
      <c r="Y1208" s="51" t="str">
        <f>IF(AND(OR(LEFT(TH!L1208,2)="15",LEFT(TH!M1208,2)="15"),TK!$E$7=TH!F1208),"x","")</f>
        <v/>
      </c>
      <c r="Z1208" s="51" t="str">
        <f>IF(AND(B1208&lt;=NKC!$N$8,B1208&gt;=NKC!$M$8),"x","")</f>
        <v/>
      </c>
      <c r="AA1208" s="803"/>
      <c r="AB1208" s="565"/>
      <c r="AD1208" s="565"/>
    </row>
    <row r="1209" spans="1:31" ht="15.75" customHeight="1">
      <c r="A1209" s="804" t="str">
        <f>IF(B1209&lt;&gt;"",IF(AND(B1209&gt;=_TM1,B1209&lt;=_TM2,OR(TH!L1209="1111",TH!M1209="1111")),TH!D1209,""),"")</f>
        <v/>
      </c>
      <c r="B1209" s="36">
        <f t="shared" si="79"/>
        <v>12</v>
      </c>
      <c r="C1209" s="189">
        <f t="shared" si="80"/>
        <v>42342</v>
      </c>
      <c r="D1209" s="189" t="s">
        <v>1320</v>
      </c>
      <c r="E1209" s="189">
        <v>42342</v>
      </c>
      <c r="F1209" s="917" t="s">
        <v>1238</v>
      </c>
      <c r="G1209" s="811" t="s">
        <v>1103</v>
      </c>
      <c r="H1209" s="191" t="s">
        <v>1063</v>
      </c>
      <c r="I1209" s="243">
        <v>996</v>
      </c>
      <c r="J1209" s="243">
        <v>9800</v>
      </c>
      <c r="K1209" s="573">
        <f>ROUND(I1209*J1209,0)</f>
        <v>9760800</v>
      </c>
      <c r="L1209" s="574" t="s">
        <v>250</v>
      </c>
      <c r="M1209" s="574" t="s">
        <v>164</v>
      </c>
      <c r="N1209" s="51" t="str">
        <f>IF(AND('331-CT'!$E$7=TH!H1209,OR(L1209="331",M1209="331")),"331",IF(AND(OR(L1209="131",M1209="131"),H1209='131-CT'!$E$7),"131",""))</f>
        <v/>
      </c>
      <c r="O1209" s="51" t="str">
        <f>IF(AND($B1209&gt;='111'!$N$11,$B1209&lt;='111'!$O$11,OR($L1209=$O$7,$M1209=$O$7)),"x","")</f>
        <v/>
      </c>
      <c r="P1209" s="51" t="str">
        <f>IF(AND($L1209=$O$7,$B1209&lt;'111'!$N$11),"x","")</f>
        <v/>
      </c>
      <c r="Q1209" s="51" t="str">
        <f>IF(AND($M1209=$O$7,$B1209&lt;'111'!$N$11),"x","")</f>
        <v/>
      </c>
      <c r="R1209" s="51" t="str">
        <f>IF(ISERROR(FIND('112'!$M$9,G1209,1)),"",IF((AND(FIND('112'!$M$9,G1209,1)&gt;=1,$B1209&gt;='112'!$N$8,$B1209&lt;='112'!$O$8,OR($L1209='112'!$I$6,$M1209='112'!$I$6))),"x",""))</f>
        <v/>
      </c>
      <c r="S1209" s="51" t="str">
        <f>IF(ISERROR(FIND('112'!$M$9,G1209,1)),"",IF((AND(LEFT(G1209,2)=LEFT('112'!$M$9,2),B1209&lt;'112'!$N$8,$L1209='112'!$I$6)),"x",""))</f>
        <v/>
      </c>
      <c r="T1209" s="51" t="str">
        <f>IF(ISERROR(FIND('112'!$M$9,G1209,1)),"",IF((AND(RIGHT(G1209,2)=RIGHT('112'!$M$9,2),B1209&lt;'112'!$N$8,$M1209='112'!$I$6)),"x",""))</f>
        <v/>
      </c>
      <c r="U1209" s="51" t="str">
        <f>IF(AND(L1209="154",'154'!$O$5&lt;=B1209,'154'!$P$5&gt;=B1209),"154",IF(AND(L1209="632",'632'!$L$5&lt;=B1209,'632'!$M$5&gt;=B1209),"632",IF(AND(L1209="642",'642'!$N$5&lt;=B1209,'642'!$O$5&gt;=B1209),"642",IF(AND(L1209="641",'641'!$N$5&lt;=B1209,'641'!$O$5&gt;=B1209),"641",""))))</f>
        <v/>
      </c>
      <c r="V1209" s="51" t="str">
        <f>IF(OR(TH!L1209=TH!$V$7,M1209=TH!$V$7),"x","")</f>
        <v/>
      </c>
      <c r="W1209" s="51" t="str">
        <f>IF(AND(B1209&gt;='IN-NX'!$P$3,B1209&lt;='IN-NX'!$Q$3,'IN-NX'!$D$7=D1209,OR(LEFT(L1209,2)="15",AND(LEFT(M1209,2)&lt;&gt;"15",LEFT(M1209,2)&lt;&gt;"33"))),"x","")</f>
        <v/>
      </c>
      <c r="X1209" s="51" t="str">
        <f>IF(AND(OR(LEFT(TH!L1209,2)="15",LEFT(TH!M1209,2)="15"),'152-CT'!$J$8=TH!F1209),"x","")</f>
        <v/>
      </c>
      <c r="Y1209" s="51" t="str">
        <f>IF(AND(OR(LEFT(TH!L1209,2)="15",LEFT(TH!M1209,2)="15"),TK!$E$7=TH!F1209),"x","")</f>
        <v/>
      </c>
      <c r="Z1209" s="51" t="str">
        <f>IF(AND(B1209&lt;=NKC!$N$8,B1209&gt;=NKC!$M$8),"x","")</f>
        <v/>
      </c>
      <c r="AA1209" s="803"/>
      <c r="AB1209" s="565"/>
    </row>
    <row r="1210" spans="1:31" ht="15.75" customHeight="1">
      <c r="A1210" s="804" t="str">
        <f>IF(B1210&lt;&gt;"",IF(AND(B1210&gt;=_TM1,B1210&lt;=_TM2,OR(TH!L1210="1111",TH!M1210="1111")),TH!D1210,""),"")</f>
        <v/>
      </c>
      <c r="B1210" s="36">
        <f t="shared" si="79"/>
        <v>12</v>
      </c>
      <c r="C1210" s="189">
        <f t="shared" si="80"/>
        <v>42342</v>
      </c>
      <c r="D1210" s="189" t="s">
        <v>1320</v>
      </c>
      <c r="E1210" s="189">
        <v>42342</v>
      </c>
      <c r="F1210" s="190" t="s">
        <v>962</v>
      </c>
      <c r="G1210" s="811" t="s">
        <v>1103</v>
      </c>
      <c r="H1210" s="191" t="s">
        <v>1063</v>
      </c>
      <c r="I1210" s="243"/>
      <c r="J1210" s="243"/>
      <c r="K1210" s="573">
        <v>976080</v>
      </c>
      <c r="L1210" s="574" t="s">
        <v>250</v>
      </c>
      <c r="M1210" s="574" t="s">
        <v>352</v>
      </c>
      <c r="N1210" s="51" t="str">
        <f>IF(AND('331-CT'!$E$7=TH!H1210,OR(L1210="331",M1210="331")),"331",IF(AND(OR(L1210="131",M1210="131"),H1210='131-CT'!$E$7),"131",""))</f>
        <v/>
      </c>
      <c r="O1210" s="51" t="str">
        <f>IF(AND($B1210&gt;='111'!$N$11,$B1210&lt;='111'!$O$11,OR($L1210=$O$7,$M1210=$O$7)),"x","")</f>
        <v/>
      </c>
      <c r="P1210" s="51" t="str">
        <f>IF(AND($L1210=$O$7,$B1210&lt;'111'!$N$11),"x","")</f>
        <v/>
      </c>
      <c r="Q1210" s="51" t="str">
        <f>IF(AND($M1210=$O$7,$B1210&lt;'111'!$N$11),"x","")</f>
        <v/>
      </c>
      <c r="R1210" s="51" t="str">
        <f>IF(ISERROR(FIND('112'!$M$9,G1210,1)),"",IF((AND(FIND('112'!$M$9,G1210,1)&gt;=1,$B1210&gt;='112'!$N$8,$B1210&lt;='112'!$O$8,OR($L1210='112'!$I$6,$M1210='112'!$I$6))),"x",""))</f>
        <v/>
      </c>
      <c r="S1210" s="51" t="str">
        <f>IF(ISERROR(FIND('112'!$M$9,G1210,1)),"",IF((AND(LEFT(G1210,2)=LEFT('112'!$M$9,2),B1210&lt;'112'!$N$8,$L1210='112'!$I$6)),"x",""))</f>
        <v/>
      </c>
      <c r="T1210" s="51" t="str">
        <f>IF(ISERROR(FIND('112'!$M$9,G1210,1)),"",IF((AND(RIGHT(G1210,2)=RIGHT('112'!$M$9,2),B1210&lt;'112'!$N$8,$M1210='112'!$I$6)),"x",""))</f>
        <v/>
      </c>
      <c r="U1210" s="51" t="str">
        <f>IF(AND(L1210="154",'154'!$O$5&lt;=B1210,'154'!$P$5&gt;=B1210),"154",IF(AND(L1210="632",'632'!$L$5&lt;=B1210,'632'!$M$5&gt;=B1210),"632",IF(AND(L1210="642",'642'!$N$5&lt;=B1210,'642'!$O$5&gt;=B1210),"642",IF(AND(L1210="641",'641'!$N$5&lt;=B1210,'641'!$O$5&gt;=B1210),"641",""))))</f>
        <v/>
      </c>
      <c r="V1210" s="51" t="str">
        <f>IF(OR(TH!L1210=TH!$V$7,M1210=TH!$V$7),"x","")</f>
        <v/>
      </c>
      <c r="W1210" s="51" t="str">
        <f>IF(AND(B1210&gt;='IN-NX'!$P$3,B1210&lt;='IN-NX'!$Q$3,'IN-NX'!$D$7=D1210,OR(LEFT(L1210,2)="15",AND(LEFT(M1210,2)&lt;&gt;"15",LEFT(M1210,2)&lt;&gt;"33"))),"x","")</f>
        <v/>
      </c>
      <c r="X1210" s="51" t="str">
        <f>IF(AND(OR(LEFT(TH!L1210,2)="15",LEFT(TH!M1210,2)="15"),'152-CT'!$J$8=TH!F1210),"x","")</f>
        <v/>
      </c>
      <c r="Y1210" s="51" t="str">
        <f>IF(AND(OR(LEFT(TH!L1210,2)="15",LEFT(TH!M1210,2)="15"),TK!$E$7=TH!F1210),"x","")</f>
        <v/>
      </c>
      <c r="Z1210" s="51" t="str">
        <f>IF(AND(B1210&lt;=NKC!$N$8,B1210&gt;=NKC!$M$8),"x","")</f>
        <v/>
      </c>
      <c r="AA1210" s="803"/>
      <c r="AB1210" s="565"/>
    </row>
    <row r="1211" spans="1:31" ht="15.75" customHeight="1">
      <c r="A1211" s="804" t="str">
        <f>IF(B1211&lt;&gt;"",IF(AND(B1211&gt;=_TM1,B1211&lt;=_TM2,OR(TH!L1211="1111",TH!M1211="1111")),TH!D1211,""),"")</f>
        <v/>
      </c>
      <c r="B1211" s="36">
        <f t="shared" si="79"/>
        <v>12</v>
      </c>
      <c r="C1211" s="189">
        <f t="shared" si="80"/>
        <v>42342</v>
      </c>
      <c r="D1211" s="189" t="s">
        <v>1396</v>
      </c>
      <c r="E1211" s="189">
        <v>42342</v>
      </c>
      <c r="F1211" s="190" t="s">
        <v>423</v>
      </c>
      <c r="G1211" s="811" t="s">
        <v>1103</v>
      </c>
      <c r="H1211" s="191" t="s">
        <v>1063</v>
      </c>
      <c r="I1211" s="243"/>
      <c r="J1211" s="243"/>
      <c r="K1211" s="573">
        <v>10736880</v>
      </c>
      <c r="L1211" s="574" t="s">
        <v>47</v>
      </c>
      <c r="M1211" s="574" t="s">
        <v>250</v>
      </c>
      <c r="N1211" s="51" t="str">
        <f>IF(AND('331-CT'!$E$7=TH!H1211,OR(L1211="331",M1211="331")),"331",IF(AND(OR(L1211="131",M1211="131"),H1211='131-CT'!$E$7),"131",""))</f>
        <v/>
      </c>
      <c r="O1211" s="51" t="str">
        <f>IF(AND($B1211&gt;='111'!$N$11,$B1211&lt;='111'!$O$11,OR($L1211=$O$7,$M1211=$O$7)),"x","")</f>
        <v>x</v>
      </c>
      <c r="P1211" s="51" t="str">
        <f>IF(AND($L1211=$O$7,$B1211&lt;'111'!$N$11),"x","")</f>
        <v/>
      </c>
      <c r="Q1211" s="51" t="str">
        <f>IF(AND($M1211=$O$7,$B1211&lt;'111'!$N$11),"x","")</f>
        <v/>
      </c>
      <c r="R1211" s="51" t="str">
        <f>IF(ISERROR(FIND('112'!$M$9,G1211,1)),"",IF((AND(FIND('112'!$M$9,G1211,1)&gt;=1,$B1211&gt;='112'!$N$8,$B1211&lt;='112'!$O$8,OR($L1211='112'!$I$6,$M1211='112'!$I$6))),"x",""))</f>
        <v/>
      </c>
      <c r="S1211" s="51" t="str">
        <f>IF(ISERROR(FIND('112'!$M$9,G1211,1)),"",IF((AND(LEFT(G1211,2)=LEFT('112'!$M$9,2),B1211&lt;'112'!$N$8,$L1211='112'!$I$6)),"x",""))</f>
        <v/>
      </c>
      <c r="T1211" s="51" t="str">
        <f>IF(ISERROR(FIND('112'!$M$9,G1211,1)),"",IF((AND(RIGHT(G1211,2)=RIGHT('112'!$M$9,2),B1211&lt;'112'!$N$8,$M1211='112'!$I$6)),"x",""))</f>
        <v/>
      </c>
      <c r="U1211" s="51" t="str">
        <f>IF(AND(L1211="154",'154'!$O$5&lt;=B1211,'154'!$P$5&gt;=B1211),"154",IF(AND(L1211="632",'632'!$L$5&lt;=B1211,'632'!$M$5&gt;=B1211),"632",IF(AND(L1211="642",'642'!$N$5&lt;=B1211,'642'!$O$5&gt;=B1211),"642",IF(AND(L1211="641",'641'!$N$5&lt;=B1211,'641'!$O$5&gt;=B1211),"641",""))))</f>
        <v/>
      </c>
      <c r="V1211" s="51" t="str">
        <f>IF(OR(TH!L1211=TH!$V$7,M1211=TH!$V$7),"x","")</f>
        <v/>
      </c>
      <c r="W1211" s="51" t="str">
        <f>IF(AND(B1211&gt;='IN-NX'!$P$3,B1211&lt;='IN-NX'!$Q$3,'IN-NX'!$D$7=D1211,OR(LEFT(L1211,2)="15",AND(LEFT(M1211,2)&lt;&gt;"15",LEFT(M1211,2)&lt;&gt;"33"))),"x","")</f>
        <v/>
      </c>
      <c r="X1211" s="51" t="str">
        <f>IF(AND(OR(LEFT(TH!L1211,2)="15",LEFT(TH!M1211,2)="15"),'152-CT'!$J$8=TH!F1211),"x","")</f>
        <v/>
      </c>
      <c r="Y1211" s="51" t="str">
        <f>IF(AND(OR(LEFT(TH!L1211,2)="15",LEFT(TH!M1211,2)="15"),TK!$E$7=TH!F1211),"x","")</f>
        <v/>
      </c>
      <c r="Z1211" s="51" t="str">
        <f>IF(AND(B1211&lt;=NKC!$N$8,B1211&gt;=NKC!$M$8),"x","")</f>
        <v/>
      </c>
      <c r="AA1211" s="803"/>
      <c r="AB1211" s="565"/>
    </row>
    <row r="1212" spans="1:31" ht="15.75" customHeight="1">
      <c r="A1212" s="804" t="str">
        <f>IF(B1212&lt;&gt;"",IF(AND(B1212&gt;=_TM1,B1212&lt;=_TM2,OR(TH!L1212="1111",TH!M1212="1111")),TH!D1212,""),"")</f>
        <v/>
      </c>
      <c r="B1212" s="36">
        <f t="shared" si="79"/>
        <v>12</v>
      </c>
      <c r="C1212" s="189">
        <f t="shared" si="80"/>
        <v>42343</v>
      </c>
      <c r="D1212" s="189" t="s">
        <v>1442</v>
      </c>
      <c r="E1212" s="189">
        <v>42343</v>
      </c>
      <c r="F1212" s="190" t="s">
        <v>451</v>
      </c>
      <c r="G1212" s="813" t="s">
        <v>899</v>
      </c>
      <c r="H1212" s="191" t="s">
        <v>523</v>
      </c>
      <c r="I1212" s="243"/>
      <c r="J1212" s="243"/>
      <c r="K1212" s="573">
        <f>238421+251687+227926</f>
        <v>718034</v>
      </c>
      <c r="L1212" s="574" t="s">
        <v>83</v>
      </c>
      <c r="M1212" s="574" t="s">
        <v>47</v>
      </c>
      <c r="N1212" s="51" t="str">
        <f>IF(AND('331-CT'!$E$7=TH!H1212,OR(L1212="331",M1212="331")),"331",IF(AND(OR(L1212="131",M1212="131"),H1212='131-CT'!$E$7),"131",""))</f>
        <v/>
      </c>
      <c r="O1212" s="51" t="str">
        <f>IF(AND($B1212&gt;='111'!$N$11,$B1212&lt;='111'!$O$11,OR($L1212=$O$7,$M1212=$O$7)),"x","")</f>
        <v>x</v>
      </c>
      <c r="P1212" s="51" t="str">
        <f>IF(AND($L1212=$O$7,$B1212&lt;'111'!$N$11),"x","")</f>
        <v/>
      </c>
      <c r="Q1212" s="51" t="str">
        <f>IF(AND($M1212=$O$7,$B1212&lt;'111'!$N$11),"x","")</f>
        <v/>
      </c>
      <c r="R1212" s="51" t="str">
        <f>IF(ISERROR(FIND('112'!$M$9,G1212,1)),"",IF((AND(FIND('112'!$M$9,G1212,1)&gt;=1,$B1212&gt;='112'!$N$8,$B1212&lt;='112'!$O$8,OR($L1212='112'!$I$6,$M1212='112'!$I$6))),"x",""))</f>
        <v/>
      </c>
      <c r="S1212" s="51" t="str">
        <f>IF(ISERROR(FIND('112'!$M$9,G1212,1)),"",IF((AND(LEFT(G1212,2)=LEFT('112'!$M$9,2),B1212&lt;'112'!$N$8,$L1212='112'!$I$6)),"x",""))</f>
        <v/>
      </c>
      <c r="T1212" s="51" t="str">
        <f>IF(ISERROR(FIND('112'!$M$9,G1212,1)),"",IF((AND(RIGHT(G1212,2)=RIGHT('112'!$M$9,2),B1212&lt;'112'!$N$8,$M1212='112'!$I$6)),"x",""))</f>
        <v/>
      </c>
      <c r="U1212" s="51" t="str">
        <f>IF(AND(L1212="154",'154'!$O$5&lt;=B1212,'154'!$P$5&gt;=B1212),"154",IF(AND(L1212="632",'632'!$L$5&lt;=B1212,'632'!$M$5&gt;=B1212),"632",IF(AND(L1212="642",'642'!$N$5&lt;=B1212,'642'!$O$5&gt;=B1212),"642",IF(AND(L1212="641",'641'!$N$5&lt;=B1212,'641'!$O$5&gt;=B1212),"641",""))))</f>
        <v/>
      </c>
      <c r="V1212" s="51" t="str">
        <f>IF(OR(TH!L1212=TH!$V$7,M1212=TH!$V$7),"x","")</f>
        <v>x</v>
      </c>
      <c r="W1212" s="51" t="str">
        <f>IF(AND(B1212&gt;='IN-NX'!$P$3,B1212&lt;='IN-NX'!$Q$3,'IN-NX'!$D$7=D1212,OR(LEFT(L1212,2)="15",AND(LEFT(M1212,2)&lt;&gt;"15",LEFT(M1212,2)&lt;&gt;"33"))),"x","")</f>
        <v/>
      </c>
      <c r="X1212" s="51" t="str">
        <f>IF(AND(OR(LEFT(TH!L1212,2)="15",LEFT(TH!M1212,2)="15"),'152-CT'!$J$8=TH!F1212),"x","")</f>
        <v/>
      </c>
      <c r="Y1212" s="51" t="str">
        <f>IF(AND(OR(LEFT(TH!L1212,2)="15",LEFT(TH!M1212,2)="15"),TK!$E$7=TH!F1212),"x","")</f>
        <v/>
      </c>
      <c r="Z1212" s="51" t="str">
        <f>IF(AND(B1212&lt;=NKC!$N$8,B1212&gt;=NKC!$M$8),"x","")</f>
        <v/>
      </c>
      <c r="AA1212" s="803"/>
      <c r="AB1212" s="565"/>
      <c r="AE1212" s="565"/>
    </row>
    <row r="1213" spans="1:31" ht="15.75" customHeight="1">
      <c r="A1213" s="804" t="str">
        <f>IF(B1213&lt;&gt;"",IF(AND(B1213&gt;=_TM1,B1213&lt;=_TM2,OR(TH!L1213="1111",TH!M1213="1111")),TH!D1213,""),"")</f>
        <v/>
      </c>
      <c r="B1213" s="36">
        <f t="shared" si="79"/>
        <v>12</v>
      </c>
      <c r="C1213" s="189">
        <f t="shared" si="80"/>
        <v>42343</v>
      </c>
      <c r="D1213" s="189" t="s">
        <v>1442</v>
      </c>
      <c r="E1213" s="189">
        <v>42343</v>
      </c>
      <c r="F1213" s="190" t="s">
        <v>453</v>
      </c>
      <c r="G1213" s="813" t="s">
        <v>899</v>
      </c>
      <c r="H1213" s="191" t="s">
        <v>523</v>
      </c>
      <c r="I1213" s="243"/>
      <c r="J1213" s="243"/>
      <c r="K1213" s="573">
        <f>23842+25169+22793</f>
        <v>71804</v>
      </c>
      <c r="L1213" s="574" t="s">
        <v>9</v>
      </c>
      <c r="M1213" s="574" t="s">
        <v>47</v>
      </c>
      <c r="N1213" s="51" t="str">
        <f>IF(AND('331-CT'!$E$7=TH!H1213,OR(L1213="331",M1213="331")),"331",IF(AND(OR(L1213="131",M1213="131"),H1213='131-CT'!$E$7),"131",""))</f>
        <v/>
      </c>
      <c r="O1213" s="51" t="str">
        <f>IF(AND($B1213&gt;='111'!$N$11,$B1213&lt;='111'!$O$11,OR($L1213=$O$7,$M1213=$O$7)),"x","")</f>
        <v>x</v>
      </c>
      <c r="P1213" s="51" t="str">
        <f>IF(AND($L1213=$O$7,$B1213&lt;'111'!$N$11),"x","")</f>
        <v/>
      </c>
      <c r="Q1213" s="51" t="str">
        <f>IF(AND($M1213=$O$7,$B1213&lt;'111'!$N$11),"x","")</f>
        <v/>
      </c>
      <c r="R1213" s="51" t="str">
        <f>IF(ISERROR(FIND('112'!$M$9,G1213,1)),"",IF((AND(FIND('112'!$M$9,G1213,1)&gt;=1,$B1213&gt;='112'!$N$8,$B1213&lt;='112'!$O$8,OR($L1213='112'!$I$6,$M1213='112'!$I$6))),"x",""))</f>
        <v/>
      </c>
      <c r="S1213" s="51" t="str">
        <f>IF(ISERROR(FIND('112'!$M$9,G1213,1)),"",IF((AND(LEFT(G1213,2)=LEFT('112'!$M$9,2),B1213&lt;'112'!$N$8,$L1213='112'!$I$6)),"x",""))</f>
        <v/>
      </c>
      <c r="T1213" s="51" t="str">
        <f>IF(ISERROR(FIND('112'!$M$9,G1213,1)),"",IF((AND(RIGHT(G1213,2)=RIGHT('112'!$M$9,2),B1213&lt;'112'!$N$8,$M1213='112'!$I$6)),"x",""))</f>
        <v/>
      </c>
      <c r="U1213" s="51" t="str">
        <f>IF(AND(L1213="154",'154'!$O$5&lt;=B1213,'154'!$P$5&gt;=B1213),"154",IF(AND(L1213="632",'632'!$L$5&lt;=B1213,'632'!$M$5&gt;=B1213),"632",IF(AND(L1213="642",'642'!$N$5&lt;=B1213,'642'!$O$5&gt;=B1213),"642",IF(AND(L1213="641",'641'!$N$5&lt;=B1213,'641'!$O$5&gt;=B1213),"641",""))))</f>
        <v/>
      </c>
      <c r="V1213" s="51" t="str">
        <f>IF(OR(TH!L1213=TH!$V$7,M1213=TH!$V$7),"x","")</f>
        <v/>
      </c>
      <c r="W1213" s="51" t="str">
        <f>IF(AND(B1213&gt;='IN-NX'!$P$3,B1213&lt;='IN-NX'!$Q$3,'IN-NX'!$D$7=D1213,OR(LEFT(L1213,2)="15",AND(LEFT(M1213,2)&lt;&gt;"15",LEFT(M1213,2)&lt;&gt;"33"))),"x","")</f>
        <v/>
      </c>
      <c r="X1213" s="51" t="str">
        <f>IF(AND(OR(LEFT(TH!L1213,2)="15",LEFT(TH!M1213,2)="15"),'152-CT'!$J$8=TH!F1213),"x","")</f>
        <v/>
      </c>
      <c r="Y1213" s="51" t="str">
        <f>IF(AND(OR(LEFT(TH!L1213,2)="15",LEFT(TH!M1213,2)="15"),TK!$E$7=TH!F1213),"x","")</f>
        <v/>
      </c>
      <c r="Z1213" s="51" t="str">
        <f>IF(AND(B1213&lt;=NKC!$N$8,B1213&gt;=NKC!$M$8),"x","")</f>
        <v/>
      </c>
      <c r="AA1213" s="803">
        <v>4</v>
      </c>
      <c r="AB1213" s="565"/>
      <c r="AE1213" s="565"/>
    </row>
    <row r="1214" spans="1:31" ht="15.75" customHeight="1">
      <c r="A1214" s="804" t="str">
        <f>IF(B1214&lt;&gt;"",IF(AND(B1214&gt;=_TM1,B1214&lt;=_TM2,OR(TH!L1214="1111",TH!M1214="1111")),TH!D1214,""),"")</f>
        <v/>
      </c>
      <c r="B1214" s="36">
        <f t="shared" si="79"/>
        <v>12</v>
      </c>
      <c r="C1214" s="189">
        <f t="shared" si="80"/>
        <v>42343</v>
      </c>
      <c r="D1214" s="189" t="s">
        <v>1449</v>
      </c>
      <c r="E1214" s="189">
        <v>42343</v>
      </c>
      <c r="F1214" s="917" t="s">
        <v>932</v>
      </c>
      <c r="G1214" s="813" t="s">
        <v>931</v>
      </c>
      <c r="H1214" s="191" t="s">
        <v>448</v>
      </c>
      <c r="I1214" s="243">
        <v>133</v>
      </c>
      <c r="J1214" s="243">
        <v>69835</v>
      </c>
      <c r="K1214" s="573">
        <f t="shared" ref="K1214:K1223" si="81">ROUND(I1214*J1214,0)</f>
        <v>9288055</v>
      </c>
      <c r="L1214" s="574" t="s">
        <v>417</v>
      </c>
      <c r="M1214" s="574" t="s">
        <v>8</v>
      </c>
      <c r="N1214" s="51" t="str">
        <f>IF(AND('331-CT'!$E$7=TH!H1214,OR(L1214="331",M1214="331")),"331",IF(AND(OR(L1214="131",M1214="131"),H1214='131-CT'!$E$7),"131",""))</f>
        <v/>
      </c>
      <c r="O1214" s="51" t="str">
        <f>IF(AND($B1214&gt;='111'!$N$11,$B1214&lt;='111'!$O$11,OR($L1214=$O$7,$M1214=$O$7)),"x","")</f>
        <v/>
      </c>
      <c r="P1214" s="51" t="str">
        <f>IF(AND($L1214=$O$7,$B1214&lt;'111'!$N$11),"x","")</f>
        <v/>
      </c>
      <c r="Q1214" s="51" t="str">
        <f>IF(AND($M1214=$O$7,$B1214&lt;'111'!$N$11),"x","")</f>
        <v/>
      </c>
      <c r="R1214" s="51" t="str">
        <f>IF(ISERROR(FIND('112'!$M$9,G1214,1)),"",IF((AND(FIND('112'!$M$9,G1214,1)&gt;=1,$B1214&gt;='112'!$N$8,$B1214&lt;='112'!$O$8,OR($L1214='112'!$I$6,$M1214='112'!$I$6))),"x",""))</f>
        <v/>
      </c>
      <c r="S1214" s="51" t="str">
        <f>IF(ISERROR(FIND('112'!$M$9,G1214,1)),"",IF((AND(LEFT(G1214,2)=LEFT('112'!$M$9,2),B1214&lt;'112'!$N$8,$L1214='112'!$I$6)),"x",""))</f>
        <v/>
      </c>
      <c r="T1214" s="51" t="str">
        <f>IF(ISERROR(FIND('112'!$M$9,G1214,1)),"",IF((AND(RIGHT(G1214,2)=RIGHT('112'!$M$9,2),B1214&lt;'112'!$N$8,$M1214='112'!$I$6)),"x",""))</f>
        <v/>
      </c>
      <c r="U1214" s="51" t="str">
        <f>IF(AND(L1214="154",'154'!$O$5&lt;=B1214,'154'!$P$5&gt;=B1214),"154",IF(AND(L1214="632",'632'!$L$5&lt;=B1214,'632'!$M$5&gt;=B1214),"632",IF(AND(L1214="642",'642'!$N$5&lt;=B1214,'642'!$O$5&gt;=B1214),"642",IF(AND(L1214="641",'641'!$N$5&lt;=B1214,'641'!$O$5&gt;=B1214),"641",""))))</f>
        <v/>
      </c>
      <c r="V1214" s="51" t="str">
        <f>IF(OR(TH!L1214=TH!$V$7,M1214=TH!$V$7),"x","")</f>
        <v/>
      </c>
      <c r="W1214" s="51" t="str">
        <f>IF(AND(B1214&gt;='IN-NX'!$P$3,B1214&lt;='IN-NX'!$Q$3,'IN-NX'!$D$7=D1214,OR(LEFT(L1214,2)="15",AND(LEFT(M1214,2)&lt;&gt;"15",LEFT(M1214,2)&lt;&gt;"33"))),"x","")</f>
        <v/>
      </c>
      <c r="X1214" s="51" t="str">
        <f>IF(AND(OR(LEFT(TH!L1214,2)="15",LEFT(TH!M1214,2)="15"),'152-CT'!$J$8=TH!F1214),"x","")</f>
        <v/>
      </c>
      <c r="Y1214" s="51" t="str">
        <f>IF(AND(OR(LEFT(TH!L1214,2)="15",LEFT(TH!M1214,2)="15"),TK!$E$7=TH!F1214),"x","")</f>
        <v/>
      </c>
      <c r="Z1214" s="51" t="str">
        <f>IF(AND(B1214&lt;=NKC!$N$8,B1214&gt;=NKC!$M$8),"x","")</f>
        <v/>
      </c>
      <c r="AA1214" s="803"/>
      <c r="AB1214" s="565"/>
    </row>
    <row r="1215" spans="1:31" ht="15.75" customHeight="1">
      <c r="A1215" s="804" t="str">
        <f>IF(B1215&lt;&gt;"",IF(AND(B1215&gt;=_TM1,B1215&lt;=_TM2,OR(TH!L1215="1111",TH!M1215="1111")),TH!D1215,""),"")</f>
        <v/>
      </c>
      <c r="B1215" s="36">
        <f t="shared" si="79"/>
        <v>12</v>
      </c>
      <c r="C1215" s="189">
        <f t="shared" si="80"/>
        <v>42343</v>
      </c>
      <c r="D1215" s="189" t="s">
        <v>1449</v>
      </c>
      <c r="E1215" s="189">
        <v>42343</v>
      </c>
      <c r="F1215" s="187" t="s">
        <v>1226</v>
      </c>
      <c r="G1215" s="813" t="s">
        <v>931</v>
      </c>
      <c r="H1215" s="191" t="s">
        <v>448</v>
      </c>
      <c r="I1215" s="243">
        <v>264</v>
      </c>
      <c r="J1215" s="243">
        <v>16236</v>
      </c>
      <c r="K1215" s="573">
        <f t="shared" si="81"/>
        <v>4286304</v>
      </c>
      <c r="L1215" s="574" t="s">
        <v>417</v>
      </c>
      <c r="M1215" s="574" t="s">
        <v>8</v>
      </c>
      <c r="N1215" s="51" t="str">
        <f>IF(AND('331-CT'!$E$7=TH!H1215,OR(L1215="331",M1215="331")),"331",IF(AND(OR(L1215="131",M1215="131"),H1215='131-CT'!$E$7),"131",""))</f>
        <v/>
      </c>
      <c r="O1215" s="51" t="str">
        <f>IF(AND($B1215&gt;='111'!$N$11,$B1215&lt;='111'!$O$11,OR($L1215=$O$7,$M1215=$O$7)),"x","")</f>
        <v/>
      </c>
      <c r="P1215" s="51" t="str">
        <f>IF(AND($L1215=$O$7,$B1215&lt;'111'!$N$11),"x","")</f>
        <v/>
      </c>
      <c r="Q1215" s="51" t="str">
        <f>IF(AND($M1215=$O$7,$B1215&lt;'111'!$N$11),"x","")</f>
        <v/>
      </c>
      <c r="R1215" s="51" t="str">
        <f>IF(ISERROR(FIND('112'!$M$9,G1215,1)),"",IF((AND(FIND('112'!$M$9,G1215,1)&gt;=1,$B1215&gt;='112'!$N$8,$B1215&lt;='112'!$O$8,OR($L1215='112'!$I$6,$M1215='112'!$I$6))),"x",""))</f>
        <v/>
      </c>
      <c r="S1215" s="51" t="str">
        <f>IF(ISERROR(FIND('112'!$M$9,G1215,1)),"",IF((AND(LEFT(G1215,2)=LEFT('112'!$M$9,2),B1215&lt;'112'!$N$8,$L1215='112'!$I$6)),"x",""))</f>
        <v/>
      </c>
      <c r="T1215" s="51" t="str">
        <f>IF(ISERROR(FIND('112'!$M$9,G1215,1)),"",IF((AND(RIGHT(G1215,2)=RIGHT('112'!$M$9,2),B1215&lt;'112'!$N$8,$M1215='112'!$I$6)),"x",""))</f>
        <v/>
      </c>
      <c r="U1215" s="51" t="str">
        <f>IF(AND(L1215="154",'154'!$O$5&lt;=B1215,'154'!$P$5&gt;=B1215),"154",IF(AND(L1215="632",'632'!$L$5&lt;=B1215,'632'!$M$5&gt;=B1215),"632",IF(AND(L1215="642",'642'!$N$5&lt;=B1215,'642'!$O$5&gt;=B1215),"642",IF(AND(L1215="641",'641'!$N$5&lt;=B1215,'641'!$O$5&gt;=B1215),"641",""))))</f>
        <v/>
      </c>
      <c r="V1215" s="51" t="str">
        <f>IF(OR(TH!L1215=TH!$V$7,M1215=TH!$V$7),"x","")</f>
        <v/>
      </c>
      <c r="W1215" s="51" t="str">
        <f>IF(AND(B1215&gt;='IN-NX'!$P$3,B1215&lt;='IN-NX'!$Q$3,'IN-NX'!$D$7=D1215,OR(LEFT(L1215,2)="15",AND(LEFT(M1215,2)&lt;&gt;"15",LEFT(M1215,2)&lt;&gt;"33"))),"x","")</f>
        <v/>
      </c>
      <c r="X1215" s="51" t="str">
        <f>IF(AND(OR(LEFT(TH!L1215,2)="15",LEFT(TH!M1215,2)="15"),'152-CT'!$J$8=TH!F1215),"x","")</f>
        <v/>
      </c>
      <c r="Y1215" s="51" t="str">
        <f>IF(AND(OR(LEFT(TH!L1215,2)="15",LEFT(TH!M1215,2)="15"),TK!$E$7=TH!F1215),"x","")</f>
        <v/>
      </c>
      <c r="Z1215" s="51" t="str">
        <f>IF(AND(B1215&lt;=NKC!$N$8,B1215&gt;=NKC!$M$8),"x","")</f>
        <v/>
      </c>
      <c r="AA1215" s="803"/>
      <c r="AB1215" s="565"/>
    </row>
    <row r="1216" spans="1:31" ht="15.75" customHeight="1">
      <c r="A1216" s="804" t="str">
        <f>IF(B1216&lt;&gt;"",IF(AND(B1216&gt;=_TM1,B1216&lt;=_TM2,OR(TH!L1216="1111",TH!M1216="1111")),TH!D1216,""),"")</f>
        <v/>
      </c>
      <c r="B1216" s="36">
        <f t="shared" si="79"/>
        <v>12</v>
      </c>
      <c r="C1216" s="189">
        <f t="shared" si="80"/>
        <v>42343</v>
      </c>
      <c r="D1216" s="189" t="s">
        <v>1449</v>
      </c>
      <c r="E1216" s="189">
        <v>42343</v>
      </c>
      <c r="F1216" s="926" t="s">
        <v>933</v>
      </c>
      <c r="G1216" s="813" t="s">
        <v>931</v>
      </c>
      <c r="H1216" s="191" t="s">
        <v>448</v>
      </c>
      <c r="I1216" s="243">
        <v>159</v>
      </c>
      <c r="J1216" s="243">
        <v>33419</v>
      </c>
      <c r="K1216" s="573">
        <f t="shared" si="81"/>
        <v>5313621</v>
      </c>
      <c r="L1216" s="574" t="s">
        <v>417</v>
      </c>
      <c r="M1216" s="574" t="s">
        <v>8</v>
      </c>
      <c r="N1216" s="51" t="str">
        <f>IF(AND('331-CT'!$E$7=TH!H1216,OR(L1216="331",M1216="331")),"331",IF(AND(OR(L1216="131",M1216="131"),H1216='131-CT'!$E$7),"131",""))</f>
        <v/>
      </c>
      <c r="O1216" s="51" t="str">
        <f>IF(AND($B1216&gt;='111'!$N$11,$B1216&lt;='111'!$O$11,OR($L1216=$O$7,$M1216=$O$7)),"x","")</f>
        <v/>
      </c>
      <c r="P1216" s="51" t="str">
        <f>IF(AND($L1216=$O$7,$B1216&lt;'111'!$N$11),"x","")</f>
        <v/>
      </c>
      <c r="Q1216" s="51" t="str">
        <f>IF(AND($M1216=$O$7,$B1216&lt;'111'!$N$11),"x","")</f>
        <v/>
      </c>
      <c r="R1216" s="51" t="str">
        <f>IF(ISERROR(FIND('112'!$M$9,G1216,1)),"",IF((AND(FIND('112'!$M$9,G1216,1)&gt;=1,$B1216&gt;='112'!$N$8,$B1216&lt;='112'!$O$8,OR($L1216='112'!$I$6,$M1216='112'!$I$6))),"x",""))</f>
        <v/>
      </c>
      <c r="S1216" s="51" t="str">
        <f>IF(ISERROR(FIND('112'!$M$9,G1216,1)),"",IF((AND(LEFT(G1216,2)=LEFT('112'!$M$9,2),B1216&lt;'112'!$N$8,$L1216='112'!$I$6)),"x",""))</f>
        <v/>
      </c>
      <c r="T1216" s="51" t="str">
        <f>IF(ISERROR(FIND('112'!$M$9,G1216,1)),"",IF((AND(RIGHT(G1216,2)=RIGHT('112'!$M$9,2),B1216&lt;'112'!$N$8,$M1216='112'!$I$6)),"x",""))</f>
        <v/>
      </c>
      <c r="U1216" s="51" t="str">
        <f>IF(AND(L1216="154",'154'!$O$5&lt;=B1216,'154'!$P$5&gt;=B1216),"154",IF(AND(L1216="632",'632'!$L$5&lt;=B1216,'632'!$M$5&gt;=B1216),"632",IF(AND(L1216="642",'642'!$N$5&lt;=B1216,'642'!$O$5&gt;=B1216),"642",IF(AND(L1216="641",'641'!$N$5&lt;=B1216,'641'!$O$5&gt;=B1216),"641",""))))</f>
        <v/>
      </c>
      <c r="V1216" s="51" t="str">
        <f>IF(OR(TH!L1216=TH!$V$7,M1216=TH!$V$7),"x","")</f>
        <v/>
      </c>
      <c r="W1216" s="51" t="str">
        <f>IF(AND(B1216&gt;='IN-NX'!$P$3,B1216&lt;='IN-NX'!$Q$3,'IN-NX'!$D$7=D1216,OR(LEFT(L1216,2)="15",AND(LEFT(M1216,2)&lt;&gt;"15",LEFT(M1216,2)&lt;&gt;"33"))),"x","")</f>
        <v/>
      </c>
      <c r="X1216" s="51" t="str">
        <f>IF(AND(OR(LEFT(TH!L1216,2)="15",LEFT(TH!M1216,2)="15"),'152-CT'!$J$8=TH!F1216),"x","")</f>
        <v/>
      </c>
      <c r="Y1216" s="51" t="str">
        <f>IF(AND(OR(LEFT(TH!L1216,2)="15",LEFT(TH!M1216,2)="15"),TK!$E$7=TH!F1216),"x","")</f>
        <v/>
      </c>
      <c r="Z1216" s="51" t="str">
        <f>IF(AND(B1216&lt;=NKC!$N$8,B1216&gt;=NKC!$M$8),"x","")</f>
        <v/>
      </c>
      <c r="AA1216" s="803"/>
      <c r="AB1216" s="565"/>
    </row>
    <row r="1217" spans="1:30" ht="15.75" customHeight="1">
      <c r="A1217" s="804" t="str">
        <f>IF(B1217&lt;&gt;"",IF(AND(B1217&gt;=_TM1,B1217&lt;=_TM2,OR(TH!L1217="1111",TH!M1217="1111")),TH!D1217,""),"")</f>
        <v/>
      </c>
      <c r="B1217" s="36">
        <f t="shared" si="79"/>
        <v>12</v>
      </c>
      <c r="C1217" s="189">
        <f t="shared" si="80"/>
        <v>42343</v>
      </c>
      <c r="D1217" s="189" t="s">
        <v>1449</v>
      </c>
      <c r="E1217" s="189">
        <v>42343</v>
      </c>
      <c r="F1217" s="926" t="s">
        <v>934</v>
      </c>
      <c r="G1217" s="813" t="s">
        <v>931</v>
      </c>
      <c r="H1217" s="191" t="s">
        <v>448</v>
      </c>
      <c r="I1217" s="243">
        <v>647</v>
      </c>
      <c r="J1217" s="243">
        <v>12532</v>
      </c>
      <c r="K1217" s="573">
        <f t="shared" si="81"/>
        <v>8108204</v>
      </c>
      <c r="L1217" s="574" t="s">
        <v>417</v>
      </c>
      <c r="M1217" s="574" t="s">
        <v>8</v>
      </c>
      <c r="N1217" s="51" t="str">
        <f>IF(AND('331-CT'!$E$7=TH!H1217,OR(L1217="331",M1217="331")),"331",IF(AND(OR(L1217="131",M1217="131"),H1217='131-CT'!$E$7),"131",""))</f>
        <v/>
      </c>
      <c r="O1217" s="51" t="str">
        <f>IF(AND($B1217&gt;='111'!$N$11,$B1217&lt;='111'!$O$11,OR($L1217=$O$7,$M1217=$O$7)),"x","")</f>
        <v/>
      </c>
      <c r="P1217" s="51" t="str">
        <f>IF(AND($L1217=$O$7,$B1217&lt;'111'!$N$11),"x","")</f>
        <v/>
      </c>
      <c r="Q1217" s="51" t="str">
        <f>IF(AND($M1217=$O$7,$B1217&lt;'111'!$N$11),"x","")</f>
        <v/>
      </c>
      <c r="R1217" s="51" t="str">
        <f>IF(ISERROR(FIND('112'!$M$9,G1217,1)),"",IF((AND(FIND('112'!$M$9,G1217,1)&gt;=1,$B1217&gt;='112'!$N$8,$B1217&lt;='112'!$O$8,OR($L1217='112'!$I$6,$M1217='112'!$I$6))),"x",""))</f>
        <v/>
      </c>
      <c r="S1217" s="51" t="str">
        <f>IF(ISERROR(FIND('112'!$M$9,G1217,1)),"",IF((AND(LEFT(G1217,2)=LEFT('112'!$M$9,2),B1217&lt;'112'!$N$8,$L1217='112'!$I$6)),"x",""))</f>
        <v/>
      </c>
      <c r="T1217" s="51" t="str">
        <f>IF(ISERROR(FIND('112'!$M$9,G1217,1)),"",IF((AND(RIGHT(G1217,2)=RIGHT('112'!$M$9,2),B1217&lt;'112'!$N$8,$M1217='112'!$I$6)),"x",""))</f>
        <v/>
      </c>
      <c r="U1217" s="51" t="str">
        <f>IF(AND(L1217="154",'154'!$O$5&lt;=B1217,'154'!$P$5&gt;=B1217),"154",IF(AND(L1217="632",'632'!$L$5&lt;=B1217,'632'!$M$5&gt;=B1217),"632",IF(AND(L1217="642",'642'!$N$5&lt;=B1217,'642'!$O$5&gt;=B1217),"642",IF(AND(L1217="641",'641'!$N$5&lt;=B1217,'641'!$O$5&gt;=B1217),"641",""))))</f>
        <v/>
      </c>
      <c r="V1217" s="51" t="str">
        <f>IF(OR(TH!L1217=TH!$V$7,M1217=TH!$V$7),"x","")</f>
        <v/>
      </c>
      <c r="W1217" s="51" t="str">
        <f>IF(AND(B1217&gt;='IN-NX'!$P$3,B1217&lt;='IN-NX'!$Q$3,'IN-NX'!$D$7=D1217,OR(LEFT(L1217,2)="15",AND(LEFT(M1217,2)&lt;&gt;"15",LEFT(M1217,2)&lt;&gt;"33"))),"x","")</f>
        <v/>
      </c>
      <c r="X1217" s="51" t="str">
        <f>IF(AND(OR(LEFT(TH!L1217,2)="15",LEFT(TH!M1217,2)="15"),'152-CT'!$J$8=TH!F1217),"x","")</f>
        <v/>
      </c>
      <c r="Y1217" s="51" t="str">
        <f>IF(AND(OR(LEFT(TH!L1217,2)="15",LEFT(TH!M1217,2)="15"),TK!$E$7=TH!F1217),"x","")</f>
        <v/>
      </c>
      <c r="Z1217" s="51" t="str">
        <f>IF(AND(B1217&lt;=NKC!$N$8,B1217&gt;=NKC!$M$8),"x","")</f>
        <v/>
      </c>
      <c r="AA1217" s="803"/>
      <c r="AB1217" s="565"/>
    </row>
    <row r="1218" spans="1:30" ht="15.75" customHeight="1">
      <c r="A1218" s="804" t="str">
        <f>IF(B1218&lt;&gt;"",IF(AND(B1218&gt;=_TM1,B1218&lt;=_TM2,OR(TH!L1218="1111",TH!M1218="1111")),TH!D1218,""),"")</f>
        <v/>
      </c>
      <c r="B1218" s="36">
        <f t="shared" si="79"/>
        <v>12</v>
      </c>
      <c r="C1218" s="189">
        <f t="shared" si="80"/>
        <v>42343</v>
      </c>
      <c r="D1218" s="189" t="s">
        <v>1449</v>
      </c>
      <c r="E1218" s="189">
        <v>42343</v>
      </c>
      <c r="F1218" s="926" t="s">
        <v>935</v>
      </c>
      <c r="G1218" s="813" t="s">
        <v>931</v>
      </c>
      <c r="H1218" s="191" t="s">
        <v>448</v>
      </c>
      <c r="I1218" s="243">
        <v>30</v>
      </c>
      <c r="J1218" s="243">
        <v>29223</v>
      </c>
      <c r="K1218" s="573">
        <f t="shared" si="81"/>
        <v>876690</v>
      </c>
      <c r="L1218" s="574" t="s">
        <v>417</v>
      </c>
      <c r="M1218" s="574" t="s">
        <v>8</v>
      </c>
      <c r="N1218" s="51" t="str">
        <f>IF(AND('331-CT'!$E$7=TH!H1218,OR(L1218="331",M1218="331")),"331",IF(AND(OR(L1218="131",M1218="131"),H1218='131-CT'!$E$7),"131",""))</f>
        <v/>
      </c>
      <c r="O1218" s="51" t="str">
        <f>IF(AND($B1218&gt;='111'!$N$11,$B1218&lt;='111'!$O$11,OR($L1218=$O$7,$M1218=$O$7)),"x","")</f>
        <v/>
      </c>
      <c r="P1218" s="51" t="str">
        <f>IF(AND($L1218=$O$7,$B1218&lt;'111'!$N$11),"x","")</f>
        <v/>
      </c>
      <c r="Q1218" s="51" t="str">
        <f>IF(AND($M1218=$O$7,$B1218&lt;'111'!$N$11),"x","")</f>
        <v/>
      </c>
      <c r="R1218" s="51" t="str">
        <f>IF(ISERROR(FIND('112'!$M$9,G1218,1)),"",IF((AND(FIND('112'!$M$9,G1218,1)&gt;=1,$B1218&gt;='112'!$N$8,$B1218&lt;='112'!$O$8,OR($L1218='112'!$I$6,$M1218='112'!$I$6))),"x",""))</f>
        <v/>
      </c>
      <c r="S1218" s="51" t="str">
        <f>IF(ISERROR(FIND('112'!$M$9,G1218,1)),"",IF((AND(LEFT(G1218,2)=LEFT('112'!$M$9,2),B1218&lt;'112'!$N$8,$L1218='112'!$I$6)),"x",""))</f>
        <v/>
      </c>
      <c r="T1218" s="51" t="str">
        <f>IF(ISERROR(FIND('112'!$M$9,G1218,1)),"",IF((AND(RIGHT(G1218,2)=RIGHT('112'!$M$9,2),B1218&lt;'112'!$N$8,$M1218='112'!$I$6)),"x",""))</f>
        <v/>
      </c>
      <c r="U1218" s="51" t="str">
        <f>IF(AND(L1218="154",'154'!$O$5&lt;=B1218,'154'!$P$5&gt;=B1218),"154",IF(AND(L1218="632",'632'!$L$5&lt;=B1218,'632'!$M$5&gt;=B1218),"632",IF(AND(L1218="642",'642'!$N$5&lt;=B1218,'642'!$O$5&gt;=B1218),"642",IF(AND(L1218="641",'641'!$N$5&lt;=B1218,'641'!$O$5&gt;=B1218),"641",""))))</f>
        <v/>
      </c>
      <c r="V1218" s="51" t="str">
        <f>IF(OR(TH!L1218=TH!$V$7,M1218=TH!$V$7),"x","")</f>
        <v/>
      </c>
      <c r="W1218" s="51" t="str">
        <f>IF(AND(B1218&gt;='IN-NX'!$P$3,B1218&lt;='IN-NX'!$Q$3,'IN-NX'!$D$7=D1218,OR(LEFT(L1218,2)="15",AND(LEFT(M1218,2)&lt;&gt;"15",LEFT(M1218,2)&lt;&gt;"33"))),"x","")</f>
        <v/>
      </c>
      <c r="X1218" s="51" t="str">
        <f>IF(AND(OR(LEFT(TH!L1218,2)="15",LEFT(TH!M1218,2)="15"),'152-CT'!$J$8=TH!F1218),"x","")</f>
        <v/>
      </c>
      <c r="Y1218" s="51" t="str">
        <f>IF(AND(OR(LEFT(TH!L1218,2)="15",LEFT(TH!M1218,2)="15"),TK!$E$7=TH!F1218),"x","")</f>
        <v/>
      </c>
      <c r="Z1218" s="51" t="str">
        <f>IF(AND(B1218&lt;=NKC!$N$8,B1218&gt;=NKC!$M$8),"x","")</f>
        <v/>
      </c>
      <c r="AA1218" s="803"/>
      <c r="AB1218" s="565"/>
    </row>
    <row r="1219" spans="1:30" ht="15.75" customHeight="1">
      <c r="A1219" s="804" t="str">
        <f>IF(B1219&lt;&gt;"",IF(AND(B1219&gt;=_TM1,B1219&lt;=_TM2,OR(TH!L1219="1111",TH!M1219="1111")),TH!D1219,""),"")</f>
        <v/>
      </c>
      <c r="B1219" s="36">
        <f t="shared" si="79"/>
        <v>12</v>
      </c>
      <c r="C1219" s="189">
        <f t="shared" si="80"/>
        <v>42343</v>
      </c>
      <c r="D1219" s="189" t="s">
        <v>1449</v>
      </c>
      <c r="E1219" s="189">
        <v>42343</v>
      </c>
      <c r="F1219" s="926" t="s">
        <v>936</v>
      </c>
      <c r="G1219" s="813" t="s">
        <v>931</v>
      </c>
      <c r="H1219" s="191" t="s">
        <v>448</v>
      </c>
      <c r="I1219" s="243">
        <v>30</v>
      </c>
      <c r="J1219" s="243">
        <v>19890</v>
      </c>
      <c r="K1219" s="573">
        <f t="shared" si="81"/>
        <v>596700</v>
      </c>
      <c r="L1219" s="574" t="s">
        <v>417</v>
      </c>
      <c r="M1219" s="574" t="s">
        <v>8</v>
      </c>
      <c r="N1219" s="51" t="str">
        <f>IF(AND('331-CT'!$E$7=TH!H1219,OR(L1219="331",M1219="331")),"331",IF(AND(OR(L1219="131",M1219="131"),H1219='131-CT'!$E$7),"131",""))</f>
        <v/>
      </c>
      <c r="O1219" s="51" t="str">
        <f>IF(AND($B1219&gt;='111'!$N$11,$B1219&lt;='111'!$O$11,OR($L1219=$O$7,$M1219=$O$7)),"x","")</f>
        <v/>
      </c>
      <c r="P1219" s="51" t="str">
        <f>IF(AND($L1219=$O$7,$B1219&lt;'111'!$N$11),"x","")</f>
        <v/>
      </c>
      <c r="Q1219" s="51" t="str">
        <f>IF(AND($M1219=$O$7,$B1219&lt;'111'!$N$11),"x","")</f>
        <v/>
      </c>
      <c r="R1219" s="51" t="str">
        <f>IF(ISERROR(FIND('112'!$M$9,G1219,1)),"",IF((AND(FIND('112'!$M$9,G1219,1)&gt;=1,$B1219&gt;='112'!$N$8,$B1219&lt;='112'!$O$8,OR($L1219='112'!$I$6,$M1219='112'!$I$6))),"x",""))</f>
        <v/>
      </c>
      <c r="S1219" s="51" t="str">
        <f>IF(ISERROR(FIND('112'!$M$9,G1219,1)),"",IF((AND(LEFT(G1219,2)=LEFT('112'!$M$9,2),B1219&lt;'112'!$N$8,$L1219='112'!$I$6)),"x",""))</f>
        <v/>
      </c>
      <c r="T1219" s="51" t="str">
        <f>IF(ISERROR(FIND('112'!$M$9,G1219,1)),"",IF((AND(RIGHT(G1219,2)=RIGHT('112'!$M$9,2),B1219&lt;'112'!$N$8,$M1219='112'!$I$6)),"x",""))</f>
        <v/>
      </c>
      <c r="U1219" s="51" t="str">
        <f>IF(AND(L1219="154",'154'!$O$5&lt;=B1219,'154'!$P$5&gt;=B1219),"154",IF(AND(L1219="632",'632'!$L$5&lt;=B1219,'632'!$M$5&gt;=B1219),"632",IF(AND(L1219="642",'642'!$N$5&lt;=B1219,'642'!$O$5&gt;=B1219),"642",IF(AND(L1219="641",'641'!$N$5&lt;=B1219,'641'!$O$5&gt;=B1219),"641",""))))</f>
        <v/>
      </c>
      <c r="V1219" s="51" t="str">
        <f>IF(OR(TH!L1219=TH!$V$7,M1219=TH!$V$7),"x","")</f>
        <v/>
      </c>
      <c r="W1219" s="51" t="str">
        <f>IF(AND(B1219&gt;='IN-NX'!$P$3,B1219&lt;='IN-NX'!$Q$3,'IN-NX'!$D$7=D1219,OR(LEFT(L1219,2)="15",AND(LEFT(M1219,2)&lt;&gt;"15",LEFT(M1219,2)&lt;&gt;"33"))),"x","")</f>
        <v/>
      </c>
      <c r="X1219" s="51" t="str">
        <f>IF(AND(OR(LEFT(TH!L1219,2)="15",LEFT(TH!M1219,2)="15"),'152-CT'!$J$8=TH!F1219),"x","")</f>
        <v/>
      </c>
      <c r="Y1219" s="51" t="str">
        <f>IF(AND(OR(LEFT(TH!L1219,2)="15",LEFT(TH!M1219,2)="15"),TK!$E$7=TH!F1219),"x","")</f>
        <v/>
      </c>
      <c r="Z1219" s="51" t="str">
        <f>IF(AND(B1219&lt;=NKC!$N$8,B1219&gt;=NKC!$M$8),"x","")</f>
        <v/>
      </c>
      <c r="AA1219" s="803"/>
      <c r="AB1219" s="565"/>
    </row>
    <row r="1220" spans="1:30" ht="15.75" customHeight="1">
      <c r="A1220" s="804" t="str">
        <f>IF(B1220&lt;&gt;"",IF(AND(B1220&gt;=_TM1,B1220&lt;=_TM2,OR(TH!L1220="1111",TH!M1220="1111")),TH!D1220,""),"")</f>
        <v/>
      </c>
      <c r="B1220" s="36">
        <f t="shared" si="79"/>
        <v>12</v>
      </c>
      <c r="C1220" s="189">
        <f t="shared" si="80"/>
        <v>42343</v>
      </c>
      <c r="D1220" s="189" t="s">
        <v>1449</v>
      </c>
      <c r="E1220" s="189">
        <v>42343</v>
      </c>
      <c r="F1220" s="926" t="s">
        <v>937</v>
      </c>
      <c r="G1220" s="813" t="s">
        <v>931</v>
      </c>
      <c r="H1220" s="191" t="s">
        <v>448</v>
      </c>
      <c r="I1220" s="243">
        <v>60</v>
      </c>
      <c r="J1220" s="243">
        <v>14841</v>
      </c>
      <c r="K1220" s="573">
        <f t="shared" si="81"/>
        <v>890460</v>
      </c>
      <c r="L1220" s="574" t="s">
        <v>417</v>
      </c>
      <c r="M1220" s="574" t="s">
        <v>8</v>
      </c>
      <c r="N1220" s="51" t="str">
        <f>IF(AND('331-CT'!$E$7=TH!H1220,OR(L1220="331",M1220="331")),"331",IF(AND(OR(L1220="131",M1220="131"),H1220='131-CT'!$E$7),"131",""))</f>
        <v/>
      </c>
      <c r="O1220" s="51" t="str">
        <f>IF(AND($B1220&gt;='111'!$N$11,$B1220&lt;='111'!$O$11,OR($L1220=$O$7,$M1220=$O$7)),"x","")</f>
        <v/>
      </c>
      <c r="P1220" s="51" t="str">
        <f>IF(AND($L1220=$O$7,$B1220&lt;'111'!$N$11),"x","")</f>
        <v/>
      </c>
      <c r="Q1220" s="51" t="str">
        <f>IF(AND($M1220=$O$7,$B1220&lt;'111'!$N$11),"x","")</f>
        <v/>
      </c>
      <c r="R1220" s="51" t="str">
        <f>IF(ISERROR(FIND('112'!$M$9,G1220,1)),"",IF((AND(FIND('112'!$M$9,G1220,1)&gt;=1,$B1220&gt;='112'!$N$8,$B1220&lt;='112'!$O$8,OR($L1220='112'!$I$6,$M1220='112'!$I$6))),"x",""))</f>
        <v/>
      </c>
      <c r="S1220" s="51" t="str">
        <f>IF(ISERROR(FIND('112'!$M$9,G1220,1)),"",IF((AND(LEFT(G1220,2)=LEFT('112'!$M$9,2),B1220&lt;'112'!$N$8,$L1220='112'!$I$6)),"x",""))</f>
        <v/>
      </c>
      <c r="T1220" s="51" t="str">
        <f>IF(ISERROR(FIND('112'!$M$9,G1220,1)),"",IF((AND(RIGHT(G1220,2)=RIGHT('112'!$M$9,2),B1220&lt;'112'!$N$8,$M1220='112'!$I$6)),"x",""))</f>
        <v/>
      </c>
      <c r="U1220" s="51" t="str">
        <f>IF(AND(L1220="154",'154'!$O$5&lt;=B1220,'154'!$P$5&gt;=B1220),"154",IF(AND(L1220="632",'632'!$L$5&lt;=B1220,'632'!$M$5&gt;=B1220),"632",IF(AND(L1220="642",'642'!$N$5&lt;=B1220,'642'!$O$5&gt;=B1220),"642",IF(AND(L1220="641",'641'!$N$5&lt;=B1220,'641'!$O$5&gt;=B1220),"641",""))))</f>
        <v/>
      </c>
      <c r="V1220" s="51" t="str">
        <f>IF(OR(TH!L1220=TH!$V$7,M1220=TH!$V$7),"x","")</f>
        <v/>
      </c>
      <c r="W1220" s="51" t="str">
        <f>IF(AND(B1220&gt;='IN-NX'!$P$3,B1220&lt;='IN-NX'!$Q$3,'IN-NX'!$D$7=D1220,OR(LEFT(L1220,2)="15",AND(LEFT(M1220,2)&lt;&gt;"15",LEFT(M1220,2)&lt;&gt;"33"))),"x","")</f>
        <v/>
      </c>
      <c r="X1220" s="51" t="str">
        <f>IF(AND(OR(LEFT(TH!L1220,2)="15",LEFT(TH!M1220,2)="15"),'152-CT'!$J$8=TH!F1220),"x","")</f>
        <v/>
      </c>
      <c r="Y1220" s="51" t="str">
        <f>IF(AND(OR(LEFT(TH!L1220,2)="15",LEFT(TH!M1220,2)="15"),TK!$E$7=TH!F1220),"x","")</f>
        <v/>
      </c>
      <c r="Z1220" s="51" t="str">
        <f>IF(AND(B1220&lt;=NKC!$N$8,B1220&gt;=NKC!$M$8),"x","")</f>
        <v/>
      </c>
      <c r="AA1220" s="803"/>
      <c r="AB1220" s="565"/>
    </row>
    <row r="1221" spans="1:30" ht="15.75" customHeight="1">
      <c r="A1221" s="804" t="str">
        <f>IF(B1221&lt;&gt;"",IF(AND(B1221&gt;=_TM1,B1221&lt;=_TM2,OR(TH!L1221="1111",TH!M1221="1111")),TH!D1221,""),"")</f>
        <v/>
      </c>
      <c r="B1221" s="36">
        <f t="shared" si="79"/>
        <v>12</v>
      </c>
      <c r="C1221" s="189">
        <f t="shared" si="80"/>
        <v>42343</v>
      </c>
      <c r="D1221" s="189" t="s">
        <v>1449</v>
      </c>
      <c r="E1221" s="189">
        <v>42343</v>
      </c>
      <c r="F1221" s="190" t="s">
        <v>938</v>
      </c>
      <c r="G1221" s="813" t="s">
        <v>931</v>
      </c>
      <c r="H1221" s="191" t="s">
        <v>448</v>
      </c>
      <c r="I1221" s="243">
        <v>60</v>
      </c>
      <c r="J1221" s="243">
        <v>17460</v>
      </c>
      <c r="K1221" s="573">
        <f t="shared" si="81"/>
        <v>1047600</v>
      </c>
      <c r="L1221" s="574" t="s">
        <v>417</v>
      </c>
      <c r="M1221" s="574" t="s">
        <v>8</v>
      </c>
      <c r="N1221" s="51" t="str">
        <f>IF(AND('331-CT'!$E$7=TH!H1221,OR(L1221="331",M1221="331")),"331",IF(AND(OR(L1221="131",M1221="131"),H1221='131-CT'!$E$7),"131",""))</f>
        <v/>
      </c>
      <c r="O1221" s="51" t="str">
        <f>IF(AND($B1221&gt;='111'!$N$11,$B1221&lt;='111'!$O$11,OR($L1221=$O$7,$M1221=$O$7)),"x","")</f>
        <v/>
      </c>
      <c r="P1221" s="51" t="str">
        <f>IF(AND($L1221=$O$7,$B1221&lt;'111'!$N$11),"x","")</f>
        <v/>
      </c>
      <c r="Q1221" s="51" t="str">
        <f>IF(AND($M1221=$O$7,$B1221&lt;'111'!$N$11),"x","")</f>
        <v/>
      </c>
      <c r="R1221" s="51" t="str">
        <f>IF(ISERROR(FIND('112'!$M$9,G1221,1)),"",IF((AND(FIND('112'!$M$9,G1221,1)&gt;=1,$B1221&gt;='112'!$N$8,$B1221&lt;='112'!$O$8,OR($L1221='112'!$I$6,$M1221='112'!$I$6))),"x",""))</f>
        <v/>
      </c>
      <c r="S1221" s="51" t="str">
        <f>IF(ISERROR(FIND('112'!$M$9,G1221,1)),"",IF((AND(LEFT(G1221,2)=LEFT('112'!$M$9,2),B1221&lt;'112'!$N$8,$L1221='112'!$I$6)),"x",""))</f>
        <v/>
      </c>
      <c r="T1221" s="51" t="str">
        <f>IF(ISERROR(FIND('112'!$M$9,G1221,1)),"",IF((AND(RIGHT(G1221,2)=RIGHT('112'!$M$9,2),B1221&lt;'112'!$N$8,$M1221='112'!$I$6)),"x",""))</f>
        <v/>
      </c>
      <c r="U1221" s="51" t="str">
        <f>IF(AND(L1221="154",'154'!$O$5&lt;=B1221,'154'!$P$5&gt;=B1221),"154",IF(AND(L1221="632",'632'!$L$5&lt;=B1221,'632'!$M$5&gt;=B1221),"632",IF(AND(L1221="642",'642'!$N$5&lt;=B1221,'642'!$O$5&gt;=B1221),"642",IF(AND(L1221="641",'641'!$N$5&lt;=B1221,'641'!$O$5&gt;=B1221),"641",""))))</f>
        <v/>
      </c>
      <c r="V1221" s="51" t="str">
        <f>IF(OR(TH!L1221=TH!$V$7,M1221=TH!$V$7),"x","")</f>
        <v/>
      </c>
      <c r="W1221" s="51" t="str">
        <f>IF(AND(B1221&gt;='IN-NX'!$P$3,B1221&lt;='IN-NX'!$Q$3,'IN-NX'!$D$7=D1221,OR(LEFT(L1221,2)="15",AND(LEFT(M1221,2)&lt;&gt;"15",LEFT(M1221,2)&lt;&gt;"33"))),"x","")</f>
        <v/>
      </c>
      <c r="X1221" s="51" t="str">
        <f>IF(AND(OR(LEFT(TH!L1221,2)="15",LEFT(TH!M1221,2)="15"),'152-CT'!$J$8=TH!F1221),"x","")</f>
        <v/>
      </c>
      <c r="Y1221" s="51" t="str">
        <f>IF(AND(OR(LEFT(TH!L1221,2)="15",LEFT(TH!M1221,2)="15"),TK!$E$7=TH!F1221),"x","")</f>
        <v/>
      </c>
      <c r="Z1221" s="51" t="str">
        <f>IF(AND(B1221&lt;=NKC!$N$8,B1221&gt;=NKC!$M$8),"x","")</f>
        <v/>
      </c>
      <c r="AA1221" s="803"/>
      <c r="AB1221" s="565"/>
    </row>
    <row r="1222" spans="1:30" ht="15.75" customHeight="1">
      <c r="A1222" s="804" t="str">
        <f>IF(B1222&lt;&gt;"",IF(AND(B1222&gt;=_TM1,B1222&lt;=_TM2,OR(TH!L1222="1111",TH!M1222="1111")),TH!D1222,""),"")</f>
        <v/>
      </c>
      <c r="B1222" s="36">
        <f t="shared" si="79"/>
        <v>12</v>
      </c>
      <c r="C1222" s="189">
        <f t="shared" si="80"/>
        <v>42343</v>
      </c>
      <c r="D1222" s="189" t="s">
        <v>1449</v>
      </c>
      <c r="E1222" s="189">
        <v>42343</v>
      </c>
      <c r="F1222" s="190" t="s">
        <v>939</v>
      </c>
      <c r="G1222" s="813" t="s">
        <v>931</v>
      </c>
      <c r="H1222" s="191" t="s">
        <v>448</v>
      </c>
      <c r="I1222" s="243">
        <v>60</v>
      </c>
      <c r="J1222" s="243">
        <v>21960</v>
      </c>
      <c r="K1222" s="573">
        <f t="shared" si="81"/>
        <v>1317600</v>
      </c>
      <c r="L1222" s="574" t="s">
        <v>417</v>
      </c>
      <c r="M1222" s="574" t="s">
        <v>8</v>
      </c>
      <c r="N1222" s="51" t="str">
        <f>IF(AND('331-CT'!$E$7=TH!H1222,OR(L1222="331",M1222="331")),"331",IF(AND(OR(L1222="131",M1222="131"),H1222='131-CT'!$E$7),"131",""))</f>
        <v/>
      </c>
      <c r="O1222" s="51" t="str">
        <f>IF(AND($B1222&gt;='111'!$N$11,$B1222&lt;='111'!$O$11,OR($L1222=$O$7,$M1222=$O$7)),"x","")</f>
        <v/>
      </c>
      <c r="P1222" s="51" t="str">
        <f>IF(AND($L1222=$O$7,$B1222&lt;'111'!$N$11),"x","")</f>
        <v/>
      </c>
      <c r="Q1222" s="51" t="str">
        <f>IF(AND($M1222=$O$7,$B1222&lt;'111'!$N$11),"x","")</f>
        <v/>
      </c>
      <c r="R1222" s="51" t="str">
        <f>IF(ISERROR(FIND('112'!$M$9,G1222,1)),"",IF((AND(FIND('112'!$M$9,G1222,1)&gt;=1,$B1222&gt;='112'!$N$8,$B1222&lt;='112'!$O$8,OR($L1222='112'!$I$6,$M1222='112'!$I$6))),"x",""))</f>
        <v/>
      </c>
      <c r="S1222" s="51" t="str">
        <f>IF(ISERROR(FIND('112'!$M$9,G1222,1)),"",IF((AND(LEFT(G1222,2)=LEFT('112'!$M$9,2),B1222&lt;'112'!$N$8,$L1222='112'!$I$6)),"x",""))</f>
        <v/>
      </c>
      <c r="T1222" s="51" t="str">
        <f>IF(ISERROR(FIND('112'!$M$9,G1222,1)),"",IF((AND(RIGHT(G1222,2)=RIGHT('112'!$M$9,2),B1222&lt;'112'!$N$8,$M1222='112'!$I$6)),"x",""))</f>
        <v/>
      </c>
      <c r="U1222" s="51" t="str">
        <f>IF(AND(L1222="154",'154'!$O$5&lt;=B1222,'154'!$P$5&gt;=B1222),"154",IF(AND(L1222="632",'632'!$L$5&lt;=B1222,'632'!$M$5&gt;=B1222),"632",IF(AND(L1222="642",'642'!$N$5&lt;=B1222,'642'!$O$5&gt;=B1222),"642",IF(AND(L1222="641",'641'!$N$5&lt;=B1222,'641'!$O$5&gt;=B1222),"641",""))))</f>
        <v/>
      </c>
      <c r="V1222" s="51" t="str">
        <f>IF(OR(TH!L1222=TH!$V$7,M1222=TH!$V$7),"x","")</f>
        <v/>
      </c>
      <c r="W1222" s="51" t="str">
        <f>IF(AND(B1222&gt;='IN-NX'!$P$3,B1222&lt;='IN-NX'!$Q$3,'IN-NX'!$D$7=D1222,OR(LEFT(L1222,2)="15",AND(LEFT(M1222,2)&lt;&gt;"15",LEFT(M1222,2)&lt;&gt;"33"))),"x","")</f>
        <v/>
      </c>
      <c r="X1222" s="51" t="str">
        <f>IF(AND(OR(LEFT(TH!L1222,2)="15",LEFT(TH!M1222,2)="15"),'152-CT'!$J$8=TH!F1222),"x","")</f>
        <v/>
      </c>
      <c r="Y1222" s="51" t="str">
        <f>IF(AND(OR(LEFT(TH!L1222,2)="15",LEFT(TH!M1222,2)="15"),TK!$E$7=TH!F1222),"x","")</f>
        <v/>
      </c>
      <c r="Z1222" s="51" t="str">
        <f>IF(AND(B1222&lt;=NKC!$N$8,B1222&gt;=NKC!$M$8),"x","")</f>
        <v/>
      </c>
      <c r="AA1222" s="803"/>
      <c r="AB1222" s="565"/>
    </row>
    <row r="1223" spans="1:30" ht="15.75" customHeight="1">
      <c r="A1223" s="804" t="str">
        <f>IF(B1223&lt;&gt;"",IF(AND(B1223&gt;=_TM1,B1223&lt;=_TM2,OR(TH!L1223="1111",TH!M1223="1111")),TH!D1223,""),"")</f>
        <v/>
      </c>
      <c r="B1223" s="36">
        <f t="shared" si="79"/>
        <v>12</v>
      </c>
      <c r="C1223" s="189">
        <f t="shared" si="80"/>
        <v>42343</v>
      </c>
      <c r="D1223" s="189" t="s">
        <v>1449</v>
      </c>
      <c r="E1223" s="189">
        <v>42343</v>
      </c>
      <c r="F1223" s="190" t="s">
        <v>933</v>
      </c>
      <c r="G1223" s="813" t="s">
        <v>931</v>
      </c>
      <c r="H1223" s="191" t="s">
        <v>448</v>
      </c>
      <c r="I1223" s="243">
        <v>112</v>
      </c>
      <c r="J1223" s="243">
        <v>33210</v>
      </c>
      <c r="K1223" s="573">
        <f t="shared" si="81"/>
        <v>3719520</v>
      </c>
      <c r="L1223" s="574" t="s">
        <v>417</v>
      </c>
      <c r="M1223" s="574" t="s">
        <v>8</v>
      </c>
      <c r="N1223" s="51" t="str">
        <f>IF(AND('331-CT'!$E$7=TH!H1223,OR(L1223="331",M1223="331")),"331",IF(AND(OR(L1223="131",M1223="131"),H1223='131-CT'!$E$7),"131",""))</f>
        <v/>
      </c>
      <c r="O1223" s="51" t="str">
        <f>IF(AND($B1223&gt;='111'!$N$11,$B1223&lt;='111'!$O$11,OR($L1223=$O$7,$M1223=$O$7)),"x","")</f>
        <v/>
      </c>
      <c r="P1223" s="51" t="str">
        <f>IF(AND($L1223=$O$7,$B1223&lt;'111'!$N$11),"x","")</f>
        <v/>
      </c>
      <c r="Q1223" s="51" t="str">
        <f>IF(AND($M1223=$O$7,$B1223&lt;'111'!$N$11),"x","")</f>
        <v/>
      </c>
      <c r="R1223" s="51" t="str">
        <f>IF(ISERROR(FIND('112'!$M$9,G1223,1)),"",IF((AND(FIND('112'!$M$9,G1223,1)&gt;=1,$B1223&gt;='112'!$N$8,$B1223&lt;='112'!$O$8,OR($L1223='112'!$I$6,$M1223='112'!$I$6))),"x",""))</f>
        <v/>
      </c>
      <c r="S1223" s="51" t="str">
        <f>IF(ISERROR(FIND('112'!$M$9,G1223,1)),"",IF((AND(LEFT(G1223,2)=LEFT('112'!$M$9,2),B1223&lt;'112'!$N$8,$L1223='112'!$I$6)),"x",""))</f>
        <v/>
      </c>
      <c r="T1223" s="51" t="str">
        <f>IF(ISERROR(FIND('112'!$M$9,G1223,1)),"",IF((AND(RIGHT(G1223,2)=RIGHT('112'!$M$9,2),B1223&lt;'112'!$N$8,$M1223='112'!$I$6)),"x",""))</f>
        <v/>
      </c>
      <c r="U1223" s="51" t="str">
        <f>IF(AND(L1223="154",'154'!$O$5&lt;=B1223,'154'!$P$5&gt;=B1223),"154",IF(AND(L1223="632",'632'!$L$5&lt;=B1223,'632'!$M$5&gt;=B1223),"632",IF(AND(L1223="642",'642'!$N$5&lt;=B1223,'642'!$O$5&gt;=B1223),"642",IF(AND(L1223="641",'641'!$N$5&lt;=B1223,'641'!$O$5&gt;=B1223),"641",""))))</f>
        <v/>
      </c>
      <c r="V1223" s="51" t="str">
        <f>IF(OR(TH!L1223=TH!$V$7,M1223=TH!$V$7),"x","")</f>
        <v/>
      </c>
      <c r="W1223" s="51" t="str">
        <f>IF(AND(B1223&gt;='IN-NX'!$P$3,B1223&lt;='IN-NX'!$Q$3,'IN-NX'!$D$7=D1223,OR(LEFT(L1223,2)="15",AND(LEFT(M1223,2)&lt;&gt;"15",LEFT(M1223,2)&lt;&gt;"33"))),"x","")</f>
        <v/>
      </c>
      <c r="X1223" s="51" t="str">
        <f>IF(AND(OR(LEFT(TH!L1223,2)="15",LEFT(TH!M1223,2)="15"),'152-CT'!$J$8=TH!F1223),"x","")</f>
        <v/>
      </c>
      <c r="Y1223" s="51" t="str">
        <f>IF(AND(OR(LEFT(TH!L1223,2)="15",LEFT(TH!M1223,2)="15"),TK!$E$7=TH!F1223),"x","")</f>
        <v/>
      </c>
      <c r="Z1223" s="51" t="str">
        <f>IF(AND(B1223&lt;=NKC!$N$8,B1223&gt;=NKC!$M$8),"x","")</f>
        <v/>
      </c>
      <c r="AA1223" s="803"/>
      <c r="AB1223" s="565"/>
    </row>
    <row r="1224" spans="1:30" ht="15.75" customHeight="1">
      <c r="A1224" s="804" t="str">
        <f>IF(B1224&lt;&gt;"",IF(AND(B1224&gt;=_TM1,B1224&lt;=_TM2,OR(TH!L1224="1111",TH!M1224="1111")),TH!D1224,""),"")</f>
        <v/>
      </c>
      <c r="B1224" s="36">
        <f t="shared" si="79"/>
        <v>12</v>
      </c>
      <c r="C1224" s="189">
        <f t="shared" si="80"/>
        <v>42343</v>
      </c>
      <c r="D1224" s="189" t="s">
        <v>1449</v>
      </c>
      <c r="E1224" s="189">
        <v>42343</v>
      </c>
      <c r="F1224" s="190" t="s">
        <v>496</v>
      </c>
      <c r="G1224" s="813" t="s">
        <v>931</v>
      </c>
      <c r="H1224" s="191" t="s">
        <v>448</v>
      </c>
      <c r="I1224" s="243"/>
      <c r="J1224" s="243"/>
      <c r="K1224" s="573">
        <v>3544475</v>
      </c>
      <c r="L1224" s="574" t="s">
        <v>9</v>
      </c>
      <c r="M1224" s="574" t="s">
        <v>8</v>
      </c>
      <c r="N1224" s="51" t="str">
        <f>IF(AND('331-CT'!$E$7=TH!H1224,OR(L1224="331",M1224="331")),"331",IF(AND(OR(L1224="131",M1224="131"),H1224='131-CT'!$E$7),"131",""))</f>
        <v/>
      </c>
      <c r="O1224" s="51" t="str">
        <f>IF(AND($B1224&gt;='111'!$N$11,$B1224&lt;='111'!$O$11,OR($L1224=$O$7,$M1224=$O$7)),"x","")</f>
        <v/>
      </c>
      <c r="P1224" s="51" t="str">
        <f>IF(AND($L1224=$O$7,$B1224&lt;'111'!$N$11),"x","")</f>
        <v/>
      </c>
      <c r="Q1224" s="51" t="str">
        <f>IF(AND($M1224=$O$7,$B1224&lt;'111'!$N$11),"x","")</f>
        <v/>
      </c>
      <c r="R1224" s="51" t="str">
        <f>IF(ISERROR(FIND('112'!$M$9,G1224,1)),"",IF((AND(FIND('112'!$M$9,G1224,1)&gt;=1,$B1224&gt;='112'!$N$8,$B1224&lt;='112'!$O$8,OR($L1224='112'!$I$6,$M1224='112'!$I$6))),"x",""))</f>
        <v/>
      </c>
      <c r="S1224" s="51" t="str">
        <f>IF(ISERROR(FIND('112'!$M$9,G1224,1)),"",IF((AND(LEFT(G1224,2)=LEFT('112'!$M$9,2),B1224&lt;'112'!$N$8,$L1224='112'!$I$6)),"x",""))</f>
        <v/>
      </c>
      <c r="T1224" s="51" t="str">
        <f>IF(ISERROR(FIND('112'!$M$9,G1224,1)),"",IF((AND(RIGHT(G1224,2)=RIGHT('112'!$M$9,2),B1224&lt;'112'!$N$8,$M1224='112'!$I$6)),"x",""))</f>
        <v/>
      </c>
      <c r="U1224" s="51" t="str">
        <f>IF(AND(L1224="154",'154'!$O$5&lt;=B1224,'154'!$P$5&gt;=B1224),"154",IF(AND(L1224="632",'632'!$L$5&lt;=B1224,'632'!$M$5&gt;=B1224),"632",IF(AND(L1224="642",'642'!$N$5&lt;=B1224,'642'!$O$5&gt;=B1224),"642",IF(AND(L1224="641",'641'!$N$5&lt;=B1224,'641'!$O$5&gt;=B1224),"641",""))))</f>
        <v/>
      </c>
      <c r="V1224" s="51" t="str">
        <f>IF(OR(TH!L1224=TH!$V$7,M1224=TH!$V$7),"x","")</f>
        <v/>
      </c>
      <c r="W1224" s="51" t="str">
        <f>IF(AND(B1224&gt;='IN-NX'!$P$3,B1224&lt;='IN-NX'!$Q$3,'IN-NX'!$D$7=D1224,OR(LEFT(L1224,2)="15",AND(LEFT(M1224,2)&lt;&gt;"15",LEFT(M1224,2)&lt;&gt;"33"))),"x","")</f>
        <v/>
      </c>
      <c r="X1224" s="51" t="str">
        <f>IF(AND(OR(LEFT(TH!L1224,2)="15",LEFT(TH!M1224,2)="15"),'152-CT'!$J$8=TH!F1224),"x","")</f>
        <v/>
      </c>
      <c r="Y1224" s="51" t="str">
        <f>IF(AND(OR(LEFT(TH!L1224,2)="15",LEFT(TH!M1224,2)="15"),TK!$E$7=TH!F1224),"x","")</f>
        <v/>
      </c>
      <c r="Z1224" s="51" t="str">
        <f>IF(AND(B1224&lt;=NKC!$N$8,B1224&gt;=NKC!$M$8),"x","")</f>
        <v/>
      </c>
      <c r="AA1224" s="803">
        <v>4</v>
      </c>
      <c r="AB1224" s="565"/>
    </row>
    <row r="1225" spans="1:30" ht="15.75" customHeight="1">
      <c r="A1225" s="804" t="str">
        <f>IF(B1225&lt;&gt;"",IF(AND(B1225&gt;=_TM1,B1225&lt;=_TM2,OR(TH!L1225="1111",TH!M1225="1111")),TH!D1225,""),"")</f>
        <v/>
      </c>
      <c r="B1225" s="36">
        <f t="shared" si="79"/>
        <v>12</v>
      </c>
      <c r="C1225" s="189">
        <f t="shared" si="80"/>
        <v>42344</v>
      </c>
      <c r="D1225" s="189" t="s">
        <v>1450</v>
      </c>
      <c r="E1225" s="189">
        <v>42344</v>
      </c>
      <c r="F1225" s="917" t="s">
        <v>894</v>
      </c>
      <c r="G1225" s="813" t="s">
        <v>928</v>
      </c>
      <c r="H1225" s="191" t="s">
        <v>957</v>
      </c>
      <c r="I1225" s="243">
        <v>200</v>
      </c>
      <c r="J1225" s="243">
        <v>8351</v>
      </c>
      <c r="K1225" s="573">
        <f>ROUND(I1225*J1225,0)</f>
        <v>1670200</v>
      </c>
      <c r="L1225" s="574" t="s">
        <v>417</v>
      </c>
      <c r="M1225" s="574" t="s">
        <v>8</v>
      </c>
      <c r="N1225" s="51" t="str">
        <f>IF(AND('331-CT'!$E$7=TH!H1225,OR(L1225="331",M1225="331")),"331",IF(AND(OR(L1225="131",M1225="131"),H1225='131-CT'!$E$7),"131",""))</f>
        <v/>
      </c>
      <c r="O1225" s="51" t="str">
        <f>IF(AND($B1225&gt;='111'!$N$11,$B1225&lt;='111'!$O$11,OR($L1225=$O$7,$M1225=$O$7)),"x","")</f>
        <v/>
      </c>
      <c r="P1225" s="51" t="str">
        <f>IF(AND($L1225=$O$7,$B1225&lt;'111'!$N$11),"x","")</f>
        <v/>
      </c>
      <c r="Q1225" s="51" t="str">
        <f>IF(AND($M1225=$O$7,$B1225&lt;'111'!$N$11),"x","")</f>
        <v/>
      </c>
      <c r="R1225" s="51" t="str">
        <f>IF(ISERROR(FIND('112'!$M$9,G1225,1)),"",IF((AND(FIND('112'!$M$9,G1225,1)&gt;=1,$B1225&gt;='112'!$N$8,$B1225&lt;='112'!$O$8,OR($L1225='112'!$I$6,$M1225='112'!$I$6))),"x",""))</f>
        <v/>
      </c>
      <c r="S1225" s="51" t="str">
        <f>IF(ISERROR(FIND('112'!$M$9,G1225,1)),"",IF((AND(LEFT(G1225,2)=LEFT('112'!$M$9,2),B1225&lt;'112'!$N$8,$L1225='112'!$I$6)),"x",""))</f>
        <v/>
      </c>
      <c r="T1225" s="51" t="str">
        <f>IF(ISERROR(FIND('112'!$M$9,G1225,1)),"",IF((AND(RIGHT(G1225,2)=RIGHT('112'!$M$9,2),B1225&lt;'112'!$N$8,$M1225='112'!$I$6)),"x",""))</f>
        <v/>
      </c>
      <c r="U1225" s="51" t="str">
        <f>IF(AND(L1225="154",'154'!$O$5&lt;=B1225,'154'!$P$5&gt;=B1225),"154",IF(AND(L1225="632",'632'!$L$5&lt;=B1225,'632'!$M$5&gt;=B1225),"632",IF(AND(L1225="642",'642'!$N$5&lt;=B1225,'642'!$O$5&gt;=B1225),"642",IF(AND(L1225="641",'641'!$N$5&lt;=B1225,'641'!$O$5&gt;=B1225),"641",""))))</f>
        <v/>
      </c>
      <c r="V1225" s="51" t="str">
        <f>IF(OR(TH!L1225=TH!$V$7,M1225=TH!$V$7),"x","")</f>
        <v/>
      </c>
      <c r="W1225" s="51" t="str">
        <f>IF(AND(B1225&gt;='IN-NX'!$P$3,B1225&lt;='IN-NX'!$Q$3,'IN-NX'!$D$7=D1225,OR(LEFT(L1225,2)="15",AND(LEFT(M1225,2)&lt;&gt;"15",LEFT(M1225,2)&lt;&gt;"33"))),"x","")</f>
        <v/>
      </c>
      <c r="X1225" s="51" t="str">
        <f>IF(AND(OR(LEFT(TH!L1225,2)="15",LEFT(TH!M1225,2)="15"),'152-CT'!$J$8=TH!F1225),"x","")</f>
        <v/>
      </c>
      <c r="Y1225" s="51" t="str">
        <f>IF(AND(OR(LEFT(TH!L1225,2)="15",LEFT(TH!M1225,2)="15"),TK!$E$7=TH!F1225),"x","")</f>
        <v/>
      </c>
      <c r="Z1225" s="51" t="str">
        <f>IF(AND(B1225&lt;=NKC!$N$8,B1225&gt;=NKC!$M$8),"x","")</f>
        <v/>
      </c>
      <c r="AA1225" s="803"/>
      <c r="AB1225" s="565"/>
    </row>
    <row r="1226" spans="1:30" ht="15.75" customHeight="1">
      <c r="A1226" s="804" t="str">
        <f>IF(B1226&lt;&gt;"",IF(AND(B1226&gt;=_TM1,B1226&lt;=_TM2,OR(TH!L1226="1111",TH!M1226="1111")),TH!D1226,""),"")</f>
        <v/>
      </c>
      <c r="B1226" s="36">
        <f t="shared" si="79"/>
        <v>12</v>
      </c>
      <c r="C1226" s="189">
        <f t="shared" si="80"/>
        <v>42344</v>
      </c>
      <c r="D1226" s="189" t="s">
        <v>1450</v>
      </c>
      <c r="E1226" s="189">
        <v>42344</v>
      </c>
      <c r="F1226" s="190" t="s">
        <v>496</v>
      </c>
      <c r="G1226" s="813" t="s">
        <v>928</v>
      </c>
      <c r="H1226" s="191" t="s">
        <v>957</v>
      </c>
      <c r="I1226" s="243"/>
      <c r="J1226" s="243"/>
      <c r="K1226" s="573">
        <v>167020</v>
      </c>
      <c r="L1226" s="574" t="s">
        <v>9</v>
      </c>
      <c r="M1226" s="574" t="s">
        <v>8</v>
      </c>
      <c r="N1226" s="51" t="str">
        <f>IF(AND('331-CT'!$E$7=TH!H1226,OR(L1226="331",M1226="331")),"331",IF(AND(OR(L1226="131",M1226="131"),H1226='131-CT'!$E$7),"131",""))</f>
        <v/>
      </c>
      <c r="O1226" s="51" t="str">
        <f>IF(AND($B1226&gt;='111'!$N$11,$B1226&lt;='111'!$O$11,OR($L1226=$O$7,$M1226=$O$7)),"x","")</f>
        <v/>
      </c>
      <c r="P1226" s="51" t="str">
        <f>IF(AND($L1226=$O$7,$B1226&lt;'111'!$N$11),"x","")</f>
        <v/>
      </c>
      <c r="Q1226" s="51" t="str">
        <f>IF(AND($M1226=$O$7,$B1226&lt;'111'!$N$11),"x","")</f>
        <v/>
      </c>
      <c r="R1226" s="51" t="str">
        <f>IF(ISERROR(FIND('112'!$M$9,G1226,1)),"",IF((AND(FIND('112'!$M$9,G1226,1)&gt;=1,$B1226&gt;='112'!$N$8,$B1226&lt;='112'!$O$8,OR($L1226='112'!$I$6,$M1226='112'!$I$6))),"x",""))</f>
        <v/>
      </c>
      <c r="S1226" s="51" t="str">
        <f>IF(ISERROR(FIND('112'!$M$9,G1226,1)),"",IF((AND(LEFT(G1226,2)=LEFT('112'!$M$9,2),B1226&lt;'112'!$N$8,$L1226='112'!$I$6)),"x",""))</f>
        <v/>
      </c>
      <c r="T1226" s="51" t="str">
        <f>IF(ISERROR(FIND('112'!$M$9,G1226,1)),"",IF((AND(RIGHT(G1226,2)=RIGHT('112'!$M$9,2),B1226&lt;'112'!$N$8,$M1226='112'!$I$6)),"x",""))</f>
        <v/>
      </c>
      <c r="U1226" s="51" t="str">
        <f>IF(AND(L1226="154",'154'!$O$5&lt;=B1226,'154'!$P$5&gt;=B1226),"154",IF(AND(L1226="632",'632'!$L$5&lt;=B1226,'632'!$M$5&gt;=B1226),"632",IF(AND(L1226="642",'642'!$N$5&lt;=B1226,'642'!$O$5&gt;=B1226),"642",IF(AND(L1226="641",'641'!$N$5&lt;=B1226,'641'!$O$5&gt;=B1226),"641",""))))</f>
        <v/>
      </c>
      <c r="V1226" s="51" t="str">
        <f>IF(OR(TH!L1226=TH!$V$7,M1226=TH!$V$7),"x","")</f>
        <v/>
      </c>
      <c r="W1226" s="51" t="str">
        <f>IF(AND(B1226&gt;='IN-NX'!$P$3,B1226&lt;='IN-NX'!$Q$3,'IN-NX'!$D$7=D1226,OR(LEFT(L1226,2)="15",AND(LEFT(M1226,2)&lt;&gt;"15",LEFT(M1226,2)&lt;&gt;"33"))),"x","")</f>
        <v/>
      </c>
      <c r="X1226" s="51" t="str">
        <f>IF(AND(OR(LEFT(TH!L1226,2)="15",LEFT(TH!M1226,2)="15"),'152-CT'!$J$8=TH!F1226),"x","")</f>
        <v/>
      </c>
      <c r="Y1226" s="51" t="str">
        <f>IF(AND(OR(LEFT(TH!L1226,2)="15",LEFT(TH!M1226,2)="15"),TK!$E$7=TH!F1226),"x","")</f>
        <v/>
      </c>
      <c r="Z1226" s="51" t="str">
        <f>IF(AND(B1226&lt;=NKC!$N$8,B1226&gt;=NKC!$M$8),"x","")</f>
        <v/>
      </c>
      <c r="AA1226" s="803">
        <v>4</v>
      </c>
      <c r="AB1226" s="565"/>
    </row>
    <row r="1227" spans="1:30" ht="15.75" customHeight="1">
      <c r="A1227" s="804" t="str">
        <f>IF(B1227&lt;&gt;"",IF(AND(B1227&gt;=_TM1,B1227&lt;=_TM2,OR(TH!L1227="1111",TH!M1227="1111")),TH!D1227,""),"")</f>
        <v/>
      </c>
      <c r="B1227" s="36">
        <f t="shared" si="79"/>
        <v>12</v>
      </c>
      <c r="C1227" s="189">
        <f t="shared" si="80"/>
        <v>42345</v>
      </c>
      <c r="D1227" s="189" t="s">
        <v>1443</v>
      </c>
      <c r="E1227" s="182">
        <v>42345</v>
      </c>
      <c r="F1227" s="187" t="s">
        <v>438</v>
      </c>
      <c r="G1227" s="811"/>
      <c r="H1227" s="191" t="s">
        <v>959</v>
      </c>
      <c r="I1227" s="243"/>
      <c r="J1227" s="243"/>
      <c r="K1227" s="573">
        <v>12666573</v>
      </c>
      <c r="L1227" s="574" t="s">
        <v>8</v>
      </c>
      <c r="M1227" s="574" t="s">
        <v>47</v>
      </c>
      <c r="N1227" s="51" t="str">
        <f>IF(AND('331-CT'!$E$7=TH!H1227,OR(L1227="331",M1227="331")),"331",IF(AND(OR(L1227="131",M1227="131"),H1227='131-CT'!$E$7),"131",""))</f>
        <v>331</v>
      </c>
      <c r="O1227" s="51" t="str">
        <f>IF(AND($B1227&gt;='111'!$N$11,$B1227&lt;='111'!$O$11,OR($L1227=$O$7,$M1227=$O$7)),"x","")</f>
        <v>x</v>
      </c>
      <c r="P1227" s="51" t="str">
        <f>IF(AND($L1227=$O$7,$B1227&lt;'111'!$N$11),"x","")</f>
        <v/>
      </c>
      <c r="Q1227" s="51" t="str">
        <f>IF(AND($M1227=$O$7,$B1227&lt;'111'!$N$11),"x","")</f>
        <v/>
      </c>
      <c r="R1227" s="51" t="str">
        <f>IF(ISERROR(FIND('112'!$M$9,G1227,1)),"",IF((AND(FIND('112'!$M$9,G1227,1)&gt;=1,$B1227&gt;='112'!$N$8,$B1227&lt;='112'!$O$8,OR($L1227='112'!$I$6,$M1227='112'!$I$6))),"x",""))</f>
        <v/>
      </c>
      <c r="S1227" s="51" t="str">
        <f>IF(ISERROR(FIND('112'!$M$9,G1227,1)),"",IF((AND(LEFT(G1227,2)=LEFT('112'!$M$9,2),B1227&lt;'112'!$N$8,$L1227='112'!$I$6)),"x",""))</f>
        <v/>
      </c>
      <c r="T1227" s="51" t="str">
        <f>IF(ISERROR(FIND('112'!$M$9,G1227,1)),"",IF((AND(RIGHT(G1227,2)=RIGHT('112'!$M$9,2),B1227&lt;'112'!$N$8,$M1227='112'!$I$6)),"x",""))</f>
        <v/>
      </c>
      <c r="U1227" s="51" t="str">
        <f>IF(AND(L1227="154",'154'!$O$5&lt;=B1227,'154'!$P$5&gt;=B1227),"154",IF(AND(L1227="632",'632'!$L$5&lt;=B1227,'632'!$M$5&gt;=B1227),"632",IF(AND(L1227="642",'642'!$N$5&lt;=B1227,'642'!$O$5&gt;=B1227),"642",IF(AND(L1227="641",'641'!$N$5&lt;=B1227,'641'!$O$5&gt;=B1227),"641",""))))</f>
        <v/>
      </c>
      <c r="V1227" s="51" t="str">
        <f>IF(OR(TH!L1227=TH!$V$7,M1227=TH!$V$7),"x","")</f>
        <v/>
      </c>
      <c r="W1227" s="51" t="str">
        <f>IF(AND(B1227&gt;='IN-NX'!$P$3,B1227&lt;='IN-NX'!$Q$3,'IN-NX'!$D$7=D1227,OR(LEFT(L1227,2)="15",AND(LEFT(M1227,2)&lt;&gt;"15",LEFT(M1227,2)&lt;&gt;"33"))),"x","")</f>
        <v/>
      </c>
      <c r="X1227" s="51" t="str">
        <f>IF(AND(OR(LEFT(TH!L1227,2)="15",LEFT(TH!M1227,2)="15"),'152-CT'!$J$8=TH!F1227),"x","")</f>
        <v/>
      </c>
      <c r="Y1227" s="51" t="str">
        <f>IF(AND(OR(LEFT(TH!L1227,2)="15",LEFT(TH!M1227,2)="15"),TK!$E$7=TH!F1227),"x","")</f>
        <v/>
      </c>
      <c r="Z1227" s="51" t="str">
        <f>IF(AND(B1227&lt;=NKC!$N$8,B1227&gt;=NKC!$M$8),"x","")</f>
        <v/>
      </c>
      <c r="AA1227" s="803"/>
      <c r="AB1227" s="565"/>
    </row>
    <row r="1228" spans="1:30" ht="15.75" customHeight="1">
      <c r="A1228" s="804" t="str">
        <f>IF(B1228&lt;&gt;"",IF(AND(B1228&gt;=_TM1,B1228&lt;=_TM2,OR(TH!L1228="1111",TH!M1228="1111")),TH!D1228,""),"")</f>
        <v/>
      </c>
      <c r="B1228" s="36">
        <f t="shared" si="79"/>
        <v>12</v>
      </c>
      <c r="C1228" s="189">
        <f t="shared" si="80"/>
        <v>42345</v>
      </c>
      <c r="D1228" s="189" t="s">
        <v>1444</v>
      </c>
      <c r="E1228" s="182">
        <v>42345</v>
      </c>
      <c r="F1228" s="187" t="s">
        <v>433</v>
      </c>
      <c r="G1228" s="811" t="s">
        <v>415</v>
      </c>
      <c r="H1228" s="7" t="s">
        <v>437</v>
      </c>
      <c r="I1228" s="243"/>
      <c r="J1228" s="243"/>
      <c r="K1228" s="573">
        <v>21500000</v>
      </c>
      <c r="L1228" s="574" t="s">
        <v>24</v>
      </c>
      <c r="M1228" s="192" t="s">
        <v>47</v>
      </c>
      <c r="N1228" s="51" t="str">
        <f>IF(AND('331-CT'!$E$7=TH!H1228,OR(L1228="331",M1228="331")),"331",IF(AND(OR(L1228="131",M1228="131"),H1228='131-CT'!$E$7),"131",""))</f>
        <v/>
      </c>
      <c r="O1228" s="51" t="str">
        <f>IF(AND($B1228&gt;='111'!$N$11,$B1228&lt;='111'!$O$11,OR($L1228=$O$7,$M1228=$O$7)),"x","")</f>
        <v>x</v>
      </c>
      <c r="P1228" s="51" t="str">
        <f>IF(AND($L1228=$O$7,$B1228&lt;'111'!$N$11),"x","")</f>
        <v/>
      </c>
      <c r="Q1228" s="51" t="str">
        <f>IF(AND($M1228=$O$7,$B1228&lt;'111'!$N$11),"x","")</f>
        <v/>
      </c>
      <c r="R1228" s="51" t="str">
        <f>IF(ISERROR(FIND('112'!$M$9,G1228,1)),"",IF((AND(FIND('112'!$M$9,G1228,1)&gt;=1,$B1228&gt;='112'!$N$8,$B1228&lt;='112'!$O$8,OR($L1228='112'!$I$6,$M1228='112'!$I$6))),"x",""))</f>
        <v/>
      </c>
      <c r="S1228" s="51" t="str">
        <f>IF(ISERROR(FIND('112'!$M$9,G1228,1)),"",IF((AND(LEFT(G1228,2)=LEFT('112'!$M$9,2),B1228&lt;'112'!$N$8,$L1228='112'!$I$6)),"x",""))</f>
        <v/>
      </c>
      <c r="T1228" s="51" t="str">
        <f>IF(ISERROR(FIND('112'!$M$9,G1228,1)),"",IF((AND(RIGHT(G1228,2)=RIGHT('112'!$M$9,2),B1228&lt;'112'!$N$8,$M1228='112'!$I$6)),"x",""))</f>
        <v/>
      </c>
      <c r="U1228" s="51" t="str">
        <f>IF(AND(L1228="154",'154'!$O$5&lt;=B1228,'154'!$P$5&gt;=B1228),"154",IF(AND(L1228="632",'632'!$L$5&lt;=B1228,'632'!$M$5&gt;=B1228),"632",IF(AND(L1228="642",'642'!$N$5&lt;=B1228,'642'!$O$5&gt;=B1228),"642",IF(AND(L1228="641",'641'!$N$5&lt;=B1228,'641'!$O$5&gt;=B1228),"641",""))))</f>
        <v/>
      </c>
      <c r="V1228" s="51" t="str">
        <f>IF(OR(TH!L1228=TH!$V$7,M1228=TH!$V$7),"x","")</f>
        <v/>
      </c>
      <c r="W1228" s="51" t="str">
        <f>IF(AND(B1228&gt;='IN-NX'!$P$3,B1228&lt;='IN-NX'!$Q$3,'IN-NX'!$D$7=D1228,OR(LEFT(L1228,2)="15",AND(LEFT(M1228,2)&lt;&gt;"15",LEFT(M1228,2)&lt;&gt;"33"))),"x","")</f>
        <v/>
      </c>
      <c r="X1228" s="51" t="str">
        <f>IF(AND(OR(LEFT(TH!L1228,2)="15",LEFT(TH!M1228,2)="15"),'152-CT'!$J$8=TH!F1228),"x","")</f>
        <v/>
      </c>
      <c r="Y1228" s="51" t="str">
        <f>IF(AND(OR(LEFT(TH!L1228,2)="15",LEFT(TH!M1228,2)="15"),TK!$E$7=TH!F1228),"x","")</f>
        <v/>
      </c>
      <c r="Z1228" s="51" t="str">
        <f>IF(AND(B1228&lt;=NKC!$N$8,B1228&gt;=NKC!$M$8),"x","")</f>
        <v/>
      </c>
      <c r="AA1228" s="803"/>
      <c r="AB1228" s="565"/>
      <c r="AC1228" s="565"/>
      <c r="AD1228" s="565"/>
    </row>
    <row r="1229" spans="1:30" ht="15.75" customHeight="1">
      <c r="A1229" s="804" t="str">
        <f>IF(B1229&lt;&gt;"",IF(AND(B1229&gt;=_TM1,B1229&lt;=_TM2,OR(TH!L1229="1111",TH!M1229="1111")),TH!D1229,""),"")</f>
        <v/>
      </c>
      <c r="B1229" s="36">
        <f t="shared" si="79"/>
        <v>12</v>
      </c>
      <c r="C1229" s="189">
        <f t="shared" si="80"/>
        <v>42345</v>
      </c>
      <c r="D1229" s="189" t="s">
        <v>1397</v>
      </c>
      <c r="E1229" s="182">
        <v>42345</v>
      </c>
      <c r="F1229" s="187" t="s">
        <v>427</v>
      </c>
      <c r="G1229" s="811" t="s">
        <v>415</v>
      </c>
      <c r="H1229" s="7" t="s">
        <v>437</v>
      </c>
      <c r="I1229" s="243"/>
      <c r="J1229" s="243"/>
      <c r="K1229" s="573">
        <v>190000000</v>
      </c>
      <c r="L1229" s="574" t="s">
        <v>47</v>
      </c>
      <c r="M1229" s="574" t="s">
        <v>24</v>
      </c>
      <c r="N1229" s="51" t="str">
        <f>IF(AND('331-CT'!$E$7=TH!H1229,OR(L1229="331",M1229="331")),"331",IF(AND(OR(L1229="131",M1229="131"),H1229='131-CT'!$E$7),"131",""))</f>
        <v/>
      </c>
      <c r="O1229" s="51" t="str">
        <f>IF(AND($B1229&gt;='111'!$N$11,$B1229&lt;='111'!$O$11,OR($L1229=$O$7,$M1229=$O$7)),"x","")</f>
        <v>x</v>
      </c>
      <c r="P1229" s="51" t="str">
        <f>IF(AND($L1229=$O$7,$B1229&lt;'111'!$N$11),"x","")</f>
        <v/>
      </c>
      <c r="Q1229" s="51" t="str">
        <f>IF(AND($M1229=$O$7,$B1229&lt;'111'!$N$11),"x","")</f>
        <v/>
      </c>
      <c r="R1229" s="51" t="str">
        <f>IF(ISERROR(FIND('112'!$M$9,G1229,1)),"",IF((AND(FIND('112'!$M$9,G1229,1)&gt;=1,$B1229&gt;='112'!$N$8,$B1229&lt;='112'!$O$8,OR($L1229='112'!$I$6,$M1229='112'!$I$6))),"x",""))</f>
        <v/>
      </c>
      <c r="S1229" s="51" t="str">
        <f>IF(ISERROR(FIND('112'!$M$9,G1229,1)),"",IF((AND(LEFT(G1229,2)=LEFT('112'!$M$9,2),B1229&lt;'112'!$N$8,$L1229='112'!$I$6)),"x",""))</f>
        <v/>
      </c>
      <c r="T1229" s="51" t="str">
        <f>IF(ISERROR(FIND('112'!$M$9,G1229,1)),"",IF((AND(RIGHT(G1229,2)=RIGHT('112'!$M$9,2),B1229&lt;'112'!$N$8,$M1229='112'!$I$6)),"x",""))</f>
        <v/>
      </c>
      <c r="U1229" s="51" t="str">
        <f>IF(AND(L1229="154",'154'!$O$5&lt;=B1229,'154'!$P$5&gt;=B1229),"154",IF(AND(L1229="632",'632'!$L$5&lt;=B1229,'632'!$M$5&gt;=B1229),"632",IF(AND(L1229="642",'642'!$N$5&lt;=B1229,'642'!$O$5&gt;=B1229),"642",IF(AND(L1229="641",'641'!$N$5&lt;=B1229,'641'!$O$5&gt;=B1229),"641",""))))</f>
        <v/>
      </c>
      <c r="V1229" s="51" t="str">
        <f>IF(OR(TH!L1229=TH!$V$7,M1229=TH!$V$7),"x","")</f>
        <v/>
      </c>
      <c r="W1229" s="51" t="str">
        <f>IF(AND(B1229&gt;='IN-NX'!$P$3,B1229&lt;='IN-NX'!$Q$3,'IN-NX'!$D$7=D1229,OR(LEFT(L1229,2)="15",AND(LEFT(M1229,2)&lt;&gt;"15",LEFT(M1229,2)&lt;&gt;"33"))),"x","")</f>
        <v/>
      </c>
      <c r="X1229" s="51" t="str">
        <f>IF(AND(OR(LEFT(TH!L1229,2)="15",LEFT(TH!M1229,2)="15"),'152-CT'!$J$8=TH!F1229),"x","")</f>
        <v/>
      </c>
      <c r="Y1229" s="51" t="str">
        <f>IF(AND(OR(LEFT(TH!L1229,2)="15",LEFT(TH!M1229,2)="15"),TK!$E$7=TH!F1229),"x","")</f>
        <v/>
      </c>
      <c r="Z1229" s="51" t="str">
        <f>IF(AND(B1229&lt;=NKC!$N$8,B1229&gt;=NKC!$M$8),"x","")</f>
        <v/>
      </c>
      <c r="AA1229" s="803"/>
      <c r="AB1229" s="565"/>
    </row>
    <row r="1230" spans="1:30" ht="15.75" customHeight="1">
      <c r="A1230" s="804" t="str">
        <f>IF(B1230&lt;&gt;"",IF(AND(B1230&gt;=_TM1,B1230&lt;=_TM2,OR(TH!L1230="1111",TH!M1230="1111")),TH!D1230,""),"")</f>
        <v/>
      </c>
      <c r="B1230" s="36">
        <f t="shared" si="79"/>
        <v>12</v>
      </c>
      <c r="C1230" s="189">
        <f t="shared" si="80"/>
        <v>42345</v>
      </c>
      <c r="D1230" s="189" t="s">
        <v>422</v>
      </c>
      <c r="E1230" s="182">
        <v>42345</v>
      </c>
      <c r="F1230" s="187" t="s">
        <v>438</v>
      </c>
      <c r="G1230" s="811" t="s">
        <v>415</v>
      </c>
      <c r="H1230" s="7" t="s">
        <v>448</v>
      </c>
      <c r="I1230" s="243"/>
      <c r="J1230" s="243"/>
      <c r="K1230" s="573">
        <v>21522000</v>
      </c>
      <c r="L1230" s="574" t="s">
        <v>8</v>
      </c>
      <c r="M1230" s="574" t="s">
        <v>24</v>
      </c>
      <c r="N1230" s="51" t="str">
        <f>IF(AND('331-CT'!$E$7=TH!H1230,OR(L1230="331",M1230="331")),"331",IF(AND(OR(L1230="131",M1230="131"),H1230='131-CT'!$E$7),"131",""))</f>
        <v/>
      </c>
      <c r="O1230" s="51" t="str">
        <f>IF(AND($B1230&gt;='111'!$N$11,$B1230&lt;='111'!$O$11,OR($L1230=$O$7,$M1230=$O$7)),"x","")</f>
        <v/>
      </c>
      <c r="P1230" s="51" t="str">
        <f>IF(AND($L1230=$O$7,$B1230&lt;'111'!$N$11),"x","")</f>
        <v/>
      </c>
      <c r="Q1230" s="51" t="str">
        <f>IF(AND($M1230=$O$7,$B1230&lt;'111'!$N$11),"x","")</f>
        <v/>
      </c>
      <c r="R1230" s="51" t="str">
        <f>IF(ISERROR(FIND('112'!$M$9,G1230,1)),"",IF((AND(FIND('112'!$M$9,G1230,1)&gt;=1,$B1230&gt;='112'!$N$8,$B1230&lt;='112'!$O$8,OR($L1230='112'!$I$6,$M1230='112'!$I$6))),"x",""))</f>
        <v/>
      </c>
      <c r="S1230" s="51" t="str">
        <f>IF(ISERROR(FIND('112'!$M$9,G1230,1)),"",IF((AND(LEFT(G1230,2)=LEFT('112'!$M$9,2),B1230&lt;'112'!$N$8,$L1230='112'!$I$6)),"x",""))</f>
        <v/>
      </c>
      <c r="T1230" s="51" t="str">
        <f>IF(ISERROR(FIND('112'!$M$9,G1230,1)),"",IF((AND(RIGHT(G1230,2)=RIGHT('112'!$M$9,2),B1230&lt;'112'!$N$8,$M1230='112'!$I$6)),"x",""))</f>
        <v/>
      </c>
      <c r="U1230" s="51" t="str">
        <f>IF(AND(L1230="154",'154'!$O$5&lt;=B1230,'154'!$P$5&gt;=B1230),"154",IF(AND(L1230="632",'632'!$L$5&lt;=B1230,'632'!$M$5&gt;=B1230),"632",IF(AND(L1230="642",'642'!$N$5&lt;=B1230,'642'!$O$5&gt;=B1230),"642",IF(AND(L1230="641",'641'!$N$5&lt;=B1230,'641'!$O$5&gt;=B1230),"641",""))))</f>
        <v/>
      </c>
      <c r="V1230" s="51" t="str">
        <f>IF(OR(TH!L1230=TH!$V$7,M1230=TH!$V$7),"x","")</f>
        <v/>
      </c>
      <c r="W1230" s="51" t="str">
        <f>IF(AND(B1230&gt;='IN-NX'!$P$3,B1230&lt;='IN-NX'!$Q$3,'IN-NX'!$D$7=D1230,OR(LEFT(L1230,2)="15",AND(LEFT(M1230,2)&lt;&gt;"15",LEFT(M1230,2)&lt;&gt;"33"))),"x","")</f>
        <v/>
      </c>
      <c r="X1230" s="51" t="str">
        <f>IF(AND(OR(LEFT(TH!L1230,2)="15",LEFT(TH!M1230,2)="15"),'152-CT'!$J$8=TH!F1230),"x","")</f>
        <v/>
      </c>
      <c r="Y1230" s="51" t="str">
        <f>IF(AND(OR(LEFT(TH!L1230,2)="15",LEFT(TH!M1230,2)="15"),TK!$E$7=TH!F1230),"x","")</f>
        <v/>
      </c>
      <c r="Z1230" s="51" t="str">
        <f>IF(AND(B1230&lt;=NKC!$N$8,B1230&gt;=NKC!$M$8),"x","")</f>
        <v/>
      </c>
      <c r="AA1230" s="803"/>
      <c r="AB1230" s="565"/>
    </row>
    <row r="1231" spans="1:30" ht="15.75" customHeight="1">
      <c r="A1231" s="804" t="str">
        <f>IF(B1231&lt;&gt;"",IF(AND(B1231&gt;=_TM1,B1231&lt;=_TM2,OR(TH!L1231="1111",TH!M1231="1111")),TH!D1231,""),"")</f>
        <v/>
      </c>
      <c r="B1231" s="36">
        <f t="shared" si="79"/>
        <v>12</v>
      </c>
      <c r="C1231" s="189">
        <f t="shared" si="80"/>
        <v>42345</v>
      </c>
      <c r="D1231" s="189" t="s">
        <v>422</v>
      </c>
      <c r="E1231" s="182">
        <v>42345</v>
      </c>
      <c r="F1231" s="187" t="s">
        <v>443</v>
      </c>
      <c r="G1231" s="811" t="s">
        <v>415</v>
      </c>
      <c r="H1231" s="191"/>
      <c r="I1231" s="243"/>
      <c r="J1231" s="243"/>
      <c r="K1231" s="573">
        <v>22000</v>
      </c>
      <c r="L1231" s="192" t="s">
        <v>83</v>
      </c>
      <c r="M1231" s="574" t="s">
        <v>24</v>
      </c>
      <c r="N1231" s="51" t="str">
        <f>IF(AND('331-CT'!$E$7=TH!H1231,OR(L1231="331",M1231="331")),"331",IF(AND(OR(L1231="131",M1231="131"),H1231='131-CT'!$E$7),"131",""))</f>
        <v/>
      </c>
      <c r="O1231" s="51" t="str">
        <f>IF(AND($B1231&gt;='111'!$N$11,$B1231&lt;='111'!$O$11,OR($L1231=$O$7,$M1231=$O$7)),"x","")</f>
        <v/>
      </c>
      <c r="P1231" s="51" t="str">
        <f>IF(AND($L1231=$O$7,$B1231&lt;'111'!$N$11),"x","")</f>
        <v/>
      </c>
      <c r="Q1231" s="51" t="str">
        <f>IF(AND($M1231=$O$7,$B1231&lt;'111'!$N$11),"x","")</f>
        <v/>
      </c>
      <c r="R1231" s="51" t="str">
        <f>IF(ISERROR(FIND('112'!$M$9,G1231,1)),"",IF((AND(FIND('112'!$M$9,G1231,1)&gt;=1,$B1231&gt;='112'!$N$8,$B1231&lt;='112'!$O$8,OR($L1231='112'!$I$6,$M1231='112'!$I$6))),"x",""))</f>
        <v/>
      </c>
      <c r="S1231" s="51" t="str">
        <f>IF(ISERROR(FIND('112'!$M$9,G1231,1)),"",IF((AND(LEFT(G1231,2)=LEFT('112'!$M$9,2),B1231&lt;'112'!$N$8,$L1231='112'!$I$6)),"x",""))</f>
        <v/>
      </c>
      <c r="T1231" s="51" t="str">
        <f>IF(ISERROR(FIND('112'!$M$9,G1231,1)),"",IF((AND(RIGHT(G1231,2)=RIGHT('112'!$M$9,2),B1231&lt;'112'!$N$8,$M1231='112'!$I$6)),"x",""))</f>
        <v/>
      </c>
      <c r="U1231" s="51" t="str">
        <f>IF(AND(L1231="154",'154'!$O$5&lt;=B1231,'154'!$P$5&gt;=B1231),"154",IF(AND(L1231="632",'632'!$L$5&lt;=B1231,'632'!$M$5&gt;=B1231),"632",IF(AND(L1231="642",'642'!$N$5&lt;=B1231,'642'!$O$5&gt;=B1231),"642",IF(AND(L1231="641",'641'!$N$5&lt;=B1231,'641'!$O$5&gt;=B1231),"641",""))))</f>
        <v/>
      </c>
      <c r="V1231" s="51" t="str">
        <f>IF(OR(TH!L1231=TH!$V$7,M1231=TH!$V$7),"x","")</f>
        <v>x</v>
      </c>
      <c r="W1231" s="51" t="str">
        <f>IF(AND(B1231&gt;='IN-NX'!$P$3,B1231&lt;='IN-NX'!$Q$3,'IN-NX'!$D$7=D1231,OR(LEFT(L1231,2)="15",AND(LEFT(M1231,2)&lt;&gt;"15",LEFT(M1231,2)&lt;&gt;"33"))),"x","")</f>
        <v/>
      </c>
      <c r="X1231" s="51" t="str">
        <f>IF(AND(OR(LEFT(TH!L1231,2)="15",LEFT(TH!M1231,2)="15"),'152-CT'!$J$8=TH!F1231),"x","")</f>
        <v/>
      </c>
      <c r="Y1231" s="51" t="str">
        <f>IF(AND(OR(LEFT(TH!L1231,2)="15",LEFT(TH!M1231,2)="15"),TK!$E$7=TH!F1231),"x","")</f>
        <v/>
      </c>
      <c r="Z1231" s="51" t="str">
        <f>IF(AND(B1231&lt;=NKC!$N$8,B1231&gt;=NKC!$M$8),"x","")</f>
        <v/>
      </c>
      <c r="AA1231" s="803"/>
      <c r="AB1231" s="565"/>
    </row>
    <row r="1232" spans="1:30" ht="15.75" customHeight="1">
      <c r="A1232" s="804" t="str">
        <f>IF(B1232&lt;&gt;"",IF(AND(B1232&gt;=_TM1,B1232&lt;=_TM2,OR(TH!L1232="1111",TH!M1232="1111")),TH!D1232,""),"")</f>
        <v/>
      </c>
      <c r="B1232" s="36">
        <f t="shared" si="79"/>
        <v>12</v>
      </c>
      <c r="C1232" s="189">
        <f t="shared" si="80"/>
        <v>42345</v>
      </c>
      <c r="D1232" s="189" t="s">
        <v>1321</v>
      </c>
      <c r="E1232" s="189">
        <v>42345</v>
      </c>
      <c r="F1232" s="926" t="s">
        <v>894</v>
      </c>
      <c r="G1232" s="811" t="s">
        <v>691</v>
      </c>
      <c r="H1232" s="191" t="s">
        <v>1092</v>
      </c>
      <c r="I1232" s="243">
        <v>200</v>
      </c>
      <c r="J1232" s="243">
        <v>8030</v>
      </c>
      <c r="K1232" s="573">
        <f>ROUND(I1232*J1232,0)</f>
        <v>1606000</v>
      </c>
      <c r="L1232" s="574" t="s">
        <v>250</v>
      </c>
      <c r="M1232" s="574" t="s">
        <v>164</v>
      </c>
      <c r="N1232" s="51" t="str">
        <f>IF(AND('331-CT'!$E$7=TH!H1232,OR(L1232="331",M1232="331")),"331",IF(AND(OR(L1232="131",M1232="131"),H1232='131-CT'!$E$7),"131",""))</f>
        <v/>
      </c>
      <c r="O1232" s="51" t="str">
        <f>IF(AND($B1232&gt;='111'!$N$11,$B1232&lt;='111'!$O$11,OR($L1232=$O$7,$M1232=$O$7)),"x","")</f>
        <v/>
      </c>
      <c r="P1232" s="51" t="str">
        <f>IF(AND($L1232=$O$7,$B1232&lt;'111'!$N$11),"x","")</f>
        <v/>
      </c>
      <c r="Q1232" s="51" t="str">
        <f>IF(AND($M1232=$O$7,$B1232&lt;'111'!$N$11),"x","")</f>
        <v/>
      </c>
      <c r="R1232" s="51" t="str">
        <f>IF(ISERROR(FIND('112'!$M$9,G1232,1)),"",IF((AND(FIND('112'!$M$9,G1232,1)&gt;=1,$B1232&gt;='112'!$N$8,$B1232&lt;='112'!$O$8,OR($L1232='112'!$I$6,$M1232='112'!$I$6))),"x",""))</f>
        <v/>
      </c>
      <c r="S1232" s="51" t="str">
        <f>IF(ISERROR(FIND('112'!$M$9,G1232,1)),"",IF((AND(LEFT(G1232,2)=LEFT('112'!$M$9,2),B1232&lt;'112'!$N$8,$L1232='112'!$I$6)),"x",""))</f>
        <v/>
      </c>
      <c r="T1232" s="51" t="str">
        <f>IF(ISERROR(FIND('112'!$M$9,G1232,1)),"",IF((AND(RIGHT(G1232,2)=RIGHT('112'!$M$9,2),B1232&lt;'112'!$N$8,$M1232='112'!$I$6)),"x",""))</f>
        <v/>
      </c>
      <c r="U1232" s="51" t="str">
        <f>IF(AND(L1232="154",'154'!$O$5&lt;=B1232,'154'!$P$5&gt;=B1232),"154",IF(AND(L1232="632",'632'!$L$5&lt;=B1232,'632'!$M$5&gt;=B1232),"632",IF(AND(L1232="642",'642'!$N$5&lt;=B1232,'642'!$O$5&gt;=B1232),"642",IF(AND(L1232="641",'641'!$N$5&lt;=B1232,'641'!$O$5&gt;=B1232),"641",""))))</f>
        <v/>
      </c>
      <c r="V1232" s="51" t="str">
        <f>IF(OR(TH!L1232=TH!$V$7,M1232=TH!$V$7),"x","")</f>
        <v/>
      </c>
      <c r="W1232" s="51" t="str">
        <f>IF(AND(B1232&gt;='IN-NX'!$P$3,B1232&lt;='IN-NX'!$Q$3,'IN-NX'!$D$7=D1232,OR(LEFT(L1232,2)="15",AND(LEFT(M1232,2)&lt;&gt;"15",LEFT(M1232,2)&lt;&gt;"33"))),"x","")</f>
        <v/>
      </c>
      <c r="X1232" s="51" t="str">
        <f>IF(AND(OR(LEFT(TH!L1232,2)="15",LEFT(TH!M1232,2)="15"),'152-CT'!$J$8=TH!F1232),"x","")</f>
        <v/>
      </c>
      <c r="Y1232" s="51" t="str">
        <f>IF(AND(OR(LEFT(TH!L1232,2)="15",LEFT(TH!M1232,2)="15"),TK!$E$7=TH!F1232),"x","")</f>
        <v/>
      </c>
      <c r="Z1232" s="51" t="str">
        <f>IF(AND(B1232&lt;=NKC!$N$8,B1232&gt;=NKC!$M$8),"x","")</f>
        <v/>
      </c>
      <c r="AA1232" s="803"/>
      <c r="AB1232" s="565"/>
    </row>
    <row r="1233" spans="1:31" ht="15.75" customHeight="1">
      <c r="A1233" s="804" t="str">
        <f>IF(B1233&lt;&gt;"",IF(AND(B1233&gt;=_TM1,B1233&lt;=_TM2,OR(TH!L1233="1111",TH!M1233="1111")),TH!D1233,""),"")</f>
        <v/>
      </c>
      <c r="B1233" s="36">
        <f t="shared" si="79"/>
        <v>12</v>
      </c>
      <c r="C1233" s="189">
        <f t="shared" si="80"/>
        <v>42345</v>
      </c>
      <c r="D1233" s="189" t="s">
        <v>1321</v>
      </c>
      <c r="E1233" s="189">
        <v>42345</v>
      </c>
      <c r="F1233" s="926" t="s">
        <v>962</v>
      </c>
      <c r="G1233" s="811" t="s">
        <v>691</v>
      </c>
      <c r="H1233" s="191" t="s">
        <v>1092</v>
      </c>
      <c r="I1233" s="243"/>
      <c r="J1233" s="243"/>
      <c r="K1233" s="573">
        <v>160600</v>
      </c>
      <c r="L1233" s="574" t="s">
        <v>250</v>
      </c>
      <c r="M1233" s="574" t="s">
        <v>352</v>
      </c>
      <c r="N1233" s="51" t="str">
        <f>IF(AND('331-CT'!$E$7=TH!H1233,OR(L1233="331",M1233="331")),"331",IF(AND(OR(L1233="131",M1233="131"),H1233='131-CT'!$E$7),"131",""))</f>
        <v/>
      </c>
      <c r="O1233" s="51" t="str">
        <f>IF(AND($B1233&gt;='111'!$N$11,$B1233&lt;='111'!$O$11,OR($L1233=$O$7,$M1233=$O$7)),"x","")</f>
        <v/>
      </c>
      <c r="P1233" s="51" t="str">
        <f>IF(AND($L1233=$O$7,$B1233&lt;'111'!$N$11),"x","")</f>
        <v/>
      </c>
      <c r="Q1233" s="51" t="str">
        <f>IF(AND($M1233=$O$7,$B1233&lt;'111'!$N$11),"x","")</f>
        <v/>
      </c>
      <c r="R1233" s="51" t="str">
        <f>IF(ISERROR(FIND('112'!$M$9,G1233,1)),"",IF((AND(FIND('112'!$M$9,G1233,1)&gt;=1,$B1233&gt;='112'!$N$8,$B1233&lt;='112'!$O$8,OR($L1233='112'!$I$6,$M1233='112'!$I$6))),"x",""))</f>
        <v/>
      </c>
      <c r="S1233" s="51" t="str">
        <f>IF(ISERROR(FIND('112'!$M$9,G1233,1)),"",IF((AND(LEFT(G1233,2)=LEFT('112'!$M$9,2),B1233&lt;'112'!$N$8,$L1233='112'!$I$6)),"x",""))</f>
        <v/>
      </c>
      <c r="T1233" s="51" t="str">
        <f>IF(ISERROR(FIND('112'!$M$9,G1233,1)),"",IF((AND(RIGHT(G1233,2)=RIGHT('112'!$M$9,2),B1233&lt;'112'!$N$8,$M1233='112'!$I$6)),"x",""))</f>
        <v/>
      </c>
      <c r="U1233" s="51" t="str">
        <f>IF(AND(L1233="154",'154'!$O$5&lt;=B1233,'154'!$P$5&gt;=B1233),"154",IF(AND(L1233="632",'632'!$L$5&lt;=B1233,'632'!$M$5&gt;=B1233),"632",IF(AND(L1233="642",'642'!$N$5&lt;=B1233,'642'!$O$5&gt;=B1233),"642",IF(AND(L1233="641",'641'!$N$5&lt;=B1233,'641'!$O$5&gt;=B1233),"641",""))))</f>
        <v/>
      </c>
      <c r="V1233" s="51" t="str">
        <f>IF(OR(TH!L1233=TH!$V$7,M1233=TH!$V$7),"x","")</f>
        <v/>
      </c>
      <c r="W1233" s="51" t="str">
        <f>IF(AND(B1233&gt;='IN-NX'!$P$3,B1233&lt;='IN-NX'!$Q$3,'IN-NX'!$D$7=D1233,OR(LEFT(L1233,2)="15",AND(LEFT(M1233,2)&lt;&gt;"15",LEFT(M1233,2)&lt;&gt;"33"))),"x","")</f>
        <v/>
      </c>
      <c r="X1233" s="51" t="str">
        <f>IF(AND(OR(LEFT(TH!L1233,2)="15",LEFT(TH!M1233,2)="15"),'152-CT'!$J$8=TH!F1233),"x","")</f>
        <v/>
      </c>
      <c r="Y1233" s="51" t="str">
        <f>IF(AND(OR(LEFT(TH!L1233,2)="15",LEFT(TH!M1233,2)="15"),TK!$E$7=TH!F1233),"x","")</f>
        <v/>
      </c>
      <c r="Z1233" s="51" t="str">
        <f>IF(AND(B1233&lt;=NKC!$N$8,B1233&gt;=NKC!$M$8),"x","")</f>
        <v/>
      </c>
      <c r="AA1233" s="803"/>
      <c r="AB1233" s="565"/>
      <c r="AC1233" s="565"/>
      <c r="AD1233" s="565"/>
    </row>
    <row r="1234" spans="1:31" ht="15.75" customHeight="1">
      <c r="A1234" s="804" t="str">
        <f>IF(B1234&lt;&gt;"",IF(AND(B1234&gt;=_TM1,B1234&lt;=_TM2,OR(TH!L1234="1111",TH!M1234="1111")),TH!D1234,""),"")</f>
        <v/>
      </c>
      <c r="B1234" s="36">
        <f t="shared" si="79"/>
        <v>12</v>
      </c>
      <c r="C1234" s="189">
        <f t="shared" si="80"/>
        <v>42345</v>
      </c>
      <c r="D1234" s="189" t="s">
        <v>1398</v>
      </c>
      <c r="E1234" s="189">
        <v>42345</v>
      </c>
      <c r="F1234" s="926" t="s">
        <v>423</v>
      </c>
      <c r="G1234" s="811" t="s">
        <v>691</v>
      </c>
      <c r="H1234" s="191" t="s">
        <v>1092</v>
      </c>
      <c r="I1234" s="243"/>
      <c r="J1234" s="243"/>
      <c r="K1234" s="573">
        <v>1766600</v>
      </c>
      <c r="L1234" s="574" t="s">
        <v>47</v>
      </c>
      <c r="M1234" s="574" t="s">
        <v>250</v>
      </c>
      <c r="N1234" s="51" t="str">
        <f>IF(AND('331-CT'!$E$7=TH!H1234,OR(L1234="331",M1234="331")),"331",IF(AND(OR(L1234="131",M1234="131"),H1234='131-CT'!$E$7),"131",""))</f>
        <v/>
      </c>
      <c r="O1234" s="51" t="str">
        <f>IF(AND($B1234&gt;='111'!$N$11,$B1234&lt;='111'!$O$11,OR($L1234=$O$7,$M1234=$O$7)),"x","")</f>
        <v>x</v>
      </c>
      <c r="P1234" s="51" t="str">
        <f>IF(AND($L1234=$O$7,$B1234&lt;'111'!$N$11),"x","")</f>
        <v/>
      </c>
      <c r="Q1234" s="51" t="str">
        <f>IF(AND($M1234=$O$7,$B1234&lt;'111'!$N$11),"x","")</f>
        <v/>
      </c>
      <c r="R1234" s="51" t="str">
        <f>IF(ISERROR(FIND('112'!$M$9,G1234,1)),"",IF((AND(FIND('112'!$M$9,G1234,1)&gt;=1,$B1234&gt;='112'!$N$8,$B1234&lt;='112'!$O$8,OR($L1234='112'!$I$6,$M1234='112'!$I$6))),"x",""))</f>
        <v/>
      </c>
      <c r="S1234" s="51" t="str">
        <f>IF(ISERROR(FIND('112'!$M$9,G1234,1)),"",IF((AND(LEFT(G1234,2)=LEFT('112'!$M$9,2),B1234&lt;'112'!$N$8,$L1234='112'!$I$6)),"x",""))</f>
        <v/>
      </c>
      <c r="T1234" s="51" t="str">
        <f>IF(ISERROR(FIND('112'!$M$9,G1234,1)),"",IF((AND(RIGHT(G1234,2)=RIGHT('112'!$M$9,2),B1234&lt;'112'!$N$8,$M1234='112'!$I$6)),"x",""))</f>
        <v/>
      </c>
      <c r="U1234" s="51" t="str">
        <f>IF(AND(L1234="154",'154'!$O$5&lt;=B1234,'154'!$P$5&gt;=B1234),"154",IF(AND(L1234="632",'632'!$L$5&lt;=B1234,'632'!$M$5&gt;=B1234),"632",IF(AND(L1234="642",'642'!$N$5&lt;=B1234,'642'!$O$5&gt;=B1234),"642",IF(AND(L1234="641",'641'!$N$5&lt;=B1234,'641'!$O$5&gt;=B1234),"641",""))))</f>
        <v/>
      </c>
      <c r="V1234" s="51" t="str">
        <f>IF(OR(TH!L1234=TH!$V$7,M1234=TH!$V$7),"x","")</f>
        <v/>
      </c>
      <c r="W1234" s="51" t="str">
        <f>IF(AND(B1234&gt;='IN-NX'!$P$3,B1234&lt;='IN-NX'!$Q$3,'IN-NX'!$D$7=D1234,OR(LEFT(L1234,2)="15",AND(LEFT(M1234,2)&lt;&gt;"15",LEFT(M1234,2)&lt;&gt;"33"))),"x","")</f>
        <v/>
      </c>
      <c r="X1234" s="51" t="str">
        <f>IF(AND(OR(LEFT(TH!L1234,2)="15",LEFT(TH!M1234,2)="15"),'152-CT'!$J$8=TH!F1234),"x","")</f>
        <v/>
      </c>
      <c r="Y1234" s="51" t="str">
        <f>IF(AND(OR(LEFT(TH!L1234,2)="15",LEFT(TH!M1234,2)="15"),TK!$E$7=TH!F1234),"x","")</f>
        <v/>
      </c>
      <c r="Z1234" s="51" t="str">
        <f>IF(AND(B1234&lt;=NKC!$N$8,B1234&gt;=NKC!$M$8),"x","")</f>
        <v/>
      </c>
      <c r="AA1234" s="803"/>
      <c r="AB1234" s="565"/>
      <c r="AC1234" s="565"/>
      <c r="AD1234" s="565"/>
    </row>
    <row r="1235" spans="1:31" ht="15.75" customHeight="1">
      <c r="A1235" s="804" t="str">
        <f>IF(B1235&lt;&gt;"",IF(AND(B1235&gt;=_TM1,B1235&lt;=_TM2,OR(TH!L1235="1111",TH!M1235="1111")),TH!D1235,""),"")</f>
        <v/>
      </c>
      <c r="B1235" s="36">
        <f t="shared" si="79"/>
        <v>12</v>
      </c>
      <c r="C1235" s="189">
        <f t="shared" si="80"/>
        <v>42346</v>
      </c>
      <c r="D1235" s="189" t="s">
        <v>1445</v>
      </c>
      <c r="E1235" s="189">
        <v>42346</v>
      </c>
      <c r="F1235" s="190" t="s">
        <v>456</v>
      </c>
      <c r="G1235" s="813" t="s">
        <v>903</v>
      </c>
      <c r="H1235" s="191" t="s">
        <v>614</v>
      </c>
      <c r="I1235" s="243"/>
      <c r="J1235" s="243"/>
      <c r="K1235" s="573">
        <v>244874</v>
      </c>
      <c r="L1235" s="574" t="s">
        <v>251</v>
      </c>
      <c r="M1235" s="574" t="s">
        <v>47</v>
      </c>
      <c r="N1235" s="51" t="str">
        <f>IF(AND('331-CT'!$E$7=TH!H1235,OR(L1235="331",M1235="331")),"331",IF(AND(OR(L1235="131",M1235="131"),H1235='131-CT'!$E$7),"131",""))</f>
        <v/>
      </c>
      <c r="O1235" s="51" t="str">
        <f>IF(AND($B1235&gt;='111'!$N$11,$B1235&lt;='111'!$O$11,OR($L1235=$O$7,$M1235=$O$7)),"x","")</f>
        <v>x</v>
      </c>
      <c r="P1235" s="51" t="str">
        <f>IF(AND($L1235=$O$7,$B1235&lt;'111'!$N$11),"x","")</f>
        <v/>
      </c>
      <c r="Q1235" s="51" t="str">
        <f>IF(AND($M1235=$O$7,$B1235&lt;'111'!$N$11),"x","")</f>
        <v/>
      </c>
      <c r="R1235" s="51" t="str">
        <f>IF(ISERROR(FIND('112'!$M$9,G1235,1)),"",IF((AND(FIND('112'!$M$9,G1235,1)&gt;=1,$B1235&gt;='112'!$N$8,$B1235&lt;='112'!$O$8,OR($L1235='112'!$I$6,$M1235='112'!$I$6))),"x",""))</f>
        <v/>
      </c>
      <c r="S1235" s="51" t="str">
        <f>IF(ISERROR(FIND('112'!$M$9,G1235,1)),"",IF((AND(LEFT(G1235,2)=LEFT('112'!$M$9,2),B1235&lt;'112'!$N$8,$L1235='112'!$I$6)),"x",""))</f>
        <v/>
      </c>
      <c r="T1235" s="51" t="str">
        <f>IF(ISERROR(FIND('112'!$M$9,G1235,1)),"",IF((AND(RIGHT(G1235,2)=RIGHT('112'!$M$9,2),B1235&lt;'112'!$N$8,$M1235='112'!$I$6)),"x",""))</f>
        <v/>
      </c>
      <c r="U1235" s="51" t="str">
        <f>IF(AND(L1235="154",'154'!$O$5&lt;=B1235,'154'!$P$5&gt;=B1235),"154",IF(AND(L1235="632",'632'!$L$5&lt;=B1235,'632'!$M$5&gt;=B1235),"632",IF(AND(L1235="642",'642'!$N$5&lt;=B1235,'642'!$O$5&gt;=B1235),"642",IF(AND(L1235="641",'641'!$N$5&lt;=B1235,'641'!$O$5&gt;=B1235),"641",""))))</f>
        <v/>
      </c>
      <c r="V1235" s="51" t="str">
        <f>IF(OR(TH!L1235=TH!$V$7,M1235=TH!$V$7),"x","")</f>
        <v/>
      </c>
      <c r="W1235" s="51" t="str">
        <f>IF(AND(B1235&gt;='IN-NX'!$P$3,B1235&lt;='IN-NX'!$Q$3,'IN-NX'!$D$7=D1235,OR(LEFT(L1235,2)="15",AND(LEFT(M1235,2)&lt;&gt;"15",LEFT(M1235,2)&lt;&gt;"33"))),"x","")</f>
        <v/>
      </c>
      <c r="X1235" s="51" t="str">
        <f>IF(AND(OR(LEFT(TH!L1235,2)="15",LEFT(TH!M1235,2)="15"),'152-CT'!$J$8=TH!F1235),"x","")</f>
        <v/>
      </c>
      <c r="Y1235" s="51" t="str">
        <f>IF(AND(OR(LEFT(TH!L1235,2)="15",LEFT(TH!M1235,2)="15"),TK!$E$7=TH!F1235),"x","")</f>
        <v/>
      </c>
      <c r="Z1235" s="51" t="str">
        <f>IF(AND(B1235&lt;=NKC!$N$8,B1235&gt;=NKC!$M$8),"x","")</f>
        <v/>
      </c>
      <c r="AA1235" s="803"/>
      <c r="AB1235" s="565"/>
      <c r="AE1235" s="565"/>
    </row>
    <row r="1236" spans="1:31" ht="15.75" customHeight="1">
      <c r="A1236" s="804" t="str">
        <f>IF(B1236&lt;&gt;"",IF(AND(B1236&gt;=_TM1,B1236&lt;=_TM2,OR(TH!L1236="1111",TH!M1236="1111")),TH!D1236,""),"")</f>
        <v/>
      </c>
      <c r="B1236" s="36">
        <f t="shared" si="79"/>
        <v>12</v>
      </c>
      <c r="C1236" s="189">
        <f t="shared" si="80"/>
        <v>42346</v>
      </c>
      <c r="D1236" s="189" t="s">
        <v>1445</v>
      </c>
      <c r="E1236" s="189">
        <v>42346</v>
      </c>
      <c r="F1236" s="190" t="s">
        <v>457</v>
      </c>
      <c r="G1236" s="813" t="s">
        <v>903</v>
      </c>
      <c r="H1236" s="191" t="s">
        <v>614</v>
      </c>
      <c r="I1236" s="243"/>
      <c r="J1236" s="243"/>
      <c r="K1236" s="573">
        <v>17821</v>
      </c>
      <c r="L1236" s="574" t="s">
        <v>9</v>
      </c>
      <c r="M1236" s="574" t="s">
        <v>47</v>
      </c>
      <c r="N1236" s="51" t="str">
        <f>IF(AND('331-CT'!$E$7=TH!H1236,OR(L1236="331",M1236="331")),"331",IF(AND(OR(L1236="131",M1236="131"),H1236='131-CT'!$E$7),"131",""))</f>
        <v/>
      </c>
      <c r="O1236" s="51" t="str">
        <f>IF(AND($B1236&gt;='111'!$N$11,$B1236&lt;='111'!$O$11,OR($L1236=$O$7,$M1236=$O$7)),"x","")</f>
        <v>x</v>
      </c>
      <c r="P1236" s="51" t="str">
        <f>IF(AND($L1236=$O$7,$B1236&lt;'111'!$N$11),"x","")</f>
        <v/>
      </c>
      <c r="Q1236" s="51" t="str">
        <f>IF(AND($M1236=$O$7,$B1236&lt;'111'!$N$11),"x","")</f>
        <v/>
      </c>
      <c r="R1236" s="51" t="str">
        <f>IF(ISERROR(FIND('112'!$M$9,G1236,1)),"",IF((AND(FIND('112'!$M$9,G1236,1)&gt;=1,$B1236&gt;='112'!$N$8,$B1236&lt;='112'!$O$8,OR($L1236='112'!$I$6,$M1236='112'!$I$6))),"x",""))</f>
        <v/>
      </c>
      <c r="S1236" s="51" t="str">
        <f>IF(ISERROR(FIND('112'!$M$9,G1236,1)),"",IF((AND(LEFT(G1236,2)=LEFT('112'!$M$9,2),B1236&lt;'112'!$N$8,$L1236='112'!$I$6)),"x",""))</f>
        <v/>
      </c>
      <c r="T1236" s="51" t="str">
        <f>IF(ISERROR(FIND('112'!$M$9,G1236,1)),"",IF((AND(RIGHT(G1236,2)=RIGHT('112'!$M$9,2),B1236&lt;'112'!$N$8,$M1236='112'!$I$6)),"x",""))</f>
        <v/>
      </c>
      <c r="U1236" s="51" t="str">
        <f>IF(AND(L1236="154",'154'!$O$5&lt;=B1236,'154'!$P$5&gt;=B1236),"154",IF(AND(L1236="632",'632'!$L$5&lt;=B1236,'632'!$M$5&gt;=B1236),"632",IF(AND(L1236="642",'642'!$N$5&lt;=B1236,'642'!$O$5&gt;=B1236),"642",IF(AND(L1236="641",'641'!$N$5&lt;=B1236,'641'!$O$5&gt;=B1236),"641",""))))</f>
        <v/>
      </c>
      <c r="V1236" s="51" t="str">
        <f>IF(OR(TH!L1236=TH!$V$7,M1236=TH!$V$7),"x","")</f>
        <v/>
      </c>
      <c r="W1236" s="51" t="str">
        <f>IF(AND(B1236&gt;='IN-NX'!$P$3,B1236&lt;='IN-NX'!$Q$3,'IN-NX'!$D$7=D1236,OR(LEFT(L1236,2)="15",AND(LEFT(M1236,2)&lt;&gt;"15",LEFT(M1236,2)&lt;&gt;"33"))),"x","")</f>
        <v/>
      </c>
      <c r="X1236" s="51" t="str">
        <f>IF(AND(OR(LEFT(TH!L1236,2)="15",LEFT(TH!M1236,2)="15"),'152-CT'!$J$8=TH!F1236),"x","")</f>
        <v/>
      </c>
      <c r="Y1236" s="51" t="str">
        <f>IF(AND(OR(LEFT(TH!L1236,2)="15",LEFT(TH!M1236,2)="15"),TK!$E$7=TH!F1236),"x","")</f>
        <v/>
      </c>
      <c r="Z1236" s="51" t="str">
        <f>IF(AND(B1236&lt;=NKC!$N$8,B1236&gt;=NKC!$M$8),"x","")</f>
        <v/>
      </c>
      <c r="AA1236" s="803">
        <v>4</v>
      </c>
      <c r="AB1236" s="565"/>
      <c r="AE1236" s="565"/>
    </row>
    <row r="1237" spans="1:31" ht="15.75" customHeight="1">
      <c r="A1237" s="804" t="str">
        <f>IF(B1237&lt;&gt;"",IF(AND(B1237&gt;=_TM1,B1237&lt;=_TM2,OR(TH!L1237="1111",TH!M1237="1111")),TH!D1237,""),"")</f>
        <v/>
      </c>
      <c r="B1237" s="36">
        <f t="shared" si="79"/>
        <v>12</v>
      </c>
      <c r="C1237" s="189">
        <f t="shared" si="80"/>
        <v>42347</v>
      </c>
      <c r="D1237" s="189" t="s">
        <v>1425</v>
      </c>
      <c r="E1237" s="189">
        <v>42347</v>
      </c>
      <c r="F1237" s="917" t="s">
        <v>1238</v>
      </c>
      <c r="G1237" s="813" t="s">
        <v>940</v>
      </c>
      <c r="H1237" s="191" t="s">
        <v>448</v>
      </c>
      <c r="I1237" s="243">
        <v>2000</v>
      </c>
      <c r="J1237" s="243">
        <v>8771</v>
      </c>
      <c r="K1237" s="573">
        <f>ROUND(I1237*J1237,0)</f>
        <v>17542000</v>
      </c>
      <c r="L1237" s="574" t="s">
        <v>417</v>
      </c>
      <c r="M1237" s="574" t="s">
        <v>8</v>
      </c>
      <c r="N1237" s="51" t="str">
        <f>IF(AND('331-CT'!$E$7=TH!H1237,OR(L1237="331",M1237="331")),"331",IF(AND(OR(L1237="131",M1237="131"),H1237='131-CT'!$E$7),"131",""))</f>
        <v/>
      </c>
      <c r="O1237" s="51" t="str">
        <f>IF(AND($B1237&gt;='111'!$N$11,$B1237&lt;='111'!$O$11,OR($L1237=$O$7,$M1237=$O$7)),"x","")</f>
        <v/>
      </c>
      <c r="P1237" s="51" t="str">
        <f>IF(AND($L1237=$O$7,$B1237&lt;'111'!$N$11),"x","")</f>
        <v/>
      </c>
      <c r="Q1237" s="51" t="str">
        <f>IF(AND($M1237=$O$7,$B1237&lt;'111'!$N$11),"x","")</f>
        <v/>
      </c>
      <c r="R1237" s="51" t="str">
        <f>IF(ISERROR(FIND('112'!$M$9,G1237,1)),"",IF((AND(FIND('112'!$M$9,G1237,1)&gt;=1,$B1237&gt;='112'!$N$8,$B1237&lt;='112'!$O$8,OR($L1237='112'!$I$6,$M1237='112'!$I$6))),"x",""))</f>
        <v/>
      </c>
      <c r="S1237" s="51" t="str">
        <f>IF(ISERROR(FIND('112'!$M$9,G1237,1)),"",IF((AND(LEFT(G1237,2)=LEFT('112'!$M$9,2),B1237&lt;'112'!$N$8,$L1237='112'!$I$6)),"x",""))</f>
        <v/>
      </c>
      <c r="T1237" s="51" t="str">
        <f>IF(ISERROR(FIND('112'!$M$9,G1237,1)),"",IF((AND(RIGHT(G1237,2)=RIGHT('112'!$M$9,2),B1237&lt;'112'!$N$8,$M1237='112'!$I$6)),"x",""))</f>
        <v/>
      </c>
      <c r="U1237" s="51" t="str">
        <f>IF(AND(L1237="154",'154'!$O$5&lt;=B1237,'154'!$P$5&gt;=B1237),"154",IF(AND(L1237="632",'632'!$L$5&lt;=B1237,'632'!$M$5&gt;=B1237),"632",IF(AND(L1237="642",'642'!$N$5&lt;=B1237,'642'!$O$5&gt;=B1237),"642",IF(AND(L1237="641",'641'!$N$5&lt;=B1237,'641'!$O$5&gt;=B1237),"641",""))))</f>
        <v/>
      </c>
      <c r="V1237" s="51" t="str">
        <f>IF(OR(TH!L1237=TH!$V$7,M1237=TH!$V$7),"x","")</f>
        <v/>
      </c>
      <c r="W1237" s="51" t="str">
        <f>IF(AND(B1237&gt;='IN-NX'!$P$3,B1237&lt;='IN-NX'!$Q$3,'IN-NX'!$D$7=D1237,OR(LEFT(L1237,2)="15",AND(LEFT(M1237,2)&lt;&gt;"15",LEFT(M1237,2)&lt;&gt;"33"))),"x","")</f>
        <v/>
      </c>
      <c r="X1237" s="51" t="str">
        <f>IF(AND(OR(LEFT(TH!L1237,2)="15",LEFT(TH!M1237,2)="15"),'152-CT'!$J$8=TH!F1237),"x","")</f>
        <v>x</v>
      </c>
      <c r="Y1237" s="51" t="str">
        <f>IF(AND(OR(LEFT(TH!L1237,2)="15",LEFT(TH!M1237,2)="15"),TK!$E$7=TH!F1237),"x","")</f>
        <v/>
      </c>
      <c r="Z1237" s="51" t="str">
        <f>IF(AND(B1237&lt;=NKC!$N$8,B1237&gt;=NKC!$M$8),"x","")</f>
        <v/>
      </c>
      <c r="AA1237" s="803"/>
      <c r="AB1237" s="565"/>
    </row>
    <row r="1238" spans="1:31" ht="15.75" customHeight="1">
      <c r="A1238" s="804" t="str">
        <f>IF(B1238&lt;&gt;"",IF(AND(B1238&gt;=_TM1,B1238&lt;=_TM2,OR(TH!L1238="1111",TH!M1238="1111")),TH!D1238,""),"")</f>
        <v/>
      </c>
      <c r="B1238" s="36">
        <f t="shared" si="79"/>
        <v>12</v>
      </c>
      <c r="C1238" s="189">
        <f t="shared" si="80"/>
        <v>42347</v>
      </c>
      <c r="D1238" s="189" t="s">
        <v>1425</v>
      </c>
      <c r="E1238" s="189">
        <v>42347</v>
      </c>
      <c r="F1238" s="190" t="s">
        <v>496</v>
      </c>
      <c r="G1238" s="813" t="s">
        <v>940</v>
      </c>
      <c r="H1238" s="191" t="s">
        <v>448</v>
      </c>
      <c r="I1238" s="243"/>
      <c r="J1238" s="243"/>
      <c r="K1238" s="573">
        <v>1754200</v>
      </c>
      <c r="L1238" s="574" t="s">
        <v>9</v>
      </c>
      <c r="M1238" s="574" t="s">
        <v>8</v>
      </c>
      <c r="N1238" s="51" t="str">
        <f>IF(AND('331-CT'!$E$7=TH!H1238,OR(L1238="331",M1238="331")),"331",IF(AND(OR(L1238="131",M1238="131"),H1238='131-CT'!$E$7),"131",""))</f>
        <v/>
      </c>
      <c r="O1238" s="51" t="str">
        <f>IF(AND($B1238&gt;='111'!$N$11,$B1238&lt;='111'!$O$11,OR($L1238=$O$7,$M1238=$O$7)),"x","")</f>
        <v/>
      </c>
      <c r="P1238" s="51" t="str">
        <f>IF(AND($L1238=$O$7,$B1238&lt;'111'!$N$11),"x","")</f>
        <v/>
      </c>
      <c r="Q1238" s="51" t="str">
        <f>IF(AND($M1238=$O$7,$B1238&lt;'111'!$N$11),"x","")</f>
        <v/>
      </c>
      <c r="R1238" s="51" t="str">
        <f>IF(ISERROR(FIND('112'!$M$9,G1238,1)),"",IF((AND(FIND('112'!$M$9,G1238,1)&gt;=1,$B1238&gt;='112'!$N$8,$B1238&lt;='112'!$O$8,OR($L1238='112'!$I$6,$M1238='112'!$I$6))),"x",""))</f>
        <v/>
      </c>
      <c r="S1238" s="51" t="str">
        <f>IF(ISERROR(FIND('112'!$M$9,G1238,1)),"",IF((AND(LEFT(G1238,2)=LEFT('112'!$M$9,2),B1238&lt;'112'!$N$8,$L1238='112'!$I$6)),"x",""))</f>
        <v/>
      </c>
      <c r="T1238" s="51" t="str">
        <f>IF(ISERROR(FIND('112'!$M$9,G1238,1)),"",IF((AND(RIGHT(G1238,2)=RIGHT('112'!$M$9,2),B1238&lt;'112'!$N$8,$M1238='112'!$I$6)),"x",""))</f>
        <v/>
      </c>
      <c r="U1238" s="51" t="str">
        <f>IF(AND(L1238="154",'154'!$O$5&lt;=B1238,'154'!$P$5&gt;=B1238),"154",IF(AND(L1238="632",'632'!$L$5&lt;=B1238,'632'!$M$5&gt;=B1238),"632",IF(AND(L1238="642",'642'!$N$5&lt;=B1238,'642'!$O$5&gt;=B1238),"642",IF(AND(L1238="641",'641'!$N$5&lt;=B1238,'641'!$O$5&gt;=B1238),"641",""))))</f>
        <v/>
      </c>
      <c r="V1238" s="51" t="str">
        <f>IF(OR(TH!L1238=TH!$V$7,M1238=TH!$V$7),"x","")</f>
        <v/>
      </c>
      <c r="W1238" s="51" t="str">
        <f>IF(AND(B1238&gt;='IN-NX'!$P$3,B1238&lt;='IN-NX'!$Q$3,'IN-NX'!$D$7=D1238,OR(LEFT(L1238,2)="15",AND(LEFT(M1238,2)&lt;&gt;"15",LEFT(M1238,2)&lt;&gt;"33"))),"x","")</f>
        <v/>
      </c>
      <c r="X1238" s="51" t="str">
        <f>IF(AND(OR(LEFT(TH!L1238,2)="15",LEFT(TH!M1238,2)="15"),'152-CT'!$J$8=TH!F1238),"x","")</f>
        <v/>
      </c>
      <c r="Y1238" s="51" t="str">
        <f>IF(AND(OR(LEFT(TH!L1238,2)="15",LEFT(TH!M1238,2)="15"),TK!$E$7=TH!F1238),"x","")</f>
        <v/>
      </c>
      <c r="Z1238" s="51" t="str">
        <f>IF(AND(B1238&lt;=NKC!$N$8,B1238&gt;=NKC!$M$8),"x","")</f>
        <v/>
      </c>
      <c r="AA1238" s="803">
        <v>4</v>
      </c>
      <c r="AB1238" s="565"/>
    </row>
    <row r="1239" spans="1:31" ht="15.75" customHeight="1">
      <c r="A1239" s="804" t="str">
        <f>IF(B1239&lt;&gt;"",IF(AND(B1239&gt;=_TM1,B1239&lt;=_TM2,OR(TH!L1239="1111",TH!M1239="1111")),TH!D1239,""),"")</f>
        <v/>
      </c>
      <c r="B1239" s="36">
        <f t="shared" si="79"/>
        <v>12</v>
      </c>
      <c r="C1239" s="189">
        <f t="shared" si="80"/>
        <v>42348</v>
      </c>
      <c r="D1239" s="189" t="s">
        <v>421</v>
      </c>
      <c r="E1239" s="182">
        <v>42348</v>
      </c>
      <c r="F1239" s="187" t="s">
        <v>423</v>
      </c>
      <c r="G1239" s="811" t="s">
        <v>415</v>
      </c>
      <c r="H1239" s="191" t="s">
        <v>449</v>
      </c>
      <c r="I1239" s="243"/>
      <c r="J1239" s="243"/>
      <c r="K1239" s="573">
        <v>10741369</v>
      </c>
      <c r="L1239" s="574" t="s">
        <v>24</v>
      </c>
      <c r="M1239" s="192" t="s">
        <v>250</v>
      </c>
      <c r="N1239" s="51" t="str">
        <f>IF(AND('331-CT'!$E$7=TH!H1239,OR(L1239="331",M1239="331")),"331",IF(AND(OR(L1239="131",M1239="131"),H1239='131-CT'!$E$7),"131",""))</f>
        <v/>
      </c>
      <c r="O1239" s="51" t="str">
        <f>IF(AND($B1239&gt;='111'!$N$11,$B1239&lt;='111'!$O$11,OR($L1239=$O$7,$M1239=$O$7)),"x","")</f>
        <v/>
      </c>
      <c r="P1239" s="51" t="str">
        <f>IF(AND($L1239=$O$7,$B1239&lt;'111'!$N$11),"x","")</f>
        <v/>
      </c>
      <c r="Q1239" s="51" t="str">
        <f>IF(AND($M1239=$O$7,$B1239&lt;'111'!$N$11),"x","")</f>
        <v/>
      </c>
      <c r="R1239" s="51" t="str">
        <f>IF(ISERROR(FIND('112'!$M$9,G1239,1)),"",IF((AND(FIND('112'!$M$9,G1239,1)&gt;=1,$B1239&gt;='112'!$N$8,$B1239&lt;='112'!$O$8,OR($L1239='112'!$I$6,$M1239='112'!$I$6))),"x",""))</f>
        <v/>
      </c>
      <c r="S1239" s="51" t="str">
        <f>IF(ISERROR(FIND('112'!$M$9,G1239,1)),"",IF((AND(LEFT(G1239,2)=LEFT('112'!$M$9,2),B1239&lt;'112'!$N$8,$L1239='112'!$I$6)),"x",""))</f>
        <v/>
      </c>
      <c r="T1239" s="51" t="str">
        <f>IF(ISERROR(FIND('112'!$M$9,G1239,1)),"",IF((AND(RIGHT(G1239,2)=RIGHT('112'!$M$9,2),B1239&lt;'112'!$N$8,$M1239='112'!$I$6)),"x",""))</f>
        <v/>
      </c>
      <c r="U1239" s="51" t="str">
        <f>IF(AND(L1239="154",'154'!$O$5&lt;=B1239,'154'!$P$5&gt;=B1239),"154",IF(AND(L1239="632",'632'!$L$5&lt;=B1239,'632'!$M$5&gt;=B1239),"632",IF(AND(L1239="642",'642'!$N$5&lt;=B1239,'642'!$O$5&gt;=B1239),"642",IF(AND(L1239="641",'641'!$N$5&lt;=B1239,'641'!$O$5&gt;=B1239),"641",""))))</f>
        <v/>
      </c>
      <c r="V1239" s="51" t="str">
        <f>IF(OR(TH!L1239=TH!$V$7,M1239=TH!$V$7),"x","")</f>
        <v/>
      </c>
      <c r="W1239" s="51" t="str">
        <f>IF(AND(B1239&gt;='IN-NX'!$P$3,B1239&lt;='IN-NX'!$Q$3,'IN-NX'!$D$7=D1239,OR(LEFT(L1239,2)="15",AND(LEFT(M1239,2)&lt;&gt;"15",LEFT(M1239,2)&lt;&gt;"33"))),"x","")</f>
        <v/>
      </c>
      <c r="X1239" s="51" t="str">
        <f>IF(AND(OR(LEFT(TH!L1239,2)="15",LEFT(TH!M1239,2)="15"),'152-CT'!$J$8=TH!F1239),"x","")</f>
        <v/>
      </c>
      <c r="Y1239" s="51" t="str">
        <f>IF(AND(OR(LEFT(TH!L1239,2)="15",LEFT(TH!M1239,2)="15"),TK!$E$7=TH!F1239),"x","")</f>
        <v/>
      </c>
      <c r="Z1239" s="51" t="str">
        <f>IF(AND(B1239&lt;=NKC!$N$8,B1239&gt;=NKC!$M$8),"x","")</f>
        <v/>
      </c>
      <c r="AA1239" s="803"/>
      <c r="AB1239" s="565"/>
    </row>
    <row r="1240" spans="1:31" ht="15.75" customHeight="1">
      <c r="A1240" s="804" t="str">
        <f>IF(B1240&lt;&gt;"",IF(AND(B1240&gt;=_TM1,B1240&lt;=_TM2,OR(TH!L1240="1111",TH!M1240="1111")),TH!D1240,""),"")</f>
        <v/>
      </c>
      <c r="B1240" s="36">
        <f t="shared" si="79"/>
        <v>12</v>
      </c>
      <c r="C1240" s="189">
        <f t="shared" si="80"/>
        <v>42348</v>
      </c>
      <c r="D1240" s="189" t="s">
        <v>1448</v>
      </c>
      <c r="E1240" s="189">
        <v>42348</v>
      </c>
      <c r="F1240" s="190" t="s">
        <v>558</v>
      </c>
      <c r="G1240" s="813" t="s">
        <v>901</v>
      </c>
      <c r="H1240" s="7" t="s">
        <v>559</v>
      </c>
      <c r="I1240" s="243"/>
      <c r="J1240" s="243"/>
      <c r="K1240" s="573">
        <f>127273</f>
        <v>127273</v>
      </c>
      <c r="L1240" s="574" t="s">
        <v>83</v>
      </c>
      <c r="M1240" s="574" t="s">
        <v>47</v>
      </c>
      <c r="N1240" s="51" t="str">
        <f>IF(AND('331-CT'!$E$7=TH!H1240,OR(L1240="331",M1240="331")),"331",IF(AND(OR(L1240="131",M1240="131"),H1240='131-CT'!$E$7),"131",""))</f>
        <v/>
      </c>
      <c r="O1240" s="51" t="str">
        <f>IF(AND($B1240&gt;='111'!$N$11,$B1240&lt;='111'!$O$11,OR($L1240=$O$7,$M1240=$O$7)),"x","")</f>
        <v>x</v>
      </c>
      <c r="P1240" s="51" t="str">
        <f>IF(AND($L1240=$O$7,$B1240&lt;'111'!$N$11),"x","")</f>
        <v/>
      </c>
      <c r="Q1240" s="51" t="str">
        <f>IF(AND($M1240=$O$7,$B1240&lt;'111'!$N$11),"x","")</f>
        <v/>
      </c>
      <c r="R1240" s="51" t="str">
        <f>IF(ISERROR(FIND('112'!$M$9,G1240,1)),"",IF((AND(FIND('112'!$M$9,G1240,1)&gt;=1,$B1240&gt;='112'!$N$8,$B1240&lt;='112'!$O$8,OR($L1240='112'!$I$6,$M1240='112'!$I$6))),"x",""))</f>
        <v/>
      </c>
      <c r="S1240" s="51" t="str">
        <f>IF(ISERROR(FIND('112'!$M$9,G1240,1)),"",IF((AND(LEFT(G1240,2)=LEFT('112'!$M$9,2),B1240&lt;'112'!$N$8,$L1240='112'!$I$6)),"x",""))</f>
        <v/>
      </c>
      <c r="T1240" s="51" t="str">
        <f>IF(ISERROR(FIND('112'!$M$9,G1240,1)),"",IF((AND(RIGHT(G1240,2)=RIGHT('112'!$M$9,2),B1240&lt;'112'!$N$8,$M1240='112'!$I$6)),"x",""))</f>
        <v/>
      </c>
      <c r="U1240" s="51" t="str">
        <f>IF(AND(L1240="154",'154'!$O$5&lt;=B1240,'154'!$P$5&gt;=B1240),"154",IF(AND(L1240="632",'632'!$L$5&lt;=B1240,'632'!$M$5&gt;=B1240),"632",IF(AND(L1240="642",'642'!$N$5&lt;=B1240,'642'!$O$5&gt;=B1240),"642",IF(AND(L1240="641",'641'!$N$5&lt;=B1240,'641'!$O$5&gt;=B1240),"641",""))))</f>
        <v/>
      </c>
      <c r="V1240" s="51" t="str">
        <f>IF(OR(TH!L1240=TH!$V$7,M1240=TH!$V$7),"x","")</f>
        <v>x</v>
      </c>
      <c r="W1240" s="51" t="str">
        <f>IF(AND(B1240&gt;='IN-NX'!$P$3,B1240&lt;='IN-NX'!$Q$3,'IN-NX'!$D$7=D1240,OR(LEFT(L1240,2)="15",AND(LEFT(M1240,2)&lt;&gt;"15",LEFT(M1240,2)&lt;&gt;"33"))),"x","")</f>
        <v/>
      </c>
      <c r="X1240" s="51" t="str">
        <f>IF(AND(OR(LEFT(TH!L1240,2)="15",LEFT(TH!M1240,2)="15"),'152-CT'!$J$8=TH!F1240),"x","")</f>
        <v/>
      </c>
      <c r="Y1240" s="51" t="str">
        <f>IF(AND(OR(LEFT(TH!L1240,2)="15",LEFT(TH!M1240,2)="15"),TK!$E$7=TH!F1240),"x","")</f>
        <v/>
      </c>
      <c r="Z1240" s="51" t="str">
        <f>IF(AND(B1240&lt;=NKC!$N$8,B1240&gt;=NKC!$M$8),"x","")</f>
        <v/>
      </c>
      <c r="AA1240" s="803"/>
      <c r="AB1240" s="565"/>
      <c r="AE1240" s="565"/>
    </row>
    <row r="1241" spans="1:31" ht="15.75" customHeight="1">
      <c r="A1241" s="804" t="str">
        <f>IF(B1241&lt;&gt;"",IF(AND(B1241&gt;=_TM1,B1241&lt;=_TM2,OR(TH!L1241="1111",TH!M1241="1111")),TH!D1241,""),"")</f>
        <v/>
      </c>
      <c r="B1241" s="36">
        <f t="shared" si="79"/>
        <v>12</v>
      </c>
      <c r="C1241" s="189">
        <f t="shared" si="80"/>
        <v>42348</v>
      </c>
      <c r="D1241" s="189" t="s">
        <v>1448</v>
      </c>
      <c r="E1241" s="189">
        <v>42348</v>
      </c>
      <c r="F1241" s="190" t="s">
        <v>560</v>
      </c>
      <c r="G1241" s="813" t="s">
        <v>901</v>
      </c>
      <c r="H1241" s="7" t="s">
        <v>559</v>
      </c>
      <c r="I1241" s="243"/>
      <c r="J1241" s="243"/>
      <c r="K1241" s="573">
        <f>12727</f>
        <v>12727</v>
      </c>
      <c r="L1241" s="574" t="s">
        <v>9</v>
      </c>
      <c r="M1241" s="574" t="s">
        <v>47</v>
      </c>
      <c r="N1241" s="51" t="str">
        <f>IF(AND('331-CT'!$E$7=TH!H1241,OR(L1241="331",M1241="331")),"331",IF(AND(OR(L1241="131",M1241="131"),H1241='131-CT'!$E$7),"131",""))</f>
        <v/>
      </c>
      <c r="O1241" s="51" t="str">
        <f>IF(AND($B1241&gt;='111'!$N$11,$B1241&lt;='111'!$O$11,OR($L1241=$O$7,$M1241=$O$7)),"x","")</f>
        <v>x</v>
      </c>
      <c r="P1241" s="51" t="str">
        <f>IF(AND($L1241=$O$7,$B1241&lt;'111'!$N$11),"x","")</f>
        <v/>
      </c>
      <c r="Q1241" s="51" t="str">
        <f>IF(AND($M1241=$O$7,$B1241&lt;'111'!$N$11),"x","")</f>
        <v/>
      </c>
      <c r="R1241" s="51" t="str">
        <f>IF(ISERROR(FIND('112'!$M$9,G1241,1)),"",IF((AND(FIND('112'!$M$9,G1241,1)&gt;=1,$B1241&gt;='112'!$N$8,$B1241&lt;='112'!$O$8,OR($L1241='112'!$I$6,$M1241='112'!$I$6))),"x",""))</f>
        <v/>
      </c>
      <c r="S1241" s="51" t="str">
        <f>IF(ISERROR(FIND('112'!$M$9,G1241,1)),"",IF((AND(LEFT(G1241,2)=LEFT('112'!$M$9,2),B1241&lt;'112'!$N$8,$L1241='112'!$I$6)),"x",""))</f>
        <v/>
      </c>
      <c r="T1241" s="51" t="str">
        <f>IF(ISERROR(FIND('112'!$M$9,G1241,1)),"",IF((AND(RIGHT(G1241,2)=RIGHT('112'!$M$9,2),B1241&lt;'112'!$N$8,$M1241='112'!$I$6)),"x",""))</f>
        <v/>
      </c>
      <c r="U1241" s="51" t="str">
        <f>IF(AND(L1241="154",'154'!$O$5&lt;=B1241,'154'!$P$5&gt;=B1241),"154",IF(AND(L1241="632",'632'!$L$5&lt;=B1241,'632'!$M$5&gt;=B1241),"632",IF(AND(L1241="642",'642'!$N$5&lt;=B1241,'642'!$O$5&gt;=B1241),"642",IF(AND(L1241="641",'641'!$N$5&lt;=B1241,'641'!$O$5&gt;=B1241),"641",""))))</f>
        <v/>
      </c>
      <c r="V1241" s="51" t="str">
        <f>IF(OR(TH!L1241=TH!$V$7,M1241=TH!$V$7),"x","")</f>
        <v/>
      </c>
      <c r="W1241" s="51" t="str">
        <f>IF(AND(B1241&gt;='IN-NX'!$P$3,B1241&lt;='IN-NX'!$Q$3,'IN-NX'!$D$7=D1241,OR(LEFT(L1241,2)="15",AND(LEFT(M1241,2)&lt;&gt;"15",LEFT(M1241,2)&lt;&gt;"33"))),"x","")</f>
        <v/>
      </c>
      <c r="X1241" s="51" t="str">
        <f>IF(AND(OR(LEFT(TH!L1241,2)="15",LEFT(TH!M1241,2)="15"),'152-CT'!$J$8=TH!F1241),"x","")</f>
        <v/>
      </c>
      <c r="Y1241" s="51" t="str">
        <f>IF(AND(OR(LEFT(TH!L1241,2)="15",LEFT(TH!M1241,2)="15"),TK!$E$7=TH!F1241),"x","")</f>
        <v/>
      </c>
      <c r="Z1241" s="51" t="str">
        <f>IF(AND(B1241&lt;=NKC!$N$8,B1241&gt;=NKC!$M$8),"x","")</f>
        <v/>
      </c>
      <c r="AA1241" s="803">
        <v>4</v>
      </c>
      <c r="AB1241" s="565"/>
      <c r="AE1241" s="565"/>
    </row>
    <row r="1242" spans="1:31" ht="15.75" customHeight="1">
      <c r="A1242" s="804" t="str">
        <f>IF(B1242&lt;&gt;"",IF(AND(B1242&gt;=_TM1,B1242&lt;=_TM2,OR(TH!L1242="1111",TH!M1242="1111")),TH!D1242,""),"")</f>
        <v/>
      </c>
      <c r="B1242" s="36">
        <f t="shared" si="79"/>
        <v>12</v>
      </c>
      <c r="C1242" s="189">
        <f t="shared" si="80"/>
        <v>42349</v>
      </c>
      <c r="D1242" s="189" t="s">
        <v>1452</v>
      </c>
      <c r="E1242" s="182">
        <v>42349</v>
      </c>
      <c r="F1242" s="187" t="s">
        <v>433</v>
      </c>
      <c r="G1242" s="811" t="s">
        <v>415</v>
      </c>
      <c r="H1242" s="7" t="s">
        <v>437</v>
      </c>
      <c r="I1242" s="243"/>
      <c r="J1242" s="243"/>
      <c r="K1242" s="573">
        <v>2100000</v>
      </c>
      <c r="L1242" s="574" t="s">
        <v>24</v>
      </c>
      <c r="M1242" s="192" t="s">
        <v>47</v>
      </c>
      <c r="N1242" s="51" t="str">
        <f>IF(AND('331-CT'!$E$7=TH!H1242,OR(L1242="331",M1242="331")),"331",IF(AND(OR(L1242="131",M1242="131"),H1242='131-CT'!$E$7),"131",""))</f>
        <v/>
      </c>
      <c r="O1242" s="51" t="str">
        <f>IF(AND($B1242&gt;='111'!$N$11,$B1242&lt;='111'!$O$11,OR($L1242=$O$7,$M1242=$O$7)),"x","")</f>
        <v>x</v>
      </c>
      <c r="P1242" s="51" t="str">
        <f>IF(AND($L1242=$O$7,$B1242&lt;'111'!$N$11),"x","")</f>
        <v/>
      </c>
      <c r="Q1242" s="51" t="str">
        <f>IF(AND($M1242=$O$7,$B1242&lt;'111'!$N$11),"x","")</f>
        <v/>
      </c>
      <c r="R1242" s="51" t="str">
        <f>IF(ISERROR(FIND('112'!$M$9,G1242,1)),"",IF((AND(FIND('112'!$M$9,G1242,1)&gt;=1,$B1242&gt;='112'!$N$8,$B1242&lt;='112'!$O$8,OR($L1242='112'!$I$6,$M1242='112'!$I$6))),"x",""))</f>
        <v/>
      </c>
      <c r="S1242" s="51" t="str">
        <f>IF(ISERROR(FIND('112'!$M$9,G1242,1)),"",IF((AND(LEFT(G1242,2)=LEFT('112'!$M$9,2),B1242&lt;'112'!$N$8,$L1242='112'!$I$6)),"x",""))</f>
        <v/>
      </c>
      <c r="T1242" s="51" t="str">
        <f>IF(ISERROR(FIND('112'!$M$9,G1242,1)),"",IF((AND(RIGHT(G1242,2)=RIGHT('112'!$M$9,2),B1242&lt;'112'!$N$8,$M1242='112'!$I$6)),"x",""))</f>
        <v/>
      </c>
      <c r="U1242" s="51" t="str">
        <f>IF(AND(L1242="154",'154'!$O$5&lt;=B1242,'154'!$P$5&gt;=B1242),"154",IF(AND(L1242="632",'632'!$L$5&lt;=B1242,'632'!$M$5&gt;=B1242),"632",IF(AND(L1242="642",'642'!$N$5&lt;=B1242,'642'!$O$5&gt;=B1242),"642",IF(AND(L1242="641",'641'!$N$5&lt;=B1242,'641'!$O$5&gt;=B1242),"641",""))))</f>
        <v/>
      </c>
      <c r="V1242" s="51" t="str">
        <f>IF(OR(TH!L1242=TH!$V$7,M1242=TH!$V$7),"x","")</f>
        <v/>
      </c>
      <c r="W1242" s="51" t="str">
        <f>IF(AND(B1242&gt;='IN-NX'!$P$3,B1242&lt;='IN-NX'!$Q$3,'IN-NX'!$D$7=D1242,OR(LEFT(L1242,2)="15",AND(LEFT(M1242,2)&lt;&gt;"15",LEFT(M1242,2)&lt;&gt;"33"))),"x","")</f>
        <v/>
      </c>
      <c r="X1242" s="51" t="str">
        <f>IF(AND(OR(LEFT(TH!L1242,2)="15",LEFT(TH!M1242,2)="15"),'152-CT'!$J$8=TH!F1242),"x","")</f>
        <v/>
      </c>
      <c r="Y1242" s="51" t="str">
        <f>IF(AND(OR(LEFT(TH!L1242,2)="15",LEFT(TH!M1242,2)="15"),TK!$E$7=TH!F1242),"x","")</f>
        <v/>
      </c>
      <c r="Z1242" s="51" t="str">
        <f>IF(AND(B1242&lt;=NKC!$N$8,B1242&gt;=NKC!$M$8),"x","")</f>
        <v/>
      </c>
      <c r="AA1242" s="803"/>
      <c r="AB1242" s="565"/>
    </row>
    <row r="1243" spans="1:31" ht="15.75" customHeight="1">
      <c r="A1243" s="804" t="str">
        <f>IF(B1243&lt;&gt;"",IF(AND(B1243&gt;=_TM1,B1243&lt;=_TM2,OR(TH!L1243="1111",TH!M1243="1111")),TH!D1243,""),"")</f>
        <v/>
      </c>
      <c r="B1243" s="36">
        <f t="shared" si="79"/>
        <v>12</v>
      </c>
      <c r="C1243" s="189">
        <f t="shared" si="80"/>
        <v>42349</v>
      </c>
      <c r="D1243" s="189" t="s">
        <v>421</v>
      </c>
      <c r="E1243" s="182">
        <v>42349</v>
      </c>
      <c r="F1243" s="187" t="s">
        <v>423</v>
      </c>
      <c r="G1243" s="811" t="s">
        <v>415</v>
      </c>
      <c r="H1243" s="191" t="s">
        <v>414</v>
      </c>
      <c r="I1243" s="243"/>
      <c r="J1243" s="243"/>
      <c r="K1243" s="573">
        <v>7246008</v>
      </c>
      <c r="L1243" s="574" t="s">
        <v>24</v>
      </c>
      <c r="M1243" s="192" t="s">
        <v>250</v>
      </c>
      <c r="N1243" s="51" t="str">
        <f>IF(AND('331-CT'!$E$7=TH!H1243,OR(L1243="331",M1243="331")),"331",IF(AND(OR(L1243="131",M1243="131"),H1243='131-CT'!$E$7),"131",""))</f>
        <v/>
      </c>
      <c r="O1243" s="51" t="str">
        <f>IF(AND($B1243&gt;='111'!$N$11,$B1243&lt;='111'!$O$11,OR($L1243=$O$7,$M1243=$O$7)),"x","")</f>
        <v/>
      </c>
      <c r="P1243" s="51" t="str">
        <f>IF(AND($L1243=$O$7,$B1243&lt;'111'!$N$11),"x","")</f>
        <v/>
      </c>
      <c r="Q1243" s="51" t="str">
        <f>IF(AND($M1243=$O$7,$B1243&lt;'111'!$N$11),"x","")</f>
        <v/>
      </c>
      <c r="R1243" s="51" t="str">
        <f>IF(ISERROR(FIND('112'!$M$9,G1243,1)),"",IF((AND(FIND('112'!$M$9,G1243,1)&gt;=1,$B1243&gt;='112'!$N$8,$B1243&lt;='112'!$O$8,OR($L1243='112'!$I$6,$M1243='112'!$I$6))),"x",""))</f>
        <v/>
      </c>
      <c r="S1243" s="51" t="str">
        <f>IF(ISERROR(FIND('112'!$M$9,G1243,1)),"",IF((AND(LEFT(G1243,2)=LEFT('112'!$M$9,2),B1243&lt;'112'!$N$8,$L1243='112'!$I$6)),"x",""))</f>
        <v/>
      </c>
      <c r="T1243" s="51" t="str">
        <f>IF(ISERROR(FIND('112'!$M$9,G1243,1)),"",IF((AND(RIGHT(G1243,2)=RIGHT('112'!$M$9,2),B1243&lt;'112'!$N$8,$M1243='112'!$I$6)),"x",""))</f>
        <v/>
      </c>
      <c r="U1243" s="51" t="str">
        <f>IF(AND(L1243="154",'154'!$O$5&lt;=B1243,'154'!$P$5&gt;=B1243),"154",IF(AND(L1243="632",'632'!$L$5&lt;=B1243,'632'!$M$5&gt;=B1243),"632",IF(AND(L1243="642",'642'!$N$5&lt;=B1243,'642'!$O$5&gt;=B1243),"642",IF(AND(L1243="641",'641'!$N$5&lt;=B1243,'641'!$O$5&gt;=B1243),"641",""))))</f>
        <v/>
      </c>
      <c r="V1243" s="51" t="str">
        <f>IF(OR(TH!L1243=TH!$V$7,M1243=TH!$V$7),"x","")</f>
        <v/>
      </c>
      <c r="W1243" s="51" t="str">
        <f>IF(AND(B1243&gt;='IN-NX'!$P$3,B1243&lt;='IN-NX'!$Q$3,'IN-NX'!$D$7=D1243,OR(LEFT(L1243,2)="15",AND(LEFT(M1243,2)&lt;&gt;"15",LEFT(M1243,2)&lt;&gt;"33"))),"x","")</f>
        <v/>
      </c>
      <c r="X1243" s="51" t="str">
        <f>IF(AND(OR(LEFT(TH!L1243,2)="15",LEFT(TH!M1243,2)="15"),'152-CT'!$J$8=TH!F1243),"x","")</f>
        <v/>
      </c>
      <c r="Y1243" s="51" t="str">
        <f>IF(AND(OR(LEFT(TH!L1243,2)="15",LEFT(TH!M1243,2)="15"),TK!$E$7=TH!F1243),"x","")</f>
        <v/>
      </c>
      <c r="Z1243" s="51" t="str">
        <f>IF(AND(B1243&lt;=NKC!$N$8,B1243&gt;=NKC!$M$8),"x","")</f>
        <v/>
      </c>
      <c r="AA1243" s="803"/>
      <c r="AB1243" s="565"/>
    </row>
    <row r="1244" spans="1:31" ht="15.75" customHeight="1">
      <c r="A1244" s="804" t="str">
        <f>IF(B1244&lt;&gt;"",IF(AND(B1244&gt;=_TM1,B1244&lt;=_TM2,OR(TH!L1244="1111",TH!M1244="1111")),TH!D1244,""),"")</f>
        <v/>
      </c>
      <c r="B1244" s="36">
        <f t="shared" si="79"/>
        <v>12</v>
      </c>
      <c r="C1244" s="189">
        <f t="shared" si="80"/>
        <v>42349</v>
      </c>
      <c r="D1244" s="189" t="s">
        <v>422</v>
      </c>
      <c r="E1244" s="182">
        <v>42349</v>
      </c>
      <c r="F1244" s="187" t="s">
        <v>438</v>
      </c>
      <c r="G1244" s="811" t="s">
        <v>415</v>
      </c>
      <c r="H1244" s="7" t="s">
        <v>448</v>
      </c>
      <c r="I1244" s="243"/>
      <c r="J1244" s="243"/>
      <c r="K1244" s="573">
        <v>20022000</v>
      </c>
      <c r="L1244" s="574" t="s">
        <v>8</v>
      </c>
      <c r="M1244" s="574" t="s">
        <v>24</v>
      </c>
      <c r="N1244" s="51" t="str">
        <f>IF(AND('331-CT'!$E$7=TH!H1244,OR(L1244="331",M1244="331")),"331",IF(AND(OR(L1244="131",M1244="131"),H1244='131-CT'!$E$7),"131",""))</f>
        <v/>
      </c>
      <c r="O1244" s="51" t="str">
        <f>IF(AND($B1244&gt;='111'!$N$11,$B1244&lt;='111'!$O$11,OR($L1244=$O$7,$M1244=$O$7)),"x","")</f>
        <v/>
      </c>
      <c r="P1244" s="51" t="str">
        <f>IF(AND($L1244=$O$7,$B1244&lt;'111'!$N$11),"x","")</f>
        <v/>
      </c>
      <c r="Q1244" s="51" t="str">
        <f>IF(AND($M1244=$O$7,$B1244&lt;'111'!$N$11),"x","")</f>
        <v/>
      </c>
      <c r="R1244" s="51" t="str">
        <f>IF(ISERROR(FIND('112'!$M$9,G1244,1)),"",IF((AND(FIND('112'!$M$9,G1244,1)&gt;=1,$B1244&gt;='112'!$N$8,$B1244&lt;='112'!$O$8,OR($L1244='112'!$I$6,$M1244='112'!$I$6))),"x",""))</f>
        <v/>
      </c>
      <c r="S1244" s="51" t="str">
        <f>IF(ISERROR(FIND('112'!$M$9,G1244,1)),"",IF((AND(LEFT(G1244,2)=LEFT('112'!$M$9,2),B1244&lt;'112'!$N$8,$L1244='112'!$I$6)),"x",""))</f>
        <v/>
      </c>
      <c r="T1244" s="51" t="str">
        <f>IF(ISERROR(FIND('112'!$M$9,G1244,1)),"",IF((AND(RIGHT(G1244,2)=RIGHT('112'!$M$9,2),B1244&lt;'112'!$N$8,$M1244='112'!$I$6)),"x",""))</f>
        <v/>
      </c>
      <c r="U1244" s="51" t="str">
        <f>IF(AND(L1244="154",'154'!$O$5&lt;=B1244,'154'!$P$5&gt;=B1244),"154",IF(AND(L1244="632",'632'!$L$5&lt;=B1244,'632'!$M$5&gt;=B1244),"632",IF(AND(L1244="642",'642'!$N$5&lt;=B1244,'642'!$O$5&gt;=B1244),"642",IF(AND(L1244="641",'641'!$N$5&lt;=B1244,'641'!$O$5&gt;=B1244),"641",""))))</f>
        <v/>
      </c>
      <c r="V1244" s="51" t="str">
        <f>IF(OR(TH!L1244=TH!$V$7,M1244=TH!$V$7),"x","")</f>
        <v/>
      </c>
      <c r="W1244" s="51" t="str">
        <f>IF(AND(B1244&gt;='IN-NX'!$P$3,B1244&lt;='IN-NX'!$Q$3,'IN-NX'!$D$7=D1244,OR(LEFT(L1244,2)="15",AND(LEFT(M1244,2)&lt;&gt;"15",LEFT(M1244,2)&lt;&gt;"33"))),"x","")</f>
        <v/>
      </c>
      <c r="X1244" s="51" t="str">
        <f>IF(AND(OR(LEFT(TH!L1244,2)="15",LEFT(TH!M1244,2)="15"),'152-CT'!$J$8=TH!F1244),"x","")</f>
        <v/>
      </c>
      <c r="Y1244" s="51" t="str">
        <f>IF(AND(OR(LEFT(TH!L1244,2)="15",LEFT(TH!M1244,2)="15"),TK!$E$7=TH!F1244),"x","")</f>
        <v/>
      </c>
      <c r="Z1244" s="51" t="str">
        <f>IF(AND(B1244&lt;=NKC!$N$8,B1244&gt;=NKC!$M$8),"x","")</f>
        <v/>
      </c>
      <c r="AA1244" s="803"/>
      <c r="AB1244" s="565"/>
      <c r="AC1244" s="565"/>
      <c r="AD1244" s="565"/>
    </row>
    <row r="1245" spans="1:31" ht="15.75" customHeight="1">
      <c r="A1245" s="804" t="str">
        <f>IF(B1245&lt;&gt;"",IF(AND(B1245&gt;=_TM1,B1245&lt;=_TM2,OR(TH!L1245="1111",TH!M1245="1111")),TH!D1245,""),"")</f>
        <v/>
      </c>
      <c r="B1245" s="36">
        <f t="shared" ref="B1245:B1308" si="82">IF(C1245&lt;&gt;"",MONTH(C1245),"")</f>
        <v>12</v>
      </c>
      <c r="C1245" s="189">
        <f t="shared" ref="C1245:C1308" si="83">E1245</f>
        <v>42349</v>
      </c>
      <c r="D1245" s="189" t="s">
        <v>422</v>
      </c>
      <c r="E1245" s="182">
        <v>42349</v>
      </c>
      <c r="F1245" s="187" t="s">
        <v>443</v>
      </c>
      <c r="G1245" s="811" t="s">
        <v>415</v>
      </c>
      <c r="H1245" s="191"/>
      <c r="I1245" s="243"/>
      <c r="J1245" s="243"/>
      <c r="K1245" s="573">
        <v>22000</v>
      </c>
      <c r="L1245" s="192" t="s">
        <v>83</v>
      </c>
      <c r="M1245" s="574" t="s">
        <v>24</v>
      </c>
      <c r="N1245" s="51" t="str">
        <f>IF(AND('331-CT'!$E$7=TH!H1245,OR(L1245="331",M1245="331")),"331",IF(AND(OR(L1245="131",M1245="131"),H1245='131-CT'!$E$7),"131",""))</f>
        <v/>
      </c>
      <c r="O1245" s="51" t="str">
        <f>IF(AND($B1245&gt;='111'!$N$11,$B1245&lt;='111'!$O$11,OR($L1245=$O$7,$M1245=$O$7)),"x","")</f>
        <v/>
      </c>
      <c r="P1245" s="51" t="str">
        <f>IF(AND($L1245=$O$7,$B1245&lt;'111'!$N$11),"x","")</f>
        <v/>
      </c>
      <c r="Q1245" s="51" t="str">
        <f>IF(AND($M1245=$O$7,$B1245&lt;'111'!$N$11),"x","")</f>
        <v/>
      </c>
      <c r="R1245" s="51" t="str">
        <f>IF(ISERROR(FIND('112'!$M$9,G1245,1)),"",IF((AND(FIND('112'!$M$9,G1245,1)&gt;=1,$B1245&gt;='112'!$N$8,$B1245&lt;='112'!$O$8,OR($L1245='112'!$I$6,$M1245='112'!$I$6))),"x",""))</f>
        <v/>
      </c>
      <c r="S1245" s="51" t="str">
        <f>IF(ISERROR(FIND('112'!$M$9,G1245,1)),"",IF((AND(LEFT(G1245,2)=LEFT('112'!$M$9,2),B1245&lt;'112'!$N$8,$L1245='112'!$I$6)),"x",""))</f>
        <v/>
      </c>
      <c r="T1245" s="51" t="str">
        <f>IF(ISERROR(FIND('112'!$M$9,G1245,1)),"",IF((AND(RIGHT(G1245,2)=RIGHT('112'!$M$9,2),B1245&lt;'112'!$N$8,$M1245='112'!$I$6)),"x",""))</f>
        <v/>
      </c>
      <c r="U1245" s="51" t="str">
        <f>IF(AND(L1245="154",'154'!$O$5&lt;=B1245,'154'!$P$5&gt;=B1245),"154",IF(AND(L1245="632",'632'!$L$5&lt;=B1245,'632'!$M$5&gt;=B1245),"632",IF(AND(L1245="642",'642'!$N$5&lt;=B1245,'642'!$O$5&gt;=B1245),"642",IF(AND(L1245="641",'641'!$N$5&lt;=B1245,'641'!$O$5&gt;=B1245),"641",""))))</f>
        <v/>
      </c>
      <c r="V1245" s="51" t="str">
        <f>IF(OR(TH!L1245=TH!$V$7,M1245=TH!$V$7),"x","")</f>
        <v>x</v>
      </c>
      <c r="W1245" s="51" t="str">
        <f>IF(AND(B1245&gt;='IN-NX'!$P$3,B1245&lt;='IN-NX'!$Q$3,'IN-NX'!$D$7=D1245,OR(LEFT(L1245,2)="15",AND(LEFT(M1245,2)&lt;&gt;"15",LEFT(M1245,2)&lt;&gt;"33"))),"x","")</f>
        <v/>
      </c>
      <c r="X1245" s="51" t="str">
        <f>IF(AND(OR(LEFT(TH!L1245,2)="15",LEFT(TH!M1245,2)="15"),'152-CT'!$J$8=TH!F1245),"x","")</f>
        <v/>
      </c>
      <c r="Y1245" s="51" t="str">
        <f>IF(AND(OR(LEFT(TH!L1245,2)="15",LEFT(TH!M1245,2)="15"),TK!$E$7=TH!F1245),"x","")</f>
        <v/>
      </c>
      <c r="Z1245" s="51" t="str">
        <f>IF(AND(B1245&lt;=NKC!$N$8,B1245&gt;=NKC!$M$8),"x","")</f>
        <v/>
      </c>
      <c r="AA1245" s="803"/>
      <c r="AB1245" s="565"/>
      <c r="AC1245" s="565"/>
      <c r="AD1245" s="565"/>
    </row>
    <row r="1246" spans="1:31" ht="15.75" customHeight="1">
      <c r="A1246" s="804" t="str">
        <f>IF(B1246&lt;&gt;"",IF(AND(B1246&gt;=_TM1,B1246&lt;=_TM2,OR(TH!L1246="1111",TH!M1246="1111")),TH!D1246,""),"")</f>
        <v/>
      </c>
      <c r="B1246" s="36">
        <f t="shared" si="82"/>
        <v>12</v>
      </c>
      <c r="C1246" s="189">
        <f t="shared" si="83"/>
        <v>42349</v>
      </c>
      <c r="D1246" s="189" t="s">
        <v>1451</v>
      </c>
      <c r="E1246" s="189">
        <v>42349</v>
      </c>
      <c r="F1246" s="190" t="s">
        <v>621</v>
      </c>
      <c r="G1246" s="813" t="s">
        <v>905</v>
      </c>
      <c r="H1246" s="191" t="s">
        <v>904</v>
      </c>
      <c r="I1246" s="243">
        <v>3000</v>
      </c>
      <c r="J1246" s="243">
        <v>15675</v>
      </c>
      <c r="K1246" s="573">
        <f>ROUND(I1246*J1246,0)</f>
        <v>47025000</v>
      </c>
      <c r="L1246" s="574" t="s">
        <v>417</v>
      </c>
      <c r="M1246" s="574" t="s">
        <v>8</v>
      </c>
      <c r="N1246" s="51" t="str">
        <f>IF(AND('331-CT'!$E$7=TH!H1246,OR(L1246="331",M1246="331")),"331",IF(AND(OR(L1246="131",M1246="131"),H1246='131-CT'!$E$7),"131",""))</f>
        <v/>
      </c>
      <c r="O1246" s="51" t="str">
        <f>IF(AND($B1246&gt;='111'!$N$11,$B1246&lt;='111'!$O$11,OR($L1246=$O$7,$M1246=$O$7)),"x","")</f>
        <v/>
      </c>
      <c r="P1246" s="51" t="str">
        <f>IF(AND($L1246=$O$7,$B1246&lt;'111'!$N$11),"x","")</f>
        <v/>
      </c>
      <c r="Q1246" s="51" t="str">
        <f>IF(AND($M1246=$O$7,$B1246&lt;'111'!$N$11),"x","")</f>
        <v/>
      </c>
      <c r="R1246" s="51" t="str">
        <f>IF(ISERROR(FIND('112'!$M$9,G1246,1)),"",IF((AND(FIND('112'!$M$9,G1246,1)&gt;=1,$B1246&gt;='112'!$N$8,$B1246&lt;='112'!$O$8,OR($L1246='112'!$I$6,$M1246='112'!$I$6))),"x",""))</f>
        <v/>
      </c>
      <c r="S1246" s="51" t="str">
        <f>IF(ISERROR(FIND('112'!$M$9,G1246,1)),"",IF((AND(LEFT(G1246,2)=LEFT('112'!$M$9,2),B1246&lt;'112'!$N$8,$L1246='112'!$I$6)),"x",""))</f>
        <v/>
      </c>
      <c r="T1246" s="51" t="str">
        <f>IF(ISERROR(FIND('112'!$M$9,G1246,1)),"",IF((AND(RIGHT(G1246,2)=RIGHT('112'!$M$9,2),B1246&lt;'112'!$N$8,$M1246='112'!$I$6)),"x",""))</f>
        <v/>
      </c>
      <c r="U1246" s="51" t="str">
        <f>IF(AND(L1246="154",'154'!$O$5&lt;=B1246,'154'!$P$5&gt;=B1246),"154",IF(AND(L1246="632",'632'!$L$5&lt;=B1246,'632'!$M$5&gt;=B1246),"632",IF(AND(L1246="642",'642'!$N$5&lt;=B1246,'642'!$O$5&gt;=B1246),"642",IF(AND(L1246="641",'641'!$N$5&lt;=B1246,'641'!$O$5&gt;=B1246),"641",""))))</f>
        <v/>
      </c>
      <c r="V1246" s="51" t="str">
        <f>IF(OR(TH!L1246=TH!$V$7,M1246=TH!$V$7),"x","")</f>
        <v/>
      </c>
      <c r="W1246" s="51" t="str">
        <f>IF(AND(B1246&gt;='IN-NX'!$P$3,B1246&lt;='IN-NX'!$Q$3,'IN-NX'!$D$7=D1246,OR(LEFT(L1246,2)="15",AND(LEFT(M1246,2)&lt;&gt;"15",LEFT(M1246,2)&lt;&gt;"33"))),"x","")</f>
        <v/>
      </c>
      <c r="X1246" s="51" t="str">
        <f>IF(AND(OR(LEFT(TH!L1246,2)="15",LEFT(TH!M1246,2)="15"),'152-CT'!$J$8=TH!F1246),"x","")</f>
        <v/>
      </c>
      <c r="Y1246" s="51" t="str">
        <f>IF(AND(OR(LEFT(TH!L1246,2)="15",LEFT(TH!M1246,2)="15"),TK!$E$7=TH!F1246),"x","")</f>
        <v/>
      </c>
      <c r="Z1246" s="51" t="str">
        <f>IF(AND(B1246&lt;=NKC!$N$8,B1246&gt;=NKC!$M$8),"x","")</f>
        <v/>
      </c>
      <c r="AA1246" s="803"/>
      <c r="AB1246" s="565"/>
      <c r="AE1246" s="565"/>
    </row>
    <row r="1247" spans="1:31" ht="15.75" customHeight="1">
      <c r="A1247" s="804" t="str">
        <f>IF(B1247&lt;&gt;"",IF(AND(B1247&gt;=_TM1,B1247&lt;=_TM2,OR(TH!L1247="1111",TH!M1247="1111")),TH!D1247,""),"")</f>
        <v/>
      </c>
      <c r="B1247" s="36">
        <f t="shared" si="82"/>
        <v>12</v>
      </c>
      <c r="C1247" s="189">
        <f t="shared" si="83"/>
        <v>42349</v>
      </c>
      <c r="D1247" s="189" t="s">
        <v>1451</v>
      </c>
      <c r="E1247" s="189">
        <v>42349</v>
      </c>
      <c r="F1247" s="190" t="s">
        <v>906</v>
      </c>
      <c r="G1247" s="813" t="s">
        <v>905</v>
      </c>
      <c r="H1247" s="191" t="s">
        <v>904</v>
      </c>
      <c r="I1247" s="243">
        <v>490</v>
      </c>
      <c r="J1247" s="243">
        <v>15600</v>
      </c>
      <c r="K1247" s="573">
        <f>ROUND(I1247*J1247,0)</f>
        <v>7644000</v>
      </c>
      <c r="L1247" s="574" t="s">
        <v>417</v>
      </c>
      <c r="M1247" s="574" t="s">
        <v>8</v>
      </c>
      <c r="N1247" s="51" t="str">
        <f>IF(AND('331-CT'!$E$7=TH!H1247,OR(L1247="331",M1247="331")),"331",IF(AND(OR(L1247="131",M1247="131"),H1247='131-CT'!$E$7),"131",""))</f>
        <v/>
      </c>
      <c r="O1247" s="51" t="str">
        <f>IF(AND($B1247&gt;='111'!$N$11,$B1247&lt;='111'!$O$11,OR($L1247=$O$7,$M1247=$O$7)),"x","")</f>
        <v/>
      </c>
      <c r="P1247" s="51" t="str">
        <f>IF(AND($L1247=$O$7,$B1247&lt;'111'!$N$11),"x","")</f>
        <v/>
      </c>
      <c r="Q1247" s="51" t="str">
        <f>IF(AND($M1247=$O$7,$B1247&lt;'111'!$N$11),"x","")</f>
        <v/>
      </c>
      <c r="R1247" s="51" t="str">
        <f>IF(ISERROR(FIND('112'!$M$9,G1247,1)),"",IF((AND(FIND('112'!$M$9,G1247,1)&gt;=1,$B1247&gt;='112'!$N$8,$B1247&lt;='112'!$O$8,OR($L1247='112'!$I$6,$M1247='112'!$I$6))),"x",""))</f>
        <v/>
      </c>
      <c r="S1247" s="51" t="str">
        <f>IF(ISERROR(FIND('112'!$M$9,G1247,1)),"",IF((AND(LEFT(G1247,2)=LEFT('112'!$M$9,2),B1247&lt;'112'!$N$8,$L1247='112'!$I$6)),"x",""))</f>
        <v/>
      </c>
      <c r="T1247" s="51" t="str">
        <f>IF(ISERROR(FIND('112'!$M$9,G1247,1)),"",IF((AND(RIGHT(G1247,2)=RIGHT('112'!$M$9,2),B1247&lt;'112'!$N$8,$M1247='112'!$I$6)),"x",""))</f>
        <v/>
      </c>
      <c r="U1247" s="51" t="str">
        <f>IF(AND(L1247="154",'154'!$O$5&lt;=B1247,'154'!$P$5&gt;=B1247),"154",IF(AND(L1247="632",'632'!$L$5&lt;=B1247,'632'!$M$5&gt;=B1247),"632",IF(AND(L1247="642",'642'!$N$5&lt;=B1247,'642'!$O$5&gt;=B1247),"642",IF(AND(L1247="641",'641'!$N$5&lt;=B1247,'641'!$O$5&gt;=B1247),"641",""))))</f>
        <v/>
      </c>
      <c r="V1247" s="51" t="str">
        <f>IF(OR(TH!L1247=TH!$V$7,M1247=TH!$V$7),"x","")</f>
        <v/>
      </c>
      <c r="W1247" s="51" t="str">
        <f>IF(AND(B1247&gt;='IN-NX'!$P$3,B1247&lt;='IN-NX'!$Q$3,'IN-NX'!$D$7=D1247,OR(LEFT(L1247,2)="15",AND(LEFT(M1247,2)&lt;&gt;"15",LEFT(M1247,2)&lt;&gt;"33"))),"x","")</f>
        <v/>
      </c>
      <c r="X1247" s="51" t="str">
        <f>IF(AND(OR(LEFT(TH!L1247,2)="15",LEFT(TH!M1247,2)="15"),'152-CT'!$J$8=TH!F1247),"x","")</f>
        <v/>
      </c>
      <c r="Y1247" s="51" t="str">
        <f>IF(AND(OR(LEFT(TH!L1247,2)="15",LEFT(TH!M1247,2)="15"),TK!$E$7=TH!F1247),"x","")</f>
        <v/>
      </c>
      <c r="Z1247" s="51" t="str">
        <f>IF(AND(B1247&lt;=NKC!$N$8,B1247&gt;=NKC!$M$8),"x","")</f>
        <v/>
      </c>
      <c r="AA1247" s="803"/>
      <c r="AB1247" s="565"/>
      <c r="AE1247" s="565"/>
    </row>
    <row r="1248" spans="1:31" ht="15.75" customHeight="1">
      <c r="A1248" s="804" t="str">
        <f>IF(B1248&lt;&gt;"",IF(AND(B1248&gt;=_TM1,B1248&lt;=_TM2,OR(TH!L1248="1111",TH!M1248="1111")),TH!D1248,""),"")</f>
        <v/>
      </c>
      <c r="B1248" s="36">
        <f t="shared" si="82"/>
        <v>12</v>
      </c>
      <c r="C1248" s="189">
        <f t="shared" si="83"/>
        <v>42349</v>
      </c>
      <c r="D1248" s="189" t="s">
        <v>1451</v>
      </c>
      <c r="E1248" s="189">
        <v>42349</v>
      </c>
      <c r="F1248" s="190" t="s">
        <v>907</v>
      </c>
      <c r="G1248" s="813" t="s">
        <v>905</v>
      </c>
      <c r="H1248" s="191" t="s">
        <v>904</v>
      </c>
      <c r="I1248" s="243">
        <v>248</v>
      </c>
      <c r="J1248" s="243">
        <v>16667</v>
      </c>
      <c r="K1248" s="573">
        <f>ROUND(I1248*J1248,0)</f>
        <v>4133416</v>
      </c>
      <c r="L1248" s="574" t="s">
        <v>417</v>
      </c>
      <c r="M1248" s="574" t="s">
        <v>8</v>
      </c>
      <c r="N1248" s="51" t="str">
        <f>IF(AND('331-CT'!$E$7=TH!H1248,OR(L1248="331",M1248="331")),"331",IF(AND(OR(L1248="131",M1248="131"),H1248='131-CT'!$E$7),"131",""))</f>
        <v/>
      </c>
      <c r="O1248" s="51" t="str">
        <f>IF(AND($B1248&gt;='111'!$N$11,$B1248&lt;='111'!$O$11,OR($L1248=$O$7,$M1248=$O$7)),"x","")</f>
        <v/>
      </c>
      <c r="P1248" s="51" t="str">
        <f>IF(AND($L1248=$O$7,$B1248&lt;'111'!$N$11),"x","")</f>
        <v/>
      </c>
      <c r="Q1248" s="51" t="str">
        <f>IF(AND($M1248=$O$7,$B1248&lt;'111'!$N$11),"x","")</f>
        <v/>
      </c>
      <c r="R1248" s="51" t="str">
        <f>IF(ISERROR(FIND('112'!$M$9,G1248,1)),"",IF((AND(FIND('112'!$M$9,G1248,1)&gt;=1,$B1248&gt;='112'!$N$8,$B1248&lt;='112'!$O$8,OR($L1248='112'!$I$6,$M1248='112'!$I$6))),"x",""))</f>
        <v/>
      </c>
      <c r="S1248" s="51" t="str">
        <f>IF(ISERROR(FIND('112'!$M$9,G1248,1)),"",IF((AND(LEFT(G1248,2)=LEFT('112'!$M$9,2),B1248&lt;'112'!$N$8,$L1248='112'!$I$6)),"x",""))</f>
        <v/>
      </c>
      <c r="T1248" s="51" t="str">
        <f>IF(ISERROR(FIND('112'!$M$9,G1248,1)),"",IF((AND(RIGHT(G1248,2)=RIGHT('112'!$M$9,2),B1248&lt;'112'!$N$8,$M1248='112'!$I$6)),"x",""))</f>
        <v/>
      </c>
      <c r="U1248" s="51" t="str">
        <f>IF(AND(L1248="154",'154'!$O$5&lt;=B1248,'154'!$P$5&gt;=B1248),"154",IF(AND(L1248="632",'632'!$L$5&lt;=B1248,'632'!$M$5&gt;=B1248),"632",IF(AND(L1248="642",'642'!$N$5&lt;=B1248,'642'!$O$5&gt;=B1248),"642",IF(AND(L1248="641",'641'!$N$5&lt;=B1248,'641'!$O$5&gt;=B1248),"641",""))))</f>
        <v/>
      </c>
      <c r="V1248" s="51" t="str">
        <f>IF(OR(TH!L1248=TH!$V$7,M1248=TH!$V$7),"x","")</f>
        <v/>
      </c>
      <c r="W1248" s="51" t="str">
        <f>IF(AND(B1248&gt;='IN-NX'!$P$3,B1248&lt;='IN-NX'!$Q$3,'IN-NX'!$D$7=D1248,OR(LEFT(L1248,2)="15",AND(LEFT(M1248,2)&lt;&gt;"15",LEFT(M1248,2)&lt;&gt;"33"))),"x","")</f>
        <v/>
      </c>
      <c r="X1248" s="51" t="str">
        <f>IF(AND(OR(LEFT(TH!L1248,2)="15",LEFT(TH!M1248,2)="15"),'152-CT'!$J$8=TH!F1248),"x","")</f>
        <v/>
      </c>
      <c r="Y1248" s="51" t="str">
        <f>IF(AND(OR(LEFT(TH!L1248,2)="15",LEFT(TH!M1248,2)="15"),TK!$E$7=TH!F1248),"x","")</f>
        <v/>
      </c>
      <c r="Z1248" s="51" t="str">
        <f>IF(AND(B1248&lt;=NKC!$N$8,B1248&gt;=NKC!$M$8),"x","")</f>
        <v/>
      </c>
      <c r="AA1248" s="803"/>
      <c r="AB1248" s="565"/>
    </row>
    <row r="1249" spans="1:31" ht="15.75" customHeight="1">
      <c r="A1249" s="804" t="str">
        <f>IF(B1249&lt;&gt;"",IF(AND(B1249&gt;=_TM1,B1249&lt;=_TM2,OR(TH!L1249="1111",TH!M1249="1111")),TH!D1249,""),"")</f>
        <v/>
      </c>
      <c r="B1249" s="36">
        <f t="shared" si="82"/>
        <v>12</v>
      </c>
      <c r="C1249" s="189">
        <f t="shared" si="83"/>
        <v>42349</v>
      </c>
      <c r="D1249" s="189" t="s">
        <v>1451</v>
      </c>
      <c r="E1249" s="189">
        <v>42349</v>
      </c>
      <c r="F1249" s="190" t="s">
        <v>1236</v>
      </c>
      <c r="G1249" s="813" t="s">
        <v>905</v>
      </c>
      <c r="H1249" s="191" t="s">
        <v>904</v>
      </c>
      <c r="I1249" s="243">
        <v>123</v>
      </c>
      <c r="J1249" s="243">
        <v>11695</v>
      </c>
      <c r="K1249" s="573">
        <f>ROUND(I1249*J1249,0)</f>
        <v>1438485</v>
      </c>
      <c r="L1249" s="574" t="s">
        <v>417</v>
      </c>
      <c r="M1249" s="574" t="s">
        <v>8</v>
      </c>
      <c r="N1249" s="51" t="str">
        <f>IF(AND('331-CT'!$E$7=TH!H1249,OR(L1249="331",M1249="331")),"331",IF(AND(OR(L1249="131",M1249="131"),H1249='131-CT'!$E$7),"131",""))</f>
        <v/>
      </c>
      <c r="O1249" s="51" t="str">
        <f>IF(AND($B1249&gt;='111'!$N$11,$B1249&lt;='111'!$O$11,OR($L1249=$O$7,$M1249=$O$7)),"x","")</f>
        <v/>
      </c>
      <c r="P1249" s="51" t="str">
        <f>IF(AND($L1249=$O$7,$B1249&lt;'111'!$N$11),"x","")</f>
        <v/>
      </c>
      <c r="Q1249" s="51" t="str">
        <f>IF(AND($M1249=$O$7,$B1249&lt;'111'!$N$11),"x","")</f>
        <v/>
      </c>
      <c r="R1249" s="51" t="str">
        <f>IF(ISERROR(FIND('112'!$M$9,G1249,1)),"",IF((AND(FIND('112'!$M$9,G1249,1)&gt;=1,$B1249&gt;='112'!$N$8,$B1249&lt;='112'!$O$8,OR($L1249='112'!$I$6,$M1249='112'!$I$6))),"x",""))</f>
        <v/>
      </c>
      <c r="S1249" s="51" t="str">
        <f>IF(ISERROR(FIND('112'!$M$9,G1249,1)),"",IF((AND(LEFT(G1249,2)=LEFT('112'!$M$9,2),B1249&lt;'112'!$N$8,$L1249='112'!$I$6)),"x",""))</f>
        <v/>
      </c>
      <c r="T1249" s="51" t="str">
        <f>IF(ISERROR(FIND('112'!$M$9,G1249,1)),"",IF((AND(RIGHT(G1249,2)=RIGHT('112'!$M$9,2),B1249&lt;'112'!$N$8,$M1249='112'!$I$6)),"x",""))</f>
        <v/>
      </c>
      <c r="U1249" s="51" t="str">
        <f>IF(AND(L1249="154",'154'!$O$5&lt;=B1249,'154'!$P$5&gt;=B1249),"154",IF(AND(L1249="632",'632'!$L$5&lt;=B1249,'632'!$M$5&gt;=B1249),"632",IF(AND(L1249="642",'642'!$N$5&lt;=B1249,'642'!$O$5&gt;=B1249),"642",IF(AND(L1249="641",'641'!$N$5&lt;=B1249,'641'!$O$5&gt;=B1249),"641",""))))</f>
        <v/>
      </c>
      <c r="V1249" s="51" t="str">
        <f>IF(OR(TH!L1249=TH!$V$7,M1249=TH!$V$7),"x","")</f>
        <v/>
      </c>
      <c r="W1249" s="51" t="str">
        <f>IF(AND(B1249&gt;='IN-NX'!$P$3,B1249&lt;='IN-NX'!$Q$3,'IN-NX'!$D$7=D1249,OR(LEFT(L1249,2)="15",AND(LEFT(M1249,2)&lt;&gt;"15",LEFT(M1249,2)&lt;&gt;"33"))),"x","")</f>
        <v/>
      </c>
      <c r="X1249" s="51" t="str">
        <f>IF(AND(OR(LEFT(TH!L1249,2)="15",LEFT(TH!M1249,2)="15"),'152-CT'!$J$8=TH!F1249),"x","")</f>
        <v/>
      </c>
      <c r="Y1249" s="51" t="str">
        <f>IF(AND(OR(LEFT(TH!L1249,2)="15",LEFT(TH!M1249,2)="15"),TK!$E$7=TH!F1249),"x","")</f>
        <v/>
      </c>
      <c r="Z1249" s="51" t="str">
        <f>IF(AND(B1249&lt;=NKC!$N$8,B1249&gt;=NKC!$M$8),"x","")</f>
        <v/>
      </c>
      <c r="AA1249" s="803"/>
      <c r="AB1249" s="565"/>
    </row>
    <row r="1250" spans="1:31" ht="15.75" customHeight="1">
      <c r="A1250" s="804" t="str">
        <f>IF(B1250&lt;&gt;"",IF(AND(B1250&gt;=_TM1,B1250&lt;=_TM2,OR(TH!L1250="1111",TH!M1250="1111")),TH!D1250,""),"")</f>
        <v/>
      </c>
      <c r="B1250" s="36">
        <f t="shared" si="82"/>
        <v>12</v>
      </c>
      <c r="C1250" s="189">
        <f t="shared" si="83"/>
        <v>42349</v>
      </c>
      <c r="D1250" s="189" t="s">
        <v>1451</v>
      </c>
      <c r="E1250" s="189">
        <v>42349</v>
      </c>
      <c r="F1250" s="917" t="s">
        <v>908</v>
      </c>
      <c r="G1250" s="813" t="s">
        <v>905</v>
      </c>
      <c r="H1250" s="191" t="s">
        <v>904</v>
      </c>
      <c r="I1250" s="243">
        <v>248</v>
      </c>
      <c r="J1250" s="243">
        <v>11440</v>
      </c>
      <c r="K1250" s="573">
        <f>ROUND(I1250*J1250,0)</f>
        <v>2837120</v>
      </c>
      <c r="L1250" s="574" t="s">
        <v>417</v>
      </c>
      <c r="M1250" s="574" t="s">
        <v>8</v>
      </c>
      <c r="N1250" s="51" t="str">
        <f>IF(AND('331-CT'!$E$7=TH!H1250,OR(L1250="331",M1250="331")),"331",IF(AND(OR(L1250="131",M1250="131"),H1250='131-CT'!$E$7),"131",""))</f>
        <v/>
      </c>
      <c r="O1250" s="51" t="str">
        <f>IF(AND($B1250&gt;='111'!$N$11,$B1250&lt;='111'!$O$11,OR($L1250=$O$7,$M1250=$O$7)),"x","")</f>
        <v/>
      </c>
      <c r="P1250" s="51" t="str">
        <f>IF(AND($L1250=$O$7,$B1250&lt;'111'!$N$11),"x","")</f>
        <v/>
      </c>
      <c r="Q1250" s="51" t="str">
        <f>IF(AND($M1250=$O$7,$B1250&lt;'111'!$N$11),"x","")</f>
        <v/>
      </c>
      <c r="R1250" s="51" t="str">
        <f>IF(ISERROR(FIND('112'!$M$9,G1250,1)),"",IF((AND(FIND('112'!$M$9,G1250,1)&gt;=1,$B1250&gt;='112'!$N$8,$B1250&lt;='112'!$O$8,OR($L1250='112'!$I$6,$M1250='112'!$I$6))),"x",""))</f>
        <v/>
      </c>
      <c r="S1250" s="51" t="str">
        <f>IF(ISERROR(FIND('112'!$M$9,G1250,1)),"",IF((AND(LEFT(G1250,2)=LEFT('112'!$M$9,2),B1250&lt;'112'!$N$8,$L1250='112'!$I$6)),"x",""))</f>
        <v/>
      </c>
      <c r="T1250" s="51" t="str">
        <f>IF(ISERROR(FIND('112'!$M$9,G1250,1)),"",IF((AND(RIGHT(G1250,2)=RIGHT('112'!$M$9,2),B1250&lt;'112'!$N$8,$M1250='112'!$I$6)),"x",""))</f>
        <v/>
      </c>
      <c r="U1250" s="51" t="str">
        <f>IF(AND(L1250="154",'154'!$O$5&lt;=B1250,'154'!$P$5&gt;=B1250),"154",IF(AND(L1250="632",'632'!$L$5&lt;=B1250,'632'!$M$5&gt;=B1250),"632",IF(AND(L1250="642",'642'!$N$5&lt;=B1250,'642'!$O$5&gt;=B1250),"642",IF(AND(L1250="641",'641'!$N$5&lt;=B1250,'641'!$O$5&gt;=B1250),"641",""))))</f>
        <v/>
      </c>
      <c r="V1250" s="51" t="str">
        <f>IF(OR(TH!L1250=TH!$V$7,M1250=TH!$V$7),"x","")</f>
        <v/>
      </c>
      <c r="W1250" s="51" t="str">
        <f>IF(AND(B1250&gt;='IN-NX'!$P$3,B1250&lt;='IN-NX'!$Q$3,'IN-NX'!$D$7=D1250,OR(LEFT(L1250,2)="15",AND(LEFT(M1250,2)&lt;&gt;"15",LEFT(M1250,2)&lt;&gt;"33"))),"x","")</f>
        <v/>
      </c>
      <c r="X1250" s="51" t="str">
        <f>IF(AND(OR(LEFT(TH!L1250,2)="15",LEFT(TH!M1250,2)="15"),'152-CT'!$J$8=TH!F1250),"x","")</f>
        <v/>
      </c>
      <c r="Y1250" s="51" t="str">
        <f>IF(AND(OR(LEFT(TH!L1250,2)="15",LEFT(TH!M1250,2)="15"),TK!$E$7=TH!F1250),"x","")</f>
        <v/>
      </c>
      <c r="Z1250" s="51" t="str">
        <f>IF(AND(B1250&lt;=NKC!$N$8,B1250&gt;=NKC!$M$8),"x","")</f>
        <v/>
      </c>
      <c r="AA1250" s="803"/>
      <c r="AB1250" s="565"/>
    </row>
    <row r="1251" spans="1:31" ht="15.75" customHeight="1">
      <c r="A1251" s="804" t="str">
        <f>IF(B1251&lt;&gt;"",IF(AND(B1251&gt;=_TM1,B1251&lt;=_TM2,OR(TH!L1251="1111",TH!M1251="1111")),TH!D1251,""),"")</f>
        <v/>
      </c>
      <c r="B1251" s="36">
        <f t="shared" si="82"/>
        <v>12</v>
      </c>
      <c r="C1251" s="189">
        <f t="shared" si="83"/>
        <v>42349</v>
      </c>
      <c r="D1251" s="189" t="s">
        <v>1451</v>
      </c>
      <c r="E1251" s="189">
        <v>42349</v>
      </c>
      <c r="F1251" s="190" t="s">
        <v>496</v>
      </c>
      <c r="G1251" s="813" t="s">
        <v>905</v>
      </c>
      <c r="H1251" s="191" t="s">
        <v>904</v>
      </c>
      <c r="I1251" s="243"/>
      <c r="J1251" s="243"/>
      <c r="K1251" s="573">
        <v>6307802</v>
      </c>
      <c r="L1251" s="574" t="s">
        <v>9</v>
      </c>
      <c r="M1251" s="574" t="s">
        <v>8</v>
      </c>
      <c r="N1251" s="51" t="str">
        <f>IF(AND('331-CT'!$E$7=TH!H1251,OR(L1251="331",M1251="331")),"331",IF(AND(OR(L1251="131",M1251="131"),H1251='131-CT'!$E$7),"131",""))</f>
        <v/>
      </c>
      <c r="O1251" s="51" t="str">
        <f>IF(AND($B1251&gt;='111'!$N$11,$B1251&lt;='111'!$O$11,OR($L1251=$O$7,$M1251=$O$7)),"x","")</f>
        <v/>
      </c>
      <c r="P1251" s="51" t="str">
        <f>IF(AND($L1251=$O$7,$B1251&lt;'111'!$N$11),"x","")</f>
        <v/>
      </c>
      <c r="Q1251" s="51" t="str">
        <f>IF(AND($M1251=$O$7,$B1251&lt;'111'!$N$11),"x","")</f>
        <v/>
      </c>
      <c r="R1251" s="51" t="str">
        <f>IF(ISERROR(FIND('112'!$M$9,G1251,1)),"",IF((AND(FIND('112'!$M$9,G1251,1)&gt;=1,$B1251&gt;='112'!$N$8,$B1251&lt;='112'!$O$8,OR($L1251='112'!$I$6,$M1251='112'!$I$6))),"x",""))</f>
        <v/>
      </c>
      <c r="S1251" s="51" t="str">
        <f>IF(ISERROR(FIND('112'!$M$9,G1251,1)),"",IF((AND(LEFT(G1251,2)=LEFT('112'!$M$9,2),B1251&lt;'112'!$N$8,$L1251='112'!$I$6)),"x",""))</f>
        <v/>
      </c>
      <c r="T1251" s="51" t="str">
        <f>IF(ISERROR(FIND('112'!$M$9,G1251,1)),"",IF((AND(RIGHT(G1251,2)=RIGHT('112'!$M$9,2),B1251&lt;'112'!$N$8,$M1251='112'!$I$6)),"x",""))</f>
        <v/>
      </c>
      <c r="U1251" s="51" t="str">
        <f>IF(AND(L1251="154",'154'!$O$5&lt;=B1251,'154'!$P$5&gt;=B1251),"154",IF(AND(L1251="632",'632'!$L$5&lt;=B1251,'632'!$M$5&gt;=B1251),"632",IF(AND(L1251="642",'642'!$N$5&lt;=B1251,'642'!$O$5&gt;=B1251),"642",IF(AND(L1251="641",'641'!$N$5&lt;=B1251,'641'!$O$5&gt;=B1251),"641",""))))</f>
        <v/>
      </c>
      <c r="V1251" s="51" t="str">
        <f>IF(OR(TH!L1251=TH!$V$7,M1251=TH!$V$7),"x","")</f>
        <v/>
      </c>
      <c r="W1251" s="51" t="str">
        <f>IF(AND(B1251&gt;='IN-NX'!$P$3,B1251&lt;='IN-NX'!$Q$3,'IN-NX'!$D$7=D1251,OR(LEFT(L1251,2)="15",AND(LEFT(M1251,2)&lt;&gt;"15",LEFT(M1251,2)&lt;&gt;"33"))),"x","")</f>
        <v/>
      </c>
      <c r="X1251" s="51" t="str">
        <f>IF(AND(OR(LEFT(TH!L1251,2)="15",LEFT(TH!M1251,2)="15"),'152-CT'!$J$8=TH!F1251),"x","")</f>
        <v/>
      </c>
      <c r="Y1251" s="51" t="str">
        <f>IF(AND(OR(LEFT(TH!L1251,2)="15",LEFT(TH!M1251,2)="15"),TK!$E$7=TH!F1251),"x","")</f>
        <v/>
      </c>
      <c r="Z1251" s="51" t="str">
        <f>IF(AND(B1251&lt;=NKC!$N$8,B1251&gt;=NKC!$M$8),"x","")</f>
        <v/>
      </c>
      <c r="AA1251" s="803">
        <v>4</v>
      </c>
      <c r="AB1251" s="565"/>
      <c r="AE1251" s="565"/>
    </row>
    <row r="1252" spans="1:31" ht="15.75" customHeight="1">
      <c r="A1252" s="804" t="str">
        <f>IF(B1252&lt;&gt;"",IF(AND(B1252&gt;=_TM1,B1252&lt;=_TM2,OR(TH!L1252="1111",TH!M1252="1111")),TH!D1252,""),"")</f>
        <v/>
      </c>
      <c r="B1252" s="36">
        <f t="shared" si="82"/>
        <v>12</v>
      </c>
      <c r="C1252" s="189">
        <f t="shared" si="83"/>
        <v>42349</v>
      </c>
      <c r="D1252" s="189" t="s">
        <v>1453</v>
      </c>
      <c r="E1252" s="189">
        <v>42349</v>
      </c>
      <c r="F1252" s="190" t="s">
        <v>623</v>
      </c>
      <c r="G1252" s="813" t="s">
        <v>929</v>
      </c>
      <c r="H1252" s="191" t="s">
        <v>957</v>
      </c>
      <c r="I1252" s="243">
        <v>850</v>
      </c>
      <c r="J1252" s="243">
        <v>30875</v>
      </c>
      <c r="K1252" s="573">
        <f>ROUND(I1252*J1252,0)</f>
        <v>26243750</v>
      </c>
      <c r="L1252" s="574" t="s">
        <v>417</v>
      </c>
      <c r="M1252" s="574" t="s">
        <v>8</v>
      </c>
      <c r="N1252" s="51" t="str">
        <f>IF(AND('331-CT'!$E$7=TH!H1252,OR(L1252="331",M1252="331")),"331",IF(AND(OR(L1252="131",M1252="131"),H1252='131-CT'!$E$7),"131",""))</f>
        <v/>
      </c>
      <c r="O1252" s="51" t="str">
        <f>IF(AND($B1252&gt;='111'!$N$11,$B1252&lt;='111'!$O$11,OR($L1252=$O$7,$M1252=$O$7)),"x","")</f>
        <v/>
      </c>
      <c r="P1252" s="51" t="str">
        <f>IF(AND($L1252=$O$7,$B1252&lt;'111'!$N$11),"x","")</f>
        <v/>
      </c>
      <c r="Q1252" s="51" t="str">
        <f>IF(AND($M1252=$O$7,$B1252&lt;'111'!$N$11),"x","")</f>
        <v/>
      </c>
      <c r="R1252" s="51" t="str">
        <f>IF(ISERROR(FIND('112'!$M$9,G1252,1)),"",IF((AND(FIND('112'!$M$9,G1252,1)&gt;=1,$B1252&gt;='112'!$N$8,$B1252&lt;='112'!$O$8,OR($L1252='112'!$I$6,$M1252='112'!$I$6))),"x",""))</f>
        <v/>
      </c>
      <c r="S1252" s="51" t="str">
        <f>IF(ISERROR(FIND('112'!$M$9,G1252,1)),"",IF((AND(LEFT(G1252,2)=LEFT('112'!$M$9,2),B1252&lt;'112'!$N$8,$L1252='112'!$I$6)),"x",""))</f>
        <v/>
      </c>
      <c r="T1252" s="51" t="str">
        <f>IF(ISERROR(FIND('112'!$M$9,G1252,1)),"",IF((AND(RIGHT(G1252,2)=RIGHT('112'!$M$9,2),B1252&lt;'112'!$N$8,$M1252='112'!$I$6)),"x",""))</f>
        <v/>
      </c>
      <c r="U1252" s="51" t="str">
        <f>IF(AND(L1252="154",'154'!$O$5&lt;=B1252,'154'!$P$5&gt;=B1252),"154",IF(AND(L1252="632",'632'!$L$5&lt;=B1252,'632'!$M$5&gt;=B1252),"632",IF(AND(L1252="642",'642'!$N$5&lt;=B1252,'642'!$O$5&gt;=B1252),"642",IF(AND(L1252="641",'641'!$N$5&lt;=B1252,'641'!$O$5&gt;=B1252),"641",""))))</f>
        <v/>
      </c>
      <c r="V1252" s="51" t="str">
        <f>IF(OR(TH!L1252=TH!$V$7,M1252=TH!$V$7),"x","")</f>
        <v/>
      </c>
      <c r="W1252" s="51" t="str">
        <f>IF(AND(B1252&gt;='IN-NX'!$P$3,B1252&lt;='IN-NX'!$Q$3,'IN-NX'!$D$7=D1252,OR(LEFT(L1252,2)="15",AND(LEFT(M1252,2)&lt;&gt;"15",LEFT(M1252,2)&lt;&gt;"33"))),"x","")</f>
        <v/>
      </c>
      <c r="X1252" s="51" t="str">
        <f>IF(AND(OR(LEFT(TH!L1252,2)="15",LEFT(TH!M1252,2)="15"),'152-CT'!$J$8=TH!F1252),"x","")</f>
        <v/>
      </c>
      <c r="Y1252" s="51" t="str">
        <f>IF(AND(OR(LEFT(TH!L1252,2)="15",LEFT(TH!M1252,2)="15"),TK!$E$7=TH!F1252),"x","")</f>
        <v/>
      </c>
      <c r="Z1252" s="51" t="str">
        <f>IF(AND(B1252&lt;=NKC!$N$8,B1252&gt;=NKC!$M$8),"x","")</f>
        <v/>
      </c>
      <c r="AA1252" s="803"/>
      <c r="AB1252" s="565"/>
    </row>
    <row r="1253" spans="1:31" ht="15.75" customHeight="1">
      <c r="A1253" s="804" t="str">
        <f>IF(B1253&lt;&gt;"",IF(AND(B1253&gt;=_TM1,B1253&lt;=_TM2,OR(TH!L1253="1111",TH!M1253="1111")),TH!D1253,""),"")</f>
        <v/>
      </c>
      <c r="B1253" s="36">
        <f t="shared" si="82"/>
        <v>12</v>
      </c>
      <c r="C1253" s="189">
        <f t="shared" si="83"/>
        <v>42349</v>
      </c>
      <c r="D1253" s="189" t="s">
        <v>1453</v>
      </c>
      <c r="E1253" s="189">
        <v>42349</v>
      </c>
      <c r="F1253" s="190" t="s">
        <v>624</v>
      </c>
      <c r="G1253" s="813" t="s">
        <v>929</v>
      </c>
      <c r="H1253" s="191" t="s">
        <v>957</v>
      </c>
      <c r="I1253" s="243">
        <v>850</v>
      </c>
      <c r="J1253" s="243">
        <v>31155</v>
      </c>
      <c r="K1253" s="573">
        <f>ROUND(I1253*J1253,0)</f>
        <v>26481750</v>
      </c>
      <c r="L1253" s="574" t="s">
        <v>417</v>
      </c>
      <c r="M1253" s="574" t="s">
        <v>8</v>
      </c>
      <c r="N1253" s="51" t="str">
        <f>IF(AND('331-CT'!$E$7=TH!H1253,OR(L1253="331",M1253="331")),"331",IF(AND(OR(L1253="131",M1253="131"),H1253='131-CT'!$E$7),"131",""))</f>
        <v/>
      </c>
      <c r="O1253" s="51" t="str">
        <f>IF(AND($B1253&gt;='111'!$N$11,$B1253&lt;='111'!$O$11,OR($L1253=$O$7,$M1253=$O$7)),"x","")</f>
        <v/>
      </c>
      <c r="P1253" s="51" t="str">
        <f>IF(AND($L1253=$O$7,$B1253&lt;'111'!$N$11),"x","")</f>
        <v/>
      </c>
      <c r="Q1253" s="51" t="str">
        <f>IF(AND($M1253=$O$7,$B1253&lt;'111'!$N$11),"x","")</f>
        <v/>
      </c>
      <c r="R1253" s="51" t="str">
        <f>IF(ISERROR(FIND('112'!$M$9,G1253,1)),"",IF((AND(FIND('112'!$M$9,G1253,1)&gt;=1,$B1253&gt;='112'!$N$8,$B1253&lt;='112'!$O$8,OR($L1253='112'!$I$6,$M1253='112'!$I$6))),"x",""))</f>
        <v/>
      </c>
      <c r="S1253" s="51" t="str">
        <f>IF(ISERROR(FIND('112'!$M$9,G1253,1)),"",IF((AND(LEFT(G1253,2)=LEFT('112'!$M$9,2),B1253&lt;'112'!$N$8,$L1253='112'!$I$6)),"x",""))</f>
        <v/>
      </c>
      <c r="T1253" s="51" t="str">
        <f>IF(ISERROR(FIND('112'!$M$9,G1253,1)),"",IF((AND(RIGHT(G1253,2)=RIGHT('112'!$M$9,2),B1253&lt;'112'!$N$8,$M1253='112'!$I$6)),"x",""))</f>
        <v/>
      </c>
      <c r="U1253" s="51" t="str">
        <f>IF(AND(L1253="154",'154'!$O$5&lt;=B1253,'154'!$P$5&gt;=B1253),"154",IF(AND(L1253="632",'632'!$L$5&lt;=B1253,'632'!$M$5&gt;=B1253),"632",IF(AND(L1253="642",'642'!$N$5&lt;=B1253,'642'!$O$5&gt;=B1253),"642",IF(AND(L1253="641",'641'!$N$5&lt;=B1253,'641'!$O$5&gt;=B1253),"641",""))))</f>
        <v/>
      </c>
      <c r="V1253" s="51" t="str">
        <f>IF(OR(TH!L1253=TH!$V$7,M1253=TH!$V$7),"x","")</f>
        <v/>
      </c>
      <c r="W1253" s="51" t="str">
        <f>IF(AND(B1253&gt;='IN-NX'!$P$3,B1253&lt;='IN-NX'!$Q$3,'IN-NX'!$D$7=D1253,OR(LEFT(L1253,2)="15",AND(LEFT(M1253,2)&lt;&gt;"15",LEFT(M1253,2)&lt;&gt;"33"))),"x","")</f>
        <v/>
      </c>
      <c r="X1253" s="51" t="str">
        <f>IF(AND(OR(LEFT(TH!L1253,2)="15",LEFT(TH!M1253,2)="15"),'152-CT'!$J$8=TH!F1253),"x","")</f>
        <v/>
      </c>
      <c r="Y1253" s="51" t="str">
        <f>IF(AND(OR(LEFT(TH!L1253,2)="15",LEFT(TH!M1253,2)="15"),TK!$E$7=TH!F1253),"x","")</f>
        <v/>
      </c>
      <c r="Z1253" s="51" t="str">
        <f>IF(AND(B1253&lt;=NKC!$N$8,B1253&gt;=NKC!$M$8),"x","")</f>
        <v/>
      </c>
      <c r="AA1253" s="803"/>
      <c r="AB1253" s="565"/>
    </row>
    <row r="1254" spans="1:31" ht="15.75" customHeight="1">
      <c r="A1254" s="804" t="str">
        <f>IF(B1254&lt;&gt;"",IF(AND(B1254&gt;=_TM1,B1254&lt;=_TM2,OR(TH!L1254="1111",TH!M1254="1111")),TH!D1254,""),"")</f>
        <v/>
      </c>
      <c r="B1254" s="36">
        <f t="shared" si="82"/>
        <v>12</v>
      </c>
      <c r="C1254" s="189">
        <f t="shared" si="83"/>
        <v>42349</v>
      </c>
      <c r="D1254" s="189" t="s">
        <v>1453</v>
      </c>
      <c r="E1254" s="189">
        <v>42349</v>
      </c>
      <c r="F1254" s="190" t="s">
        <v>620</v>
      </c>
      <c r="G1254" s="813" t="s">
        <v>929</v>
      </c>
      <c r="H1254" s="191" t="s">
        <v>957</v>
      </c>
      <c r="I1254" s="243">
        <v>4100</v>
      </c>
      <c r="J1254" s="243">
        <v>14250</v>
      </c>
      <c r="K1254" s="573">
        <f>ROUND(I1254*J1254,0)</f>
        <v>58425000</v>
      </c>
      <c r="L1254" s="574" t="s">
        <v>417</v>
      </c>
      <c r="M1254" s="574" t="s">
        <v>8</v>
      </c>
      <c r="N1254" s="51" t="str">
        <f>IF(AND('331-CT'!$E$7=TH!H1254,OR(L1254="331",M1254="331")),"331",IF(AND(OR(L1254="131",M1254="131"),H1254='131-CT'!$E$7),"131",""))</f>
        <v/>
      </c>
      <c r="O1254" s="51" t="str">
        <f>IF(AND($B1254&gt;='111'!$N$11,$B1254&lt;='111'!$O$11,OR($L1254=$O$7,$M1254=$O$7)),"x","")</f>
        <v/>
      </c>
      <c r="P1254" s="51" t="str">
        <f>IF(AND($L1254=$O$7,$B1254&lt;'111'!$N$11),"x","")</f>
        <v/>
      </c>
      <c r="Q1254" s="51" t="str">
        <f>IF(AND($M1254=$O$7,$B1254&lt;'111'!$N$11),"x","")</f>
        <v/>
      </c>
      <c r="R1254" s="51" t="str">
        <f>IF(ISERROR(FIND('112'!$M$9,G1254,1)),"",IF((AND(FIND('112'!$M$9,G1254,1)&gt;=1,$B1254&gt;='112'!$N$8,$B1254&lt;='112'!$O$8,OR($L1254='112'!$I$6,$M1254='112'!$I$6))),"x",""))</f>
        <v/>
      </c>
      <c r="S1254" s="51" t="str">
        <f>IF(ISERROR(FIND('112'!$M$9,G1254,1)),"",IF((AND(LEFT(G1254,2)=LEFT('112'!$M$9,2),B1254&lt;'112'!$N$8,$L1254='112'!$I$6)),"x",""))</f>
        <v/>
      </c>
      <c r="T1254" s="51" t="str">
        <f>IF(ISERROR(FIND('112'!$M$9,G1254,1)),"",IF((AND(RIGHT(G1254,2)=RIGHT('112'!$M$9,2),B1254&lt;'112'!$N$8,$M1254='112'!$I$6)),"x",""))</f>
        <v/>
      </c>
      <c r="U1254" s="51" t="str">
        <f>IF(AND(L1254="154",'154'!$O$5&lt;=B1254,'154'!$P$5&gt;=B1254),"154",IF(AND(L1254="632",'632'!$L$5&lt;=B1254,'632'!$M$5&gt;=B1254),"632",IF(AND(L1254="642",'642'!$N$5&lt;=B1254,'642'!$O$5&gt;=B1254),"642",IF(AND(L1254="641",'641'!$N$5&lt;=B1254,'641'!$O$5&gt;=B1254),"641",""))))</f>
        <v/>
      </c>
      <c r="V1254" s="51" t="str">
        <f>IF(OR(TH!L1254=TH!$V$7,M1254=TH!$V$7),"x","")</f>
        <v/>
      </c>
      <c r="W1254" s="51" t="str">
        <f>IF(AND(B1254&gt;='IN-NX'!$P$3,B1254&lt;='IN-NX'!$Q$3,'IN-NX'!$D$7=D1254,OR(LEFT(L1254,2)="15",AND(LEFT(M1254,2)&lt;&gt;"15",LEFT(M1254,2)&lt;&gt;"33"))),"x","")</f>
        <v/>
      </c>
      <c r="X1254" s="51" t="str">
        <f>IF(AND(OR(LEFT(TH!L1254,2)="15",LEFT(TH!M1254,2)="15"),'152-CT'!$J$8=TH!F1254),"x","")</f>
        <v/>
      </c>
      <c r="Y1254" s="51" t="str">
        <f>IF(AND(OR(LEFT(TH!L1254,2)="15",LEFT(TH!M1254,2)="15"),TK!$E$7=TH!F1254),"x","")</f>
        <v/>
      </c>
      <c r="Z1254" s="51" t="str">
        <f>IF(AND(B1254&lt;=NKC!$N$8,B1254&gt;=NKC!$M$8),"x","")</f>
        <v/>
      </c>
      <c r="AA1254" s="803"/>
      <c r="AB1254" s="565"/>
    </row>
    <row r="1255" spans="1:31" ht="15.75" customHeight="1">
      <c r="A1255" s="804" t="str">
        <f>IF(B1255&lt;&gt;"",IF(AND(B1255&gt;=_TM1,B1255&lt;=_TM2,OR(TH!L1255="1111",TH!M1255="1111")),TH!D1255,""),"")</f>
        <v/>
      </c>
      <c r="B1255" s="36">
        <f t="shared" si="82"/>
        <v>12</v>
      </c>
      <c r="C1255" s="189">
        <f t="shared" si="83"/>
        <v>42349</v>
      </c>
      <c r="D1255" s="189" t="s">
        <v>1453</v>
      </c>
      <c r="E1255" s="189">
        <v>42349</v>
      </c>
      <c r="F1255" s="190" t="s">
        <v>496</v>
      </c>
      <c r="G1255" s="813" t="s">
        <v>929</v>
      </c>
      <c r="H1255" s="191" t="s">
        <v>957</v>
      </c>
      <c r="I1255" s="243"/>
      <c r="J1255" s="243"/>
      <c r="K1255" s="573">
        <v>11115050</v>
      </c>
      <c r="L1255" s="574" t="s">
        <v>9</v>
      </c>
      <c r="M1255" s="574" t="s">
        <v>8</v>
      </c>
      <c r="N1255" s="51" t="str">
        <f>IF(AND('331-CT'!$E$7=TH!H1255,OR(L1255="331",M1255="331")),"331",IF(AND(OR(L1255="131",M1255="131"),H1255='131-CT'!$E$7),"131",""))</f>
        <v/>
      </c>
      <c r="O1255" s="51" t="str">
        <f>IF(AND($B1255&gt;='111'!$N$11,$B1255&lt;='111'!$O$11,OR($L1255=$O$7,$M1255=$O$7)),"x","")</f>
        <v/>
      </c>
      <c r="P1255" s="51" t="str">
        <f>IF(AND($L1255=$O$7,$B1255&lt;'111'!$N$11),"x","")</f>
        <v/>
      </c>
      <c r="Q1255" s="51" t="str">
        <f>IF(AND($M1255=$O$7,$B1255&lt;'111'!$N$11),"x","")</f>
        <v/>
      </c>
      <c r="R1255" s="51" t="str">
        <f>IF(ISERROR(FIND('112'!$M$9,G1255,1)),"",IF((AND(FIND('112'!$M$9,G1255,1)&gt;=1,$B1255&gt;='112'!$N$8,$B1255&lt;='112'!$O$8,OR($L1255='112'!$I$6,$M1255='112'!$I$6))),"x",""))</f>
        <v/>
      </c>
      <c r="S1255" s="51" t="str">
        <f>IF(ISERROR(FIND('112'!$M$9,G1255,1)),"",IF((AND(LEFT(G1255,2)=LEFT('112'!$M$9,2),B1255&lt;'112'!$N$8,$L1255='112'!$I$6)),"x",""))</f>
        <v/>
      </c>
      <c r="T1255" s="51" t="str">
        <f>IF(ISERROR(FIND('112'!$M$9,G1255,1)),"",IF((AND(RIGHT(G1255,2)=RIGHT('112'!$M$9,2),B1255&lt;'112'!$N$8,$M1255='112'!$I$6)),"x",""))</f>
        <v/>
      </c>
      <c r="U1255" s="51" t="str">
        <f>IF(AND(L1255="154",'154'!$O$5&lt;=B1255,'154'!$P$5&gt;=B1255),"154",IF(AND(L1255="632",'632'!$L$5&lt;=B1255,'632'!$M$5&gt;=B1255),"632",IF(AND(L1255="642",'642'!$N$5&lt;=B1255,'642'!$O$5&gt;=B1255),"642",IF(AND(L1255="641",'641'!$N$5&lt;=B1255,'641'!$O$5&gt;=B1255),"641",""))))</f>
        <v/>
      </c>
      <c r="V1255" s="51" t="str">
        <f>IF(OR(TH!L1255=TH!$V$7,M1255=TH!$V$7),"x","")</f>
        <v/>
      </c>
      <c r="W1255" s="51" t="str">
        <f>IF(AND(B1255&gt;='IN-NX'!$P$3,B1255&lt;='IN-NX'!$Q$3,'IN-NX'!$D$7=D1255,OR(LEFT(L1255,2)="15",AND(LEFT(M1255,2)&lt;&gt;"15",LEFT(M1255,2)&lt;&gt;"33"))),"x","")</f>
        <v/>
      </c>
      <c r="X1255" s="51" t="str">
        <f>IF(AND(OR(LEFT(TH!L1255,2)="15",LEFT(TH!M1255,2)="15"),'152-CT'!$J$8=TH!F1255),"x","")</f>
        <v/>
      </c>
      <c r="Y1255" s="51" t="str">
        <f>IF(AND(OR(LEFT(TH!L1255,2)="15",LEFT(TH!M1255,2)="15"),TK!$E$7=TH!F1255),"x","")</f>
        <v/>
      </c>
      <c r="Z1255" s="51" t="str">
        <f>IF(AND(B1255&lt;=NKC!$N$8,B1255&gt;=NKC!$M$8),"x","")</f>
        <v/>
      </c>
      <c r="AA1255" s="803">
        <v>4</v>
      </c>
      <c r="AB1255" s="565"/>
    </row>
    <row r="1256" spans="1:31" ht="15.75" customHeight="1">
      <c r="A1256" s="804" t="str">
        <f>IF(B1256&lt;&gt;"",IF(AND(B1256&gt;=_TM1,B1256&lt;=_TM2,OR(TH!L1256="1111",TH!M1256="1111")),TH!D1256,""),"")</f>
        <v/>
      </c>
      <c r="B1256" s="36">
        <f t="shared" si="82"/>
        <v>12</v>
      </c>
      <c r="C1256" s="189">
        <f t="shared" si="83"/>
        <v>42349</v>
      </c>
      <c r="D1256" s="189" t="s">
        <v>1456</v>
      </c>
      <c r="E1256" s="189">
        <v>42349</v>
      </c>
      <c r="F1256" s="190" t="s">
        <v>909</v>
      </c>
      <c r="G1256" s="813" t="s">
        <v>622</v>
      </c>
      <c r="H1256" s="191" t="s">
        <v>448</v>
      </c>
      <c r="I1256" s="243">
        <v>40</v>
      </c>
      <c r="J1256" s="243">
        <v>21186</v>
      </c>
      <c r="K1256" s="573">
        <f t="shared" ref="K1256:K1287" si="84">ROUND(I1256*J1256,0)</f>
        <v>847440</v>
      </c>
      <c r="L1256" s="574" t="s">
        <v>417</v>
      </c>
      <c r="M1256" s="574" t="s">
        <v>8</v>
      </c>
      <c r="N1256" s="51" t="str">
        <f>IF(AND('331-CT'!$E$7=TH!H1256,OR(L1256="331",M1256="331")),"331",IF(AND(OR(L1256="131",M1256="131"),H1256='131-CT'!$E$7),"131",""))</f>
        <v/>
      </c>
      <c r="O1256" s="51" t="str">
        <f>IF(AND($B1256&gt;='111'!$N$11,$B1256&lt;='111'!$O$11,OR($L1256=$O$7,$M1256=$O$7)),"x","")</f>
        <v/>
      </c>
      <c r="P1256" s="51" t="str">
        <f>IF(AND($L1256=$O$7,$B1256&lt;'111'!$N$11),"x","")</f>
        <v/>
      </c>
      <c r="Q1256" s="51" t="str">
        <f>IF(AND($M1256=$O$7,$B1256&lt;'111'!$N$11),"x","")</f>
        <v/>
      </c>
      <c r="R1256" s="51" t="str">
        <f>IF(ISERROR(FIND('112'!$M$9,G1256,1)),"",IF((AND(FIND('112'!$M$9,G1256,1)&gt;=1,$B1256&gt;='112'!$N$8,$B1256&lt;='112'!$O$8,OR($L1256='112'!$I$6,$M1256='112'!$I$6))),"x",""))</f>
        <v/>
      </c>
      <c r="S1256" s="51" t="str">
        <f>IF(ISERROR(FIND('112'!$M$9,G1256,1)),"",IF((AND(LEFT(G1256,2)=LEFT('112'!$M$9,2),B1256&lt;'112'!$N$8,$L1256='112'!$I$6)),"x",""))</f>
        <v/>
      </c>
      <c r="T1256" s="51" t="str">
        <f>IF(ISERROR(FIND('112'!$M$9,G1256,1)),"",IF((AND(RIGHT(G1256,2)=RIGHT('112'!$M$9,2),B1256&lt;'112'!$N$8,$M1256='112'!$I$6)),"x",""))</f>
        <v/>
      </c>
      <c r="U1256" s="51" t="str">
        <f>IF(AND(L1256="154",'154'!$O$5&lt;=B1256,'154'!$P$5&gt;=B1256),"154",IF(AND(L1256="632",'632'!$L$5&lt;=B1256,'632'!$M$5&gt;=B1256),"632",IF(AND(L1256="642",'642'!$N$5&lt;=B1256,'642'!$O$5&gt;=B1256),"642",IF(AND(L1256="641",'641'!$N$5&lt;=B1256,'641'!$O$5&gt;=B1256),"641",""))))</f>
        <v/>
      </c>
      <c r="V1256" s="51" t="str">
        <f>IF(OR(TH!L1256=TH!$V$7,M1256=TH!$V$7),"x","")</f>
        <v/>
      </c>
      <c r="W1256" s="51" t="str">
        <f>IF(AND(B1256&gt;='IN-NX'!$P$3,B1256&lt;='IN-NX'!$Q$3,'IN-NX'!$D$7=D1256,OR(LEFT(L1256,2)="15",AND(LEFT(M1256,2)&lt;&gt;"15",LEFT(M1256,2)&lt;&gt;"33"))),"x","")</f>
        <v/>
      </c>
      <c r="X1256" s="51" t="str">
        <f>IF(AND(OR(LEFT(TH!L1256,2)="15",LEFT(TH!M1256,2)="15"),'152-CT'!$J$8=TH!F1256),"x","")</f>
        <v/>
      </c>
      <c r="Y1256" s="51" t="str">
        <f>IF(AND(OR(LEFT(TH!L1256,2)="15",LEFT(TH!M1256,2)="15"),TK!$E$7=TH!F1256),"x","")</f>
        <v/>
      </c>
      <c r="Z1256" s="51" t="str">
        <f>IF(AND(B1256&lt;=NKC!$N$8,B1256&gt;=NKC!$M$8),"x","")</f>
        <v/>
      </c>
      <c r="AA1256" s="803"/>
      <c r="AB1256" s="565"/>
      <c r="AE1256" s="565"/>
    </row>
    <row r="1257" spans="1:31" ht="15.75" customHeight="1">
      <c r="A1257" s="804" t="str">
        <f>IF(B1257&lt;&gt;"",IF(AND(B1257&gt;=_TM1,B1257&lt;=_TM2,OR(TH!L1257="1111",TH!M1257="1111")),TH!D1257,""),"")</f>
        <v/>
      </c>
      <c r="B1257" s="36">
        <f t="shared" si="82"/>
        <v>12</v>
      </c>
      <c r="C1257" s="189">
        <f t="shared" si="83"/>
        <v>42349</v>
      </c>
      <c r="D1257" s="189" t="s">
        <v>1456</v>
      </c>
      <c r="E1257" s="189">
        <v>42349</v>
      </c>
      <c r="F1257" s="917" t="s">
        <v>910</v>
      </c>
      <c r="G1257" s="813" t="s">
        <v>622</v>
      </c>
      <c r="H1257" s="191" t="s">
        <v>448</v>
      </c>
      <c r="I1257" s="243">
        <v>56</v>
      </c>
      <c r="J1257" s="243">
        <v>11880</v>
      </c>
      <c r="K1257" s="573">
        <f t="shared" si="84"/>
        <v>665280</v>
      </c>
      <c r="L1257" s="574" t="s">
        <v>417</v>
      </c>
      <c r="M1257" s="574" t="s">
        <v>8</v>
      </c>
      <c r="N1257" s="51" t="str">
        <f>IF(AND('331-CT'!$E$7=TH!H1257,OR(L1257="331",M1257="331")),"331",IF(AND(OR(L1257="131",M1257="131"),H1257='131-CT'!$E$7),"131",""))</f>
        <v/>
      </c>
      <c r="O1257" s="51" t="str">
        <f>IF(AND($B1257&gt;='111'!$N$11,$B1257&lt;='111'!$O$11,OR($L1257=$O$7,$M1257=$O$7)),"x","")</f>
        <v/>
      </c>
      <c r="P1257" s="51" t="str">
        <f>IF(AND($L1257=$O$7,$B1257&lt;'111'!$N$11),"x","")</f>
        <v/>
      </c>
      <c r="Q1257" s="51" t="str">
        <f>IF(AND($M1257=$O$7,$B1257&lt;'111'!$N$11),"x","")</f>
        <v/>
      </c>
      <c r="R1257" s="51" t="str">
        <f>IF(ISERROR(FIND('112'!$M$9,G1257,1)),"",IF((AND(FIND('112'!$M$9,G1257,1)&gt;=1,$B1257&gt;='112'!$N$8,$B1257&lt;='112'!$O$8,OR($L1257='112'!$I$6,$M1257='112'!$I$6))),"x",""))</f>
        <v/>
      </c>
      <c r="S1257" s="51" t="str">
        <f>IF(ISERROR(FIND('112'!$M$9,G1257,1)),"",IF((AND(LEFT(G1257,2)=LEFT('112'!$M$9,2),B1257&lt;'112'!$N$8,$L1257='112'!$I$6)),"x",""))</f>
        <v/>
      </c>
      <c r="T1257" s="51" t="str">
        <f>IF(ISERROR(FIND('112'!$M$9,G1257,1)),"",IF((AND(RIGHT(G1257,2)=RIGHT('112'!$M$9,2),B1257&lt;'112'!$N$8,$M1257='112'!$I$6)),"x",""))</f>
        <v/>
      </c>
      <c r="U1257" s="51" t="str">
        <f>IF(AND(L1257="154",'154'!$O$5&lt;=B1257,'154'!$P$5&gt;=B1257),"154",IF(AND(L1257="632",'632'!$L$5&lt;=B1257,'632'!$M$5&gt;=B1257),"632",IF(AND(L1257="642",'642'!$N$5&lt;=B1257,'642'!$O$5&gt;=B1257),"642",IF(AND(L1257="641",'641'!$N$5&lt;=B1257,'641'!$O$5&gt;=B1257),"641",""))))</f>
        <v/>
      </c>
      <c r="V1257" s="51" t="str">
        <f>IF(OR(TH!L1257=TH!$V$7,M1257=TH!$V$7),"x","")</f>
        <v/>
      </c>
      <c r="W1257" s="51" t="str">
        <f>IF(AND(B1257&gt;='IN-NX'!$P$3,B1257&lt;='IN-NX'!$Q$3,'IN-NX'!$D$7=D1257,OR(LEFT(L1257,2)="15",AND(LEFT(M1257,2)&lt;&gt;"15",LEFT(M1257,2)&lt;&gt;"33"))),"x","")</f>
        <v/>
      </c>
      <c r="X1257" s="51" t="str">
        <f>IF(AND(OR(LEFT(TH!L1257,2)="15",LEFT(TH!M1257,2)="15"),'152-CT'!$J$8=TH!F1257),"x","")</f>
        <v/>
      </c>
      <c r="Y1257" s="51" t="str">
        <f>IF(AND(OR(LEFT(TH!L1257,2)="15",LEFT(TH!M1257,2)="15"),TK!$E$7=TH!F1257),"x","")</f>
        <v/>
      </c>
      <c r="Z1257" s="51" t="str">
        <f>IF(AND(B1257&lt;=NKC!$N$8,B1257&gt;=NKC!$M$8),"x","")</f>
        <v/>
      </c>
      <c r="AA1257" s="803"/>
      <c r="AB1257" s="565"/>
      <c r="AE1257" s="565"/>
    </row>
    <row r="1258" spans="1:31" ht="15.75" customHeight="1">
      <c r="A1258" s="804" t="str">
        <f>IF(B1258&lt;&gt;"",IF(AND(B1258&gt;=_TM1,B1258&lt;=_TM2,OR(TH!L1258="1111",TH!M1258="1111")),TH!D1258,""),"")</f>
        <v/>
      </c>
      <c r="B1258" s="36">
        <f t="shared" si="82"/>
        <v>12</v>
      </c>
      <c r="C1258" s="189">
        <f t="shared" si="83"/>
        <v>42349</v>
      </c>
      <c r="D1258" s="189" t="s">
        <v>1456</v>
      </c>
      <c r="E1258" s="189">
        <v>42349</v>
      </c>
      <c r="F1258" s="190" t="s">
        <v>911</v>
      </c>
      <c r="G1258" s="813" t="s">
        <v>622</v>
      </c>
      <c r="H1258" s="191" t="s">
        <v>448</v>
      </c>
      <c r="I1258" s="243">
        <v>44</v>
      </c>
      <c r="J1258" s="243">
        <v>13500</v>
      </c>
      <c r="K1258" s="573">
        <f t="shared" si="84"/>
        <v>594000</v>
      </c>
      <c r="L1258" s="574" t="s">
        <v>417</v>
      </c>
      <c r="M1258" s="574" t="s">
        <v>8</v>
      </c>
      <c r="N1258" s="51" t="str">
        <f>IF(AND('331-CT'!$E$7=TH!H1258,OR(L1258="331",M1258="331")),"331",IF(AND(OR(L1258="131",M1258="131"),H1258='131-CT'!$E$7),"131",""))</f>
        <v/>
      </c>
      <c r="O1258" s="51" t="str">
        <f>IF(AND($B1258&gt;='111'!$N$11,$B1258&lt;='111'!$O$11,OR($L1258=$O$7,$M1258=$O$7)),"x","")</f>
        <v/>
      </c>
      <c r="P1258" s="51" t="str">
        <f>IF(AND($L1258=$O$7,$B1258&lt;'111'!$N$11),"x","")</f>
        <v/>
      </c>
      <c r="Q1258" s="51" t="str">
        <f>IF(AND($M1258=$O$7,$B1258&lt;'111'!$N$11),"x","")</f>
        <v/>
      </c>
      <c r="R1258" s="51" t="str">
        <f>IF(ISERROR(FIND('112'!$M$9,G1258,1)),"",IF((AND(FIND('112'!$M$9,G1258,1)&gt;=1,$B1258&gt;='112'!$N$8,$B1258&lt;='112'!$O$8,OR($L1258='112'!$I$6,$M1258='112'!$I$6))),"x",""))</f>
        <v/>
      </c>
      <c r="S1258" s="51" t="str">
        <f>IF(ISERROR(FIND('112'!$M$9,G1258,1)),"",IF((AND(LEFT(G1258,2)=LEFT('112'!$M$9,2),B1258&lt;'112'!$N$8,$L1258='112'!$I$6)),"x",""))</f>
        <v/>
      </c>
      <c r="T1258" s="51" t="str">
        <f>IF(ISERROR(FIND('112'!$M$9,G1258,1)),"",IF((AND(RIGHT(G1258,2)=RIGHT('112'!$M$9,2),B1258&lt;'112'!$N$8,$M1258='112'!$I$6)),"x",""))</f>
        <v/>
      </c>
      <c r="U1258" s="51" t="str">
        <f>IF(AND(L1258="154",'154'!$O$5&lt;=B1258,'154'!$P$5&gt;=B1258),"154",IF(AND(L1258="632",'632'!$L$5&lt;=B1258,'632'!$M$5&gt;=B1258),"632",IF(AND(L1258="642",'642'!$N$5&lt;=B1258,'642'!$O$5&gt;=B1258),"642",IF(AND(L1258="641",'641'!$N$5&lt;=B1258,'641'!$O$5&gt;=B1258),"641",""))))</f>
        <v/>
      </c>
      <c r="V1258" s="51" t="str">
        <f>IF(OR(TH!L1258=TH!$V$7,M1258=TH!$V$7),"x","")</f>
        <v/>
      </c>
      <c r="W1258" s="51" t="str">
        <f>IF(AND(B1258&gt;='IN-NX'!$P$3,B1258&lt;='IN-NX'!$Q$3,'IN-NX'!$D$7=D1258,OR(LEFT(L1258,2)="15",AND(LEFT(M1258,2)&lt;&gt;"15",LEFT(M1258,2)&lt;&gt;"33"))),"x","")</f>
        <v/>
      </c>
      <c r="X1258" s="51" t="str">
        <f>IF(AND(OR(LEFT(TH!L1258,2)="15",LEFT(TH!M1258,2)="15"),'152-CT'!$J$8=TH!F1258),"x","")</f>
        <v/>
      </c>
      <c r="Y1258" s="51" t="str">
        <f>IF(AND(OR(LEFT(TH!L1258,2)="15",LEFT(TH!M1258,2)="15"),TK!$E$7=TH!F1258),"x","")</f>
        <v/>
      </c>
      <c r="Z1258" s="51" t="str">
        <f>IF(AND(B1258&lt;=NKC!$N$8,B1258&gt;=NKC!$M$8),"x","")</f>
        <v/>
      </c>
      <c r="AA1258" s="803"/>
      <c r="AB1258" s="565"/>
      <c r="AE1258" s="565"/>
    </row>
    <row r="1259" spans="1:31" ht="15.75" customHeight="1">
      <c r="A1259" s="804" t="str">
        <f>IF(B1259&lt;&gt;"",IF(AND(B1259&gt;=_TM1,B1259&lt;=_TM2,OR(TH!L1259="1111",TH!M1259="1111")),TH!D1259,""),"")</f>
        <v/>
      </c>
      <c r="B1259" s="36">
        <f t="shared" si="82"/>
        <v>12</v>
      </c>
      <c r="C1259" s="189">
        <f t="shared" si="83"/>
        <v>42349</v>
      </c>
      <c r="D1259" s="189" t="s">
        <v>1456</v>
      </c>
      <c r="E1259" s="189">
        <v>42349</v>
      </c>
      <c r="F1259" s="190" t="s">
        <v>912</v>
      </c>
      <c r="G1259" s="813" t="s">
        <v>622</v>
      </c>
      <c r="H1259" s="191" t="s">
        <v>448</v>
      </c>
      <c r="I1259" s="243">
        <v>68</v>
      </c>
      <c r="J1259" s="243">
        <v>15750</v>
      </c>
      <c r="K1259" s="573">
        <f t="shared" si="84"/>
        <v>1071000</v>
      </c>
      <c r="L1259" s="574" t="s">
        <v>417</v>
      </c>
      <c r="M1259" s="574" t="s">
        <v>8</v>
      </c>
      <c r="N1259" s="51" t="str">
        <f>IF(AND('331-CT'!$E$7=TH!H1259,OR(L1259="331",M1259="331")),"331",IF(AND(OR(L1259="131",M1259="131"),H1259='131-CT'!$E$7),"131",""))</f>
        <v/>
      </c>
      <c r="O1259" s="51" t="str">
        <f>IF(AND($B1259&gt;='111'!$N$11,$B1259&lt;='111'!$O$11,OR($L1259=$O$7,$M1259=$O$7)),"x","")</f>
        <v/>
      </c>
      <c r="P1259" s="51" t="str">
        <f>IF(AND($L1259=$O$7,$B1259&lt;'111'!$N$11),"x","")</f>
        <v/>
      </c>
      <c r="Q1259" s="51" t="str">
        <f>IF(AND($M1259=$O$7,$B1259&lt;'111'!$N$11),"x","")</f>
        <v/>
      </c>
      <c r="R1259" s="51" t="str">
        <f>IF(ISERROR(FIND('112'!$M$9,G1259,1)),"",IF((AND(FIND('112'!$M$9,G1259,1)&gt;=1,$B1259&gt;='112'!$N$8,$B1259&lt;='112'!$O$8,OR($L1259='112'!$I$6,$M1259='112'!$I$6))),"x",""))</f>
        <v/>
      </c>
      <c r="S1259" s="51" t="str">
        <f>IF(ISERROR(FIND('112'!$M$9,G1259,1)),"",IF((AND(LEFT(G1259,2)=LEFT('112'!$M$9,2),B1259&lt;'112'!$N$8,$L1259='112'!$I$6)),"x",""))</f>
        <v/>
      </c>
      <c r="T1259" s="51" t="str">
        <f>IF(ISERROR(FIND('112'!$M$9,G1259,1)),"",IF((AND(RIGHT(G1259,2)=RIGHT('112'!$M$9,2),B1259&lt;'112'!$N$8,$M1259='112'!$I$6)),"x",""))</f>
        <v/>
      </c>
      <c r="U1259" s="51" t="str">
        <f>IF(AND(L1259="154",'154'!$O$5&lt;=B1259,'154'!$P$5&gt;=B1259),"154",IF(AND(L1259="632",'632'!$L$5&lt;=B1259,'632'!$M$5&gt;=B1259),"632",IF(AND(L1259="642",'642'!$N$5&lt;=B1259,'642'!$O$5&gt;=B1259),"642",IF(AND(L1259="641",'641'!$N$5&lt;=B1259,'641'!$O$5&gt;=B1259),"641",""))))</f>
        <v/>
      </c>
      <c r="V1259" s="51" t="str">
        <f>IF(OR(TH!L1259=TH!$V$7,M1259=TH!$V$7),"x","")</f>
        <v/>
      </c>
      <c r="W1259" s="51" t="str">
        <f>IF(AND(B1259&gt;='IN-NX'!$P$3,B1259&lt;='IN-NX'!$Q$3,'IN-NX'!$D$7=D1259,OR(LEFT(L1259,2)="15",AND(LEFT(M1259,2)&lt;&gt;"15",LEFT(M1259,2)&lt;&gt;"33"))),"x","")</f>
        <v/>
      </c>
      <c r="X1259" s="51" t="str">
        <f>IF(AND(OR(LEFT(TH!L1259,2)="15",LEFT(TH!M1259,2)="15"),'152-CT'!$J$8=TH!F1259),"x","")</f>
        <v/>
      </c>
      <c r="Y1259" s="51" t="str">
        <f>IF(AND(OR(LEFT(TH!L1259,2)="15",LEFT(TH!M1259,2)="15"),TK!$E$7=TH!F1259),"x","")</f>
        <v/>
      </c>
      <c r="Z1259" s="51" t="str">
        <f>IF(AND(B1259&lt;=NKC!$N$8,B1259&gt;=NKC!$M$8),"x","")</f>
        <v/>
      </c>
      <c r="AA1259" s="803"/>
      <c r="AB1259" s="565"/>
      <c r="AE1259" s="565"/>
    </row>
    <row r="1260" spans="1:31" ht="15.75" customHeight="1">
      <c r="A1260" s="804" t="str">
        <f>IF(B1260&lt;&gt;"",IF(AND(B1260&gt;=_TM1,B1260&lt;=_TM2,OR(TH!L1260="1111",TH!M1260="1111")),TH!D1260,""),"")</f>
        <v/>
      </c>
      <c r="B1260" s="36">
        <f t="shared" si="82"/>
        <v>12</v>
      </c>
      <c r="C1260" s="189">
        <f t="shared" si="83"/>
        <v>42349</v>
      </c>
      <c r="D1260" s="189" t="s">
        <v>1456</v>
      </c>
      <c r="E1260" s="189">
        <v>42349</v>
      </c>
      <c r="F1260" s="190" t="s">
        <v>913</v>
      </c>
      <c r="G1260" s="813" t="s">
        <v>622</v>
      </c>
      <c r="H1260" s="191" t="s">
        <v>448</v>
      </c>
      <c r="I1260" s="243">
        <v>70</v>
      </c>
      <c r="J1260" s="243">
        <v>10890</v>
      </c>
      <c r="K1260" s="573">
        <f t="shared" si="84"/>
        <v>762300</v>
      </c>
      <c r="L1260" s="574" t="s">
        <v>417</v>
      </c>
      <c r="M1260" s="574" t="s">
        <v>8</v>
      </c>
      <c r="N1260" s="51" t="str">
        <f>IF(AND('331-CT'!$E$7=TH!H1260,OR(L1260="331",M1260="331")),"331",IF(AND(OR(L1260="131",M1260="131"),H1260='131-CT'!$E$7),"131",""))</f>
        <v/>
      </c>
      <c r="O1260" s="51" t="str">
        <f>IF(AND($B1260&gt;='111'!$N$11,$B1260&lt;='111'!$O$11,OR($L1260=$O$7,$M1260=$O$7)),"x","")</f>
        <v/>
      </c>
      <c r="P1260" s="51" t="str">
        <f>IF(AND($L1260=$O$7,$B1260&lt;'111'!$N$11),"x","")</f>
        <v/>
      </c>
      <c r="Q1260" s="51" t="str">
        <f>IF(AND($M1260=$O$7,$B1260&lt;'111'!$N$11),"x","")</f>
        <v/>
      </c>
      <c r="R1260" s="51" t="str">
        <f>IF(ISERROR(FIND('112'!$M$9,G1260,1)),"",IF((AND(FIND('112'!$M$9,G1260,1)&gt;=1,$B1260&gt;='112'!$N$8,$B1260&lt;='112'!$O$8,OR($L1260='112'!$I$6,$M1260='112'!$I$6))),"x",""))</f>
        <v/>
      </c>
      <c r="S1260" s="51" t="str">
        <f>IF(ISERROR(FIND('112'!$M$9,G1260,1)),"",IF((AND(LEFT(G1260,2)=LEFT('112'!$M$9,2),B1260&lt;'112'!$N$8,$L1260='112'!$I$6)),"x",""))</f>
        <v/>
      </c>
      <c r="T1260" s="51" t="str">
        <f>IF(ISERROR(FIND('112'!$M$9,G1260,1)),"",IF((AND(RIGHT(G1260,2)=RIGHT('112'!$M$9,2),B1260&lt;'112'!$N$8,$M1260='112'!$I$6)),"x",""))</f>
        <v/>
      </c>
      <c r="U1260" s="51" t="str">
        <f>IF(AND(L1260="154",'154'!$O$5&lt;=B1260,'154'!$P$5&gt;=B1260),"154",IF(AND(L1260="632",'632'!$L$5&lt;=B1260,'632'!$M$5&gt;=B1260),"632",IF(AND(L1260="642",'642'!$N$5&lt;=B1260,'642'!$O$5&gt;=B1260),"642",IF(AND(L1260="641",'641'!$N$5&lt;=B1260,'641'!$O$5&gt;=B1260),"641",""))))</f>
        <v/>
      </c>
      <c r="V1260" s="51" t="str">
        <f>IF(OR(TH!L1260=TH!$V$7,M1260=TH!$V$7),"x","")</f>
        <v/>
      </c>
      <c r="W1260" s="51" t="str">
        <f>IF(AND(B1260&gt;='IN-NX'!$P$3,B1260&lt;='IN-NX'!$Q$3,'IN-NX'!$D$7=D1260,OR(LEFT(L1260,2)="15",AND(LEFT(M1260,2)&lt;&gt;"15",LEFT(M1260,2)&lt;&gt;"33"))),"x","")</f>
        <v/>
      </c>
      <c r="X1260" s="51" t="str">
        <f>IF(AND(OR(LEFT(TH!L1260,2)="15",LEFT(TH!M1260,2)="15"),'152-CT'!$J$8=TH!F1260),"x","")</f>
        <v/>
      </c>
      <c r="Y1260" s="51" t="str">
        <f>IF(AND(OR(LEFT(TH!L1260,2)="15",LEFT(TH!M1260,2)="15"),TK!$E$7=TH!F1260),"x","")</f>
        <v/>
      </c>
      <c r="Z1260" s="51" t="str">
        <f>IF(AND(B1260&lt;=NKC!$N$8,B1260&gt;=NKC!$M$8),"x","")</f>
        <v/>
      </c>
      <c r="AA1260" s="803"/>
      <c r="AB1260" s="565"/>
      <c r="AE1260" s="565"/>
    </row>
    <row r="1261" spans="1:31" ht="15.75" customHeight="1">
      <c r="A1261" s="804" t="str">
        <f>IF(B1261&lt;&gt;"",IF(AND(B1261&gt;=_TM1,B1261&lt;=_TM2,OR(TH!L1261="1111",TH!M1261="1111")),TH!D1261,""),"")</f>
        <v/>
      </c>
      <c r="B1261" s="36">
        <f t="shared" si="82"/>
        <v>12</v>
      </c>
      <c r="C1261" s="189">
        <f t="shared" si="83"/>
        <v>42349</v>
      </c>
      <c r="D1261" s="189" t="s">
        <v>1456</v>
      </c>
      <c r="E1261" s="189">
        <v>42349</v>
      </c>
      <c r="F1261" s="190" t="s">
        <v>914</v>
      </c>
      <c r="G1261" s="813" t="s">
        <v>622</v>
      </c>
      <c r="H1261" s="191" t="s">
        <v>448</v>
      </c>
      <c r="I1261" s="243">
        <v>36</v>
      </c>
      <c r="J1261" s="243">
        <v>19044</v>
      </c>
      <c r="K1261" s="573">
        <f t="shared" si="84"/>
        <v>685584</v>
      </c>
      <c r="L1261" s="574" t="s">
        <v>417</v>
      </c>
      <c r="M1261" s="574" t="s">
        <v>8</v>
      </c>
      <c r="N1261" s="51" t="str">
        <f>IF(AND('331-CT'!$E$7=TH!H1261,OR(L1261="331",M1261="331")),"331",IF(AND(OR(L1261="131",M1261="131"),H1261='131-CT'!$E$7),"131",""))</f>
        <v/>
      </c>
      <c r="O1261" s="51" t="str">
        <f>IF(AND($B1261&gt;='111'!$N$11,$B1261&lt;='111'!$O$11,OR($L1261=$O$7,$M1261=$O$7)),"x","")</f>
        <v/>
      </c>
      <c r="P1261" s="51" t="str">
        <f>IF(AND($L1261=$O$7,$B1261&lt;'111'!$N$11),"x","")</f>
        <v/>
      </c>
      <c r="Q1261" s="51" t="str">
        <f>IF(AND($M1261=$O$7,$B1261&lt;'111'!$N$11),"x","")</f>
        <v/>
      </c>
      <c r="R1261" s="51" t="str">
        <f>IF(ISERROR(FIND('112'!$M$9,G1261,1)),"",IF((AND(FIND('112'!$M$9,G1261,1)&gt;=1,$B1261&gt;='112'!$N$8,$B1261&lt;='112'!$O$8,OR($L1261='112'!$I$6,$M1261='112'!$I$6))),"x",""))</f>
        <v/>
      </c>
      <c r="S1261" s="51" t="str">
        <f>IF(ISERROR(FIND('112'!$M$9,G1261,1)),"",IF((AND(LEFT(G1261,2)=LEFT('112'!$M$9,2),B1261&lt;'112'!$N$8,$L1261='112'!$I$6)),"x",""))</f>
        <v/>
      </c>
      <c r="T1261" s="51" t="str">
        <f>IF(ISERROR(FIND('112'!$M$9,G1261,1)),"",IF((AND(RIGHT(G1261,2)=RIGHT('112'!$M$9,2),B1261&lt;'112'!$N$8,$M1261='112'!$I$6)),"x",""))</f>
        <v/>
      </c>
      <c r="U1261" s="51" t="str">
        <f>IF(AND(L1261="154",'154'!$O$5&lt;=B1261,'154'!$P$5&gt;=B1261),"154",IF(AND(L1261="632",'632'!$L$5&lt;=B1261,'632'!$M$5&gt;=B1261),"632",IF(AND(L1261="642",'642'!$N$5&lt;=B1261,'642'!$O$5&gt;=B1261),"642",IF(AND(L1261="641",'641'!$N$5&lt;=B1261,'641'!$O$5&gt;=B1261),"641",""))))</f>
        <v/>
      </c>
      <c r="V1261" s="51" t="str">
        <f>IF(OR(TH!L1261=TH!$V$7,M1261=TH!$V$7),"x","")</f>
        <v/>
      </c>
      <c r="W1261" s="51" t="str">
        <f>IF(AND(B1261&gt;='IN-NX'!$P$3,B1261&lt;='IN-NX'!$Q$3,'IN-NX'!$D$7=D1261,OR(LEFT(L1261,2)="15",AND(LEFT(M1261,2)&lt;&gt;"15",LEFT(M1261,2)&lt;&gt;"33"))),"x","")</f>
        <v/>
      </c>
      <c r="X1261" s="51" t="str">
        <f>IF(AND(OR(LEFT(TH!L1261,2)="15",LEFT(TH!M1261,2)="15"),'152-CT'!$J$8=TH!F1261),"x","")</f>
        <v/>
      </c>
      <c r="Y1261" s="51" t="str">
        <f>IF(AND(OR(LEFT(TH!L1261,2)="15",LEFT(TH!M1261,2)="15"),TK!$E$7=TH!F1261),"x","")</f>
        <v/>
      </c>
      <c r="Z1261" s="51" t="str">
        <f>IF(AND(B1261&lt;=NKC!$N$8,B1261&gt;=NKC!$M$8),"x","")</f>
        <v/>
      </c>
      <c r="AA1261" s="803"/>
      <c r="AB1261" s="565"/>
      <c r="AE1261" s="565"/>
    </row>
    <row r="1262" spans="1:31" ht="15.75" customHeight="1">
      <c r="A1262" s="804" t="str">
        <f>IF(B1262&lt;&gt;"",IF(AND(B1262&gt;=_TM1,B1262&lt;=_TM2,OR(TH!L1262="1111",TH!M1262="1111")),TH!D1262,""),"")</f>
        <v/>
      </c>
      <c r="B1262" s="36">
        <f t="shared" si="82"/>
        <v>12</v>
      </c>
      <c r="C1262" s="189">
        <f t="shared" si="83"/>
        <v>42349</v>
      </c>
      <c r="D1262" s="189" t="s">
        <v>1456</v>
      </c>
      <c r="E1262" s="189">
        <v>42349</v>
      </c>
      <c r="F1262" s="190" t="s">
        <v>915</v>
      </c>
      <c r="G1262" s="813" t="s">
        <v>622</v>
      </c>
      <c r="H1262" s="191" t="s">
        <v>448</v>
      </c>
      <c r="I1262" s="243">
        <v>125</v>
      </c>
      <c r="J1262" s="243">
        <v>10971</v>
      </c>
      <c r="K1262" s="573">
        <f t="shared" si="84"/>
        <v>1371375</v>
      </c>
      <c r="L1262" s="574" t="s">
        <v>417</v>
      </c>
      <c r="M1262" s="574" t="s">
        <v>8</v>
      </c>
      <c r="N1262" s="51" t="str">
        <f>IF(AND('331-CT'!$E$7=TH!H1262,OR(L1262="331",M1262="331")),"331",IF(AND(OR(L1262="131",M1262="131"),H1262='131-CT'!$E$7),"131",""))</f>
        <v/>
      </c>
      <c r="O1262" s="51" t="str">
        <f>IF(AND($B1262&gt;='111'!$N$11,$B1262&lt;='111'!$O$11,OR($L1262=$O$7,$M1262=$O$7)),"x","")</f>
        <v/>
      </c>
      <c r="P1262" s="51" t="str">
        <f>IF(AND($L1262=$O$7,$B1262&lt;'111'!$N$11),"x","")</f>
        <v/>
      </c>
      <c r="Q1262" s="51" t="str">
        <f>IF(AND($M1262=$O$7,$B1262&lt;'111'!$N$11),"x","")</f>
        <v/>
      </c>
      <c r="R1262" s="51" t="str">
        <f>IF(ISERROR(FIND('112'!$M$9,G1262,1)),"",IF((AND(FIND('112'!$M$9,G1262,1)&gt;=1,$B1262&gt;='112'!$N$8,$B1262&lt;='112'!$O$8,OR($L1262='112'!$I$6,$M1262='112'!$I$6))),"x",""))</f>
        <v/>
      </c>
      <c r="S1262" s="51" t="str">
        <f>IF(ISERROR(FIND('112'!$M$9,G1262,1)),"",IF((AND(LEFT(G1262,2)=LEFT('112'!$M$9,2),B1262&lt;'112'!$N$8,$L1262='112'!$I$6)),"x",""))</f>
        <v/>
      </c>
      <c r="T1262" s="51" t="str">
        <f>IF(ISERROR(FIND('112'!$M$9,G1262,1)),"",IF((AND(RIGHT(G1262,2)=RIGHT('112'!$M$9,2),B1262&lt;'112'!$N$8,$M1262='112'!$I$6)),"x",""))</f>
        <v/>
      </c>
      <c r="U1262" s="51" t="str">
        <f>IF(AND(L1262="154",'154'!$O$5&lt;=B1262,'154'!$P$5&gt;=B1262),"154",IF(AND(L1262="632",'632'!$L$5&lt;=B1262,'632'!$M$5&gt;=B1262),"632",IF(AND(L1262="642",'642'!$N$5&lt;=B1262,'642'!$O$5&gt;=B1262),"642",IF(AND(L1262="641",'641'!$N$5&lt;=B1262,'641'!$O$5&gt;=B1262),"641",""))))</f>
        <v/>
      </c>
      <c r="V1262" s="51" t="str">
        <f>IF(OR(TH!L1262=TH!$V$7,M1262=TH!$V$7),"x","")</f>
        <v/>
      </c>
      <c r="W1262" s="51" t="str">
        <f>IF(AND(B1262&gt;='IN-NX'!$P$3,B1262&lt;='IN-NX'!$Q$3,'IN-NX'!$D$7=D1262,OR(LEFT(L1262,2)="15",AND(LEFT(M1262,2)&lt;&gt;"15",LEFT(M1262,2)&lt;&gt;"33"))),"x","")</f>
        <v/>
      </c>
      <c r="X1262" s="51" t="str">
        <f>IF(AND(OR(LEFT(TH!L1262,2)="15",LEFT(TH!M1262,2)="15"),'152-CT'!$J$8=TH!F1262),"x","")</f>
        <v/>
      </c>
      <c r="Y1262" s="51" t="str">
        <f>IF(AND(OR(LEFT(TH!L1262,2)="15",LEFT(TH!M1262,2)="15"),TK!$E$7=TH!F1262),"x","")</f>
        <v/>
      </c>
      <c r="Z1262" s="51" t="str">
        <f>IF(AND(B1262&lt;=NKC!$N$8,B1262&gt;=NKC!$M$8),"x","")</f>
        <v/>
      </c>
      <c r="AA1262" s="803"/>
      <c r="AB1262" s="565"/>
      <c r="AE1262" s="565"/>
    </row>
    <row r="1263" spans="1:31" ht="15.75" customHeight="1">
      <c r="A1263" s="804" t="str">
        <f>IF(B1263&lt;&gt;"",IF(AND(B1263&gt;=_TM1,B1263&lt;=_TM2,OR(TH!L1263="1111",TH!M1263="1111")),TH!D1263,""),"")</f>
        <v/>
      </c>
      <c r="B1263" s="36">
        <f t="shared" si="82"/>
        <v>12</v>
      </c>
      <c r="C1263" s="189">
        <f t="shared" si="83"/>
        <v>42349</v>
      </c>
      <c r="D1263" s="189" t="s">
        <v>1456</v>
      </c>
      <c r="E1263" s="189">
        <v>42349</v>
      </c>
      <c r="F1263" s="190" t="s">
        <v>916</v>
      </c>
      <c r="G1263" s="813" t="s">
        <v>622</v>
      </c>
      <c r="H1263" s="191" t="s">
        <v>448</v>
      </c>
      <c r="I1263" s="243">
        <v>72</v>
      </c>
      <c r="J1263" s="243">
        <v>11903</v>
      </c>
      <c r="K1263" s="573">
        <f t="shared" si="84"/>
        <v>857016</v>
      </c>
      <c r="L1263" s="574" t="s">
        <v>417</v>
      </c>
      <c r="M1263" s="574" t="s">
        <v>8</v>
      </c>
      <c r="N1263" s="51" t="str">
        <f>IF(AND('331-CT'!$E$7=TH!H1263,OR(L1263="331",M1263="331")),"331",IF(AND(OR(L1263="131",M1263="131"),H1263='131-CT'!$E$7),"131",""))</f>
        <v/>
      </c>
      <c r="O1263" s="51" t="str">
        <f>IF(AND($B1263&gt;='111'!$N$11,$B1263&lt;='111'!$O$11,OR($L1263=$O$7,$M1263=$O$7)),"x","")</f>
        <v/>
      </c>
      <c r="P1263" s="51" t="str">
        <f>IF(AND($L1263=$O$7,$B1263&lt;'111'!$N$11),"x","")</f>
        <v/>
      </c>
      <c r="Q1263" s="51" t="str">
        <f>IF(AND($M1263=$O$7,$B1263&lt;'111'!$N$11),"x","")</f>
        <v/>
      </c>
      <c r="R1263" s="51" t="str">
        <f>IF(ISERROR(FIND('112'!$M$9,G1263,1)),"",IF((AND(FIND('112'!$M$9,G1263,1)&gt;=1,$B1263&gt;='112'!$N$8,$B1263&lt;='112'!$O$8,OR($L1263='112'!$I$6,$M1263='112'!$I$6))),"x",""))</f>
        <v/>
      </c>
      <c r="S1263" s="51" t="str">
        <f>IF(ISERROR(FIND('112'!$M$9,G1263,1)),"",IF((AND(LEFT(G1263,2)=LEFT('112'!$M$9,2),B1263&lt;'112'!$N$8,$L1263='112'!$I$6)),"x",""))</f>
        <v/>
      </c>
      <c r="T1263" s="51" t="str">
        <f>IF(ISERROR(FIND('112'!$M$9,G1263,1)),"",IF((AND(RIGHT(G1263,2)=RIGHT('112'!$M$9,2),B1263&lt;'112'!$N$8,$M1263='112'!$I$6)),"x",""))</f>
        <v/>
      </c>
      <c r="U1263" s="51" t="str">
        <f>IF(AND(L1263="154",'154'!$O$5&lt;=B1263,'154'!$P$5&gt;=B1263),"154",IF(AND(L1263="632",'632'!$L$5&lt;=B1263,'632'!$M$5&gt;=B1263),"632",IF(AND(L1263="642",'642'!$N$5&lt;=B1263,'642'!$O$5&gt;=B1263),"642",IF(AND(L1263="641",'641'!$N$5&lt;=B1263,'641'!$O$5&gt;=B1263),"641",""))))</f>
        <v/>
      </c>
      <c r="V1263" s="51" t="str">
        <f>IF(OR(TH!L1263=TH!$V$7,M1263=TH!$V$7),"x","")</f>
        <v/>
      </c>
      <c r="W1263" s="51" t="str">
        <f>IF(AND(B1263&gt;='IN-NX'!$P$3,B1263&lt;='IN-NX'!$Q$3,'IN-NX'!$D$7=D1263,OR(LEFT(L1263,2)="15",AND(LEFT(M1263,2)&lt;&gt;"15",LEFT(M1263,2)&lt;&gt;"33"))),"x","")</f>
        <v/>
      </c>
      <c r="X1263" s="51" t="str">
        <f>IF(AND(OR(LEFT(TH!L1263,2)="15",LEFT(TH!M1263,2)="15"),'152-CT'!$J$8=TH!F1263),"x","")</f>
        <v/>
      </c>
      <c r="Y1263" s="51" t="str">
        <f>IF(AND(OR(LEFT(TH!L1263,2)="15",LEFT(TH!M1263,2)="15"),TK!$E$7=TH!F1263),"x","")</f>
        <v/>
      </c>
      <c r="Z1263" s="51" t="str">
        <f>IF(AND(B1263&lt;=NKC!$N$8,B1263&gt;=NKC!$M$8),"x","")</f>
        <v/>
      </c>
      <c r="AA1263" s="803"/>
      <c r="AB1263" s="565"/>
      <c r="AE1263" s="565"/>
    </row>
    <row r="1264" spans="1:31" ht="15.75" customHeight="1">
      <c r="A1264" s="804" t="str">
        <f>IF(B1264&lt;&gt;"",IF(AND(B1264&gt;=_TM1,B1264&lt;=_TM2,OR(TH!L1264="1111",TH!M1264="1111")),TH!D1264,""),"")</f>
        <v/>
      </c>
      <c r="B1264" s="36">
        <f t="shared" si="82"/>
        <v>12</v>
      </c>
      <c r="C1264" s="189">
        <f t="shared" si="83"/>
        <v>42349</v>
      </c>
      <c r="D1264" s="189" t="s">
        <v>1456</v>
      </c>
      <c r="E1264" s="189">
        <v>42349</v>
      </c>
      <c r="F1264" s="190" t="s">
        <v>917</v>
      </c>
      <c r="G1264" s="813" t="s">
        <v>622</v>
      </c>
      <c r="H1264" s="191" t="s">
        <v>448</v>
      </c>
      <c r="I1264" s="243">
        <v>72</v>
      </c>
      <c r="J1264" s="243">
        <v>11075</v>
      </c>
      <c r="K1264" s="573">
        <f t="shared" si="84"/>
        <v>797400</v>
      </c>
      <c r="L1264" s="574" t="s">
        <v>417</v>
      </c>
      <c r="M1264" s="574" t="s">
        <v>8</v>
      </c>
      <c r="N1264" s="51" t="str">
        <f>IF(AND('331-CT'!$E$7=TH!H1264,OR(L1264="331",M1264="331")),"331",IF(AND(OR(L1264="131",M1264="131"),H1264='131-CT'!$E$7),"131",""))</f>
        <v/>
      </c>
      <c r="O1264" s="51" t="str">
        <f>IF(AND($B1264&gt;='111'!$N$11,$B1264&lt;='111'!$O$11,OR($L1264=$O$7,$M1264=$O$7)),"x","")</f>
        <v/>
      </c>
      <c r="P1264" s="51" t="str">
        <f>IF(AND($L1264=$O$7,$B1264&lt;'111'!$N$11),"x","")</f>
        <v/>
      </c>
      <c r="Q1264" s="51" t="str">
        <f>IF(AND($M1264=$O$7,$B1264&lt;'111'!$N$11),"x","")</f>
        <v/>
      </c>
      <c r="R1264" s="51" t="str">
        <f>IF(ISERROR(FIND('112'!$M$9,G1264,1)),"",IF((AND(FIND('112'!$M$9,G1264,1)&gt;=1,$B1264&gt;='112'!$N$8,$B1264&lt;='112'!$O$8,OR($L1264='112'!$I$6,$M1264='112'!$I$6))),"x",""))</f>
        <v/>
      </c>
      <c r="S1264" s="51" t="str">
        <f>IF(ISERROR(FIND('112'!$M$9,G1264,1)),"",IF((AND(LEFT(G1264,2)=LEFT('112'!$M$9,2),B1264&lt;'112'!$N$8,$L1264='112'!$I$6)),"x",""))</f>
        <v/>
      </c>
      <c r="T1264" s="51" t="str">
        <f>IF(ISERROR(FIND('112'!$M$9,G1264,1)),"",IF((AND(RIGHT(G1264,2)=RIGHT('112'!$M$9,2),B1264&lt;'112'!$N$8,$M1264='112'!$I$6)),"x",""))</f>
        <v/>
      </c>
      <c r="U1264" s="51" t="str">
        <f>IF(AND(L1264="154",'154'!$O$5&lt;=B1264,'154'!$P$5&gt;=B1264),"154",IF(AND(L1264="632",'632'!$L$5&lt;=B1264,'632'!$M$5&gt;=B1264),"632",IF(AND(L1264="642",'642'!$N$5&lt;=B1264,'642'!$O$5&gt;=B1264),"642",IF(AND(L1264="641",'641'!$N$5&lt;=B1264,'641'!$O$5&gt;=B1264),"641",""))))</f>
        <v/>
      </c>
      <c r="V1264" s="51" t="str">
        <f>IF(OR(TH!L1264=TH!$V$7,M1264=TH!$V$7),"x","")</f>
        <v/>
      </c>
      <c r="W1264" s="51" t="str">
        <f>IF(AND(B1264&gt;='IN-NX'!$P$3,B1264&lt;='IN-NX'!$Q$3,'IN-NX'!$D$7=D1264,OR(LEFT(L1264,2)="15",AND(LEFT(M1264,2)&lt;&gt;"15",LEFT(M1264,2)&lt;&gt;"33"))),"x","")</f>
        <v/>
      </c>
      <c r="X1264" s="51" t="str">
        <f>IF(AND(OR(LEFT(TH!L1264,2)="15",LEFT(TH!M1264,2)="15"),'152-CT'!$J$8=TH!F1264),"x","")</f>
        <v/>
      </c>
      <c r="Y1264" s="51" t="str">
        <f>IF(AND(OR(LEFT(TH!L1264,2)="15",LEFT(TH!M1264,2)="15"),TK!$E$7=TH!F1264),"x","")</f>
        <v/>
      </c>
      <c r="Z1264" s="51" t="str">
        <f>IF(AND(B1264&lt;=NKC!$N$8,B1264&gt;=NKC!$M$8),"x","")</f>
        <v/>
      </c>
      <c r="AA1264" s="803"/>
      <c r="AB1264" s="565"/>
      <c r="AE1264" s="565"/>
    </row>
    <row r="1265" spans="1:31" ht="15.75" customHeight="1">
      <c r="A1265" s="804" t="str">
        <f>IF(B1265&lt;&gt;"",IF(AND(B1265&gt;=_TM1,B1265&lt;=_TM2,OR(TH!L1265="1111",TH!M1265="1111")),TH!D1265,""),"")</f>
        <v/>
      </c>
      <c r="B1265" s="36">
        <f t="shared" si="82"/>
        <v>12</v>
      </c>
      <c r="C1265" s="189">
        <f t="shared" si="83"/>
        <v>42349</v>
      </c>
      <c r="D1265" s="189" t="s">
        <v>1456</v>
      </c>
      <c r="E1265" s="189">
        <v>42349</v>
      </c>
      <c r="F1265" s="190" t="s">
        <v>918</v>
      </c>
      <c r="G1265" s="813" t="s">
        <v>622</v>
      </c>
      <c r="H1265" s="191" t="s">
        <v>448</v>
      </c>
      <c r="I1265" s="243">
        <v>90</v>
      </c>
      <c r="J1265" s="243">
        <v>12825</v>
      </c>
      <c r="K1265" s="573">
        <f t="shared" si="84"/>
        <v>1154250</v>
      </c>
      <c r="L1265" s="574" t="s">
        <v>417</v>
      </c>
      <c r="M1265" s="574" t="s">
        <v>8</v>
      </c>
      <c r="N1265" s="51" t="str">
        <f>IF(AND('331-CT'!$E$7=TH!H1265,OR(L1265="331",M1265="331")),"331",IF(AND(OR(L1265="131",M1265="131"),H1265='131-CT'!$E$7),"131",""))</f>
        <v/>
      </c>
      <c r="O1265" s="51" t="str">
        <f>IF(AND($B1265&gt;='111'!$N$11,$B1265&lt;='111'!$O$11,OR($L1265=$O$7,$M1265=$O$7)),"x","")</f>
        <v/>
      </c>
      <c r="P1265" s="51" t="str">
        <f>IF(AND($L1265=$O$7,$B1265&lt;'111'!$N$11),"x","")</f>
        <v/>
      </c>
      <c r="Q1265" s="51" t="str">
        <f>IF(AND($M1265=$O$7,$B1265&lt;'111'!$N$11),"x","")</f>
        <v/>
      </c>
      <c r="R1265" s="51" t="str">
        <f>IF(ISERROR(FIND('112'!$M$9,G1265,1)),"",IF((AND(FIND('112'!$M$9,G1265,1)&gt;=1,$B1265&gt;='112'!$N$8,$B1265&lt;='112'!$O$8,OR($L1265='112'!$I$6,$M1265='112'!$I$6))),"x",""))</f>
        <v/>
      </c>
      <c r="S1265" s="51" t="str">
        <f>IF(ISERROR(FIND('112'!$M$9,G1265,1)),"",IF((AND(LEFT(G1265,2)=LEFT('112'!$M$9,2),B1265&lt;'112'!$N$8,$L1265='112'!$I$6)),"x",""))</f>
        <v/>
      </c>
      <c r="T1265" s="51" t="str">
        <f>IF(ISERROR(FIND('112'!$M$9,G1265,1)),"",IF((AND(RIGHT(G1265,2)=RIGHT('112'!$M$9,2),B1265&lt;'112'!$N$8,$M1265='112'!$I$6)),"x",""))</f>
        <v/>
      </c>
      <c r="U1265" s="51" t="str">
        <f>IF(AND(L1265="154",'154'!$O$5&lt;=B1265,'154'!$P$5&gt;=B1265),"154",IF(AND(L1265="632",'632'!$L$5&lt;=B1265,'632'!$M$5&gt;=B1265),"632",IF(AND(L1265="642",'642'!$N$5&lt;=B1265,'642'!$O$5&gt;=B1265),"642",IF(AND(L1265="641",'641'!$N$5&lt;=B1265,'641'!$O$5&gt;=B1265),"641",""))))</f>
        <v/>
      </c>
      <c r="V1265" s="51" t="str">
        <f>IF(OR(TH!L1265=TH!$V$7,M1265=TH!$V$7),"x","")</f>
        <v/>
      </c>
      <c r="W1265" s="51" t="str">
        <f>IF(AND(B1265&gt;='IN-NX'!$P$3,B1265&lt;='IN-NX'!$Q$3,'IN-NX'!$D$7=D1265,OR(LEFT(L1265,2)="15",AND(LEFT(M1265,2)&lt;&gt;"15",LEFT(M1265,2)&lt;&gt;"33"))),"x","")</f>
        <v/>
      </c>
      <c r="X1265" s="51" t="str">
        <f>IF(AND(OR(LEFT(TH!L1265,2)="15",LEFT(TH!M1265,2)="15"),'152-CT'!$J$8=TH!F1265),"x","")</f>
        <v/>
      </c>
      <c r="Y1265" s="51" t="str">
        <f>IF(AND(OR(LEFT(TH!L1265,2)="15",LEFT(TH!M1265,2)="15"),TK!$E$7=TH!F1265),"x","")</f>
        <v/>
      </c>
      <c r="Z1265" s="51" t="str">
        <f>IF(AND(B1265&lt;=NKC!$N$8,B1265&gt;=NKC!$M$8),"x","")</f>
        <v/>
      </c>
      <c r="AA1265" s="803"/>
      <c r="AB1265" s="565"/>
      <c r="AE1265" s="565"/>
    </row>
    <row r="1266" spans="1:31" ht="15.75" customHeight="1">
      <c r="A1266" s="804" t="str">
        <f>IF(B1266&lt;&gt;"",IF(AND(B1266&gt;=_TM1,B1266&lt;=_TM2,OR(TH!L1266="1111",TH!M1266="1111")),TH!D1266,""),"")</f>
        <v/>
      </c>
      <c r="B1266" s="36">
        <f t="shared" si="82"/>
        <v>12</v>
      </c>
      <c r="C1266" s="189">
        <f t="shared" si="83"/>
        <v>42349</v>
      </c>
      <c r="D1266" s="189" t="s">
        <v>1456</v>
      </c>
      <c r="E1266" s="189">
        <v>42349</v>
      </c>
      <c r="F1266" s="917" t="s">
        <v>919</v>
      </c>
      <c r="G1266" s="813" t="s">
        <v>622</v>
      </c>
      <c r="H1266" s="191" t="s">
        <v>448</v>
      </c>
      <c r="I1266" s="243">
        <v>66</v>
      </c>
      <c r="J1266" s="243">
        <v>13500</v>
      </c>
      <c r="K1266" s="573">
        <f t="shared" si="84"/>
        <v>891000</v>
      </c>
      <c r="L1266" s="574" t="s">
        <v>417</v>
      </c>
      <c r="M1266" s="574" t="s">
        <v>8</v>
      </c>
      <c r="N1266" s="51" t="str">
        <f>IF(AND('331-CT'!$E$7=TH!H1266,OR(L1266="331",M1266="331")),"331",IF(AND(OR(L1266="131",M1266="131"),H1266='131-CT'!$E$7),"131",""))</f>
        <v/>
      </c>
      <c r="O1266" s="51" t="str">
        <f>IF(AND($B1266&gt;='111'!$N$11,$B1266&lt;='111'!$O$11,OR($L1266=$O$7,$M1266=$O$7)),"x","")</f>
        <v/>
      </c>
      <c r="P1266" s="51" t="str">
        <f>IF(AND($L1266=$O$7,$B1266&lt;'111'!$N$11),"x","")</f>
        <v/>
      </c>
      <c r="Q1266" s="51" t="str">
        <f>IF(AND($M1266=$O$7,$B1266&lt;'111'!$N$11),"x","")</f>
        <v/>
      </c>
      <c r="R1266" s="51" t="str">
        <f>IF(ISERROR(FIND('112'!$M$9,G1266,1)),"",IF((AND(FIND('112'!$M$9,G1266,1)&gt;=1,$B1266&gt;='112'!$N$8,$B1266&lt;='112'!$O$8,OR($L1266='112'!$I$6,$M1266='112'!$I$6))),"x",""))</f>
        <v/>
      </c>
      <c r="S1266" s="51" t="str">
        <f>IF(ISERROR(FIND('112'!$M$9,G1266,1)),"",IF((AND(LEFT(G1266,2)=LEFT('112'!$M$9,2),B1266&lt;'112'!$N$8,$L1266='112'!$I$6)),"x",""))</f>
        <v/>
      </c>
      <c r="T1266" s="51" t="str">
        <f>IF(ISERROR(FIND('112'!$M$9,G1266,1)),"",IF((AND(RIGHT(G1266,2)=RIGHT('112'!$M$9,2),B1266&lt;'112'!$N$8,$M1266='112'!$I$6)),"x",""))</f>
        <v/>
      </c>
      <c r="U1266" s="51" t="str">
        <f>IF(AND(L1266="154",'154'!$O$5&lt;=B1266,'154'!$P$5&gt;=B1266),"154",IF(AND(L1266="632",'632'!$L$5&lt;=B1266,'632'!$M$5&gt;=B1266),"632",IF(AND(L1266="642",'642'!$N$5&lt;=B1266,'642'!$O$5&gt;=B1266),"642",IF(AND(L1266="641",'641'!$N$5&lt;=B1266,'641'!$O$5&gt;=B1266),"641",""))))</f>
        <v/>
      </c>
      <c r="V1266" s="51" t="str">
        <f>IF(OR(TH!L1266=TH!$V$7,M1266=TH!$V$7),"x","")</f>
        <v/>
      </c>
      <c r="W1266" s="51" t="str">
        <f>IF(AND(B1266&gt;='IN-NX'!$P$3,B1266&lt;='IN-NX'!$Q$3,'IN-NX'!$D$7=D1266,OR(LEFT(L1266,2)="15",AND(LEFT(M1266,2)&lt;&gt;"15",LEFT(M1266,2)&lt;&gt;"33"))),"x","")</f>
        <v/>
      </c>
      <c r="X1266" s="51" t="str">
        <f>IF(AND(OR(LEFT(TH!L1266,2)="15",LEFT(TH!M1266,2)="15"),'152-CT'!$J$8=TH!F1266),"x","")</f>
        <v/>
      </c>
      <c r="Y1266" s="51" t="str">
        <f>IF(AND(OR(LEFT(TH!L1266,2)="15",LEFT(TH!M1266,2)="15"),TK!$E$7=TH!F1266),"x","")</f>
        <v/>
      </c>
      <c r="Z1266" s="51" t="str">
        <f>IF(AND(B1266&lt;=NKC!$N$8,B1266&gt;=NKC!$M$8),"x","")</f>
        <v/>
      </c>
      <c r="AA1266" s="803"/>
      <c r="AB1266" s="565"/>
      <c r="AE1266" s="565"/>
    </row>
    <row r="1267" spans="1:31" ht="15.75" customHeight="1">
      <c r="A1267" s="804" t="str">
        <f>IF(B1267&lt;&gt;"",IF(AND(B1267&gt;=_TM1,B1267&lt;=_TM2,OR(TH!L1267="1111",TH!M1267="1111")),TH!D1267,""),"")</f>
        <v/>
      </c>
      <c r="B1267" s="36">
        <f t="shared" si="82"/>
        <v>12</v>
      </c>
      <c r="C1267" s="189">
        <f t="shared" si="83"/>
        <v>42349</v>
      </c>
      <c r="D1267" s="189" t="s">
        <v>1513</v>
      </c>
      <c r="E1267" s="189">
        <v>42349</v>
      </c>
      <c r="F1267" s="190" t="s">
        <v>920</v>
      </c>
      <c r="G1267" s="813" t="s">
        <v>622</v>
      </c>
      <c r="H1267" s="191" t="s">
        <v>448</v>
      </c>
      <c r="I1267" s="243">
        <v>35</v>
      </c>
      <c r="J1267" s="243">
        <v>24975</v>
      </c>
      <c r="K1267" s="573">
        <f t="shared" si="84"/>
        <v>874125</v>
      </c>
      <c r="L1267" s="574" t="s">
        <v>417</v>
      </c>
      <c r="M1267" s="574" t="s">
        <v>8</v>
      </c>
      <c r="N1267" s="51" t="str">
        <f>IF(AND('331-CT'!$E$7=TH!H1267,OR(L1267="331",M1267="331")),"331",IF(AND(OR(L1267="131",M1267="131"),H1267='131-CT'!$E$7),"131",""))</f>
        <v/>
      </c>
      <c r="O1267" s="51" t="str">
        <f>IF(AND($B1267&gt;='111'!$N$11,$B1267&lt;='111'!$O$11,OR($L1267=$O$7,$M1267=$O$7)),"x","")</f>
        <v/>
      </c>
      <c r="P1267" s="51" t="str">
        <f>IF(AND($L1267=$O$7,$B1267&lt;'111'!$N$11),"x","")</f>
        <v/>
      </c>
      <c r="Q1267" s="51" t="str">
        <f>IF(AND($M1267=$O$7,$B1267&lt;'111'!$N$11),"x","")</f>
        <v/>
      </c>
      <c r="R1267" s="51" t="str">
        <f>IF(ISERROR(FIND('112'!$M$9,G1267,1)),"",IF((AND(FIND('112'!$M$9,G1267,1)&gt;=1,$B1267&gt;='112'!$N$8,$B1267&lt;='112'!$O$8,OR($L1267='112'!$I$6,$M1267='112'!$I$6))),"x",""))</f>
        <v/>
      </c>
      <c r="S1267" s="51" t="str">
        <f>IF(ISERROR(FIND('112'!$M$9,G1267,1)),"",IF((AND(LEFT(G1267,2)=LEFT('112'!$M$9,2),B1267&lt;'112'!$N$8,$L1267='112'!$I$6)),"x",""))</f>
        <v/>
      </c>
      <c r="T1267" s="51" t="str">
        <f>IF(ISERROR(FIND('112'!$M$9,G1267,1)),"",IF((AND(RIGHT(G1267,2)=RIGHT('112'!$M$9,2),B1267&lt;'112'!$N$8,$M1267='112'!$I$6)),"x",""))</f>
        <v/>
      </c>
      <c r="U1267" s="51" t="str">
        <f>IF(AND(L1267="154",'154'!$O$5&lt;=B1267,'154'!$P$5&gt;=B1267),"154",IF(AND(L1267="632",'632'!$L$5&lt;=B1267,'632'!$M$5&gt;=B1267),"632",IF(AND(L1267="642",'642'!$N$5&lt;=B1267,'642'!$O$5&gt;=B1267),"642",IF(AND(L1267="641",'641'!$N$5&lt;=B1267,'641'!$O$5&gt;=B1267),"641",""))))</f>
        <v/>
      </c>
      <c r="V1267" s="51" t="str">
        <f>IF(OR(TH!L1267=TH!$V$7,M1267=TH!$V$7),"x","")</f>
        <v/>
      </c>
      <c r="W1267" s="51" t="str">
        <f>IF(AND(B1267&gt;='IN-NX'!$P$3,B1267&lt;='IN-NX'!$Q$3,'IN-NX'!$D$7=D1267,OR(LEFT(L1267,2)="15",AND(LEFT(M1267,2)&lt;&gt;"15",LEFT(M1267,2)&lt;&gt;"33"))),"x","")</f>
        <v/>
      </c>
      <c r="X1267" s="51" t="str">
        <f>IF(AND(OR(LEFT(TH!L1267,2)="15",LEFT(TH!M1267,2)="15"),'152-CT'!$J$8=TH!F1267),"x","")</f>
        <v/>
      </c>
      <c r="Y1267" s="51" t="str">
        <f>IF(AND(OR(LEFT(TH!L1267,2)="15",LEFT(TH!M1267,2)="15"),TK!$E$7=TH!F1267),"x","")</f>
        <v/>
      </c>
      <c r="Z1267" s="51" t="str">
        <f>IF(AND(B1267&lt;=NKC!$N$8,B1267&gt;=NKC!$M$8),"x","")</f>
        <v/>
      </c>
      <c r="AA1267" s="803"/>
      <c r="AB1267" s="565"/>
      <c r="AE1267" s="565"/>
    </row>
    <row r="1268" spans="1:31" ht="15.75" customHeight="1">
      <c r="A1268" s="804" t="str">
        <f>IF(B1268&lt;&gt;"",IF(AND(B1268&gt;=_TM1,B1268&lt;=_TM2,OR(TH!L1268="1111",TH!M1268="1111")),TH!D1268,""),"")</f>
        <v/>
      </c>
      <c r="B1268" s="36">
        <f t="shared" si="82"/>
        <v>12</v>
      </c>
      <c r="C1268" s="189">
        <f t="shared" si="83"/>
        <v>42349</v>
      </c>
      <c r="D1268" s="189" t="s">
        <v>1513</v>
      </c>
      <c r="E1268" s="189">
        <v>42349</v>
      </c>
      <c r="F1268" s="190" t="s">
        <v>921</v>
      </c>
      <c r="G1268" s="813" t="s">
        <v>622</v>
      </c>
      <c r="H1268" s="191" t="s">
        <v>448</v>
      </c>
      <c r="I1268" s="243">
        <v>64</v>
      </c>
      <c r="J1268" s="243">
        <v>19845</v>
      </c>
      <c r="K1268" s="573">
        <f t="shared" si="84"/>
        <v>1270080</v>
      </c>
      <c r="L1268" s="574" t="s">
        <v>417</v>
      </c>
      <c r="M1268" s="574" t="s">
        <v>8</v>
      </c>
      <c r="N1268" s="51" t="str">
        <f>IF(AND('331-CT'!$E$7=TH!H1268,OR(L1268="331",M1268="331")),"331",IF(AND(OR(L1268="131",M1268="131"),H1268='131-CT'!$E$7),"131",""))</f>
        <v/>
      </c>
      <c r="O1268" s="51" t="str">
        <f>IF(AND($B1268&gt;='111'!$N$11,$B1268&lt;='111'!$O$11,OR($L1268=$O$7,$M1268=$O$7)),"x","")</f>
        <v/>
      </c>
      <c r="P1268" s="51" t="str">
        <f>IF(AND($L1268=$O$7,$B1268&lt;'111'!$N$11),"x","")</f>
        <v/>
      </c>
      <c r="Q1268" s="51" t="str">
        <f>IF(AND($M1268=$O$7,$B1268&lt;'111'!$N$11),"x","")</f>
        <v/>
      </c>
      <c r="R1268" s="51" t="str">
        <f>IF(ISERROR(FIND('112'!$M$9,G1268,1)),"",IF((AND(FIND('112'!$M$9,G1268,1)&gt;=1,$B1268&gt;='112'!$N$8,$B1268&lt;='112'!$O$8,OR($L1268='112'!$I$6,$M1268='112'!$I$6))),"x",""))</f>
        <v/>
      </c>
      <c r="S1268" s="51" t="str">
        <f>IF(ISERROR(FIND('112'!$M$9,G1268,1)),"",IF((AND(LEFT(G1268,2)=LEFT('112'!$M$9,2),B1268&lt;'112'!$N$8,$L1268='112'!$I$6)),"x",""))</f>
        <v/>
      </c>
      <c r="T1268" s="51" t="str">
        <f>IF(ISERROR(FIND('112'!$M$9,G1268,1)),"",IF((AND(RIGHT(G1268,2)=RIGHT('112'!$M$9,2),B1268&lt;'112'!$N$8,$M1268='112'!$I$6)),"x",""))</f>
        <v/>
      </c>
      <c r="U1268" s="51" t="str">
        <f>IF(AND(L1268="154",'154'!$O$5&lt;=B1268,'154'!$P$5&gt;=B1268),"154",IF(AND(L1268="632",'632'!$L$5&lt;=B1268,'632'!$M$5&gt;=B1268),"632",IF(AND(L1268="642",'642'!$N$5&lt;=B1268,'642'!$O$5&gt;=B1268),"642",IF(AND(L1268="641",'641'!$N$5&lt;=B1268,'641'!$O$5&gt;=B1268),"641",""))))</f>
        <v/>
      </c>
      <c r="V1268" s="51" t="str">
        <f>IF(OR(TH!L1268=TH!$V$7,M1268=TH!$V$7),"x","")</f>
        <v/>
      </c>
      <c r="W1268" s="51" t="str">
        <f>IF(AND(B1268&gt;='IN-NX'!$P$3,B1268&lt;='IN-NX'!$Q$3,'IN-NX'!$D$7=D1268,OR(LEFT(L1268,2)="15",AND(LEFT(M1268,2)&lt;&gt;"15",LEFT(M1268,2)&lt;&gt;"33"))),"x","")</f>
        <v/>
      </c>
      <c r="X1268" s="51" t="str">
        <f>IF(AND(OR(LEFT(TH!L1268,2)="15",LEFT(TH!M1268,2)="15"),'152-CT'!$J$8=TH!F1268),"x","")</f>
        <v/>
      </c>
      <c r="Y1268" s="51" t="str">
        <f>IF(AND(OR(LEFT(TH!L1268,2)="15",LEFT(TH!M1268,2)="15"),TK!$E$7=TH!F1268),"x","")</f>
        <v/>
      </c>
      <c r="Z1268" s="51" t="str">
        <f>IF(AND(B1268&lt;=NKC!$N$8,B1268&gt;=NKC!$M$8),"x","")</f>
        <v/>
      </c>
      <c r="AA1268" s="803"/>
      <c r="AB1268" s="565"/>
      <c r="AE1268" s="565"/>
    </row>
    <row r="1269" spans="1:31" ht="15.75" customHeight="1">
      <c r="A1269" s="804" t="str">
        <f>IF(B1269&lt;&gt;"",IF(AND(B1269&gt;=_TM1,B1269&lt;=_TM2,OR(TH!L1269="1111",TH!M1269="1111")),TH!D1269,""),"")</f>
        <v/>
      </c>
      <c r="B1269" s="36">
        <f t="shared" si="82"/>
        <v>12</v>
      </c>
      <c r="C1269" s="189">
        <f t="shared" si="83"/>
        <v>42349</v>
      </c>
      <c r="D1269" s="189" t="s">
        <v>1513</v>
      </c>
      <c r="E1269" s="189">
        <v>42349</v>
      </c>
      <c r="F1269" s="917" t="s">
        <v>922</v>
      </c>
      <c r="G1269" s="813" t="s">
        <v>622</v>
      </c>
      <c r="H1269" s="191" t="s">
        <v>448</v>
      </c>
      <c r="I1269" s="243">
        <v>48</v>
      </c>
      <c r="J1269" s="243">
        <v>18225</v>
      </c>
      <c r="K1269" s="573">
        <f t="shared" si="84"/>
        <v>874800</v>
      </c>
      <c r="L1269" s="574" t="s">
        <v>417</v>
      </c>
      <c r="M1269" s="574" t="s">
        <v>8</v>
      </c>
      <c r="N1269" s="51" t="str">
        <f>IF(AND('331-CT'!$E$7=TH!H1269,OR(L1269="331",M1269="331")),"331",IF(AND(OR(L1269="131",M1269="131"),H1269='131-CT'!$E$7),"131",""))</f>
        <v/>
      </c>
      <c r="O1269" s="51" t="str">
        <f>IF(AND($B1269&gt;='111'!$N$11,$B1269&lt;='111'!$O$11,OR($L1269=$O$7,$M1269=$O$7)),"x","")</f>
        <v/>
      </c>
      <c r="P1269" s="51" t="str">
        <f>IF(AND($L1269=$O$7,$B1269&lt;'111'!$N$11),"x","")</f>
        <v/>
      </c>
      <c r="Q1269" s="51" t="str">
        <f>IF(AND($M1269=$O$7,$B1269&lt;'111'!$N$11),"x","")</f>
        <v/>
      </c>
      <c r="R1269" s="51" t="str">
        <f>IF(ISERROR(FIND('112'!$M$9,G1269,1)),"",IF((AND(FIND('112'!$M$9,G1269,1)&gt;=1,$B1269&gt;='112'!$N$8,$B1269&lt;='112'!$O$8,OR($L1269='112'!$I$6,$M1269='112'!$I$6))),"x",""))</f>
        <v/>
      </c>
      <c r="S1269" s="51" t="str">
        <f>IF(ISERROR(FIND('112'!$M$9,G1269,1)),"",IF((AND(LEFT(G1269,2)=LEFT('112'!$M$9,2),B1269&lt;'112'!$N$8,$L1269='112'!$I$6)),"x",""))</f>
        <v/>
      </c>
      <c r="T1269" s="51" t="str">
        <f>IF(ISERROR(FIND('112'!$M$9,G1269,1)),"",IF((AND(RIGHT(G1269,2)=RIGHT('112'!$M$9,2),B1269&lt;'112'!$N$8,$M1269='112'!$I$6)),"x",""))</f>
        <v/>
      </c>
      <c r="U1269" s="51" t="str">
        <f>IF(AND(L1269="154",'154'!$O$5&lt;=B1269,'154'!$P$5&gt;=B1269),"154",IF(AND(L1269="632",'632'!$L$5&lt;=B1269,'632'!$M$5&gt;=B1269),"632",IF(AND(L1269="642",'642'!$N$5&lt;=B1269,'642'!$O$5&gt;=B1269),"642",IF(AND(L1269="641",'641'!$N$5&lt;=B1269,'641'!$O$5&gt;=B1269),"641",""))))</f>
        <v/>
      </c>
      <c r="V1269" s="51" t="str">
        <f>IF(OR(TH!L1269=TH!$V$7,M1269=TH!$V$7),"x","")</f>
        <v/>
      </c>
      <c r="W1269" s="51" t="str">
        <f>IF(AND(B1269&gt;='IN-NX'!$P$3,B1269&lt;='IN-NX'!$Q$3,'IN-NX'!$D$7=D1269,OR(LEFT(L1269,2)="15",AND(LEFT(M1269,2)&lt;&gt;"15",LEFT(M1269,2)&lt;&gt;"33"))),"x","")</f>
        <v/>
      </c>
      <c r="X1269" s="51" t="str">
        <f>IF(AND(OR(LEFT(TH!L1269,2)="15",LEFT(TH!M1269,2)="15"),'152-CT'!$J$8=TH!F1269),"x","")</f>
        <v/>
      </c>
      <c r="Y1269" s="51" t="str">
        <f>IF(AND(OR(LEFT(TH!L1269,2)="15",LEFT(TH!M1269,2)="15"),TK!$E$7=TH!F1269),"x","")</f>
        <v/>
      </c>
      <c r="Z1269" s="51" t="str">
        <f>IF(AND(B1269&lt;=NKC!$N$8,B1269&gt;=NKC!$M$8),"x","")</f>
        <v/>
      </c>
      <c r="AA1269" s="803"/>
      <c r="AB1269" s="565"/>
      <c r="AE1269" s="565"/>
    </row>
    <row r="1270" spans="1:31" ht="15.75" customHeight="1">
      <c r="A1270" s="804" t="str">
        <f>IF(B1270&lt;&gt;"",IF(AND(B1270&gt;=_TM1,B1270&lt;=_TM2,OR(TH!L1270="1111",TH!M1270="1111")),TH!D1270,""),"")</f>
        <v/>
      </c>
      <c r="B1270" s="36">
        <f t="shared" si="82"/>
        <v>12</v>
      </c>
      <c r="C1270" s="189">
        <f t="shared" si="83"/>
        <v>42349</v>
      </c>
      <c r="D1270" s="189" t="s">
        <v>1513</v>
      </c>
      <c r="E1270" s="189">
        <v>42349</v>
      </c>
      <c r="F1270" s="190" t="s">
        <v>923</v>
      </c>
      <c r="G1270" s="813" t="s">
        <v>622</v>
      </c>
      <c r="H1270" s="191" t="s">
        <v>448</v>
      </c>
      <c r="I1270" s="243">
        <v>14</v>
      </c>
      <c r="J1270" s="243">
        <v>16929</v>
      </c>
      <c r="K1270" s="573">
        <f t="shared" si="84"/>
        <v>237006</v>
      </c>
      <c r="L1270" s="574" t="s">
        <v>417</v>
      </c>
      <c r="M1270" s="574" t="s">
        <v>8</v>
      </c>
      <c r="N1270" s="51" t="str">
        <f>IF(AND('331-CT'!$E$7=TH!H1270,OR(L1270="331",M1270="331")),"331",IF(AND(OR(L1270="131",M1270="131"),H1270='131-CT'!$E$7),"131",""))</f>
        <v/>
      </c>
      <c r="O1270" s="51" t="str">
        <f>IF(AND($B1270&gt;='111'!$N$11,$B1270&lt;='111'!$O$11,OR($L1270=$O$7,$M1270=$O$7)),"x","")</f>
        <v/>
      </c>
      <c r="P1270" s="51" t="str">
        <f>IF(AND($L1270=$O$7,$B1270&lt;'111'!$N$11),"x","")</f>
        <v/>
      </c>
      <c r="Q1270" s="51" t="str">
        <f>IF(AND($M1270=$O$7,$B1270&lt;'111'!$N$11),"x","")</f>
        <v/>
      </c>
      <c r="R1270" s="51" t="str">
        <f>IF(ISERROR(FIND('112'!$M$9,G1270,1)),"",IF((AND(FIND('112'!$M$9,G1270,1)&gt;=1,$B1270&gt;='112'!$N$8,$B1270&lt;='112'!$O$8,OR($L1270='112'!$I$6,$M1270='112'!$I$6))),"x",""))</f>
        <v/>
      </c>
      <c r="S1270" s="51" t="str">
        <f>IF(ISERROR(FIND('112'!$M$9,G1270,1)),"",IF((AND(LEFT(G1270,2)=LEFT('112'!$M$9,2),B1270&lt;'112'!$N$8,$L1270='112'!$I$6)),"x",""))</f>
        <v/>
      </c>
      <c r="T1270" s="51" t="str">
        <f>IF(ISERROR(FIND('112'!$M$9,G1270,1)),"",IF((AND(RIGHT(G1270,2)=RIGHT('112'!$M$9,2),B1270&lt;'112'!$N$8,$M1270='112'!$I$6)),"x",""))</f>
        <v/>
      </c>
      <c r="U1270" s="51" t="str">
        <f>IF(AND(L1270="154",'154'!$O$5&lt;=B1270,'154'!$P$5&gt;=B1270),"154",IF(AND(L1270="632",'632'!$L$5&lt;=B1270,'632'!$M$5&gt;=B1270),"632",IF(AND(L1270="642",'642'!$N$5&lt;=B1270,'642'!$O$5&gt;=B1270),"642",IF(AND(L1270="641",'641'!$N$5&lt;=B1270,'641'!$O$5&gt;=B1270),"641",""))))</f>
        <v/>
      </c>
      <c r="V1270" s="51" t="str">
        <f>IF(OR(TH!L1270=TH!$V$7,M1270=TH!$V$7),"x","")</f>
        <v/>
      </c>
      <c r="W1270" s="51" t="str">
        <f>IF(AND(B1270&gt;='IN-NX'!$P$3,B1270&lt;='IN-NX'!$Q$3,'IN-NX'!$D$7=D1270,OR(LEFT(L1270,2)="15",AND(LEFT(M1270,2)&lt;&gt;"15",LEFT(M1270,2)&lt;&gt;"33"))),"x","")</f>
        <v/>
      </c>
      <c r="X1270" s="51" t="str">
        <f>IF(AND(OR(LEFT(TH!L1270,2)="15",LEFT(TH!M1270,2)="15"),'152-CT'!$J$8=TH!F1270),"x","")</f>
        <v/>
      </c>
      <c r="Y1270" s="51" t="str">
        <f>IF(AND(OR(LEFT(TH!L1270,2)="15",LEFT(TH!M1270,2)="15"),TK!$E$7=TH!F1270),"x","")</f>
        <v/>
      </c>
      <c r="Z1270" s="51" t="str">
        <f>IF(AND(B1270&lt;=NKC!$N$8,B1270&gt;=NKC!$M$8),"x","")</f>
        <v/>
      </c>
      <c r="AA1270" s="803"/>
      <c r="AB1270" s="565"/>
      <c r="AE1270" s="565"/>
    </row>
    <row r="1271" spans="1:31" ht="15.75" customHeight="1">
      <c r="A1271" s="804" t="str">
        <f>IF(B1271&lt;&gt;"",IF(AND(B1271&gt;=_TM1,B1271&lt;=_TM2,OR(TH!L1271="1111",TH!M1271="1111")),TH!D1271,""),"")</f>
        <v/>
      </c>
      <c r="B1271" s="36">
        <f t="shared" si="82"/>
        <v>12</v>
      </c>
      <c r="C1271" s="189">
        <f t="shared" si="83"/>
        <v>42349</v>
      </c>
      <c r="D1271" s="189" t="s">
        <v>1513</v>
      </c>
      <c r="E1271" s="189">
        <v>42349</v>
      </c>
      <c r="F1271" s="190" t="s">
        <v>910</v>
      </c>
      <c r="G1271" s="813" t="s">
        <v>622</v>
      </c>
      <c r="H1271" s="191" t="s">
        <v>448</v>
      </c>
      <c r="I1271" s="243">
        <v>56</v>
      </c>
      <c r="J1271" s="243">
        <v>7752</v>
      </c>
      <c r="K1271" s="573">
        <f t="shared" si="84"/>
        <v>434112</v>
      </c>
      <c r="L1271" s="574" t="s">
        <v>417</v>
      </c>
      <c r="M1271" s="574" t="s">
        <v>8</v>
      </c>
      <c r="N1271" s="51" t="str">
        <f>IF(AND('331-CT'!$E$7=TH!H1271,OR(L1271="331",M1271="331")),"331",IF(AND(OR(L1271="131",M1271="131"),H1271='131-CT'!$E$7),"131",""))</f>
        <v/>
      </c>
      <c r="O1271" s="51" t="str">
        <f>IF(AND($B1271&gt;='111'!$N$11,$B1271&lt;='111'!$O$11,OR($L1271=$O$7,$M1271=$O$7)),"x","")</f>
        <v/>
      </c>
      <c r="P1271" s="51" t="str">
        <f>IF(AND($L1271=$O$7,$B1271&lt;'111'!$N$11),"x","")</f>
        <v/>
      </c>
      <c r="Q1271" s="51" t="str">
        <f>IF(AND($M1271=$O$7,$B1271&lt;'111'!$N$11),"x","")</f>
        <v/>
      </c>
      <c r="R1271" s="51" t="str">
        <f>IF(ISERROR(FIND('112'!$M$9,G1271,1)),"",IF((AND(FIND('112'!$M$9,G1271,1)&gt;=1,$B1271&gt;='112'!$N$8,$B1271&lt;='112'!$O$8,OR($L1271='112'!$I$6,$M1271='112'!$I$6))),"x",""))</f>
        <v/>
      </c>
      <c r="S1271" s="51" t="str">
        <f>IF(ISERROR(FIND('112'!$M$9,G1271,1)),"",IF((AND(LEFT(G1271,2)=LEFT('112'!$M$9,2),B1271&lt;'112'!$N$8,$L1271='112'!$I$6)),"x",""))</f>
        <v/>
      </c>
      <c r="T1271" s="51" t="str">
        <f>IF(ISERROR(FIND('112'!$M$9,G1271,1)),"",IF((AND(RIGHT(G1271,2)=RIGHT('112'!$M$9,2),B1271&lt;'112'!$N$8,$M1271='112'!$I$6)),"x",""))</f>
        <v/>
      </c>
      <c r="U1271" s="51" t="str">
        <f>IF(AND(L1271="154",'154'!$O$5&lt;=B1271,'154'!$P$5&gt;=B1271),"154",IF(AND(L1271="632",'632'!$L$5&lt;=B1271,'632'!$M$5&gt;=B1271),"632",IF(AND(L1271="642",'642'!$N$5&lt;=B1271,'642'!$O$5&gt;=B1271),"642",IF(AND(L1271="641",'641'!$N$5&lt;=B1271,'641'!$O$5&gt;=B1271),"641",""))))</f>
        <v/>
      </c>
      <c r="V1271" s="51" t="str">
        <f>IF(OR(TH!L1271=TH!$V$7,M1271=TH!$V$7),"x","")</f>
        <v/>
      </c>
      <c r="W1271" s="51" t="str">
        <f>IF(AND(B1271&gt;='IN-NX'!$P$3,B1271&lt;='IN-NX'!$Q$3,'IN-NX'!$D$7=D1271,OR(LEFT(L1271,2)="15",AND(LEFT(M1271,2)&lt;&gt;"15",LEFT(M1271,2)&lt;&gt;"33"))),"x","")</f>
        <v/>
      </c>
      <c r="X1271" s="51" t="str">
        <f>IF(AND(OR(LEFT(TH!L1271,2)="15",LEFT(TH!M1271,2)="15"),'152-CT'!$J$8=TH!F1271),"x","")</f>
        <v/>
      </c>
      <c r="Y1271" s="51" t="str">
        <f>IF(AND(OR(LEFT(TH!L1271,2)="15",LEFT(TH!M1271,2)="15"),TK!$E$7=TH!F1271),"x","")</f>
        <v/>
      </c>
      <c r="Z1271" s="51" t="str">
        <f>IF(AND(B1271&lt;=NKC!$N$8,B1271&gt;=NKC!$M$8),"x","")</f>
        <v/>
      </c>
      <c r="AA1271" s="803"/>
      <c r="AB1271" s="565"/>
      <c r="AE1271" s="565"/>
    </row>
    <row r="1272" spans="1:31" ht="15.75" customHeight="1">
      <c r="A1272" s="804" t="str">
        <f>IF(B1272&lt;&gt;"",IF(AND(B1272&gt;=_TM1,B1272&lt;=_TM2,OR(TH!L1272="1111",TH!M1272="1111")),TH!D1272,""),"")</f>
        <v/>
      </c>
      <c r="B1272" s="36">
        <f t="shared" si="82"/>
        <v>12</v>
      </c>
      <c r="C1272" s="189">
        <f t="shared" si="83"/>
        <v>42349</v>
      </c>
      <c r="D1272" s="189" t="s">
        <v>1513</v>
      </c>
      <c r="E1272" s="189">
        <v>42349</v>
      </c>
      <c r="F1272" s="190" t="s">
        <v>911</v>
      </c>
      <c r="G1272" s="813" t="s">
        <v>622</v>
      </c>
      <c r="H1272" s="191" t="s">
        <v>448</v>
      </c>
      <c r="I1272" s="243">
        <v>44</v>
      </c>
      <c r="J1272" s="243">
        <v>8810</v>
      </c>
      <c r="K1272" s="573">
        <f t="shared" si="84"/>
        <v>387640</v>
      </c>
      <c r="L1272" s="574" t="s">
        <v>417</v>
      </c>
      <c r="M1272" s="574" t="s">
        <v>8</v>
      </c>
      <c r="N1272" s="51" t="str">
        <f>IF(AND('331-CT'!$E$7=TH!H1272,OR(L1272="331",M1272="331")),"331",IF(AND(OR(L1272="131",M1272="131"),H1272='131-CT'!$E$7),"131",""))</f>
        <v/>
      </c>
      <c r="O1272" s="51" t="str">
        <f>IF(AND($B1272&gt;='111'!$N$11,$B1272&lt;='111'!$O$11,OR($L1272=$O$7,$M1272=$O$7)),"x","")</f>
        <v/>
      </c>
      <c r="P1272" s="51" t="str">
        <f>IF(AND($L1272=$O$7,$B1272&lt;'111'!$N$11),"x","")</f>
        <v/>
      </c>
      <c r="Q1272" s="51" t="str">
        <f>IF(AND($M1272=$O$7,$B1272&lt;'111'!$N$11),"x","")</f>
        <v/>
      </c>
      <c r="R1272" s="51" t="str">
        <f>IF(ISERROR(FIND('112'!$M$9,G1272,1)),"",IF((AND(FIND('112'!$M$9,G1272,1)&gt;=1,$B1272&gt;='112'!$N$8,$B1272&lt;='112'!$O$8,OR($L1272='112'!$I$6,$M1272='112'!$I$6))),"x",""))</f>
        <v/>
      </c>
      <c r="S1272" s="51" t="str">
        <f>IF(ISERROR(FIND('112'!$M$9,G1272,1)),"",IF((AND(LEFT(G1272,2)=LEFT('112'!$M$9,2),B1272&lt;'112'!$N$8,$L1272='112'!$I$6)),"x",""))</f>
        <v/>
      </c>
      <c r="T1272" s="51" t="str">
        <f>IF(ISERROR(FIND('112'!$M$9,G1272,1)),"",IF((AND(RIGHT(G1272,2)=RIGHT('112'!$M$9,2),B1272&lt;'112'!$N$8,$M1272='112'!$I$6)),"x",""))</f>
        <v/>
      </c>
      <c r="U1272" s="51" t="str">
        <f>IF(AND(L1272="154",'154'!$O$5&lt;=B1272,'154'!$P$5&gt;=B1272),"154",IF(AND(L1272="632",'632'!$L$5&lt;=B1272,'632'!$M$5&gt;=B1272),"632",IF(AND(L1272="642",'642'!$N$5&lt;=B1272,'642'!$O$5&gt;=B1272),"642",IF(AND(L1272="641",'641'!$N$5&lt;=B1272,'641'!$O$5&gt;=B1272),"641",""))))</f>
        <v/>
      </c>
      <c r="V1272" s="51" t="str">
        <f>IF(OR(TH!L1272=TH!$V$7,M1272=TH!$V$7),"x","")</f>
        <v/>
      </c>
      <c r="W1272" s="51" t="str">
        <f>IF(AND(B1272&gt;='IN-NX'!$P$3,B1272&lt;='IN-NX'!$Q$3,'IN-NX'!$D$7=D1272,OR(LEFT(L1272,2)="15",AND(LEFT(M1272,2)&lt;&gt;"15",LEFT(M1272,2)&lt;&gt;"33"))),"x","")</f>
        <v/>
      </c>
      <c r="X1272" s="51" t="str">
        <f>IF(AND(OR(LEFT(TH!L1272,2)="15",LEFT(TH!M1272,2)="15"),'152-CT'!$J$8=TH!F1272),"x","")</f>
        <v/>
      </c>
      <c r="Y1272" s="51" t="str">
        <f>IF(AND(OR(LEFT(TH!L1272,2)="15",LEFT(TH!M1272,2)="15"),TK!$E$7=TH!F1272),"x","")</f>
        <v/>
      </c>
      <c r="Z1272" s="51" t="str">
        <f>IF(AND(B1272&lt;=NKC!$N$8,B1272&gt;=NKC!$M$8),"x","")</f>
        <v/>
      </c>
      <c r="AA1272" s="803"/>
      <c r="AB1272" s="565"/>
      <c r="AE1272" s="565"/>
    </row>
    <row r="1273" spans="1:31" ht="15.75" customHeight="1">
      <c r="A1273" s="804" t="str">
        <f>IF(B1273&lt;&gt;"",IF(AND(B1273&gt;=_TM1,B1273&lt;=_TM2,OR(TH!L1273="1111",TH!M1273="1111")),TH!D1273,""),"")</f>
        <v/>
      </c>
      <c r="B1273" s="36">
        <f t="shared" si="82"/>
        <v>12</v>
      </c>
      <c r="C1273" s="189">
        <f t="shared" si="83"/>
        <v>42349</v>
      </c>
      <c r="D1273" s="189" t="s">
        <v>1513</v>
      </c>
      <c r="E1273" s="189">
        <v>42349</v>
      </c>
      <c r="F1273" s="190" t="s">
        <v>912</v>
      </c>
      <c r="G1273" s="813" t="s">
        <v>622</v>
      </c>
      <c r="H1273" s="191" t="s">
        <v>448</v>
      </c>
      <c r="I1273" s="243">
        <v>60</v>
      </c>
      <c r="J1273" s="243">
        <v>10278</v>
      </c>
      <c r="K1273" s="573">
        <f t="shared" si="84"/>
        <v>616680</v>
      </c>
      <c r="L1273" s="574" t="s">
        <v>417</v>
      </c>
      <c r="M1273" s="574" t="s">
        <v>8</v>
      </c>
      <c r="N1273" s="51" t="str">
        <f>IF(AND('331-CT'!$E$7=TH!H1273,OR(L1273="331",M1273="331")),"331",IF(AND(OR(L1273="131",M1273="131"),H1273='131-CT'!$E$7),"131",""))</f>
        <v/>
      </c>
      <c r="O1273" s="51" t="str">
        <f>IF(AND($B1273&gt;='111'!$N$11,$B1273&lt;='111'!$O$11,OR($L1273=$O$7,$M1273=$O$7)),"x","")</f>
        <v/>
      </c>
      <c r="P1273" s="51" t="str">
        <f>IF(AND($L1273=$O$7,$B1273&lt;'111'!$N$11),"x","")</f>
        <v/>
      </c>
      <c r="Q1273" s="51" t="str">
        <f>IF(AND($M1273=$O$7,$B1273&lt;'111'!$N$11),"x","")</f>
        <v/>
      </c>
      <c r="R1273" s="51" t="str">
        <f>IF(ISERROR(FIND('112'!$M$9,G1273,1)),"",IF((AND(FIND('112'!$M$9,G1273,1)&gt;=1,$B1273&gt;='112'!$N$8,$B1273&lt;='112'!$O$8,OR($L1273='112'!$I$6,$M1273='112'!$I$6))),"x",""))</f>
        <v/>
      </c>
      <c r="S1273" s="51" t="str">
        <f>IF(ISERROR(FIND('112'!$M$9,G1273,1)),"",IF((AND(LEFT(G1273,2)=LEFT('112'!$M$9,2),B1273&lt;'112'!$N$8,$L1273='112'!$I$6)),"x",""))</f>
        <v/>
      </c>
      <c r="T1273" s="51" t="str">
        <f>IF(ISERROR(FIND('112'!$M$9,G1273,1)),"",IF((AND(RIGHT(G1273,2)=RIGHT('112'!$M$9,2),B1273&lt;'112'!$N$8,$M1273='112'!$I$6)),"x",""))</f>
        <v/>
      </c>
      <c r="U1273" s="51" t="str">
        <f>IF(AND(L1273="154",'154'!$O$5&lt;=B1273,'154'!$P$5&gt;=B1273),"154",IF(AND(L1273="632",'632'!$L$5&lt;=B1273,'632'!$M$5&gt;=B1273),"632",IF(AND(L1273="642",'642'!$N$5&lt;=B1273,'642'!$O$5&gt;=B1273),"642",IF(AND(L1273="641",'641'!$N$5&lt;=B1273,'641'!$O$5&gt;=B1273),"641",""))))</f>
        <v/>
      </c>
      <c r="V1273" s="51" t="str">
        <f>IF(OR(TH!L1273=TH!$V$7,M1273=TH!$V$7),"x","")</f>
        <v/>
      </c>
      <c r="W1273" s="51" t="str">
        <f>IF(AND(B1273&gt;='IN-NX'!$P$3,B1273&lt;='IN-NX'!$Q$3,'IN-NX'!$D$7=D1273,OR(LEFT(L1273,2)="15",AND(LEFT(M1273,2)&lt;&gt;"15",LEFT(M1273,2)&lt;&gt;"33"))),"x","")</f>
        <v/>
      </c>
      <c r="X1273" s="51" t="str">
        <f>IF(AND(OR(LEFT(TH!L1273,2)="15",LEFT(TH!M1273,2)="15"),'152-CT'!$J$8=TH!F1273),"x","")</f>
        <v/>
      </c>
      <c r="Y1273" s="51" t="str">
        <f>IF(AND(OR(LEFT(TH!L1273,2)="15",LEFT(TH!M1273,2)="15"),TK!$E$7=TH!F1273),"x","")</f>
        <v/>
      </c>
      <c r="Z1273" s="51" t="str">
        <f>IF(AND(B1273&lt;=NKC!$N$8,B1273&gt;=NKC!$M$8),"x","")</f>
        <v/>
      </c>
      <c r="AA1273" s="803"/>
      <c r="AB1273" s="565"/>
      <c r="AE1273" s="565"/>
    </row>
    <row r="1274" spans="1:31" ht="15.75" customHeight="1">
      <c r="A1274" s="804" t="str">
        <f>IF(B1274&lt;&gt;"",IF(AND(B1274&gt;=_TM1,B1274&lt;=_TM2,OR(TH!L1274="1111",TH!M1274="1111")),TH!D1274,""),"")</f>
        <v/>
      </c>
      <c r="B1274" s="36">
        <f t="shared" si="82"/>
        <v>12</v>
      </c>
      <c r="C1274" s="189">
        <f t="shared" si="83"/>
        <v>42349</v>
      </c>
      <c r="D1274" s="189" t="s">
        <v>1513</v>
      </c>
      <c r="E1274" s="189">
        <v>42349</v>
      </c>
      <c r="F1274" s="190" t="s">
        <v>913</v>
      </c>
      <c r="G1274" s="813" t="s">
        <v>622</v>
      </c>
      <c r="H1274" s="191" t="s">
        <v>448</v>
      </c>
      <c r="I1274" s="243">
        <v>70</v>
      </c>
      <c r="J1274" s="243">
        <v>7106</v>
      </c>
      <c r="K1274" s="573">
        <f t="shared" si="84"/>
        <v>497420</v>
      </c>
      <c r="L1274" s="574" t="s">
        <v>417</v>
      </c>
      <c r="M1274" s="574" t="s">
        <v>8</v>
      </c>
      <c r="N1274" s="51" t="str">
        <f>IF(AND('331-CT'!$E$7=TH!H1274,OR(L1274="331",M1274="331")),"331",IF(AND(OR(L1274="131",M1274="131"),H1274='131-CT'!$E$7),"131",""))</f>
        <v/>
      </c>
      <c r="O1274" s="51" t="str">
        <f>IF(AND($B1274&gt;='111'!$N$11,$B1274&lt;='111'!$O$11,OR($L1274=$O$7,$M1274=$O$7)),"x","")</f>
        <v/>
      </c>
      <c r="P1274" s="51" t="str">
        <f>IF(AND($L1274=$O$7,$B1274&lt;'111'!$N$11),"x","")</f>
        <v/>
      </c>
      <c r="Q1274" s="51" t="str">
        <f>IF(AND($M1274=$O$7,$B1274&lt;'111'!$N$11),"x","")</f>
        <v/>
      </c>
      <c r="R1274" s="51" t="str">
        <f>IF(ISERROR(FIND('112'!$M$9,G1274,1)),"",IF((AND(FIND('112'!$M$9,G1274,1)&gt;=1,$B1274&gt;='112'!$N$8,$B1274&lt;='112'!$O$8,OR($L1274='112'!$I$6,$M1274='112'!$I$6))),"x",""))</f>
        <v/>
      </c>
      <c r="S1274" s="51" t="str">
        <f>IF(ISERROR(FIND('112'!$M$9,G1274,1)),"",IF((AND(LEFT(G1274,2)=LEFT('112'!$M$9,2),B1274&lt;'112'!$N$8,$L1274='112'!$I$6)),"x",""))</f>
        <v/>
      </c>
      <c r="T1274" s="51" t="str">
        <f>IF(ISERROR(FIND('112'!$M$9,G1274,1)),"",IF((AND(RIGHT(G1274,2)=RIGHT('112'!$M$9,2),B1274&lt;'112'!$N$8,$M1274='112'!$I$6)),"x",""))</f>
        <v/>
      </c>
      <c r="U1274" s="51" t="str">
        <f>IF(AND(L1274="154",'154'!$O$5&lt;=B1274,'154'!$P$5&gt;=B1274),"154",IF(AND(L1274="632",'632'!$L$5&lt;=B1274,'632'!$M$5&gt;=B1274),"632",IF(AND(L1274="642",'642'!$N$5&lt;=B1274,'642'!$O$5&gt;=B1274),"642",IF(AND(L1274="641",'641'!$N$5&lt;=B1274,'641'!$O$5&gt;=B1274),"641",""))))</f>
        <v/>
      </c>
      <c r="V1274" s="51" t="str">
        <f>IF(OR(TH!L1274=TH!$V$7,M1274=TH!$V$7),"x","")</f>
        <v/>
      </c>
      <c r="W1274" s="51" t="str">
        <f>IF(AND(B1274&gt;='IN-NX'!$P$3,B1274&lt;='IN-NX'!$Q$3,'IN-NX'!$D$7=D1274,OR(LEFT(L1274,2)="15",AND(LEFT(M1274,2)&lt;&gt;"15",LEFT(M1274,2)&lt;&gt;"33"))),"x","")</f>
        <v/>
      </c>
      <c r="X1274" s="51" t="str">
        <f>IF(AND(OR(LEFT(TH!L1274,2)="15",LEFT(TH!M1274,2)="15"),'152-CT'!$J$8=TH!F1274),"x","")</f>
        <v/>
      </c>
      <c r="Y1274" s="51" t="str">
        <f>IF(AND(OR(LEFT(TH!L1274,2)="15",LEFT(TH!M1274,2)="15"),TK!$E$7=TH!F1274),"x","")</f>
        <v/>
      </c>
      <c r="Z1274" s="51" t="str">
        <f>IF(AND(B1274&lt;=NKC!$N$8,B1274&gt;=NKC!$M$8),"x","")</f>
        <v/>
      </c>
      <c r="AA1274" s="803"/>
      <c r="AB1274" s="565"/>
      <c r="AE1274" s="565"/>
    </row>
    <row r="1275" spans="1:31" ht="15.75" customHeight="1">
      <c r="A1275" s="804" t="str">
        <f>IF(B1275&lt;&gt;"",IF(AND(B1275&gt;=_TM1,B1275&lt;=_TM2,OR(TH!L1275="1111",TH!M1275="1111")),TH!D1275,""),"")</f>
        <v/>
      </c>
      <c r="B1275" s="36">
        <f t="shared" si="82"/>
        <v>12</v>
      </c>
      <c r="C1275" s="189">
        <f t="shared" si="83"/>
        <v>42349</v>
      </c>
      <c r="D1275" s="189" t="s">
        <v>1513</v>
      </c>
      <c r="E1275" s="189">
        <v>42349</v>
      </c>
      <c r="F1275" s="190" t="s">
        <v>914</v>
      </c>
      <c r="G1275" s="813" t="s">
        <v>622</v>
      </c>
      <c r="H1275" s="191" t="s">
        <v>448</v>
      </c>
      <c r="I1275" s="243">
        <v>36</v>
      </c>
      <c r="J1275" s="243">
        <v>12427</v>
      </c>
      <c r="K1275" s="573">
        <f t="shared" si="84"/>
        <v>447372</v>
      </c>
      <c r="L1275" s="574" t="s">
        <v>417</v>
      </c>
      <c r="M1275" s="574" t="s">
        <v>8</v>
      </c>
      <c r="N1275" s="51" t="str">
        <f>IF(AND('331-CT'!$E$7=TH!H1275,OR(L1275="331",M1275="331")),"331",IF(AND(OR(L1275="131",M1275="131"),H1275='131-CT'!$E$7),"131",""))</f>
        <v/>
      </c>
      <c r="O1275" s="51" t="str">
        <f>IF(AND($B1275&gt;='111'!$N$11,$B1275&lt;='111'!$O$11,OR($L1275=$O$7,$M1275=$O$7)),"x","")</f>
        <v/>
      </c>
      <c r="P1275" s="51" t="str">
        <f>IF(AND($L1275=$O$7,$B1275&lt;'111'!$N$11),"x","")</f>
        <v/>
      </c>
      <c r="Q1275" s="51" t="str">
        <f>IF(AND($M1275=$O$7,$B1275&lt;'111'!$N$11),"x","")</f>
        <v/>
      </c>
      <c r="R1275" s="51" t="str">
        <f>IF(ISERROR(FIND('112'!$M$9,G1275,1)),"",IF((AND(FIND('112'!$M$9,G1275,1)&gt;=1,$B1275&gt;='112'!$N$8,$B1275&lt;='112'!$O$8,OR($L1275='112'!$I$6,$M1275='112'!$I$6))),"x",""))</f>
        <v/>
      </c>
      <c r="S1275" s="51" t="str">
        <f>IF(ISERROR(FIND('112'!$M$9,G1275,1)),"",IF((AND(LEFT(G1275,2)=LEFT('112'!$M$9,2),B1275&lt;'112'!$N$8,$L1275='112'!$I$6)),"x",""))</f>
        <v/>
      </c>
      <c r="T1275" s="51" t="str">
        <f>IF(ISERROR(FIND('112'!$M$9,G1275,1)),"",IF((AND(RIGHT(G1275,2)=RIGHT('112'!$M$9,2),B1275&lt;'112'!$N$8,$M1275='112'!$I$6)),"x",""))</f>
        <v/>
      </c>
      <c r="U1275" s="51" t="str">
        <f>IF(AND(L1275="154",'154'!$O$5&lt;=B1275,'154'!$P$5&gt;=B1275),"154",IF(AND(L1275="632",'632'!$L$5&lt;=B1275,'632'!$M$5&gt;=B1275),"632",IF(AND(L1275="642",'642'!$N$5&lt;=B1275,'642'!$O$5&gt;=B1275),"642",IF(AND(L1275="641",'641'!$N$5&lt;=B1275,'641'!$O$5&gt;=B1275),"641",""))))</f>
        <v/>
      </c>
      <c r="V1275" s="51" t="str">
        <f>IF(OR(TH!L1275=TH!$V$7,M1275=TH!$V$7),"x","")</f>
        <v/>
      </c>
      <c r="W1275" s="51" t="str">
        <f>IF(AND(B1275&gt;='IN-NX'!$P$3,B1275&lt;='IN-NX'!$Q$3,'IN-NX'!$D$7=D1275,OR(LEFT(L1275,2)="15",AND(LEFT(M1275,2)&lt;&gt;"15",LEFT(M1275,2)&lt;&gt;"33"))),"x","")</f>
        <v/>
      </c>
      <c r="X1275" s="51" t="str">
        <f>IF(AND(OR(LEFT(TH!L1275,2)="15",LEFT(TH!M1275,2)="15"),'152-CT'!$J$8=TH!F1275),"x","")</f>
        <v/>
      </c>
      <c r="Y1275" s="51" t="str">
        <f>IF(AND(OR(LEFT(TH!L1275,2)="15",LEFT(TH!M1275,2)="15"),TK!$E$7=TH!F1275),"x","")</f>
        <v/>
      </c>
      <c r="Z1275" s="51" t="str">
        <f>IF(AND(B1275&lt;=NKC!$N$8,B1275&gt;=NKC!$M$8),"x","")</f>
        <v/>
      </c>
      <c r="AA1275" s="803"/>
      <c r="AB1275" s="565"/>
      <c r="AE1275" s="565"/>
    </row>
    <row r="1276" spans="1:31" ht="15.75" customHeight="1">
      <c r="A1276" s="804" t="str">
        <f>IF(B1276&lt;&gt;"",IF(AND(B1276&gt;=_TM1,B1276&lt;=_TM2,OR(TH!L1276="1111",TH!M1276="1111")),TH!D1276,""),"")</f>
        <v/>
      </c>
      <c r="B1276" s="36">
        <f t="shared" si="82"/>
        <v>12</v>
      </c>
      <c r="C1276" s="189">
        <f t="shared" si="83"/>
        <v>42349</v>
      </c>
      <c r="D1276" s="189" t="s">
        <v>1513</v>
      </c>
      <c r="E1276" s="189">
        <v>42349</v>
      </c>
      <c r="F1276" s="190" t="s">
        <v>915</v>
      </c>
      <c r="G1276" s="813" t="s">
        <v>622</v>
      </c>
      <c r="H1276" s="191" t="s">
        <v>448</v>
      </c>
      <c r="I1276" s="243">
        <v>125</v>
      </c>
      <c r="J1276" s="243">
        <v>7159</v>
      </c>
      <c r="K1276" s="573">
        <f t="shared" si="84"/>
        <v>894875</v>
      </c>
      <c r="L1276" s="574" t="s">
        <v>417</v>
      </c>
      <c r="M1276" s="574" t="s">
        <v>8</v>
      </c>
      <c r="N1276" s="51" t="str">
        <f>IF(AND('331-CT'!$E$7=TH!H1276,OR(L1276="331",M1276="331")),"331",IF(AND(OR(L1276="131",M1276="131"),H1276='131-CT'!$E$7),"131",""))</f>
        <v/>
      </c>
      <c r="O1276" s="51" t="str">
        <f>IF(AND($B1276&gt;='111'!$N$11,$B1276&lt;='111'!$O$11,OR($L1276=$O$7,$M1276=$O$7)),"x","")</f>
        <v/>
      </c>
      <c r="P1276" s="51" t="str">
        <f>IF(AND($L1276=$O$7,$B1276&lt;'111'!$N$11),"x","")</f>
        <v/>
      </c>
      <c r="Q1276" s="51" t="str">
        <f>IF(AND($M1276=$O$7,$B1276&lt;'111'!$N$11),"x","")</f>
        <v/>
      </c>
      <c r="R1276" s="51" t="str">
        <f>IF(ISERROR(FIND('112'!$M$9,G1276,1)),"",IF((AND(FIND('112'!$M$9,G1276,1)&gt;=1,$B1276&gt;='112'!$N$8,$B1276&lt;='112'!$O$8,OR($L1276='112'!$I$6,$M1276='112'!$I$6))),"x",""))</f>
        <v/>
      </c>
      <c r="S1276" s="51" t="str">
        <f>IF(ISERROR(FIND('112'!$M$9,G1276,1)),"",IF((AND(LEFT(G1276,2)=LEFT('112'!$M$9,2),B1276&lt;'112'!$N$8,$L1276='112'!$I$6)),"x",""))</f>
        <v/>
      </c>
      <c r="T1276" s="51" t="str">
        <f>IF(ISERROR(FIND('112'!$M$9,G1276,1)),"",IF((AND(RIGHT(G1276,2)=RIGHT('112'!$M$9,2),B1276&lt;'112'!$N$8,$M1276='112'!$I$6)),"x",""))</f>
        <v/>
      </c>
      <c r="U1276" s="51" t="str">
        <f>IF(AND(L1276="154",'154'!$O$5&lt;=B1276,'154'!$P$5&gt;=B1276),"154",IF(AND(L1276="632",'632'!$L$5&lt;=B1276,'632'!$M$5&gt;=B1276),"632",IF(AND(L1276="642",'642'!$N$5&lt;=B1276,'642'!$O$5&gt;=B1276),"642",IF(AND(L1276="641",'641'!$N$5&lt;=B1276,'641'!$O$5&gt;=B1276),"641",""))))</f>
        <v/>
      </c>
      <c r="V1276" s="51" t="str">
        <f>IF(OR(TH!L1276=TH!$V$7,M1276=TH!$V$7),"x","")</f>
        <v/>
      </c>
      <c r="W1276" s="51" t="str">
        <f>IF(AND(B1276&gt;='IN-NX'!$P$3,B1276&lt;='IN-NX'!$Q$3,'IN-NX'!$D$7=D1276,OR(LEFT(L1276,2)="15",AND(LEFT(M1276,2)&lt;&gt;"15",LEFT(M1276,2)&lt;&gt;"33"))),"x","")</f>
        <v/>
      </c>
      <c r="X1276" s="51" t="str">
        <f>IF(AND(OR(LEFT(TH!L1276,2)="15",LEFT(TH!M1276,2)="15"),'152-CT'!$J$8=TH!F1276),"x","")</f>
        <v/>
      </c>
      <c r="Y1276" s="51" t="str">
        <f>IF(AND(OR(LEFT(TH!L1276,2)="15",LEFT(TH!M1276,2)="15"),TK!$E$7=TH!F1276),"x","")</f>
        <v/>
      </c>
      <c r="Z1276" s="51" t="str">
        <f>IF(AND(B1276&lt;=NKC!$N$8,B1276&gt;=NKC!$M$8),"x","")</f>
        <v/>
      </c>
      <c r="AA1276" s="803"/>
      <c r="AB1276" s="565"/>
      <c r="AE1276" s="565"/>
    </row>
    <row r="1277" spans="1:31" ht="15.75" customHeight="1">
      <c r="A1277" s="804" t="str">
        <f>IF(B1277&lt;&gt;"",IF(AND(B1277&gt;=_TM1,B1277&lt;=_TM2,OR(TH!L1277="1111",TH!M1277="1111")),TH!D1277,""),"")</f>
        <v/>
      </c>
      <c r="B1277" s="36">
        <f t="shared" si="82"/>
        <v>12</v>
      </c>
      <c r="C1277" s="189">
        <f t="shared" si="83"/>
        <v>42349</v>
      </c>
      <c r="D1277" s="189" t="s">
        <v>1513</v>
      </c>
      <c r="E1277" s="189">
        <v>42349</v>
      </c>
      <c r="F1277" s="917" t="s">
        <v>916</v>
      </c>
      <c r="G1277" s="813" t="s">
        <v>622</v>
      </c>
      <c r="H1277" s="191" t="s">
        <v>448</v>
      </c>
      <c r="I1277" s="243">
        <v>72</v>
      </c>
      <c r="J1277" s="243">
        <v>7767</v>
      </c>
      <c r="K1277" s="573">
        <f t="shared" si="84"/>
        <v>559224</v>
      </c>
      <c r="L1277" s="574" t="s">
        <v>417</v>
      </c>
      <c r="M1277" s="574" t="s">
        <v>8</v>
      </c>
      <c r="N1277" s="51" t="str">
        <f>IF(AND('331-CT'!$E$7=TH!H1277,OR(L1277="331",M1277="331")),"331",IF(AND(OR(L1277="131",M1277="131"),H1277='131-CT'!$E$7),"131",""))</f>
        <v/>
      </c>
      <c r="O1277" s="51" t="str">
        <f>IF(AND($B1277&gt;='111'!$N$11,$B1277&lt;='111'!$O$11,OR($L1277=$O$7,$M1277=$O$7)),"x","")</f>
        <v/>
      </c>
      <c r="P1277" s="51" t="str">
        <f>IF(AND($L1277=$O$7,$B1277&lt;'111'!$N$11),"x","")</f>
        <v/>
      </c>
      <c r="Q1277" s="51" t="str">
        <f>IF(AND($M1277=$O$7,$B1277&lt;'111'!$N$11),"x","")</f>
        <v/>
      </c>
      <c r="R1277" s="51" t="str">
        <f>IF(ISERROR(FIND('112'!$M$9,G1277,1)),"",IF((AND(FIND('112'!$M$9,G1277,1)&gt;=1,$B1277&gt;='112'!$N$8,$B1277&lt;='112'!$O$8,OR($L1277='112'!$I$6,$M1277='112'!$I$6))),"x",""))</f>
        <v/>
      </c>
      <c r="S1277" s="51" t="str">
        <f>IF(ISERROR(FIND('112'!$M$9,G1277,1)),"",IF((AND(LEFT(G1277,2)=LEFT('112'!$M$9,2),B1277&lt;'112'!$N$8,$L1277='112'!$I$6)),"x",""))</f>
        <v/>
      </c>
      <c r="T1277" s="51" t="str">
        <f>IF(ISERROR(FIND('112'!$M$9,G1277,1)),"",IF((AND(RIGHT(G1277,2)=RIGHT('112'!$M$9,2),B1277&lt;'112'!$N$8,$M1277='112'!$I$6)),"x",""))</f>
        <v/>
      </c>
      <c r="U1277" s="51" t="str">
        <f>IF(AND(L1277="154",'154'!$O$5&lt;=B1277,'154'!$P$5&gt;=B1277),"154",IF(AND(L1277="632",'632'!$L$5&lt;=B1277,'632'!$M$5&gt;=B1277),"632",IF(AND(L1277="642",'642'!$N$5&lt;=B1277,'642'!$O$5&gt;=B1277),"642",IF(AND(L1277="641",'641'!$N$5&lt;=B1277,'641'!$O$5&gt;=B1277),"641",""))))</f>
        <v/>
      </c>
      <c r="V1277" s="51" t="str">
        <f>IF(OR(TH!L1277=TH!$V$7,M1277=TH!$V$7),"x","")</f>
        <v/>
      </c>
      <c r="W1277" s="51" t="str">
        <f>IF(AND(B1277&gt;='IN-NX'!$P$3,B1277&lt;='IN-NX'!$Q$3,'IN-NX'!$D$7=D1277,OR(LEFT(L1277,2)="15",AND(LEFT(M1277,2)&lt;&gt;"15",LEFT(M1277,2)&lt;&gt;"33"))),"x","")</f>
        <v/>
      </c>
      <c r="X1277" s="51" t="str">
        <f>IF(AND(OR(LEFT(TH!L1277,2)="15",LEFT(TH!M1277,2)="15"),'152-CT'!$J$8=TH!F1277),"x","")</f>
        <v/>
      </c>
      <c r="Y1277" s="51" t="str">
        <f>IF(AND(OR(LEFT(TH!L1277,2)="15",LEFT(TH!M1277,2)="15"),TK!$E$7=TH!F1277),"x","")</f>
        <v/>
      </c>
      <c r="Z1277" s="51" t="str">
        <f>IF(AND(B1277&lt;=NKC!$N$8,B1277&gt;=NKC!$M$8),"x","")</f>
        <v/>
      </c>
      <c r="AA1277" s="803"/>
      <c r="AB1277" s="565"/>
      <c r="AE1277" s="565"/>
    </row>
    <row r="1278" spans="1:31" ht="15.75" customHeight="1">
      <c r="A1278" s="804" t="str">
        <f>IF(B1278&lt;&gt;"",IF(AND(B1278&gt;=_TM1,B1278&lt;=_TM2,OR(TH!L1278="1111",TH!M1278="1111")),TH!D1278,""),"")</f>
        <v/>
      </c>
      <c r="B1278" s="36">
        <f t="shared" si="82"/>
        <v>12</v>
      </c>
      <c r="C1278" s="189">
        <f t="shared" si="83"/>
        <v>42349</v>
      </c>
      <c r="D1278" s="189" t="s">
        <v>1514</v>
      </c>
      <c r="E1278" s="189">
        <v>42349</v>
      </c>
      <c r="F1278" s="190" t="s">
        <v>917</v>
      </c>
      <c r="G1278" s="813" t="s">
        <v>622</v>
      </c>
      <c r="H1278" s="191" t="s">
        <v>448</v>
      </c>
      <c r="I1278" s="243">
        <v>72</v>
      </c>
      <c r="J1278" s="243">
        <v>7227</v>
      </c>
      <c r="K1278" s="573">
        <f t="shared" si="84"/>
        <v>520344</v>
      </c>
      <c r="L1278" s="574" t="s">
        <v>417</v>
      </c>
      <c r="M1278" s="574" t="s">
        <v>8</v>
      </c>
      <c r="N1278" s="51" t="str">
        <f>IF(AND('331-CT'!$E$7=TH!H1278,OR(L1278="331",M1278="331")),"331",IF(AND(OR(L1278="131",M1278="131"),H1278='131-CT'!$E$7),"131",""))</f>
        <v/>
      </c>
      <c r="O1278" s="51" t="str">
        <f>IF(AND($B1278&gt;='111'!$N$11,$B1278&lt;='111'!$O$11,OR($L1278=$O$7,$M1278=$O$7)),"x","")</f>
        <v/>
      </c>
      <c r="P1278" s="51" t="str">
        <f>IF(AND($L1278=$O$7,$B1278&lt;'111'!$N$11),"x","")</f>
        <v/>
      </c>
      <c r="Q1278" s="51" t="str">
        <f>IF(AND($M1278=$O$7,$B1278&lt;'111'!$N$11),"x","")</f>
        <v/>
      </c>
      <c r="R1278" s="51" t="str">
        <f>IF(ISERROR(FIND('112'!$M$9,G1278,1)),"",IF((AND(FIND('112'!$M$9,G1278,1)&gt;=1,$B1278&gt;='112'!$N$8,$B1278&lt;='112'!$O$8,OR($L1278='112'!$I$6,$M1278='112'!$I$6))),"x",""))</f>
        <v/>
      </c>
      <c r="S1278" s="51" t="str">
        <f>IF(ISERROR(FIND('112'!$M$9,G1278,1)),"",IF((AND(LEFT(G1278,2)=LEFT('112'!$M$9,2),B1278&lt;'112'!$N$8,$L1278='112'!$I$6)),"x",""))</f>
        <v/>
      </c>
      <c r="T1278" s="51" t="str">
        <f>IF(ISERROR(FIND('112'!$M$9,G1278,1)),"",IF((AND(RIGHT(G1278,2)=RIGHT('112'!$M$9,2),B1278&lt;'112'!$N$8,$M1278='112'!$I$6)),"x",""))</f>
        <v/>
      </c>
      <c r="U1278" s="51" t="str">
        <f>IF(AND(L1278="154",'154'!$O$5&lt;=B1278,'154'!$P$5&gt;=B1278),"154",IF(AND(L1278="632",'632'!$L$5&lt;=B1278,'632'!$M$5&gt;=B1278),"632",IF(AND(L1278="642",'642'!$N$5&lt;=B1278,'642'!$O$5&gt;=B1278),"642",IF(AND(L1278="641",'641'!$N$5&lt;=B1278,'641'!$O$5&gt;=B1278),"641",""))))</f>
        <v/>
      </c>
      <c r="V1278" s="51" t="str">
        <f>IF(OR(TH!L1278=TH!$V$7,M1278=TH!$V$7),"x","")</f>
        <v/>
      </c>
      <c r="W1278" s="51" t="str">
        <f>IF(AND(B1278&gt;='IN-NX'!$P$3,B1278&lt;='IN-NX'!$Q$3,'IN-NX'!$D$7=D1278,OR(LEFT(L1278,2)="15",AND(LEFT(M1278,2)&lt;&gt;"15",LEFT(M1278,2)&lt;&gt;"33"))),"x","")</f>
        <v/>
      </c>
      <c r="X1278" s="51" t="str">
        <f>IF(AND(OR(LEFT(TH!L1278,2)="15",LEFT(TH!M1278,2)="15"),'152-CT'!$J$8=TH!F1278),"x","")</f>
        <v/>
      </c>
      <c r="Y1278" s="51" t="str">
        <f>IF(AND(OR(LEFT(TH!L1278,2)="15",LEFT(TH!M1278,2)="15"),TK!$E$7=TH!F1278),"x","")</f>
        <v/>
      </c>
      <c r="Z1278" s="51" t="str">
        <f>IF(AND(B1278&lt;=NKC!$N$8,B1278&gt;=NKC!$M$8),"x","")</f>
        <v/>
      </c>
      <c r="AA1278" s="803"/>
      <c r="AB1278" s="565"/>
      <c r="AE1278" s="565"/>
    </row>
    <row r="1279" spans="1:31" ht="15.75" customHeight="1">
      <c r="A1279" s="804" t="str">
        <f>IF(B1279&lt;&gt;"",IF(AND(B1279&gt;=_TM1,B1279&lt;=_TM2,OR(TH!L1279="1111",TH!M1279="1111")),TH!D1279,""),"")</f>
        <v/>
      </c>
      <c r="B1279" s="36">
        <f t="shared" si="82"/>
        <v>12</v>
      </c>
      <c r="C1279" s="189">
        <f t="shared" si="83"/>
        <v>42349</v>
      </c>
      <c r="D1279" s="189" t="s">
        <v>1514</v>
      </c>
      <c r="E1279" s="189">
        <v>42349</v>
      </c>
      <c r="F1279" s="190" t="s">
        <v>918</v>
      </c>
      <c r="G1279" s="813" t="s">
        <v>622</v>
      </c>
      <c r="H1279" s="191" t="s">
        <v>448</v>
      </c>
      <c r="I1279" s="243">
        <v>90</v>
      </c>
      <c r="J1279" s="243">
        <v>8369</v>
      </c>
      <c r="K1279" s="573">
        <f t="shared" si="84"/>
        <v>753210</v>
      </c>
      <c r="L1279" s="574" t="s">
        <v>417</v>
      </c>
      <c r="M1279" s="574" t="s">
        <v>8</v>
      </c>
      <c r="N1279" s="51" t="str">
        <f>IF(AND('331-CT'!$E$7=TH!H1279,OR(L1279="331",M1279="331")),"331",IF(AND(OR(L1279="131",M1279="131"),H1279='131-CT'!$E$7),"131",""))</f>
        <v/>
      </c>
      <c r="O1279" s="51" t="str">
        <f>IF(AND($B1279&gt;='111'!$N$11,$B1279&lt;='111'!$O$11,OR($L1279=$O$7,$M1279=$O$7)),"x","")</f>
        <v/>
      </c>
      <c r="P1279" s="51" t="str">
        <f>IF(AND($L1279=$O$7,$B1279&lt;'111'!$N$11),"x","")</f>
        <v/>
      </c>
      <c r="Q1279" s="51" t="str">
        <f>IF(AND($M1279=$O$7,$B1279&lt;'111'!$N$11),"x","")</f>
        <v/>
      </c>
      <c r="R1279" s="51" t="str">
        <f>IF(ISERROR(FIND('112'!$M$9,G1279,1)),"",IF((AND(FIND('112'!$M$9,G1279,1)&gt;=1,$B1279&gt;='112'!$N$8,$B1279&lt;='112'!$O$8,OR($L1279='112'!$I$6,$M1279='112'!$I$6))),"x",""))</f>
        <v/>
      </c>
      <c r="S1279" s="51" t="str">
        <f>IF(ISERROR(FIND('112'!$M$9,G1279,1)),"",IF((AND(LEFT(G1279,2)=LEFT('112'!$M$9,2),B1279&lt;'112'!$N$8,$L1279='112'!$I$6)),"x",""))</f>
        <v/>
      </c>
      <c r="T1279" s="51" t="str">
        <f>IF(ISERROR(FIND('112'!$M$9,G1279,1)),"",IF((AND(RIGHT(G1279,2)=RIGHT('112'!$M$9,2),B1279&lt;'112'!$N$8,$M1279='112'!$I$6)),"x",""))</f>
        <v/>
      </c>
      <c r="U1279" s="51" t="str">
        <f>IF(AND(L1279="154",'154'!$O$5&lt;=B1279,'154'!$P$5&gt;=B1279),"154",IF(AND(L1279="632",'632'!$L$5&lt;=B1279,'632'!$M$5&gt;=B1279),"632",IF(AND(L1279="642",'642'!$N$5&lt;=B1279,'642'!$O$5&gt;=B1279),"642",IF(AND(L1279="641",'641'!$N$5&lt;=B1279,'641'!$O$5&gt;=B1279),"641",""))))</f>
        <v/>
      </c>
      <c r="V1279" s="51" t="str">
        <f>IF(OR(TH!L1279=TH!$V$7,M1279=TH!$V$7),"x","")</f>
        <v/>
      </c>
      <c r="W1279" s="51" t="str">
        <f>IF(AND(B1279&gt;='IN-NX'!$P$3,B1279&lt;='IN-NX'!$Q$3,'IN-NX'!$D$7=D1279,OR(LEFT(L1279,2)="15",AND(LEFT(M1279,2)&lt;&gt;"15",LEFT(M1279,2)&lt;&gt;"33"))),"x","")</f>
        <v/>
      </c>
      <c r="X1279" s="51" t="str">
        <f>IF(AND(OR(LEFT(TH!L1279,2)="15",LEFT(TH!M1279,2)="15"),'152-CT'!$J$8=TH!F1279),"x","")</f>
        <v/>
      </c>
      <c r="Y1279" s="51" t="str">
        <f>IF(AND(OR(LEFT(TH!L1279,2)="15",LEFT(TH!M1279,2)="15"),TK!$E$7=TH!F1279),"x","")</f>
        <v/>
      </c>
      <c r="Z1279" s="51" t="str">
        <f>IF(AND(B1279&lt;=NKC!$N$8,B1279&gt;=NKC!$M$8),"x","")</f>
        <v/>
      </c>
      <c r="AA1279" s="803"/>
      <c r="AB1279" s="565"/>
      <c r="AE1279" s="565"/>
    </row>
    <row r="1280" spans="1:31" ht="15.75" customHeight="1">
      <c r="A1280" s="804" t="str">
        <f>IF(B1280&lt;&gt;"",IF(AND(B1280&gt;=_TM1,B1280&lt;=_TM2,OR(TH!L1280="1111",TH!M1280="1111")),TH!D1280,""),"")</f>
        <v/>
      </c>
      <c r="B1280" s="36">
        <f t="shared" si="82"/>
        <v>12</v>
      </c>
      <c r="C1280" s="189">
        <f t="shared" si="83"/>
        <v>42349</v>
      </c>
      <c r="D1280" s="189" t="s">
        <v>1514</v>
      </c>
      <c r="E1280" s="189">
        <v>42349</v>
      </c>
      <c r="F1280" s="190" t="s">
        <v>919</v>
      </c>
      <c r="G1280" s="813" t="s">
        <v>622</v>
      </c>
      <c r="H1280" s="191" t="s">
        <v>448</v>
      </c>
      <c r="I1280" s="243">
        <v>66</v>
      </c>
      <c r="J1280" s="243">
        <v>8810</v>
      </c>
      <c r="K1280" s="573">
        <f t="shared" si="84"/>
        <v>581460</v>
      </c>
      <c r="L1280" s="574" t="s">
        <v>417</v>
      </c>
      <c r="M1280" s="574" t="s">
        <v>8</v>
      </c>
      <c r="N1280" s="51" t="str">
        <f>IF(AND('331-CT'!$E$7=TH!H1280,OR(L1280="331",M1280="331")),"331",IF(AND(OR(L1280="131",M1280="131"),H1280='131-CT'!$E$7),"131",""))</f>
        <v/>
      </c>
      <c r="O1280" s="51" t="str">
        <f>IF(AND($B1280&gt;='111'!$N$11,$B1280&lt;='111'!$O$11,OR($L1280=$O$7,$M1280=$O$7)),"x","")</f>
        <v/>
      </c>
      <c r="P1280" s="51" t="str">
        <f>IF(AND($L1280=$O$7,$B1280&lt;'111'!$N$11),"x","")</f>
        <v/>
      </c>
      <c r="Q1280" s="51" t="str">
        <f>IF(AND($M1280=$O$7,$B1280&lt;'111'!$N$11),"x","")</f>
        <v/>
      </c>
      <c r="R1280" s="51" t="str">
        <f>IF(ISERROR(FIND('112'!$M$9,G1280,1)),"",IF((AND(FIND('112'!$M$9,G1280,1)&gt;=1,$B1280&gt;='112'!$N$8,$B1280&lt;='112'!$O$8,OR($L1280='112'!$I$6,$M1280='112'!$I$6))),"x",""))</f>
        <v/>
      </c>
      <c r="S1280" s="51" t="str">
        <f>IF(ISERROR(FIND('112'!$M$9,G1280,1)),"",IF((AND(LEFT(G1280,2)=LEFT('112'!$M$9,2),B1280&lt;'112'!$N$8,$L1280='112'!$I$6)),"x",""))</f>
        <v/>
      </c>
      <c r="T1280" s="51" t="str">
        <f>IF(ISERROR(FIND('112'!$M$9,G1280,1)),"",IF((AND(RIGHT(G1280,2)=RIGHT('112'!$M$9,2),B1280&lt;'112'!$N$8,$M1280='112'!$I$6)),"x",""))</f>
        <v/>
      </c>
      <c r="U1280" s="51" t="str">
        <f>IF(AND(L1280="154",'154'!$O$5&lt;=B1280,'154'!$P$5&gt;=B1280),"154",IF(AND(L1280="632",'632'!$L$5&lt;=B1280,'632'!$M$5&gt;=B1280),"632",IF(AND(L1280="642",'642'!$N$5&lt;=B1280,'642'!$O$5&gt;=B1280),"642",IF(AND(L1280="641",'641'!$N$5&lt;=B1280,'641'!$O$5&gt;=B1280),"641",""))))</f>
        <v/>
      </c>
      <c r="V1280" s="51" t="str">
        <f>IF(OR(TH!L1280=TH!$V$7,M1280=TH!$V$7),"x","")</f>
        <v/>
      </c>
      <c r="W1280" s="51" t="str">
        <f>IF(AND(B1280&gt;='IN-NX'!$P$3,B1280&lt;='IN-NX'!$Q$3,'IN-NX'!$D$7=D1280,OR(LEFT(L1280,2)="15",AND(LEFT(M1280,2)&lt;&gt;"15",LEFT(M1280,2)&lt;&gt;"33"))),"x","")</f>
        <v/>
      </c>
      <c r="X1280" s="51" t="str">
        <f>IF(AND(OR(LEFT(TH!L1280,2)="15",LEFT(TH!M1280,2)="15"),'152-CT'!$J$8=TH!F1280),"x","")</f>
        <v/>
      </c>
      <c r="Y1280" s="51" t="str">
        <f>IF(AND(OR(LEFT(TH!L1280,2)="15",LEFT(TH!M1280,2)="15"),TK!$E$7=TH!F1280),"x","")</f>
        <v/>
      </c>
      <c r="Z1280" s="51" t="str">
        <f>IF(AND(B1280&lt;=NKC!$N$8,B1280&gt;=NKC!$M$8),"x","")</f>
        <v/>
      </c>
      <c r="AA1280" s="803"/>
      <c r="AB1280" s="565"/>
      <c r="AE1280" s="565"/>
    </row>
    <row r="1281" spans="1:31" ht="15.75" customHeight="1">
      <c r="A1281" s="804" t="str">
        <f>IF(B1281&lt;&gt;"",IF(AND(B1281&gt;=_TM1,B1281&lt;=_TM2,OR(TH!L1281="1111",TH!M1281="1111")),TH!D1281,""),"")</f>
        <v/>
      </c>
      <c r="B1281" s="36">
        <f t="shared" si="82"/>
        <v>12</v>
      </c>
      <c r="C1281" s="189">
        <f t="shared" si="83"/>
        <v>42349</v>
      </c>
      <c r="D1281" s="189" t="s">
        <v>1514</v>
      </c>
      <c r="E1281" s="189">
        <v>42349</v>
      </c>
      <c r="F1281" s="926" t="s">
        <v>920</v>
      </c>
      <c r="G1281" s="813" t="s">
        <v>622</v>
      </c>
      <c r="H1281" s="191" t="s">
        <v>448</v>
      </c>
      <c r="I1281" s="243">
        <v>35</v>
      </c>
      <c r="J1281" s="243">
        <v>16298</v>
      </c>
      <c r="K1281" s="573">
        <f t="shared" si="84"/>
        <v>570430</v>
      </c>
      <c r="L1281" s="574" t="s">
        <v>417</v>
      </c>
      <c r="M1281" s="574" t="s">
        <v>8</v>
      </c>
      <c r="N1281" s="51" t="str">
        <f>IF(AND('331-CT'!$E$7=TH!H1281,OR(L1281="331",M1281="331")),"331",IF(AND(OR(L1281="131",M1281="131"),H1281='131-CT'!$E$7),"131",""))</f>
        <v/>
      </c>
      <c r="O1281" s="51" t="str">
        <f>IF(AND($B1281&gt;='111'!$N$11,$B1281&lt;='111'!$O$11,OR($L1281=$O$7,$M1281=$O$7)),"x","")</f>
        <v/>
      </c>
      <c r="P1281" s="51" t="str">
        <f>IF(AND($L1281=$O$7,$B1281&lt;'111'!$N$11),"x","")</f>
        <v/>
      </c>
      <c r="Q1281" s="51" t="str">
        <f>IF(AND($M1281=$O$7,$B1281&lt;'111'!$N$11),"x","")</f>
        <v/>
      </c>
      <c r="R1281" s="51" t="str">
        <f>IF(ISERROR(FIND('112'!$M$9,G1281,1)),"",IF((AND(FIND('112'!$M$9,G1281,1)&gt;=1,$B1281&gt;='112'!$N$8,$B1281&lt;='112'!$O$8,OR($L1281='112'!$I$6,$M1281='112'!$I$6))),"x",""))</f>
        <v/>
      </c>
      <c r="S1281" s="51" t="str">
        <f>IF(ISERROR(FIND('112'!$M$9,G1281,1)),"",IF((AND(LEFT(G1281,2)=LEFT('112'!$M$9,2),B1281&lt;'112'!$N$8,$L1281='112'!$I$6)),"x",""))</f>
        <v/>
      </c>
      <c r="T1281" s="51" t="str">
        <f>IF(ISERROR(FIND('112'!$M$9,G1281,1)),"",IF((AND(RIGHT(G1281,2)=RIGHT('112'!$M$9,2),B1281&lt;'112'!$N$8,$M1281='112'!$I$6)),"x",""))</f>
        <v/>
      </c>
      <c r="U1281" s="51" t="str">
        <f>IF(AND(L1281="154",'154'!$O$5&lt;=B1281,'154'!$P$5&gt;=B1281),"154",IF(AND(L1281="632",'632'!$L$5&lt;=B1281,'632'!$M$5&gt;=B1281),"632",IF(AND(L1281="642",'642'!$N$5&lt;=B1281,'642'!$O$5&gt;=B1281),"642",IF(AND(L1281="641",'641'!$N$5&lt;=B1281,'641'!$O$5&gt;=B1281),"641",""))))</f>
        <v/>
      </c>
      <c r="V1281" s="51" t="str">
        <f>IF(OR(TH!L1281=TH!$V$7,M1281=TH!$V$7),"x","")</f>
        <v/>
      </c>
      <c r="W1281" s="51" t="str">
        <f>IF(AND(B1281&gt;='IN-NX'!$P$3,B1281&lt;='IN-NX'!$Q$3,'IN-NX'!$D$7=D1281,OR(LEFT(L1281,2)="15",AND(LEFT(M1281,2)&lt;&gt;"15",LEFT(M1281,2)&lt;&gt;"33"))),"x","")</f>
        <v/>
      </c>
      <c r="X1281" s="51" t="str">
        <f>IF(AND(OR(LEFT(TH!L1281,2)="15",LEFT(TH!M1281,2)="15"),'152-CT'!$J$8=TH!F1281),"x","")</f>
        <v/>
      </c>
      <c r="Y1281" s="51" t="str">
        <f>IF(AND(OR(LEFT(TH!L1281,2)="15",LEFT(TH!M1281,2)="15"),TK!$E$7=TH!F1281),"x","")</f>
        <v/>
      </c>
      <c r="Z1281" s="51" t="str">
        <f>IF(AND(B1281&lt;=NKC!$N$8,B1281&gt;=NKC!$M$8),"x","")</f>
        <v/>
      </c>
      <c r="AA1281" s="803"/>
      <c r="AB1281" s="565"/>
      <c r="AE1281" s="565"/>
    </row>
    <row r="1282" spans="1:31" ht="15.75" customHeight="1">
      <c r="A1282" s="804" t="str">
        <f>IF(B1282&lt;&gt;"",IF(AND(B1282&gt;=_TM1,B1282&lt;=_TM2,OR(TH!L1282="1111",TH!M1282="1111")),TH!D1282,""),"")</f>
        <v/>
      </c>
      <c r="B1282" s="36">
        <f t="shared" si="82"/>
        <v>12</v>
      </c>
      <c r="C1282" s="189">
        <f t="shared" si="83"/>
        <v>42349</v>
      </c>
      <c r="D1282" s="189" t="s">
        <v>1514</v>
      </c>
      <c r="E1282" s="189">
        <v>42349</v>
      </c>
      <c r="F1282" s="190" t="s">
        <v>921</v>
      </c>
      <c r="G1282" s="813" t="s">
        <v>622</v>
      </c>
      <c r="H1282" s="191" t="s">
        <v>448</v>
      </c>
      <c r="I1282" s="243">
        <v>64</v>
      </c>
      <c r="J1282" s="243">
        <v>12950</v>
      </c>
      <c r="K1282" s="573">
        <f t="shared" si="84"/>
        <v>828800</v>
      </c>
      <c r="L1282" s="574" t="s">
        <v>417</v>
      </c>
      <c r="M1282" s="574" t="s">
        <v>8</v>
      </c>
      <c r="N1282" s="51" t="str">
        <f>IF(AND('331-CT'!$E$7=TH!H1282,OR(L1282="331",M1282="331")),"331",IF(AND(OR(L1282="131",M1282="131"),H1282='131-CT'!$E$7),"131",""))</f>
        <v/>
      </c>
      <c r="O1282" s="51" t="str">
        <f>IF(AND($B1282&gt;='111'!$N$11,$B1282&lt;='111'!$O$11,OR($L1282=$O$7,$M1282=$O$7)),"x","")</f>
        <v/>
      </c>
      <c r="P1282" s="51" t="str">
        <f>IF(AND($L1282=$O$7,$B1282&lt;'111'!$N$11),"x","")</f>
        <v/>
      </c>
      <c r="Q1282" s="51" t="str">
        <f>IF(AND($M1282=$O$7,$B1282&lt;'111'!$N$11),"x","")</f>
        <v/>
      </c>
      <c r="R1282" s="51" t="str">
        <f>IF(ISERROR(FIND('112'!$M$9,G1282,1)),"",IF((AND(FIND('112'!$M$9,G1282,1)&gt;=1,$B1282&gt;='112'!$N$8,$B1282&lt;='112'!$O$8,OR($L1282='112'!$I$6,$M1282='112'!$I$6))),"x",""))</f>
        <v/>
      </c>
      <c r="S1282" s="51" t="str">
        <f>IF(ISERROR(FIND('112'!$M$9,G1282,1)),"",IF((AND(LEFT(G1282,2)=LEFT('112'!$M$9,2),B1282&lt;'112'!$N$8,$L1282='112'!$I$6)),"x",""))</f>
        <v/>
      </c>
      <c r="T1282" s="51" t="str">
        <f>IF(ISERROR(FIND('112'!$M$9,G1282,1)),"",IF((AND(RIGHT(G1282,2)=RIGHT('112'!$M$9,2),B1282&lt;'112'!$N$8,$M1282='112'!$I$6)),"x",""))</f>
        <v/>
      </c>
      <c r="U1282" s="51" t="str">
        <f>IF(AND(L1282="154",'154'!$O$5&lt;=B1282,'154'!$P$5&gt;=B1282),"154",IF(AND(L1282="632",'632'!$L$5&lt;=B1282,'632'!$M$5&gt;=B1282),"632",IF(AND(L1282="642",'642'!$N$5&lt;=B1282,'642'!$O$5&gt;=B1282),"642",IF(AND(L1282="641",'641'!$N$5&lt;=B1282,'641'!$O$5&gt;=B1282),"641",""))))</f>
        <v/>
      </c>
      <c r="V1282" s="51" t="str">
        <f>IF(OR(TH!L1282=TH!$V$7,M1282=TH!$V$7),"x","")</f>
        <v/>
      </c>
      <c r="W1282" s="51" t="str">
        <f>IF(AND(B1282&gt;='IN-NX'!$P$3,B1282&lt;='IN-NX'!$Q$3,'IN-NX'!$D$7=D1282,OR(LEFT(L1282,2)="15",AND(LEFT(M1282,2)&lt;&gt;"15",LEFT(M1282,2)&lt;&gt;"33"))),"x","")</f>
        <v/>
      </c>
      <c r="X1282" s="51" t="str">
        <f>IF(AND(OR(LEFT(TH!L1282,2)="15",LEFT(TH!M1282,2)="15"),'152-CT'!$J$8=TH!F1282),"x","")</f>
        <v/>
      </c>
      <c r="Y1282" s="51" t="str">
        <f>IF(AND(OR(LEFT(TH!L1282,2)="15",LEFT(TH!M1282,2)="15"),TK!$E$7=TH!F1282),"x","")</f>
        <v/>
      </c>
      <c r="Z1282" s="51" t="str">
        <f>IF(AND(B1282&lt;=NKC!$N$8,B1282&gt;=NKC!$M$8),"x","")</f>
        <v/>
      </c>
      <c r="AA1282" s="803"/>
      <c r="AB1282" s="565"/>
      <c r="AE1282" s="565"/>
    </row>
    <row r="1283" spans="1:31" ht="15.75" customHeight="1">
      <c r="A1283" s="804" t="str">
        <f>IF(B1283&lt;&gt;"",IF(AND(B1283&gt;=_TM1,B1283&lt;=_TM2,OR(TH!L1283="1111",TH!M1283="1111")),TH!D1283,""),"")</f>
        <v/>
      </c>
      <c r="B1283" s="36">
        <f t="shared" si="82"/>
        <v>12</v>
      </c>
      <c r="C1283" s="189">
        <f t="shared" si="83"/>
        <v>42349</v>
      </c>
      <c r="D1283" s="189" t="s">
        <v>1514</v>
      </c>
      <c r="E1283" s="189">
        <v>42349</v>
      </c>
      <c r="F1283" s="190" t="s">
        <v>922</v>
      </c>
      <c r="G1283" s="813" t="s">
        <v>622</v>
      </c>
      <c r="H1283" s="191" t="s">
        <v>448</v>
      </c>
      <c r="I1283" s="243">
        <v>48</v>
      </c>
      <c r="J1283" s="243">
        <v>11893</v>
      </c>
      <c r="K1283" s="573">
        <f t="shared" si="84"/>
        <v>570864</v>
      </c>
      <c r="L1283" s="574" t="s">
        <v>417</v>
      </c>
      <c r="M1283" s="574" t="s">
        <v>8</v>
      </c>
      <c r="N1283" s="51" t="str">
        <f>IF(AND('331-CT'!$E$7=TH!H1283,OR(L1283="331",M1283="331")),"331",IF(AND(OR(L1283="131",M1283="131"),H1283='131-CT'!$E$7),"131",""))</f>
        <v/>
      </c>
      <c r="O1283" s="51" t="str">
        <f>IF(AND($B1283&gt;='111'!$N$11,$B1283&lt;='111'!$O$11,OR($L1283=$O$7,$M1283=$O$7)),"x","")</f>
        <v/>
      </c>
      <c r="P1283" s="51" t="str">
        <f>IF(AND($L1283=$O$7,$B1283&lt;'111'!$N$11),"x","")</f>
        <v/>
      </c>
      <c r="Q1283" s="51" t="str">
        <f>IF(AND($M1283=$O$7,$B1283&lt;'111'!$N$11),"x","")</f>
        <v/>
      </c>
      <c r="R1283" s="51" t="str">
        <f>IF(ISERROR(FIND('112'!$M$9,G1283,1)),"",IF((AND(FIND('112'!$M$9,G1283,1)&gt;=1,$B1283&gt;='112'!$N$8,$B1283&lt;='112'!$O$8,OR($L1283='112'!$I$6,$M1283='112'!$I$6))),"x",""))</f>
        <v/>
      </c>
      <c r="S1283" s="51" t="str">
        <f>IF(ISERROR(FIND('112'!$M$9,G1283,1)),"",IF((AND(LEFT(G1283,2)=LEFT('112'!$M$9,2),B1283&lt;'112'!$N$8,$L1283='112'!$I$6)),"x",""))</f>
        <v/>
      </c>
      <c r="T1283" s="51" t="str">
        <f>IF(ISERROR(FIND('112'!$M$9,G1283,1)),"",IF((AND(RIGHT(G1283,2)=RIGHT('112'!$M$9,2),B1283&lt;'112'!$N$8,$M1283='112'!$I$6)),"x",""))</f>
        <v/>
      </c>
      <c r="U1283" s="51" t="str">
        <f>IF(AND(L1283="154",'154'!$O$5&lt;=B1283,'154'!$P$5&gt;=B1283),"154",IF(AND(L1283="632",'632'!$L$5&lt;=B1283,'632'!$M$5&gt;=B1283),"632",IF(AND(L1283="642",'642'!$N$5&lt;=B1283,'642'!$O$5&gt;=B1283),"642",IF(AND(L1283="641",'641'!$N$5&lt;=B1283,'641'!$O$5&gt;=B1283),"641",""))))</f>
        <v/>
      </c>
      <c r="V1283" s="51" t="str">
        <f>IF(OR(TH!L1283=TH!$V$7,M1283=TH!$V$7),"x","")</f>
        <v/>
      </c>
      <c r="W1283" s="51" t="str">
        <f>IF(AND(B1283&gt;='IN-NX'!$P$3,B1283&lt;='IN-NX'!$Q$3,'IN-NX'!$D$7=D1283,OR(LEFT(L1283,2)="15",AND(LEFT(M1283,2)&lt;&gt;"15",LEFT(M1283,2)&lt;&gt;"33"))),"x","")</f>
        <v/>
      </c>
      <c r="X1283" s="51" t="str">
        <f>IF(AND(OR(LEFT(TH!L1283,2)="15",LEFT(TH!M1283,2)="15"),'152-CT'!$J$8=TH!F1283),"x","")</f>
        <v/>
      </c>
      <c r="Y1283" s="51" t="str">
        <f>IF(AND(OR(LEFT(TH!L1283,2)="15",LEFT(TH!M1283,2)="15"),TK!$E$7=TH!F1283),"x","")</f>
        <v/>
      </c>
      <c r="Z1283" s="51" t="str">
        <f>IF(AND(B1283&lt;=NKC!$N$8,B1283&gt;=NKC!$M$8),"x","")</f>
        <v/>
      </c>
      <c r="AA1283" s="803"/>
      <c r="AB1283" s="565"/>
      <c r="AE1283" s="565"/>
    </row>
    <row r="1284" spans="1:31" ht="15.75" customHeight="1">
      <c r="A1284" s="804" t="str">
        <f>IF(B1284&lt;&gt;"",IF(AND(B1284&gt;=_TM1,B1284&lt;=_TM2,OR(TH!L1284="1111",TH!M1284="1111")),TH!D1284,""),"")</f>
        <v/>
      </c>
      <c r="B1284" s="36">
        <f t="shared" si="82"/>
        <v>12</v>
      </c>
      <c r="C1284" s="189">
        <f t="shared" si="83"/>
        <v>42349</v>
      </c>
      <c r="D1284" s="189" t="s">
        <v>1514</v>
      </c>
      <c r="E1284" s="189">
        <v>42349</v>
      </c>
      <c r="F1284" s="190" t="s">
        <v>923</v>
      </c>
      <c r="G1284" s="813" t="s">
        <v>622</v>
      </c>
      <c r="H1284" s="191" t="s">
        <v>448</v>
      </c>
      <c r="I1284" s="243">
        <v>14</v>
      </c>
      <c r="J1284" s="243">
        <v>11047</v>
      </c>
      <c r="K1284" s="573">
        <f t="shared" si="84"/>
        <v>154658</v>
      </c>
      <c r="L1284" s="574" t="s">
        <v>417</v>
      </c>
      <c r="M1284" s="574" t="s">
        <v>8</v>
      </c>
      <c r="N1284" s="51" t="str">
        <f>IF(AND('331-CT'!$E$7=TH!H1284,OR(L1284="331",M1284="331")),"331",IF(AND(OR(L1284="131",M1284="131"),H1284='131-CT'!$E$7),"131",""))</f>
        <v/>
      </c>
      <c r="O1284" s="51" t="str">
        <f>IF(AND($B1284&gt;='111'!$N$11,$B1284&lt;='111'!$O$11,OR($L1284=$O$7,$M1284=$O$7)),"x","")</f>
        <v/>
      </c>
      <c r="P1284" s="51" t="str">
        <f>IF(AND($L1284=$O$7,$B1284&lt;'111'!$N$11),"x","")</f>
        <v/>
      </c>
      <c r="Q1284" s="51" t="str">
        <f>IF(AND($M1284=$O$7,$B1284&lt;'111'!$N$11),"x","")</f>
        <v/>
      </c>
      <c r="R1284" s="51" t="str">
        <f>IF(ISERROR(FIND('112'!$M$9,G1284,1)),"",IF((AND(FIND('112'!$M$9,G1284,1)&gt;=1,$B1284&gt;='112'!$N$8,$B1284&lt;='112'!$O$8,OR($L1284='112'!$I$6,$M1284='112'!$I$6))),"x",""))</f>
        <v/>
      </c>
      <c r="S1284" s="51" t="str">
        <f>IF(ISERROR(FIND('112'!$M$9,G1284,1)),"",IF((AND(LEFT(G1284,2)=LEFT('112'!$M$9,2),B1284&lt;'112'!$N$8,$L1284='112'!$I$6)),"x",""))</f>
        <v/>
      </c>
      <c r="T1284" s="51" t="str">
        <f>IF(ISERROR(FIND('112'!$M$9,G1284,1)),"",IF((AND(RIGHT(G1284,2)=RIGHT('112'!$M$9,2),B1284&lt;'112'!$N$8,$M1284='112'!$I$6)),"x",""))</f>
        <v/>
      </c>
      <c r="U1284" s="51" t="str">
        <f>IF(AND(L1284="154",'154'!$O$5&lt;=B1284,'154'!$P$5&gt;=B1284),"154",IF(AND(L1284="632",'632'!$L$5&lt;=B1284,'632'!$M$5&gt;=B1284),"632",IF(AND(L1284="642",'642'!$N$5&lt;=B1284,'642'!$O$5&gt;=B1284),"642",IF(AND(L1284="641",'641'!$N$5&lt;=B1284,'641'!$O$5&gt;=B1284),"641",""))))</f>
        <v/>
      </c>
      <c r="V1284" s="51" t="str">
        <f>IF(OR(TH!L1284=TH!$V$7,M1284=TH!$V$7),"x","")</f>
        <v/>
      </c>
      <c r="W1284" s="51" t="str">
        <f>IF(AND(B1284&gt;='IN-NX'!$P$3,B1284&lt;='IN-NX'!$Q$3,'IN-NX'!$D$7=D1284,OR(LEFT(L1284,2)="15",AND(LEFT(M1284,2)&lt;&gt;"15",LEFT(M1284,2)&lt;&gt;"33"))),"x","")</f>
        <v/>
      </c>
      <c r="X1284" s="51" t="str">
        <f>IF(AND(OR(LEFT(TH!L1284,2)="15",LEFT(TH!M1284,2)="15"),'152-CT'!$J$8=TH!F1284),"x","")</f>
        <v/>
      </c>
      <c r="Y1284" s="51" t="str">
        <f>IF(AND(OR(LEFT(TH!L1284,2)="15",LEFT(TH!M1284,2)="15"),TK!$E$7=TH!F1284),"x","")</f>
        <v/>
      </c>
      <c r="Z1284" s="51" t="str">
        <f>IF(AND(B1284&lt;=NKC!$N$8,B1284&gt;=NKC!$M$8),"x","")</f>
        <v/>
      </c>
      <c r="AA1284" s="803"/>
      <c r="AB1284" s="565"/>
      <c r="AE1284" s="565"/>
    </row>
    <row r="1285" spans="1:31" ht="15.75" customHeight="1">
      <c r="A1285" s="804" t="str">
        <f>IF(B1285&lt;&gt;"",IF(AND(B1285&gt;=_TM1,B1285&lt;=_TM2,OR(TH!L1285="1111",TH!M1285="1111")),TH!D1285,""),"")</f>
        <v/>
      </c>
      <c r="B1285" s="36">
        <f t="shared" si="82"/>
        <v>12</v>
      </c>
      <c r="C1285" s="189">
        <f t="shared" si="83"/>
        <v>42349</v>
      </c>
      <c r="D1285" s="189" t="s">
        <v>1514</v>
      </c>
      <c r="E1285" s="189">
        <v>42349</v>
      </c>
      <c r="F1285" s="190" t="s">
        <v>1237</v>
      </c>
      <c r="G1285" s="813" t="s">
        <v>622</v>
      </c>
      <c r="H1285" s="191" t="s">
        <v>448</v>
      </c>
      <c r="I1285" s="243">
        <v>330</v>
      </c>
      <c r="J1285" s="243">
        <v>8552</v>
      </c>
      <c r="K1285" s="573">
        <f t="shared" si="84"/>
        <v>2822160</v>
      </c>
      <c r="L1285" s="574" t="s">
        <v>417</v>
      </c>
      <c r="M1285" s="574" t="s">
        <v>8</v>
      </c>
      <c r="N1285" s="51" t="str">
        <f>IF(AND('331-CT'!$E$7=TH!H1285,OR(L1285="331",M1285="331")),"331",IF(AND(OR(L1285="131",M1285="131"),H1285='131-CT'!$E$7),"131",""))</f>
        <v/>
      </c>
      <c r="O1285" s="51" t="str">
        <f>IF(AND($B1285&gt;='111'!$N$11,$B1285&lt;='111'!$O$11,OR($L1285=$O$7,$M1285=$O$7)),"x","")</f>
        <v/>
      </c>
      <c r="P1285" s="51" t="str">
        <f>IF(AND($L1285=$O$7,$B1285&lt;'111'!$N$11),"x","")</f>
        <v/>
      </c>
      <c r="Q1285" s="51" t="str">
        <f>IF(AND($M1285=$O$7,$B1285&lt;'111'!$N$11),"x","")</f>
        <v/>
      </c>
      <c r="R1285" s="51" t="str">
        <f>IF(ISERROR(FIND('112'!$M$9,G1285,1)),"",IF((AND(FIND('112'!$M$9,G1285,1)&gt;=1,$B1285&gt;='112'!$N$8,$B1285&lt;='112'!$O$8,OR($L1285='112'!$I$6,$M1285='112'!$I$6))),"x",""))</f>
        <v/>
      </c>
      <c r="S1285" s="51" t="str">
        <f>IF(ISERROR(FIND('112'!$M$9,G1285,1)),"",IF((AND(LEFT(G1285,2)=LEFT('112'!$M$9,2),B1285&lt;'112'!$N$8,$L1285='112'!$I$6)),"x",""))</f>
        <v/>
      </c>
      <c r="T1285" s="51" t="str">
        <f>IF(ISERROR(FIND('112'!$M$9,G1285,1)),"",IF((AND(RIGHT(G1285,2)=RIGHT('112'!$M$9,2),B1285&lt;'112'!$N$8,$M1285='112'!$I$6)),"x",""))</f>
        <v/>
      </c>
      <c r="U1285" s="51" t="str">
        <f>IF(AND(L1285="154",'154'!$O$5&lt;=B1285,'154'!$P$5&gt;=B1285),"154",IF(AND(L1285="632",'632'!$L$5&lt;=B1285,'632'!$M$5&gt;=B1285),"632",IF(AND(L1285="642",'642'!$N$5&lt;=B1285,'642'!$O$5&gt;=B1285),"642",IF(AND(L1285="641",'641'!$N$5&lt;=B1285,'641'!$O$5&gt;=B1285),"641",""))))</f>
        <v/>
      </c>
      <c r="V1285" s="51" t="str">
        <f>IF(OR(TH!L1285=TH!$V$7,M1285=TH!$V$7),"x","")</f>
        <v/>
      </c>
      <c r="W1285" s="51" t="str">
        <f>IF(AND(B1285&gt;='IN-NX'!$P$3,B1285&lt;='IN-NX'!$Q$3,'IN-NX'!$D$7=D1285,OR(LEFT(L1285,2)="15",AND(LEFT(M1285,2)&lt;&gt;"15",LEFT(M1285,2)&lt;&gt;"33"))),"x","")</f>
        <v/>
      </c>
      <c r="X1285" s="51" t="str">
        <f>IF(AND(OR(LEFT(TH!L1285,2)="15",LEFT(TH!M1285,2)="15"),'152-CT'!$J$8=TH!F1285),"x","")</f>
        <v/>
      </c>
      <c r="Y1285" s="51" t="str">
        <f>IF(AND(OR(LEFT(TH!L1285,2)="15",LEFT(TH!M1285,2)="15"),TK!$E$7=TH!F1285),"x","")</f>
        <v/>
      </c>
      <c r="Z1285" s="51" t="str">
        <f>IF(AND(B1285&lt;=NKC!$N$8,B1285&gt;=NKC!$M$8),"x","")</f>
        <v/>
      </c>
      <c r="AA1285" s="803"/>
      <c r="AB1285" s="565"/>
    </row>
    <row r="1286" spans="1:31" ht="15.75" customHeight="1">
      <c r="A1286" s="804" t="str">
        <f>IF(B1286&lt;&gt;"",IF(AND(B1286&gt;=_TM1,B1286&lt;=_TM2,OR(TH!L1286="1111",TH!M1286="1111")),TH!D1286,""),"")</f>
        <v/>
      </c>
      <c r="B1286" s="36">
        <f t="shared" si="82"/>
        <v>12</v>
      </c>
      <c r="C1286" s="189">
        <f t="shared" si="83"/>
        <v>42349</v>
      </c>
      <c r="D1286" s="189" t="s">
        <v>1514</v>
      </c>
      <c r="E1286" s="189">
        <v>42349</v>
      </c>
      <c r="F1286" s="190" t="s">
        <v>712</v>
      </c>
      <c r="G1286" s="813" t="s">
        <v>622</v>
      </c>
      <c r="H1286" s="191" t="s">
        <v>448</v>
      </c>
      <c r="I1286" s="243">
        <v>75</v>
      </c>
      <c r="J1286" s="243">
        <v>22680</v>
      </c>
      <c r="K1286" s="573">
        <f t="shared" si="84"/>
        <v>1701000</v>
      </c>
      <c r="L1286" s="574" t="s">
        <v>417</v>
      </c>
      <c r="M1286" s="574" t="s">
        <v>8</v>
      </c>
      <c r="N1286" s="51" t="str">
        <f>IF(AND('331-CT'!$E$7=TH!H1286,OR(L1286="331",M1286="331")),"331",IF(AND(OR(L1286="131",M1286="131"),H1286='131-CT'!$E$7),"131",""))</f>
        <v/>
      </c>
      <c r="O1286" s="51" t="str">
        <f>IF(AND($B1286&gt;='111'!$N$11,$B1286&lt;='111'!$O$11,OR($L1286=$O$7,$M1286=$O$7)),"x","")</f>
        <v/>
      </c>
      <c r="P1286" s="51" t="str">
        <f>IF(AND($L1286=$O$7,$B1286&lt;'111'!$N$11),"x","")</f>
        <v/>
      </c>
      <c r="Q1286" s="51" t="str">
        <f>IF(AND($M1286=$O$7,$B1286&lt;'111'!$N$11),"x","")</f>
        <v/>
      </c>
      <c r="R1286" s="51" t="str">
        <f>IF(ISERROR(FIND('112'!$M$9,G1286,1)),"",IF((AND(FIND('112'!$M$9,G1286,1)&gt;=1,$B1286&gt;='112'!$N$8,$B1286&lt;='112'!$O$8,OR($L1286='112'!$I$6,$M1286='112'!$I$6))),"x",""))</f>
        <v/>
      </c>
      <c r="S1286" s="51" t="str">
        <f>IF(ISERROR(FIND('112'!$M$9,G1286,1)),"",IF((AND(LEFT(G1286,2)=LEFT('112'!$M$9,2),B1286&lt;'112'!$N$8,$L1286='112'!$I$6)),"x",""))</f>
        <v/>
      </c>
      <c r="T1286" s="51" t="str">
        <f>IF(ISERROR(FIND('112'!$M$9,G1286,1)),"",IF((AND(RIGHT(G1286,2)=RIGHT('112'!$M$9,2),B1286&lt;'112'!$N$8,$M1286='112'!$I$6)),"x",""))</f>
        <v/>
      </c>
      <c r="U1286" s="51" t="str">
        <f>IF(AND(L1286="154",'154'!$O$5&lt;=B1286,'154'!$P$5&gt;=B1286),"154",IF(AND(L1286="632",'632'!$L$5&lt;=B1286,'632'!$M$5&gt;=B1286),"632",IF(AND(L1286="642",'642'!$N$5&lt;=B1286,'642'!$O$5&gt;=B1286),"642",IF(AND(L1286="641",'641'!$N$5&lt;=B1286,'641'!$O$5&gt;=B1286),"641",""))))</f>
        <v/>
      </c>
      <c r="V1286" s="51" t="str">
        <f>IF(OR(TH!L1286=TH!$V$7,M1286=TH!$V$7),"x","")</f>
        <v/>
      </c>
      <c r="W1286" s="51" t="str">
        <f>IF(AND(B1286&gt;='IN-NX'!$P$3,B1286&lt;='IN-NX'!$Q$3,'IN-NX'!$D$7=D1286,OR(LEFT(L1286,2)="15",AND(LEFT(M1286,2)&lt;&gt;"15",LEFT(M1286,2)&lt;&gt;"33"))),"x","")</f>
        <v/>
      </c>
      <c r="X1286" s="51" t="str">
        <f>IF(AND(OR(LEFT(TH!L1286,2)="15",LEFT(TH!M1286,2)="15"),'152-CT'!$J$8=TH!F1286),"x","")</f>
        <v/>
      </c>
      <c r="Y1286" s="51" t="str">
        <f>IF(AND(OR(LEFT(TH!L1286,2)="15",LEFT(TH!M1286,2)="15"),TK!$E$7=TH!F1286),"x","")</f>
        <v/>
      </c>
      <c r="Z1286" s="51" t="str">
        <f>IF(AND(B1286&lt;=NKC!$N$8,B1286&gt;=NKC!$M$8),"x","")</f>
        <v/>
      </c>
      <c r="AA1286" s="803"/>
      <c r="AB1286" s="565"/>
    </row>
    <row r="1287" spans="1:31" ht="15.75" customHeight="1">
      <c r="A1287" s="804" t="str">
        <f>IF(B1287&lt;&gt;"",IF(AND(B1287&gt;=_TM1,B1287&lt;=_TM2,OR(TH!L1287="1111",TH!M1287="1111")),TH!D1287,""),"")</f>
        <v/>
      </c>
      <c r="B1287" s="36">
        <f t="shared" si="82"/>
        <v>12</v>
      </c>
      <c r="C1287" s="189">
        <f t="shared" si="83"/>
        <v>42349</v>
      </c>
      <c r="D1287" s="189" t="s">
        <v>1514</v>
      </c>
      <c r="E1287" s="189">
        <v>42349</v>
      </c>
      <c r="F1287" s="926" t="s">
        <v>1206</v>
      </c>
      <c r="G1287" s="813" t="s">
        <v>622</v>
      </c>
      <c r="H1287" s="191" t="s">
        <v>448</v>
      </c>
      <c r="I1287" s="243">
        <v>150</v>
      </c>
      <c r="J1287" s="243">
        <v>9395</v>
      </c>
      <c r="K1287" s="573">
        <f t="shared" si="84"/>
        <v>1409250</v>
      </c>
      <c r="L1287" s="574" t="s">
        <v>417</v>
      </c>
      <c r="M1287" s="574" t="s">
        <v>8</v>
      </c>
      <c r="N1287" s="51" t="str">
        <f>IF(AND('331-CT'!$E$7=TH!H1287,OR(L1287="331",M1287="331")),"331",IF(AND(OR(L1287="131",M1287="131"),H1287='131-CT'!$E$7),"131",""))</f>
        <v/>
      </c>
      <c r="O1287" s="51" t="str">
        <f>IF(AND($B1287&gt;='111'!$N$11,$B1287&lt;='111'!$O$11,OR($L1287=$O$7,$M1287=$O$7)),"x","")</f>
        <v/>
      </c>
      <c r="P1287" s="51" t="str">
        <f>IF(AND($L1287=$O$7,$B1287&lt;'111'!$N$11),"x","")</f>
        <v/>
      </c>
      <c r="Q1287" s="51" t="str">
        <f>IF(AND($M1287=$O$7,$B1287&lt;'111'!$N$11),"x","")</f>
        <v/>
      </c>
      <c r="R1287" s="51" t="str">
        <f>IF(ISERROR(FIND('112'!$M$9,G1287,1)),"",IF((AND(FIND('112'!$M$9,G1287,1)&gt;=1,$B1287&gt;='112'!$N$8,$B1287&lt;='112'!$O$8,OR($L1287='112'!$I$6,$M1287='112'!$I$6))),"x",""))</f>
        <v/>
      </c>
      <c r="S1287" s="51" t="str">
        <f>IF(ISERROR(FIND('112'!$M$9,G1287,1)),"",IF((AND(LEFT(G1287,2)=LEFT('112'!$M$9,2),B1287&lt;'112'!$N$8,$L1287='112'!$I$6)),"x",""))</f>
        <v/>
      </c>
      <c r="T1287" s="51" t="str">
        <f>IF(ISERROR(FIND('112'!$M$9,G1287,1)),"",IF((AND(RIGHT(G1287,2)=RIGHT('112'!$M$9,2),B1287&lt;'112'!$N$8,$M1287='112'!$I$6)),"x",""))</f>
        <v/>
      </c>
      <c r="U1287" s="51" t="str">
        <f>IF(AND(L1287="154",'154'!$O$5&lt;=B1287,'154'!$P$5&gt;=B1287),"154",IF(AND(L1287="632",'632'!$L$5&lt;=B1287,'632'!$M$5&gt;=B1287),"632",IF(AND(L1287="642",'642'!$N$5&lt;=B1287,'642'!$O$5&gt;=B1287),"642",IF(AND(L1287="641",'641'!$N$5&lt;=B1287,'641'!$O$5&gt;=B1287),"641",""))))</f>
        <v/>
      </c>
      <c r="V1287" s="51" t="str">
        <f>IF(OR(TH!L1287=TH!$V$7,M1287=TH!$V$7),"x","")</f>
        <v/>
      </c>
      <c r="W1287" s="51" t="str">
        <f>IF(AND(B1287&gt;='IN-NX'!$P$3,B1287&lt;='IN-NX'!$Q$3,'IN-NX'!$D$7=D1287,OR(LEFT(L1287,2)="15",AND(LEFT(M1287,2)&lt;&gt;"15",LEFT(M1287,2)&lt;&gt;"33"))),"x","")</f>
        <v/>
      </c>
      <c r="X1287" s="51" t="str">
        <f>IF(AND(OR(LEFT(TH!L1287,2)="15",LEFT(TH!M1287,2)="15"),'152-CT'!$J$8=TH!F1287),"x","")</f>
        <v/>
      </c>
      <c r="Y1287" s="51" t="str">
        <f>IF(AND(OR(LEFT(TH!L1287,2)="15",LEFT(TH!M1287,2)="15"),TK!$E$7=TH!F1287),"x","")</f>
        <v/>
      </c>
      <c r="Z1287" s="51" t="str">
        <f>IF(AND(B1287&lt;=NKC!$N$8,B1287&gt;=NKC!$M$8),"x","")</f>
        <v/>
      </c>
      <c r="AA1287" s="803"/>
      <c r="AB1287" s="565"/>
    </row>
    <row r="1288" spans="1:31" ht="15.75" customHeight="1">
      <c r="A1288" s="804" t="str">
        <f>IF(B1288&lt;&gt;"",IF(AND(B1288&gt;=_TM1,B1288&lt;=_TM2,OR(TH!L1288="1111",TH!M1288="1111")),TH!D1288,""),"")</f>
        <v/>
      </c>
      <c r="B1288" s="36">
        <f t="shared" si="82"/>
        <v>12</v>
      </c>
      <c r="C1288" s="189">
        <f t="shared" si="83"/>
        <v>42349</v>
      </c>
      <c r="D1288" s="189" t="s">
        <v>1514</v>
      </c>
      <c r="E1288" s="189">
        <v>42349</v>
      </c>
      <c r="F1288" s="926" t="s">
        <v>496</v>
      </c>
      <c r="G1288" s="813" t="s">
        <v>941</v>
      </c>
      <c r="H1288" s="191" t="s">
        <v>448</v>
      </c>
      <c r="I1288" s="243"/>
      <c r="J1288" s="243"/>
      <c r="K1288" s="573">
        <v>2670216</v>
      </c>
      <c r="L1288" s="574" t="s">
        <v>9</v>
      </c>
      <c r="M1288" s="574" t="s">
        <v>8</v>
      </c>
      <c r="N1288" s="51" t="str">
        <f>IF(AND('331-CT'!$E$7=TH!H1288,OR(L1288="331",M1288="331")),"331",IF(AND(OR(L1288="131",M1288="131"),H1288='131-CT'!$E$7),"131",""))</f>
        <v/>
      </c>
      <c r="O1288" s="51" t="str">
        <f>IF(AND($B1288&gt;='111'!$N$11,$B1288&lt;='111'!$O$11,OR($L1288=$O$7,$M1288=$O$7)),"x","")</f>
        <v/>
      </c>
      <c r="P1288" s="51" t="str">
        <f>IF(AND($L1288=$O$7,$B1288&lt;'111'!$N$11),"x","")</f>
        <v/>
      </c>
      <c r="Q1288" s="51" t="str">
        <f>IF(AND($M1288=$O$7,$B1288&lt;'111'!$N$11),"x","")</f>
        <v/>
      </c>
      <c r="R1288" s="51" t="str">
        <f>IF(ISERROR(FIND('112'!$M$9,G1288,1)),"",IF((AND(FIND('112'!$M$9,G1288,1)&gt;=1,$B1288&gt;='112'!$N$8,$B1288&lt;='112'!$O$8,OR($L1288='112'!$I$6,$M1288='112'!$I$6))),"x",""))</f>
        <v/>
      </c>
      <c r="S1288" s="51" t="str">
        <f>IF(ISERROR(FIND('112'!$M$9,G1288,1)),"",IF((AND(LEFT(G1288,2)=LEFT('112'!$M$9,2),B1288&lt;'112'!$N$8,$L1288='112'!$I$6)),"x",""))</f>
        <v/>
      </c>
      <c r="T1288" s="51" t="str">
        <f>IF(ISERROR(FIND('112'!$M$9,G1288,1)),"",IF((AND(RIGHT(G1288,2)=RIGHT('112'!$M$9,2),B1288&lt;'112'!$N$8,$M1288='112'!$I$6)),"x",""))</f>
        <v/>
      </c>
      <c r="U1288" s="51" t="str">
        <f>IF(AND(L1288="154",'154'!$O$5&lt;=B1288,'154'!$P$5&gt;=B1288),"154",IF(AND(L1288="632",'632'!$L$5&lt;=B1288,'632'!$M$5&gt;=B1288),"632",IF(AND(L1288="642",'642'!$N$5&lt;=B1288,'642'!$O$5&gt;=B1288),"642",IF(AND(L1288="641",'641'!$N$5&lt;=B1288,'641'!$O$5&gt;=B1288),"641",""))))</f>
        <v/>
      </c>
      <c r="V1288" s="51" t="str">
        <f>IF(OR(TH!L1288=TH!$V$7,M1288=TH!$V$7),"x","")</f>
        <v/>
      </c>
      <c r="W1288" s="51" t="str">
        <f>IF(AND(B1288&gt;='IN-NX'!$P$3,B1288&lt;='IN-NX'!$Q$3,'IN-NX'!$D$7=D1288,OR(LEFT(L1288,2)="15",AND(LEFT(M1288,2)&lt;&gt;"15",LEFT(M1288,2)&lt;&gt;"33"))),"x","")</f>
        <v/>
      </c>
      <c r="X1288" s="51" t="str">
        <f>IF(AND(OR(LEFT(TH!L1288,2)="15",LEFT(TH!M1288,2)="15"),'152-CT'!$J$8=TH!F1288),"x","")</f>
        <v/>
      </c>
      <c r="Y1288" s="51" t="str">
        <f>IF(AND(OR(LEFT(TH!L1288,2)="15",LEFT(TH!M1288,2)="15"),TK!$E$7=TH!F1288),"x","")</f>
        <v/>
      </c>
      <c r="Z1288" s="51" t="str">
        <f>IF(AND(B1288&lt;=NKC!$N$8,B1288&gt;=NKC!$M$8),"x","")</f>
        <v/>
      </c>
      <c r="AA1288" s="803">
        <v>4</v>
      </c>
      <c r="AB1288" s="565"/>
    </row>
    <row r="1289" spans="1:31" ht="15.75" customHeight="1">
      <c r="A1289" s="804" t="str">
        <f>IF(B1289&lt;&gt;"",IF(AND(B1289&gt;=_TM1,B1289&lt;=_TM2,OR(TH!L1289="1111",TH!M1289="1111")),TH!D1289,""),"")</f>
        <v/>
      </c>
      <c r="B1289" s="36">
        <f t="shared" si="82"/>
        <v>12</v>
      </c>
      <c r="C1289" s="189">
        <f t="shared" si="83"/>
        <v>42350</v>
      </c>
      <c r="D1289" s="189" t="s">
        <v>1322</v>
      </c>
      <c r="E1289" s="189">
        <v>42350</v>
      </c>
      <c r="F1289" s="190" t="s">
        <v>712</v>
      </c>
      <c r="G1289" s="811" t="s">
        <v>1104</v>
      </c>
      <c r="H1289" s="7" t="s">
        <v>445</v>
      </c>
      <c r="I1289" s="243">
        <v>75</v>
      </c>
      <c r="J1289" s="243">
        <v>31980</v>
      </c>
      <c r="K1289" s="573">
        <f>ROUND(I1289*J1289,0)</f>
        <v>2398500</v>
      </c>
      <c r="L1289" s="574" t="s">
        <v>250</v>
      </c>
      <c r="M1289" s="574" t="s">
        <v>164</v>
      </c>
      <c r="N1289" s="51" t="str">
        <f>IF(AND('331-CT'!$E$7=TH!H1289,OR(L1289="331",M1289="331")),"331",IF(AND(OR(L1289="131",M1289="131"),H1289='131-CT'!$E$7),"131",""))</f>
        <v/>
      </c>
      <c r="O1289" s="51" t="str">
        <f>IF(AND($B1289&gt;='111'!$N$11,$B1289&lt;='111'!$O$11,OR($L1289=$O$7,$M1289=$O$7)),"x","")</f>
        <v/>
      </c>
      <c r="P1289" s="51" t="str">
        <f>IF(AND($L1289=$O$7,$B1289&lt;'111'!$N$11),"x","")</f>
        <v/>
      </c>
      <c r="Q1289" s="51" t="str">
        <f>IF(AND($M1289=$O$7,$B1289&lt;'111'!$N$11),"x","")</f>
        <v/>
      </c>
      <c r="R1289" s="51" t="str">
        <f>IF(ISERROR(FIND('112'!$M$9,G1289,1)),"",IF((AND(FIND('112'!$M$9,G1289,1)&gt;=1,$B1289&gt;='112'!$N$8,$B1289&lt;='112'!$O$8,OR($L1289='112'!$I$6,$M1289='112'!$I$6))),"x",""))</f>
        <v/>
      </c>
      <c r="S1289" s="51" t="str">
        <f>IF(ISERROR(FIND('112'!$M$9,G1289,1)),"",IF((AND(LEFT(G1289,2)=LEFT('112'!$M$9,2),B1289&lt;'112'!$N$8,$L1289='112'!$I$6)),"x",""))</f>
        <v/>
      </c>
      <c r="T1289" s="51" t="str">
        <f>IF(ISERROR(FIND('112'!$M$9,G1289,1)),"",IF((AND(RIGHT(G1289,2)=RIGHT('112'!$M$9,2),B1289&lt;'112'!$N$8,$M1289='112'!$I$6)),"x",""))</f>
        <v/>
      </c>
      <c r="U1289" s="51" t="str">
        <f>IF(AND(L1289="154",'154'!$O$5&lt;=B1289,'154'!$P$5&gt;=B1289),"154",IF(AND(L1289="632",'632'!$L$5&lt;=B1289,'632'!$M$5&gt;=B1289),"632",IF(AND(L1289="642",'642'!$N$5&lt;=B1289,'642'!$O$5&gt;=B1289),"642",IF(AND(L1289="641",'641'!$N$5&lt;=B1289,'641'!$O$5&gt;=B1289),"641",""))))</f>
        <v/>
      </c>
      <c r="V1289" s="51" t="str">
        <f>IF(OR(TH!L1289=TH!$V$7,M1289=TH!$V$7),"x","")</f>
        <v/>
      </c>
      <c r="W1289" s="51" t="str">
        <f>IF(AND(B1289&gt;='IN-NX'!$P$3,B1289&lt;='IN-NX'!$Q$3,'IN-NX'!$D$7=D1289,OR(LEFT(L1289,2)="15",AND(LEFT(M1289,2)&lt;&gt;"15",LEFT(M1289,2)&lt;&gt;"33"))),"x","")</f>
        <v/>
      </c>
      <c r="X1289" s="51" t="str">
        <f>IF(AND(OR(LEFT(TH!L1289,2)="15",LEFT(TH!M1289,2)="15"),'152-CT'!$J$8=TH!F1289),"x","")</f>
        <v/>
      </c>
      <c r="Y1289" s="51" t="str">
        <f>IF(AND(OR(LEFT(TH!L1289,2)="15",LEFT(TH!M1289,2)="15"),TK!$E$7=TH!F1289),"x","")</f>
        <v/>
      </c>
      <c r="Z1289" s="51" t="str">
        <f>IF(AND(B1289&lt;=NKC!$N$8,B1289&gt;=NKC!$M$8),"x","")</f>
        <v/>
      </c>
      <c r="AA1289" s="803"/>
      <c r="AB1289" s="565"/>
    </row>
    <row r="1290" spans="1:31" s="828" customFormat="1" ht="15.75" customHeight="1">
      <c r="A1290" s="804" t="str">
        <f>IF(B1290&lt;&gt;"",IF(AND(B1290&gt;=_TM1,B1290&lt;=_TM2,OR(TH!L1290="1111",TH!M1290="1111")),TH!D1290,""),"")</f>
        <v/>
      </c>
      <c r="B1290" s="36">
        <f t="shared" si="82"/>
        <v>12</v>
      </c>
      <c r="C1290" s="189">
        <f t="shared" si="83"/>
        <v>42350</v>
      </c>
      <c r="D1290" s="189" t="s">
        <v>1322</v>
      </c>
      <c r="E1290" s="189">
        <v>42350</v>
      </c>
      <c r="F1290" s="922" t="s">
        <v>1206</v>
      </c>
      <c r="G1290" s="811" t="s">
        <v>1104</v>
      </c>
      <c r="H1290" s="7" t="s">
        <v>445</v>
      </c>
      <c r="I1290" s="243">
        <v>300</v>
      </c>
      <c r="J1290" s="243">
        <v>7660</v>
      </c>
      <c r="K1290" s="573">
        <f>ROUND(I1290*J1290,0)</f>
        <v>2298000</v>
      </c>
      <c r="L1290" s="574" t="s">
        <v>250</v>
      </c>
      <c r="M1290" s="574" t="s">
        <v>164</v>
      </c>
      <c r="N1290" s="51" t="str">
        <f>IF(AND('331-CT'!$E$7=TH!H1290,OR(L1290="331",M1290="331")),"331",IF(AND(OR(L1290="131",M1290="131"),H1290='131-CT'!$E$7),"131",""))</f>
        <v/>
      </c>
      <c r="O1290" s="51" t="str">
        <f>IF(AND($B1290&gt;='111'!$N$11,$B1290&lt;='111'!$O$11,OR($L1290=$O$7,$M1290=$O$7)),"x","")</f>
        <v/>
      </c>
      <c r="P1290" s="51" t="str">
        <f>IF(AND($L1290=$O$7,$B1290&lt;'111'!$N$11),"x","")</f>
        <v/>
      </c>
      <c r="Q1290" s="51" t="str">
        <f>IF(AND($M1290=$O$7,$B1290&lt;'111'!$N$11),"x","")</f>
        <v/>
      </c>
      <c r="R1290" s="51" t="str">
        <f>IF(ISERROR(FIND('112'!$M$9,G1290,1)),"",IF((AND(FIND('112'!$M$9,G1290,1)&gt;=1,$B1290&gt;='112'!$N$8,$B1290&lt;='112'!$O$8,OR($L1290='112'!$I$6,$M1290='112'!$I$6))),"x",""))</f>
        <v/>
      </c>
      <c r="S1290" s="51" t="str">
        <f>IF(ISERROR(FIND('112'!$M$9,G1290,1)),"",IF((AND(LEFT(G1290,2)=LEFT('112'!$M$9,2),B1290&lt;'112'!$N$8,$L1290='112'!$I$6)),"x",""))</f>
        <v/>
      </c>
      <c r="T1290" s="51" t="str">
        <f>IF(ISERROR(FIND('112'!$M$9,G1290,1)),"",IF((AND(RIGHT(G1290,2)=RIGHT('112'!$M$9,2),B1290&lt;'112'!$N$8,$M1290='112'!$I$6)),"x",""))</f>
        <v/>
      </c>
      <c r="U1290" s="51" t="str">
        <f>IF(AND(L1290="154",'154'!$O$5&lt;=B1290,'154'!$P$5&gt;=B1290),"154",IF(AND(L1290="632",'632'!$L$5&lt;=B1290,'632'!$M$5&gt;=B1290),"632",IF(AND(L1290="642",'642'!$N$5&lt;=B1290,'642'!$O$5&gt;=B1290),"642",IF(AND(L1290="641",'641'!$N$5&lt;=B1290,'641'!$O$5&gt;=B1290),"641",""))))</f>
        <v/>
      </c>
      <c r="V1290" s="51" t="str">
        <f>IF(OR(TH!L1290=TH!$V$7,M1290=TH!$V$7),"x","")</f>
        <v/>
      </c>
      <c r="W1290" s="51" t="str">
        <f>IF(AND(B1290&gt;='IN-NX'!$P$3,B1290&lt;='IN-NX'!$Q$3,'IN-NX'!$D$7=D1290,OR(LEFT(L1290,2)="15",AND(LEFT(M1290,2)&lt;&gt;"15",LEFT(M1290,2)&lt;&gt;"33"))),"x","")</f>
        <v/>
      </c>
      <c r="X1290" s="51" t="str">
        <f>IF(AND(OR(LEFT(TH!L1290,2)="15",LEFT(TH!M1290,2)="15"),'152-CT'!$J$8=TH!F1290),"x","")</f>
        <v/>
      </c>
      <c r="Y1290" s="51" t="str">
        <f>IF(AND(OR(LEFT(TH!L1290,2)="15",LEFT(TH!M1290,2)="15"),TK!$E$7=TH!F1290),"x","")</f>
        <v/>
      </c>
      <c r="Z1290" s="51" t="str">
        <f>IF(AND(B1290&lt;=NKC!$N$8,B1290&gt;=NKC!$M$8),"x","")</f>
        <v/>
      </c>
      <c r="AA1290" s="803"/>
      <c r="AB1290" s="565"/>
      <c r="AC1290" s="203"/>
      <c r="AD1290" s="203"/>
      <c r="AE1290" s="203"/>
    </row>
    <row r="1291" spans="1:31" s="828" customFormat="1" ht="15.75" customHeight="1">
      <c r="A1291" s="804" t="str">
        <f>IF(B1291&lt;&gt;"",IF(AND(B1291&gt;=_TM1,B1291&lt;=_TM2,OR(TH!L1291="1111",TH!M1291="1111")),TH!D1291,""),"")</f>
        <v/>
      </c>
      <c r="B1291" s="36">
        <f t="shared" si="82"/>
        <v>12</v>
      </c>
      <c r="C1291" s="189">
        <f t="shared" si="83"/>
        <v>42350</v>
      </c>
      <c r="D1291" s="189" t="s">
        <v>1322</v>
      </c>
      <c r="E1291" s="189">
        <v>42350</v>
      </c>
      <c r="F1291" s="922" t="s">
        <v>962</v>
      </c>
      <c r="G1291" s="811" t="s">
        <v>1104</v>
      </c>
      <c r="H1291" s="7" t="s">
        <v>445</v>
      </c>
      <c r="I1291" s="243"/>
      <c r="J1291" s="243"/>
      <c r="K1291" s="573">
        <v>469650</v>
      </c>
      <c r="L1291" s="574" t="s">
        <v>250</v>
      </c>
      <c r="M1291" s="574" t="s">
        <v>352</v>
      </c>
      <c r="N1291" s="51" t="str">
        <f>IF(AND('331-CT'!$E$7=TH!H1291,OR(L1291="331",M1291="331")),"331",IF(AND(OR(L1291="131",M1291="131"),H1291='131-CT'!$E$7),"131",""))</f>
        <v/>
      </c>
      <c r="O1291" s="51" t="str">
        <f>IF(AND($B1291&gt;='111'!$N$11,$B1291&lt;='111'!$O$11,OR($L1291=$O$7,$M1291=$O$7)),"x","")</f>
        <v/>
      </c>
      <c r="P1291" s="51" t="str">
        <f>IF(AND($L1291=$O$7,$B1291&lt;'111'!$N$11),"x","")</f>
        <v/>
      </c>
      <c r="Q1291" s="51" t="str">
        <f>IF(AND($M1291=$O$7,$B1291&lt;'111'!$N$11),"x","")</f>
        <v/>
      </c>
      <c r="R1291" s="51" t="str">
        <f>IF(ISERROR(FIND('112'!$M$9,G1291,1)),"",IF((AND(FIND('112'!$M$9,G1291,1)&gt;=1,$B1291&gt;='112'!$N$8,$B1291&lt;='112'!$O$8,OR($L1291='112'!$I$6,$M1291='112'!$I$6))),"x",""))</f>
        <v/>
      </c>
      <c r="S1291" s="51" t="str">
        <f>IF(ISERROR(FIND('112'!$M$9,G1291,1)),"",IF((AND(LEFT(G1291,2)=LEFT('112'!$M$9,2),B1291&lt;'112'!$N$8,$L1291='112'!$I$6)),"x",""))</f>
        <v/>
      </c>
      <c r="T1291" s="51" t="str">
        <f>IF(ISERROR(FIND('112'!$M$9,G1291,1)),"",IF((AND(RIGHT(G1291,2)=RIGHT('112'!$M$9,2),B1291&lt;'112'!$N$8,$M1291='112'!$I$6)),"x",""))</f>
        <v/>
      </c>
      <c r="U1291" s="51" t="str">
        <f>IF(AND(L1291="154",'154'!$O$5&lt;=B1291,'154'!$P$5&gt;=B1291),"154",IF(AND(L1291="632",'632'!$L$5&lt;=B1291,'632'!$M$5&gt;=B1291),"632",IF(AND(L1291="642",'642'!$N$5&lt;=B1291,'642'!$O$5&gt;=B1291),"642",IF(AND(L1291="641",'641'!$N$5&lt;=B1291,'641'!$O$5&gt;=B1291),"641",""))))</f>
        <v/>
      </c>
      <c r="V1291" s="51" t="str">
        <f>IF(OR(TH!L1291=TH!$V$7,M1291=TH!$V$7),"x","")</f>
        <v/>
      </c>
      <c r="W1291" s="51" t="str">
        <f>IF(AND(B1291&gt;='IN-NX'!$P$3,B1291&lt;='IN-NX'!$Q$3,'IN-NX'!$D$7=D1291,OR(LEFT(L1291,2)="15",AND(LEFT(M1291,2)&lt;&gt;"15",LEFT(M1291,2)&lt;&gt;"33"))),"x","")</f>
        <v/>
      </c>
      <c r="X1291" s="51" t="str">
        <f>IF(AND(OR(LEFT(TH!L1291,2)="15",LEFT(TH!M1291,2)="15"),'152-CT'!$J$8=TH!F1291),"x","")</f>
        <v/>
      </c>
      <c r="Y1291" s="51" t="str">
        <f>IF(AND(OR(LEFT(TH!L1291,2)="15",LEFT(TH!M1291,2)="15"),TK!$E$7=TH!F1291),"x","")</f>
        <v/>
      </c>
      <c r="Z1291" s="51" t="str">
        <f>IF(AND(B1291&lt;=NKC!$N$8,B1291&gt;=NKC!$M$8),"x","")</f>
        <v/>
      </c>
      <c r="AA1291" s="803"/>
      <c r="AB1291" s="565"/>
      <c r="AC1291" s="565"/>
      <c r="AD1291" s="565"/>
      <c r="AE1291" s="203"/>
    </row>
    <row r="1292" spans="1:31" s="828" customFormat="1" ht="15.75" customHeight="1">
      <c r="A1292" s="804" t="str">
        <f>IF(B1292&lt;&gt;"",IF(AND(B1292&gt;=_TM1,B1292&lt;=_TM2,OR(TH!L1292="1111",TH!M1292="1111")),TH!D1292,""),"")</f>
        <v/>
      </c>
      <c r="B1292" s="36">
        <f t="shared" si="82"/>
        <v>12</v>
      </c>
      <c r="C1292" s="189">
        <f t="shared" si="83"/>
        <v>42351</v>
      </c>
      <c r="D1292" s="189" t="s">
        <v>422</v>
      </c>
      <c r="E1292" s="182">
        <v>42351</v>
      </c>
      <c r="F1292" s="187" t="s">
        <v>425</v>
      </c>
      <c r="G1292" s="811" t="s">
        <v>415</v>
      </c>
      <c r="H1292" s="191"/>
      <c r="I1292" s="243"/>
      <c r="J1292" s="243"/>
      <c r="K1292" s="573">
        <v>55000</v>
      </c>
      <c r="L1292" s="574" t="s">
        <v>83</v>
      </c>
      <c r="M1292" s="574" t="s">
        <v>24</v>
      </c>
      <c r="N1292" s="51" t="str">
        <f>IF(AND('331-CT'!$E$7=TH!H1292,OR(L1292="331",M1292="331")),"331",IF(AND(OR(L1292="131",M1292="131"),H1292='131-CT'!$E$7),"131",""))</f>
        <v/>
      </c>
      <c r="O1292" s="51" t="str">
        <f>IF(AND($B1292&gt;='111'!$N$11,$B1292&lt;='111'!$O$11,OR($L1292=$O$7,$M1292=$O$7)),"x","")</f>
        <v/>
      </c>
      <c r="P1292" s="51" t="str">
        <f>IF(AND($L1292=$O$7,$B1292&lt;'111'!$N$11),"x","")</f>
        <v/>
      </c>
      <c r="Q1292" s="51" t="str">
        <f>IF(AND($M1292=$O$7,$B1292&lt;'111'!$N$11),"x","")</f>
        <v/>
      </c>
      <c r="R1292" s="51" t="str">
        <f>IF(ISERROR(FIND('112'!$M$9,G1292,1)),"",IF((AND(FIND('112'!$M$9,G1292,1)&gt;=1,$B1292&gt;='112'!$N$8,$B1292&lt;='112'!$O$8,OR($L1292='112'!$I$6,$M1292='112'!$I$6))),"x",""))</f>
        <v/>
      </c>
      <c r="S1292" s="51" t="str">
        <f>IF(ISERROR(FIND('112'!$M$9,G1292,1)),"",IF((AND(LEFT(G1292,2)=LEFT('112'!$M$9,2),B1292&lt;'112'!$N$8,$L1292='112'!$I$6)),"x",""))</f>
        <v/>
      </c>
      <c r="T1292" s="51" t="str">
        <f>IF(ISERROR(FIND('112'!$M$9,G1292,1)),"",IF((AND(RIGHT(G1292,2)=RIGHT('112'!$M$9,2),B1292&lt;'112'!$N$8,$M1292='112'!$I$6)),"x",""))</f>
        <v/>
      </c>
      <c r="U1292" s="51" t="str">
        <f>IF(AND(L1292="154",'154'!$O$5&lt;=B1292,'154'!$P$5&gt;=B1292),"154",IF(AND(L1292="632",'632'!$L$5&lt;=B1292,'632'!$M$5&gt;=B1292),"632",IF(AND(L1292="642",'642'!$N$5&lt;=B1292,'642'!$O$5&gt;=B1292),"642",IF(AND(L1292="641",'641'!$N$5&lt;=B1292,'641'!$O$5&gt;=B1292),"641",""))))</f>
        <v/>
      </c>
      <c r="V1292" s="51" t="str">
        <f>IF(OR(TH!L1292=TH!$V$7,M1292=TH!$V$7),"x","")</f>
        <v>x</v>
      </c>
      <c r="W1292" s="51" t="str">
        <f>IF(AND(B1292&gt;='IN-NX'!$P$3,B1292&lt;='IN-NX'!$Q$3,'IN-NX'!$D$7=D1292,OR(LEFT(L1292,2)="15",AND(LEFT(M1292,2)&lt;&gt;"15",LEFT(M1292,2)&lt;&gt;"33"))),"x","")</f>
        <v/>
      </c>
      <c r="X1292" s="51" t="str">
        <f>IF(AND(OR(LEFT(TH!L1292,2)="15",LEFT(TH!M1292,2)="15"),'152-CT'!$J$8=TH!F1292),"x","")</f>
        <v/>
      </c>
      <c r="Y1292" s="51" t="str">
        <f>IF(AND(OR(LEFT(TH!L1292,2)="15",LEFT(TH!M1292,2)="15"),TK!$E$7=TH!F1292),"x","")</f>
        <v/>
      </c>
      <c r="Z1292" s="51" t="str">
        <f>IF(AND(B1292&lt;=NKC!$N$8,B1292&gt;=NKC!$M$8),"x","")</f>
        <v/>
      </c>
      <c r="AA1292" s="803"/>
      <c r="AB1292" s="565"/>
      <c r="AC1292" s="203"/>
      <c r="AD1292" s="203"/>
      <c r="AE1292" s="203"/>
    </row>
    <row r="1293" spans="1:31" s="828" customFormat="1" ht="15.75" customHeight="1">
      <c r="A1293" s="804" t="str">
        <f>IF(B1293&lt;&gt;"",IF(AND(B1293&gt;=_TM1,B1293&lt;=_TM2,OR(TH!L1293="1111",TH!M1293="1111")),TH!D1293,""),"")</f>
        <v/>
      </c>
      <c r="B1293" s="36">
        <f t="shared" si="82"/>
        <v>12</v>
      </c>
      <c r="C1293" s="189">
        <f t="shared" si="83"/>
        <v>42352</v>
      </c>
      <c r="D1293" s="189" t="s">
        <v>1323</v>
      </c>
      <c r="E1293" s="189">
        <v>42352</v>
      </c>
      <c r="F1293" s="922" t="s">
        <v>623</v>
      </c>
      <c r="G1293" s="811" t="s">
        <v>480</v>
      </c>
      <c r="H1293" s="191" t="s">
        <v>413</v>
      </c>
      <c r="I1293" s="244">
        <v>850</v>
      </c>
      <c r="J1293" s="244">
        <v>32500</v>
      </c>
      <c r="K1293" s="573">
        <f>ROUND(I1293*J1293,0)</f>
        <v>27625000</v>
      </c>
      <c r="L1293" s="574" t="s">
        <v>250</v>
      </c>
      <c r="M1293" s="574" t="s">
        <v>164</v>
      </c>
      <c r="N1293" s="51" t="str">
        <f>IF(AND('331-CT'!$E$7=TH!H1293,OR(L1293="331",M1293="331")),"331",IF(AND(OR(L1293="131",M1293="131"),H1293='131-CT'!$E$7),"131",""))</f>
        <v/>
      </c>
      <c r="O1293" s="51" t="str">
        <f>IF(AND($B1293&gt;='111'!$N$11,$B1293&lt;='111'!$O$11,OR($L1293=$O$7,$M1293=$O$7)),"x","")</f>
        <v/>
      </c>
      <c r="P1293" s="51" t="str">
        <f>IF(AND($L1293=$O$7,$B1293&lt;'111'!$N$11),"x","")</f>
        <v/>
      </c>
      <c r="Q1293" s="51" t="str">
        <f>IF(AND($M1293=$O$7,$B1293&lt;'111'!$N$11),"x","")</f>
        <v/>
      </c>
      <c r="R1293" s="51" t="str">
        <f>IF(ISERROR(FIND('112'!$M$9,G1293,1)),"",IF((AND(FIND('112'!$M$9,G1293,1)&gt;=1,$B1293&gt;='112'!$N$8,$B1293&lt;='112'!$O$8,OR($L1293='112'!$I$6,$M1293='112'!$I$6))),"x",""))</f>
        <v/>
      </c>
      <c r="S1293" s="51" t="str">
        <f>IF(ISERROR(FIND('112'!$M$9,G1293,1)),"",IF((AND(LEFT(G1293,2)=LEFT('112'!$M$9,2),B1293&lt;'112'!$N$8,$L1293='112'!$I$6)),"x",""))</f>
        <v/>
      </c>
      <c r="T1293" s="51" t="str">
        <f>IF(ISERROR(FIND('112'!$M$9,G1293,1)),"",IF((AND(RIGHT(G1293,2)=RIGHT('112'!$M$9,2),B1293&lt;'112'!$N$8,$M1293='112'!$I$6)),"x",""))</f>
        <v/>
      </c>
      <c r="U1293" s="51" t="str">
        <f>IF(AND(L1293="154",'154'!$O$5&lt;=B1293,'154'!$P$5&gt;=B1293),"154",IF(AND(L1293="632",'632'!$L$5&lt;=B1293,'632'!$M$5&gt;=B1293),"632",IF(AND(L1293="642",'642'!$N$5&lt;=B1293,'642'!$O$5&gt;=B1293),"642",IF(AND(L1293="641",'641'!$N$5&lt;=B1293,'641'!$O$5&gt;=B1293),"641",""))))</f>
        <v/>
      </c>
      <c r="V1293" s="51" t="str">
        <f>IF(OR(TH!L1293=TH!$V$7,M1293=TH!$V$7),"x","")</f>
        <v/>
      </c>
      <c r="W1293" s="51" t="str">
        <f>IF(AND(B1293&gt;='IN-NX'!$P$3,B1293&lt;='IN-NX'!$Q$3,'IN-NX'!$D$7=D1293,OR(LEFT(L1293,2)="15",AND(LEFT(M1293,2)&lt;&gt;"15",LEFT(M1293,2)&lt;&gt;"33"))),"x","")</f>
        <v/>
      </c>
      <c r="X1293" s="51" t="str">
        <f>IF(AND(OR(LEFT(TH!L1293,2)="15",LEFT(TH!M1293,2)="15"),'152-CT'!$J$8=TH!F1293),"x","")</f>
        <v/>
      </c>
      <c r="Y1293" s="51" t="str">
        <f>IF(AND(OR(LEFT(TH!L1293,2)="15",LEFT(TH!M1293,2)="15"),TK!$E$7=TH!F1293),"x","")</f>
        <v/>
      </c>
      <c r="Z1293" s="51" t="str">
        <f>IF(AND(B1293&lt;=NKC!$N$8,B1293&gt;=NKC!$M$8),"x","")</f>
        <v/>
      </c>
      <c r="AA1293" s="803"/>
      <c r="AB1293" s="565"/>
      <c r="AC1293" s="203"/>
      <c r="AD1293" s="203"/>
      <c r="AE1293" s="203"/>
    </row>
    <row r="1294" spans="1:31" s="828" customFormat="1" ht="15.75" customHeight="1">
      <c r="A1294" s="804" t="str">
        <f>IF(B1294&lt;&gt;"",IF(AND(B1294&gt;=_TM1,B1294&lt;=_TM2,OR(TH!L1294="1111",TH!M1294="1111")),TH!D1294,""),"")</f>
        <v/>
      </c>
      <c r="B1294" s="36">
        <f t="shared" si="82"/>
        <v>12</v>
      </c>
      <c r="C1294" s="189">
        <f t="shared" si="83"/>
        <v>42352</v>
      </c>
      <c r="D1294" s="189" t="s">
        <v>1323</v>
      </c>
      <c r="E1294" s="189">
        <v>42352</v>
      </c>
      <c r="F1294" s="922" t="s">
        <v>624</v>
      </c>
      <c r="G1294" s="811" t="s">
        <v>480</v>
      </c>
      <c r="H1294" s="191" t="s">
        <v>413</v>
      </c>
      <c r="I1294" s="243">
        <v>850</v>
      </c>
      <c r="J1294" s="243">
        <v>31700</v>
      </c>
      <c r="K1294" s="573">
        <f>ROUND(I1294*J1294,0)</f>
        <v>26945000</v>
      </c>
      <c r="L1294" s="574" t="s">
        <v>250</v>
      </c>
      <c r="M1294" s="574" t="s">
        <v>164</v>
      </c>
      <c r="N1294" s="51" t="str">
        <f>IF(AND('331-CT'!$E$7=TH!H1294,OR(L1294="331",M1294="331")),"331",IF(AND(OR(L1294="131",M1294="131"),H1294='131-CT'!$E$7),"131",""))</f>
        <v/>
      </c>
      <c r="O1294" s="51" t="str">
        <f>IF(AND($B1294&gt;='111'!$N$11,$B1294&lt;='111'!$O$11,OR($L1294=$O$7,$M1294=$O$7)),"x","")</f>
        <v/>
      </c>
      <c r="P1294" s="51" t="str">
        <f>IF(AND($L1294=$O$7,$B1294&lt;'111'!$N$11),"x","")</f>
        <v/>
      </c>
      <c r="Q1294" s="51" t="str">
        <f>IF(AND($M1294=$O$7,$B1294&lt;'111'!$N$11),"x","")</f>
        <v/>
      </c>
      <c r="R1294" s="51" t="str">
        <f>IF(ISERROR(FIND('112'!$M$9,G1294,1)),"",IF((AND(FIND('112'!$M$9,G1294,1)&gt;=1,$B1294&gt;='112'!$N$8,$B1294&lt;='112'!$O$8,OR($L1294='112'!$I$6,$M1294='112'!$I$6))),"x",""))</f>
        <v/>
      </c>
      <c r="S1294" s="51" t="str">
        <f>IF(ISERROR(FIND('112'!$M$9,G1294,1)),"",IF((AND(LEFT(G1294,2)=LEFT('112'!$M$9,2),B1294&lt;'112'!$N$8,$L1294='112'!$I$6)),"x",""))</f>
        <v/>
      </c>
      <c r="T1294" s="51" t="str">
        <f>IF(ISERROR(FIND('112'!$M$9,G1294,1)),"",IF((AND(RIGHT(G1294,2)=RIGHT('112'!$M$9,2),B1294&lt;'112'!$N$8,$M1294='112'!$I$6)),"x",""))</f>
        <v/>
      </c>
      <c r="U1294" s="51" t="str">
        <f>IF(AND(L1294="154",'154'!$O$5&lt;=B1294,'154'!$P$5&gt;=B1294),"154",IF(AND(L1294="632",'632'!$L$5&lt;=B1294,'632'!$M$5&gt;=B1294),"632",IF(AND(L1294="642",'642'!$N$5&lt;=B1294,'642'!$O$5&gt;=B1294),"642",IF(AND(L1294="641",'641'!$N$5&lt;=B1294,'641'!$O$5&gt;=B1294),"641",""))))</f>
        <v/>
      </c>
      <c r="V1294" s="51" t="str">
        <f>IF(OR(TH!L1294=TH!$V$7,M1294=TH!$V$7),"x","")</f>
        <v/>
      </c>
      <c r="W1294" s="51" t="str">
        <f>IF(AND(B1294&gt;='IN-NX'!$P$3,B1294&lt;='IN-NX'!$Q$3,'IN-NX'!$D$7=D1294,OR(LEFT(L1294,2)="15",AND(LEFT(M1294,2)&lt;&gt;"15",LEFT(M1294,2)&lt;&gt;"33"))),"x","")</f>
        <v/>
      </c>
      <c r="X1294" s="51" t="str">
        <f>IF(AND(OR(LEFT(TH!L1294,2)="15",LEFT(TH!M1294,2)="15"),'152-CT'!$J$8=TH!F1294),"x","")</f>
        <v/>
      </c>
      <c r="Y1294" s="51" t="str">
        <f>IF(AND(OR(LEFT(TH!L1294,2)="15",LEFT(TH!M1294,2)="15"),TK!$E$7=TH!F1294),"x","")</f>
        <v/>
      </c>
      <c r="Z1294" s="51" t="str">
        <f>IF(AND(B1294&lt;=NKC!$N$8,B1294&gt;=NKC!$M$8),"x","")</f>
        <v/>
      </c>
      <c r="AA1294" s="803"/>
      <c r="AB1294" s="565"/>
      <c r="AC1294" s="203"/>
      <c r="AD1294" s="203"/>
      <c r="AE1294" s="203"/>
    </row>
    <row r="1295" spans="1:31" s="828" customFormat="1" ht="15.75" customHeight="1">
      <c r="A1295" s="804" t="str">
        <f>IF(B1295&lt;&gt;"",IF(AND(B1295&gt;=_TM1,B1295&lt;=_TM2,OR(TH!L1295="1111",TH!M1295="1111")),TH!D1295,""),"")</f>
        <v/>
      </c>
      <c r="B1295" s="36">
        <f t="shared" si="82"/>
        <v>12</v>
      </c>
      <c r="C1295" s="189">
        <f t="shared" si="83"/>
        <v>42352</v>
      </c>
      <c r="D1295" s="189" t="s">
        <v>1323</v>
      </c>
      <c r="E1295" s="189">
        <v>42352</v>
      </c>
      <c r="F1295" s="922" t="s">
        <v>620</v>
      </c>
      <c r="G1295" s="811" t="s">
        <v>480</v>
      </c>
      <c r="H1295" s="191" t="s">
        <v>413</v>
      </c>
      <c r="I1295" s="243">
        <v>4100</v>
      </c>
      <c r="J1295" s="243">
        <v>15000</v>
      </c>
      <c r="K1295" s="573">
        <f>ROUND(I1295*J1295,0)</f>
        <v>61500000</v>
      </c>
      <c r="L1295" s="574" t="s">
        <v>250</v>
      </c>
      <c r="M1295" s="574" t="s">
        <v>164</v>
      </c>
      <c r="N1295" s="51" t="str">
        <f>IF(AND('331-CT'!$E$7=TH!H1295,OR(L1295="331",M1295="331")),"331",IF(AND(OR(L1295="131",M1295="131"),H1295='131-CT'!$E$7),"131",""))</f>
        <v/>
      </c>
      <c r="O1295" s="51" t="str">
        <f>IF(AND($B1295&gt;='111'!$N$11,$B1295&lt;='111'!$O$11,OR($L1295=$O$7,$M1295=$O$7)),"x","")</f>
        <v/>
      </c>
      <c r="P1295" s="51" t="str">
        <f>IF(AND($L1295=$O$7,$B1295&lt;'111'!$N$11),"x","")</f>
        <v/>
      </c>
      <c r="Q1295" s="51" t="str">
        <f>IF(AND($M1295=$O$7,$B1295&lt;'111'!$N$11),"x","")</f>
        <v/>
      </c>
      <c r="R1295" s="51" t="str">
        <f>IF(ISERROR(FIND('112'!$M$9,G1295,1)),"",IF((AND(FIND('112'!$M$9,G1295,1)&gt;=1,$B1295&gt;='112'!$N$8,$B1295&lt;='112'!$O$8,OR($L1295='112'!$I$6,$M1295='112'!$I$6))),"x",""))</f>
        <v/>
      </c>
      <c r="S1295" s="51" t="str">
        <f>IF(ISERROR(FIND('112'!$M$9,G1295,1)),"",IF((AND(LEFT(G1295,2)=LEFT('112'!$M$9,2),B1295&lt;'112'!$N$8,$L1295='112'!$I$6)),"x",""))</f>
        <v/>
      </c>
      <c r="T1295" s="51" t="str">
        <f>IF(ISERROR(FIND('112'!$M$9,G1295,1)),"",IF((AND(RIGHT(G1295,2)=RIGHT('112'!$M$9,2),B1295&lt;'112'!$N$8,$M1295='112'!$I$6)),"x",""))</f>
        <v/>
      </c>
      <c r="U1295" s="51" t="str">
        <f>IF(AND(L1295="154",'154'!$O$5&lt;=B1295,'154'!$P$5&gt;=B1295),"154",IF(AND(L1295="632",'632'!$L$5&lt;=B1295,'632'!$M$5&gt;=B1295),"632",IF(AND(L1295="642",'642'!$N$5&lt;=B1295,'642'!$O$5&gt;=B1295),"642",IF(AND(L1295="641",'641'!$N$5&lt;=B1295,'641'!$O$5&gt;=B1295),"641",""))))</f>
        <v/>
      </c>
      <c r="V1295" s="51" t="str">
        <f>IF(OR(TH!L1295=TH!$V$7,M1295=TH!$V$7),"x","")</f>
        <v/>
      </c>
      <c r="W1295" s="51" t="str">
        <f>IF(AND(B1295&gt;='IN-NX'!$P$3,B1295&lt;='IN-NX'!$Q$3,'IN-NX'!$D$7=D1295,OR(LEFT(L1295,2)="15",AND(LEFT(M1295,2)&lt;&gt;"15",LEFT(M1295,2)&lt;&gt;"33"))),"x","")</f>
        <v/>
      </c>
      <c r="X1295" s="51" t="str">
        <f>IF(AND(OR(LEFT(TH!L1295,2)="15",LEFT(TH!M1295,2)="15"),'152-CT'!$J$8=TH!F1295),"x","")</f>
        <v/>
      </c>
      <c r="Y1295" s="51" t="str">
        <f>IF(AND(OR(LEFT(TH!L1295,2)="15",LEFT(TH!M1295,2)="15"),TK!$E$7=TH!F1295),"x","")</f>
        <v/>
      </c>
      <c r="Z1295" s="51" t="str">
        <f>IF(AND(B1295&lt;=NKC!$N$8,B1295&gt;=NKC!$M$8),"x","")</f>
        <v/>
      </c>
      <c r="AA1295" s="803"/>
      <c r="AB1295" s="565"/>
      <c r="AC1295" s="203"/>
      <c r="AD1295" s="203"/>
      <c r="AE1295" s="203"/>
    </row>
    <row r="1296" spans="1:31" s="828" customFormat="1" ht="15.75" customHeight="1">
      <c r="A1296" s="804" t="str">
        <f>IF(B1296&lt;&gt;"",IF(AND(B1296&gt;=_TM1,B1296&lt;=_TM2,OR(TH!L1296="1111",TH!M1296="1111")),TH!D1296,""),"")</f>
        <v/>
      </c>
      <c r="B1296" s="36">
        <f t="shared" si="82"/>
        <v>12</v>
      </c>
      <c r="C1296" s="189">
        <f t="shared" si="83"/>
        <v>42352</v>
      </c>
      <c r="D1296" s="189" t="s">
        <v>1323</v>
      </c>
      <c r="E1296" s="189">
        <v>42352</v>
      </c>
      <c r="F1296" s="922" t="s">
        <v>621</v>
      </c>
      <c r="G1296" s="811" t="s">
        <v>480</v>
      </c>
      <c r="H1296" s="191" t="s">
        <v>413</v>
      </c>
      <c r="I1296" s="243">
        <v>3000</v>
      </c>
      <c r="J1296" s="243">
        <v>16500</v>
      </c>
      <c r="K1296" s="573">
        <f>ROUND(I1296*J1296,0)</f>
        <v>49500000</v>
      </c>
      <c r="L1296" s="574" t="s">
        <v>250</v>
      </c>
      <c r="M1296" s="574" t="s">
        <v>164</v>
      </c>
      <c r="N1296" s="51" t="str">
        <f>IF(AND('331-CT'!$E$7=TH!H1296,OR(L1296="331",M1296="331")),"331",IF(AND(OR(L1296="131",M1296="131"),H1296='131-CT'!$E$7),"131",""))</f>
        <v/>
      </c>
      <c r="O1296" s="51" t="str">
        <f>IF(AND($B1296&gt;='111'!$N$11,$B1296&lt;='111'!$O$11,OR($L1296=$O$7,$M1296=$O$7)),"x","")</f>
        <v/>
      </c>
      <c r="P1296" s="51" t="str">
        <f>IF(AND($L1296=$O$7,$B1296&lt;'111'!$N$11),"x","")</f>
        <v/>
      </c>
      <c r="Q1296" s="51" t="str">
        <f>IF(AND($M1296=$O$7,$B1296&lt;'111'!$N$11),"x","")</f>
        <v/>
      </c>
      <c r="R1296" s="51" t="str">
        <f>IF(ISERROR(FIND('112'!$M$9,G1296,1)),"",IF((AND(FIND('112'!$M$9,G1296,1)&gt;=1,$B1296&gt;='112'!$N$8,$B1296&lt;='112'!$O$8,OR($L1296='112'!$I$6,$M1296='112'!$I$6))),"x",""))</f>
        <v/>
      </c>
      <c r="S1296" s="51" t="str">
        <f>IF(ISERROR(FIND('112'!$M$9,G1296,1)),"",IF((AND(LEFT(G1296,2)=LEFT('112'!$M$9,2),B1296&lt;'112'!$N$8,$L1296='112'!$I$6)),"x",""))</f>
        <v/>
      </c>
      <c r="T1296" s="51" t="str">
        <f>IF(ISERROR(FIND('112'!$M$9,G1296,1)),"",IF((AND(RIGHT(G1296,2)=RIGHT('112'!$M$9,2),B1296&lt;'112'!$N$8,$M1296='112'!$I$6)),"x",""))</f>
        <v/>
      </c>
      <c r="U1296" s="51" t="str">
        <f>IF(AND(L1296="154",'154'!$O$5&lt;=B1296,'154'!$P$5&gt;=B1296),"154",IF(AND(L1296="632",'632'!$L$5&lt;=B1296,'632'!$M$5&gt;=B1296),"632",IF(AND(L1296="642",'642'!$N$5&lt;=B1296,'642'!$O$5&gt;=B1296),"642",IF(AND(L1296="641",'641'!$N$5&lt;=B1296,'641'!$O$5&gt;=B1296),"641",""))))</f>
        <v/>
      </c>
      <c r="V1296" s="51" t="str">
        <f>IF(OR(TH!L1296=TH!$V$7,M1296=TH!$V$7),"x","")</f>
        <v/>
      </c>
      <c r="W1296" s="51" t="str">
        <f>IF(AND(B1296&gt;='IN-NX'!$P$3,B1296&lt;='IN-NX'!$Q$3,'IN-NX'!$D$7=D1296,OR(LEFT(L1296,2)="15",AND(LEFT(M1296,2)&lt;&gt;"15",LEFT(M1296,2)&lt;&gt;"33"))),"x","")</f>
        <v/>
      </c>
      <c r="X1296" s="51" t="str">
        <f>IF(AND(OR(LEFT(TH!L1296,2)="15",LEFT(TH!M1296,2)="15"),'152-CT'!$J$8=TH!F1296),"x","")</f>
        <v/>
      </c>
      <c r="Y1296" s="51" t="str">
        <f>IF(AND(OR(LEFT(TH!L1296,2)="15",LEFT(TH!M1296,2)="15"),TK!$E$7=TH!F1296),"x","")</f>
        <v/>
      </c>
      <c r="Z1296" s="51" t="str">
        <f>IF(AND(B1296&lt;=NKC!$N$8,B1296&gt;=NKC!$M$8),"x","")</f>
        <v/>
      </c>
      <c r="AA1296" s="803"/>
      <c r="AB1296" s="565"/>
      <c r="AC1296" s="203"/>
      <c r="AD1296" s="203"/>
      <c r="AE1296" s="203"/>
    </row>
    <row r="1297" spans="1:31" s="828" customFormat="1" ht="15.75" customHeight="1">
      <c r="A1297" s="804" t="str">
        <f>IF(B1297&lt;&gt;"",IF(AND(B1297&gt;=_TM1,B1297&lt;=_TM2,OR(TH!L1297="1111",TH!M1297="1111")),TH!D1297,""),"")</f>
        <v/>
      </c>
      <c r="B1297" s="36">
        <f t="shared" si="82"/>
        <v>12</v>
      </c>
      <c r="C1297" s="189">
        <f t="shared" si="83"/>
        <v>42352</v>
      </c>
      <c r="D1297" s="189" t="s">
        <v>1323</v>
      </c>
      <c r="E1297" s="189">
        <v>42352</v>
      </c>
      <c r="F1297" s="922" t="s">
        <v>962</v>
      </c>
      <c r="G1297" s="811" t="s">
        <v>480</v>
      </c>
      <c r="H1297" s="191" t="s">
        <v>413</v>
      </c>
      <c r="I1297" s="243"/>
      <c r="J1297" s="243"/>
      <c r="K1297" s="573">
        <v>16557000</v>
      </c>
      <c r="L1297" s="574" t="s">
        <v>250</v>
      </c>
      <c r="M1297" s="574" t="s">
        <v>352</v>
      </c>
      <c r="N1297" s="51" t="str">
        <f>IF(AND('331-CT'!$E$7=TH!H1297,OR(L1297="331",M1297="331")),"331",IF(AND(OR(L1297="131",M1297="131"),H1297='131-CT'!$E$7),"131",""))</f>
        <v/>
      </c>
      <c r="O1297" s="51" t="str">
        <f>IF(AND($B1297&gt;='111'!$N$11,$B1297&lt;='111'!$O$11,OR($L1297=$O$7,$M1297=$O$7)),"x","")</f>
        <v/>
      </c>
      <c r="P1297" s="51" t="str">
        <f>IF(AND($L1297=$O$7,$B1297&lt;'111'!$N$11),"x","")</f>
        <v/>
      </c>
      <c r="Q1297" s="51" t="str">
        <f>IF(AND($M1297=$O$7,$B1297&lt;'111'!$N$11),"x","")</f>
        <v/>
      </c>
      <c r="R1297" s="51" t="str">
        <f>IF(ISERROR(FIND('112'!$M$9,G1297,1)),"",IF((AND(FIND('112'!$M$9,G1297,1)&gt;=1,$B1297&gt;='112'!$N$8,$B1297&lt;='112'!$O$8,OR($L1297='112'!$I$6,$M1297='112'!$I$6))),"x",""))</f>
        <v/>
      </c>
      <c r="S1297" s="51" t="str">
        <f>IF(ISERROR(FIND('112'!$M$9,G1297,1)),"",IF((AND(LEFT(G1297,2)=LEFT('112'!$M$9,2),B1297&lt;'112'!$N$8,$L1297='112'!$I$6)),"x",""))</f>
        <v/>
      </c>
      <c r="T1297" s="51" t="str">
        <f>IF(ISERROR(FIND('112'!$M$9,G1297,1)),"",IF((AND(RIGHT(G1297,2)=RIGHT('112'!$M$9,2),B1297&lt;'112'!$N$8,$M1297='112'!$I$6)),"x",""))</f>
        <v/>
      </c>
      <c r="U1297" s="51" t="str">
        <f>IF(AND(L1297="154",'154'!$O$5&lt;=B1297,'154'!$P$5&gt;=B1297),"154",IF(AND(L1297="632",'632'!$L$5&lt;=B1297,'632'!$M$5&gt;=B1297),"632",IF(AND(L1297="642",'642'!$N$5&lt;=B1297,'642'!$O$5&gt;=B1297),"642",IF(AND(L1297="641",'641'!$N$5&lt;=B1297,'641'!$O$5&gt;=B1297),"641",""))))</f>
        <v/>
      </c>
      <c r="V1297" s="51" t="str">
        <f>IF(OR(TH!L1297=TH!$V$7,M1297=TH!$V$7),"x","")</f>
        <v/>
      </c>
      <c r="W1297" s="51" t="str">
        <f>IF(AND(B1297&gt;='IN-NX'!$P$3,B1297&lt;='IN-NX'!$Q$3,'IN-NX'!$D$7=D1297,OR(LEFT(L1297,2)="15",AND(LEFT(M1297,2)&lt;&gt;"15",LEFT(M1297,2)&lt;&gt;"33"))),"x","")</f>
        <v/>
      </c>
      <c r="X1297" s="51" t="str">
        <f>IF(AND(OR(LEFT(TH!L1297,2)="15",LEFT(TH!M1297,2)="15"),'152-CT'!$J$8=TH!F1297),"x","")</f>
        <v/>
      </c>
      <c r="Y1297" s="51" t="str">
        <f>IF(AND(OR(LEFT(TH!L1297,2)="15",LEFT(TH!M1297,2)="15"),TK!$E$7=TH!F1297),"x","")</f>
        <v/>
      </c>
      <c r="Z1297" s="51" t="str">
        <f>IF(AND(B1297&lt;=NKC!$N$8,B1297&gt;=NKC!$M$8),"x","")</f>
        <v/>
      </c>
      <c r="AA1297" s="803"/>
      <c r="AB1297" s="565"/>
      <c r="AC1297" s="203"/>
      <c r="AD1297" s="203"/>
      <c r="AE1297" s="203"/>
    </row>
    <row r="1298" spans="1:31" s="828" customFormat="1" ht="15.75" customHeight="1">
      <c r="A1298" s="804" t="str">
        <f>IF(B1298&lt;&gt;"",IF(AND(B1298&gt;=_TM1,B1298&lt;=_TM2,OR(TH!L1298="1111",TH!M1298="1111")),TH!D1298,""),"")</f>
        <v/>
      </c>
      <c r="B1298" s="36">
        <f t="shared" si="82"/>
        <v>12</v>
      </c>
      <c r="C1298" s="189">
        <f t="shared" si="83"/>
        <v>42353</v>
      </c>
      <c r="D1298" s="189" t="s">
        <v>421</v>
      </c>
      <c r="E1298" s="182">
        <v>42353</v>
      </c>
      <c r="F1298" s="187" t="s">
        <v>423</v>
      </c>
      <c r="G1298" s="811" t="s">
        <v>415</v>
      </c>
      <c r="H1298" s="7" t="s">
        <v>445</v>
      </c>
      <c r="I1298" s="243"/>
      <c r="J1298" s="243"/>
      <c r="K1298" s="573">
        <v>5166150</v>
      </c>
      <c r="L1298" s="574" t="s">
        <v>24</v>
      </c>
      <c r="M1298" s="192" t="s">
        <v>250</v>
      </c>
      <c r="N1298" s="51" t="str">
        <f>IF(AND('331-CT'!$E$7=TH!H1298,OR(L1298="331",M1298="331")),"331",IF(AND(OR(L1298="131",M1298="131"),H1298='131-CT'!$E$7),"131",""))</f>
        <v/>
      </c>
      <c r="O1298" s="51" t="str">
        <f>IF(AND($B1298&gt;='111'!$N$11,$B1298&lt;='111'!$O$11,OR($L1298=$O$7,$M1298=$O$7)),"x","")</f>
        <v/>
      </c>
      <c r="P1298" s="51" t="str">
        <f>IF(AND($L1298=$O$7,$B1298&lt;'111'!$N$11),"x","")</f>
        <v/>
      </c>
      <c r="Q1298" s="51" t="str">
        <f>IF(AND($M1298=$O$7,$B1298&lt;'111'!$N$11),"x","")</f>
        <v/>
      </c>
      <c r="R1298" s="51" t="str">
        <f>IF(ISERROR(FIND('112'!$M$9,G1298,1)),"",IF((AND(FIND('112'!$M$9,G1298,1)&gt;=1,$B1298&gt;='112'!$N$8,$B1298&lt;='112'!$O$8,OR($L1298='112'!$I$6,$M1298='112'!$I$6))),"x",""))</f>
        <v/>
      </c>
      <c r="S1298" s="51" t="str">
        <f>IF(ISERROR(FIND('112'!$M$9,G1298,1)),"",IF((AND(LEFT(G1298,2)=LEFT('112'!$M$9,2),B1298&lt;'112'!$N$8,$L1298='112'!$I$6)),"x",""))</f>
        <v/>
      </c>
      <c r="T1298" s="51" t="str">
        <f>IF(ISERROR(FIND('112'!$M$9,G1298,1)),"",IF((AND(RIGHT(G1298,2)=RIGHT('112'!$M$9,2),B1298&lt;'112'!$N$8,$M1298='112'!$I$6)),"x",""))</f>
        <v/>
      </c>
      <c r="U1298" s="51" t="str">
        <f>IF(AND(L1298="154",'154'!$O$5&lt;=B1298,'154'!$P$5&gt;=B1298),"154",IF(AND(L1298="632",'632'!$L$5&lt;=B1298,'632'!$M$5&gt;=B1298),"632",IF(AND(L1298="642",'642'!$N$5&lt;=B1298,'642'!$O$5&gt;=B1298),"642",IF(AND(L1298="641",'641'!$N$5&lt;=B1298,'641'!$O$5&gt;=B1298),"641",""))))</f>
        <v/>
      </c>
      <c r="V1298" s="51" t="str">
        <f>IF(OR(TH!L1298=TH!$V$7,M1298=TH!$V$7),"x","")</f>
        <v/>
      </c>
      <c r="W1298" s="51" t="str">
        <f>IF(AND(B1298&gt;='IN-NX'!$P$3,B1298&lt;='IN-NX'!$Q$3,'IN-NX'!$D$7=D1298,OR(LEFT(L1298,2)="15",AND(LEFT(M1298,2)&lt;&gt;"15",LEFT(M1298,2)&lt;&gt;"33"))),"x","")</f>
        <v/>
      </c>
      <c r="X1298" s="51" t="str">
        <f>IF(AND(OR(LEFT(TH!L1298,2)="15",LEFT(TH!M1298,2)="15"),'152-CT'!$J$8=TH!F1298),"x","")</f>
        <v/>
      </c>
      <c r="Y1298" s="51" t="str">
        <f>IF(AND(OR(LEFT(TH!L1298,2)="15",LEFT(TH!M1298,2)="15"),TK!$E$7=TH!F1298),"x","")</f>
        <v/>
      </c>
      <c r="Z1298" s="51" t="str">
        <f>IF(AND(B1298&lt;=NKC!$N$8,B1298&gt;=NKC!$M$8),"x","")</f>
        <v/>
      </c>
      <c r="AA1298" s="803"/>
      <c r="AB1298" s="565"/>
      <c r="AC1298" s="203"/>
      <c r="AD1298" s="203"/>
      <c r="AE1298" s="203"/>
    </row>
    <row r="1299" spans="1:31" s="828" customFormat="1" ht="15.75" customHeight="1">
      <c r="A1299" s="804" t="str">
        <f>IF(B1299&lt;&gt;"",IF(AND(B1299&gt;=_TM1,B1299&lt;=_TM2,OR(TH!L1299="1111",TH!M1299="1111")),TH!D1299,""),"")</f>
        <v/>
      </c>
      <c r="B1299" s="36">
        <f t="shared" si="82"/>
        <v>12</v>
      </c>
      <c r="C1299" s="189">
        <f t="shared" si="83"/>
        <v>42353</v>
      </c>
      <c r="D1299" s="189" t="s">
        <v>1399</v>
      </c>
      <c r="E1299" s="182">
        <v>42353</v>
      </c>
      <c r="F1299" s="187" t="s">
        <v>427</v>
      </c>
      <c r="G1299" s="811" t="s">
        <v>415</v>
      </c>
      <c r="H1299" s="7" t="s">
        <v>437</v>
      </c>
      <c r="I1299" s="243"/>
      <c r="J1299" s="243"/>
      <c r="K1299" s="573">
        <v>5100000</v>
      </c>
      <c r="L1299" s="574" t="s">
        <v>47</v>
      </c>
      <c r="M1299" s="574" t="s">
        <v>24</v>
      </c>
      <c r="N1299" s="51" t="str">
        <f>IF(AND('331-CT'!$E$7=TH!H1299,OR(L1299="331",M1299="331")),"331",IF(AND(OR(L1299="131",M1299="131"),H1299='131-CT'!$E$7),"131",""))</f>
        <v/>
      </c>
      <c r="O1299" s="51" t="str">
        <f>IF(AND($B1299&gt;='111'!$N$11,$B1299&lt;='111'!$O$11,OR($L1299=$O$7,$M1299=$O$7)),"x","")</f>
        <v>x</v>
      </c>
      <c r="P1299" s="51" t="str">
        <f>IF(AND($L1299=$O$7,$B1299&lt;'111'!$N$11),"x","")</f>
        <v/>
      </c>
      <c r="Q1299" s="51" t="str">
        <f>IF(AND($M1299=$O$7,$B1299&lt;'111'!$N$11),"x","")</f>
        <v/>
      </c>
      <c r="R1299" s="51" t="str">
        <f>IF(ISERROR(FIND('112'!$M$9,G1299,1)),"",IF((AND(FIND('112'!$M$9,G1299,1)&gt;=1,$B1299&gt;='112'!$N$8,$B1299&lt;='112'!$O$8,OR($L1299='112'!$I$6,$M1299='112'!$I$6))),"x",""))</f>
        <v/>
      </c>
      <c r="S1299" s="51" t="str">
        <f>IF(ISERROR(FIND('112'!$M$9,G1299,1)),"",IF((AND(LEFT(G1299,2)=LEFT('112'!$M$9,2),B1299&lt;'112'!$N$8,$L1299='112'!$I$6)),"x",""))</f>
        <v/>
      </c>
      <c r="T1299" s="51" t="str">
        <f>IF(ISERROR(FIND('112'!$M$9,G1299,1)),"",IF((AND(RIGHT(G1299,2)=RIGHT('112'!$M$9,2),B1299&lt;'112'!$N$8,$M1299='112'!$I$6)),"x",""))</f>
        <v/>
      </c>
      <c r="U1299" s="51" t="str">
        <f>IF(AND(L1299="154",'154'!$O$5&lt;=B1299,'154'!$P$5&gt;=B1299),"154",IF(AND(L1299="632",'632'!$L$5&lt;=B1299,'632'!$M$5&gt;=B1299),"632",IF(AND(L1299="642",'642'!$N$5&lt;=B1299,'642'!$O$5&gt;=B1299),"642",IF(AND(L1299="641",'641'!$N$5&lt;=B1299,'641'!$O$5&gt;=B1299),"641",""))))</f>
        <v/>
      </c>
      <c r="V1299" s="51" t="str">
        <f>IF(OR(TH!L1299=TH!$V$7,M1299=TH!$V$7),"x","")</f>
        <v/>
      </c>
      <c r="W1299" s="51" t="str">
        <f>IF(AND(B1299&gt;='IN-NX'!$P$3,B1299&lt;='IN-NX'!$Q$3,'IN-NX'!$D$7=D1299,OR(LEFT(L1299,2)="15",AND(LEFT(M1299,2)&lt;&gt;"15",LEFT(M1299,2)&lt;&gt;"33"))),"x","")</f>
        <v/>
      </c>
      <c r="X1299" s="51" t="str">
        <f>IF(AND(OR(LEFT(TH!L1299,2)="15",LEFT(TH!M1299,2)="15"),'152-CT'!$J$8=TH!F1299),"x","")</f>
        <v/>
      </c>
      <c r="Y1299" s="51" t="str">
        <f>IF(AND(OR(LEFT(TH!L1299,2)="15",LEFT(TH!M1299,2)="15"),TK!$E$7=TH!F1299),"x","")</f>
        <v/>
      </c>
      <c r="Z1299" s="51" t="str">
        <f>IF(AND(B1299&lt;=NKC!$N$8,B1299&gt;=NKC!$M$8),"x","")</f>
        <v/>
      </c>
      <c r="AA1299" s="803"/>
      <c r="AB1299" s="565"/>
      <c r="AC1299" s="203"/>
      <c r="AD1299" s="203"/>
      <c r="AE1299" s="203"/>
    </row>
    <row r="1300" spans="1:31" s="828" customFormat="1" ht="15.75" customHeight="1">
      <c r="A1300" s="804" t="str">
        <f>IF(B1300&lt;&gt;"",IF(AND(B1300&gt;=_TM1,B1300&lt;=_TM2,OR(TH!L1300="1111",TH!M1300="1111")),TH!D1300,""),"")</f>
        <v/>
      </c>
      <c r="B1300" s="36">
        <f t="shared" si="82"/>
        <v>12</v>
      </c>
      <c r="C1300" s="189">
        <f t="shared" si="83"/>
        <v>42353</v>
      </c>
      <c r="D1300" s="189" t="s">
        <v>1324</v>
      </c>
      <c r="E1300" s="189">
        <v>42353</v>
      </c>
      <c r="F1300" s="922" t="s">
        <v>1237</v>
      </c>
      <c r="G1300" s="811" t="s">
        <v>741</v>
      </c>
      <c r="H1300" s="7" t="s">
        <v>446</v>
      </c>
      <c r="I1300" s="243">
        <v>330</v>
      </c>
      <c r="J1300" s="243">
        <v>13900</v>
      </c>
      <c r="K1300" s="573">
        <f>ROUND(I1300*J1300,0)</f>
        <v>4587000</v>
      </c>
      <c r="L1300" s="574" t="s">
        <v>250</v>
      </c>
      <c r="M1300" s="574" t="s">
        <v>164</v>
      </c>
      <c r="N1300" s="51" t="str">
        <f>IF(AND('331-CT'!$E$7=TH!H1300,OR(L1300="331",M1300="331")),"331",IF(AND(OR(L1300="131",M1300="131"),H1300='131-CT'!$E$7),"131",""))</f>
        <v/>
      </c>
      <c r="O1300" s="51" t="str">
        <f>IF(AND($B1300&gt;='111'!$N$11,$B1300&lt;='111'!$O$11,OR($L1300=$O$7,$M1300=$O$7)),"x","")</f>
        <v/>
      </c>
      <c r="P1300" s="51" t="str">
        <f>IF(AND($L1300=$O$7,$B1300&lt;'111'!$N$11),"x","")</f>
        <v/>
      </c>
      <c r="Q1300" s="51" t="str">
        <f>IF(AND($M1300=$O$7,$B1300&lt;'111'!$N$11),"x","")</f>
        <v/>
      </c>
      <c r="R1300" s="51" t="str">
        <f>IF(ISERROR(FIND('112'!$M$9,G1300,1)),"",IF((AND(FIND('112'!$M$9,G1300,1)&gt;=1,$B1300&gt;='112'!$N$8,$B1300&lt;='112'!$O$8,OR($L1300='112'!$I$6,$M1300='112'!$I$6))),"x",""))</f>
        <v/>
      </c>
      <c r="S1300" s="51" t="str">
        <f>IF(ISERROR(FIND('112'!$M$9,G1300,1)),"",IF((AND(LEFT(G1300,2)=LEFT('112'!$M$9,2),B1300&lt;'112'!$N$8,$L1300='112'!$I$6)),"x",""))</f>
        <v/>
      </c>
      <c r="T1300" s="51" t="str">
        <f>IF(ISERROR(FIND('112'!$M$9,G1300,1)),"",IF((AND(RIGHT(G1300,2)=RIGHT('112'!$M$9,2),B1300&lt;'112'!$N$8,$M1300='112'!$I$6)),"x",""))</f>
        <v/>
      </c>
      <c r="U1300" s="51" t="str">
        <f>IF(AND(L1300="154",'154'!$O$5&lt;=B1300,'154'!$P$5&gt;=B1300),"154",IF(AND(L1300="632",'632'!$L$5&lt;=B1300,'632'!$M$5&gt;=B1300),"632",IF(AND(L1300="642",'642'!$N$5&lt;=B1300,'642'!$O$5&gt;=B1300),"642",IF(AND(L1300="641",'641'!$N$5&lt;=B1300,'641'!$O$5&gt;=B1300),"641",""))))</f>
        <v/>
      </c>
      <c r="V1300" s="51" t="str">
        <f>IF(OR(TH!L1300=TH!$V$7,M1300=TH!$V$7),"x","")</f>
        <v/>
      </c>
      <c r="W1300" s="51" t="str">
        <f>IF(AND(B1300&gt;='IN-NX'!$P$3,B1300&lt;='IN-NX'!$Q$3,'IN-NX'!$D$7=D1300,OR(LEFT(L1300,2)="15",AND(LEFT(M1300,2)&lt;&gt;"15",LEFT(M1300,2)&lt;&gt;"33"))),"x","")</f>
        <v/>
      </c>
      <c r="X1300" s="51" t="str">
        <f>IF(AND(OR(LEFT(TH!L1300,2)="15",LEFT(TH!M1300,2)="15"),'152-CT'!$J$8=TH!F1300),"x","")</f>
        <v/>
      </c>
      <c r="Y1300" s="51" t="str">
        <f>IF(AND(OR(LEFT(TH!L1300,2)="15",LEFT(TH!M1300,2)="15"),TK!$E$7=TH!F1300),"x","")</f>
        <v/>
      </c>
      <c r="Z1300" s="51" t="str">
        <f>IF(AND(B1300&lt;=NKC!$N$8,B1300&gt;=NKC!$M$8),"x","")</f>
        <v/>
      </c>
      <c r="AA1300" s="803"/>
      <c r="AB1300" s="565"/>
      <c r="AC1300" s="203"/>
      <c r="AD1300" s="203"/>
      <c r="AE1300" s="203"/>
    </row>
    <row r="1301" spans="1:31" s="828" customFormat="1" ht="15.75" customHeight="1">
      <c r="A1301" s="804" t="str">
        <f>IF(B1301&lt;&gt;"",IF(AND(B1301&gt;=_TM1,B1301&lt;=_TM2,OR(TH!L1301="1111",TH!M1301="1111")),TH!D1301,""),"")</f>
        <v/>
      </c>
      <c r="B1301" s="36">
        <f t="shared" si="82"/>
        <v>12</v>
      </c>
      <c r="C1301" s="189">
        <f t="shared" si="83"/>
        <v>42353</v>
      </c>
      <c r="D1301" s="189" t="s">
        <v>1324</v>
      </c>
      <c r="E1301" s="189">
        <v>42353</v>
      </c>
      <c r="F1301" s="922" t="s">
        <v>962</v>
      </c>
      <c r="G1301" s="811" t="s">
        <v>741</v>
      </c>
      <c r="H1301" s="7" t="s">
        <v>446</v>
      </c>
      <c r="I1301" s="244"/>
      <c r="J1301" s="244"/>
      <c r="K1301" s="573">
        <v>458700</v>
      </c>
      <c r="L1301" s="574" t="s">
        <v>250</v>
      </c>
      <c r="M1301" s="574" t="s">
        <v>352</v>
      </c>
      <c r="N1301" s="51" t="str">
        <f>IF(AND('331-CT'!$E$7=TH!H1301,OR(L1301="331",M1301="331")),"331",IF(AND(OR(L1301="131",M1301="131"),H1301='131-CT'!$E$7),"131",""))</f>
        <v/>
      </c>
      <c r="O1301" s="51" t="str">
        <f>IF(AND($B1301&gt;='111'!$N$11,$B1301&lt;='111'!$O$11,OR($L1301=$O$7,$M1301=$O$7)),"x","")</f>
        <v/>
      </c>
      <c r="P1301" s="51" t="str">
        <f>IF(AND($L1301=$O$7,$B1301&lt;'111'!$N$11),"x","")</f>
        <v/>
      </c>
      <c r="Q1301" s="51" t="str">
        <f>IF(AND($M1301=$O$7,$B1301&lt;'111'!$N$11),"x","")</f>
        <v/>
      </c>
      <c r="R1301" s="51" t="str">
        <f>IF(ISERROR(FIND('112'!$M$9,G1301,1)),"",IF((AND(FIND('112'!$M$9,G1301,1)&gt;=1,$B1301&gt;='112'!$N$8,$B1301&lt;='112'!$O$8,OR($L1301='112'!$I$6,$M1301='112'!$I$6))),"x",""))</f>
        <v/>
      </c>
      <c r="S1301" s="51" t="str">
        <f>IF(ISERROR(FIND('112'!$M$9,G1301,1)),"",IF((AND(LEFT(G1301,2)=LEFT('112'!$M$9,2),B1301&lt;'112'!$N$8,$L1301='112'!$I$6)),"x",""))</f>
        <v/>
      </c>
      <c r="T1301" s="51" t="str">
        <f>IF(ISERROR(FIND('112'!$M$9,G1301,1)),"",IF((AND(RIGHT(G1301,2)=RIGHT('112'!$M$9,2),B1301&lt;'112'!$N$8,$M1301='112'!$I$6)),"x",""))</f>
        <v/>
      </c>
      <c r="U1301" s="51" t="str">
        <f>IF(AND(L1301="154",'154'!$O$5&lt;=B1301,'154'!$P$5&gt;=B1301),"154",IF(AND(L1301="632",'632'!$L$5&lt;=B1301,'632'!$M$5&gt;=B1301),"632",IF(AND(L1301="642",'642'!$N$5&lt;=B1301,'642'!$O$5&gt;=B1301),"642",IF(AND(L1301="641",'641'!$N$5&lt;=B1301,'641'!$O$5&gt;=B1301),"641",""))))</f>
        <v/>
      </c>
      <c r="V1301" s="51" t="str">
        <f>IF(OR(TH!L1301=TH!$V$7,M1301=TH!$V$7),"x","")</f>
        <v/>
      </c>
      <c r="W1301" s="51" t="str">
        <f>IF(AND(B1301&gt;='IN-NX'!$P$3,B1301&lt;='IN-NX'!$Q$3,'IN-NX'!$D$7=D1301,OR(LEFT(L1301,2)="15",AND(LEFT(M1301,2)&lt;&gt;"15",LEFT(M1301,2)&lt;&gt;"33"))),"x","")</f>
        <v/>
      </c>
      <c r="X1301" s="51" t="str">
        <f>IF(AND(OR(LEFT(TH!L1301,2)="15",LEFT(TH!M1301,2)="15"),'152-CT'!$J$8=TH!F1301),"x","")</f>
        <v/>
      </c>
      <c r="Y1301" s="51" t="str">
        <f>IF(AND(OR(LEFT(TH!L1301,2)="15",LEFT(TH!M1301,2)="15"),TK!$E$7=TH!F1301),"x","")</f>
        <v/>
      </c>
      <c r="Z1301" s="51" t="str">
        <f>IF(AND(B1301&lt;=NKC!$N$8,B1301&gt;=NKC!$M$8),"x","")</f>
        <v/>
      </c>
      <c r="AA1301" s="803"/>
      <c r="AB1301" s="565"/>
      <c r="AC1301" s="203"/>
      <c r="AD1301" s="203"/>
      <c r="AE1301" s="203"/>
    </row>
    <row r="1302" spans="1:31" s="828" customFormat="1" ht="15.75" customHeight="1">
      <c r="A1302" s="804" t="str">
        <f>IF(B1302&lt;&gt;"",IF(AND(B1302&gt;=_TM1,B1302&lt;=_TM2,OR(TH!L1302="1111",TH!M1302="1111")),TH!D1302,""),"")</f>
        <v/>
      </c>
      <c r="B1302" s="36">
        <f t="shared" si="82"/>
        <v>12</v>
      </c>
      <c r="C1302" s="189">
        <f t="shared" si="83"/>
        <v>42353</v>
      </c>
      <c r="D1302" s="189" t="s">
        <v>1401</v>
      </c>
      <c r="E1302" s="189">
        <v>42353</v>
      </c>
      <c r="F1302" s="922" t="s">
        <v>423</v>
      </c>
      <c r="G1302" s="811" t="s">
        <v>741</v>
      </c>
      <c r="H1302" s="7" t="s">
        <v>446</v>
      </c>
      <c r="I1302" s="244"/>
      <c r="J1302" s="244"/>
      <c r="K1302" s="573">
        <v>5045700</v>
      </c>
      <c r="L1302" s="574" t="s">
        <v>47</v>
      </c>
      <c r="M1302" s="574" t="s">
        <v>250</v>
      </c>
      <c r="N1302" s="51" t="str">
        <f>IF(AND('331-CT'!$E$7=TH!H1302,OR(L1302="331",M1302="331")),"331",IF(AND(OR(L1302="131",M1302="131"),H1302='131-CT'!$E$7),"131",""))</f>
        <v/>
      </c>
      <c r="O1302" s="51" t="str">
        <f>IF(AND($B1302&gt;='111'!$N$11,$B1302&lt;='111'!$O$11,OR($L1302=$O$7,$M1302=$O$7)),"x","")</f>
        <v>x</v>
      </c>
      <c r="P1302" s="51" t="str">
        <f>IF(AND($L1302=$O$7,$B1302&lt;'111'!$N$11),"x","")</f>
        <v/>
      </c>
      <c r="Q1302" s="51" t="str">
        <f>IF(AND($M1302=$O$7,$B1302&lt;'111'!$N$11),"x","")</f>
        <v/>
      </c>
      <c r="R1302" s="51" t="str">
        <f>IF(ISERROR(FIND('112'!$M$9,G1302,1)),"",IF((AND(FIND('112'!$M$9,G1302,1)&gt;=1,$B1302&gt;='112'!$N$8,$B1302&lt;='112'!$O$8,OR($L1302='112'!$I$6,$M1302='112'!$I$6))),"x",""))</f>
        <v/>
      </c>
      <c r="S1302" s="51" t="str">
        <f>IF(ISERROR(FIND('112'!$M$9,G1302,1)),"",IF((AND(LEFT(G1302,2)=LEFT('112'!$M$9,2),B1302&lt;'112'!$N$8,$L1302='112'!$I$6)),"x",""))</f>
        <v/>
      </c>
      <c r="T1302" s="51" t="str">
        <f>IF(ISERROR(FIND('112'!$M$9,G1302,1)),"",IF((AND(RIGHT(G1302,2)=RIGHT('112'!$M$9,2),B1302&lt;'112'!$N$8,$M1302='112'!$I$6)),"x",""))</f>
        <v/>
      </c>
      <c r="U1302" s="51" t="str">
        <f>IF(AND(L1302="154",'154'!$O$5&lt;=B1302,'154'!$P$5&gt;=B1302),"154",IF(AND(L1302="632",'632'!$L$5&lt;=B1302,'632'!$M$5&gt;=B1302),"632",IF(AND(L1302="642",'642'!$N$5&lt;=B1302,'642'!$O$5&gt;=B1302),"642",IF(AND(L1302="641",'641'!$N$5&lt;=B1302,'641'!$O$5&gt;=B1302),"641",""))))</f>
        <v/>
      </c>
      <c r="V1302" s="51" t="str">
        <f>IF(OR(TH!L1302=TH!$V$7,M1302=TH!$V$7),"x","")</f>
        <v/>
      </c>
      <c r="W1302" s="51" t="str">
        <f>IF(AND(B1302&gt;='IN-NX'!$P$3,B1302&lt;='IN-NX'!$Q$3,'IN-NX'!$D$7=D1302,OR(LEFT(L1302,2)="15",AND(LEFT(M1302,2)&lt;&gt;"15",LEFT(M1302,2)&lt;&gt;"33"))),"x","")</f>
        <v/>
      </c>
      <c r="X1302" s="51" t="str">
        <f>IF(AND(OR(LEFT(TH!L1302,2)="15",LEFT(TH!M1302,2)="15"),'152-CT'!$J$8=TH!F1302),"x","")</f>
        <v/>
      </c>
      <c r="Y1302" s="51" t="str">
        <f>IF(AND(OR(LEFT(TH!L1302,2)="15",LEFT(TH!M1302,2)="15"),TK!$E$7=TH!F1302),"x","")</f>
        <v/>
      </c>
      <c r="Z1302" s="51" t="str">
        <f>IF(AND(B1302&lt;=NKC!$N$8,B1302&gt;=NKC!$M$8),"x","")</f>
        <v/>
      </c>
      <c r="AA1302" s="803"/>
      <c r="AB1302" s="565"/>
      <c r="AC1302" s="203"/>
      <c r="AD1302" s="203"/>
      <c r="AE1302" s="203"/>
    </row>
    <row r="1303" spans="1:31" s="828" customFormat="1" ht="15.75" customHeight="1">
      <c r="A1303" s="804" t="str">
        <f>IF(B1303&lt;&gt;"",IF(AND(B1303&gt;=_TM1,B1303&lt;=_TM2,OR(TH!L1303="1111",TH!M1303="1111")),TH!D1303,""),"")</f>
        <v/>
      </c>
      <c r="B1303" s="36">
        <f t="shared" si="82"/>
        <v>12</v>
      </c>
      <c r="C1303" s="189">
        <f t="shared" si="83"/>
        <v>42353</v>
      </c>
      <c r="D1303" s="189" t="s">
        <v>1325</v>
      </c>
      <c r="E1303" s="189">
        <v>42353</v>
      </c>
      <c r="F1303" s="922" t="s">
        <v>906</v>
      </c>
      <c r="G1303" s="811" t="s">
        <v>1105</v>
      </c>
      <c r="H1303" s="191" t="s">
        <v>1106</v>
      </c>
      <c r="I1303" s="243">
        <v>490</v>
      </c>
      <c r="J1303" s="243">
        <v>15000</v>
      </c>
      <c r="K1303" s="573">
        <f>ROUND(I1303*J1303,0)</f>
        <v>7350000</v>
      </c>
      <c r="L1303" s="574" t="s">
        <v>250</v>
      </c>
      <c r="M1303" s="574" t="s">
        <v>164</v>
      </c>
      <c r="N1303" s="51" t="str">
        <f>IF(AND('331-CT'!$E$7=TH!H1303,OR(L1303="331",M1303="331")),"331",IF(AND(OR(L1303="131",M1303="131"),H1303='131-CT'!$E$7),"131",""))</f>
        <v/>
      </c>
      <c r="O1303" s="51" t="str">
        <f>IF(AND($B1303&gt;='111'!$N$11,$B1303&lt;='111'!$O$11,OR($L1303=$O$7,$M1303=$O$7)),"x","")</f>
        <v/>
      </c>
      <c r="P1303" s="51" t="str">
        <f>IF(AND($L1303=$O$7,$B1303&lt;'111'!$N$11),"x","")</f>
        <v/>
      </c>
      <c r="Q1303" s="51" t="str">
        <f>IF(AND($M1303=$O$7,$B1303&lt;'111'!$N$11),"x","")</f>
        <v/>
      </c>
      <c r="R1303" s="51" t="str">
        <f>IF(ISERROR(FIND('112'!$M$9,G1303,1)),"",IF((AND(FIND('112'!$M$9,G1303,1)&gt;=1,$B1303&gt;='112'!$N$8,$B1303&lt;='112'!$O$8,OR($L1303='112'!$I$6,$M1303='112'!$I$6))),"x",""))</f>
        <v/>
      </c>
      <c r="S1303" s="51" t="str">
        <f>IF(ISERROR(FIND('112'!$M$9,G1303,1)),"",IF((AND(LEFT(G1303,2)=LEFT('112'!$M$9,2),B1303&lt;'112'!$N$8,$L1303='112'!$I$6)),"x",""))</f>
        <v/>
      </c>
      <c r="T1303" s="51" t="str">
        <f>IF(ISERROR(FIND('112'!$M$9,G1303,1)),"",IF((AND(RIGHT(G1303,2)=RIGHT('112'!$M$9,2),B1303&lt;'112'!$N$8,$M1303='112'!$I$6)),"x",""))</f>
        <v/>
      </c>
      <c r="U1303" s="51" t="str">
        <f>IF(AND(L1303="154",'154'!$O$5&lt;=B1303,'154'!$P$5&gt;=B1303),"154",IF(AND(L1303="632",'632'!$L$5&lt;=B1303,'632'!$M$5&gt;=B1303),"632",IF(AND(L1303="642",'642'!$N$5&lt;=B1303,'642'!$O$5&gt;=B1303),"642",IF(AND(L1303="641",'641'!$N$5&lt;=B1303,'641'!$O$5&gt;=B1303),"641",""))))</f>
        <v/>
      </c>
      <c r="V1303" s="51" t="str">
        <f>IF(OR(TH!L1303=TH!$V$7,M1303=TH!$V$7),"x","")</f>
        <v/>
      </c>
      <c r="W1303" s="51" t="str">
        <f>IF(AND(B1303&gt;='IN-NX'!$P$3,B1303&lt;='IN-NX'!$Q$3,'IN-NX'!$D$7=D1303,OR(LEFT(L1303,2)="15",AND(LEFT(M1303,2)&lt;&gt;"15",LEFT(M1303,2)&lt;&gt;"33"))),"x","")</f>
        <v/>
      </c>
      <c r="X1303" s="51" t="str">
        <f>IF(AND(OR(LEFT(TH!L1303,2)="15",LEFT(TH!M1303,2)="15"),'152-CT'!$J$8=TH!F1303),"x","")</f>
        <v/>
      </c>
      <c r="Y1303" s="51" t="str">
        <f>IF(AND(OR(LEFT(TH!L1303,2)="15",LEFT(TH!M1303,2)="15"),TK!$E$7=TH!F1303),"x","")</f>
        <v/>
      </c>
      <c r="Z1303" s="51" t="str">
        <f>IF(AND(B1303&lt;=NKC!$N$8,B1303&gt;=NKC!$M$8),"x","")</f>
        <v/>
      </c>
      <c r="AA1303" s="803"/>
      <c r="AB1303" s="565"/>
      <c r="AC1303" s="203"/>
      <c r="AD1303" s="203"/>
      <c r="AE1303" s="203"/>
    </row>
    <row r="1304" spans="1:31" s="828" customFormat="1" ht="15.75" customHeight="1">
      <c r="A1304" s="804" t="str">
        <f>IF(B1304&lt;&gt;"",IF(AND(B1304&gt;=_TM1,B1304&lt;=_TM2,OR(TH!L1304="1111",TH!M1304="1111")),TH!D1304,""),"")</f>
        <v/>
      </c>
      <c r="B1304" s="36">
        <f t="shared" si="82"/>
        <v>12</v>
      </c>
      <c r="C1304" s="189">
        <f t="shared" si="83"/>
        <v>42353</v>
      </c>
      <c r="D1304" s="189" t="s">
        <v>1325</v>
      </c>
      <c r="E1304" s="189">
        <v>42353</v>
      </c>
      <c r="F1304" s="922" t="s">
        <v>907</v>
      </c>
      <c r="G1304" s="811" t="s">
        <v>1105</v>
      </c>
      <c r="H1304" s="191" t="s">
        <v>1106</v>
      </c>
      <c r="I1304" s="243">
        <v>248</v>
      </c>
      <c r="J1304" s="243">
        <v>16026</v>
      </c>
      <c r="K1304" s="573">
        <f>ROUND(I1304*J1304,0)</f>
        <v>3974448</v>
      </c>
      <c r="L1304" s="574" t="s">
        <v>250</v>
      </c>
      <c r="M1304" s="574" t="s">
        <v>164</v>
      </c>
      <c r="N1304" s="51" t="str">
        <f>IF(AND('331-CT'!$E$7=TH!H1304,OR(L1304="331",M1304="331")),"331",IF(AND(OR(L1304="131",M1304="131"),H1304='131-CT'!$E$7),"131",""))</f>
        <v/>
      </c>
      <c r="O1304" s="51" t="str">
        <f>IF(AND($B1304&gt;='111'!$N$11,$B1304&lt;='111'!$O$11,OR($L1304=$O$7,$M1304=$O$7)),"x","")</f>
        <v/>
      </c>
      <c r="P1304" s="51" t="str">
        <f>IF(AND($L1304=$O$7,$B1304&lt;'111'!$N$11),"x","")</f>
        <v/>
      </c>
      <c r="Q1304" s="51" t="str">
        <f>IF(AND($M1304=$O$7,$B1304&lt;'111'!$N$11),"x","")</f>
        <v/>
      </c>
      <c r="R1304" s="51" t="str">
        <f>IF(ISERROR(FIND('112'!$M$9,G1304,1)),"",IF((AND(FIND('112'!$M$9,G1304,1)&gt;=1,$B1304&gt;='112'!$N$8,$B1304&lt;='112'!$O$8,OR($L1304='112'!$I$6,$M1304='112'!$I$6))),"x",""))</f>
        <v/>
      </c>
      <c r="S1304" s="51" t="str">
        <f>IF(ISERROR(FIND('112'!$M$9,G1304,1)),"",IF((AND(LEFT(G1304,2)=LEFT('112'!$M$9,2),B1304&lt;'112'!$N$8,$L1304='112'!$I$6)),"x",""))</f>
        <v/>
      </c>
      <c r="T1304" s="51" t="str">
        <f>IF(ISERROR(FIND('112'!$M$9,G1304,1)),"",IF((AND(RIGHT(G1304,2)=RIGHT('112'!$M$9,2),B1304&lt;'112'!$N$8,$M1304='112'!$I$6)),"x",""))</f>
        <v/>
      </c>
      <c r="U1304" s="51" t="str">
        <f>IF(AND(L1304="154",'154'!$O$5&lt;=B1304,'154'!$P$5&gt;=B1304),"154",IF(AND(L1304="632",'632'!$L$5&lt;=B1304,'632'!$M$5&gt;=B1304),"632",IF(AND(L1304="642",'642'!$N$5&lt;=B1304,'642'!$O$5&gt;=B1304),"642",IF(AND(L1304="641",'641'!$N$5&lt;=B1304,'641'!$O$5&gt;=B1304),"641",""))))</f>
        <v/>
      </c>
      <c r="V1304" s="51" t="str">
        <f>IF(OR(TH!L1304=TH!$V$7,M1304=TH!$V$7),"x","")</f>
        <v/>
      </c>
      <c r="W1304" s="51" t="str">
        <f>IF(AND(B1304&gt;='IN-NX'!$P$3,B1304&lt;='IN-NX'!$Q$3,'IN-NX'!$D$7=D1304,OR(LEFT(L1304,2)="15",AND(LEFT(M1304,2)&lt;&gt;"15",LEFT(M1304,2)&lt;&gt;"33"))),"x","")</f>
        <v/>
      </c>
      <c r="X1304" s="51" t="str">
        <f>IF(AND(OR(LEFT(TH!L1304,2)="15",LEFT(TH!M1304,2)="15"),'152-CT'!$J$8=TH!F1304),"x","")</f>
        <v/>
      </c>
      <c r="Y1304" s="51" t="str">
        <f>IF(AND(OR(LEFT(TH!L1304,2)="15",LEFT(TH!M1304,2)="15"),TK!$E$7=TH!F1304),"x","")</f>
        <v/>
      </c>
      <c r="Z1304" s="51" t="str">
        <f>IF(AND(B1304&lt;=NKC!$N$8,B1304&gt;=NKC!$M$8),"x","")</f>
        <v/>
      </c>
      <c r="AA1304" s="803"/>
      <c r="AB1304" s="565"/>
      <c r="AC1304" s="203"/>
      <c r="AD1304" s="203"/>
      <c r="AE1304" s="203"/>
    </row>
    <row r="1305" spans="1:31" s="828" customFormat="1" ht="15.75" customHeight="1">
      <c r="A1305" s="804" t="str">
        <f>IF(B1305&lt;&gt;"",IF(AND(B1305&gt;=_TM1,B1305&lt;=_TM2,OR(TH!L1305="1111",TH!M1305="1111")),TH!D1305,""),"")</f>
        <v/>
      </c>
      <c r="B1305" s="36">
        <f t="shared" si="82"/>
        <v>12</v>
      </c>
      <c r="C1305" s="189">
        <f t="shared" si="83"/>
        <v>42353</v>
      </c>
      <c r="D1305" s="189" t="s">
        <v>1325</v>
      </c>
      <c r="E1305" s="189">
        <v>42353</v>
      </c>
      <c r="F1305" s="922" t="s">
        <v>1236</v>
      </c>
      <c r="G1305" s="811" t="s">
        <v>1105</v>
      </c>
      <c r="H1305" s="191" t="s">
        <v>1106</v>
      </c>
      <c r="I1305" s="246">
        <v>123</v>
      </c>
      <c r="J1305" s="246">
        <v>11245</v>
      </c>
      <c r="K1305" s="573">
        <f>ROUND(I1305*J1305,0)</f>
        <v>1383135</v>
      </c>
      <c r="L1305" s="574" t="s">
        <v>250</v>
      </c>
      <c r="M1305" s="574" t="s">
        <v>164</v>
      </c>
      <c r="N1305" s="51" t="str">
        <f>IF(AND('331-CT'!$E$7=TH!H1305,OR(L1305="331",M1305="331")),"331",IF(AND(OR(L1305="131",M1305="131"),H1305='131-CT'!$E$7),"131",""))</f>
        <v/>
      </c>
      <c r="O1305" s="51" t="str">
        <f>IF(AND($B1305&gt;='111'!$N$11,$B1305&lt;='111'!$O$11,OR($L1305=$O$7,$M1305=$O$7)),"x","")</f>
        <v/>
      </c>
      <c r="P1305" s="51" t="str">
        <f>IF(AND($L1305=$O$7,$B1305&lt;'111'!$N$11),"x","")</f>
        <v/>
      </c>
      <c r="Q1305" s="51" t="str">
        <f>IF(AND($M1305=$O$7,$B1305&lt;'111'!$N$11),"x","")</f>
        <v/>
      </c>
      <c r="R1305" s="51" t="str">
        <f>IF(ISERROR(FIND('112'!$M$9,G1305,1)),"",IF((AND(FIND('112'!$M$9,G1305,1)&gt;=1,$B1305&gt;='112'!$N$8,$B1305&lt;='112'!$O$8,OR($L1305='112'!$I$6,$M1305='112'!$I$6))),"x",""))</f>
        <v/>
      </c>
      <c r="S1305" s="51" t="str">
        <f>IF(ISERROR(FIND('112'!$M$9,G1305,1)),"",IF((AND(LEFT(G1305,2)=LEFT('112'!$M$9,2),B1305&lt;'112'!$N$8,$L1305='112'!$I$6)),"x",""))</f>
        <v/>
      </c>
      <c r="T1305" s="51" t="str">
        <f>IF(ISERROR(FIND('112'!$M$9,G1305,1)),"",IF((AND(RIGHT(G1305,2)=RIGHT('112'!$M$9,2),B1305&lt;'112'!$N$8,$M1305='112'!$I$6)),"x",""))</f>
        <v/>
      </c>
      <c r="U1305" s="51" t="str">
        <f>IF(AND(L1305="154",'154'!$O$5&lt;=B1305,'154'!$P$5&gt;=B1305),"154",IF(AND(L1305="632",'632'!$L$5&lt;=B1305,'632'!$M$5&gt;=B1305),"632",IF(AND(L1305="642",'642'!$N$5&lt;=B1305,'642'!$O$5&gt;=B1305),"642",IF(AND(L1305="641",'641'!$N$5&lt;=B1305,'641'!$O$5&gt;=B1305),"641",""))))</f>
        <v/>
      </c>
      <c r="V1305" s="51" t="str">
        <f>IF(OR(TH!L1305=TH!$V$7,M1305=TH!$V$7),"x","")</f>
        <v/>
      </c>
      <c r="W1305" s="51" t="str">
        <f>IF(AND(B1305&gt;='IN-NX'!$P$3,B1305&lt;='IN-NX'!$Q$3,'IN-NX'!$D$7=D1305,OR(LEFT(L1305,2)="15",AND(LEFT(M1305,2)&lt;&gt;"15",LEFT(M1305,2)&lt;&gt;"33"))),"x","")</f>
        <v/>
      </c>
      <c r="X1305" s="51" t="str">
        <f>IF(AND(OR(LEFT(TH!L1305,2)="15",LEFT(TH!M1305,2)="15"),'152-CT'!$J$8=TH!F1305),"x","")</f>
        <v/>
      </c>
      <c r="Y1305" s="51" t="str">
        <f>IF(AND(OR(LEFT(TH!L1305,2)="15",LEFT(TH!M1305,2)="15"),TK!$E$7=TH!F1305),"x","")</f>
        <v/>
      </c>
      <c r="Z1305" s="51" t="str">
        <f>IF(AND(B1305&lt;=NKC!$N$8,B1305&gt;=NKC!$M$8),"x","")</f>
        <v/>
      </c>
      <c r="AA1305" s="803"/>
      <c r="AB1305" s="565"/>
      <c r="AC1305" s="203"/>
      <c r="AD1305" s="203"/>
      <c r="AE1305" s="203"/>
    </row>
    <row r="1306" spans="1:31" s="828" customFormat="1" ht="15.75" customHeight="1">
      <c r="A1306" s="804" t="str">
        <f>IF(B1306&lt;&gt;"",IF(AND(B1306&gt;=_TM1,B1306&lt;=_TM2,OR(TH!L1306="1111",TH!M1306="1111")),TH!D1306,""),"")</f>
        <v/>
      </c>
      <c r="B1306" s="36">
        <f t="shared" si="82"/>
        <v>12</v>
      </c>
      <c r="C1306" s="189">
        <f t="shared" si="83"/>
        <v>42353</v>
      </c>
      <c r="D1306" s="189" t="s">
        <v>1325</v>
      </c>
      <c r="E1306" s="189">
        <v>42353</v>
      </c>
      <c r="F1306" s="922" t="s">
        <v>908</v>
      </c>
      <c r="G1306" s="811" t="s">
        <v>1105</v>
      </c>
      <c r="H1306" s="191" t="s">
        <v>1106</v>
      </c>
      <c r="I1306" s="243">
        <v>248</v>
      </c>
      <c r="J1306" s="243">
        <v>11000</v>
      </c>
      <c r="K1306" s="573">
        <f>ROUND(I1306*J1306,0)</f>
        <v>2728000</v>
      </c>
      <c r="L1306" s="574" t="s">
        <v>250</v>
      </c>
      <c r="M1306" s="574" t="s">
        <v>164</v>
      </c>
      <c r="N1306" s="51" t="str">
        <f>IF(AND('331-CT'!$E$7=TH!H1306,OR(L1306="331",M1306="331")),"331",IF(AND(OR(L1306="131",M1306="131"),H1306='131-CT'!$E$7),"131",""))</f>
        <v/>
      </c>
      <c r="O1306" s="51" t="str">
        <f>IF(AND($B1306&gt;='111'!$N$11,$B1306&lt;='111'!$O$11,OR($L1306=$O$7,$M1306=$O$7)),"x","")</f>
        <v/>
      </c>
      <c r="P1306" s="51" t="str">
        <f>IF(AND($L1306=$O$7,$B1306&lt;'111'!$N$11),"x","")</f>
        <v/>
      </c>
      <c r="Q1306" s="51" t="str">
        <f>IF(AND($M1306=$O$7,$B1306&lt;'111'!$N$11),"x","")</f>
        <v/>
      </c>
      <c r="R1306" s="51" t="str">
        <f>IF(ISERROR(FIND('112'!$M$9,G1306,1)),"",IF((AND(FIND('112'!$M$9,G1306,1)&gt;=1,$B1306&gt;='112'!$N$8,$B1306&lt;='112'!$O$8,OR($L1306='112'!$I$6,$M1306='112'!$I$6))),"x",""))</f>
        <v/>
      </c>
      <c r="S1306" s="51" t="str">
        <f>IF(ISERROR(FIND('112'!$M$9,G1306,1)),"",IF((AND(LEFT(G1306,2)=LEFT('112'!$M$9,2),B1306&lt;'112'!$N$8,$L1306='112'!$I$6)),"x",""))</f>
        <v/>
      </c>
      <c r="T1306" s="51" t="str">
        <f>IF(ISERROR(FIND('112'!$M$9,G1306,1)),"",IF((AND(RIGHT(G1306,2)=RIGHT('112'!$M$9,2),B1306&lt;'112'!$N$8,$M1306='112'!$I$6)),"x",""))</f>
        <v/>
      </c>
      <c r="U1306" s="51" t="str">
        <f>IF(AND(L1306="154",'154'!$O$5&lt;=B1306,'154'!$P$5&gt;=B1306),"154",IF(AND(L1306="632",'632'!$L$5&lt;=B1306,'632'!$M$5&gt;=B1306),"632",IF(AND(L1306="642",'642'!$N$5&lt;=B1306,'642'!$O$5&gt;=B1306),"642",IF(AND(L1306="641",'641'!$N$5&lt;=B1306,'641'!$O$5&gt;=B1306),"641",""))))</f>
        <v/>
      </c>
      <c r="V1306" s="51" t="str">
        <f>IF(OR(TH!L1306=TH!$V$7,M1306=TH!$V$7),"x","")</f>
        <v/>
      </c>
      <c r="W1306" s="51" t="str">
        <f>IF(AND(B1306&gt;='IN-NX'!$P$3,B1306&lt;='IN-NX'!$Q$3,'IN-NX'!$D$7=D1306,OR(LEFT(L1306,2)="15",AND(LEFT(M1306,2)&lt;&gt;"15",LEFT(M1306,2)&lt;&gt;"33"))),"x","")</f>
        <v/>
      </c>
      <c r="X1306" s="51" t="str">
        <f>IF(AND(OR(LEFT(TH!L1306,2)="15",LEFT(TH!M1306,2)="15"),'152-CT'!$J$8=TH!F1306),"x","")</f>
        <v/>
      </c>
      <c r="Y1306" s="51" t="str">
        <f>IF(AND(OR(LEFT(TH!L1306,2)="15",LEFT(TH!M1306,2)="15"),TK!$E$7=TH!F1306),"x","")</f>
        <v/>
      </c>
      <c r="Z1306" s="51" t="str">
        <f>IF(AND(B1306&lt;=NKC!$N$8,B1306&gt;=NKC!$M$8),"x","")</f>
        <v/>
      </c>
      <c r="AA1306" s="803"/>
      <c r="AB1306" s="565"/>
      <c r="AC1306" s="203"/>
      <c r="AD1306" s="203"/>
      <c r="AE1306" s="203"/>
    </row>
    <row r="1307" spans="1:31" s="828" customFormat="1" ht="15.75" customHeight="1">
      <c r="A1307" s="804" t="str">
        <f>IF(B1307&lt;&gt;"",IF(AND(B1307&gt;=_TM1,B1307&lt;=_TM2,OR(TH!L1307="1111",TH!M1307="1111")),TH!D1307,""),"")</f>
        <v/>
      </c>
      <c r="B1307" s="36">
        <f t="shared" si="82"/>
        <v>12</v>
      </c>
      <c r="C1307" s="189">
        <f t="shared" si="83"/>
        <v>42353</v>
      </c>
      <c r="D1307" s="189" t="s">
        <v>1325</v>
      </c>
      <c r="E1307" s="189">
        <v>42353</v>
      </c>
      <c r="F1307" s="922" t="s">
        <v>962</v>
      </c>
      <c r="G1307" s="811" t="s">
        <v>1105</v>
      </c>
      <c r="H1307" s="191" t="s">
        <v>1106</v>
      </c>
      <c r="I1307" s="243"/>
      <c r="J1307" s="243"/>
      <c r="K1307" s="573">
        <v>1543558</v>
      </c>
      <c r="L1307" s="574" t="s">
        <v>250</v>
      </c>
      <c r="M1307" s="574" t="s">
        <v>352</v>
      </c>
      <c r="N1307" s="51" t="str">
        <f>IF(AND('331-CT'!$E$7=TH!H1307,OR(L1307="331",M1307="331")),"331",IF(AND(OR(L1307="131",M1307="131"),H1307='131-CT'!$E$7),"131",""))</f>
        <v/>
      </c>
      <c r="O1307" s="51" t="str">
        <f>IF(AND($B1307&gt;='111'!$N$11,$B1307&lt;='111'!$O$11,OR($L1307=$O$7,$M1307=$O$7)),"x","")</f>
        <v/>
      </c>
      <c r="P1307" s="51" t="str">
        <f>IF(AND($L1307=$O$7,$B1307&lt;'111'!$N$11),"x","")</f>
        <v/>
      </c>
      <c r="Q1307" s="51" t="str">
        <f>IF(AND($M1307=$O$7,$B1307&lt;'111'!$N$11),"x","")</f>
        <v/>
      </c>
      <c r="R1307" s="51" t="str">
        <f>IF(ISERROR(FIND('112'!$M$9,G1307,1)),"",IF((AND(FIND('112'!$M$9,G1307,1)&gt;=1,$B1307&gt;='112'!$N$8,$B1307&lt;='112'!$O$8,OR($L1307='112'!$I$6,$M1307='112'!$I$6))),"x",""))</f>
        <v/>
      </c>
      <c r="S1307" s="51" t="str">
        <f>IF(ISERROR(FIND('112'!$M$9,G1307,1)),"",IF((AND(LEFT(G1307,2)=LEFT('112'!$M$9,2),B1307&lt;'112'!$N$8,$L1307='112'!$I$6)),"x",""))</f>
        <v/>
      </c>
      <c r="T1307" s="51" t="str">
        <f>IF(ISERROR(FIND('112'!$M$9,G1307,1)),"",IF((AND(RIGHT(G1307,2)=RIGHT('112'!$M$9,2),B1307&lt;'112'!$N$8,$M1307='112'!$I$6)),"x",""))</f>
        <v/>
      </c>
      <c r="U1307" s="51" t="str">
        <f>IF(AND(L1307="154",'154'!$O$5&lt;=B1307,'154'!$P$5&gt;=B1307),"154",IF(AND(L1307="632",'632'!$L$5&lt;=B1307,'632'!$M$5&gt;=B1307),"632",IF(AND(L1307="642",'642'!$N$5&lt;=B1307,'642'!$O$5&gt;=B1307),"642",IF(AND(L1307="641",'641'!$N$5&lt;=B1307,'641'!$O$5&gt;=B1307),"641",""))))</f>
        <v/>
      </c>
      <c r="V1307" s="51" t="str">
        <f>IF(OR(TH!L1307=TH!$V$7,M1307=TH!$V$7),"x","")</f>
        <v/>
      </c>
      <c r="W1307" s="51" t="str">
        <f>IF(AND(B1307&gt;='IN-NX'!$P$3,B1307&lt;='IN-NX'!$Q$3,'IN-NX'!$D$7=D1307,OR(LEFT(L1307,2)="15",AND(LEFT(M1307,2)&lt;&gt;"15",LEFT(M1307,2)&lt;&gt;"33"))),"x","")</f>
        <v/>
      </c>
      <c r="X1307" s="51" t="str">
        <f>IF(AND(OR(LEFT(TH!L1307,2)="15",LEFT(TH!M1307,2)="15"),'152-CT'!$J$8=TH!F1307),"x","")</f>
        <v/>
      </c>
      <c r="Y1307" s="51" t="str">
        <f>IF(AND(OR(LEFT(TH!L1307,2)="15",LEFT(TH!M1307,2)="15"),TK!$E$7=TH!F1307),"x","")</f>
        <v/>
      </c>
      <c r="Z1307" s="51" t="str">
        <f>IF(AND(B1307&lt;=NKC!$N$8,B1307&gt;=NKC!$M$8),"x","")</f>
        <v/>
      </c>
      <c r="AA1307" s="803"/>
      <c r="AB1307" s="565"/>
      <c r="AC1307" s="203"/>
      <c r="AD1307" s="203"/>
      <c r="AE1307" s="203"/>
    </row>
    <row r="1308" spans="1:31" s="828" customFormat="1" ht="15.75" customHeight="1">
      <c r="A1308" s="804" t="str">
        <f>IF(B1308&lt;&gt;"",IF(AND(B1308&gt;=_TM1,B1308&lt;=_TM2,OR(TH!L1308="1111",TH!M1308="1111")),TH!D1308,""),"")</f>
        <v/>
      </c>
      <c r="B1308" s="36">
        <f t="shared" si="82"/>
        <v>12</v>
      </c>
      <c r="C1308" s="189">
        <f t="shared" si="83"/>
        <v>42353</v>
      </c>
      <c r="D1308" s="189" t="s">
        <v>1404</v>
      </c>
      <c r="E1308" s="189">
        <v>42353</v>
      </c>
      <c r="F1308" s="922" t="s">
        <v>423</v>
      </c>
      <c r="G1308" s="811" t="s">
        <v>1105</v>
      </c>
      <c r="H1308" s="191" t="s">
        <v>1106</v>
      </c>
      <c r="I1308" s="243"/>
      <c r="J1308" s="243"/>
      <c r="K1308" s="573">
        <v>16979141</v>
      </c>
      <c r="L1308" s="574" t="s">
        <v>47</v>
      </c>
      <c r="M1308" s="574" t="s">
        <v>250</v>
      </c>
      <c r="N1308" s="51" t="str">
        <f>IF(AND('331-CT'!$E$7=TH!H1308,OR(L1308="331",M1308="331")),"331",IF(AND(OR(L1308="131",M1308="131"),H1308='131-CT'!$E$7),"131",""))</f>
        <v/>
      </c>
      <c r="O1308" s="51" t="str">
        <f>IF(AND($B1308&gt;='111'!$N$11,$B1308&lt;='111'!$O$11,OR($L1308=$O$7,$M1308=$O$7)),"x","")</f>
        <v>x</v>
      </c>
      <c r="P1308" s="51" t="str">
        <f>IF(AND($L1308=$O$7,$B1308&lt;'111'!$N$11),"x","")</f>
        <v/>
      </c>
      <c r="Q1308" s="51" t="str">
        <f>IF(AND($M1308=$O$7,$B1308&lt;'111'!$N$11),"x","")</f>
        <v/>
      </c>
      <c r="R1308" s="51" t="str">
        <f>IF(ISERROR(FIND('112'!$M$9,G1308,1)),"",IF((AND(FIND('112'!$M$9,G1308,1)&gt;=1,$B1308&gt;='112'!$N$8,$B1308&lt;='112'!$O$8,OR($L1308='112'!$I$6,$M1308='112'!$I$6))),"x",""))</f>
        <v/>
      </c>
      <c r="S1308" s="51" t="str">
        <f>IF(ISERROR(FIND('112'!$M$9,G1308,1)),"",IF((AND(LEFT(G1308,2)=LEFT('112'!$M$9,2),B1308&lt;'112'!$N$8,$L1308='112'!$I$6)),"x",""))</f>
        <v/>
      </c>
      <c r="T1308" s="51" t="str">
        <f>IF(ISERROR(FIND('112'!$M$9,G1308,1)),"",IF((AND(RIGHT(G1308,2)=RIGHT('112'!$M$9,2),B1308&lt;'112'!$N$8,$M1308='112'!$I$6)),"x",""))</f>
        <v/>
      </c>
      <c r="U1308" s="51" t="str">
        <f>IF(AND(L1308="154",'154'!$O$5&lt;=B1308,'154'!$P$5&gt;=B1308),"154",IF(AND(L1308="632",'632'!$L$5&lt;=B1308,'632'!$M$5&gt;=B1308),"632",IF(AND(L1308="642",'642'!$N$5&lt;=B1308,'642'!$O$5&gt;=B1308),"642",IF(AND(L1308="641",'641'!$N$5&lt;=B1308,'641'!$O$5&gt;=B1308),"641",""))))</f>
        <v/>
      </c>
      <c r="V1308" s="51" t="str">
        <f>IF(OR(TH!L1308=TH!$V$7,M1308=TH!$V$7),"x","")</f>
        <v/>
      </c>
      <c r="W1308" s="51" t="str">
        <f>IF(AND(B1308&gt;='IN-NX'!$P$3,B1308&lt;='IN-NX'!$Q$3,'IN-NX'!$D$7=D1308,OR(LEFT(L1308,2)="15",AND(LEFT(M1308,2)&lt;&gt;"15",LEFT(M1308,2)&lt;&gt;"33"))),"x","")</f>
        <v/>
      </c>
      <c r="X1308" s="51" t="str">
        <f>IF(AND(OR(LEFT(TH!L1308,2)="15",LEFT(TH!M1308,2)="15"),'152-CT'!$J$8=TH!F1308),"x","")</f>
        <v/>
      </c>
      <c r="Y1308" s="51" t="str">
        <f>IF(AND(OR(LEFT(TH!L1308,2)="15",LEFT(TH!M1308,2)="15"),TK!$E$7=TH!F1308),"x","")</f>
        <v/>
      </c>
      <c r="Z1308" s="51" t="str">
        <f>IF(AND(B1308&lt;=NKC!$N$8,B1308&gt;=NKC!$M$8),"x","")</f>
        <v/>
      </c>
      <c r="AA1308" s="803"/>
      <c r="AB1308" s="565"/>
      <c r="AC1308" s="203"/>
      <c r="AD1308" s="203"/>
      <c r="AE1308" s="203"/>
    </row>
    <row r="1309" spans="1:31" s="828" customFormat="1" ht="15.75" customHeight="1">
      <c r="A1309" s="804" t="str">
        <f>IF(B1309&lt;&gt;"",IF(AND(B1309&gt;=_TM1,B1309&lt;=_TM2,OR(TH!L1309="1111",TH!M1309="1111")),TH!D1309,""),"")</f>
        <v/>
      </c>
      <c r="B1309" s="36">
        <f t="shared" ref="B1309:B1372" si="85">IF(C1309&lt;&gt;"",MONTH(C1309),"")</f>
        <v>12</v>
      </c>
      <c r="C1309" s="189">
        <f t="shared" ref="C1309:C1372" si="86">E1309</f>
        <v>42357</v>
      </c>
      <c r="D1309" s="189" t="s">
        <v>1515</v>
      </c>
      <c r="E1309" s="189">
        <v>42357</v>
      </c>
      <c r="F1309" s="926" t="s">
        <v>943</v>
      </c>
      <c r="G1309" s="813" t="s">
        <v>942</v>
      </c>
      <c r="H1309" s="191" t="s">
        <v>448</v>
      </c>
      <c r="I1309" s="243">
        <v>60</v>
      </c>
      <c r="J1309" s="243">
        <v>20079</v>
      </c>
      <c r="K1309" s="573">
        <f t="shared" ref="K1309:K1315" si="87">ROUND(I1309*J1309,0)</f>
        <v>1204740</v>
      </c>
      <c r="L1309" s="574" t="s">
        <v>417</v>
      </c>
      <c r="M1309" s="574" t="s">
        <v>8</v>
      </c>
      <c r="N1309" s="51" t="str">
        <f>IF(AND('331-CT'!$E$7=TH!H1309,OR(L1309="331",M1309="331")),"331",IF(AND(OR(L1309="131",M1309="131"),H1309='131-CT'!$E$7),"131",""))</f>
        <v/>
      </c>
      <c r="O1309" s="51" t="str">
        <f>IF(AND($B1309&gt;='111'!$N$11,$B1309&lt;='111'!$O$11,OR($L1309=$O$7,$M1309=$O$7)),"x","")</f>
        <v/>
      </c>
      <c r="P1309" s="51" t="str">
        <f>IF(AND($L1309=$O$7,$B1309&lt;'111'!$N$11),"x","")</f>
        <v/>
      </c>
      <c r="Q1309" s="51" t="str">
        <f>IF(AND($M1309=$O$7,$B1309&lt;'111'!$N$11),"x","")</f>
        <v/>
      </c>
      <c r="R1309" s="51" t="str">
        <f>IF(ISERROR(FIND('112'!$M$9,G1309,1)),"",IF((AND(FIND('112'!$M$9,G1309,1)&gt;=1,$B1309&gt;='112'!$N$8,$B1309&lt;='112'!$O$8,OR($L1309='112'!$I$6,$M1309='112'!$I$6))),"x",""))</f>
        <v/>
      </c>
      <c r="S1309" s="51" t="str">
        <f>IF(ISERROR(FIND('112'!$M$9,G1309,1)),"",IF((AND(LEFT(G1309,2)=LEFT('112'!$M$9,2),B1309&lt;'112'!$N$8,$L1309='112'!$I$6)),"x",""))</f>
        <v/>
      </c>
      <c r="T1309" s="51" t="str">
        <f>IF(ISERROR(FIND('112'!$M$9,G1309,1)),"",IF((AND(RIGHT(G1309,2)=RIGHT('112'!$M$9,2),B1309&lt;'112'!$N$8,$M1309='112'!$I$6)),"x",""))</f>
        <v/>
      </c>
      <c r="U1309" s="51" t="str">
        <f>IF(AND(L1309="154",'154'!$O$5&lt;=B1309,'154'!$P$5&gt;=B1309),"154",IF(AND(L1309="632",'632'!$L$5&lt;=B1309,'632'!$M$5&gt;=B1309),"632",IF(AND(L1309="642",'642'!$N$5&lt;=B1309,'642'!$O$5&gt;=B1309),"642",IF(AND(L1309="641",'641'!$N$5&lt;=B1309,'641'!$O$5&gt;=B1309),"641",""))))</f>
        <v/>
      </c>
      <c r="V1309" s="51" t="str">
        <f>IF(OR(TH!L1309=TH!$V$7,M1309=TH!$V$7),"x","")</f>
        <v/>
      </c>
      <c r="W1309" s="51" t="str">
        <f>IF(AND(B1309&gt;='IN-NX'!$P$3,B1309&lt;='IN-NX'!$Q$3,'IN-NX'!$D$7=D1309,OR(LEFT(L1309,2)="15",AND(LEFT(M1309,2)&lt;&gt;"15",LEFT(M1309,2)&lt;&gt;"33"))),"x","")</f>
        <v/>
      </c>
      <c r="X1309" s="51" t="str">
        <f>IF(AND(OR(LEFT(TH!L1309,2)="15",LEFT(TH!M1309,2)="15"),'152-CT'!$J$8=TH!F1309),"x","")</f>
        <v/>
      </c>
      <c r="Y1309" s="51" t="str">
        <f>IF(AND(OR(LEFT(TH!L1309,2)="15",LEFT(TH!M1309,2)="15"),TK!$E$7=TH!F1309),"x","")</f>
        <v/>
      </c>
      <c r="Z1309" s="51" t="str">
        <f>IF(AND(B1309&lt;=NKC!$N$8,B1309&gt;=NKC!$M$8),"x","")</f>
        <v/>
      </c>
      <c r="AA1309" s="803"/>
      <c r="AB1309" s="565"/>
      <c r="AC1309" s="203"/>
      <c r="AD1309" s="203"/>
      <c r="AE1309" s="203"/>
    </row>
    <row r="1310" spans="1:31" s="828" customFormat="1" ht="15.75" customHeight="1">
      <c r="A1310" s="804" t="str">
        <f>IF(B1310&lt;&gt;"",IF(AND(B1310&gt;=_TM1,B1310&lt;=_TM2,OR(TH!L1310="1111",TH!M1310="1111")),TH!D1310,""),"")</f>
        <v/>
      </c>
      <c r="B1310" s="36">
        <f t="shared" si="85"/>
        <v>12</v>
      </c>
      <c r="C1310" s="189">
        <f t="shared" si="86"/>
        <v>42357</v>
      </c>
      <c r="D1310" s="189" t="s">
        <v>1515</v>
      </c>
      <c r="E1310" s="189">
        <v>42357</v>
      </c>
      <c r="F1310" s="922" t="s">
        <v>944</v>
      </c>
      <c r="G1310" s="813" t="s">
        <v>942</v>
      </c>
      <c r="H1310" s="191" t="s">
        <v>448</v>
      </c>
      <c r="I1310" s="243">
        <v>40</v>
      </c>
      <c r="J1310" s="243">
        <v>12420</v>
      </c>
      <c r="K1310" s="573">
        <f t="shared" si="87"/>
        <v>496800</v>
      </c>
      <c r="L1310" s="574" t="s">
        <v>417</v>
      </c>
      <c r="M1310" s="574" t="s">
        <v>8</v>
      </c>
      <c r="N1310" s="51" t="str">
        <f>IF(AND('331-CT'!$E$7=TH!H1310,OR(L1310="331",M1310="331")),"331",IF(AND(OR(L1310="131",M1310="131"),H1310='131-CT'!$E$7),"131",""))</f>
        <v/>
      </c>
      <c r="O1310" s="51" t="str">
        <f>IF(AND($B1310&gt;='111'!$N$11,$B1310&lt;='111'!$O$11,OR($L1310=$O$7,$M1310=$O$7)),"x","")</f>
        <v/>
      </c>
      <c r="P1310" s="51" t="str">
        <f>IF(AND($L1310=$O$7,$B1310&lt;'111'!$N$11),"x","")</f>
        <v/>
      </c>
      <c r="Q1310" s="51" t="str">
        <f>IF(AND($M1310=$O$7,$B1310&lt;'111'!$N$11),"x","")</f>
        <v/>
      </c>
      <c r="R1310" s="51" t="str">
        <f>IF(ISERROR(FIND('112'!$M$9,G1310,1)),"",IF((AND(FIND('112'!$M$9,G1310,1)&gt;=1,$B1310&gt;='112'!$N$8,$B1310&lt;='112'!$O$8,OR($L1310='112'!$I$6,$M1310='112'!$I$6))),"x",""))</f>
        <v/>
      </c>
      <c r="S1310" s="51" t="str">
        <f>IF(ISERROR(FIND('112'!$M$9,G1310,1)),"",IF((AND(LEFT(G1310,2)=LEFT('112'!$M$9,2),B1310&lt;'112'!$N$8,$L1310='112'!$I$6)),"x",""))</f>
        <v/>
      </c>
      <c r="T1310" s="51" t="str">
        <f>IF(ISERROR(FIND('112'!$M$9,G1310,1)),"",IF((AND(RIGHT(G1310,2)=RIGHT('112'!$M$9,2),B1310&lt;'112'!$N$8,$M1310='112'!$I$6)),"x",""))</f>
        <v/>
      </c>
      <c r="U1310" s="51" t="str">
        <f>IF(AND(L1310="154",'154'!$O$5&lt;=B1310,'154'!$P$5&gt;=B1310),"154",IF(AND(L1310="632",'632'!$L$5&lt;=B1310,'632'!$M$5&gt;=B1310),"632",IF(AND(L1310="642",'642'!$N$5&lt;=B1310,'642'!$O$5&gt;=B1310),"642",IF(AND(L1310="641",'641'!$N$5&lt;=B1310,'641'!$O$5&gt;=B1310),"641",""))))</f>
        <v/>
      </c>
      <c r="V1310" s="51" t="str">
        <f>IF(OR(TH!L1310=TH!$V$7,M1310=TH!$V$7),"x","")</f>
        <v/>
      </c>
      <c r="W1310" s="51" t="str">
        <f>IF(AND(B1310&gt;='IN-NX'!$P$3,B1310&lt;='IN-NX'!$Q$3,'IN-NX'!$D$7=D1310,OR(LEFT(L1310,2)="15",AND(LEFT(M1310,2)&lt;&gt;"15",LEFT(M1310,2)&lt;&gt;"33"))),"x","")</f>
        <v/>
      </c>
      <c r="X1310" s="51" t="str">
        <f>IF(AND(OR(LEFT(TH!L1310,2)="15",LEFT(TH!M1310,2)="15"),'152-CT'!$J$8=TH!F1310),"x","")</f>
        <v/>
      </c>
      <c r="Y1310" s="51" t="str">
        <f>IF(AND(OR(LEFT(TH!L1310,2)="15",LEFT(TH!M1310,2)="15"),TK!$E$7=TH!F1310),"x","")</f>
        <v/>
      </c>
      <c r="Z1310" s="51" t="str">
        <f>IF(AND(B1310&lt;=NKC!$N$8,B1310&gt;=NKC!$M$8),"x","")</f>
        <v/>
      </c>
      <c r="AA1310" s="803"/>
      <c r="AB1310" s="565"/>
      <c r="AC1310" s="203"/>
      <c r="AD1310" s="203"/>
      <c r="AE1310" s="203"/>
    </row>
    <row r="1311" spans="1:31" s="828" customFormat="1" ht="15.75" customHeight="1">
      <c r="A1311" s="804" t="str">
        <f>IF(B1311&lt;&gt;"",IF(AND(B1311&gt;=_TM1,B1311&lt;=_TM2,OR(TH!L1311="1111",TH!M1311="1111")),TH!D1311,""),"")</f>
        <v/>
      </c>
      <c r="B1311" s="36">
        <f t="shared" si="85"/>
        <v>12</v>
      </c>
      <c r="C1311" s="189">
        <f t="shared" si="86"/>
        <v>42357</v>
      </c>
      <c r="D1311" s="189" t="s">
        <v>1515</v>
      </c>
      <c r="E1311" s="189">
        <v>42357</v>
      </c>
      <c r="F1311" s="917" t="s">
        <v>945</v>
      </c>
      <c r="G1311" s="813" t="s">
        <v>942</v>
      </c>
      <c r="H1311" s="191" t="s">
        <v>448</v>
      </c>
      <c r="I1311" s="243">
        <v>52</v>
      </c>
      <c r="J1311" s="243">
        <v>17595</v>
      </c>
      <c r="K1311" s="573">
        <f t="shared" si="87"/>
        <v>914940</v>
      </c>
      <c r="L1311" s="574" t="s">
        <v>417</v>
      </c>
      <c r="M1311" s="574" t="s">
        <v>8</v>
      </c>
      <c r="N1311" s="51" t="str">
        <f>IF(AND('331-CT'!$E$7=TH!H1311,OR(L1311="331",M1311="331")),"331",IF(AND(OR(L1311="131",M1311="131"),H1311='131-CT'!$E$7),"131",""))</f>
        <v/>
      </c>
      <c r="O1311" s="51" t="str">
        <f>IF(AND($B1311&gt;='111'!$N$11,$B1311&lt;='111'!$O$11,OR($L1311=$O$7,$M1311=$O$7)),"x","")</f>
        <v/>
      </c>
      <c r="P1311" s="51" t="str">
        <f>IF(AND($L1311=$O$7,$B1311&lt;'111'!$N$11),"x","")</f>
        <v/>
      </c>
      <c r="Q1311" s="51" t="str">
        <f>IF(AND($M1311=$O$7,$B1311&lt;'111'!$N$11),"x","")</f>
        <v/>
      </c>
      <c r="R1311" s="51" t="str">
        <f>IF(ISERROR(FIND('112'!$M$9,G1311,1)),"",IF((AND(FIND('112'!$M$9,G1311,1)&gt;=1,$B1311&gt;='112'!$N$8,$B1311&lt;='112'!$O$8,OR($L1311='112'!$I$6,$M1311='112'!$I$6))),"x",""))</f>
        <v/>
      </c>
      <c r="S1311" s="51" t="str">
        <f>IF(ISERROR(FIND('112'!$M$9,G1311,1)),"",IF((AND(LEFT(G1311,2)=LEFT('112'!$M$9,2),B1311&lt;'112'!$N$8,$L1311='112'!$I$6)),"x",""))</f>
        <v/>
      </c>
      <c r="T1311" s="51" t="str">
        <f>IF(ISERROR(FIND('112'!$M$9,G1311,1)),"",IF((AND(RIGHT(G1311,2)=RIGHT('112'!$M$9,2),B1311&lt;'112'!$N$8,$M1311='112'!$I$6)),"x",""))</f>
        <v/>
      </c>
      <c r="U1311" s="51" t="str">
        <f>IF(AND(L1311="154",'154'!$O$5&lt;=B1311,'154'!$P$5&gt;=B1311),"154",IF(AND(L1311="632",'632'!$L$5&lt;=B1311,'632'!$M$5&gt;=B1311),"632",IF(AND(L1311="642",'642'!$N$5&lt;=B1311,'642'!$O$5&gt;=B1311),"642",IF(AND(L1311="641",'641'!$N$5&lt;=B1311,'641'!$O$5&gt;=B1311),"641",""))))</f>
        <v/>
      </c>
      <c r="V1311" s="51" t="str">
        <f>IF(OR(TH!L1311=TH!$V$7,M1311=TH!$V$7),"x","")</f>
        <v/>
      </c>
      <c r="W1311" s="51" t="str">
        <f>IF(AND(B1311&gt;='IN-NX'!$P$3,B1311&lt;='IN-NX'!$Q$3,'IN-NX'!$D$7=D1311,OR(LEFT(L1311,2)="15",AND(LEFT(M1311,2)&lt;&gt;"15",LEFT(M1311,2)&lt;&gt;"33"))),"x","")</f>
        <v/>
      </c>
      <c r="X1311" s="51" t="str">
        <f>IF(AND(OR(LEFT(TH!L1311,2)="15",LEFT(TH!M1311,2)="15"),'152-CT'!$J$8=TH!F1311),"x","")</f>
        <v/>
      </c>
      <c r="Y1311" s="51" t="str">
        <f>IF(AND(OR(LEFT(TH!L1311,2)="15",LEFT(TH!M1311,2)="15"),TK!$E$7=TH!F1311),"x","")</f>
        <v/>
      </c>
      <c r="Z1311" s="51" t="str">
        <f>IF(AND(B1311&lt;=NKC!$N$8,B1311&gt;=NKC!$M$8),"x","")</f>
        <v/>
      </c>
      <c r="AA1311" s="803"/>
      <c r="AB1311" s="565"/>
      <c r="AC1311" s="203"/>
      <c r="AD1311" s="203"/>
      <c r="AE1311" s="203"/>
    </row>
    <row r="1312" spans="1:31" ht="15.75" customHeight="1">
      <c r="A1312" s="804" t="str">
        <f>IF(B1312&lt;&gt;"",IF(AND(B1312&gt;=_TM1,B1312&lt;=_TM2,OR(TH!L1312="1111",TH!M1312="1111")),TH!D1312,""),"")</f>
        <v/>
      </c>
      <c r="B1312" s="36">
        <f t="shared" si="85"/>
        <v>12</v>
      </c>
      <c r="C1312" s="189">
        <f t="shared" si="86"/>
        <v>42357</v>
      </c>
      <c r="D1312" s="189" t="s">
        <v>1515</v>
      </c>
      <c r="E1312" s="189">
        <v>42357</v>
      </c>
      <c r="F1312" s="190" t="s">
        <v>946</v>
      </c>
      <c r="G1312" s="813" t="s">
        <v>942</v>
      </c>
      <c r="H1312" s="191" t="s">
        <v>448</v>
      </c>
      <c r="I1312" s="243">
        <v>36</v>
      </c>
      <c r="J1312" s="243">
        <v>21735</v>
      </c>
      <c r="K1312" s="573">
        <f t="shared" si="87"/>
        <v>782460</v>
      </c>
      <c r="L1312" s="574" t="s">
        <v>417</v>
      </c>
      <c r="M1312" s="574" t="s">
        <v>8</v>
      </c>
      <c r="N1312" s="51" t="str">
        <f>IF(AND('331-CT'!$E$7=TH!H1312,OR(L1312="331",M1312="331")),"331",IF(AND(OR(L1312="131",M1312="131"),H1312='131-CT'!$E$7),"131",""))</f>
        <v/>
      </c>
      <c r="O1312" s="51" t="str">
        <f>IF(AND($B1312&gt;='111'!$N$11,$B1312&lt;='111'!$O$11,OR($L1312=$O$7,$M1312=$O$7)),"x","")</f>
        <v/>
      </c>
      <c r="P1312" s="51" t="str">
        <f>IF(AND($L1312=$O$7,$B1312&lt;'111'!$N$11),"x","")</f>
        <v/>
      </c>
      <c r="Q1312" s="51" t="str">
        <f>IF(AND($M1312=$O$7,$B1312&lt;'111'!$N$11),"x","")</f>
        <v/>
      </c>
      <c r="R1312" s="51" t="str">
        <f>IF(ISERROR(FIND('112'!$M$9,G1312,1)),"",IF((AND(FIND('112'!$M$9,G1312,1)&gt;=1,$B1312&gt;='112'!$N$8,$B1312&lt;='112'!$O$8,OR($L1312='112'!$I$6,$M1312='112'!$I$6))),"x",""))</f>
        <v/>
      </c>
      <c r="S1312" s="51" t="str">
        <f>IF(ISERROR(FIND('112'!$M$9,G1312,1)),"",IF((AND(LEFT(G1312,2)=LEFT('112'!$M$9,2),B1312&lt;'112'!$N$8,$L1312='112'!$I$6)),"x",""))</f>
        <v/>
      </c>
      <c r="T1312" s="51" t="str">
        <f>IF(ISERROR(FIND('112'!$M$9,G1312,1)),"",IF((AND(RIGHT(G1312,2)=RIGHT('112'!$M$9,2),B1312&lt;'112'!$N$8,$M1312='112'!$I$6)),"x",""))</f>
        <v/>
      </c>
      <c r="U1312" s="51" t="str">
        <f>IF(AND(L1312="154",'154'!$O$5&lt;=B1312,'154'!$P$5&gt;=B1312),"154",IF(AND(L1312="632",'632'!$L$5&lt;=B1312,'632'!$M$5&gt;=B1312),"632",IF(AND(L1312="642",'642'!$N$5&lt;=B1312,'642'!$O$5&gt;=B1312),"642",IF(AND(L1312="641",'641'!$N$5&lt;=B1312,'641'!$O$5&gt;=B1312),"641",""))))</f>
        <v/>
      </c>
      <c r="V1312" s="51" t="str">
        <f>IF(OR(TH!L1312=TH!$V$7,M1312=TH!$V$7),"x","")</f>
        <v/>
      </c>
      <c r="W1312" s="51" t="str">
        <f>IF(AND(B1312&gt;='IN-NX'!$P$3,B1312&lt;='IN-NX'!$Q$3,'IN-NX'!$D$7=D1312,OR(LEFT(L1312,2)="15",AND(LEFT(M1312,2)&lt;&gt;"15",LEFT(M1312,2)&lt;&gt;"33"))),"x","")</f>
        <v/>
      </c>
      <c r="X1312" s="51" t="str">
        <f>IF(AND(OR(LEFT(TH!L1312,2)="15",LEFT(TH!M1312,2)="15"),'152-CT'!$J$8=TH!F1312),"x","")</f>
        <v/>
      </c>
      <c r="Y1312" s="51" t="str">
        <f>IF(AND(OR(LEFT(TH!L1312,2)="15",LEFT(TH!M1312,2)="15"),TK!$E$7=TH!F1312),"x","")</f>
        <v/>
      </c>
      <c r="Z1312" s="51" t="str">
        <f>IF(AND(B1312&lt;=NKC!$N$8,B1312&gt;=NKC!$M$8),"x","")</f>
        <v/>
      </c>
      <c r="AA1312" s="803"/>
      <c r="AB1312" s="565"/>
    </row>
    <row r="1313" spans="1:30" ht="15.75" customHeight="1">
      <c r="A1313" s="804" t="str">
        <f>IF(B1313&lt;&gt;"",IF(AND(B1313&gt;=_TM1,B1313&lt;=_TM2,OR(TH!L1313="1111",TH!M1313="1111")),TH!D1313,""),"")</f>
        <v/>
      </c>
      <c r="B1313" s="36">
        <f t="shared" si="85"/>
        <v>12</v>
      </c>
      <c r="C1313" s="189">
        <f t="shared" si="86"/>
        <v>42357</v>
      </c>
      <c r="D1313" s="189" t="s">
        <v>1515</v>
      </c>
      <c r="E1313" s="189">
        <v>42357</v>
      </c>
      <c r="F1313" s="190" t="s">
        <v>947</v>
      </c>
      <c r="G1313" s="813" t="s">
        <v>942</v>
      </c>
      <c r="H1313" s="191" t="s">
        <v>448</v>
      </c>
      <c r="I1313" s="243">
        <v>30</v>
      </c>
      <c r="J1313" s="243">
        <v>20358</v>
      </c>
      <c r="K1313" s="573">
        <f t="shared" si="87"/>
        <v>610740</v>
      </c>
      <c r="L1313" s="574" t="s">
        <v>417</v>
      </c>
      <c r="M1313" s="574" t="s">
        <v>8</v>
      </c>
      <c r="N1313" s="51" t="str">
        <f>IF(AND('331-CT'!$E$7=TH!H1313,OR(L1313="331",M1313="331")),"331",IF(AND(OR(L1313="131",M1313="131"),H1313='131-CT'!$E$7),"131",""))</f>
        <v/>
      </c>
      <c r="O1313" s="51" t="str">
        <f>IF(AND($B1313&gt;='111'!$N$11,$B1313&lt;='111'!$O$11,OR($L1313=$O$7,$M1313=$O$7)),"x","")</f>
        <v/>
      </c>
      <c r="P1313" s="51" t="str">
        <f>IF(AND($L1313=$O$7,$B1313&lt;'111'!$N$11),"x","")</f>
        <v/>
      </c>
      <c r="Q1313" s="51" t="str">
        <f>IF(AND($M1313=$O$7,$B1313&lt;'111'!$N$11),"x","")</f>
        <v/>
      </c>
      <c r="R1313" s="51" t="str">
        <f>IF(ISERROR(FIND('112'!$M$9,G1313,1)),"",IF((AND(FIND('112'!$M$9,G1313,1)&gt;=1,$B1313&gt;='112'!$N$8,$B1313&lt;='112'!$O$8,OR($L1313='112'!$I$6,$M1313='112'!$I$6))),"x",""))</f>
        <v/>
      </c>
      <c r="S1313" s="51" t="str">
        <f>IF(ISERROR(FIND('112'!$M$9,G1313,1)),"",IF((AND(LEFT(G1313,2)=LEFT('112'!$M$9,2),B1313&lt;'112'!$N$8,$L1313='112'!$I$6)),"x",""))</f>
        <v/>
      </c>
      <c r="T1313" s="51" t="str">
        <f>IF(ISERROR(FIND('112'!$M$9,G1313,1)),"",IF((AND(RIGHT(G1313,2)=RIGHT('112'!$M$9,2),B1313&lt;'112'!$N$8,$M1313='112'!$I$6)),"x",""))</f>
        <v/>
      </c>
      <c r="U1313" s="51" t="str">
        <f>IF(AND(L1313="154",'154'!$O$5&lt;=B1313,'154'!$P$5&gt;=B1313),"154",IF(AND(L1313="632",'632'!$L$5&lt;=B1313,'632'!$M$5&gt;=B1313),"632",IF(AND(L1313="642",'642'!$N$5&lt;=B1313,'642'!$O$5&gt;=B1313),"642",IF(AND(L1313="641",'641'!$N$5&lt;=B1313,'641'!$O$5&gt;=B1313),"641",""))))</f>
        <v/>
      </c>
      <c r="V1313" s="51" t="str">
        <f>IF(OR(TH!L1313=TH!$V$7,M1313=TH!$V$7),"x","")</f>
        <v/>
      </c>
      <c r="W1313" s="51" t="str">
        <f>IF(AND(B1313&gt;='IN-NX'!$P$3,B1313&lt;='IN-NX'!$Q$3,'IN-NX'!$D$7=D1313,OR(LEFT(L1313,2)="15",AND(LEFT(M1313,2)&lt;&gt;"15",LEFT(M1313,2)&lt;&gt;"33"))),"x","")</f>
        <v/>
      </c>
      <c r="X1313" s="51" t="str">
        <f>IF(AND(OR(LEFT(TH!L1313,2)="15",LEFT(TH!M1313,2)="15"),'152-CT'!$J$8=TH!F1313),"x","")</f>
        <v/>
      </c>
      <c r="Y1313" s="51" t="str">
        <f>IF(AND(OR(LEFT(TH!L1313,2)="15",LEFT(TH!M1313,2)="15"),TK!$E$7=TH!F1313),"x","")</f>
        <v/>
      </c>
      <c r="Z1313" s="51" t="str">
        <f>IF(AND(B1313&lt;=NKC!$N$8,B1313&gt;=NKC!$M$8),"x","")</f>
        <v/>
      </c>
      <c r="AA1313" s="803"/>
      <c r="AB1313" s="565"/>
    </row>
    <row r="1314" spans="1:30" ht="15.75" customHeight="1">
      <c r="A1314" s="804" t="str">
        <f>IF(B1314&lt;&gt;"",IF(AND(B1314&gt;=_TM1,B1314&lt;=_TM2,OR(TH!L1314="1111",TH!M1314="1111")),TH!D1314,""),"")</f>
        <v/>
      </c>
      <c r="B1314" s="36">
        <f t="shared" si="85"/>
        <v>12</v>
      </c>
      <c r="C1314" s="189">
        <f t="shared" si="86"/>
        <v>42357</v>
      </c>
      <c r="D1314" s="189" t="s">
        <v>1515</v>
      </c>
      <c r="E1314" s="189">
        <v>42357</v>
      </c>
      <c r="F1314" s="917" t="s">
        <v>948</v>
      </c>
      <c r="G1314" s="813" t="s">
        <v>942</v>
      </c>
      <c r="H1314" s="191" t="s">
        <v>448</v>
      </c>
      <c r="I1314" s="243">
        <v>40</v>
      </c>
      <c r="J1314" s="243">
        <v>19188</v>
      </c>
      <c r="K1314" s="573">
        <f t="shared" si="87"/>
        <v>767520</v>
      </c>
      <c r="L1314" s="574" t="s">
        <v>417</v>
      </c>
      <c r="M1314" s="574" t="s">
        <v>8</v>
      </c>
      <c r="N1314" s="51" t="str">
        <f>IF(AND('331-CT'!$E$7=TH!H1314,OR(L1314="331",M1314="331")),"331",IF(AND(OR(L1314="131",M1314="131"),H1314='131-CT'!$E$7),"131",""))</f>
        <v/>
      </c>
      <c r="O1314" s="51" t="str">
        <f>IF(AND($B1314&gt;='111'!$N$11,$B1314&lt;='111'!$O$11,OR($L1314=$O$7,$M1314=$O$7)),"x","")</f>
        <v/>
      </c>
      <c r="P1314" s="51" t="str">
        <f>IF(AND($L1314=$O$7,$B1314&lt;'111'!$N$11),"x","")</f>
        <v/>
      </c>
      <c r="Q1314" s="51" t="str">
        <f>IF(AND($M1314=$O$7,$B1314&lt;'111'!$N$11),"x","")</f>
        <v/>
      </c>
      <c r="R1314" s="51" t="str">
        <f>IF(ISERROR(FIND('112'!$M$9,G1314,1)),"",IF((AND(FIND('112'!$M$9,G1314,1)&gt;=1,$B1314&gt;='112'!$N$8,$B1314&lt;='112'!$O$8,OR($L1314='112'!$I$6,$M1314='112'!$I$6))),"x",""))</f>
        <v/>
      </c>
      <c r="S1314" s="51" t="str">
        <f>IF(ISERROR(FIND('112'!$M$9,G1314,1)),"",IF((AND(LEFT(G1314,2)=LEFT('112'!$M$9,2),B1314&lt;'112'!$N$8,$L1314='112'!$I$6)),"x",""))</f>
        <v/>
      </c>
      <c r="T1314" s="51" t="str">
        <f>IF(ISERROR(FIND('112'!$M$9,G1314,1)),"",IF((AND(RIGHT(G1314,2)=RIGHT('112'!$M$9,2),B1314&lt;'112'!$N$8,$M1314='112'!$I$6)),"x",""))</f>
        <v/>
      </c>
      <c r="U1314" s="51" t="str">
        <f>IF(AND(L1314="154",'154'!$O$5&lt;=B1314,'154'!$P$5&gt;=B1314),"154",IF(AND(L1314="632",'632'!$L$5&lt;=B1314,'632'!$M$5&gt;=B1314),"632",IF(AND(L1314="642",'642'!$N$5&lt;=B1314,'642'!$O$5&gt;=B1314),"642",IF(AND(L1314="641",'641'!$N$5&lt;=B1314,'641'!$O$5&gt;=B1314),"641",""))))</f>
        <v/>
      </c>
      <c r="V1314" s="51" t="str">
        <f>IF(OR(TH!L1314=TH!$V$7,M1314=TH!$V$7),"x","")</f>
        <v/>
      </c>
      <c r="W1314" s="51" t="str">
        <f>IF(AND(B1314&gt;='IN-NX'!$P$3,B1314&lt;='IN-NX'!$Q$3,'IN-NX'!$D$7=D1314,OR(LEFT(L1314,2)="15",AND(LEFT(M1314,2)&lt;&gt;"15",LEFT(M1314,2)&lt;&gt;"33"))),"x","")</f>
        <v/>
      </c>
      <c r="X1314" s="51" t="str">
        <f>IF(AND(OR(LEFT(TH!L1314,2)="15",LEFT(TH!M1314,2)="15"),'152-CT'!$J$8=TH!F1314),"x","")</f>
        <v/>
      </c>
      <c r="Y1314" s="51" t="str">
        <f>IF(AND(OR(LEFT(TH!L1314,2)="15",LEFT(TH!M1314,2)="15"),TK!$E$7=TH!F1314),"x","")</f>
        <v/>
      </c>
      <c r="Z1314" s="51" t="str">
        <f>IF(AND(B1314&lt;=NKC!$N$8,B1314&gt;=NKC!$M$8),"x","")</f>
        <v/>
      </c>
      <c r="AA1314" s="803"/>
      <c r="AB1314" s="565"/>
    </row>
    <row r="1315" spans="1:30" ht="15.75" customHeight="1">
      <c r="A1315" s="804" t="str">
        <f>IF(B1315&lt;&gt;"",IF(AND(B1315&gt;=_TM1,B1315&lt;=_TM2,OR(TH!L1315="1111",TH!M1315="1111")),TH!D1315,""),"")</f>
        <v/>
      </c>
      <c r="B1315" s="36">
        <f t="shared" si="85"/>
        <v>12</v>
      </c>
      <c r="C1315" s="189">
        <f t="shared" si="86"/>
        <v>42357</v>
      </c>
      <c r="D1315" s="189" t="s">
        <v>1515</v>
      </c>
      <c r="E1315" s="189">
        <v>42357</v>
      </c>
      <c r="F1315" s="190" t="s">
        <v>949</v>
      </c>
      <c r="G1315" s="813" t="s">
        <v>942</v>
      </c>
      <c r="H1315" s="191" t="s">
        <v>448</v>
      </c>
      <c r="I1315" s="243">
        <v>36</v>
      </c>
      <c r="J1315" s="243">
        <v>25155</v>
      </c>
      <c r="K1315" s="573">
        <f t="shared" si="87"/>
        <v>905580</v>
      </c>
      <c r="L1315" s="574" t="s">
        <v>417</v>
      </c>
      <c r="M1315" s="574" t="s">
        <v>8</v>
      </c>
      <c r="N1315" s="51" t="str">
        <f>IF(AND('331-CT'!$E$7=TH!H1315,OR(L1315="331",M1315="331")),"331",IF(AND(OR(L1315="131",M1315="131"),H1315='131-CT'!$E$7),"131",""))</f>
        <v/>
      </c>
      <c r="O1315" s="51" t="str">
        <f>IF(AND($B1315&gt;='111'!$N$11,$B1315&lt;='111'!$O$11,OR($L1315=$O$7,$M1315=$O$7)),"x","")</f>
        <v/>
      </c>
      <c r="P1315" s="51" t="str">
        <f>IF(AND($L1315=$O$7,$B1315&lt;'111'!$N$11),"x","")</f>
        <v/>
      </c>
      <c r="Q1315" s="51" t="str">
        <f>IF(AND($M1315=$O$7,$B1315&lt;'111'!$N$11),"x","")</f>
        <v/>
      </c>
      <c r="R1315" s="51" t="str">
        <f>IF(ISERROR(FIND('112'!$M$9,G1315,1)),"",IF((AND(FIND('112'!$M$9,G1315,1)&gt;=1,$B1315&gt;='112'!$N$8,$B1315&lt;='112'!$O$8,OR($L1315='112'!$I$6,$M1315='112'!$I$6))),"x",""))</f>
        <v/>
      </c>
      <c r="S1315" s="51" t="str">
        <f>IF(ISERROR(FIND('112'!$M$9,G1315,1)),"",IF((AND(LEFT(G1315,2)=LEFT('112'!$M$9,2),B1315&lt;'112'!$N$8,$L1315='112'!$I$6)),"x",""))</f>
        <v/>
      </c>
      <c r="T1315" s="51" t="str">
        <f>IF(ISERROR(FIND('112'!$M$9,G1315,1)),"",IF((AND(RIGHT(G1315,2)=RIGHT('112'!$M$9,2),B1315&lt;'112'!$N$8,$M1315='112'!$I$6)),"x",""))</f>
        <v/>
      </c>
      <c r="U1315" s="51" t="str">
        <f>IF(AND(L1315="154",'154'!$O$5&lt;=B1315,'154'!$P$5&gt;=B1315),"154",IF(AND(L1315="632",'632'!$L$5&lt;=B1315,'632'!$M$5&gt;=B1315),"632",IF(AND(L1315="642",'642'!$N$5&lt;=B1315,'642'!$O$5&gt;=B1315),"642",IF(AND(L1315="641",'641'!$N$5&lt;=B1315,'641'!$O$5&gt;=B1315),"641",""))))</f>
        <v/>
      </c>
      <c r="V1315" s="51" t="str">
        <f>IF(OR(TH!L1315=TH!$V$7,M1315=TH!$V$7),"x","")</f>
        <v/>
      </c>
      <c r="W1315" s="51" t="str">
        <f>IF(AND(B1315&gt;='IN-NX'!$P$3,B1315&lt;='IN-NX'!$Q$3,'IN-NX'!$D$7=D1315,OR(LEFT(L1315,2)="15",AND(LEFT(M1315,2)&lt;&gt;"15",LEFT(M1315,2)&lt;&gt;"33"))),"x","")</f>
        <v/>
      </c>
      <c r="X1315" s="51" t="str">
        <f>IF(AND(OR(LEFT(TH!L1315,2)="15",LEFT(TH!M1315,2)="15"),'152-CT'!$J$8=TH!F1315),"x","")</f>
        <v/>
      </c>
      <c r="Y1315" s="51" t="str">
        <f>IF(AND(OR(LEFT(TH!L1315,2)="15",LEFT(TH!M1315,2)="15"),TK!$E$7=TH!F1315),"x","")</f>
        <v/>
      </c>
      <c r="Z1315" s="51" t="str">
        <f>IF(AND(B1315&lt;=NKC!$N$8,B1315&gt;=NKC!$M$8),"x","")</f>
        <v/>
      </c>
      <c r="AA1315" s="803"/>
      <c r="AB1315" s="565"/>
    </row>
    <row r="1316" spans="1:30" ht="15.75" customHeight="1">
      <c r="A1316" s="804" t="str">
        <f>IF(B1316&lt;&gt;"",IF(AND(B1316&gt;=_TM1,B1316&lt;=_TM2,OR(TH!L1316="1111",TH!M1316="1111")),TH!D1316,""),"")</f>
        <v/>
      </c>
      <c r="B1316" s="36">
        <f t="shared" si="85"/>
        <v>12</v>
      </c>
      <c r="C1316" s="189">
        <f t="shared" si="86"/>
        <v>42357</v>
      </c>
      <c r="D1316" s="189" t="s">
        <v>1515</v>
      </c>
      <c r="E1316" s="189">
        <v>42357</v>
      </c>
      <c r="F1316" s="190" t="s">
        <v>847</v>
      </c>
      <c r="G1316" s="813" t="s">
        <v>942</v>
      </c>
      <c r="H1316" s="191" t="s">
        <v>448</v>
      </c>
      <c r="I1316" s="243"/>
      <c r="J1316" s="243"/>
      <c r="K1316" s="573">
        <v>568278</v>
      </c>
      <c r="L1316" s="574" t="s">
        <v>9</v>
      </c>
      <c r="M1316" s="574" t="s">
        <v>8</v>
      </c>
      <c r="N1316" s="51" t="str">
        <f>IF(AND('331-CT'!$E$7=TH!H1316,OR(L1316="331",M1316="331")),"331",IF(AND(OR(L1316="131",M1316="131"),H1316='131-CT'!$E$7),"131",""))</f>
        <v/>
      </c>
      <c r="O1316" s="51" t="str">
        <f>IF(AND($B1316&gt;='111'!$N$11,$B1316&lt;='111'!$O$11,OR($L1316=$O$7,$M1316=$O$7)),"x","")</f>
        <v/>
      </c>
      <c r="P1316" s="51" t="str">
        <f>IF(AND($L1316=$O$7,$B1316&lt;'111'!$N$11),"x","")</f>
        <v/>
      </c>
      <c r="Q1316" s="51" t="str">
        <f>IF(AND($M1316=$O$7,$B1316&lt;'111'!$N$11),"x","")</f>
        <v/>
      </c>
      <c r="R1316" s="51" t="str">
        <f>IF(ISERROR(FIND('112'!$M$9,G1316,1)),"",IF((AND(FIND('112'!$M$9,G1316,1)&gt;=1,$B1316&gt;='112'!$N$8,$B1316&lt;='112'!$O$8,OR($L1316='112'!$I$6,$M1316='112'!$I$6))),"x",""))</f>
        <v/>
      </c>
      <c r="S1316" s="51" t="str">
        <f>IF(ISERROR(FIND('112'!$M$9,G1316,1)),"",IF((AND(LEFT(G1316,2)=LEFT('112'!$M$9,2),B1316&lt;'112'!$N$8,$L1316='112'!$I$6)),"x",""))</f>
        <v/>
      </c>
      <c r="T1316" s="51" t="str">
        <f>IF(ISERROR(FIND('112'!$M$9,G1316,1)),"",IF((AND(RIGHT(G1316,2)=RIGHT('112'!$M$9,2),B1316&lt;'112'!$N$8,$M1316='112'!$I$6)),"x",""))</f>
        <v/>
      </c>
      <c r="U1316" s="51" t="str">
        <f>IF(AND(L1316="154",'154'!$O$5&lt;=B1316,'154'!$P$5&gt;=B1316),"154",IF(AND(L1316="632",'632'!$L$5&lt;=B1316,'632'!$M$5&gt;=B1316),"632",IF(AND(L1316="642",'642'!$N$5&lt;=B1316,'642'!$O$5&gt;=B1316),"642",IF(AND(L1316="641",'641'!$N$5&lt;=B1316,'641'!$O$5&gt;=B1316),"641",""))))</f>
        <v/>
      </c>
      <c r="V1316" s="51" t="str">
        <f>IF(OR(TH!L1316=TH!$V$7,M1316=TH!$V$7),"x","")</f>
        <v/>
      </c>
      <c r="W1316" s="51" t="str">
        <f>IF(AND(B1316&gt;='IN-NX'!$P$3,B1316&lt;='IN-NX'!$Q$3,'IN-NX'!$D$7=D1316,OR(LEFT(L1316,2)="15",AND(LEFT(M1316,2)&lt;&gt;"15",LEFT(M1316,2)&lt;&gt;"33"))),"x","")</f>
        <v/>
      </c>
      <c r="X1316" s="51" t="str">
        <f>IF(AND(OR(LEFT(TH!L1316,2)="15",LEFT(TH!M1316,2)="15"),'152-CT'!$J$8=TH!F1316),"x","")</f>
        <v/>
      </c>
      <c r="Y1316" s="51" t="str">
        <f>IF(AND(OR(LEFT(TH!L1316,2)="15",LEFT(TH!M1316,2)="15"),TK!$E$7=TH!F1316),"x","")</f>
        <v/>
      </c>
      <c r="Z1316" s="51" t="str">
        <f>IF(AND(B1316&lt;=NKC!$N$8,B1316&gt;=NKC!$M$8),"x","")</f>
        <v/>
      </c>
      <c r="AA1316" s="803">
        <v>4</v>
      </c>
      <c r="AB1316" s="565"/>
      <c r="AC1316" s="565"/>
      <c r="AD1316" s="565"/>
    </row>
    <row r="1317" spans="1:30" ht="15.75" customHeight="1">
      <c r="A1317" s="804" t="str">
        <f>IF(B1317&lt;&gt;"",IF(AND(B1317&gt;=_TM1,B1317&lt;=_TM2,OR(TH!L1317="1111",TH!M1317="1111")),TH!D1317,""),"")</f>
        <v/>
      </c>
      <c r="B1317" s="36">
        <f t="shared" si="85"/>
        <v>12</v>
      </c>
      <c r="C1317" s="189">
        <f t="shared" si="86"/>
        <v>42359</v>
      </c>
      <c r="D1317" s="189" t="s">
        <v>1326</v>
      </c>
      <c r="E1317" s="189">
        <v>42359</v>
      </c>
      <c r="F1317" s="926" t="s">
        <v>1238</v>
      </c>
      <c r="G1317" s="811" t="s">
        <v>1107</v>
      </c>
      <c r="H1317" s="191" t="s">
        <v>1063</v>
      </c>
      <c r="I1317" s="243">
        <v>1000</v>
      </c>
      <c r="J1317" s="243">
        <v>9800</v>
      </c>
      <c r="K1317" s="573">
        <f>ROUND(I1317*J1317,0)</f>
        <v>9800000</v>
      </c>
      <c r="L1317" s="574" t="s">
        <v>250</v>
      </c>
      <c r="M1317" s="574" t="s">
        <v>164</v>
      </c>
      <c r="N1317" s="51" t="str">
        <f>IF(AND('331-CT'!$E$7=TH!H1317,OR(L1317="331",M1317="331")),"331",IF(AND(OR(L1317="131",M1317="131"),H1317='131-CT'!$E$7),"131",""))</f>
        <v/>
      </c>
      <c r="O1317" s="51" t="str">
        <f>IF(AND($B1317&gt;='111'!$N$11,$B1317&lt;='111'!$O$11,OR($L1317=$O$7,$M1317=$O$7)),"x","")</f>
        <v/>
      </c>
      <c r="P1317" s="51" t="str">
        <f>IF(AND($L1317=$O$7,$B1317&lt;'111'!$N$11),"x","")</f>
        <v/>
      </c>
      <c r="Q1317" s="51" t="str">
        <f>IF(AND($M1317=$O$7,$B1317&lt;'111'!$N$11),"x","")</f>
        <v/>
      </c>
      <c r="R1317" s="51" t="str">
        <f>IF(ISERROR(FIND('112'!$M$9,G1317,1)),"",IF((AND(FIND('112'!$M$9,G1317,1)&gt;=1,$B1317&gt;='112'!$N$8,$B1317&lt;='112'!$O$8,OR($L1317='112'!$I$6,$M1317='112'!$I$6))),"x",""))</f>
        <v/>
      </c>
      <c r="S1317" s="51" t="str">
        <f>IF(ISERROR(FIND('112'!$M$9,G1317,1)),"",IF((AND(LEFT(G1317,2)=LEFT('112'!$M$9,2),B1317&lt;'112'!$N$8,$L1317='112'!$I$6)),"x",""))</f>
        <v/>
      </c>
      <c r="T1317" s="51" t="str">
        <f>IF(ISERROR(FIND('112'!$M$9,G1317,1)),"",IF((AND(RIGHT(G1317,2)=RIGHT('112'!$M$9,2),B1317&lt;'112'!$N$8,$M1317='112'!$I$6)),"x",""))</f>
        <v/>
      </c>
      <c r="U1317" s="51" t="str">
        <f>IF(AND(L1317="154",'154'!$O$5&lt;=B1317,'154'!$P$5&gt;=B1317),"154",IF(AND(L1317="632",'632'!$L$5&lt;=B1317,'632'!$M$5&gt;=B1317),"632",IF(AND(L1317="642",'642'!$N$5&lt;=B1317,'642'!$O$5&gt;=B1317),"642",IF(AND(L1317="641",'641'!$N$5&lt;=B1317,'641'!$O$5&gt;=B1317),"641",""))))</f>
        <v/>
      </c>
      <c r="V1317" s="51" t="str">
        <f>IF(OR(TH!L1317=TH!$V$7,M1317=TH!$V$7),"x","")</f>
        <v/>
      </c>
      <c r="W1317" s="51" t="str">
        <f>IF(AND(B1317&gt;='IN-NX'!$P$3,B1317&lt;='IN-NX'!$Q$3,'IN-NX'!$D$7=D1317,OR(LEFT(L1317,2)="15",AND(LEFT(M1317,2)&lt;&gt;"15",LEFT(M1317,2)&lt;&gt;"33"))),"x","")</f>
        <v/>
      </c>
      <c r="X1317" s="51" t="str">
        <f>IF(AND(OR(LEFT(TH!L1317,2)="15",LEFT(TH!M1317,2)="15"),'152-CT'!$J$8=TH!F1317),"x","")</f>
        <v/>
      </c>
      <c r="Y1317" s="51" t="str">
        <f>IF(AND(OR(LEFT(TH!L1317,2)="15",LEFT(TH!M1317,2)="15"),TK!$E$7=TH!F1317),"x","")</f>
        <v/>
      </c>
      <c r="Z1317" s="51" t="str">
        <f>IF(AND(B1317&lt;=NKC!$N$8,B1317&gt;=NKC!$M$8),"x","")</f>
        <v/>
      </c>
      <c r="AA1317" s="803"/>
      <c r="AB1317" s="565"/>
    </row>
    <row r="1318" spans="1:30" ht="15.75" customHeight="1">
      <c r="A1318" s="804" t="str">
        <f>IF(B1318&lt;&gt;"",IF(AND(B1318&gt;=_TM1,B1318&lt;=_TM2,OR(TH!L1318="1111",TH!M1318="1111")),TH!D1318,""),"")</f>
        <v/>
      </c>
      <c r="B1318" s="36">
        <f t="shared" si="85"/>
        <v>12</v>
      </c>
      <c r="C1318" s="189">
        <f t="shared" si="86"/>
        <v>42359</v>
      </c>
      <c r="D1318" s="189" t="s">
        <v>1326</v>
      </c>
      <c r="E1318" s="189">
        <v>42359</v>
      </c>
      <c r="F1318" s="926" t="s">
        <v>962</v>
      </c>
      <c r="G1318" s="811" t="s">
        <v>1107</v>
      </c>
      <c r="H1318" s="191" t="s">
        <v>1063</v>
      </c>
      <c r="I1318" s="243"/>
      <c r="J1318" s="243"/>
      <c r="K1318" s="573">
        <v>980000</v>
      </c>
      <c r="L1318" s="574" t="s">
        <v>250</v>
      </c>
      <c r="M1318" s="574" t="s">
        <v>352</v>
      </c>
      <c r="N1318" s="51" t="str">
        <f>IF(AND('331-CT'!$E$7=TH!H1318,OR(L1318="331",M1318="331")),"331",IF(AND(OR(L1318="131",M1318="131"),H1318='131-CT'!$E$7),"131",""))</f>
        <v/>
      </c>
      <c r="O1318" s="51" t="str">
        <f>IF(AND($B1318&gt;='111'!$N$11,$B1318&lt;='111'!$O$11,OR($L1318=$O$7,$M1318=$O$7)),"x","")</f>
        <v/>
      </c>
      <c r="P1318" s="51" t="str">
        <f>IF(AND($L1318=$O$7,$B1318&lt;'111'!$N$11),"x","")</f>
        <v/>
      </c>
      <c r="Q1318" s="51" t="str">
        <f>IF(AND($M1318=$O$7,$B1318&lt;'111'!$N$11),"x","")</f>
        <v/>
      </c>
      <c r="R1318" s="51" t="str">
        <f>IF(ISERROR(FIND('112'!$M$9,G1318,1)),"",IF((AND(FIND('112'!$M$9,G1318,1)&gt;=1,$B1318&gt;='112'!$N$8,$B1318&lt;='112'!$O$8,OR($L1318='112'!$I$6,$M1318='112'!$I$6))),"x",""))</f>
        <v/>
      </c>
      <c r="S1318" s="51" t="str">
        <f>IF(ISERROR(FIND('112'!$M$9,G1318,1)),"",IF((AND(LEFT(G1318,2)=LEFT('112'!$M$9,2),B1318&lt;'112'!$N$8,$L1318='112'!$I$6)),"x",""))</f>
        <v/>
      </c>
      <c r="T1318" s="51" t="str">
        <f>IF(ISERROR(FIND('112'!$M$9,G1318,1)),"",IF((AND(RIGHT(G1318,2)=RIGHT('112'!$M$9,2),B1318&lt;'112'!$N$8,$M1318='112'!$I$6)),"x",""))</f>
        <v/>
      </c>
      <c r="U1318" s="51" t="str">
        <f>IF(AND(L1318="154",'154'!$O$5&lt;=B1318,'154'!$P$5&gt;=B1318),"154",IF(AND(L1318="632",'632'!$L$5&lt;=B1318,'632'!$M$5&gt;=B1318),"632",IF(AND(L1318="642",'642'!$N$5&lt;=B1318,'642'!$O$5&gt;=B1318),"642",IF(AND(L1318="641",'641'!$N$5&lt;=B1318,'641'!$O$5&gt;=B1318),"641",""))))</f>
        <v/>
      </c>
      <c r="V1318" s="51" t="str">
        <f>IF(OR(TH!L1318=TH!$V$7,M1318=TH!$V$7),"x","")</f>
        <v/>
      </c>
      <c r="W1318" s="51" t="str">
        <f>IF(AND(B1318&gt;='IN-NX'!$P$3,B1318&lt;='IN-NX'!$Q$3,'IN-NX'!$D$7=D1318,OR(LEFT(L1318,2)="15",AND(LEFT(M1318,2)&lt;&gt;"15",LEFT(M1318,2)&lt;&gt;"33"))),"x","")</f>
        <v/>
      </c>
      <c r="X1318" s="51" t="str">
        <f>IF(AND(OR(LEFT(TH!L1318,2)="15",LEFT(TH!M1318,2)="15"),'152-CT'!$J$8=TH!F1318),"x","")</f>
        <v/>
      </c>
      <c r="Y1318" s="51" t="str">
        <f>IF(AND(OR(LEFT(TH!L1318,2)="15",LEFT(TH!M1318,2)="15"),TK!$E$7=TH!F1318),"x","")</f>
        <v/>
      </c>
      <c r="Z1318" s="51" t="str">
        <f>IF(AND(B1318&lt;=NKC!$N$8,B1318&gt;=NKC!$M$8),"x","")</f>
        <v/>
      </c>
      <c r="AA1318" s="803"/>
      <c r="AB1318" s="565"/>
    </row>
    <row r="1319" spans="1:30" ht="15.75" customHeight="1">
      <c r="A1319" s="804" t="str">
        <f>IF(B1319&lt;&gt;"",IF(AND(B1319&gt;=_TM1,B1319&lt;=_TM2,OR(TH!L1319="1111",TH!M1319="1111")),TH!D1319,""),"")</f>
        <v/>
      </c>
      <c r="B1319" s="36">
        <f t="shared" si="85"/>
        <v>12</v>
      </c>
      <c r="C1319" s="189">
        <f t="shared" si="86"/>
        <v>42359</v>
      </c>
      <c r="D1319" s="189" t="s">
        <v>1405</v>
      </c>
      <c r="E1319" s="189">
        <v>42359</v>
      </c>
      <c r="F1319" s="926" t="s">
        <v>423</v>
      </c>
      <c r="G1319" s="811" t="s">
        <v>1107</v>
      </c>
      <c r="H1319" s="191" t="s">
        <v>1063</v>
      </c>
      <c r="I1319" s="243"/>
      <c r="J1319" s="243"/>
      <c r="K1319" s="573">
        <v>10780000</v>
      </c>
      <c r="L1319" s="574" t="s">
        <v>47</v>
      </c>
      <c r="M1319" s="574" t="s">
        <v>250</v>
      </c>
      <c r="N1319" s="51" t="str">
        <f>IF(AND('331-CT'!$E$7=TH!H1319,OR(L1319="331",M1319="331")),"331",IF(AND(OR(L1319="131",M1319="131"),H1319='131-CT'!$E$7),"131",""))</f>
        <v/>
      </c>
      <c r="O1319" s="51" t="str">
        <f>IF(AND($B1319&gt;='111'!$N$11,$B1319&lt;='111'!$O$11,OR($L1319=$O$7,$M1319=$O$7)),"x","")</f>
        <v>x</v>
      </c>
      <c r="P1319" s="51" t="str">
        <f>IF(AND($L1319=$O$7,$B1319&lt;'111'!$N$11),"x","")</f>
        <v/>
      </c>
      <c r="Q1319" s="51" t="str">
        <f>IF(AND($M1319=$O$7,$B1319&lt;'111'!$N$11),"x","")</f>
        <v/>
      </c>
      <c r="R1319" s="51" t="str">
        <f>IF(ISERROR(FIND('112'!$M$9,G1319,1)),"",IF((AND(FIND('112'!$M$9,G1319,1)&gt;=1,$B1319&gt;='112'!$N$8,$B1319&lt;='112'!$O$8,OR($L1319='112'!$I$6,$M1319='112'!$I$6))),"x",""))</f>
        <v/>
      </c>
      <c r="S1319" s="51" t="str">
        <f>IF(ISERROR(FIND('112'!$M$9,G1319,1)),"",IF((AND(LEFT(G1319,2)=LEFT('112'!$M$9,2),B1319&lt;'112'!$N$8,$L1319='112'!$I$6)),"x",""))</f>
        <v/>
      </c>
      <c r="T1319" s="51" t="str">
        <f>IF(ISERROR(FIND('112'!$M$9,G1319,1)),"",IF((AND(RIGHT(G1319,2)=RIGHT('112'!$M$9,2),B1319&lt;'112'!$N$8,$M1319='112'!$I$6)),"x",""))</f>
        <v/>
      </c>
      <c r="U1319" s="51" t="str">
        <f>IF(AND(L1319="154",'154'!$O$5&lt;=B1319,'154'!$P$5&gt;=B1319),"154",IF(AND(L1319="632",'632'!$L$5&lt;=B1319,'632'!$M$5&gt;=B1319),"632",IF(AND(L1319="642",'642'!$N$5&lt;=B1319,'642'!$O$5&gt;=B1319),"642",IF(AND(L1319="641",'641'!$N$5&lt;=B1319,'641'!$O$5&gt;=B1319),"641",""))))</f>
        <v/>
      </c>
      <c r="V1319" s="51" t="str">
        <f>IF(OR(TH!L1319=TH!$V$7,M1319=TH!$V$7),"x","")</f>
        <v/>
      </c>
      <c r="W1319" s="51" t="str">
        <f>IF(AND(B1319&gt;='IN-NX'!$P$3,B1319&lt;='IN-NX'!$Q$3,'IN-NX'!$D$7=D1319,OR(LEFT(L1319,2)="15",AND(LEFT(M1319,2)&lt;&gt;"15",LEFT(M1319,2)&lt;&gt;"33"))),"x","")</f>
        <v/>
      </c>
      <c r="X1319" s="51" t="str">
        <f>IF(AND(OR(LEFT(TH!L1319,2)="15",LEFT(TH!M1319,2)="15"),'152-CT'!$J$8=TH!F1319),"x","")</f>
        <v/>
      </c>
      <c r="Y1319" s="51" t="str">
        <f>IF(AND(OR(LEFT(TH!L1319,2)="15",LEFT(TH!M1319,2)="15"),TK!$E$7=TH!F1319),"x","")</f>
        <v/>
      </c>
      <c r="Z1319" s="51" t="str">
        <f>IF(AND(B1319&lt;=NKC!$N$8,B1319&gt;=NKC!$M$8),"x","")</f>
        <v/>
      </c>
      <c r="AA1319" s="803"/>
      <c r="AB1319" s="565"/>
    </row>
    <row r="1320" spans="1:30" ht="15.75" customHeight="1">
      <c r="A1320" s="804" t="str">
        <f>IF(B1320&lt;&gt;"",IF(AND(B1320&gt;=_TM1,B1320&lt;=_TM2,OR(TH!L1320="1111",TH!M1320="1111")),TH!D1320,""),"")</f>
        <v/>
      </c>
      <c r="B1320" s="36">
        <f t="shared" si="85"/>
        <v>12</v>
      </c>
      <c r="C1320" s="189">
        <f t="shared" si="86"/>
        <v>42360</v>
      </c>
      <c r="D1320" s="189" t="s">
        <v>421</v>
      </c>
      <c r="E1320" s="182">
        <v>42360</v>
      </c>
      <c r="F1320" s="187" t="s">
        <v>423</v>
      </c>
      <c r="G1320" s="811" t="s">
        <v>415</v>
      </c>
      <c r="H1320" s="191" t="s">
        <v>450</v>
      </c>
      <c r="I1320" s="243"/>
      <c r="J1320" s="243"/>
      <c r="K1320" s="573">
        <v>18000000</v>
      </c>
      <c r="L1320" s="574" t="s">
        <v>24</v>
      </c>
      <c r="M1320" s="192" t="s">
        <v>250</v>
      </c>
      <c r="N1320" s="51" t="str">
        <f>IF(AND('331-CT'!$E$7=TH!H1320,OR(L1320="331",M1320="331")),"331",IF(AND(OR(L1320="131",M1320="131"),H1320='131-CT'!$E$7),"131",""))</f>
        <v/>
      </c>
      <c r="O1320" s="51" t="str">
        <f>IF(AND($B1320&gt;='111'!$N$11,$B1320&lt;='111'!$O$11,OR($L1320=$O$7,$M1320=$O$7)),"x","")</f>
        <v/>
      </c>
      <c r="P1320" s="51" t="str">
        <f>IF(AND($L1320=$O$7,$B1320&lt;'111'!$N$11),"x","")</f>
        <v/>
      </c>
      <c r="Q1320" s="51" t="str">
        <f>IF(AND($M1320=$O$7,$B1320&lt;'111'!$N$11),"x","")</f>
        <v/>
      </c>
      <c r="R1320" s="51" t="str">
        <f>IF(ISERROR(FIND('112'!$M$9,G1320,1)),"",IF((AND(FIND('112'!$M$9,G1320,1)&gt;=1,$B1320&gt;='112'!$N$8,$B1320&lt;='112'!$O$8,OR($L1320='112'!$I$6,$M1320='112'!$I$6))),"x",""))</f>
        <v/>
      </c>
      <c r="S1320" s="51" t="str">
        <f>IF(ISERROR(FIND('112'!$M$9,G1320,1)),"",IF((AND(LEFT(G1320,2)=LEFT('112'!$M$9,2),B1320&lt;'112'!$N$8,$L1320='112'!$I$6)),"x",""))</f>
        <v/>
      </c>
      <c r="T1320" s="51" t="str">
        <f>IF(ISERROR(FIND('112'!$M$9,G1320,1)),"",IF((AND(RIGHT(G1320,2)=RIGHT('112'!$M$9,2),B1320&lt;'112'!$N$8,$M1320='112'!$I$6)),"x",""))</f>
        <v/>
      </c>
      <c r="U1320" s="51" t="str">
        <f>IF(AND(L1320="154",'154'!$O$5&lt;=B1320,'154'!$P$5&gt;=B1320),"154",IF(AND(L1320="632",'632'!$L$5&lt;=B1320,'632'!$M$5&gt;=B1320),"632",IF(AND(L1320="642",'642'!$N$5&lt;=B1320,'642'!$O$5&gt;=B1320),"642",IF(AND(L1320="641",'641'!$N$5&lt;=B1320,'641'!$O$5&gt;=B1320),"641",""))))</f>
        <v/>
      </c>
      <c r="V1320" s="51" t="str">
        <f>IF(OR(TH!L1320=TH!$V$7,M1320=TH!$V$7),"x","")</f>
        <v/>
      </c>
      <c r="W1320" s="51" t="str">
        <f>IF(AND(B1320&gt;='IN-NX'!$P$3,B1320&lt;='IN-NX'!$Q$3,'IN-NX'!$D$7=D1320,OR(LEFT(L1320,2)="15",AND(LEFT(M1320,2)&lt;&gt;"15",LEFT(M1320,2)&lt;&gt;"33"))),"x","")</f>
        <v/>
      </c>
      <c r="X1320" s="51" t="str">
        <f>IF(AND(OR(LEFT(TH!L1320,2)="15",LEFT(TH!M1320,2)="15"),'152-CT'!$J$8=TH!F1320),"x","")</f>
        <v/>
      </c>
      <c r="Y1320" s="51" t="str">
        <f>IF(AND(OR(LEFT(TH!L1320,2)="15",LEFT(TH!M1320,2)="15"),TK!$E$7=TH!F1320),"x","")</f>
        <v/>
      </c>
      <c r="Z1320" s="51" t="str">
        <f>IF(AND(B1320&lt;=NKC!$N$8,B1320&gt;=NKC!$M$8),"x","")</f>
        <v/>
      </c>
      <c r="AA1320" s="803"/>
      <c r="AB1320" s="565"/>
    </row>
    <row r="1321" spans="1:30" ht="15.75" customHeight="1">
      <c r="A1321" s="804" t="str">
        <f>IF(B1321&lt;&gt;"",IF(AND(B1321&gt;=_TM1,B1321&lt;=_TM2,OR(TH!L1321="1111",TH!M1321="1111")),TH!D1321,""),"")</f>
        <v/>
      </c>
      <c r="B1321" s="36">
        <f t="shared" si="85"/>
        <v>12</v>
      </c>
      <c r="C1321" s="189">
        <f t="shared" si="86"/>
        <v>42360</v>
      </c>
      <c r="D1321" s="189" t="s">
        <v>1516</v>
      </c>
      <c r="E1321" s="189">
        <v>42360</v>
      </c>
      <c r="F1321" s="926" t="s">
        <v>1235</v>
      </c>
      <c r="G1321" s="813" t="s">
        <v>950</v>
      </c>
      <c r="H1321" s="191" t="s">
        <v>448</v>
      </c>
      <c r="I1321" s="243">
        <v>113</v>
      </c>
      <c r="J1321" s="243">
        <v>23040</v>
      </c>
      <c r="K1321" s="573">
        <f>ROUND(I1321*J1321,0)</f>
        <v>2603520</v>
      </c>
      <c r="L1321" s="574" t="s">
        <v>417</v>
      </c>
      <c r="M1321" s="574" t="s">
        <v>8</v>
      </c>
      <c r="N1321" s="51" t="str">
        <f>IF(AND('331-CT'!$E$7=TH!H1321,OR(L1321="331",M1321="331")),"331",IF(AND(OR(L1321="131",M1321="131"),H1321='131-CT'!$E$7),"131",""))</f>
        <v/>
      </c>
      <c r="O1321" s="51" t="str">
        <f>IF(AND($B1321&gt;='111'!$N$11,$B1321&lt;='111'!$O$11,OR($L1321=$O$7,$M1321=$O$7)),"x","")</f>
        <v/>
      </c>
      <c r="P1321" s="51" t="str">
        <f>IF(AND($L1321=$O$7,$B1321&lt;'111'!$N$11),"x","")</f>
        <v/>
      </c>
      <c r="Q1321" s="51" t="str">
        <f>IF(AND($M1321=$O$7,$B1321&lt;'111'!$N$11),"x","")</f>
        <v/>
      </c>
      <c r="R1321" s="51" t="str">
        <f>IF(ISERROR(FIND('112'!$M$9,G1321,1)),"",IF((AND(FIND('112'!$M$9,G1321,1)&gt;=1,$B1321&gt;='112'!$N$8,$B1321&lt;='112'!$O$8,OR($L1321='112'!$I$6,$M1321='112'!$I$6))),"x",""))</f>
        <v/>
      </c>
      <c r="S1321" s="51" t="str">
        <f>IF(ISERROR(FIND('112'!$M$9,G1321,1)),"",IF((AND(LEFT(G1321,2)=LEFT('112'!$M$9,2),B1321&lt;'112'!$N$8,$L1321='112'!$I$6)),"x",""))</f>
        <v/>
      </c>
      <c r="T1321" s="51" t="str">
        <f>IF(ISERROR(FIND('112'!$M$9,G1321,1)),"",IF((AND(RIGHT(G1321,2)=RIGHT('112'!$M$9,2),B1321&lt;'112'!$N$8,$M1321='112'!$I$6)),"x",""))</f>
        <v/>
      </c>
      <c r="U1321" s="51" t="str">
        <f>IF(AND(L1321="154",'154'!$O$5&lt;=B1321,'154'!$P$5&gt;=B1321),"154",IF(AND(L1321="632",'632'!$L$5&lt;=B1321,'632'!$M$5&gt;=B1321),"632",IF(AND(L1321="642",'642'!$N$5&lt;=B1321,'642'!$O$5&gt;=B1321),"642",IF(AND(L1321="641",'641'!$N$5&lt;=B1321,'641'!$O$5&gt;=B1321),"641",""))))</f>
        <v/>
      </c>
      <c r="V1321" s="51" t="str">
        <f>IF(OR(TH!L1321=TH!$V$7,M1321=TH!$V$7),"x","")</f>
        <v/>
      </c>
      <c r="W1321" s="51" t="str">
        <f>IF(AND(B1321&gt;='IN-NX'!$P$3,B1321&lt;='IN-NX'!$Q$3,'IN-NX'!$D$7=D1321,OR(LEFT(L1321,2)="15",AND(LEFT(M1321,2)&lt;&gt;"15",LEFT(M1321,2)&lt;&gt;"33"))),"x","")</f>
        <v/>
      </c>
      <c r="X1321" s="51" t="str">
        <f>IF(AND(OR(LEFT(TH!L1321,2)="15",LEFT(TH!M1321,2)="15"),'152-CT'!$J$8=TH!F1321),"x","")</f>
        <v/>
      </c>
      <c r="Y1321" s="51" t="str">
        <f>IF(AND(OR(LEFT(TH!L1321,2)="15",LEFT(TH!M1321,2)="15"),TK!$E$7=TH!F1321),"x","")</f>
        <v/>
      </c>
      <c r="Z1321" s="51" t="str">
        <f>IF(AND(B1321&lt;=NKC!$N$8,B1321&gt;=NKC!$M$8),"x","")</f>
        <v/>
      </c>
      <c r="AA1321" s="803"/>
      <c r="AB1321" s="565"/>
    </row>
    <row r="1322" spans="1:30" ht="15.75" customHeight="1">
      <c r="A1322" s="804" t="str">
        <f>IF(B1322&lt;&gt;"",IF(AND(B1322&gt;=_TM1,B1322&lt;=_TM2,OR(TH!L1322="1111",TH!M1322="1111")),TH!D1322,""),"")</f>
        <v/>
      </c>
      <c r="B1322" s="36">
        <f t="shared" si="85"/>
        <v>12</v>
      </c>
      <c r="C1322" s="189">
        <f t="shared" si="86"/>
        <v>42360</v>
      </c>
      <c r="D1322" s="189" t="s">
        <v>1516</v>
      </c>
      <c r="E1322" s="189">
        <v>42360</v>
      </c>
      <c r="F1322" s="926" t="s">
        <v>1206</v>
      </c>
      <c r="G1322" s="813" t="s">
        <v>950</v>
      </c>
      <c r="H1322" s="191" t="s">
        <v>448</v>
      </c>
      <c r="I1322" s="243">
        <v>450</v>
      </c>
      <c r="J1322" s="243">
        <v>4863</v>
      </c>
      <c r="K1322" s="573">
        <f>ROUND(I1322*J1322,0)</f>
        <v>2188350</v>
      </c>
      <c r="L1322" s="574" t="s">
        <v>417</v>
      </c>
      <c r="M1322" s="574" t="s">
        <v>8</v>
      </c>
      <c r="N1322" s="51" t="str">
        <f>IF(AND('331-CT'!$E$7=TH!H1322,OR(L1322="331",M1322="331")),"331",IF(AND(OR(L1322="131",M1322="131"),H1322='131-CT'!$E$7),"131",""))</f>
        <v/>
      </c>
      <c r="O1322" s="51" t="str">
        <f>IF(AND($B1322&gt;='111'!$N$11,$B1322&lt;='111'!$O$11,OR($L1322=$O$7,$M1322=$O$7)),"x","")</f>
        <v/>
      </c>
      <c r="P1322" s="51" t="str">
        <f>IF(AND($L1322=$O$7,$B1322&lt;'111'!$N$11),"x","")</f>
        <v/>
      </c>
      <c r="Q1322" s="51" t="str">
        <f>IF(AND($M1322=$O$7,$B1322&lt;'111'!$N$11),"x","")</f>
        <v/>
      </c>
      <c r="R1322" s="51" t="str">
        <f>IF(ISERROR(FIND('112'!$M$9,G1322,1)),"",IF((AND(FIND('112'!$M$9,G1322,1)&gt;=1,$B1322&gt;='112'!$N$8,$B1322&lt;='112'!$O$8,OR($L1322='112'!$I$6,$M1322='112'!$I$6))),"x",""))</f>
        <v/>
      </c>
      <c r="S1322" s="51" t="str">
        <f>IF(ISERROR(FIND('112'!$M$9,G1322,1)),"",IF((AND(LEFT(G1322,2)=LEFT('112'!$M$9,2),B1322&lt;'112'!$N$8,$L1322='112'!$I$6)),"x",""))</f>
        <v/>
      </c>
      <c r="T1322" s="51" t="str">
        <f>IF(ISERROR(FIND('112'!$M$9,G1322,1)),"",IF((AND(RIGHT(G1322,2)=RIGHT('112'!$M$9,2),B1322&lt;'112'!$N$8,$M1322='112'!$I$6)),"x",""))</f>
        <v/>
      </c>
      <c r="U1322" s="51" t="str">
        <f>IF(AND(L1322="154",'154'!$O$5&lt;=B1322,'154'!$P$5&gt;=B1322),"154",IF(AND(L1322="632",'632'!$L$5&lt;=B1322,'632'!$M$5&gt;=B1322),"632",IF(AND(L1322="642",'642'!$N$5&lt;=B1322,'642'!$O$5&gt;=B1322),"642",IF(AND(L1322="641",'641'!$N$5&lt;=B1322,'641'!$O$5&gt;=B1322),"641",""))))</f>
        <v/>
      </c>
      <c r="V1322" s="51" t="str">
        <f>IF(OR(TH!L1322=TH!$V$7,M1322=TH!$V$7),"x","")</f>
        <v/>
      </c>
      <c r="W1322" s="51" t="str">
        <f>IF(AND(B1322&gt;='IN-NX'!$P$3,B1322&lt;='IN-NX'!$Q$3,'IN-NX'!$D$7=D1322,OR(LEFT(L1322,2)="15",AND(LEFT(M1322,2)&lt;&gt;"15",LEFT(M1322,2)&lt;&gt;"33"))),"x","")</f>
        <v/>
      </c>
      <c r="X1322" s="51" t="str">
        <f>IF(AND(OR(LEFT(TH!L1322,2)="15",LEFT(TH!M1322,2)="15"),'152-CT'!$J$8=TH!F1322),"x","")</f>
        <v/>
      </c>
      <c r="Y1322" s="51" t="str">
        <f>IF(AND(OR(LEFT(TH!L1322,2)="15",LEFT(TH!M1322,2)="15"),TK!$E$7=TH!F1322),"x","")</f>
        <v/>
      </c>
      <c r="Z1322" s="51" t="str">
        <f>IF(AND(B1322&lt;=NKC!$N$8,B1322&gt;=NKC!$M$8),"x","")</f>
        <v/>
      </c>
      <c r="AA1322" s="803"/>
      <c r="AB1322" s="565"/>
    </row>
    <row r="1323" spans="1:30" ht="15.75" customHeight="1">
      <c r="A1323" s="804" t="str">
        <f>IF(B1323&lt;&gt;"",IF(AND(B1323&gt;=_TM1,B1323&lt;=_TM2,OR(TH!L1323="1111",TH!M1323="1111")),TH!D1323,""),"")</f>
        <v/>
      </c>
      <c r="B1323" s="36">
        <f t="shared" si="85"/>
        <v>12</v>
      </c>
      <c r="C1323" s="189">
        <f t="shared" si="86"/>
        <v>42360</v>
      </c>
      <c r="D1323" s="189" t="s">
        <v>1516</v>
      </c>
      <c r="E1323" s="189">
        <v>42360</v>
      </c>
      <c r="F1323" s="926" t="s">
        <v>692</v>
      </c>
      <c r="G1323" s="813" t="s">
        <v>950</v>
      </c>
      <c r="H1323" s="191" t="s">
        <v>448</v>
      </c>
      <c r="I1323" s="243">
        <v>500</v>
      </c>
      <c r="J1323" s="243">
        <v>10476</v>
      </c>
      <c r="K1323" s="573">
        <f>ROUND(I1323*J1323,0)</f>
        <v>5238000</v>
      </c>
      <c r="L1323" s="574" t="s">
        <v>417</v>
      </c>
      <c r="M1323" s="574" t="s">
        <v>8</v>
      </c>
      <c r="N1323" s="51" t="str">
        <f>IF(AND('331-CT'!$E$7=TH!H1323,OR(L1323="331",M1323="331")),"331",IF(AND(OR(L1323="131",M1323="131"),H1323='131-CT'!$E$7),"131",""))</f>
        <v/>
      </c>
      <c r="O1323" s="51" t="str">
        <f>IF(AND($B1323&gt;='111'!$N$11,$B1323&lt;='111'!$O$11,OR($L1323=$O$7,$M1323=$O$7)),"x","")</f>
        <v/>
      </c>
      <c r="P1323" s="51" t="str">
        <f>IF(AND($L1323=$O$7,$B1323&lt;'111'!$N$11),"x","")</f>
        <v/>
      </c>
      <c r="Q1323" s="51" t="str">
        <f>IF(AND($M1323=$O$7,$B1323&lt;'111'!$N$11),"x","")</f>
        <v/>
      </c>
      <c r="R1323" s="51" t="str">
        <f>IF(ISERROR(FIND('112'!$M$9,G1323,1)),"",IF((AND(FIND('112'!$M$9,G1323,1)&gt;=1,$B1323&gt;='112'!$N$8,$B1323&lt;='112'!$O$8,OR($L1323='112'!$I$6,$M1323='112'!$I$6))),"x",""))</f>
        <v/>
      </c>
      <c r="S1323" s="51" t="str">
        <f>IF(ISERROR(FIND('112'!$M$9,G1323,1)),"",IF((AND(LEFT(G1323,2)=LEFT('112'!$M$9,2),B1323&lt;'112'!$N$8,$L1323='112'!$I$6)),"x",""))</f>
        <v/>
      </c>
      <c r="T1323" s="51" t="str">
        <f>IF(ISERROR(FIND('112'!$M$9,G1323,1)),"",IF((AND(RIGHT(G1323,2)=RIGHT('112'!$M$9,2),B1323&lt;'112'!$N$8,$M1323='112'!$I$6)),"x",""))</f>
        <v/>
      </c>
      <c r="U1323" s="51" t="str">
        <f>IF(AND(L1323="154",'154'!$O$5&lt;=B1323,'154'!$P$5&gt;=B1323),"154",IF(AND(L1323="632",'632'!$L$5&lt;=B1323,'632'!$M$5&gt;=B1323),"632",IF(AND(L1323="642",'642'!$N$5&lt;=B1323,'642'!$O$5&gt;=B1323),"642",IF(AND(L1323="641",'641'!$N$5&lt;=B1323,'641'!$O$5&gt;=B1323),"641",""))))</f>
        <v/>
      </c>
      <c r="V1323" s="51" t="str">
        <f>IF(OR(TH!L1323=TH!$V$7,M1323=TH!$V$7),"x","")</f>
        <v/>
      </c>
      <c r="W1323" s="51" t="str">
        <f>IF(AND(B1323&gt;='IN-NX'!$P$3,B1323&lt;='IN-NX'!$Q$3,'IN-NX'!$D$7=D1323,OR(LEFT(L1323,2)="15",AND(LEFT(M1323,2)&lt;&gt;"15",LEFT(M1323,2)&lt;&gt;"33"))),"x","")</f>
        <v/>
      </c>
      <c r="X1323" s="51" t="str">
        <f>IF(AND(OR(LEFT(TH!L1323,2)="15",LEFT(TH!M1323,2)="15"),'152-CT'!$J$8=TH!F1323),"x","")</f>
        <v/>
      </c>
      <c r="Y1323" s="51" t="str">
        <f>IF(AND(OR(LEFT(TH!L1323,2)="15",LEFT(TH!M1323,2)="15"),TK!$E$7=TH!F1323),"x","")</f>
        <v/>
      </c>
      <c r="Z1323" s="51" t="str">
        <f>IF(AND(B1323&lt;=NKC!$N$8,B1323&gt;=NKC!$M$8),"x","")</f>
        <v/>
      </c>
      <c r="AA1323" s="803"/>
      <c r="AB1323" s="565"/>
    </row>
    <row r="1324" spans="1:30" ht="15.75" customHeight="1">
      <c r="A1324" s="804" t="str">
        <f>IF(B1324&lt;&gt;"",IF(AND(B1324&gt;=_TM1,B1324&lt;=_TM2,OR(TH!L1324="1111",TH!M1324="1111")),TH!D1324,""),"")</f>
        <v/>
      </c>
      <c r="B1324" s="36">
        <f t="shared" si="85"/>
        <v>12</v>
      </c>
      <c r="C1324" s="189">
        <f t="shared" si="86"/>
        <v>42360</v>
      </c>
      <c r="D1324" s="189" t="s">
        <v>1516</v>
      </c>
      <c r="E1324" s="189">
        <v>42360</v>
      </c>
      <c r="F1324" s="926" t="s">
        <v>496</v>
      </c>
      <c r="G1324" s="813" t="s">
        <v>950</v>
      </c>
      <c r="H1324" s="191" t="s">
        <v>448</v>
      </c>
      <c r="I1324" s="243"/>
      <c r="J1324" s="243"/>
      <c r="K1324" s="573">
        <v>1002987</v>
      </c>
      <c r="L1324" s="574" t="s">
        <v>9</v>
      </c>
      <c r="M1324" s="574" t="s">
        <v>8</v>
      </c>
      <c r="N1324" s="51" t="str">
        <f>IF(AND('331-CT'!$E$7=TH!H1324,OR(L1324="331",M1324="331")),"331",IF(AND(OR(L1324="131",M1324="131"),H1324='131-CT'!$E$7),"131",""))</f>
        <v/>
      </c>
      <c r="O1324" s="51" t="str">
        <f>IF(AND($B1324&gt;='111'!$N$11,$B1324&lt;='111'!$O$11,OR($L1324=$O$7,$M1324=$O$7)),"x","")</f>
        <v/>
      </c>
      <c r="P1324" s="51" t="str">
        <f>IF(AND($L1324=$O$7,$B1324&lt;'111'!$N$11),"x","")</f>
        <v/>
      </c>
      <c r="Q1324" s="51" t="str">
        <f>IF(AND($M1324=$O$7,$B1324&lt;'111'!$N$11),"x","")</f>
        <v/>
      </c>
      <c r="R1324" s="51" t="str">
        <f>IF(ISERROR(FIND('112'!$M$9,G1324,1)),"",IF((AND(FIND('112'!$M$9,G1324,1)&gt;=1,$B1324&gt;='112'!$N$8,$B1324&lt;='112'!$O$8,OR($L1324='112'!$I$6,$M1324='112'!$I$6))),"x",""))</f>
        <v/>
      </c>
      <c r="S1324" s="51" t="str">
        <f>IF(ISERROR(FIND('112'!$M$9,G1324,1)),"",IF((AND(LEFT(G1324,2)=LEFT('112'!$M$9,2),B1324&lt;'112'!$N$8,$L1324='112'!$I$6)),"x",""))</f>
        <v/>
      </c>
      <c r="T1324" s="51" t="str">
        <f>IF(ISERROR(FIND('112'!$M$9,G1324,1)),"",IF((AND(RIGHT(G1324,2)=RIGHT('112'!$M$9,2),B1324&lt;'112'!$N$8,$M1324='112'!$I$6)),"x",""))</f>
        <v/>
      </c>
      <c r="U1324" s="51" t="str">
        <f>IF(AND(L1324="154",'154'!$O$5&lt;=B1324,'154'!$P$5&gt;=B1324),"154",IF(AND(L1324="632",'632'!$L$5&lt;=B1324,'632'!$M$5&gt;=B1324),"632",IF(AND(L1324="642",'642'!$N$5&lt;=B1324,'642'!$O$5&gt;=B1324),"642",IF(AND(L1324="641",'641'!$N$5&lt;=B1324,'641'!$O$5&gt;=B1324),"641",""))))</f>
        <v/>
      </c>
      <c r="V1324" s="51" t="str">
        <f>IF(OR(TH!L1324=TH!$V$7,M1324=TH!$V$7),"x","")</f>
        <v/>
      </c>
      <c r="W1324" s="51" t="str">
        <f>IF(AND(B1324&gt;='IN-NX'!$P$3,B1324&lt;='IN-NX'!$Q$3,'IN-NX'!$D$7=D1324,OR(LEFT(L1324,2)="15",AND(LEFT(M1324,2)&lt;&gt;"15",LEFT(M1324,2)&lt;&gt;"33"))),"x","")</f>
        <v/>
      </c>
      <c r="X1324" s="51" t="str">
        <f>IF(AND(OR(LEFT(TH!L1324,2)="15",LEFT(TH!M1324,2)="15"),'152-CT'!$J$8=TH!F1324),"x","")</f>
        <v/>
      </c>
      <c r="Y1324" s="51" t="str">
        <f>IF(AND(OR(LEFT(TH!L1324,2)="15",LEFT(TH!M1324,2)="15"),TK!$E$7=TH!F1324),"x","")</f>
        <v/>
      </c>
      <c r="Z1324" s="51" t="str">
        <f>IF(AND(B1324&lt;=NKC!$N$8,B1324&gt;=NKC!$M$8),"x","")</f>
        <v/>
      </c>
      <c r="AA1324" s="803">
        <v>4</v>
      </c>
      <c r="AB1324" s="565"/>
      <c r="AD1324" s="565"/>
    </row>
    <row r="1325" spans="1:30" ht="15.75" customHeight="1">
      <c r="A1325" s="804" t="str">
        <f>IF(B1325&lt;&gt;"",IF(AND(B1325&gt;=_TM1,B1325&lt;=_TM2,OR(TH!L1325="1111",TH!M1325="1111")),TH!D1325,""),"")</f>
        <v/>
      </c>
      <c r="B1325" s="36">
        <f t="shared" si="85"/>
        <v>12</v>
      </c>
      <c r="C1325" s="189">
        <f t="shared" si="86"/>
        <v>42360</v>
      </c>
      <c r="D1325" s="189" t="s">
        <v>1327</v>
      </c>
      <c r="E1325" s="189">
        <v>42360</v>
      </c>
      <c r="F1325" s="926" t="s">
        <v>1235</v>
      </c>
      <c r="G1325" s="811" t="s">
        <v>482</v>
      </c>
      <c r="H1325" s="7" t="s">
        <v>445</v>
      </c>
      <c r="I1325" s="243">
        <v>113</v>
      </c>
      <c r="J1325" s="243">
        <v>32280</v>
      </c>
      <c r="K1325" s="573">
        <f>ROUND(I1325*J1325,0)</f>
        <v>3647640</v>
      </c>
      <c r="L1325" s="574" t="s">
        <v>250</v>
      </c>
      <c r="M1325" s="574" t="s">
        <v>164</v>
      </c>
      <c r="N1325" s="51" t="str">
        <f>IF(AND('331-CT'!$E$7=TH!H1325,OR(L1325="331",M1325="331")),"331",IF(AND(OR(L1325="131",M1325="131"),H1325='131-CT'!$E$7),"131",""))</f>
        <v/>
      </c>
      <c r="O1325" s="51" t="str">
        <f>IF(AND($B1325&gt;='111'!$N$11,$B1325&lt;='111'!$O$11,OR($L1325=$O$7,$M1325=$O$7)),"x","")</f>
        <v/>
      </c>
      <c r="P1325" s="51" t="str">
        <f>IF(AND($L1325=$O$7,$B1325&lt;'111'!$N$11),"x","")</f>
        <v/>
      </c>
      <c r="Q1325" s="51" t="str">
        <f>IF(AND($M1325=$O$7,$B1325&lt;'111'!$N$11),"x","")</f>
        <v/>
      </c>
      <c r="R1325" s="51" t="str">
        <f>IF(ISERROR(FIND('112'!$M$9,G1325,1)),"",IF((AND(FIND('112'!$M$9,G1325,1)&gt;=1,$B1325&gt;='112'!$N$8,$B1325&lt;='112'!$O$8,OR($L1325='112'!$I$6,$M1325='112'!$I$6))),"x",""))</f>
        <v/>
      </c>
      <c r="S1325" s="51" t="str">
        <f>IF(ISERROR(FIND('112'!$M$9,G1325,1)),"",IF((AND(LEFT(G1325,2)=LEFT('112'!$M$9,2),B1325&lt;'112'!$N$8,$L1325='112'!$I$6)),"x",""))</f>
        <v/>
      </c>
      <c r="T1325" s="51" t="str">
        <f>IF(ISERROR(FIND('112'!$M$9,G1325,1)),"",IF((AND(RIGHT(G1325,2)=RIGHT('112'!$M$9,2),B1325&lt;'112'!$N$8,$M1325='112'!$I$6)),"x",""))</f>
        <v/>
      </c>
      <c r="U1325" s="51" t="str">
        <f>IF(AND(L1325="154",'154'!$O$5&lt;=B1325,'154'!$P$5&gt;=B1325),"154",IF(AND(L1325="632",'632'!$L$5&lt;=B1325,'632'!$M$5&gt;=B1325),"632",IF(AND(L1325="642",'642'!$N$5&lt;=B1325,'642'!$O$5&gt;=B1325),"642",IF(AND(L1325="641",'641'!$N$5&lt;=B1325,'641'!$O$5&gt;=B1325),"641",""))))</f>
        <v/>
      </c>
      <c r="V1325" s="51" t="str">
        <f>IF(OR(TH!L1325=TH!$V$7,M1325=TH!$V$7),"x","")</f>
        <v/>
      </c>
      <c r="W1325" s="51" t="str">
        <f>IF(AND(B1325&gt;='IN-NX'!$P$3,B1325&lt;='IN-NX'!$Q$3,'IN-NX'!$D$7=D1325,OR(LEFT(L1325,2)="15",AND(LEFT(M1325,2)&lt;&gt;"15",LEFT(M1325,2)&lt;&gt;"33"))),"x","")</f>
        <v/>
      </c>
      <c r="X1325" s="51" t="str">
        <f>IF(AND(OR(LEFT(TH!L1325,2)="15",LEFT(TH!M1325,2)="15"),'152-CT'!$J$8=TH!F1325),"x","")</f>
        <v/>
      </c>
      <c r="Y1325" s="51" t="str">
        <f>IF(AND(OR(LEFT(TH!L1325,2)="15",LEFT(TH!M1325,2)="15"),TK!$E$7=TH!F1325),"x","")</f>
        <v/>
      </c>
      <c r="Z1325" s="51" t="str">
        <f>IF(AND(B1325&lt;=NKC!$N$8,B1325&gt;=NKC!$M$8),"x","")</f>
        <v/>
      </c>
      <c r="AA1325" s="803"/>
      <c r="AB1325" s="565"/>
    </row>
    <row r="1326" spans="1:30" ht="15.75" customHeight="1">
      <c r="A1326" s="804" t="str">
        <f>IF(B1326&lt;&gt;"",IF(AND(B1326&gt;=_TM1,B1326&lt;=_TM2,OR(TH!L1326="1111",TH!M1326="1111")),TH!D1326,""),"")</f>
        <v/>
      </c>
      <c r="B1326" s="36">
        <f t="shared" si="85"/>
        <v>12</v>
      </c>
      <c r="C1326" s="189">
        <f t="shared" si="86"/>
        <v>42360</v>
      </c>
      <c r="D1326" s="189" t="s">
        <v>1327</v>
      </c>
      <c r="E1326" s="189">
        <v>42360</v>
      </c>
      <c r="F1326" s="190" t="s">
        <v>1206</v>
      </c>
      <c r="G1326" s="811" t="s">
        <v>482</v>
      </c>
      <c r="H1326" s="7" t="s">
        <v>445</v>
      </c>
      <c r="I1326" s="243">
        <v>450</v>
      </c>
      <c r="J1326" s="243">
        <v>7660</v>
      </c>
      <c r="K1326" s="573">
        <f>ROUND(I1326*J1326,0)</f>
        <v>3447000</v>
      </c>
      <c r="L1326" s="574" t="s">
        <v>250</v>
      </c>
      <c r="M1326" s="574" t="s">
        <v>164</v>
      </c>
      <c r="N1326" s="51" t="str">
        <f>IF(AND('331-CT'!$E$7=TH!H1326,OR(L1326="331",M1326="331")),"331",IF(AND(OR(L1326="131",M1326="131"),H1326='131-CT'!$E$7),"131",""))</f>
        <v/>
      </c>
      <c r="O1326" s="51" t="str">
        <f>IF(AND($B1326&gt;='111'!$N$11,$B1326&lt;='111'!$O$11,OR($L1326=$O$7,$M1326=$O$7)),"x","")</f>
        <v/>
      </c>
      <c r="P1326" s="51" t="str">
        <f>IF(AND($L1326=$O$7,$B1326&lt;'111'!$N$11),"x","")</f>
        <v/>
      </c>
      <c r="Q1326" s="51" t="str">
        <f>IF(AND($M1326=$O$7,$B1326&lt;'111'!$N$11),"x","")</f>
        <v/>
      </c>
      <c r="R1326" s="51" t="str">
        <f>IF(ISERROR(FIND('112'!$M$9,G1326,1)),"",IF((AND(FIND('112'!$M$9,G1326,1)&gt;=1,$B1326&gt;='112'!$N$8,$B1326&lt;='112'!$O$8,OR($L1326='112'!$I$6,$M1326='112'!$I$6))),"x",""))</f>
        <v/>
      </c>
      <c r="S1326" s="51" t="str">
        <f>IF(ISERROR(FIND('112'!$M$9,G1326,1)),"",IF((AND(LEFT(G1326,2)=LEFT('112'!$M$9,2),B1326&lt;'112'!$N$8,$L1326='112'!$I$6)),"x",""))</f>
        <v/>
      </c>
      <c r="T1326" s="51" t="str">
        <f>IF(ISERROR(FIND('112'!$M$9,G1326,1)),"",IF((AND(RIGHT(G1326,2)=RIGHT('112'!$M$9,2),B1326&lt;'112'!$N$8,$M1326='112'!$I$6)),"x",""))</f>
        <v/>
      </c>
      <c r="U1326" s="51" t="str">
        <f>IF(AND(L1326="154",'154'!$O$5&lt;=B1326,'154'!$P$5&gt;=B1326),"154",IF(AND(L1326="632",'632'!$L$5&lt;=B1326,'632'!$M$5&gt;=B1326),"632",IF(AND(L1326="642",'642'!$N$5&lt;=B1326,'642'!$O$5&gt;=B1326),"642",IF(AND(L1326="641",'641'!$N$5&lt;=B1326,'641'!$O$5&gt;=B1326),"641",""))))</f>
        <v/>
      </c>
      <c r="V1326" s="51" t="str">
        <f>IF(OR(TH!L1326=TH!$V$7,M1326=TH!$V$7),"x","")</f>
        <v/>
      </c>
      <c r="W1326" s="51" t="str">
        <f>IF(AND(B1326&gt;='IN-NX'!$P$3,B1326&lt;='IN-NX'!$Q$3,'IN-NX'!$D$7=D1326,OR(LEFT(L1326,2)="15",AND(LEFT(M1326,2)&lt;&gt;"15",LEFT(M1326,2)&lt;&gt;"33"))),"x","")</f>
        <v/>
      </c>
      <c r="X1326" s="51" t="str">
        <f>IF(AND(OR(LEFT(TH!L1326,2)="15",LEFT(TH!M1326,2)="15"),'152-CT'!$J$8=TH!F1326),"x","")</f>
        <v/>
      </c>
      <c r="Y1326" s="51" t="str">
        <f>IF(AND(OR(LEFT(TH!L1326,2)="15",LEFT(TH!M1326,2)="15"),TK!$E$7=TH!F1326),"x","")</f>
        <v/>
      </c>
      <c r="Z1326" s="51" t="str">
        <f>IF(AND(B1326&lt;=NKC!$N$8,B1326&gt;=NKC!$M$8),"x","")</f>
        <v/>
      </c>
      <c r="AA1326" s="803"/>
      <c r="AB1326" s="565"/>
    </row>
    <row r="1327" spans="1:30" ht="15.75" customHeight="1">
      <c r="A1327" s="804" t="str">
        <f>IF(B1327&lt;&gt;"",IF(AND(B1327&gt;=_TM1,B1327&lt;=_TM2,OR(TH!L1327="1111",TH!M1327="1111")),TH!D1327,""),"")</f>
        <v/>
      </c>
      <c r="B1327" s="36">
        <f t="shared" si="85"/>
        <v>12</v>
      </c>
      <c r="C1327" s="189">
        <f t="shared" si="86"/>
        <v>42360</v>
      </c>
      <c r="D1327" s="189" t="s">
        <v>1327</v>
      </c>
      <c r="E1327" s="189">
        <v>42360</v>
      </c>
      <c r="F1327" s="190" t="s">
        <v>962</v>
      </c>
      <c r="G1327" s="811" t="s">
        <v>482</v>
      </c>
      <c r="H1327" s="7" t="s">
        <v>445</v>
      </c>
      <c r="I1327" s="243"/>
      <c r="J1327" s="243"/>
      <c r="K1327" s="573">
        <v>709464</v>
      </c>
      <c r="L1327" s="574" t="s">
        <v>250</v>
      </c>
      <c r="M1327" s="574" t="s">
        <v>352</v>
      </c>
      <c r="N1327" s="51" t="str">
        <f>IF(AND('331-CT'!$E$7=TH!H1327,OR(L1327="331",M1327="331")),"331",IF(AND(OR(L1327="131",M1327="131"),H1327='131-CT'!$E$7),"131",""))</f>
        <v/>
      </c>
      <c r="O1327" s="51" t="str">
        <f>IF(AND($B1327&gt;='111'!$N$11,$B1327&lt;='111'!$O$11,OR($L1327=$O$7,$M1327=$O$7)),"x","")</f>
        <v/>
      </c>
      <c r="P1327" s="51" t="str">
        <f>IF(AND($L1327=$O$7,$B1327&lt;'111'!$N$11),"x","")</f>
        <v/>
      </c>
      <c r="Q1327" s="51" t="str">
        <f>IF(AND($M1327=$O$7,$B1327&lt;'111'!$N$11),"x","")</f>
        <v/>
      </c>
      <c r="R1327" s="51" t="str">
        <f>IF(ISERROR(FIND('112'!$M$9,G1327,1)),"",IF((AND(FIND('112'!$M$9,G1327,1)&gt;=1,$B1327&gt;='112'!$N$8,$B1327&lt;='112'!$O$8,OR($L1327='112'!$I$6,$M1327='112'!$I$6))),"x",""))</f>
        <v/>
      </c>
      <c r="S1327" s="51" t="str">
        <f>IF(ISERROR(FIND('112'!$M$9,G1327,1)),"",IF((AND(LEFT(G1327,2)=LEFT('112'!$M$9,2),B1327&lt;'112'!$N$8,$L1327='112'!$I$6)),"x",""))</f>
        <v/>
      </c>
      <c r="T1327" s="51" t="str">
        <f>IF(ISERROR(FIND('112'!$M$9,G1327,1)),"",IF((AND(RIGHT(G1327,2)=RIGHT('112'!$M$9,2),B1327&lt;'112'!$N$8,$M1327='112'!$I$6)),"x",""))</f>
        <v/>
      </c>
      <c r="U1327" s="51" t="str">
        <f>IF(AND(L1327="154",'154'!$O$5&lt;=B1327,'154'!$P$5&gt;=B1327),"154",IF(AND(L1327="632",'632'!$L$5&lt;=B1327,'632'!$M$5&gt;=B1327),"632",IF(AND(L1327="642",'642'!$N$5&lt;=B1327,'642'!$O$5&gt;=B1327),"642",IF(AND(L1327="641",'641'!$N$5&lt;=B1327,'641'!$O$5&gt;=B1327),"641",""))))</f>
        <v/>
      </c>
      <c r="V1327" s="51" t="str">
        <f>IF(OR(TH!L1327=TH!$V$7,M1327=TH!$V$7),"x","")</f>
        <v/>
      </c>
      <c r="W1327" s="51" t="str">
        <f>IF(AND(B1327&gt;='IN-NX'!$P$3,B1327&lt;='IN-NX'!$Q$3,'IN-NX'!$D$7=D1327,OR(LEFT(L1327,2)="15",AND(LEFT(M1327,2)&lt;&gt;"15",LEFT(M1327,2)&lt;&gt;"33"))),"x","")</f>
        <v/>
      </c>
      <c r="X1327" s="51" t="str">
        <f>IF(AND(OR(LEFT(TH!L1327,2)="15",LEFT(TH!M1327,2)="15"),'152-CT'!$J$8=TH!F1327),"x","")</f>
        <v/>
      </c>
      <c r="Y1327" s="51" t="str">
        <f>IF(AND(OR(LEFT(TH!L1327,2)="15",LEFT(TH!M1327,2)="15"),TK!$E$7=TH!F1327),"x","")</f>
        <v/>
      </c>
      <c r="Z1327" s="51" t="str">
        <f>IF(AND(B1327&lt;=NKC!$N$8,B1327&gt;=NKC!$M$8),"x","")</f>
        <v/>
      </c>
      <c r="AA1327" s="803"/>
      <c r="AB1327" s="565"/>
    </row>
    <row r="1328" spans="1:30" ht="15.75" customHeight="1">
      <c r="A1328" s="804" t="str">
        <f>IF(B1328&lt;&gt;"",IF(AND(B1328&gt;=_TM1,B1328&lt;=_TM2,OR(TH!L1328="1111",TH!M1328="1111")),TH!D1328,""),"")</f>
        <v/>
      </c>
      <c r="B1328" s="36">
        <f t="shared" si="85"/>
        <v>12</v>
      </c>
      <c r="C1328" s="189">
        <f t="shared" si="86"/>
        <v>42361</v>
      </c>
      <c r="D1328" s="189" t="s">
        <v>421</v>
      </c>
      <c r="E1328" s="182">
        <v>42361</v>
      </c>
      <c r="F1328" s="187" t="s">
        <v>423</v>
      </c>
      <c r="G1328" s="811" t="s">
        <v>415</v>
      </c>
      <c r="H1328" s="7" t="s">
        <v>445</v>
      </c>
      <c r="I1328" s="243"/>
      <c r="J1328" s="243"/>
      <c r="K1328" s="573">
        <v>7804104</v>
      </c>
      <c r="L1328" s="574" t="s">
        <v>24</v>
      </c>
      <c r="M1328" s="574" t="s">
        <v>250</v>
      </c>
      <c r="N1328" s="51" t="str">
        <f>IF(AND('331-CT'!$E$7=TH!H1328,OR(L1328="331",M1328="331")),"331",IF(AND(OR(L1328="131",M1328="131"),H1328='131-CT'!$E$7),"131",""))</f>
        <v/>
      </c>
      <c r="O1328" s="51" t="str">
        <f>IF(AND($B1328&gt;='111'!$N$11,$B1328&lt;='111'!$O$11,OR($L1328=$O$7,$M1328=$O$7)),"x","")</f>
        <v/>
      </c>
      <c r="P1328" s="51" t="str">
        <f>IF(AND($L1328=$O$7,$B1328&lt;'111'!$N$11),"x","")</f>
        <v/>
      </c>
      <c r="Q1328" s="51" t="str">
        <f>IF(AND($M1328=$O$7,$B1328&lt;'111'!$N$11),"x","")</f>
        <v/>
      </c>
      <c r="R1328" s="51" t="str">
        <f>IF(ISERROR(FIND('112'!$M$9,G1328,1)),"",IF((AND(FIND('112'!$M$9,G1328,1)&gt;=1,$B1328&gt;='112'!$N$8,$B1328&lt;='112'!$O$8,OR($L1328='112'!$I$6,$M1328='112'!$I$6))),"x",""))</f>
        <v/>
      </c>
      <c r="S1328" s="51" t="str">
        <f>IF(ISERROR(FIND('112'!$M$9,G1328,1)),"",IF((AND(LEFT(G1328,2)=LEFT('112'!$M$9,2),B1328&lt;'112'!$N$8,$L1328='112'!$I$6)),"x",""))</f>
        <v/>
      </c>
      <c r="T1328" s="51" t="str">
        <f>IF(ISERROR(FIND('112'!$M$9,G1328,1)),"",IF((AND(RIGHT(G1328,2)=RIGHT('112'!$M$9,2),B1328&lt;'112'!$N$8,$M1328='112'!$I$6)),"x",""))</f>
        <v/>
      </c>
      <c r="U1328" s="51" t="str">
        <f>IF(AND(L1328="154",'154'!$O$5&lt;=B1328,'154'!$P$5&gt;=B1328),"154",IF(AND(L1328="632",'632'!$L$5&lt;=B1328,'632'!$M$5&gt;=B1328),"632",IF(AND(L1328="642",'642'!$N$5&lt;=B1328,'642'!$O$5&gt;=B1328),"642",IF(AND(L1328="641",'641'!$N$5&lt;=B1328,'641'!$O$5&gt;=B1328),"641",""))))</f>
        <v/>
      </c>
      <c r="V1328" s="51" t="str">
        <f>IF(OR(TH!L1328=TH!$V$7,M1328=TH!$V$7),"x","")</f>
        <v/>
      </c>
      <c r="W1328" s="51" t="str">
        <f>IF(AND(B1328&gt;='IN-NX'!$P$3,B1328&lt;='IN-NX'!$Q$3,'IN-NX'!$D$7=D1328,OR(LEFT(L1328,2)="15",AND(LEFT(M1328,2)&lt;&gt;"15",LEFT(M1328,2)&lt;&gt;"33"))),"x","")</f>
        <v/>
      </c>
      <c r="X1328" s="51" t="str">
        <f>IF(AND(OR(LEFT(TH!L1328,2)="15",LEFT(TH!M1328,2)="15"),'152-CT'!$J$8=TH!F1328),"x","")</f>
        <v/>
      </c>
      <c r="Y1328" s="51" t="str">
        <f>IF(AND(OR(LEFT(TH!L1328,2)="15",LEFT(TH!M1328,2)="15"),TK!$E$7=TH!F1328),"x","")</f>
        <v/>
      </c>
      <c r="Z1328" s="51" t="str">
        <f>IF(AND(B1328&lt;=NKC!$N$8,B1328&gt;=NKC!$M$8),"x","")</f>
        <v/>
      </c>
      <c r="AA1328" s="803"/>
      <c r="AB1328" s="565"/>
    </row>
    <row r="1329" spans="1:30" ht="15.75" customHeight="1">
      <c r="A1329" s="804" t="str">
        <f>IF(B1329&lt;&gt;"",IF(AND(B1329&gt;=_TM1,B1329&lt;=_TM2,OR(TH!L1329="1111",TH!M1329="1111")),TH!D1329,""),"")</f>
        <v/>
      </c>
      <c r="B1329" s="36">
        <f t="shared" si="85"/>
        <v>12</v>
      </c>
      <c r="C1329" s="189">
        <f t="shared" si="86"/>
        <v>42361</v>
      </c>
      <c r="D1329" s="189" t="s">
        <v>1406</v>
      </c>
      <c r="E1329" s="182">
        <v>42361</v>
      </c>
      <c r="F1329" s="187" t="s">
        <v>427</v>
      </c>
      <c r="G1329" s="811" t="s">
        <v>415</v>
      </c>
      <c r="H1329" s="7" t="s">
        <v>437</v>
      </c>
      <c r="I1329" s="243"/>
      <c r="J1329" s="243"/>
      <c r="K1329" s="573">
        <v>3000000</v>
      </c>
      <c r="L1329" s="574" t="s">
        <v>47</v>
      </c>
      <c r="M1329" s="574" t="s">
        <v>24</v>
      </c>
      <c r="N1329" s="51" t="str">
        <f>IF(AND('331-CT'!$E$7=TH!H1329,OR(L1329="331",M1329="331")),"331",IF(AND(OR(L1329="131",M1329="131"),H1329='131-CT'!$E$7),"131",""))</f>
        <v/>
      </c>
      <c r="O1329" s="51" t="str">
        <f>IF(AND($B1329&gt;='111'!$N$11,$B1329&lt;='111'!$O$11,OR($L1329=$O$7,$M1329=$O$7)),"x","")</f>
        <v>x</v>
      </c>
      <c r="P1329" s="51" t="str">
        <f>IF(AND($L1329=$O$7,$B1329&lt;'111'!$N$11),"x","")</f>
        <v/>
      </c>
      <c r="Q1329" s="51" t="str">
        <f>IF(AND($M1329=$O$7,$B1329&lt;'111'!$N$11),"x","")</f>
        <v/>
      </c>
      <c r="R1329" s="51" t="str">
        <f>IF(ISERROR(FIND('112'!$M$9,G1329,1)),"",IF((AND(FIND('112'!$M$9,G1329,1)&gt;=1,$B1329&gt;='112'!$N$8,$B1329&lt;='112'!$O$8,OR($L1329='112'!$I$6,$M1329='112'!$I$6))),"x",""))</f>
        <v/>
      </c>
      <c r="S1329" s="51" t="str">
        <f>IF(ISERROR(FIND('112'!$M$9,G1329,1)),"",IF((AND(LEFT(G1329,2)=LEFT('112'!$M$9,2),B1329&lt;'112'!$N$8,$L1329='112'!$I$6)),"x",""))</f>
        <v/>
      </c>
      <c r="T1329" s="51" t="str">
        <f>IF(ISERROR(FIND('112'!$M$9,G1329,1)),"",IF((AND(RIGHT(G1329,2)=RIGHT('112'!$M$9,2),B1329&lt;'112'!$N$8,$M1329='112'!$I$6)),"x",""))</f>
        <v/>
      </c>
      <c r="U1329" s="51" t="str">
        <f>IF(AND(L1329="154",'154'!$O$5&lt;=B1329,'154'!$P$5&gt;=B1329),"154",IF(AND(L1329="632",'632'!$L$5&lt;=B1329,'632'!$M$5&gt;=B1329),"632",IF(AND(L1329="642",'642'!$N$5&lt;=B1329,'642'!$O$5&gt;=B1329),"642",IF(AND(L1329="641",'641'!$N$5&lt;=B1329,'641'!$O$5&gt;=B1329),"641",""))))</f>
        <v/>
      </c>
      <c r="V1329" s="51" t="str">
        <f>IF(OR(TH!L1329=TH!$V$7,M1329=TH!$V$7),"x","")</f>
        <v/>
      </c>
      <c r="W1329" s="51" t="str">
        <f>IF(AND(B1329&gt;='IN-NX'!$P$3,B1329&lt;='IN-NX'!$Q$3,'IN-NX'!$D$7=D1329,OR(LEFT(L1329,2)="15",AND(LEFT(M1329,2)&lt;&gt;"15",LEFT(M1329,2)&lt;&gt;"33"))),"x","")</f>
        <v/>
      </c>
      <c r="X1329" s="51" t="str">
        <f>IF(AND(OR(LEFT(TH!L1329,2)="15",LEFT(TH!M1329,2)="15"),'152-CT'!$J$8=TH!F1329),"x","")</f>
        <v/>
      </c>
      <c r="Y1329" s="51" t="str">
        <f>IF(AND(OR(LEFT(TH!L1329,2)="15",LEFT(TH!M1329,2)="15"),TK!$E$7=TH!F1329),"x","")</f>
        <v/>
      </c>
      <c r="Z1329" s="51" t="str">
        <f>IF(AND(B1329&lt;=NKC!$N$8,B1329&gt;=NKC!$M$8),"x","")</f>
        <v/>
      </c>
      <c r="AA1329" s="803"/>
      <c r="AB1329" s="565"/>
      <c r="AC1329" s="565"/>
      <c r="AD1329" s="565"/>
    </row>
    <row r="1330" spans="1:30" ht="15.75" customHeight="1">
      <c r="A1330" s="804" t="str">
        <f>IF(B1330&lt;&gt;"",IF(AND(B1330&gt;=_TM1,B1330&lt;=_TM2,OR(TH!L1330="1111",TH!M1330="1111")),TH!D1330,""),"")</f>
        <v/>
      </c>
      <c r="B1330" s="36">
        <f t="shared" si="85"/>
        <v>12</v>
      </c>
      <c r="C1330" s="189">
        <f t="shared" si="86"/>
        <v>42361</v>
      </c>
      <c r="D1330" s="189" t="s">
        <v>422</v>
      </c>
      <c r="E1330" s="182">
        <v>42361</v>
      </c>
      <c r="F1330" s="187" t="s">
        <v>438</v>
      </c>
      <c r="G1330" s="811" t="s">
        <v>415</v>
      </c>
      <c r="H1330" s="191" t="s">
        <v>958</v>
      </c>
      <c r="I1330" s="243"/>
      <c r="J1330" s="243"/>
      <c r="K1330" s="573">
        <v>15000000</v>
      </c>
      <c r="L1330" s="574" t="s">
        <v>8</v>
      </c>
      <c r="M1330" s="574" t="s">
        <v>24</v>
      </c>
      <c r="N1330" s="51" t="str">
        <f>IF(AND('331-CT'!$E$7=TH!H1330,OR(L1330="331",M1330="331")),"331",IF(AND(OR(L1330="131",M1330="131"),H1330='131-CT'!$E$7),"131",""))</f>
        <v/>
      </c>
      <c r="O1330" s="51" t="str">
        <f>IF(AND($B1330&gt;='111'!$N$11,$B1330&lt;='111'!$O$11,OR($L1330=$O$7,$M1330=$O$7)),"x","")</f>
        <v/>
      </c>
      <c r="P1330" s="51" t="str">
        <f>IF(AND($L1330=$O$7,$B1330&lt;'111'!$N$11),"x","")</f>
        <v/>
      </c>
      <c r="Q1330" s="51" t="str">
        <f>IF(AND($M1330=$O$7,$B1330&lt;'111'!$N$11),"x","")</f>
        <v/>
      </c>
      <c r="R1330" s="51" t="str">
        <f>IF(ISERROR(FIND('112'!$M$9,G1330,1)),"",IF((AND(FIND('112'!$M$9,G1330,1)&gt;=1,$B1330&gt;='112'!$N$8,$B1330&lt;='112'!$O$8,OR($L1330='112'!$I$6,$M1330='112'!$I$6))),"x",""))</f>
        <v/>
      </c>
      <c r="S1330" s="51" t="str">
        <f>IF(ISERROR(FIND('112'!$M$9,G1330,1)),"",IF((AND(LEFT(G1330,2)=LEFT('112'!$M$9,2),B1330&lt;'112'!$N$8,$L1330='112'!$I$6)),"x",""))</f>
        <v/>
      </c>
      <c r="T1330" s="51" t="str">
        <f>IF(ISERROR(FIND('112'!$M$9,G1330,1)),"",IF((AND(RIGHT(G1330,2)=RIGHT('112'!$M$9,2),B1330&lt;'112'!$N$8,$M1330='112'!$I$6)),"x",""))</f>
        <v/>
      </c>
      <c r="U1330" s="51" t="str">
        <f>IF(AND(L1330="154",'154'!$O$5&lt;=B1330,'154'!$P$5&gt;=B1330),"154",IF(AND(L1330="632",'632'!$L$5&lt;=B1330,'632'!$M$5&gt;=B1330),"632",IF(AND(L1330="642",'642'!$N$5&lt;=B1330,'642'!$O$5&gt;=B1330),"642",IF(AND(L1330="641",'641'!$N$5&lt;=B1330,'641'!$O$5&gt;=B1330),"641",""))))</f>
        <v/>
      </c>
      <c r="V1330" s="51" t="str">
        <f>IF(OR(TH!L1330=TH!$V$7,M1330=TH!$V$7),"x","")</f>
        <v/>
      </c>
      <c r="W1330" s="51" t="str">
        <f>IF(AND(B1330&gt;='IN-NX'!$P$3,B1330&lt;='IN-NX'!$Q$3,'IN-NX'!$D$7=D1330,OR(LEFT(L1330,2)="15",AND(LEFT(M1330,2)&lt;&gt;"15",LEFT(M1330,2)&lt;&gt;"33"))),"x","")</f>
        <v/>
      </c>
      <c r="X1330" s="51" t="str">
        <f>IF(AND(OR(LEFT(TH!L1330,2)="15",LEFT(TH!M1330,2)="15"),'152-CT'!$J$8=TH!F1330),"x","")</f>
        <v/>
      </c>
      <c r="Y1330" s="51" t="str">
        <f>IF(AND(OR(LEFT(TH!L1330,2)="15",LEFT(TH!M1330,2)="15"),TK!$E$7=TH!F1330),"x","")</f>
        <v/>
      </c>
      <c r="Z1330" s="51" t="str">
        <f>IF(AND(B1330&lt;=NKC!$N$8,B1330&gt;=NKC!$M$8),"x","")</f>
        <v/>
      </c>
      <c r="AA1330" s="803"/>
      <c r="AB1330" s="565"/>
    </row>
    <row r="1331" spans="1:30" ht="15.75" customHeight="1">
      <c r="A1331" s="804" t="str">
        <f>IF(B1331&lt;&gt;"",IF(AND(B1331&gt;=_TM1,B1331&lt;=_TM2,OR(TH!L1331="1111",TH!M1331="1111")),TH!D1331,""),"")</f>
        <v/>
      </c>
      <c r="B1331" s="36">
        <f t="shared" si="85"/>
        <v>12</v>
      </c>
      <c r="C1331" s="189">
        <f t="shared" si="86"/>
        <v>42361</v>
      </c>
      <c r="D1331" s="189" t="s">
        <v>422</v>
      </c>
      <c r="E1331" s="182">
        <v>42361</v>
      </c>
      <c r="F1331" s="187" t="s">
        <v>443</v>
      </c>
      <c r="G1331" s="811" t="s">
        <v>415</v>
      </c>
      <c r="H1331" s="191" t="s">
        <v>958</v>
      </c>
      <c r="I1331" s="243"/>
      <c r="J1331" s="243"/>
      <c r="K1331" s="573">
        <v>22000</v>
      </c>
      <c r="L1331" s="192" t="s">
        <v>83</v>
      </c>
      <c r="M1331" s="574" t="s">
        <v>24</v>
      </c>
      <c r="N1331" s="51" t="str">
        <f>IF(AND('331-CT'!$E$7=TH!H1331,OR(L1331="331",M1331="331")),"331",IF(AND(OR(L1331="131",M1331="131"),H1331='131-CT'!$E$7),"131",""))</f>
        <v/>
      </c>
      <c r="O1331" s="51" t="str">
        <f>IF(AND($B1331&gt;='111'!$N$11,$B1331&lt;='111'!$O$11,OR($L1331=$O$7,$M1331=$O$7)),"x","")</f>
        <v/>
      </c>
      <c r="P1331" s="51" t="str">
        <f>IF(AND($L1331=$O$7,$B1331&lt;'111'!$N$11),"x","")</f>
        <v/>
      </c>
      <c r="Q1331" s="51" t="str">
        <f>IF(AND($M1331=$O$7,$B1331&lt;'111'!$N$11),"x","")</f>
        <v/>
      </c>
      <c r="R1331" s="51" t="str">
        <f>IF(ISERROR(FIND('112'!$M$9,G1331,1)),"",IF((AND(FIND('112'!$M$9,G1331,1)&gt;=1,$B1331&gt;='112'!$N$8,$B1331&lt;='112'!$O$8,OR($L1331='112'!$I$6,$M1331='112'!$I$6))),"x",""))</f>
        <v/>
      </c>
      <c r="S1331" s="51" t="str">
        <f>IF(ISERROR(FIND('112'!$M$9,G1331,1)),"",IF((AND(LEFT(G1331,2)=LEFT('112'!$M$9,2),B1331&lt;'112'!$N$8,$L1331='112'!$I$6)),"x",""))</f>
        <v/>
      </c>
      <c r="T1331" s="51" t="str">
        <f>IF(ISERROR(FIND('112'!$M$9,G1331,1)),"",IF((AND(RIGHT(G1331,2)=RIGHT('112'!$M$9,2),B1331&lt;'112'!$N$8,$M1331='112'!$I$6)),"x",""))</f>
        <v/>
      </c>
      <c r="U1331" s="51" t="str">
        <f>IF(AND(L1331="154",'154'!$O$5&lt;=B1331,'154'!$P$5&gt;=B1331),"154",IF(AND(L1331="632",'632'!$L$5&lt;=B1331,'632'!$M$5&gt;=B1331),"632",IF(AND(L1331="642",'642'!$N$5&lt;=B1331,'642'!$O$5&gt;=B1331),"642",IF(AND(L1331="641",'641'!$N$5&lt;=B1331,'641'!$O$5&gt;=B1331),"641",""))))</f>
        <v/>
      </c>
      <c r="V1331" s="51" t="str">
        <f>IF(OR(TH!L1331=TH!$V$7,M1331=TH!$V$7),"x","")</f>
        <v>x</v>
      </c>
      <c r="W1331" s="51" t="str">
        <f>IF(AND(B1331&gt;='IN-NX'!$P$3,B1331&lt;='IN-NX'!$Q$3,'IN-NX'!$D$7=D1331,OR(LEFT(L1331,2)="15",AND(LEFT(M1331,2)&lt;&gt;"15",LEFT(M1331,2)&lt;&gt;"33"))),"x","")</f>
        <v/>
      </c>
      <c r="X1331" s="51" t="str">
        <f>IF(AND(OR(LEFT(TH!L1331,2)="15",LEFT(TH!M1331,2)="15"),'152-CT'!$J$8=TH!F1331),"x","")</f>
        <v/>
      </c>
      <c r="Y1331" s="51" t="str">
        <f>IF(AND(OR(LEFT(TH!L1331,2)="15",LEFT(TH!M1331,2)="15"),TK!$E$7=TH!F1331),"x","")</f>
        <v/>
      </c>
      <c r="Z1331" s="51" t="str">
        <f>IF(AND(B1331&lt;=NKC!$N$8,B1331&gt;=NKC!$M$8),"x","")</f>
        <v/>
      </c>
      <c r="AA1331" s="803"/>
      <c r="AB1331" s="565"/>
    </row>
    <row r="1332" spans="1:30" ht="15.75" customHeight="1">
      <c r="A1332" s="804" t="str">
        <f>IF(B1332&lt;&gt;"",IF(AND(B1332&gt;=_TM1,B1332&lt;=_TM2,OR(TH!L1332="1111",TH!M1332="1111")),TH!D1332,""),"")</f>
        <v/>
      </c>
      <c r="B1332" s="36">
        <f t="shared" si="85"/>
        <v>12</v>
      </c>
      <c r="C1332" s="189">
        <f t="shared" si="86"/>
        <v>42362</v>
      </c>
      <c r="D1332" s="189" t="s">
        <v>1454</v>
      </c>
      <c r="E1332" s="182">
        <v>42362</v>
      </c>
      <c r="F1332" s="187" t="s">
        <v>433</v>
      </c>
      <c r="G1332" s="811" t="s">
        <v>415</v>
      </c>
      <c r="H1332" s="7" t="s">
        <v>437</v>
      </c>
      <c r="I1332" s="243"/>
      <c r="J1332" s="243"/>
      <c r="K1332" s="573">
        <v>20200000</v>
      </c>
      <c r="L1332" s="574" t="s">
        <v>24</v>
      </c>
      <c r="M1332" s="574" t="s">
        <v>47</v>
      </c>
      <c r="N1332" s="51" t="str">
        <f>IF(AND('331-CT'!$E$7=TH!H1332,OR(L1332="331",M1332="331")),"331",IF(AND(OR(L1332="131",M1332="131"),H1332='131-CT'!$E$7),"131",""))</f>
        <v/>
      </c>
      <c r="O1332" s="51" t="str">
        <f>IF(AND($B1332&gt;='111'!$N$11,$B1332&lt;='111'!$O$11,OR($L1332=$O$7,$M1332=$O$7)),"x","")</f>
        <v>x</v>
      </c>
      <c r="P1332" s="51" t="str">
        <f>IF(AND($L1332=$O$7,$B1332&lt;'111'!$N$11),"x","")</f>
        <v/>
      </c>
      <c r="Q1332" s="51" t="str">
        <f>IF(AND($M1332=$O$7,$B1332&lt;'111'!$N$11),"x","")</f>
        <v/>
      </c>
      <c r="R1332" s="51" t="str">
        <f>IF(ISERROR(FIND('112'!$M$9,G1332,1)),"",IF((AND(FIND('112'!$M$9,G1332,1)&gt;=1,$B1332&gt;='112'!$N$8,$B1332&lt;='112'!$O$8,OR($L1332='112'!$I$6,$M1332='112'!$I$6))),"x",""))</f>
        <v/>
      </c>
      <c r="S1332" s="51" t="str">
        <f>IF(ISERROR(FIND('112'!$M$9,G1332,1)),"",IF((AND(LEFT(G1332,2)=LEFT('112'!$M$9,2),B1332&lt;'112'!$N$8,$L1332='112'!$I$6)),"x",""))</f>
        <v/>
      </c>
      <c r="T1332" s="51" t="str">
        <f>IF(ISERROR(FIND('112'!$M$9,G1332,1)),"",IF((AND(RIGHT(G1332,2)=RIGHT('112'!$M$9,2),B1332&lt;'112'!$N$8,$M1332='112'!$I$6)),"x",""))</f>
        <v/>
      </c>
      <c r="U1332" s="51" t="str">
        <f>IF(AND(L1332="154",'154'!$O$5&lt;=B1332,'154'!$P$5&gt;=B1332),"154",IF(AND(L1332="632",'632'!$L$5&lt;=B1332,'632'!$M$5&gt;=B1332),"632",IF(AND(L1332="642",'642'!$N$5&lt;=B1332,'642'!$O$5&gt;=B1332),"642",IF(AND(L1332="641",'641'!$N$5&lt;=B1332,'641'!$O$5&gt;=B1332),"641",""))))</f>
        <v/>
      </c>
      <c r="V1332" s="51" t="str">
        <f>IF(OR(TH!L1332=TH!$V$7,M1332=TH!$V$7),"x","")</f>
        <v/>
      </c>
      <c r="W1332" s="51" t="str">
        <f>IF(AND(B1332&gt;='IN-NX'!$P$3,B1332&lt;='IN-NX'!$Q$3,'IN-NX'!$D$7=D1332,OR(LEFT(L1332,2)="15",AND(LEFT(M1332,2)&lt;&gt;"15",LEFT(M1332,2)&lt;&gt;"33"))),"x","")</f>
        <v/>
      </c>
      <c r="X1332" s="51" t="str">
        <f>IF(AND(OR(LEFT(TH!L1332,2)="15",LEFT(TH!M1332,2)="15"),'152-CT'!$J$8=TH!F1332),"x","")</f>
        <v/>
      </c>
      <c r="Y1332" s="51" t="str">
        <f>IF(AND(OR(LEFT(TH!L1332,2)="15",LEFT(TH!M1332,2)="15"),TK!$E$7=TH!F1332),"x","")</f>
        <v/>
      </c>
      <c r="Z1332" s="51" t="str">
        <f>IF(AND(B1332&lt;=NKC!$N$8,B1332&gt;=NKC!$M$8),"x","")</f>
        <v/>
      </c>
      <c r="AA1332" s="803"/>
      <c r="AB1332" s="565"/>
    </row>
    <row r="1333" spans="1:30" ht="15.75" customHeight="1">
      <c r="A1333" s="804" t="str">
        <f>IF(B1333&lt;&gt;"",IF(AND(B1333&gt;=_TM1,B1333&lt;=_TM2,OR(TH!L1333="1111",TH!M1333="1111")),TH!D1333,""),"")</f>
        <v/>
      </c>
      <c r="B1333" s="36">
        <f t="shared" si="85"/>
        <v>12</v>
      </c>
      <c r="C1333" s="189">
        <f t="shared" si="86"/>
        <v>42362</v>
      </c>
      <c r="D1333" s="189" t="s">
        <v>1409</v>
      </c>
      <c r="E1333" s="182">
        <v>42362</v>
      </c>
      <c r="F1333" s="187" t="s">
        <v>427</v>
      </c>
      <c r="G1333" s="811" t="s">
        <v>415</v>
      </c>
      <c r="H1333" s="7" t="s">
        <v>437</v>
      </c>
      <c r="I1333" s="243"/>
      <c r="J1333" s="243"/>
      <c r="K1333" s="573">
        <v>4000000</v>
      </c>
      <c r="L1333" s="574" t="s">
        <v>47</v>
      </c>
      <c r="M1333" s="574" t="s">
        <v>24</v>
      </c>
      <c r="N1333" s="51" t="str">
        <f>IF(AND('331-CT'!$E$7=TH!H1333,OR(L1333="331",M1333="331")),"331",IF(AND(OR(L1333="131",M1333="131"),H1333='131-CT'!$E$7),"131",""))</f>
        <v/>
      </c>
      <c r="O1333" s="51" t="str">
        <f>IF(AND($B1333&gt;='111'!$N$11,$B1333&lt;='111'!$O$11,OR($L1333=$O$7,$M1333=$O$7)),"x","")</f>
        <v>x</v>
      </c>
      <c r="P1333" s="51" t="str">
        <f>IF(AND($L1333=$O$7,$B1333&lt;'111'!$N$11),"x","")</f>
        <v/>
      </c>
      <c r="Q1333" s="51" t="str">
        <f>IF(AND($M1333=$O$7,$B1333&lt;'111'!$N$11),"x","")</f>
        <v/>
      </c>
      <c r="R1333" s="51" t="str">
        <f>IF(ISERROR(FIND('112'!$M$9,G1333,1)),"",IF((AND(FIND('112'!$M$9,G1333,1)&gt;=1,$B1333&gt;='112'!$N$8,$B1333&lt;='112'!$O$8,OR($L1333='112'!$I$6,$M1333='112'!$I$6))),"x",""))</f>
        <v/>
      </c>
      <c r="S1333" s="51" t="str">
        <f>IF(ISERROR(FIND('112'!$M$9,G1333,1)),"",IF((AND(LEFT(G1333,2)=LEFT('112'!$M$9,2),B1333&lt;'112'!$N$8,$L1333='112'!$I$6)),"x",""))</f>
        <v/>
      </c>
      <c r="T1333" s="51" t="str">
        <f>IF(ISERROR(FIND('112'!$M$9,G1333,1)),"",IF((AND(RIGHT(G1333,2)=RIGHT('112'!$M$9,2),B1333&lt;'112'!$N$8,$M1333='112'!$I$6)),"x",""))</f>
        <v/>
      </c>
      <c r="U1333" s="51" t="str">
        <f>IF(AND(L1333="154",'154'!$O$5&lt;=B1333,'154'!$P$5&gt;=B1333),"154",IF(AND(L1333="632",'632'!$L$5&lt;=B1333,'632'!$M$5&gt;=B1333),"632",IF(AND(L1333="642",'642'!$N$5&lt;=B1333,'642'!$O$5&gt;=B1333),"642",IF(AND(L1333="641",'641'!$N$5&lt;=B1333,'641'!$O$5&gt;=B1333),"641",""))))</f>
        <v/>
      </c>
      <c r="V1333" s="51" t="str">
        <f>IF(OR(TH!L1333=TH!$V$7,M1333=TH!$V$7),"x","")</f>
        <v/>
      </c>
      <c r="W1333" s="51" t="str">
        <f>IF(AND(B1333&gt;='IN-NX'!$P$3,B1333&lt;='IN-NX'!$Q$3,'IN-NX'!$D$7=D1333,OR(LEFT(L1333,2)="15",AND(LEFT(M1333,2)&lt;&gt;"15",LEFT(M1333,2)&lt;&gt;"33"))),"x","")</f>
        <v/>
      </c>
      <c r="X1333" s="51" t="str">
        <f>IF(AND(OR(LEFT(TH!L1333,2)="15",LEFT(TH!M1333,2)="15"),'152-CT'!$J$8=TH!F1333),"x","")</f>
        <v/>
      </c>
      <c r="Y1333" s="51" t="str">
        <f>IF(AND(OR(LEFT(TH!L1333,2)="15",LEFT(TH!M1333,2)="15"),TK!$E$7=TH!F1333),"x","")</f>
        <v/>
      </c>
      <c r="Z1333" s="51" t="str">
        <f>IF(AND(B1333&lt;=NKC!$N$8,B1333&gt;=NKC!$M$8),"x","")</f>
        <v/>
      </c>
      <c r="AA1333" s="803"/>
      <c r="AB1333" s="565"/>
    </row>
    <row r="1334" spans="1:30" ht="15.75" customHeight="1">
      <c r="A1334" s="804" t="str">
        <f>IF(B1334&lt;&gt;"",IF(AND(B1334&gt;=_TM1,B1334&lt;=_TM2,OR(TH!L1334="1111",TH!M1334="1111")),TH!D1334,""),"")</f>
        <v/>
      </c>
      <c r="B1334" s="36">
        <f t="shared" si="85"/>
        <v>12</v>
      </c>
      <c r="C1334" s="189">
        <f t="shared" si="86"/>
        <v>42362</v>
      </c>
      <c r="D1334" s="189" t="s">
        <v>422</v>
      </c>
      <c r="E1334" s="182">
        <v>42362</v>
      </c>
      <c r="F1334" s="187" t="s">
        <v>443</v>
      </c>
      <c r="G1334" s="811" t="s">
        <v>415</v>
      </c>
      <c r="H1334" s="191"/>
      <c r="I1334" s="243"/>
      <c r="J1334" s="243"/>
      <c r="K1334" s="573">
        <v>11000</v>
      </c>
      <c r="L1334" s="192" t="s">
        <v>83</v>
      </c>
      <c r="M1334" s="574" t="s">
        <v>24</v>
      </c>
      <c r="N1334" s="51" t="str">
        <f>IF(AND('331-CT'!$E$7=TH!H1334,OR(L1334="331",M1334="331")),"331",IF(AND(OR(L1334="131",M1334="131"),H1334='131-CT'!$E$7),"131",""))</f>
        <v/>
      </c>
      <c r="O1334" s="51" t="str">
        <f>IF(AND($B1334&gt;='111'!$N$11,$B1334&lt;='111'!$O$11,OR($L1334=$O$7,$M1334=$O$7)),"x","")</f>
        <v/>
      </c>
      <c r="P1334" s="51" t="str">
        <f>IF(AND($L1334=$O$7,$B1334&lt;'111'!$N$11),"x","")</f>
        <v/>
      </c>
      <c r="Q1334" s="51" t="str">
        <f>IF(AND($M1334=$O$7,$B1334&lt;'111'!$N$11),"x","")</f>
        <v/>
      </c>
      <c r="R1334" s="51" t="str">
        <f>IF(ISERROR(FIND('112'!$M$9,G1334,1)),"",IF((AND(FIND('112'!$M$9,G1334,1)&gt;=1,$B1334&gt;='112'!$N$8,$B1334&lt;='112'!$O$8,OR($L1334='112'!$I$6,$M1334='112'!$I$6))),"x",""))</f>
        <v/>
      </c>
      <c r="S1334" s="51" t="str">
        <f>IF(ISERROR(FIND('112'!$M$9,G1334,1)),"",IF((AND(LEFT(G1334,2)=LEFT('112'!$M$9,2),B1334&lt;'112'!$N$8,$L1334='112'!$I$6)),"x",""))</f>
        <v/>
      </c>
      <c r="T1334" s="51" t="str">
        <f>IF(ISERROR(FIND('112'!$M$9,G1334,1)),"",IF((AND(RIGHT(G1334,2)=RIGHT('112'!$M$9,2),B1334&lt;'112'!$N$8,$M1334='112'!$I$6)),"x",""))</f>
        <v/>
      </c>
      <c r="U1334" s="51" t="str">
        <f>IF(AND(L1334="154",'154'!$O$5&lt;=B1334,'154'!$P$5&gt;=B1334),"154",IF(AND(L1334="632",'632'!$L$5&lt;=B1334,'632'!$M$5&gt;=B1334),"632",IF(AND(L1334="642",'642'!$N$5&lt;=B1334,'642'!$O$5&gt;=B1334),"642",IF(AND(L1334="641",'641'!$N$5&lt;=B1334,'641'!$O$5&gt;=B1334),"641",""))))</f>
        <v/>
      </c>
      <c r="V1334" s="51" t="str">
        <f>IF(OR(TH!L1334=TH!$V$7,M1334=TH!$V$7),"x","")</f>
        <v>x</v>
      </c>
      <c r="W1334" s="51" t="str">
        <f>IF(AND(B1334&gt;='IN-NX'!$P$3,B1334&lt;='IN-NX'!$Q$3,'IN-NX'!$D$7=D1334,OR(LEFT(L1334,2)="15",AND(LEFT(M1334,2)&lt;&gt;"15",LEFT(M1334,2)&lt;&gt;"33"))),"x","")</f>
        <v/>
      </c>
      <c r="X1334" s="51" t="str">
        <f>IF(AND(OR(LEFT(TH!L1334,2)="15",LEFT(TH!M1334,2)="15"),'152-CT'!$J$8=TH!F1334),"x","")</f>
        <v/>
      </c>
      <c r="Y1334" s="51" t="str">
        <f>IF(AND(OR(LEFT(TH!L1334,2)="15",LEFT(TH!M1334,2)="15"),TK!$E$7=TH!F1334),"x","")</f>
        <v/>
      </c>
      <c r="Z1334" s="51" t="str">
        <f>IF(AND(B1334&lt;=NKC!$N$8,B1334&gt;=NKC!$M$8),"x","")</f>
        <v/>
      </c>
      <c r="AA1334" s="803"/>
      <c r="AB1334" s="565"/>
    </row>
    <row r="1335" spans="1:30" ht="15.75" customHeight="1">
      <c r="A1335" s="804" t="str">
        <f>IF(B1335&lt;&gt;"",IF(AND(B1335&gt;=_TM1,B1335&lt;=_TM2,OR(TH!L1335="1111",TH!M1335="1111")),TH!D1335,""),"")</f>
        <v/>
      </c>
      <c r="B1335" s="36">
        <f t="shared" si="85"/>
        <v>12</v>
      </c>
      <c r="C1335" s="189">
        <f t="shared" si="86"/>
        <v>42362</v>
      </c>
      <c r="D1335" s="189" t="s">
        <v>422</v>
      </c>
      <c r="E1335" s="182">
        <v>42362</v>
      </c>
      <c r="F1335" s="187" t="s">
        <v>438</v>
      </c>
      <c r="G1335" s="811" t="s">
        <v>415</v>
      </c>
      <c r="H1335" s="7" t="s">
        <v>448</v>
      </c>
      <c r="I1335" s="243"/>
      <c r="J1335" s="243"/>
      <c r="K1335" s="573">
        <v>23022000</v>
      </c>
      <c r="L1335" s="574" t="s">
        <v>8</v>
      </c>
      <c r="M1335" s="574" t="s">
        <v>24</v>
      </c>
      <c r="N1335" s="51" t="str">
        <f>IF(AND('331-CT'!$E$7=TH!H1335,OR(L1335="331",M1335="331")),"331",IF(AND(OR(L1335="131",M1335="131"),H1335='131-CT'!$E$7),"131",""))</f>
        <v/>
      </c>
      <c r="O1335" s="51" t="str">
        <f>IF(AND($B1335&gt;='111'!$N$11,$B1335&lt;='111'!$O$11,OR($L1335=$O$7,$M1335=$O$7)),"x","")</f>
        <v/>
      </c>
      <c r="P1335" s="51" t="str">
        <f>IF(AND($L1335=$O$7,$B1335&lt;'111'!$N$11),"x","")</f>
        <v/>
      </c>
      <c r="Q1335" s="51" t="str">
        <f>IF(AND($M1335=$O$7,$B1335&lt;'111'!$N$11),"x","")</f>
        <v/>
      </c>
      <c r="R1335" s="51" t="str">
        <f>IF(ISERROR(FIND('112'!$M$9,G1335,1)),"",IF((AND(FIND('112'!$M$9,G1335,1)&gt;=1,$B1335&gt;='112'!$N$8,$B1335&lt;='112'!$O$8,OR($L1335='112'!$I$6,$M1335='112'!$I$6))),"x",""))</f>
        <v/>
      </c>
      <c r="S1335" s="51" t="str">
        <f>IF(ISERROR(FIND('112'!$M$9,G1335,1)),"",IF((AND(LEFT(G1335,2)=LEFT('112'!$M$9,2),B1335&lt;'112'!$N$8,$L1335='112'!$I$6)),"x",""))</f>
        <v/>
      </c>
      <c r="T1335" s="51" t="str">
        <f>IF(ISERROR(FIND('112'!$M$9,G1335,1)),"",IF((AND(RIGHT(G1335,2)=RIGHT('112'!$M$9,2),B1335&lt;'112'!$N$8,$M1335='112'!$I$6)),"x",""))</f>
        <v/>
      </c>
      <c r="U1335" s="51" t="str">
        <f>IF(AND(L1335="154",'154'!$O$5&lt;=B1335,'154'!$P$5&gt;=B1335),"154",IF(AND(L1335="632",'632'!$L$5&lt;=B1335,'632'!$M$5&gt;=B1335),"632",IF(AND(L1335="642",'642'!$N$5&lt;=B1335,'642'!$O$5&gt;=B1335),"642",IF(AND(L1335="641",'641'!$N$5&lt;=B1335,'641'!$O$5&gt;=B1335),"641",""))))</f>
        <v/>
      </c>
      <c r="V1335" s="51" t="str">
        <f>IF(OR(TH!L1335=TH!$V$7,M1335=TH!$V$7),"x","")</f>
        <v/>
      </c>
      <c r="W1335" s="51" t="str">
        <f>IF(AND(B1335&gt;='IN-NX'!$P$3,B1335&lt;='IN-NX'!$Q$3,'IN-NX'!$D$7=D1335,OR(LEFT(L1335,2)="15",AND(LEFT(M1335,2)&lt;&gt;"15",LEFT(M1335,2)&lt;&gt;"33"))),"x","")</f>
        <v/>
      </c>
      <c r="X1335" s="51" t="str">
        <f>IF(AND(OR(LEFT(TH!L1335,2)="15",LEFT(TH!M1335,2)="15"),'152-CT'!$J$8=TH!F1335),"x","")</f>
        <v/>
      </c>
      <c r="Y1335" s="51" t="str">
        <f>IF(AND(OR(LEFT(TH!L1335,2)="15",LEFT(TH!M1335,2)="15"),TK!$E$7=TH!F1335),"x","")</f>
        <v/>
      </c>
      <c r="Z1335" s="51" t="str">
        <f>IF(AND(B1335&lt;=NKC!$N$8,B1335&gt;=NKC!$M$8),"x","")</f>
        <v/>
      </c>
      <c r="AA1335" s="803"/>
      <c r="AB1335" s="565"/>
    </row>
    <row r="1336" spans="1:30" ht="15.75" customHeight="1">
      <c r="A1336" s="804" t="str">
        <f>IF(B1336&lt;&gt;"",IF(AND(B1336&gt;=_TM1,B1336&lt;=_TM2,OR(TH!L1336="1111",TH!M1336="1111")),TH!D1336,""),"")</f>
        <v/>
      </c>
      <c r="B1336" s="36">
        <f t="shared" si="85"/>
        <v>12</v>
      </c>
      <c r="C1336" s="189">
        <f t="shared" si="86"/>
        <v>42362</v>
      </c>
      <c r="D1336" s="189" t="s">
        <v>422</v>
      </c>
      <c r="E1336" s="182">
        <v>42362</v>
      </c>
      <c r="F1336" s="187" t="s">
        <v>443</v>
      </c>
      <c r="G1336" s="811" t="s">
        <v>415</v>
      </c>
      <c r="H1336" s="191"/>
      <c r="I1336" s="243"/>
      <c r="J1336" s="243"/>
      <c r="K1336" s="573">
        <v>22000</v>
      </c>
      <c r="L1336" s="192" t="s">
        <v>83</v>
      </c>
      <c r="M1336" s="574" t="s">
        <v>24</v>
      </c>
      <c r="N1336" s="51" t="str">
        <f>IF(AND('331-CT'!$E$7=TH!H1336,OR(L1336="331",M1336="331")),"331",IF(AND(OR(L1336="131",M1336="131"),H1336='131-CT'!$E$7),"131",""))</f>
        <v/>
      </c>
      <c r="O1336" s="51" t="str">
        <f>IF(AND($B1336&gt;='111'!$N$11,$B1336&lt;='111'!$O$11,OR($L1336=$O$7,$M1336=$O$7)),"x","")</f>
        <v/>
      </c>
      <c r="P1336" s="51" t="str">
        <f>IF(AND($L1336=$O$7,$B1336&lt;'111'!$N$11),"x","")</f>
        <v/>
      </c>
      <c r="Q1336" s="51" t="str">
        <f>IF(AND($M1336=$O$7,$B1336&lt;'111'!$N$11),"x","")</f>
        <v/>
      </c>
      <c r="R1336" s="51" t="str">
        <f>IF(ISERROR(FIND('112'!$M$9,G1336,1)),"",IF((AND(FIND('112'!$M$9,G1336,1)&gt;=1,$B1336&gt;='112'!$N$8,$B1336&lt;='112'!$O$8,OR($L1336='112'!$I$6,$M1336='112'!$I$6))),"x",""))</f>
        <v/>
      </c>
      <c r="S1336" s="51" t="str">
        <f>IF(ISERROR(FIND('112'!$M$9,G1336,1)),"",IF((AND(LEFT(G1336,2)=LEFT('112'!$M$9,2),B1336&lt;'112'!$N$8,$L1336='112'!$I$6)),"x",""))</f>
        <v/>
      </c>
      <c r="T1336" s="51" t="str">
        <f>IF(ISERROR(FIND('112'!$M$9,G1336,1)),"",IF((AND(RIGHT(G1336,2)=RIGHT('112'!$M$9,2),B1336&lt;'112'!$N$8,$M1336='112'!$I$6)),"x",""))</f>
        <v/>
      </c>
      <c r="U1336" s="51" t="str">
        <f>IF(AND(L1336="154",'154'!$O$5&lt;=B1336,'154'!$P$5&gt;=B1336),"154",IF(AND(L1336="632",'632'!$L$5&lt;=B1336,'632'!$M$5&gt;=B1336),"632",IF(AND(L1336="642",'642'!$N$5&lt;=B1336,'642'!$O$5&gt;=B1336),"642",IF(AND(L1336="641",'641'!$N$5&lt;=B1336,'641'!$O$5&gt;=B1336),"641",""))))</f>
        <v/>
      </c>
      <c r="V1336" s="51" t="str">
        <f>IF(OR(TH!L1336=TH!$V$7,M1336=TH!$V$7),"x","")</f>
        <v>x</v>
      </c>
      <c r="W1336" s="51" t="str">
        <f>IF(AND(B1336&gt;='IN-NX'!$P$3,B1336&lt;='IN-NX'!$Q$3,'IN-NX'!$D$7=D1336,OR(LEFT(L1336,2)="15",AND(LEFT(M1336,2)&lt;&gt;"15",LEFT(M1336,2)&lt;&gt;"33"))),"x","")</f>
        <v/>
      </c>
      <c r="X1336" s="51" t="str">
        <f>IF(AND(OR(LEFT(TH!L1336,2)="15",LEFT(TH!M1336,2)="15"),'152-CT'!$J$8=TH!F1336),"x","")</f>
        <v/>
      </c>
      <c r="Y1336" s="51" t="str">
        <f>IF(AND(OR(LEFT(TH!L1336,2)="15",LEFT(TH!M1336,2)="15"),TK!$E$7=TH!F1336),"x","")</f>
        <v/>
      </c>
      <c r="Z1336" s="51" t="str">
        <f>IF(AND(B1336&lt;=NKC!$N$8,B1336&gt;=NKC!$M$8),"x","")</f>
        <v/>
      </c>
      <c r="AA1336" s="803"/>
      <c r="AB1336" s="565"/>
    </row>
    <row r="1337" spans="1:30" ht="15.75" customHeight="1">
      <c r="A1337" s="804" t="str">
        <f>IF(B1337&lt;&gt;"",IF(AND(B1337&gt;=_TM1,B1337&lt;=_TM2,OR(TH!L1337="1111",TH!M1337="1111")),TH!D1337,""),"")</f>
        <v/>
      </c>
      <c r="B1337" s="36">
        <f t="shared" si="85"/>
        <v>12</v>
      </c>
      <c r="C1337" s="189">
        <f t="shared" si="86"/>
        <v>42362</v>
      </c>
      <c r="D1337" s="189" t="s">
        <v>1328</v>
      </c>
      <c r="E1337" s="189">
        <v>42362</v>
      </c>
      <c r="F1337" s="190" t="s">
        <v>692</v>
      </c>
      <c r="G1337" s="811" t="s">
        <v>1108</v>
      </c>
      <c r="H1337" s="191" t="s">
        <v>1027</v>
      </c>
      <c r="I1337" s="243">
        <v>500</v>
      </c>
      <c r="J1337" s="243">
        <v>13300</v>
      </c>
      <c r="K1337" s="573">
        <f>ROUND(I1337*J1337,0)</f>
        <v>6650000</v>
      </c>
      <c r="L1337" s="574" t="s">
        <v>250</v>
      </c>
      <c r="M1337" s="574" t="s">
        <v>164</v>
      </c>
      <c r="N1337" s="51" t="str">
        <f>IF(AND('331-CT'!$E$7=TH!H1337,OR(L1337="331",M1337="331")),"331",IF(AND(OR(L1337="131",M1337="131"),H1337='131-CT'!$E$7),"131",""))</f>
        <v>131</v>
      </c>
      <c r="O1337" s="51" t="str">
        <f>IF(AND($B1337&gt;='111'!$N$11,$B1337&lt;='111'!$O$11,OR($L1337=$O$7,$M1337=$O$7)),"x","")</f>
        <v/>
      </c>
      <c r="P1337" s="51" t="str">
        <f>IF(AND($L1337=$O$7,$B1337&lt;'111'!$N$11),"x","")</f>
        <v/>
      </c>
      <c r="Q1337" s="51" t="str">
        <f>IF(AND($M1337=$O$7,$B1337&lt;'111'!$N$11),"x","")</f>
        <v/>
      </c>
      <c r="R1337" s="51" t="str">
        <f>IF(ISERROR(FIND('112'!$M$9,G1337,1)),"",IF((AND(FIND('112'!$M$9,G1337,1)&gt;=1,$B1337&gt;='112'!$N$8,$B1337&lt;='112'!$O$8,OR($L1337='112'!$I$6,$M1337='112'!$I$6))),"x",""))</f>
        <v/>
      </c>
      <c r="S1337" s="51" t="str">
        <f>IF(ISERROR(FIND('112'!$M$9,G1337,1)),"",IF((AND(LEFT(G1337,2)=LEFT('112'!$M$9,2),B1337&lt;'112'!$N$8,$L1337='112'!$I$6)),"x",""))</f>
        <v/>
      </c>
      <c r="T1337" s="51" t="str">
        <f>IF(ISERROR(FIND('112'!$M$9,G1337,1)),"",IF((AND(RIGHT(G1337,2)=RIGHT('112'!$M$9,2),B1337&lt;'112'!$N$8,$M1337='112'!$I$6)),"x",""))</f>
        <v/>
      </c>
      <c r="U1337" s="51" t="str">
        <f>IF(AND(L1337="154",'154'!$O$5&lt;=B1337,'154'!$P$5&gt;=B1337),"154",IF(AND(L1337="632",'632'!$L$5&lt;=B1337,'632'!$M$5&gt;=B1337),"632",IF(AND(L1337="642",'642'!$N$5&lt;=B1337,'642'!$O$5&gt;=B1337),"642",IF(AND(L1337="641",'641'!$N$5&lt;=B1337,'641'!$O$5&gt;=B1337),"641",""))))</f>
        <v/>
      </c>
      <c r="V1337" s="51" t="str">
        <f>IF(OR(TH!L1337=TH!$V$7,M1337=TH!$V$7),"x","")</f>
        <v/>
      </c>
      <c r="W1337" s="51" t="str">
        <f>IF(AND(B1337&gt;='IN-NX'!$P$3,B1337&lt;='IN-NX'!$Q$3,'IN-NX'!$D$7=D1337,OR(LEFT(L1337,2)="15",AND(LEFT(M1337,2)&lt;&gt;"15",LEFT(M1337,2)&lt;&gt;"33"))),"x","")</f>
        <v/>
      </c>
      <c r="X1337" s="51" t="str">
        <f>IF(AND(OR(LEFT(TH!L1337,2)="15",LEFT(TH!M1337,2)="15"),'152-CT'!$J$8=TH!F1337),"x","")</f>
        <v/>
      </c>
      <c r="Y1337" s="51" t="str">
        <f>IF(AND(OR(LEFT(TH!L1337,2)="15",LEFT(TH!M1337,2)="15"),TK!$E$7=TH!F1337),"x","")</f>
        <v/>
      </c>
      <c r="Z1337" s="51" t="str">
        <f>IF(AND(B1337&lt;=NKC!$N$8,B1337&gt;=NKC!$M$8),"x","")</f>
        <v/>
      </c>
      <c r="AA1337" s="803"/>
      <c r="AB1337" s="565"/>
    </row>
    <row r="1338" spans="1:30" ht="15.75" customHeight="1">
      <c r="A1338" s="804" t="str">
        <f>IF(B1338&lt;&gt;"",IF(AND(B1338&gt;=_TM1,B1338&lt;=_TM2,OR(TH!L1338="1111",TH!M1338="1111")),TH!D1338,""),"")</f>
        <v/>
      </c>
      <c r="B1338" s="36">
        <f t="shared" si="85"/>
        <v>12</v>
      </c>
      <c r="C1338" s="189">
        <f t="shared" si="86"/>
        <v>42362</v>
      </c>
      <c r="D1338" s="189" t="s">
        <v>1328</v>
      </c>
      <c r="E1338" s="189">
        <v>42362</v>
      </c>
      <c r="F1338" s="190" t="s">
        <v>962</v>
      </c>
      <c r="G1338" s="811" t="s">
        <v>1108</v>
      </c>
      <c r="H1338" s="191" t="s">
        <v>1027</v>
      </c>
      <c r="I1338" s="243"/>
      <c r="J1338" s="243"/>
      <c r="K1338" s="573">
        <v>665000</v>
      </c>
      <c r="L1338" s="574" t="s">
        <v>250</v>
      </c>
      <c r="M1338" s="574" t="s">
        <v>352</v>
      </c>
      <c r="N1338" s="51" t="str">
        <f>IF(AND('331-CT'!$E$7=TH!H1338,OR(L1338="331",M1338="331")),"331",IF(AND(OR(L1338="131",M1338="131"),H1338='131-CT'!$E$7),"131",""))</f>
        <v>131</v>
      </c>
      <c r="O1338" s="51" t="str">
        <f>IF(AND($B1338&gt;='111'!$N$11,$B1338&lt;='111'!$O$11,OR($L1338=$O$7,$M1338=$O$7)),"x","")</f>
        <v/>
      </c>
      <c r="P1338" s="51" t="str">
        <f>IF(AND($L1338=$O$7,$B1338&lt;'111'!$N$11),"x","")</f>
        <v/>
      </c>
      <c r="Q1338" s="51" t="str">
        <f>IF(AND($M1338=$O$7,$B1338&lt;'111'!$N$11),"x","")</f>
        <v/>
      </c>
      <c r="R1338" s="51" t="str">
        <f>IF(ISERROR(FIND('112'!$M$9,G1338,1)),"",IF((AND(FIND('112'!$M$9,G1338,1)&gt;=1,$B1338&gt;='112'!$N$8,$B1338&lt;='112'!$O$8,OR($L1338='112'!$I$6,$M1338='112'!$I$6))),"x",""))</f>
        <v/>
      </c>
      <c r="S1338" s="51" t="str">
        <f>IF(ISERROR(FIND('112'!$M$9,G1338,1)),"",IF((AND(LEFT(G1338,2)=LEFT('112'!$M$9,2),B1338&lt;'112'!$N$8,$L1338='112'!$I$6)),"x",""))</f>
        <v/>
      </c>
      <c r="T1338" s="51" t="str">
        <f>IF(ISERROR(FIND('112'!$M$9,G1338,1)),"",IF((AND(RIGHT(G1338,2)=RIGHT('112'!$M$9,2),B1338&lt;'112'!$N$8,$M1338='112'!$I$6)),"x",""))</f>
        <v/>
      </c>
      <c r="U1338" s="51" t="str">
        <f>IF(AND(L1338="154",'154'!$O$5&lt;=B1338,'154'!$P$5&gt;=B1338),"154",IF(AND(L1338="632",'632'!$L$5&lt;=B1338,'632'!$M$5&gt;=B1338),"632",IF(AND(L1338="642",'642'!$N$5&lt;=B1338,'642'!$O$5&gt;=B1338),"642",IF(AND(L1338="641",'641'!$N$5&lt;=B1338,'641'!$O$5&gt;=B1338),"641",""))))</f>
        <v/>
      </c>
      <c r="V1338" s="51" t="str">
        <f>IF(OR(TH!L1338=TH!$V$7,M1338=TH!$V$7),"x","")</f>
        <v/>
      </c>
      <c r="W1338" s="51" t="str">
        <f>IF(AND(B1338&gt;='IN-NX'!$P$3,B1338&lt;='IN-NX'!$Q$3,'IN-NX'!$D$7=D1338,OR(LEFT(L1338,2)="15",AND(LEFT(M1338,2)&lt;&gt;"15",LEFT(M1338,2)&lt;&gt;"33"))),"x","")</f>
        <v/>
      </c>
      <c r="X1338" s="51" t="str">
        <f>IF(AND(OR(LEFT(TH!L1338,2)="15",LEFT(TH!M1338,2)="15"),'152-CT'!$J$8=TH!F1338),"x","")</f>
        <v/>
      </c>
      <c r="Y1338" s="51" t="str">
        <f>IF(AND(OR(LEFT(TH!L1338,2)="15",LEFT(TH!M1338,2)="15"),TK!$E$7=TH!F1338),"x","")</f>
        <v/>
      </c>
      <c r="Z1338" s="51" t="str">
        <f>IF(AND(B1338&lt;=NKC!$N$8,B1338&gt;=NKC!$M$8),"x","")</f>
        <v/>
      </c>
      <c r="AA1338" s="803"/>
      <c r="AB1338" s="565"/>
    </row>
    <row r="1339" spans="1:30" ht="15.75" customHeight="1">
      <c r="A1339" s="804" t="str">
        <f>IF(B1339&lt;&gt;"",IF(AND(B1339&gt;=_TM1,B1339&lt;=_TM2,OR(TH!L1339="1111",TH!M1339="1111")),TH!D1339,""),"")</f>
        <v/>
      </c>
      <c r="B1339" s="36">
        <f t="shared" si="85"/>
        <v>12</v>
      </c>
      <c r="C1339" s="189">
        <f t="shared" si="86"/>
        <v>42362</v>
      </c>
      <c r="D1339" s="189" t="s">
        <v>1329</v>
      </c>
      <c r="E1339" s="189">
        <v>42362</v>
      </c>
      <c r="F1339" s="190" t="s">
        <v>1234</v>
      </c>
      <c r="G1339" s="811" t="s">
        <v>1109</v>
      </c>
      <c r="H1339" s="191" t="s">
        <v>1070</v>
      </c>
      <c r="I1339" s="243">
        <v>3223</v>
      </c>
      <c r="J1339" s="243">
        <v>926</v>
      </c>
      <c r="K1339" s="573">
        <f>ROUND(I1339*J1339,0)</f>
        <v>2984498</v>
      </c>
      <c r="L1339" s="574" t="s">
        <v>250</v>
      </c>
      <c r="M1339" s="574" t="s">
        <v>164</v>
      </c>
      <c r="N1339" s="51" t="str">
        <f>IF(AND('331-CT'!$E$7=TH!H1339,OR(L1339="331",M1339="331")),"331",IF(AND(OR(L1339="131",M1339="131"),H1339='131-CT'!$E$7),"131",""))</f>
        <v/>
      </c>
      <c r="O1339" s="51" t="str">
        <f>IF(AND($B1339&gt;='111'!$N$11,$B1339&lt;='111'!$O$11,OR($L1339=$O$7,$M1339=$O$7)),"x","")</f>
        <v/>
      </c>
      <c r="P1339" s="51" t="str">
        <f>IF(AND($L1339=$O$7,$B1339&lt;'111'!$N$11),"x","")</f>
        <v/>
      </c>
      <c r="Q1339" s="51" t="str">
        <f>IF(AND($M1339=$O$7,$B1339&lt;'111'!$N$11),"x","")</f>
        <v/>
      </c>
      <c r="R1339" s="51" t="str">
        <f>IF(ISERROR(FIND('112'!$M$9,G1339,1)),"",IF((AND(FIND('112'!$M$9,G1339,1)&gt;=1,$B1339&gt;='112'!$N$8,$B1339&lt;='112'!$O$8,OR($L1339='112'!$I$6,$M1339='112'!$I$6))),"x",""))</f>
        <v/>
      </c>
      <c r="S1339" s="51" t="str">
        <f>IF(ISERROR(FIND('112'!$M$9,G1339,1)),"",IF((AND(LEFT(G1339,2)=LEFT('112'!$M$9,2),B1339&lt;'112'!$N$8,$L1339='112'!$I$6)),"x",""))</f>
        <v/>
      </c>
      <c r="T1339" s="51" t="str">
        <f>IF(ISERROR(FIND('112'!$M$9,G1339,1)),"",IF((AND(RIGHT(G1339,2)=RIGHT('112'!$M$9,2),B1339&lt;'112'!$N$8,$M1339='112'!$I$6)),"x",""))</f>
        <v/>
      </c>
      <c r="U1339" s="51" t="str">
        <f>IF(AND(L1339="154",'154'!$O$5&lt;=B1339,'154'!$P$5&gt;=B1339),"154",IF(AND(L1339="632",'632'!$L$5&lt;=B1339,'632'!$M$5&gt;=B1339),"632",IF(AND(L1339="642",'642'!$N$5&lt;=B1339,'642'!$O$5&gt;=B1339),"642",IF(AND(L1339="641",'641'!$N$5&lt;=B1339,'641'!$O$5&gt;=B1339),"641",""))))</f>
        <v/>
      </c>
      <c r="V1339" s="51" t="str">
        <f>IF(OR(TH!L1339=TH!$V$7,M1339=TH!$V$7),"x","")</f>
        <v/>
      </c>
      <c r="W1339" s="51" t="str">
        <f>IF(AND(B1339&gt;='IN-NX'!$P$3,B1339&lt;='IN-NX'!$Q$3,'IN-NX'!$D$7=D1339,OR(LEFT(L1339,2)="15",AND(LEFT(M1339,2)&lt;&gt;"15",LEFT(M1339,2)&lt;&gt;"33"))),"x","")</f>
        <v/>
      </c>
      <c r="X1339" s="51" t="str">
        <f>IF(AND(OR(LEFT(TH!L1339,2)="15",LEFT(TH!M1339,2)="15"),'152-CT'!$J$8=TH!F1339),"x","")</f>
        <v/>
      </c>
      <c r="Y1339" s="51" t="str">
        <f>IF(AND(OR(LEFT(TH!L1339,2)="15",LEFT(TH!M1339,2)="15"),TK!$E$7=TH!F1339),"x","")</f>
        <v/>
      </c>
      <c r="Z1339" s="51" t="str">
        <f>IF(AND(B1339&lt;=NKC!$N$8,B1339&gt;=NKC!$M$8),"x","")</f>
        <v/>
      </c>
      <c r="AA1339" s="803"/>
      <c r="AB1339" s="565"/>
    </row>
    <row r="1340" spans="1:30" ht="15.75" customHeight="1">
      <c r="A1340" s="804" t="str">
        <f>IF(B1340&lt;&gt;"",IF(AND(B1340&gt;=_TM1,B1340&lt;=_TM2,OR(TH!L1340="1111",TH!M1340="1111")),TH!D1340,""),"")</f>
        <v/>
      </c>
      <c r="B1340" s="36">
        <f t="shared" si="85"/>
        <v>12</v>
      </c>
      <c r="C1340" s="189">
        <f t="shared" si="86"/>
        <v>42362</v>
      </c>
      <c r="D1340" s="189" t="s">
        <v>1329</v>
      </c>
      <c r="E1340" s="189">
        <v>42362</v>
      </c>
      <c r="F1340" s="190" t="s">
        <v>848</v>
      </c>
      <c r="G1340" s="811" t="s">
        <v>1109</v>
      </c>
      <c r="H1340" s="191" t="s">
        <v>1070</v>
      </c>
      <c r="I1340" s="243">
        <v>62</v>
      </c>
      <c r="J1340" s="243">
        <v>30280</v>
      </c>
      <c r="K1340" s="573">
        <f>ROUND(I1340*J1340,0)</f>
        <v>1877360</v>
      </c>
      <c r="L1340" s="574" t="s">
        <v>250</v>
      </c>
      <c r="M1340" s="574" t="s">
        <v>164</v>
      </c>
      <c r="N1340" s="51" t="str">
        <f>IF(AND('331-CT'!$E$7=TH!H1340,OR(L1340="331",M1340="331")),"331",IF(AND(OR(L1340="131",M1340="131"),H1340='131-CT'!$E$7),"131",""))</f>
        <v/>
      </c>
      <c r="O1340" s="51" t="str">
        <f>IF(AND($B1340&gt;='111'!$N$11,$B1340&lt;='111'!$O$11,OR($L1340=$O$7,$M1340=$O$7)),"x","")</f>
        <v/>
      </c>
      <c r="P1340" s="51" t="str">
        <f>IF(AND($L1340=$O$7,$B1340&lt;'111'!$N$11),"x","")</f>
        <v/>
      </c>
      <c r="Q1340" s="51" t="str">
        <f>IF(AND($M1340=$O$7,$B1340&lt;'111'!$N$11),"x","")</f>
        <v/>
      </c>
      <c r="R1340" s="51" t="str">
        <f>IF(ISERROR(FIND('112'!$M$9,G1340,1)),"",IF((AND(FIND('112'!$M$9,G1340,1)&gt;=1,$B1340&gt;='112'!$N$8,$B1340&lt;='112'!$O$8,OR($L1340='112'!$I$6,$M1340='112'!$I$6))),"x",""))</f>
        <v/>
      </c>
      <c r="S1340" s="51" t="str">
        <f>IF(ISERROR(FIND('112'!$M$9,G1340,1)),"",IF((AND(LEFT(G1340,2)=LEFT('112'!$M$9,2),B1340&lt;'112'!$N$8,$L1340='112'!$I$6)),"x",""))</f>
        <v/>
      </c>
      <c r="T1340" s="51" t="str">
        <f>IF(ISERROR(FIND('112'!$M$9,G1340,1)),"",IF((AND(RIGHT(G1340,2)=RIGHT('112'!$M$9,2),B1340&lt;'112'!$N$8,$M1340='112'!$I$6)),"x",""))</f>
        <v/>
      </c>
      <c r="U1340" s="51" t="str">
        <f>IF(AND(L1340="154",'154'!$O$5&lt;=B1340,'154'!$P$5&gt;=B1340),"154",IF(AND(L1340="632",'632'!$L$5&lt;=B1340,'632'!$M$5&gt;=B1340),"632",IF(AND(L1340="642",'642'!$N$5&lt;=B1340,'642'!$O$5&gt;=B1340),"642",IF(AND(L1340="641",'641'!$N$5&lt;=B1340,'641'!$O$5&gt;=B1340),"641",""))))</f>
        <v/>
      </c>
      <c r="V1340" s="51" t="str">
        <f>IF(OR(TH!L1340=TH!$V$7,M1340=TH!$V$7),"x","")</f>
        <v/>
      </c>
      <c r="W1340" s="51" t="str">
        <f>IF(AND(B1340&gt;='IN-NX'!$P$3,B1340&lt;='IN-NX'!$Q$3,'IN-NX'!$D$7=D1340,OR(LEFT(L1340,2)="15",AND(LEFT(M1340,2)&lt;&gt;"15",LEFT(M1340,2)&lt;&gt;"33"))),"x","")</f>
        <v/>
      </c>
      <c r="X1340" s="51" t="str">
        <f>IF(AND(OR(LEFT(TH!L1340,2)="15",LEFT(TH!M1340,2)="15"),'152-CT'!$J$8=TH!F1340),"x","")</f>
        <v/>
      </c>
      <c r="Y1340" s="51" t="str">
        <f>IF(AND(OR(LEFT(TH!L1340,2)="15",LEFT(TH!M1340,2)="15"),TK!$E$7=TH!F1340),"x","")</f>
        <v/>
      </c>
      <c r="Z1340" s="51" t="str">
        <f>IF(AND(B1340&lt;=NKC!$N$8,B1340&gt;=NKC!$M$8),"x","")</f>
        <v/>
      </c>
      <c r="AA1340" s="803"/>
      <c r="AB1340" s="565"/>
    </row>
    <row r="1341" spans="1:30" ht="15.75" customHeight="1">
      <c r="A1341" s="804" t="str">
        <f>IF(B1341&lt;&gt;"",IF(AND(B1341&gt;=_TM1,B1341&lt;=_TM2,OR(TH!L1341="1111",TH!M1341="1111")),TH!D1341,""),"")</f>
        <v/>
      </c>
      <c r="B1341" s="36">
        <f t="shared" si="85"/>
        <v>12</v>
      </c>
      <c r="C1341" s="189">
        <f t="shared" si="86"/>
        <v>42362</v>
      </c>
      <c r="D1341" s="189" t="s">
        <v>1329</v>
      </c>
      <c r="E1341" s="189">
        <v>42362</v>
      </c>
      <c r="F1341" s="190" t="s">
        <v>962</v>
      </c>
      <c r="G1341" s="811" t="s">
        <v>1109</v>
      </c>
      <c r="H1341" s="191" t="s">
        <v>1070</v>
      </c>
      <c r="I1341" s="243"/>
      <c r="J1341" s="243"/>
      <c r="K1341" s="573">
        <v>486185</v>
      </c>
      <c r="L1341" s="574" t="s">
        <v>250</v>
      </c>
      <c r="M1341" s="574" t="s">
        <v>352</v>
      </c>
      <c r="N1341" s="51" t="str">
        <f>IF(AND('331-CT'!$E$7=TH!H1341,OR(L1341="331",M1341="331")),"331",IF(AND(OR(L1341="131",M1341="131"),H1341='131-CT'!$E$7),"131",""))</f>
        <v/>
      </c>
      <c r="O1341" s="51" t="str">
        <f>IF(AND($B1341&gt;='111'!$N$11,$B1341&lt;='111'!$O$11,OR($L1341=$O$7,$M1341=$O$7)),"x","")</f>
        <v/>
      </c>
      <c r="P1341" s="51" t="str">
        <f>IF(AND($L1341=$O$7,$B1341&lt;'111'!$N$11),"x","")</f>
        <v/>
      </c>
      <c r="Q1341" s="51" t="str">
        <f>IF(AND($M1341=$O$7,$B1341&lt;'111'!$N$11),"x","")</f>
        <v/>
      </c>
      <c r="R1341" s="51" t="str">
        <f>IF(ISERROR(FIND('112'!$M$9,G1341,1)),"",IF((AND(FIND('112'!$M$9,G1341,1)&gt;=1,$B1341&gt;='112'!$N$8,$B1341&lt;='112'!$O$8,OR($L1341='112'!$I$6,$M1341='112'!$I$6))),"x",""))</f>
        <v/>
      </c>
      <c r="S1341" s="51" t="str">
        <f>IF(ISERROR(FIND('112'!$M$9,G1341,1)),"",IF((AND(LEFT(G1341,2)=LEFT('112'!$M$9,2),B1341&lt;'112'!$N$8,$L1341='112'!$I$6)),"x",""))</f>
        <v/>
      </c>
      <c r="T1341" s="51" t="str">
        <f>IF(ISERROR(FIND('112'!$M$9,G1341,1)),"",IF((AND(RIGHT(G1341,2)=RIGHT('112'!$M$9,2),B1341&lt;'112'!$N$8,$M1341='112'!$I$6)),"x",""))</f>
        <v/>
      </c>
      <c r="U1341" s="51" t="str">
        <f>IF(AND(L1341="154",'154'!$O$5&lt;=B1341,'154'!$P$5&gt;=B1341),"154",IF(AND(L1341="632",'632'!$L$5&lt;=B1341,'632'!$M$5&gt;=B1341),"632",IF(AND(L1341="642",'642'!$N$5&lt;=B1341,'642'!$O$5&gt;=B1341),"642",IF(AND(L1341="641",'641'!$N$5&lt;=B1341,'641'!$O$5&gt;=B1341),"641",""))))</f>
        <v/>
      </c>
      <c r="V1341" s="51" t="str">
        <f>IF(OR(TH!L1341=TH!$V$7,M1341=TH!$V$7),"x","")</f>
        <v/>
      </c>
      <c r="W1341" s="51" t="str">
        <f>IF(AND(B1341&gt;='IN-NX'!$P$3,B1341&lt;='IN-NX'!$Q$3,'IN-NX'!$D$7=D1341,OR(LEFT(L1341,2)="15",AND(LEFT(M1341,2)&lt;&gt;"15",LEFT(M1341,2)&lt;&gt;"33"))),"x","")</f>
        <v/>
      </c>
      <c r="X1341" s="51" t="str">
        <f>IF(AND(OR(LEFT(TH!L1341,2)="15",LEFT(TH!M1341,2)="15"),'152-CT'!$J$8=TH!F1341),"x","")</f>
        <v/>
      </c>
      <c r="Y1341" s="51" t="str">
        <f>IF(AND(OR(LEFT(TH!L1341,2)="15",LEFT(TH!M1341,2)="15"),TK!$E$7=TH!F1341),"x","")</f>
        <v/>
      </c>
      <c r="Z1341" s="51" t="str">
        <f>IF(AND(B1341&lt;=NKC!$N$8,B1341&gt;=NKC!$M$8),"x","")</f>
        <v/>
      </c>
      <c r="AA1341" s="803"/>
      <c r="AB1341" s="565"/>
    </row>
    <row r="1342" spans="1:30" ht="15.75" customHeight="1">
      <c r="A1342" s="804" t="str">
        <f>IF(B1342&lt;&gt;"",IF(AND(B1342&gt;=_TM1,B1342&lt;=_TM2,OR(TH!L1342="1111",TH!M1342="1111")),TH!D1342,""),"")</f>
        <v/>
      </c>
      <c r="B1342" s="36">
        <f t="shared" si="85"/>
        <v>12</v>
      </c>
      <c r="C1342" s="189">
        <f t="shared" si="86"/>
        <v>42362</v>
      </c>
      <c r="D1342" s="189" t="s">
        <v>1410</v>
      </c>
      <c r="E1342" s="189">
        <v>42362</v>
      </c>
      <c r="F1342" s="917" t="s">
        <v>423</v>
      </c>
      <c r="G1342" s="811" t="s">
        <v>1109</v>
      </c>
      <c r="H1342" s="191" t="s">
        <v>1070</v>
      </c>
      <c r="I1342" s="243"/>
      <c r="J1342" s="243"/>
      <c r="K1342" s="573">
        <v>5348043</v>
      </c>
      <c r="L1342" s="574" t="s">
        <v>47</v>
      </c>
      <c r="M1342" s="574" t="s">
        <v>250</v>
      </c>
      <c r="N1342" s="51" t="str">
        <f>IF(AND('331-CT'!$E$7=TH!H1342,OR(L1342="331",M1342="331")),"331",IF(AND(OR(L1342="131",M1342="131"),H1342='131-CT'!$E$7),"131",""))</f>
        <v/>
      </c>
      <c r="O1342" s="51" t="str">
        <f>IF(AND($B1342&gt;='111'!$N$11,$B1342&lt;='111'!$O$11,OR($L1342=$O$7,$M1342=$O$7)),"x","")</f>
        <v>x</v>
      </c>
      <c r="P1342" s="51" t="str">
        <f>IF(AND($L1342=$O$7,$B1342&lt;'111'!$N$11),"x","")</f>
        <v/>
      </c>
      <c r="Q1342" s="51" t="str">
        <f>IF(AND($M1342=$O$7,$B1342&lt;'111'!$N$11),"x","")</f>
        <v/>
      </c>
      <c r="R1342" s="51" t="str">
        <f>IF(ISERROR(FIND('112'!$M$9,G1342,1)),"",IF((AND(FIND('112'!$M$9,G1342,1)&gt;=1,$B1342&gt;='112'!$N$8,$B1342&lt;='112'!$O$8,OR($L1342='112'!$I$6,$M1342='112'!$I$6))),"x",""))</f>
        <v/>
      </c>
      <c r="S1342" s="51" t="str">
        <f>IF(ISERROR(FIND('112'!$M$9,G1342,1)),"",IF((AND(LEFT(G1342,2)=LEFT('112'!$M$9,2),B1342&lt;'112'!$N$8,$L1342='112'!$I$6)),"x",""))</f>
        <v/>
      </c>
      <c r="T1342" s="51" t="str">
        <f>IF(ISERROR(FIND('112'!$M$9,G1342,1)),"",IF((AND(RIGHT(G1342,2)=RIGHT('112'!$M$9,2),B1342&lt;'112'!$N$8,$M1342='112'!$I$6)),"x",""))</f>
        <v/>
      </c>
      <c r="U1342" s="51" t="str">
        <f>IF(AND(L1342="154",'154'!$O$5&lt;=B1342,'154'!$P$5&gt;=B1342),"154",IF(AND(L1342="632",'632'!$L$5&lt;=B1342,'632'!$M$5&gt;=B1342),"632",IF(AND(L1342="642",'642'!$N$5&lt;=B1342,'642'!$O$5&gt;=B1342),"642",IF(AND(L1342="641",'641'!$N$5&lt;=B1342,'641'!$O$5&gt;=B1342),"641",""))))</f>
        <v/>
      </c>
      <c r="V1342" s="51" t="str">
        <f>IF(OR(TH!L1342=TH!$V$7,M1342=TH!$V$7),"x","")</f>
        <v/>
      </c>
      <c r="W1342" s="51" t="str">
        <f>IF(AND(B1342&gt;='IN-NX'!$P$3,B1342&lt;='IN-NX'!$Q$3,'IN-NX'!$D$7=D1342,OR(LEFT(L1342,2)="15",AND(LEFT(M1342,2)&lt;&gt;"15",LEFT(M1342,2)&lt;&gt;"33"))),"x","")</f>
        <v/>
      </c>
      <c r="X1342" s="51" t="str">
        <f>IF(AND(OR(LEFT(TH!L1342,2)="15",LEFT(TH!M1342,2)="15"),'152-CT'!$J$8=TH!F1342),"x","")</f>
        <v/>
      </c>
      <c r="Y1342" s="51" t="str">
        <f>IF(AND(OR(LEFT(TH!L1342,2)="15",LEFT(TH!M1342,2)="15"),TK!$E$7=TH!F1342),"x","")</f>
        <v/>
      </c>
      <c r="Z1342" s="51" t="str">
        <f>IF(AND(B1342&lt;=NKC!$N$8,B1342&gt;=NKC!$M$8),"x","")</f>
        <v/>
      </c>
      <c r="AA1342" s="803"/>
      <c r="AB1342" s="565"/>
    </row>
    <row r="1343" spans="1:30" ht="15.75" customHeight="1">
      <c r="A1343" s="804" t="str">
        <f>IF(B1343&lt;&gt;"",IF(AND(B1343&gt;=_TM1,B1343&lt;=_TM2,OR(TH!L1343="1111",TH!M1343="1111")),TH!D1343,""),"")</f>
        <v/>
      </c>
      <c r="B1343" s="36">
        <f t="shared" si="85"/>
        <v>12</v>
      </c>
      <c r="C1343" s="189">
        <f t="shared" si="86"/>
        <v>42363</v>
      </c>
      <c r="D1343" s="182" t="s">
        <v>1517</v>
      </c>
      <c r="E1343" s="189">
        <v>42363</v>
      </c>
      <c r="F1343" s="190" t="s">
        <v>1217</v>
      </c>
      <c r="G1343" s="813" t="s">
        <v>622</v>
      </c>
      <c r="H1343" s="191" t="s">
        <v>904</v>
      </c>
      <c r="I1343" s="243">
        <v>40</v>
      </c>
      <c r="J1343" s="243">
        <v>24976</v>
      </c>
      <c r="K1343" s="573">
        <f t="shared" ref="K1343:K1374" si="88">ROUND(I1343*J1343,0)</f>
        <v>999040</v>
      </c>
      <c r="L1343" s="574" t="s">
        <v>417</v>
      </c>
      <c r="M1343" s="574" t="s">
        <v>8</v>
      </c>
      <c r="N1343" s="51" t="str">
        <f>IF(AND('331-CT'!$E$7=TH!H1343,OR(L1343="331",M1343="331")),"331",IF(AND(OR(L1343="131",M1343="131"),H1343='131-CT'!$E$7),"131",""))</f>
        <v/>
      </c>
      <c r="O1343" s="51" t="str">
        <f>IF(AND($B1343&gt;='111'!$N$11,$B1343&lt;='111'!$O$11,OR($L1343=$O$7,$M1343=$O$7)),"x","")</f>
        <v/>
      </c>
      <c r="P1343" s="51" t="str">
        <f>IF(AND($L1343=$O$7,$B1343&lt;'111'!$N$11),"x","")</f>
        <v/>
      </c>
      <c r="Q1343" s="51" t="str">
        <f>IF(AND($M1343=$O$7,$B1343&lt;'111'!$N$11),"x","")</f>
        <v/>
      </c>
      <c r="R1343" s="51" t="str">
        <f>IF(ISERROR(FIND('112'!$M$9,G1343,1)),"",IF((AND(FIND('112'!$M$9,G1343,1)&gt;=1,$B1343&gt;='112'!$N$8,$B1343&lt;='112'!$O$8,OR($L1343='112'!$I$6,$M1343='112'!$I$6))),"x",""))</f>
        <v/>
      </c>
      <c r="S1343" s="51" t="str">
        <f>IF(ISERROR(FIND('112'!$M$9,G1343,1)),"",IF((AND(LEFT(G1343,2)=LEFT('112'!$M$9,2),B1343&lt;'112'!$N$8,$L1343='112'!$I$6)),"x",""))</f>
        <v/>
      </c>
      <c r="T1343" s="51" t="str">
        <f>IF(ISERROR(FIND('112'!$M$9,G1343,1)),"",IF((AND(RIGHT(G1343,2)=RIGHT('112'!$M$9,2),B1343&lt;'112'!$N$8,$M1343='112'!$I$6)),"x",""))</f>
        <v/>
      </c>
      <c r="U1343" s="51" t="str">
        <f>IF(AND(L1343="154",'154'!$O$5&lt;=B1343,'154'!$P$5&gt;=B1343),"154",IF(AND(L1343="632",'632'!$L$5&lt;=B1343,'632'!$M$5&gt;=B1343),"632",IF(AND(L1343="642",'642'!$N$5&lt;=B1343,'642'!$O$5&gt;=B1343),"642",IF(AND(L1343="641",'641'!$N$5&lt;=B1343,'641'!$O$5&gt;=B1343),"641",""))))</f>
        <v/>
      </c>
      <c r="V1343" s="51" t="str">
        <f>IF(OR(TH!L1343=TH!$V$7,M1343=TH!$V$7),"x","")</f>
        <v/>
      </c>
      <c r="W1343" s="51" t="str">
        <f>IF(AND(B1343&gt;='IN-NX'!$P$3,B1343&lt;='IN-NX'!$Q$3,'IN-NX'!$D$7=D1343,OR(LEFT(L1343,2)="15",AND(LEFT(M1343,2)&lt;&gt;"15",LEFT(M1343,2)&lt;&gt;"33"))),"x","")</f>
        <v/>
      </c>
      <c r="X1343" s="51" t="str">
        <f>IF(AND(OR(LEFT(TH!L1343,2)="15",LEFT(TH!M1343,2)="15"),'152-CT'!$J$8=TH!F1343),"x","")</f>
        <v/>
      </c>
      <c r="Y1343" s="51" t="str">
        <f>IF(AND(OR(LEFT(TH!L1343,2)="15",LEFT(TH!M1343,2)="15"),TK!$E$7=TH!F1343),"x","")</f>
        <v/>
      </c>
      <c r="Z1343" s="51" t="str">
        <f>IF(AND(B1343&lt;=NKC!$N$8,B1343&gt;=NKC!$M$8),"x","")</f>
        <v/>
      </c>
      <c r="AA1343" s="803"/>
      <c r="AB1343" s="565"/>
    </row>
    <row r="1344" spans="1:30" ht="15.75" customHeight="1">
      <c r="A1344" s="804" t="str">
        <f>IF(B1344&lt;&gt;"",IF(AND(B1344&gt;=_TM1,B1344&lt;=_TM2,OR(TH!L1344="1111",TH!M1344="1111")),TH!D1344,""),"")</f>
        <v/>
      </c>
      <c r="B1344" s="36">
        <f t="shared" si="85"/>
        <v>12</v>
      </c>
      <c r="C1344" s="189">
        <f t="shared" si="86"/>
        <v>42363</v>
      </c>
      <c r="D1344" s="182" t="s">
        <v>1517</v>
      </c>
      <c r="E1344" s="189">
        <v>42363</v>
      </c>
      <c r="F1344" s="926" t="s">
        <v>1218</v>
      </c>
      <c r="G1344" s="813" t="s">
        <v>622</v>
      </c>
      <c r="H1344" s="191" t="s">
        <v>904</v>
      </c>
      <c r="I1344" s="243">
        <v>8</v>
      </c>
      <c r="J1344" s="243">
        <v>40508</v>
      </c>
      <c r="K1344" s="573">
        <f t="shared" si="88"/>
        <v>324064</v>
      </c>
      <c r="L1344" s="574" t="s">
        <v>417</v>
      </c>
      <c r="M1344" s="574" t="s">
        <v>8</v>
      </c>
      <c r="N1344" s="51" t="str">
        <f>IF(AND('331-CT'!$E$7=TH!H1344,OR(L1344="331",M1344="331")),"331",IF(AND(OR(L1344="131",M1344="131"),H1344='131-CT'!$E$7),"131",""))</f>
        <v/>
      </c>
      <c r="O1344" s="51" t="str">
        <f>IF(AND($B1344&gt;='111'!$N$11,$B1344&lt;='111'!$O$11,OR($L1344=$O$7,$M1344=$O$7)),"x","")</f>
        <v/>
      </c>
      <c r="P1344" s="51" t="str">
        <f>IF(AND($L1344=$O$7,$B1344&lt;'111'!$N$11),"x","")</f>
        <v/>
      </c>
      <c r="Q1344" s="51" t="str">
        <f>IF(AND($M1344=$O$7,$B1344&lt;'111'!$N$11),"x","")</f>
        <v/>
      </c>
      <c r="R1344" s="51" t="str">
        <f>IF(ISERROR(FIND('112'!$M$9,G1344,1)),"",IF((AND(FIND('112'!$M$9,G1344,1)&gt;=1,$B1344&gt;='112'!$N$8,$B1344&lt;='112'!$O$8,OR($L1344='112'!$I$6,$M1344='112'!$I$6))),"x",""))</f>
        <v/>
      </c>
      <c r="S1344" s="51" t="str">
        <f>IF(ISERROR(FIND('112'!$M$9,G1344,1)),"",IF((AND(LEFT(G1344,2)=LEFT('112'!$M$9,2),B1344&lt;'112'!$N$8,$L1344='112'!$I$6)),"x",""))</f>
        <v/>
      </c>
      <c r="T1344" s="51" t="str">
        <f>IF(ISERROR(FIND('112'!$M$9,G1344,1)),"",IF((AND(RIGHT(G1344,2)=RIGHT('112'!$M$9,2),B1344&lt;'112'!$N$8,$M1344='112'!$I$6)),"x",""))</f>
        <v/>
      </c>
      <c r="U1344" s="51" t="str">
        <f>IF(AND(L1344="154",'154'!$O$5&lt;=B1344,'154'!$P$5&gt;=B1344),"154",IF(AND(L1344="632",'632'!$L$5&lt;=B1344,'632'!$M$5&gt;=B1344),"632",IF(AND(L1344="642",'642'!$N$5&lt;=B1344,'642'!$O$5&gt;=B1344),"642",IF(AND(L1344="641",'641'!$N$5&lt;=B1344,'641'!$O$5&gt;=B1344),"641",""))))</f>
        <v/>
      </c>
      <c r="V1344" s="51" t="str">
        <f>IF(OR(TH!L1344=TH!$V$7,M1344=TH!$V$7),"x","")</f>
        <v/>
      </c>
      <c r="W1344" s="51" t="str">
        <f>IF(AND(B1344&gt;='IN-NX'!$P$3,B1344&lt;='IN-NX'!$Q$3,'IN-NX'!$D$7=D1344,OR(LEFT(L1344,2)="15",AND(LEFT(M1344,2)&lt;&gt;"15",LEFT(M1344,2)&lt;&gt;"33"))),"x","")</f>
        <v/>
      </c>
      <c r="X1344" s="51" t="str">
        <f>IF(AND(OR(LEFT(TH!L1344,2)="15",LEFT(TH!M1344,2)="15"),'152-CT'!$J$8=TH!F1344),"x","")</f>
        <v/>
      </c>
      <c r="Y1344" s="51" t="str">
        <f>IF(AND(OR(LEFT(TH!L1344,2)="15",LEFT(TH!M1344,2)="15"),TK!$E$7=TH!F1344),"x","")</f>
        <v/>
      </c>
      <c r="Z1344" s="51" t="str">
        <f>IF(AND(B1344&lt;=NKC!$N$8,B1344&gt;=NKC!$M$8),"x","")</f>
        <v/>
      </c>
      <c r="AA1344" s="803"/>
      <c r="AB1344" s="565"/>
    </row>
    <row r="1345" spans="1:28" ht="15.75" customHeight="1">
      <c r="A1345" s="804" t="str">
        <f>IF(B1345&lt;&gt;"",IF(AND(B1345&gt;=_TM1,B1345&lt;=_TM2,OR(TH!L1345="1111",TH!M1345="1111")),TH!D1345,""),"")</f>
        <v/>
      </c>
      <c r="B1345" s="36">
        <f t="shared" si="85"/>
        <v>12</v>
      </c>
      <c r="C1345" s="189">
        <f t="shared" si="86"/>
        <v>42363</v>
      </c>
      <c r="D1345" s="182" t="s">
        <v>1517</v>
      </c>
      <c r="E1345" s="189">
        <v>42363</v>
      </c>
      <c r="F1345" s="926" t="s">
        <v>1219</v>
      </c>
      <c r="G1345" s="813" t="s">
        <v>622</v>
      </c>
      <c r="H1345" s="191" t="s">
        <v>904</v>
      </c>
      <c r="I1345" s="243">
        <v>8</v>
      </c>
      <c r="J1345" s="243">
        <v>38333</v>
      </c>
      <c r="K1345" s="573">
        <f t="shared" si="88"/>
        <v>306664</v>
      </c>
      <c r="L1345" s="574" t="s">
        <v>417</v>
      </c>
      <c r="M1345" s="574" t="s">
        <v>8</v>
      </c>
      <c r="N1345" s="51" t="str">
        <f>IF(AND('331-CT'!$E$7=TH!H1345,OR(L1345="331",M1345="331")),"331",IF(AND(OR(L1345="131",M1345="131"),H1345='131-CT'!$E$7),"131",""))</f>
        <v/>
      </c>
      <c r="O1345" s="51" t="str">
        <f>IF(AND($B1345&gt;='111'!$N$11,$B1345&lt;='111'!$O$11,OR($L1345=$O$7,$M1345=$O$7)),"x","")</f>
        <v/>
      </c>
      <c r="P1345" s="51" t="str">
        <f>IF(AND($L1345=$O$7,$B1345&lt;'111'!$N$11),"x","")</f>
        <v/>
      </c>
      <c r="Q1345" s="51" t="str">
        <f>IF(AND($M1345=$O$7,$B1345&lt;'111'!$N$11),"x","")</f>
        <v/>
      </c>
      <c r="R1345" s="51" t="str">
        <f>IF(ISERROR(FIND('112'!$M$9,G1345,1)),"",IF((AND(FIND('112'!$M$9,G1345,1)&gt;=1,$B1345&gt;='112'!$N$8,$B1345&lt;='112'!$O$8,OR($L1345='112'!$I$6,$M1345='112'!$I$6))),"x",""))</f>
        <v/>
      </c>
      <c r="S1345" s="51" t="str">
        <f>IF(ISERROR(FIND('112'!$M$9,G1345,1)),"",IF((AND(LEFT(G1345,2)=LEFT('112'!$M$9,2),B1345&lt;'112'!$N$8,$L1345='112'!$I$6)),"x",""))</f>
        <v/>
      </c>
      <c r="T1345" s="51" t="str">
        <f>IF(ISERROR(FIND('112'!$M$9,G1345,1)),"",IF((AND(RIGHT(G1345,2)=RIGHT('112'!$M$9,2),B1345&lt;'112'!$N$8,$M1345='112'!$I$6)),"x",""))</f>
        <v/>
      </c>
      <c r="U1345" s="51" t="str">
        <f>IF(AND(L1345="154",'154'!$O$5&lt;=B1345,'154'!$P$5&gt;=B1345),"154",IF(AND(L1345="632",'632'!$L$5&lt;=B1345,'632'!$M$5&gt;=B1345),"632",IF(AND(L1345="642",'642'!$N$5&lt;=B1345,'642'!$O$5&gt;=B1345),"642",IF(AND(L1345="641",'641'!$N$5&lt;=B1345,'641'!$O$5&gt;=B1345),"641",""))))</f>
        <v/>
      </c>
      <c r="V1345" s="51" t="str">
        <f>IF(OR(TH!L1345=TH!$V$7,M1345=TH!$V$7),"x","")</f>
        <v/>
      </c>
      <c r="W1345" s="51" t="str">
        <f>IF(AND(B1345&gt;='IN-NX'!$P$3,B1345&lt;='IN-NX'!$Q$3,'IN-NX'!$D$7=D1345,OR(LEFT(L1345,2)="15",AND(LEFT(M1345,2)&lt;&gt;"15",LEFT(M1345,2)&lt;&gt;"33"))),"x","")</f>
        <v/>
      </c>
      <c r="X1345" s="51" t="str">
        <f>IF(AND(OR(LEFT(TH!L1345,2)="15",LEFT(TH!M1345,2)="15"),'152-CT'!$J$8=TH!F1345),"x","")</f>
        <v/>
      </c>
      <c r="Y1345" s="51" t="str">
        <f>IF(AND(OR(LEFT(TH!L1345,2)="15",LEFT(TH!M1345,2)="15"),TK!$E$7=TH!F1345),"x","")</f>
        <v/>
      </c>
      <c r="Z1345" s="51" t="str">
        <f>IF(AND(B1345&lt;=NKC!$N$8,B1345&gt;=NKC!$M$8),"x","")</f>
        <v/>
      </c>
      <c r="AA1345" s="803"/>
      <c r="AB1345" s="565"/>
    </row>
    <row r="1346" spans="1:28" ht="15.75" customHeight="1">
      <c r="A1346" s="804" t="str">
        <f>IF(B1346&lt;&gt;"",IF(AND(B1346&gt;=_TM1,B1346&lt;=_TM2,OR(TH!L1346="1111",TH!M1346="1111")),TH!D1346,""),"")</f>
        <v/>
      </c>
      <c r="B1346" s="36">
        <f t="shared" si="85"/>
        <v>12</v>
      </c>
      <c r="C1346" s="189">
        <f t="shared" si="86"/>
        <v>42363</v>
      </c>
      <c r="D1346" s="182" t="s">
        <v>1517</v>
      </c>
      <c r="E1346" s="189">
        <v>42363</v>
      </c>
      <c r="F1346" s="926" t="s">
        <v>1220</v>
      </c>
      <c r="G1346" s="813" t="s">
        <v>622</v>
      </c>
      <c r="H1346" s="191" t="s">
        <v>904</v>
      </c>
      <c r="I1346" s="243">
        <v>10</v>
      </c>
      <c r="J1346" s="243">
        <v>47405</v>
      </c>
      <c r="K1346" s="573">
        <f t="shared" si="88"/>
        <v>474050</v>
      </c>
      <c r="L1346" s="574" t="s">
        <v>417</v>
      </c>
      <c r="M1346" s="574" t="s">
        <v>8</v>
      </c>
      <c r="N1346" s="51" t="str">
        <f>IF(AND('331-CT'!$E$7=TH!H1346,OR(L1346="331",M1346="331")),"331",IF(AND(OR(L1346="131",M1346="131"),H1346='131-CT'!$E$7),"131",""))</f>
        <v/>
      </c>
      <c r="O1346" s="51" t="str">
        <f>IF(AND($B1346&gt;='111'!$N$11,$B1346&lt;='111'!$O$11,OR($L1346=$O$7,$M1346=$O$7)),"x","")</f>
        <v/>
      </c>
      <c r="P1346" s="51" t="str">
        <f>IF(AND($L1346=$O$7,$B1346&lt;'111'!$N$11),"x","")</f>
        <v/>
      </c>
      <c r="Q1346" s="51" t="str">
        <f>IF(AND($M1346=$O$7,$B1346&lt;'111'!$N$11),"x","")</f>
        <v/>
      </c>
      <c r="R1346" s="51" t="str">
        <f>IF(ISERROR(FIND('112'!$M$9,G1346,1)),"",IF((AND(FIND('112'!$M$9,G1346,1)&gt;=1,$B1346&gt;='112'!$N$8,$B1346&lt;='112'!$O$8,OR($L1346='112'!$I$6,$M1346='112'!$I$6))),"x",""))</f>
        <v/>
      </c>
      <c r="S1346" s="51" t="str">
        <f>IF(ISERROR(FIND('112'!$M$9,G1346,1)),"",IF((AND(LEFT(G1346,2)=LEFT('112'!$M$9,2),B1346&lt;'112'!$N$8,$L1346='112'!$I$6)),"x",""))</f>
        <v/>
      </c>
      <c r="T1346" s="51" t="str">
        <f>IF(ISERROR(FIND('112'!$M$9,G1346,1)),"",IF((AND(RIGHT(G1346,2)=RIGHT('112'!$M$9,2),B1346&lt;'112'!$N$8,$M1346='112'!$I$6)),"x",""))</f>
        <v/>
      </c>
      <c r="U1346" s="51" t="str">
        <f>IF(AND(L1346="154",'154'!$O$5&lt;=B1346,'154'!$P$5&gt;=B1346),"154",IF(AND(L1346="632",'632'!$L$5&lt;=B1346,'632'!$M$5&gt;=B1346),"632",IF(AND(L1346="642",'642'!$N$5&lt;=B1346,'642'!$O$5&gt;=B1346),"642",IF(AND(L1346="641",'641'!$N$5&lt;=B1346,'641'!$O$5&gt;=B1346),"641",""))))</f>
        <v/>
      </c>
      <c r="V1346" s="51" t="str">
        <f>IF(OR(TH!L1346=TH!$V$7,M1346=TH!$V$7),"x","")</f>
        <v/>
      </c>
      <c r="W1346" s="51" t="str">
        <f>IF(AND(B1346&gt;='IN-NX'!$P$3,B1346&lt;='IN-NX'!$Q$3,'IN-NX'!$D$7=D1346,OR(LEFT(L1346,2)="15",AND(LEFT(M1346,2)&lt;&gt;"15",LEFT(M1346,2)&lt;&gt;"33"))),"x","")</f>
        <v/>
      </c>
      <c r="X1346" s="51" t="str">
        <f>IF(AND(OR(LEFT(TH!L1346,2)="15",LEFT(TH!M1346,2)="15"),'152-CT'!$J$8=TH!F1346),"x","")</f>
        <v/>
      </c>
      <c r="Y1346" s="51" t="str">
        <f>IF(AND(OR(LEFT(TH!L1346,2)="15",LEFT(TH!M1346,2)="15"),TK!$E$7=TH!F1346),"x","")</f>
        <v/>
      </c>
      <c r="Z1346" s="51" t="str">
        <f>IF(AND(B1346&lt;=NKC!$N$8,B1346&gt;=NKC!$M$8),"x","")</f>
        <v/>
      </c>
      <c r="AA1346" s="803"/>
      <c r="AB1346" s="565"/>
    </row>
    <row r="1347" spans="1:28" ht="15.75" customHeight="1">
      <c r="A1347" s="804" t="str">
        <f>IF(B1347&lt;&gt;"",IF(AND(B1347&gt;=_TM1,B1347&lt;=_TM2,OR(TH!L1347="1111",TH!M1347="1111")),TH!D1347,""),"")</f>
        <v/>
      </c>
      <c r="B1347" s="36">
        <f t="shared" si="85"/>
        <v>12</v>
      </c>
      <c r="C1347" s="189">
        <f t="shared" si="86"/>
        <v>42363</v>
      </c>
      <c r="D1347" s="182" t="s">
        <v>1517</v>
      </c>
      <c r="E1347" s="189">
        <v>42363</v>
      </c>
      <c r="F1347" s="926" t="s">
        <v>1221</v>
      </c>
      <c r="G1347" s="813" t="s">
        <v>622</v>
      </c>
      <c r="H1347" s="191" t="s">
        <v>904</v>
      </c>
      <c r="I1347" s="243">
        <v>20</v>
      </c>
      <c r="J1347" s="243">
        <v>25260</v>
      </c>
      <c r="K1347" s="573">
        <f t="shared" si="88"/>
        <v>505200</v>
      </c>
      <c r="L1347" s="574" t="s">
        <v>417</v>
      </c>
      <c r="M1347" s="574" t="s">
        <v>8</v>
      </c>
      <c r="N1347" s="51" t="str">
        <f>IF(AND('331-CT'!$E$7=TH!H1347,OR(L1347="331",M1347="331")),"331",IF(AND(OR(L1347="131",M1347="131"),H1347='131-CT'!$E$7),"131",""))</f>
        <v/>
      </c>
      <c r="O1347" s="51" t="str">
        <f>IF(AND($B1347&gt;='111'!$N$11,$B1347&lt;='111'!$O$11,OR($L1347=$O$7,$M1347=$O$7)),"x","")</f>
        <v/>
      </c>
      <c r="P1347" s="51" t="str">
        <f>IF(AND($L1347=$O$7,$B1347&lt;'111'!$N$11),"x","")</f>
        <v/>
      </c>
      <c r="Q1347" s="51" t="str">
        <f>IF(AND($M1347=$O$7,$B1347&lt;'111'!$N$11),"x","")</f>
        <v/>
      </c>
      <c r="R1347" s="51" t="str">
        <f>IF(ISERROR(FIND('112'!$M$9,G1347,1)),"",IF((AND(FIND('112'!$M$9,G1347,1)&gt;=1,$B1347&gt;='112'!$N$8,$B1347&lt;='112'!$O$8,OR($L1347='112'!$I$6,$M1347='112'!$I$6))),"x",""))</f>
        <v/>
      </c>
      <c r="S1347" s="51" t="str">
        <f>IF(ISERROR(FIND('112'!$M$9,G1347,1)),"",IF((AND(LEFT(G1347,2)=LEFT('112'!$M$9,2),B1347&lt;'112'!$N$8,$L1347='112'!$I$6)),"x",""))</f>
        <v/>
      </c>
      <c r="T1347" s="51" t="str">
        <f>IF(ISERROR(FIND('112'!$M$9,G1347,1)),"",IF((AND(RIGHT(G1347,2)=RIGHT('112'!$M$9,2),B1347&lt;'112'!$N$8,$M1347='112'!$I$6)),"x",""))</f>
        <v/>
      </c>
      <c r="U1347" s="51" t="str">
        <f>IF(AND(L1347="154",'154'!$O$5&lt;=B1347,'154'!$P$5&gt;=B1347),"154",IF(AND(L1347="632",'632'!$L$5&lt;=B1347,'632'!$M$5&gt;=B1347),"632",IF(AND(L1347="642",'642'!$N$5&lt;=B1347,'642'!$O$5&gt;=B1347),"642",IF(AND(L1347="641",'641'!$N$5&lt;=B1347,'641'!$O$5&gt;=B1347),"641",""))))</f>
        <v/>
      </c>
      <c r="V1347" s="51" t="str">
        <f>IF(OR(TH!L1347=TH!$V$7,M1347=TH!$V$7),"x","")</f>
        <v/>
      </c>
      <c r="W1347" s="51" t="str">
        <f>IF(AND(B1347&gt;='IN-NX'!$P$3,B1347&lt;='IN-NX'!$Q$3,'IN-NX'!$D$7=D1347,OR(LEFT(L1347,2)="15",AND(LEFT(M1347,2)&lt;&gt;"15",LEFT(M1347,2)&lt;&gt;"33"))),"x","")</f>
        <v/>
      </c>
      <c r="X1347" s="51" t="str">
        <f>IF(AND(OR(LEFT(TH!L1347,2)="15",LEFT(TH!M1347,2)="15"),'152-CT'!$J$8=TH!F1347),"x","")</f>
        <v/>
      </c>
      <c r="Y1347" s="51" t="str">
        <f>IF(AND(OR(LEFT(TH!L1347,2)="15",LEFT(TH!M1347,2)="15"),TK!$E$7=TH!F1347),"x","")</f>
        <v/>
      </c>
      <c r="Z1347" s="51" t="str">
        <f>IF(AND(B1347&lt;=NKC!$N$8,B1347&gt;=NKC!$M$8),"x","")</f>
        <v/>
      </c>
      <c r="AA1347" s="803"/>
      <c r="AB1347" s="565"/>
    </row>
    <row r="1348" spans="1:28" ht="15.75" customHeight="1">
      <c r="A1348" s="804" t="str">
        <f>IF(B1348&lt;&gt;"",IF(AND(B1348&gt;=_TM1,B1348&lt;=_TM2,OR(TH!L1348="1111",TH!M1348="1111")),TH!D1348,""),"")</f>
        <v/>
      </c>
      <c r="B1348" s="36">
        <f t="shared" si="85"/>
        <v>12</v>
      </c>
      <c r="C1348" s="189">
        <f t="shared" si="86"/>
        <v>42363</v>
      </c>
      <c r="D1348" s="182" t="s">
        <v>1517</v>
      </c>
      <c r="E1348" s="189">
        <v>42363</v>
      </c>
      <c r="F1348" s="926" t="s">
        <v>1222</v>
      </c>
      <c r="G1348" s="813" t="s">
        <v>622</v>
      </c>
      <c r="H1348" s="191" t="s">
        <v>904</v>
      </c>
      <c r="I1348" s="243">
        <v>8</v>
      </c>
      <c r="J1348" s="243">
        <v>60515</v>
      </c>
      <c r="K1348" s="573">
        <f t="shared" si="88"/>
        <v>484120</v>
      </c>
      <c r="L1348" s="574" t="s">
        <v>417</v>
      </c>
      <c r="M1348" s="574" t="s">
        <v>8</v>
      </c>
      <c r="N1348" s="51" t="str">
        <f>IF(AND('331-CT'!$E$7=TH!H1348,OR(L1348="331",M1348="331")),"331",IF(AND(OR(L1348="131",M1348="131"),H1348='131-CT'!$E$7),"131",""))</f>
        <v/>
      </c>
      <c r="O1348" s="51" t="str">
        <f>IF(AND($B1348&gt;='111'!$N$11,$B1348&lt;='111'!$O$11,OR($L1348=$O$7,$M1348=$O$7)),"x","")</f>
        <v/>
      </c>
      <c r="P1348" s="51" t="str">
        <f>IF(AND($L1348=$O$7,$B1348&lt;'111'!$N$11),"x","")</f>
        <v/>
      </c>
      <c r="Q1348" s="51" t="str">
        <f>IF(AND($M1348=$O$7,$B1348&lt;'111'!$N$11),"x","")</f>
        <v/>
      </c>
      <c r="R1348" s="51" t="str">
        <f>IF(ISERROR(FIND('112'!$M$9,G1348,1)),"",IF((AND(FIND('112'!$M$9,G1348,1)&gt;=1,$B1348&gt;='112'!$N$8,$B1348&lt;='112'!$O$8,OR($L1348='112'!$I$6,$M1348='112'!$I$6))),"x",""))</f>
        <v/>
      </c>
      <c r="S1348" s="51" t="str">
        <f>IF(ISERROR(FIND('112'!$M$9,G1348,1)),"",IF((AND(LEFT(G1348,2)=LEFT('112'!$M$9,2),B1348&lt;'112'!$N$8,$L1348='112'!$I$6)),"x",""))</f>
        <v/>
      </c>
      <c r="T1348" s="51" t="str">
        <f>IF(ISERROR(FIND('112'!$M$9,G1348,1)),"",IF((AND(RIGHT(G1348,2)=RIGHT('112'!$M$9,2),B1348&lt;'112'!$N$8,$M1348='112'!$I$6)),"x",""))</f>
        <v/>
      </c>
      <c r="U1348" s="51" t="str">
        <f>IF(AND(L1348="154",'154'!$O$5&lt;=B1348,'154'!$P$5&gt;=B1348),"154",IF(AND(L1348="632",'632'!$L$5&lt;=B1348,'632'!$M$5&gt;=B1348),"632",IF(AND(L1348="642",'642'!$N$5&lt;=B1348,'642'!$O$5&gt;=B1348),"642",IF(AND(L1348="641",'641'!$N$5&lt;=B1348,'641'!$O$5&gt;=B1348),"641",""))))</f>
        <v/>
      </c>
      <c r="V1348" s="51" t="str">
        <f>IF(OR(TH!L1348=TH!$V$7,M1348=TH!$V$7),"x","")</f>
        <v/>
      </c>
      <c r="W1348" s="51" t="str">
        <f>IF(AND(B1348&gt;='IN-NX'!$P$3,B1348&lt;='IN-NX'!$Q$3,'IN-NX'!$D$7=D1348,OR(LEFT(L1348,2)="15",AND(LEFT(M1348,2)&lt;&gt;"15",LEFT(M1348,2)&lt;&gt;"33"))),"x","")</f>
        <v/>
      </c>
      <c r="X1348" s="51" t="str">
        <f>IF(AND(OR(LEFT(TH!L1348,2)="15",LEFT(TH!M1348,2)="15"),'152-CT'!$J$8=TH!F1348),"x","")</f>
        <v/>
      </c>
      <c r="Y1348" s="51" t="str">
        <f>IF(AND(OR(LEFT(TH!L1348,2)="15",LEFT(TH!M1348,2)="15"),TK!$E$7=TH!F1348),"x","")</f>
        <v/>
      </c>
      <c r="Z1348" s="51" t="str">
        <f>IF(AND(B1348&lt;=NKC!$N$8,B1348&gt;=NKC!$M$8),"x","")</f>
        <v/>
      </c>
      <c r="AA1348" s="803"/>
      <c r="AB1348" s="565"/>
    </row>
    <row r="1349" spans="1:28" ht="15.75" customHeight="1">
      <c r="A1349" s="804" t="str">
        <f>IF(B1349&lt;&gt;"",IF(AND(B1349&gt;=_TM1,B1349&lt;=_TM2,OR(TH!L1349="1111",TH!M1349="1111")),TH!D1349,""),"")</f>
        <v/>
      </c>
      <c r="B1349" s="36">
        <f t="shared" si="85"/>
        <v>12</v>
      </c>
      <c r="C1349" s="189">
        <f t="shared" si="86"/>
        <v>42363</v>
      </c>
      <c r="D1349" s="182" t="s">
        <v>1517</v>
      </c>
      <c r="E1349" s="189">
        <v>42363</v>
      </c>
      <c r="F1349" s="926" t="s">
        <v>1223</v>
      </c>
      <c r="G1349" s="813" t="s">
        <v>622</v>
      </c>
      <c r="H1349" s="191" t="s">
        <v>904</v>
      </c>
      <c r="I1349" s="243">
        <v>12</v>
      </c>
      <c r="J1349" s="243">
        <v>54273</v>
      </c>
      <c r="K1349" s="573">
        <f t="shared" si="88"/>
        <v>651276</v>
      </c>
      <c r="L1349" s="574" t="s">
        <v>417</v>
      </c>
      <c r="M1349" s="574" t="s">
        <v>8</v>
      </c>
      <c r="N1349" s="51" t="str">
        <f>IF(AND('331-CT'!$E$7=TH!H1349,OR(L1349="331",M1349="331")),"331",IF(AND(OR(L1349="131",M1349="131"),H1349='131-CT'!$E$7),"131",""))</f>
        <v/>
      </c>
      <c r="O1349" s="51" t="str">
        <f>IF(AND($B1349&gt;='111'!$N$11,$B1349&lt;='111'!$O$11,OR($L1349=$O$7,$M1349=$O$7)),"x","")</f>
        <v/>
      </c>
      <c r="P1349" s="51" t="str">
        <f>IF(AND($L1349=$O$7,$B1349&lt;'111'!$N$11),"x","")</f>
        <v/>
      </c>
      <c r="Q1349" s="51" t="str">
        <f>IF(AND($M1349=$O$7,$B1349&lt;'111'!$N$11),"x","")</f>
        <v/>
      </c>
      <c r="R1349" s="51" t="str">
        <f>IF(ISERROR(FIND('112'!$M$9,G1349,1)),"",IF((AND(FIND('112'!$M$9,G1349,1)&gt;=1,$B1349&gt;='112'!$N$8,$B1349&lt;='112'!$O$8,OR($L1349='112'!$I$6,$M1349='112'!$I$6))),"x",""))</f>
        <v/>
      </c>
      <c r="S1349" s="51" t="str">
        <f>IF(ISERROR(FIND('112'!$M$9,G1349,1)),"",IF((AND(LEFT(G1349,2)=LEFT('112'!$M$9,2),B1349&lt;'112'!$N$8,$L1349='112'!$I$6)),"x",""))</f>
        <v/>
      </c>
      <c r="T1349" s="51" t="str">
        <f>IF(ISERROR(FIND('112'!$M$9,G1349,1)),"",IF((AND(RIGHT(G1349,2)=RIGHT('112'!$M$9,2),B1349&lt;'112'!$N$8,$M1349='112'!$I$6)),"x",""))</f>
        <v/>
      </c>
      <c r="U1349" s="51" t="str">
        <f>IF(AND(L1349="154",'154'!$O$5&lt;=B1349,'154'!$P$5&gt;=B1349),"154",IF(AND(L1349="632",'632'!$L$5&lt;=B1349,'632'!$M$5&gt;=B1349),"632",IF(AND(L1349="642",'642'!$N$5&lt;=B1349,'642'!$O$5&gt;=B1349),"642",IF(AND(L1349="641",'641'!$N$5&lt;=B1349,'641'!$O$5&gt;=B1349),"641",""))))</f>
        <v/>
      </c>
      <c r="V1349" s="51" t="str">
        <f>IF(OR(TH!L1349=TH!$V$7,M1349=TH!$V$7),"x","")</f>
        <v/>
      </c>
      <c r="W1349" s="51" t="str">
        <f>IF(AND(B1349&gt;='IN-NX'!$P$3,B1349&lt;='IN-NX'!$Q$3,'IN-NX'!$D$7=D1349,OR(LEFT(L1349,2)="15",AND(LEFT(M1349,2)&lt;&gt;"15",LEFT(M1349,2)&lt;&gt;"33"))),"x","")</f>
        <v/>
      </c>
      <c r="X1349" s="51" t="str">
        <f>IF(AND(OR(LEFT(TH!L1349,2)="15",LEFT(TH!M1349,2)="15"),'152-CT'!$J$8=TH!F1349),"x","")</f>
        <v/>
      </c>
      <c r="Y1349" s="51" t="str">
        <f>IF(AND(OR(LEFT(TH!L1349,2)="15",LEFT(TH!M1349,2)="15"),TK!$E$7=TH!F1349),"x","")</f>
        <v/>
      </c>
      <c r="Z1349" s="51" t="str">
        <f>IF(AND(B1349&lt;=NKC!$N$8,B1349&gt;=NKC!$M$8),"x","")</f>
        <v/>
      </c>
      <c r="AA1349" s="803"/>
      <c r="AB1349" s="565"/>
    </row>
    <row r="1350" spans="1:28" ht="15.75" customHeight="1">
      <c r="A1350" s="804" t="str">
        <f>IF(B1350&lt;&gt;"",IF(AND(B1350&gt;=_TM1,B1350&lt;=_TM2,OR(TH!L1350="1111",TH!M1350="1111")),TH!D1350,""),"")</f>
        <v/>
      </c>
      <c r="B1350" s="36">
        <f t="shared" si="85"/>
        <v>12</v>
      </c>
      <c r="C1350" s="189">
        <f t="shared" si="86"/>
        <v>42363</v>
      </c>
      <c r="D1350" s="182" t="s">
        <v>1517</v>
      </c>
      <c r="E1350" s="189">
        <v>42363</v>
      </c>
      <c r="F1350" s="926" t="s">
        <v>1145</v>
      </c>
      <c r="G1350" s="813" t="s">
        <v>622</v>
      </c>
      <c r="H1350" s="191" t="s">
        <v>904</v>
      </c>
      <c r="I1350" s="243">
        <v>14</v>
      </c>
      <c r="J1350" s="243">
        <v>57615</v>
      </c>
      <c r="K1350" s="573">
        <f t="shared" si="88"/>
        <v>806610</v>
      </c>
      <c r="L1350" s="574" t="s">
        <v>417</v>
      </c>
      <c r="M1350" s="574" t="s">
        <v>8</v>
      </c>
      <c r="N1350" s="51" t="str">
        <f>IF(AND('331-CT'!$E$7=TH!H1350,OR(L1350="331",M1350="331")),"331",IF(AND(OR(L1350="131",M1350="131"),H1350='131-CT'!$E$7),"131",""))</f>
        <v/>
      </c>
      <c r="O1350" s="51" t="str">
        <f>IF(AND($B1350&gt;='111'!$N$11,$B1350&lt;='111'!$O$11,OR($L1350=$O$7,$M1350=$O$7)),"x","")</f>
        <v/>
      </c>
      <c r="P1350" s="51" t="str">
        <f>IF(AND($L1350=$O$7,$B1350&lt;'111'!$N$11),"x","")</f>
        <v/>
      </c>
      <c r="Q1350" s="51" t="str">
        <f>IF(AND($M1350=$O$7,$B1350&lt;'111'!$N$11),"x","")</f>
        <v/>
      </c>
      <c r="R1350" s="51" t="str">
        <f>IF(ISERROR(FIND('112'!$M$9,G1350,1)),"",IF((AND(FIND('112'!$M$9,G1350,1)&gt;=1,$B1350&gt;='112'!$N$8,$B1350&lt;='112'!$O$8,OR($L1350='112'!$I$6,$M1350='112'!$I$6))),"x",""))</f>
        <v/>
      </c>
      <c r="S1350" s="51" t="str">
        <f>IF(ISERROR(FIND('112'!$M$9,G1350,1)),"",IF((AND(LEFT(G1350,2)=LEFT('112'!$M$9,2),B1350&lt;'112'!$N$8,$L1350='112'!$I$6)),"x",""))</f>
        <v/>
      </c>
      <c r="T1350" s="51" t="str">
        <f>IF(ISERROR(FIND('112'!$M$9,G1350,1)),"",IF((AND(RIGHT(G1350,2)=RIGHT('112'!$M$9,2),B1350&lt;'112'!$N$8,$M1350='112'!$I$6)),"x",""))</f>
        <v/>
      </c>
      <c r="U1350" s="51" t="str">
        <f>IF(AND(L1350="154",'154'!$O$5&lt;=B1350,'154'!$P$5&gt;=B1350),"154",IF(AND(L1350="632",'632'!$L$5&lt;=B1350,'632'!$M$5&gt;=B1350),"632",IF(AND(L1350="642",'642'!$N$5&lt;=B1350,'642'!$O$5&gt;=B1350),"642",IF(AND(L1350="641",'641'!$N$5&lt;=B1350,'641'!$O$5&gt;=B1350),"641",""))))</f>
        <v/>
      </c>
      <c r="V1350" s="51" t="str">
        <f>IF(OR(TH!L1350=TH!$V$7,M1350=TH!$V$7),"x","")</f>
        <v/>
      </c>
      <c r="W1350" s="51" t="str">
        <f>IF(AND(B1350&gt;='IN-NX'!$P$3,B1350&lt;='IN-NX'!$Q$3,'IN-NX'!$D$7=D1350,OR(LEFT(L1350,2)="15",AND(LEFT(M1350,2)&lt;&gt;"15",LEFT(M1350,2)&lt;&gt;"33"))),"x","")</f>
        <v/>
      </c>
      <c r="X1350" s="51" t="str">
        <f>IF(AND(OR(LEFT(TH!L1350,2)="15",LEFT(TH!M1350,2)="15"),'152-CT'!$J$8=TH!F1350),"x","")</f>
        <v/>
      </c>
      <c r="Y1350" s="51" t="str">
        <f>IF(AND(OR(LEFT(TH!L1350,2)="15",LEFT(TH!M1350,2)="15"),TK!$E$7=TH!F1350),"x","")</f>
        <v/>
      </c>
      <c r="Z1350" s="51" t="str">
        <f>IF(AND(B1350&lt;=NKC!$N$8,B1350&gt;=NKC!$M$8),"x","")</f>
        <v/>
      </c>
      <c r="AA1350" s="803"/>
      <c r="AB1350" s="565"/>
    </row>
    <row r="1351" spans="1:28" ht="15.75" customHeight="1">
      <c r="A1351" s="804" t="str">
        <f>IF(B1351&lt;&gt;"",IF(AND(B1351&gt;=_TM1,B1351&lt;=_TM2,OR(TH!L1351="1111",TH!M1351="1111")),TH!D1351,""),"")</f>
        <v/>
      </c>
      <c r="B1351" s="36">
        <f t="shared" si="85"/>
        <v>12</v>
      </c>
      <c r="C1351" s="189">
        <f t="shared" si="86"/>
        <v>42363</v>
      </c>
      <c r="D1351" s="182" t="s">
        <v>1517</v>
      </c>
      <c r="E1351" s="189">
        <v>42363</v>
      </c>
      <c r="F1351" s="926" t="s">
        <v>1146</v>
      </c>
      <c r="G1351" s="813" t="s">
        <v>622</v>
      </c>
      <c r="H1351" s="191" t="s">
        <v>904</v>
      </c>
      <c r="I1351" s="243">
        <v>18</v>
      </c>
      <c r="J1351" s="243">
        <v>45666</v>
      </c>
      <c r="K1351" s="573">
        <f t="shared" si="88"/>
        <v>821988</v>
      </c>
      <c r="L1351" s="574" t="s">
        <v>417</v>
      </c>
      <c r="M1351" s="574" t="s">
        <v>8</v>
      </c>
      <c r="N1351" s="51" t="str">
        <f>IF(AND('331-CT'!$E$7=TH!H1351,OR(L1351="331",M1351="331")),"331",IF(AND(OR(L1351="131",M1351="131"),H1351='131-CT'!$E$7),"131",""))</f>
        <v/>
      </c>
      <c r="O1351" s="51" t="str">
        <f>IF(AND($B1351&gt;='111'!$N$11,$B1351&lt;='111'!$O$11,OR($L1351=$O$7,$M1351=$O$7)),"x","")</f>
        <v/>
      </c>
      <c r="P1351" s="51" t="str">
        <f>IF(AND($L1351=$O$7,$B1351&lt;'111'!$N$11),"x","")</f>
        <v/>
      </c>
      <c r="Q1351" s="51" t="str">
        <f>IF(AND($M1351=$O$7,$B1351&lt;'111'!$N$11),"x","")</f>
        <v/>
      </c>
      <c r="R1351" s="51" t="str">
        <f>IF(ISERROR(FIND('112'!$M$9,G1351,1)),"",IF((AND(FIND('112'!$M$9,G1351,1)&gt;=1,$B1351&gt;='112'!$N$8,$B1351&lt;='112'!$O$8,OR($L1351='112'!$I$6,$M1351='112'!$I$6))),"x",""))</f>
        <v/>
      </c>
      <c r="S1351" s="51" t="str">
        <f>IF(ISERROR(FIND('112'!$M$9,G1351,1)),"",IF((AND(LEFT(G1351,2)=LEFT('112'!$M$9,2),B1351&lt;'112'!$N$8,$L1351='112'!$I$6)),"x",""))</f>
        <v/>
      </c>
      <c r="T1351" s="51" t="str">
        <f>IF(ISERROR(FIND('112'!$M$9,G1351,1)),"",IF((AND(RIGHT(G1351,2)=RIGHT('112'!$M$9,2),B1351&lt;'112'!$N$8,$M1351='112'!$I$6)),"x",""))</f>
        <v/>
      </c>
      <c r="U1351" s="51" t="str">
        <f>IF(AND(L1351="154",'154'!$O$5&lt;=B1351,'154'!$P$5&gt;=B1351),"154",IF(AND(L1351="632",'632'!$L$5&lt;=B1351,'632'!$M$5&gt;=B1351),"632",IF(AND(L1351="642",'642'!$N$5&lt;=B1351,'642'!$O$5&gt;=B1351),"642",IF(AND(L1351="641",'641'!$N$5&lt;=B1351,'641'!$O$5&gt;=B1351),"641",""))))</f>
        <v/>
      </c>
      <c r="V1351" s="51" t="str">
        <f>IF(OR(TH!L1351=TH!$V$7,M1351=TH!$V$7),"x","")</f>
        <v/>
      </c>
      <c r="W1351" s="51" t="str">
        <f>IF(AND(B1351&gt;='IN-NX'!$P$3,B1351&lt;='IN-NX'!$Q$3,'IN-NX'!$D$7=D1351,OR(LEFT(L1351,2)="15",AND(LEFT(M1351,2)&lt;&gt;"15",LEFT(M1351,2)&lt;&gt;"33"))),"x","")</f>
        <v/>
      </c>
      <c r="X1351" s="51" t="str">
        <f>IF(AND(OR(LEFT(TH!L1351,2)="15",LEFT(TH!M1351,2)="15"),'152-CT'!$J$8=TH!F1351),"x","")</f>
        <v/>
      </c>
      <c r="Y1351" s="51" t="str">
        <f>IF(AND(OR(LEFT(TH!L1351,2)="15",LEFT(TH!M1351,2)="15"),TK!$E$7=TH!F1351),"x","")</f>
        <v/>
      </c>
      <c r="Z1351" s="51" t="str">
        <f>IF(AND(B1351&lt;=NKC!$N$8,B1351&gt;=NKC!$M$8),"x","")</f>
        <v/>
      </c>
      <c r="AA1351" s="803"/>
      <c r="AB1351" s="565"/>
    </row>
    <row r="1352" spans="1:28" ht="15.75" customHeight="1">
      <c r="A1352" s="804" t="str">
        <f>IF(B1352&lt;&gt;"",IF(AND(B1352&gt;=_TM1,B1352&lt;=_TM2,OR(TH!L1352="1111",TH!M1352="1111")),TH!D1352,""),"")</f>
        <v/>
      </c>
      <c r="B1352" s="36">
        <f t="shared" si="85"/>
        <v>12</v>
      </c>
      <c r="C1352" s="189">
        <f t="shared" si="86"/>
        <v>42363</v>
      </c>
      <c r="D1352" s="182" t="s">
        <v>1517</v>
      </c>
      <c r="E1352" s="189">
        <v>42363</v>
      </c>
      <c r="F1352" s="926" t="s">
        <v>1146</v>
      </c>
      <c r="G1352" s="813" t="s">
        <v>622</v>
      </c>
      <c r="H1352" s="191" t="s">
        <v>904</v>
      </c>
      <c r="I1352" s="243">
        <v>18</v>
      </c>
      <c r="J1352" s="243">
        <v>45666</v>
      </c>
      <c r="K1352" s="573">
        <f t="shared" si="88"/>
        <v>821988</v>
      </c>
      <c r="L1352" s="574" t="s">
        <v>417</v>
      </c>
      <c r="M1352" s="574" t="s">
        <v>8</v>
      </c>
      <c r="N1352" s="51" t="str">
        <f>IF(AND('331-CT'!$E$7=TH!H1352,OR(L1352="331",M1352="331")),"331",IF(AND(OR(L1352="131",M1352="131"),H1352='131-CT'!$E$7),"131",""))</f>
        <v/>
      </c>
      <c r="O1352" s="51" t="str">
        <f>IF(AND($B1352&gt;='111'!$N$11,$B1352&lt;='111'!$O$11,OR($L1352=$O$7,$M1352=$O$7)),"x","")</f>
        <v/>
      </c>
      <c r="P1352" s="51" t="str">
        <f>IF(AND($L1352=$O$7,$B1352&lt;'111'!$N$11),"x","")</f>
        <v/>
      </c>
      <c r="Q1352" s="51" t="str">
        <f>IF(AND($M1352=$O$7,$B1352&lt;'111'!$N$11),"x","")</f>
        <v/>
      </c>
      <c r="R1352" s="51" t="str">
        <f>IF(ISERROR(FIND('112'!$M$9,G1352,1)),"",IF((AND(FIND('112'!$M$9,G1352,1)&gt;=1,$B1352&gt;='112'!$N$8,$B1352&lt;='112'!$O$8,OR($L1352='112'!$I$6,$M1352='112'!$I$6))),"x",""))</f>
        <v/>
      </c>
      <c r="S1352" s="51" t="str">
        <f>IF(ISERROR(FIND('112'!$M$9,G1352,1)),"",IF((AND(LEFT(G1352,2)=LEFT('112'!$M$9,2),B1352&lt;'112'!$N$8,$L1352='112'!$I$6)),"x",""))</f>
        <v/>
      </c>
      <c r="T1352" s="51" t="str">
        <f>IF(ISERROR(FIND('112'!$M$9,G1352,1)),"",IF((AND(RIGHT(G1352,2)=RIGHT('112'!$M$9,2),B1352&lt;'112'!$N$8,$M1352='112'!$I$6)),"x",""))</f>
        <v/>
      </c>
      <c r="U1352" s="51" t="str">
        <f>IF(AND(L1352="154",'154'!$O$5&lt;=B1352,'154'!$P$5&gt;=B1352),"154",IF(AND(L1352="632",'632'!$L$5&lt;=B1352,'632'!$M$5&gt;=B1352),"632",IF(AND(L1352="642",'642'!$N$5&lt;=B1352,'642'!$O$5&gt;=B1352),"642",IF(AND(L1352="641",'641'!$N$5&lt;=B1352,'641'!$O$5&gt;=B1352),"641",""))))</f>
        <v/>
      </c>
      <c r="V1352" s="51" t="str">
        <f>IF(OR(TH!L1352=TH!$V$7,M1352=TH!$V$7),"x","")</f>
        <v/>
      </c>
      <c r="W1352" s="51" t="str">
        <f>IF(AND(B1352&gt;='IN-NX'!$P$3,B1352&lt;='IN-NX'!$Q$3,'IN-NX'!$D$7=D1352,OR(LEFT(L1352,2)="15",AND(LEFT(M1352,2)&lt;&gt;"15",LEFT(M1352,2)&lt;&gt;"33"))),"x","")</f>
        <v/>
      </c>
      <c r="X1352" s="51" t="str">
        <f>IF(AND(OR(LEFT(TH!L1352,2)="15",LEFT(TH!M1352,2)="15"),'152-CT'!$J$8=TH!F1352),"x","")</f>
        <v/>
      </c>
      <c r="Y1352" s="51" t="str">
        <f>IF(AND(OR(LEFT(TH!L1352,2)="15",LEFT(TH!M1352,2)="15"),TK!$E$7=TH!F1352),"x","")</f>
        <v/>
      </c>
      <c r="Z1352" s="51" t="str">
        <f>IF(AND(B1352&lt;=NKC!$N$8,B1352&gt;=NKC!$M$8),"x","")</f>
        <v/>
      </c>
      <c r="AA1352" s="803"/>
      <c r="AB1352" s="565"/>
    </row>
    <row r="1353" spans="1:28" ht="15.75" customHeight="1">
      <c r="A1353" s="804" t="str">
        <f>IF(B1353&lt;&gt;"",IF(AND(B1353&gt;=_TM1,B1353&lt;=_TM2,OR(TH!L1353="1111",TH!M1353="1111")),TH!D1353,""),"")</f>
        <v/>
      </c>
      <c r="B1353" s="36">
        <f t="shared" si="85"/>
        <v>12</v>
      </c>
      <c r="C1353" s="189">
        <f t="shared" si="86"/>
        <v>42363</v>
      </c>
      <c r="D1353" s="182" t="s">
        <v>1517</v>
      </c>
      <c r="E1353" s="189">
        <v>42363</v>
      </c>
      <c r="F1353" s="926" t="s">
        <v>1147</v>
      </c>
      <c r="G1353" s="813" t="s">
        <v>622</v>
      </c>
      <c r="H1353" s="191" t="s">
        <v>904</v>
      </c>
      <c r="I1353" s="243">
        <v>62</v>
      </c>
      <c r="J1353" s="243">
        <v>30875</v>
      </c>
      <c r="K1353" s="573">
        <f t="shared" si="88"/>
        <v>1914250</v>
      </c>
      <c r="L1353" s="574" t="s">
        <v>417</v>
      </c>
      <c r="M1353" s="574" t="s">
        <v>8</v>
      </c>
      <c r="N1353" s="51" t="str">
        <f>IF(AND('331-CT'!$E$7=TH!H1353,OR(L1353="331",M1353="331")),"331",IF(AND(OR(L1353="131",M1353="131"),H1353='131-CT'!$E$7),"131",""))</f>
        <v/>
      </c>
      <c r="O1353" s="51" t="str">
        <f>IF(AND($B1353&gt;='111'!$N$11,$B1353&lt;='111'!$O$11,OR($L1353=$O$7,$M1353=$O$7)),"x","")</f>
        <v/>
      </c>
      <c r="P1353" s="51" t="str">
        <f>IF(AND($L1353=$O$7,$B1353&lt;'111'!$N$11),"x","")</f>
        <v/>
      </c>
      <c r="Q1353" s="51" t="str">
        <f>IF(AND($M1353=$O$7,$B1353&lt;'111'!$N$11),"x","")</f>
        <v/>
      </c>
      <c r="R1353" s="51" t="str">
        <f>IF(ISERROR(FIND('112'!$M$9,G1353,1)),"",IF((AND(FIND('112'!$M$9,G1353,1)&gt;=1,$B1353&gt;='112'!$N$8,$B1353&lt;='112'!$O$8,OR($L1353='112'!$I$6,$M1353='112'!$I$6))),"x",""))</f>
        <v/>
      </c>
      <c r="S1353" s="51" t="str">
        <f>IF(ISERROR(FIND('112'!$M$9,G1353,1)),"",IF((AND(LEFT(G1353,2)=LEFT('112'!$M$9,2),B1353&lt;'112'!$N$8,$L1353='112'!$I$6)),"x",""))</f>
        <v/>
      </c>
      <c r="T1353" s="51" t="str">
        <f>IF(ISERROR(FIND('112'!$M$9,G1353,1)),"",IF((AND(RIGHT(G1353,2)=RIGHT('112'!$M$9,2),B1353&lt;'112'!$N$8,$M1353='112'!$I$6)),"x",""))</f>
        <v/>
      </c>
      <c r="U1353" s="51" t="str">
        <f>IF(AND(L1353="154",'154'!$O$5&lt;=B1353,'154'!$P$5&gt;=B1353),"154",IF(AND(L1353="632",'632'!$L$5&lt;=B1353,'632'!$M$5&gt;=B1353),"632",IF(AND(L1353="642",'642'!$N$5&lt;=B1353,'642'!$O$5&gt;=B1353),"642",IF(AND(L1353="641",'641'!$N$5&lt;=B1353,'641'!$O$5&gt;=B1353),"641",""))))</f>
        <v/>
      </c>
      <c r="V1353" s="51" t="str">
        <f>IF(OR(TH!L1353=TH!$V$7,M1353=TH!$V$7),"x","")</f>
        <v/>
      </c>
      <c r="W1353" s="51" t="str">
        <f>IF(AND(B1353&gt;='IN-NX'!$P$3,B1353&lt;='IN-NX'!$Q$3,'IN-NX'!$D$7=D1353,OR(LEFT(L1353,2)="15",AND(LEFT(M1353,2)&lt;&gt;"15",LEFT(M1353,2)&lt;&gt;"33"))),"x","")</f>
        <v/>
      </c>
      <c r="X1353" s="51" t="str">
        <f>IF(AND(OR(LEFT(TH!L1353,2)="15",LEFT(TH!M1353,2)="15"),'152-CT'!$J$8=TH!F1353),"x","")</f>
        <v/>
      </c>
      <c r="Y1353" s="51" t="str">
        <f>IF(AND(OR(LEFT(TH!L1353,2)="15",LEFT(TH!M1353,2)="15"),TK!$E$7=TH!F1353),"x","")</f>
        <v/>
      </c>
      <c r="Z1353" s="51" t="str">
        <f>IF(AND(B1353&lt;=NKC!$N$8,B1353&gt;=NKC!$M$8),"x","")</f>
        <v/>
      </c>
      <c r="AA1353" s="803"/>
      <c r="AB1353" s="565"/>
    </row>
    <row r="1354" spans="1:28" ht="15.75" customHeight="1">
      <c r="A1354" s="804" t="str">
        <f>IF(B1354&lt;&gt;"",IF(AND(B1354&gt;=_TM1,B1354&lt;=_TM2,OR(TH!L1354="1111",TH!M1354="1111")),TH!D1354,""),"")</f>
        <v/>
      </c>
      <c r="B1354" s="36">
        <f t="shared" si="85"/>
        <v>12</v>
      </c>
      <c r="C1354" s="189">
        <f t="shared" si="86"/>
        <v>42363</v>
      </c>
      <c r="D1354" s="182" t="s">
        <v>1518</v>
      </c>
      <c r="E1354" s="189">
        <v>42363</v>
      </c>
      <c r="F1354" s="926" t="s">
        <v>1148</v>
      </c>
      <c r="G1354" s="813" t="s">
        <v>622</v>
      </c>
      <c r="H1354" s="191" t="s">
        <v>904</v>
      </c>
      <c r="I1354" s="243">
        <v>12</v>
      </c>
      <c r="J1354" s="243">
        <v>30031</v>
      </c>
      <c r="K1354" s="573">
        <f t="shared" si="88"/>
        <v>360372</v>
      </c>
      <c r="L1354" s="574" t="s">
        <v>417</v>
      </c>
      <c r="M1354" s="574" t="s">
        <v>8</v>
      </c>
      <c r="N1354" s="51" t="str">
        <f>IF(AND('331-CT'!$E$7=TH!H1354,OR(L1354="331",M1354="331")),"331",IF(AND(OR(L1354="131",M1354="131"),H1354='131-CT'!$E$7),"131",""))</f>
        <v/>
      </c>
      <c r="O1354" s="51" t="str">
        <f>IF(AND($B1354&gt;='111'!$N$11,$B1354&lt;='111'!$O$11,OR($L1354=$O$7,$M1354=$O$7)),"x","")</f>
        <v/>
      </c>
      <c r="P1354" s="51" t="str">
        <f>IF(AND($L1354=$O$7,$B1354&lt;'111'!$N$11),"x","")</f>
        <v/>
      </c>
      <c r="Q1354" s="51" t="str">
        <f>IF(AND($M1354=$O$7,$B1354&lt;'111'!$N$11),"x","")</f>
        <v/>
      </c>
      <c r="R1354" s="51" t="str">
        <f>IF(ISERROR(FIND('112'!$M$9,G1354,1)),"",IF((AND(FIND('112'!$M$9,G1354,1)&gt;=1,$B1354&gt;='112'!$N$8,$B1354&lt;='112'!$O$8,OR($L1354='112'!$I$6,$M1354='112'!$I$6))),"x",""))</f>
        <v/>
      </c>
      <c r="S1354" s="51" t="str">
        <f>IF(ISERROR(FIND('112'!$M$9,G1354,1)),"",IF((AND(LEFT(G1354,2)=LEFT('112'!$M$9,2),B1354&lt;'112'!$N$8,$L1354='112'!$I$6)),"x",""))</f>
        <v/>
      </c>
      <c r="T1354" s="51" t="str">
        <f>IF(ISERROR(FIND('112'!$M$9,G1354,1)),"",IF((AND(RIGHT(G1354,2)=RIGHT('112'!$M$9,2),B1354&lt;'112'!$N$8,$M1354='112'!$I$6)),"x",""))</f>
        <v/>
      </c>
      <c r="U1354" s="51" t="str">
        <f>IF(AND(L1354="154",'154'!$O$5&lt;=B1354,'154'!$P$5&gt;=B1354),"154",IF(AND(L1354="632",'632'!$L$5&lt;=B1354,'632'!$M$5&gt;=B1354),"632",IF(AND(L1354="642",'642'!$N$5&lt;=B1354,'642'!$O$5&gt;=B1354),"642",IF(AND(L1354="641",'641'!$N$5&lt;=B1354,'641'!$O$5&gt;=B1354),"641",""))))</f>
        <v/>
      </c>
      <c r="V1354" s="51" t="str">
        <f>IF(OR(TH!L1354=TH!$V$7,M1354=TH!$V$7),"x","")</f>
        <v/>
      </c>
      <c r="W1354" s="51" t="str">
        <f>IF(AND(B1354&gt;='IN-NX'!$P$3,B1354&lt;='IN-NX'!$Q$3,'IN-NX'!$D$7=D1354,OR(LEFT(L1354,2)="15",AND(LEFT(M1354,2)&lt;&gt;"15",LEFT(M1354,2)&lt;&gt;"33"))),"x","")</f>
        <v/>
      </c>
      <c r="X1354" s="51" t="str">
        <f>IF(AND(OR(LEFT(TH!L1354,2)="15",LEFT(TH!M1354,2)="15"),'152-CT'!$J$8=TH!F1354),"x","")</f>
        <v/>
      </c>
      <c r="Y1354" s="51" t="str">
        <f>IF(AND(OR(LEFT(TH!L1354,2)="15",LEFT(TH!M1354,2)="15"),TK!$E$7=TH!F1354),"x","")</f>
        <v/>
      </c>
      <c r="Z1354" s="51" t="str">
        <f>IF(AND(B1354&lt;=NKC!$N$8,B1354&gt;=NKC!$M$8),"x","")</f>
        <v/>
      </c>
      <c r="AA1354" s="803"/>
      <c r="AB1354" s="565"/>
    </row>
    <row r="1355" spans="1:28" ht="15.75" customHeight="1">
      <c r="A1355" s="804" t="str">
        <f>IF(B1355&lt;&gt;"",IF(AND(B1355&gt;=_TM1,B1355&lt;=_TM2,OR(TH!L1355="1111",TH!M1355="1111")),TH!D1355,""),"")</f>
        <v/>
      </c>
      <c r="B1355" s="36">
        <f t="shared" si="85"/>
        <v>12</v>
      </c>
      <c r="C1355" s="189">
        <f t="shared" si="86"/>
        <v>42363</v>
      </c>
      <c r="D1355" s="182" t="s">
        <v>1518</v>
      </c>
      <c r="E1355" s="189">
        <v>42363</v>
      </c>
      <c r="F1355" s="187" t="s">
        <v>1149</v>
      </c>
      <c r="G1355" s="813" t="s">
        <v>622</v>
      </c>
      <c r="H1355" s="191" t="s">
        <v>904</v>
      </c>
      <c r="I1355" s="243">
        <v>6</v>
      </c>
      <c r="J1355" s="243">
        <v>34271</v>
      </c>
      <c r="K1355" s="573">
        <f t="shared" si="88"/>
        <v>205626</v>
      </c>
      <c r="L1355" s="574" t="s">
        <v>417</v>
      </c>
      <c r="M1355" s="574" t="s">
        <v>8</v>
      </c>
      <c r="N1355" s="51" t="str">
        <f>IF(AND('331-CT'!$E$7=TH!H1355,OR(L1355="331",M1355="331")),"331",IF(AND(OR(L1355="131",M1355="131"),H1355='131-CT'!$E$7),"131",""))</f>
        <v/>
      </c>
      <c r="O1355" s="51" t="str">
        <f>IF(AND($B1355&gt;='111'!$N$11,$B1355&lt;='111'!$O$11,OR($L1355=$O$7,$M1355=$O$7)),"x","")</f>
        <v/>
      </c>
      <c r="P1355" s="51" t="str">
        <f>IF(AND($L1355=$O$7,$B1355&lt;'111'!$N$11),"x","")</f>
        <v/>
      </c>
      <c r="Q1355" s="51" t="str">
        <f>IF(AND($M1355=$O$7,$B1355&lt;'111'!$N$11),"x","")</f>
        <v/>
      </c>
      <c r="R1355" s="51" t="str">
        <f>IF(ISERROR(FIND('112'!$M$9,G1355,1)),"",IF((AND(FIND('112'!$M$9,G1355,1)&gt;=1,$B1355&gt;='112'!$N$8,$B1355&lt;='112'!$O$8,OR($L1355='112'!$I$6,$M1355='112'!$I$6))),"x",""))</f>
        <v/>
      </c>
      <c r="S1355" s="51" t="str">
        <f>IF(ISERROR(FIND('112'!$M$9,G1355,1)),"",IF((AND(LEFT(G1355,2)=LEFT('112'!$M$9,2),B1355&lt;'112'!$N$8,$L1355='112'!$I$6)),"x",""))</f>
        <v/>
      </c>
      <c r="T1355" s="51" t="str">
        <f>IF(ISERROR(FIND('112'!$M$9,G1355,1)),"",IF((AND(RIGHT(G1355,2)=RIGHT('112'!$M$9,2),B1355&lt;'112'!$N$8,$M1355='112'!$I$6)),"x",""))</f>
        <v/>
      </c>
      <c r="U1355" s="51" t="str">
        <f>IF(AND(L1355="154",'154'!$O$5&lt;=B1355,'154'!$P$5&gt;=B1355),"154",IF(AND(L1355="632",'632'!$L$5&lt;=B1355,'632'!$M$5&gt;=B1355),"632",IF(AND(L1355="642",'642'!$N$5&lt;=B1355,'642'!$O$5&gt;=B1355),"642",IF(AND(L1355="641",'641'!$N$5&lt;=B1355,'641'!$O$5&gt;=B1355),"641",""))))</f>
        <v/>
      </c>
      <c r="V1355" s="51" t="str">
        <f>IF(OR(TH!L1355=TH!$V$7,M1355=TH!$V$7),"x","")</f>
        <v/>
      </c>
      <c r="W1355" s="51" t="str">
        <f>IF(AND(B1355&gt;='IN-NX'!$P$3,B1355&lt;='IN-NX'!$Q$3,'IN-NX'!$D$7=D1355,OR(LEFT(L1355,2)="15",AND(LEFT(M1355,2)&lt;&gt;"15",LEFT(M1355,2)&lt;&gt;"33"))),"x","")</f>
        <v/>
      </c>
      <c r="X1355" s="51" t="str">
        <f>IF(AND(OR(LEFT(TH!L1355,2)="15",LEFT(TH!M1355,2)="15"),'152-CT'!$J$8=TH!F1355),"x","")</f>
        <v/>
      </c>
      <c r="Y1355" s="51" t="str">
        <f>IF(AND(OR(LEFT(TH!L1355,2)="15",LEFT(TH!M1355,2)="15"),TK!$E$7=TH!F1355),"x","")</f>
        <v/>
      </c>
      <c r="Z1355" s="51" t="str">
        <f>IF(AND(B1355&lt;=NKC!$N$8,B1355&gt;=NKC!$M$8),"x","")</f>
        <v/>
      </c>
      <c r="AA1355" s="803"/>
      <c r="AB1355" s="565"/>
    </row>
    <row r="1356" spans="1:28" ht="15.75" customHeight="1">
      <c r="A1356" s="804" t="str">
        <f>IF(B1356&lt;&gt;"",IF(AND(B1356&gt;=_TM1,B1356&lt;=_TM2,OR(TH!L1356="1111",TH!M1356="1111")),TH!D1356,""),"")</f>
        <v/>
      </c>
      <c r="B1356" s="36">
        <f t="shared" si="85"/>
        <v>12</v>
      </c>
      <c r="C1356" s="189">
        <f t="shared" si="86"/>
        <v>42363</v>
      </c>
      <c r="D1356" s="182" t="s">
        <v>1518</v>
      </c>
      <c r="E1356" s="189">
        <v>42363</v>
      </c>
      <c r="F1356" s="187" t="s">
        <v>1150</v>
      </c>
      <c r="G1356" s="813" t="s">
        <v>622</v>
      </c>
      <c r="H1356" s="191" t="s">
        <v>904</v>
      </c>
      <c r="I1356" s="243">
        <v>8</v>
      </c>
      <c r="J1356" s="243">
        <v>38009</v>
      </c>
      <c r="K1356" s="573">
        <f t="shared" si="88"/>
        <v>304072</v>
      </c>
      <c r="L1356" s="574" t="s">
        <v>417</v>
      </c>
      <c r="M1356" s="574" t="s">
        <v>8</v>
      </c>
      <c r="N1356" s="51" t="str">
        <f>IF(AND('331-CT'!$E$7=TH!H1356,OR(L1356="331",M1356="331")),"331",IF(AND(OR(L1356="131",M1356="131"),H1356='131-CT'!$E$7),"131",""))</f>
        <v/>
      </c>
      <c r="O1356" s="51" t="str">
        <f>IF(AND($B1356&gt;='111'!$N$11,$B1356&lt;='111'!$O$11,OR($L1356=$O$7,$M1356=$O$7)),"x","")</f>
        <v/>
      </c>
      <c r="P1356" s="51" t="str">
        <f>IF(AND($L1356=$O$7,$B1356&lt;'111'!$N$11),"x","")</f>
        <v/>
      </c>
      <c r="Q1356" s="51" t="str">
        <f>IF(AND($M1356=$O$7,$B1356&lt;'111'!$N$11),"x","")</f>
        <v/>
      </c>
      <c r="R1356" s="51" t="str">
        <f>IF(ISERROR(FIND('112'!$M$9,G1356,1)),"",IF((AND(FIND('112'!$M$9,G1356,1)&gt;=1,$B1356&gt;='112'!$N$8,$B1356&lt;='112'!$O$8,OR($L1356='112'!$I$6,$M1356='112'!$I$6))),"x",""))</f>
        <v/>
      </c>
      <c r="S1356" s="51" t="str">
        <f>IF(ISERROR(FIND('112'!$M$9,G1356,1)),"",IF((AND(LEFT(G1356,2)=LEFT('112'!$M$9,2),B1356&lt;'112'!$N$8,$L1356='112'!$I$6)),"x",""))</f>
        <v/>
      </c>
      <c r="T1356" s="51" t="str">
        <f>IF(ISERROR(FIND('112'!$M$9,G1356,1)),"",IF((AND(RIGHT(G1356,2)=RIGHT('112'!$M$9,2),B1356&lt;'112'!$N$8,$M1356='112'!$I$6)),"x",""))</f>
        <v/>
      </c>
      <c r="U1356" s="51" t="str">
        <f>IF(AND(L1356="154",'154'!$O$5&lt;=B1356,'154'!$P$5&gt;=B1356),"154",IF(AND(L1356="632",'632'!$L$5&lt;=B1356,'632'!$M$5&gt;=B1356),"632",IF(AND(L1356="642",'642'!$N$5&lt;=B1356,'642'!$O$5&gt;=B1356),"642",IF(AND(L1356="641",'641'!$N$5&lt;=B1356,'641'!$O$5&gt;=B1356),"641",""))))</f>
        <v/>
      </c>
      <c r="V1356" s="51" t="str">
        <f>IF(OR(TH!L1356=TH!$V$7,M1356=TH!$V$7),"x","")</f>
        <v/>
      </c>
      <c r="W1356" s="51" t="str">
        <f>IF(AND(B1356&gt;='IN-NX'!$P$3,B1356&lt;='IN-NX'!$Q$3,'IN-NX'!$D$7=D1356,OR(LEFT(L1356,2)="15",AND(LEFT(M1356,2)&lt;&gt;"15",LEFT(M1356,2)&lt;&gt;"33"))),"x","")</f>
        <v/>
      </c>
      <c r="X1356" s="51" t="str">
        <f>IF(AND(OR(LEFT(TH!L1356,2)="15",LEFT(TH!M1356,2)="15"),'152-CT'!$J$8=TH!F1356),"x","")</f>
        <v/>
      </c>
      <c r="Y1356" s="51" t="str">
        <f>IF(AND(OR(LEFT(TH!L1356,2)="15",LEFT(TH!M1356,2)="15"),TK!$E$7=TH!F1356),"x","")</f>
        <v/>
      </c>
      <c r="Z1356" s="51" t="str">
        <f>IF(AND(B1356&lt;=NKC!$N$8,B1356&gt;=NKC!$M$8),"x","")</f>
        <v/>
      </c>
      <c r="AA1356" s="803"/>
      <c r="AB1356" s="565"/>
    </row>
    <row r="1357" spans="1:28" ht="15.75" customHeight="1">
      <c r="A1357" s="804" t="str">
        <f>IF(B1357&lt;&gt;"",IF(AND(B1357&gt;=_TM1,B1357&lt;=_TM2,OR(TH!L1357="1111",TH!M1357="1111")),TH!D1357,""),"")</f>
        <v/>
      </c>
      <c r="B1357" s="36">
        <f t="shared" si="85"/>
        <v>12</v>
      </c>
      <c r="C1357" s="189">
        <f t="shared" si="86"/>
        <v>42363</v>
      </c>
      <c r="D1357" s="182" t="s">
        <v>1518</v>
      </c>
      <c r="E1357" s="189">
        <v>42363</v>
      </c>
      <c r="F1357" s="187" t="s">
        <v>1151</v>
      </c>
      <c r="G1357" s="813" t="s">
        <v>622</v>
      </c>
      <c r="H1357" s="191" t="s">
        <v>904</v>
      </c>
      <c r="I1357" s="243">
        <v>12</v>
      </c>
      <c r="J1357" s="243">
        <v>30548</v>
      </c>
      <c r="K1357" s="573">
        <f t="shared" si="88"/>
        <v>366576</v>
      </c>
      <c r="L1357" s="574" t="s">
        <v>417</v>
      </c>
      <c r="M1357" s="574" t="s">
        <v>8</v>
      </c>
      <c r="N1357" s="51" t="str">
        <f>IF(AND('331-CT'!$E$7=TH!H1357,OR(L1357="331",M1357="331")),"331",IF(AND(OR(L1357="131",M1357="131"),H1357='131-CT'!$E$7),"131",""))</f>
        <v/>
      </c>
      <c r="O1357" s="51" t="str">
        <f>IF(AND($B1357&gt;='111'!$N$11,$B1357&lt;='111'!$O$11,OR($L1357=$O$7,$M1357=$O$7)),"x","")</f>
        <v/>
      </c>
      <c r="P1357" s="51" t="str">
        <f>IF(AND($L1357=$O$7,$B1357&lt;'111'!$N$11),"x","")</f>
        <v/>
      </c>
      <c r="Q1357" s="51" t="str">
        <f>IF(AND($M1357=$O$7,$B1357&lt;'111'!$N$11),"x","")</f>
        <v/>
      </c>
      <c r="R1357" s="51" t="str">
        <f>IF(ISERROR(FIND('112'!$M$9,G1357,1)),"",IF((AND(FIND('112'!$M$9,G1357,1)&gt;=1,$B1357&gt;='112'!$N$8,$B1357&lt;='112'!$O$8,OR($L1357='112'!$I$6,$M1357='112'!$I$6))),"x",""))</f>
        <v/>
      </c>
      <c r="S1357" s="51" t="str">
        <f>IF(ISERROR(FIND('112'!$M$9,G1357,1)),"",IF((AND(LEFT(G1357,2)=LEFT('112'!$M$9,2),B1357&lt;'112'!$N$8,$L1357='112'!$I$6)),"x",""))</f>
        <v/>
      </c>
      <c r="T1357" s="51" t="str">
        <f>IF(ISERROR(FIND('112'!$M$9,G1357,1)),"",IF((AND(RIGHT(G1357,2)=RIGHT('112'!$M$9,2),B1357&lt;'112'!$N$8,$M1357='112'!$I$6)),"x",""))</f>
        <v/>
      </c>
      <c r="U1357" s="51" t="str">
        <f>IF(AND(L1357="154",'154'!$O$5&lt;=B1357,'154'!$P$5&gt;=B1357),"154",IF(AND(L1357="632",'632'!$L$5&lt;=B1357,'632'!$M$5&gt;=B1357),"632",IF(AND(L1357="642",'642'!$N$5&lt;=B1357,'642'!$O$5&gt;=B1357),"642",IF(AND(L1357="641",'641'!$N$5&lt;=B1357,'641'!$O$5&gt;=B1357),"641",""))))</f>
        <v/>
      </c>
      <c r="V1357" s="51" t="str">
        <f>IF(OR(TH!L1357=TH!$V$7,M1357=TH!$V$7),"x","")</f>
        <v/>
      </c>
      <c r="W1357" s="51" t="str">
        <f>IF(AND(B1357&gt;='IN-NX'!$P$3,B1357&lt;='IN-NX'!$Q$3,'IN-NX'!$D$7=D1357,OR(LEFT(L1357,2)="15",AND(LEFT(M1357,2)&lt;&gt;"15",LEFT(M1357,2)&lt;&gt;"33"))),"x","")</f>
        <v/>
      </c>
      <c r="X1357" s="51" t="str">
        <f>IF(AND(OR(LEFT(TH!L1357,2)="15",LEFT(TH!M1357,2)="15"),'152-CT'!$J$8=TH!F1357),"x","")</f>
        <v/>
      </c>
      <c r="Y1357" s="51" t="str">
        <f>IF(AND(OR(LEFT(TH!L1357,2)="15",LEFT(TH!M1357,2)="15"),TK!$E$7=TH!F1357),"x","")</f>
        <v/>
      </c>
      <c r="Z1357" s="51" t="str">
        <f>IF(AND(B1357&lt;=NKC!$N$8,B1357&gt;=NKC!$M$8),"x","")</f>
        <v/>
      </c>
      <c r="AA1357" s="803"/>
      <c r="AB1357" s="565"/>
    </row>
    <row r="1358" spans="1:28" ht="15.75" customHeight="1">
      <c r="A1358" s="804" t="str">
        <f>IF(B1358&lt;&gt;"",IF(AND(B1358&gt;=_TM1,B1358&lt;=_TM2,OR(TH!L1358="1111",TH!M1358="1111")),TH!D1358,""),"")</f>
        <v/>
      </c>
      <c r="B1358" s="36">
        <f t="shared" si="85"/>
        <v>12</v>
      </c>
      <c r="C1358" s="189">
        <f t="shared" si="86"/>
        <v>42363</v>
      </c>
      <c r="D1358" s="182" t="s">
        <v>1518</v>
      </c>
      <c r="E1358" s="189">
        <v>42363</v>
      </c>
      <c r="F1358" s="187" t="s">
        <v>1152</v>
      </c>
      <c r="G1358" s="813" t="s">
        <v>622</v>
      </c>
      <c r="H1358" s="191" t="s">
        <v>904</v>
      </c>
      <c r="I1358" s="243">
        <v>12</v>
      </c>
      <c r="J1358" s="243">
        <v>25742</v>
      </c>
      <c r="K1358" s="573">
        <f t="shared" si="88"/>
        <v>308904</v>
      </c>
      <c r="L1358" s="574" t="s">
        <v>417</v>
      </c>
      <c r="M1358" s="574" t="s">
        <v>8</v>
      </c>
      <c r="N1358" s="51" t="str">
        <f>IF(AND('331-CT'!$E$7=TH!H1358,OR(L1358="331",M1358="331")),"331",IF(AND(OR(L1358="131",M1358="131"),H1358='131-CT'!$E$7),"131",""))</f>
        <v/>
      </c>
      <c r="O1358" s="51" t="str">
        <f>IF(AND($B1358&gt;='111'!$N$11,$B1358&lt;='111'!$O$11,OR($L1358=$O$7,$M1358=$O$7)),"x","")</f>
        <v/>
      </c>
      <c r="P1358" s="51" t="str">
        <f>IF(AND($L1358=$O$7,$B1358&lt;'111'!$N$11),"x","")</f>
        <v/>
      </c>
      <c r="Q1358" s="51" t="str">
        <f>IF(AND($M1358=$O$7,$B1358&lt;'111'!$N$11),"x","")</f>
        <v/>
      </c>
      <c r="R1358" s="51" t="str">
        <f>IF(ISERROR(FIND('112'!$M$9,G1358,1)),"",IF((AND(FIND('112'!$M$9,G1358,1)&gt;=1,$B1358&gt;='112'!$N$8,$B1358&lt;='112'!$O$8,OR($L1358='112'!$I$6,$M1358='112'!$I$6))),"x",""))</f>
        <v/>
      </c>
      <c r="S1358" s="51" t="str">
        <f>IF(ISERROR(FIND('112'!$M$9,G1358,1)),"",IF((AND(LEFT(G1358,2)=LEFT('112'!$M$9,2),B1358&lt;'112'!$N$8,$L1358='112'!$I$6)),"x",""))</f>
        <v/>
      </c>
      <c r="T1358" s="51" t="str">
        <f>IF(ISERROR(FIND('112'!$M$9,G1358,1)),"",IF((AND(RIGHT(G1358,2)=RIGHT('112'!$M$9,2),B1358&lt;'112'!$N$8,$M1358='112'!$I$6)),"x",""))</f>
        <v/>
      </c>
      <c r="U1358" s="51" t="str">
        <f>IF(AND(L1358="154",'154'!$O$5&lt;=B1358,'154'!$P$5&gt;=B1358),"154",IF(AND(L1358="632",'632'!$L$5&lt;=B1358,'632'!$M$5&gt;=B1358),"632",IF(AND(L1358="642",'642'!$N$5&lt;=B1358,'642'!$O$5&gt;=B1358),"642",IF(AND(L1358="641",'641'!$N$5&lt;=B1358,'641'!$O$5&gt;=B1358),"641",""))))</f>
        <v/>
      </c>
      <c r="V1358" s="51" t="str">
        <f>IF(OR(TH!L1358=TH!$V$7,M1358=TH!$V$7),"x","")</f>
        <v/>
      </c>
      <c r="W1358" s="51" t="str">
        <f>IF(AND(B1358&gt;='IN-NX'!$P$3,B1358&lt;='IN-NX'!$Q$3,'IN-NX'!$D$7=D1358,OR(LEFT(L1358,2)="15",AND(LEFT(M1358,2)&lt;&gt;"15",LEFT(M1358,2)&lt;&gt;"33"))),"x","")</f>
        <v/>
      </c>
      <c r="X1358" s="51" t="str">
        <f>IF(AND(OR(LEFT(TH!L1358,2)="15",LEFT(TH!M1358,2)="15"),'152-CT'!$J$8=TH!F1358),"x","")</f>
        <v/>
      </c>
      <c r="Y1358" s="51" t="str">
        <f>IF(AND(OR(LEFT(TH!L1358,2)="15",LEFT(TH!M1358,2)="15"),TK!$E$7=TH!F1358),"x","")</f>
        <v/>
      </c>
      <c r="Z1358" s="51" t="str">
        <f>IF(AND(B1358&lt;=NKC!$N$8,B1358&gt;=NKC!$M$8),"x","")</f>
        <v/>
      </c>
      <c r="AA1358" s="803"/>
      <c r="AB1358" s="565"/>
    </row>
    <row r="1359" spans="1:28" ht="15.75" customHeight="1">
      <c r="A1359" s="804" t="str">
        <f>IF(B1359&lt;&gt;"",IF(AND(B1359&gt;=_TM1,B1359&lt;=_TM2,OR(TH!L1359="1111",TH!M1359="1111")),TH!D1359,""),"")</f>
        <v/>
      </c>
      <c r="B1359" s="36">
        <f t="shared" si="85"/>
        <v>12</v>
      </c>
      <c r="C1359" s="189">
        <f t="shared" si="86"/>
        <v>42363</v>
      </c>
      <c r="D1359" s="182" t="s">
        <v>1518</v>
      </c>
      <c r="E1359" s="189">
        <v>42363</v>
      </c>
      <c r="F1359" s="187" t="s">
        <v>1148</v>
      </c>
      <c r="G1359" s="813" t="s">
        <v>622</v>
      </c>
      <c r="H1359" s="191" t="s">
        <v>904</v>
      </c>
      <c r="I1359" s="243">
        <v>24</v>
      </c>
      <c r="J1359" s="243">
        <v>30031</v>
      </c>
      <c r="K1359" s="573">
        <f t="shared" si="88"/>
        <v>720744</v>
      </c>
      <c r="L1359" s="574" t="s">
        <v>417</v>
      </c>
      <c r="M1359" s="574" t="s">
        <v>8</v>
      </c>
      <c r="N1359" s="51" t="str">
        <f>IF(AND('331-CT'!$E$7=TH!H1359,OR(L1359="331",M1359="331")),"331",IF(AND(OR(L1359="131",M1359="131"),H1359='131-CT'!$E$7),"131",""))</f>
        <v/>
      </c>
      <c r="O1359" s="51" t="str">
        <f>IF(AND($B1359&gt;='111'!$N$11,$B1359&lt;='111'!$O$11,OR($L1359=$O$7,$M1359=$O$7)),"x","")</f>
        <v/>
      </c>
      <c r="P1359" s="51" t="str">
        <f>IF(AND($L1359=$O$7,$B1359&lt;'111'!$N$11),"x","")</f>
        <v/>
      </c>
      <c r="Q1359" s="51" t="str">
        <f>IF(AND($M1359=$O$7,$B1359&lt;'111'!$N$11),"x","")</f>
        <v/>
      </c>
      <c r="R1359" s="51" t="str">
        <f>IF(ISERROR(FIND('112'!$M$9,G1359,1)),"",IF((AND(FIND('112'!$M$9,G1359,1)&gt;=1,$B1359&gt;='112'!$N$8,$B1359&lt;='112'!$O$8,OR($L1359='112'!$I$6,$M1359='112'!$I$6))),"x",""))</f>
        <v/>
      </c>
      <c r="S1359" s="51" t="str">
        <f>IF(ISERROR(FIND('112'!$M$9,G1359,1)),"",IF((AND(LEFT(G1359,2)=LEFT('112'!$M$9,2),B1359&lt;'112'!$N$8,$L1359='112'!$I$6)),"x",""))</f>
        <v/>
      </c>
      <c r="T1359" s="51" t="str">
        <f>IF(ISERROR(FIND('112'!$M$9,G1359,1)),"",IF((AND(RIGHT(G1359,2)=RIGHT('112'!$M$9,2),B1359&lt;'112'!$N$8,$M1359='112'!$I$6)),"x",""))</f>
        <v/>
      </c>
      <c r="U1359" s="51" t="str">
        <f>IF(AND(L1359="154",'154'!$O$5&lt;=B1359,'154'!$P$5&gt;=B1359),"154",IF(AND(L1359="632",'632'!$L$5&lt;=B1359,'632'!$M$5&gt;=B1359),"632",IF(AND(L1359="642",'642'!$N$5&lt;=B1359,'642'!$O$5&gt;=B1359),"642",IF(AND(L1359="641",'641'!$N$5&lt;=B1359,'641'!$O$5&gt;=B1359),"641",""))))</f>
        <v/>
      </c>
      <c r="V1359" s="51" t="str">
        <f>IF(OR(TH!L1359=TH!$V$7,M1359=TH!$V$7),"x","")</f>
        <v/>
      </c>
      <c r="W1359" s="51" t="str">
        <f>IF(AND(B1359&gt;='IN-NX'!$P$3,B1359&lt;='IN-NX'!$Q$3,'IN-NX'!$D$7=D1359,OR(LEFT(L1359,2)="15",AND(LEFT(M1359,2)&lt;&gt;"15",LEFT(M1359,2)&lt;&gt;"33"))),"x","")</f>
        <v/>
      </c>
      <c r="X1359" s="51" t="str">
        <f>IF(AND(OR(LEFT(TH!L1359,2)="15",LEFT(TH!M1359,2)="15"),'152-CT'!$J$8=TH!F1359),"x","")</f>
        <v/>
      </c>
      <c r="Y1359" s="51" t="str">
        <f>IF(AND(OR(LEFT(TH!L1359,2)="15",LEFT(TH!M1359,2)="15"),TK!$E$7=TH!F1359),"x","")</f>
        <v/>
      </c>
      <c r="Z1359" s="51" t="str">
        <f>IF(AND(B1359&lt;=NKC!$N$8,B1359&gt;=NKC!$M$8),"x","")</f>
        <v/>
      </c>
      <c r="AA1359" s="803"/>
      <c r="AB1359" s="565"/>
    </row>
    <row r="1360" spans="1:28" ht="15.75" customHeight="1">
      <c r="A1360" s="804" t="str">
        <f>IF(B1360&lt;&gt;"",IF(AND(B1360&gt;=_TM1,B1360&lt;=_TM2,OR(TH!L1360="1111",TH!M1360="1111")),TH!D1360,""),"")</f>
        <v/>
      </c>
      <c r="B1360" s="36">
        <f t="shared" si="85"/>
        <v>12</v>
      </c>
      <c r="C1360" s="189">
        <f t="shared" si="86"/>
        <v>42363</v>
      </c>
      <c r="D1360" s="182" t="s">
        <v>1518</v>
      </c>
      <c r="E1360" s="189">
        <v>42363</v>
      </c>
      <c r="F1360" s="187" t="s">
        <v>1153</v>
      </c>
      <c r="G1360" s="813" t="s">
        <v>622</v>
      </c>
      <c r="H1360" s="191" t="s">
        <v>904</v>
      </c>
      <c r="I1360" s="243">
        <v>12</v>
      </c>
      <c r="J1360" s="243">
        <v>22281</v>
      </c>
      <c r="K1360" s="573">
        <f t="shared" si="88"/>
        <v>267372</v>
      </c>
      <c r="L1360" s="574" t="s">
        <v>417</v>
      </c>
      <c r="M1360" s="574" t="s">
        <v>8</v>
      </c>
      <c r="N1360" s="51" t="str">
        <f>IF(AND('331-CT'!$E$7=TH!H1360,OR(L1360="331",M1360="331")),"331",IF(AND(OR(L1360="131",M1360="131"),H1360='131-CT'!$E$7),"131",""))</f>
        <v/>
      </c>
      <c r="O1360" s="51" t="str">
        <f>IF(AND($B1360&gt;='111'!$N$11,$B1360&lt;='111'!$O$11,OR($L1360=$O$7,$M1360=$O$7)),"x","")</f>
        <v/>
      </c>
      <c r="P1360" s="51" t="str">
        <f>IF(AND($L1360=$O$7,$B1360&lt;'111'!$N$11),"x","")</f>
        <v/>
      </c>
      <c r="Q1360" s="51" t="str">
        <f>IF(AND($M1360=$O$7,$B1360&lt;'111'!$N$11),"x","")</f>
        <v/>
      </c>
      <c r="R1360" s="51" t="str">
        <f>IF(ISERROR(FIND('112'!$M$9,G1360,1)),"",IF((AND(FIND('112'!$M$9,G1360,1)&gt;=1,$B1360&gt;='112'!$N$8,$B1360&lt;='112'!$O$8,OR($L1360='112'!$I$6,$M1360='112'!$I$6))),"x",""))</f>
        <v/>
      </c>
      <c r="S1360" s="51" t="str">
        <f>IF(ISERROR(FIND('112'!$M$9,G1360,1)),"",IF((AND(LEFT(G1360,2)=LEFT('112'!$M$9,2),B1360&lt;'112'!$N$8,$L1360='112'!$I$6)),"x",""))</f>
        <v/>
      </c>
      <c r="T1360" s="51" t="str">
        <f>IF(ISERROR(FIND('112'!$M$9,G1360,1)),"",IF((AND(RIGHT(G1360,2)=RIGHT('112'!$M$9,2),B1360&lt;'112'!$N$8,$M1360='112'!$I$6)),"x",""))</f>
        <v/>
      </c>
      <c r="U1360" s="51" t="str">
        <f>IF(AND(L1360="154",'154'!$O$5&lt;=B1360,'154'!$P$5&gt;=B1360),"154",IF(AND(L1360="632",'632'!$L$5&lt;=B1360,'632'!$M$5&gt;=B1360),"632",IF(AND(L1360="642",'642'!$N$5&lt;=B1360,'642'!$O$5&gt;=B1360),"642",IF(AND(L1360="641",'641'!$N$5&lt;=B1360,'641'!$O$5&gt;=B1360),"641",""))))</f>
        <v/>
      </c>
      <c r="V1360" s="51" t="str">
        <f>IF(OR(TH!L1360=TH!$V$7,M1360=TH!$V$7),"x","")</f>
        <v/>
      </c>
      <c r="W1360" s="51" t="str">
        <f>IF(AND(B1360&gt;='IN-NX'!$P$3,B1360&lt;='IN-NX'!$Q$3,'IN-NX'!$D$7=D1360,OR(LEFT(L1360,2)="15",AND(LEFT(M1360,2)&lt;&gt;"15",LEFT(M1360,2)&lt;&gt;"33"))),"x","")</f>
        <v/>
      </c>
      <c r="X1360" s="51" t="str">
        <f>IF(AND(OR(LEFT(TH!L1360,2)="15",LEFT(TH!M1360,2)="15"),'152-CT'!$J$8=TH!F1360),"x","")</f>
        <v/>
      </c>
      <c r="Y1360" s="51" t="str">
        <f>IF(AND(OR(LEFT(TH!L1360,2)="15",LEFT(TH!M1360,2)="15"),TK!$E$7=TH!F1360),"x","")</f>
        <v/>
      </c>
      <c r="Z1360" s="51" t="str">
        <f>IF(AND(B1360&lt;=NKC!$N$8,B1360&gt;=NKC!$M$8),"x","")</f>
        <v/>
      </c>
      <c r="AA1360" s="803"/>
      <c r="AB1360" s="565"/>
    </row>
    <row r="1361" spans="1:31" ht="15.75" customHeight="1">
      <c r="A1361" s="804" t="str">
        <f>IF(B1361&lt;&gt;"",IF(AND(B1361&gt;=_TM1,B1361&lt;=_TM2,OR(TH!L1361="1111",TH!M1361="1111")),TH!D1361,""),"")</f>
        <v/>
      </c>
      <c r="B1361" s="36">
        <f t="shared" si="85"/>
        <v>12</v>
      </c>
      <c r="C1361" s="189">
        <f t="shared" si="86"/>
        <v>42363</v>
      </c>
      <c r="D1361" s="182" t="s">
        <v>1518</v>
      </c>
      <c r="E1361" s="189">
        <v>42363</v>
      </c>
      <c r="F1361" s="187" t="s">
        <v>1154</v>
      </c>
      <c r="G1361" s="813" t="s">
        <v>622</v>
      </c>
      <c r="H1361" s="191" t="s">
        <v>904</v>
      </c>
      <c r="I1361" s="243">
        <v>8</v>
      </c>
      <c r="J1361" s="243">
        <v>61390</v>
      </c>
      <c r="K1361" s="573">
        <f t="shared" si="88"/>
        <v>491120</v>
      </c>
      <c r="L1361" s="574" t="s">
        <v>417</v>
      </c>
      <c r="M1361" s="574" t="s">
        <v>8</v>
      </c>
      <c r="N1361" s="51" t="str">
        <f>IF(AND('331-CT'!$E$7=TH!H1361,OR(L1361="331",M1361="331")),"331",IF(AND(OR(L1361="131",M1361="131"),H1361='131-CT'!$E$7),"131",""))</f>
        <v/>
      </c>
      <c r="O1361" s="51" t="str">
        <f>IF(AND($B1361&gt;='111'!$N$11,$B1361&lt;='111'!$O$11,OR($L1361=$O$7,$M1361=$O$7)),"x","")</f>
        <v/>
      </c>
      <c r="P1361" s="51" t="str">
        <f>IF(AND($L1361=$O$7,$B1361&lt;'111'!$N$11),"x","")</f>
        <v/>
      </c>
      <c r="Q1361" s="51" t="str">
        <f>IF(AND($M1361=$O$7,$B1361&lt;'111'!$N$11),"x","")</f>
        <v/>
      </c>
      <c r="R1361" s="51" t="str">
        <f>IF(ISERROR(FIND('112'!$M$9,G1361,1)),"",IF((AND(FIND('112'!$M$9,G1361,1)&gt;=1,$B1361&gt;='112'!$N$8,$B1361&lt;='112'!$O$8,OR($L1361='112'!$I$6,$M1361='112'!$I$6))),"x",""))</f>
        <v/>
      </c>
      <c r="S1361" s="51" t="str">
        <f>IF(ISERROR(FIND('112'!$M$9,G1361,1)),"",IF((AND(LEFT(G1361,2)=LEFT('112'!$M$9,2),B1361&lt;'112'!$N$8,$L1361='112'!$I$6)),"x",""))</f>
        <v/>
      </c>
      <c r="T1361" s="51" t="str">
        <f>IF(ISERROR(FIND('112'!$M$9,G1361,1)),"",IF((AND(RIGHT(G1361,2)=RIGHT('112'!$M$9,2),B1361&lt;'112'!$N$8,$M1361='112'!$I$6)),"x",""))</f>
        <v/>
      </c>
      <c r="U1361" s="51" t="str">
        <f>IF(AND(L1361="154",'154'!$O$5&lt;=B1361,'154'!$P$5&gt;=B1361),"154",IF(AND(L1361="632",'632'!$L$5&lt;=B1361,'632'!$M$5&gt;=B1361),"632",IF(AND(L1361="642",'642'!$N$5&lt;=B1361,'642'!$O$5&gt;=B1361),"642",IF(AND(L1361="641",'641'!$N$5&lt;=B1361,'641'!$O$5&gt;=B1361),"641",""))))</f>
        <v/>
      </c>
      <c r="V1361" s="51" t="str">
        <f>IF(OR(TH!L1361=TH!$V$7,M1361=TH!$V$7),"x","")</f>
        <v/>
      </c>
      <c r="W1361" s="51" t="str">
        <f>IF(AND(B1361&gt;='IN-NX'!$P$3,B1361&lt;='IN-NX'!$Q$3,'IN-NX'!$D$7=D1361,OR(LEFT(L1361,2)="15",AND(LEFT(M1361,2)&lt;&gt;"15",LEFT(M1361,2)&lt;&gt;"33"))),"x","")</f>
        <v/>
      </c>
      <c r="X1361" s="51" t="str">
        <f>IF(AND(OR(LEFT(TH!L1361,2)="15",LEFT(TH!M1361,2)="15"),'152-CT'!$J$8=TH!F1361),"x","")</f>
        <v/>
      </c>
      <c r="Y1361" s="51" t="str">
        <f>IF(AND(OR(LEFT(TH!L1361,2)="15",LEFT(TH!M1361,2)="15"),TK!$E$7=TH!F1361),"x","")</f>
        <v/>
      </c>
      <c r="Z1361" s="51" t="str">
        <f>IF(AND(B1361&lt;=NKC!$N$8,B1361&gt;=NKC!$M$8),"x","")</f>
        <v/>
      </c>
      <c r="AA1361" s="803"/>
      <c r="AB1361" s="565"/>
    </row>
    <row r="1362" spans="1:31" ht="15.75" customHeight="1">
      <c r="A1362" s="804" t="str">
        <f>IF(B1362&lt;&gt;"",IF(AND(B1362&gt;=_TM1,B1362&lt;=_TM2,OR(TH!L1362="1111",TH!M1362="1111")),TH!D1362,""),"")</f>
        <v/>
      </c>
      <c r="B1362" s="36">
        <f t="shared" si="85"/>
        <v>12</v>
      </c>
      <c r="C1362" s="189">
        <f t="shared" si="86"/>
        <v>42363</v>
      </c>
      <c r="D1362" s="182" t="s">
        <v>1518</v>
      </c>
      <c r="E1362" s="189">
        <v>42363</v>
      </c>
      <c r="F1362" s="40" t="s">
        <v>1154</v>
      </c>
      <c r="G1362" s="813" t="s">
        <v>622</v>
      </c>
      <c r="H1362" s="191" t="s">
        <v>904</v>
      </c>
      <c r="I1362" s="243">
        <v>12</v>
      </c>
      <c r="J1362" s="243">
        <v>61390</v>
      </c>
      <c r="K1362" s="573">
        <f t="shared" si="88"/>
        <v>736680</v>
      </c>
      <c r="L1362" s="574" t="s">
        <v>417</v>
      </c>
      <c r="M1362" s="574" t="s">
        <v>8</v>
      </c>
      <c r="N1362" s="51" t="str">
        <f>IF(AND('331-CT'!$E$7=TH!H1362,OR(L1362="331",M1362="331")),"331",IF(AND(OR(L1362="131",M1362="131"),H1362='131-CT'!$E$7),"131",""))</f>
        <v/>
      </c>
      <c r="O1362" s="51" t="str">
        <f>IF(AND($B1362&gt;='111'!$N$11,$B1362&lt;='111'!$O$11,OR($L1362=$O$7,$M1362=$O$7)),"x","")</f>
        <v/>
      </c>
      <c r="P1362" s="51" t="str">
        <f>IF(AND($L1362=$O$7,$B1362&lt;'111'!$N$11),"x","")</f>
        <v/>
      </c>
      <c r="Q1362" s="51" t="str">
        <f>IF(AND($M1362=$O$7,$B1362&lt;'111'!$N$11),"x","")</f>
        <v/>
      </c>
      <c r="R1362" s="51" t="str">
        <f>IF(ISERROR(FIND('112'!$M$9,G1362,1)),"",IF((AND(FIND('112'!$M$9,G1362,1)&gt;=1,$B1362&gt;='112'!$N$8,$B1362&lt;='112'!$O$8,OR($L1362='112'!$I$6,$M1362='112'!$I$6))),"x",""))</f>
        <v/>
      </c>
      <c r="S1362" s="51" t="str">
        <f>IF(ISERROR(FIND('112'!$M$9,G1362,1)),"",IF((AND(LEFT(G1362,2)=LEFT('112'!$M$9,2),B1362&lt;'112'!$N$8,$L1362='112'!$I$6)),"x",""))</f>
        <v/>
      </c>
      <c r="T1362" s="51" t="str">
        <f>IF(ISERROR(FIND('112'!$M$9,G1362,1)),"",IF((AND(RIGHT(G1362,2)=RIGHT('112'!$M$9,2),B1362&lt;'112'!$N$8,$M1362='112'!$I$6)),"x",""))</f>
        <v/>
      </c>
      <c r="U1362" s="51" t="str">
        <f>IF(AND(L1362="154",'154'!$O$5&lt;=B1362,'154'!$P$5&gt;=B1362),"154",IF(AND(L1362="632",'632'!$L$5&lt;=B1362,'632'!$M$5&gt;=B1362),"632",IF(AND(L1362="642",'642'!$N$5&lt;=B1362,'642'!$O$5&gt;=B1362),"642",IF(AND(L1362="641",'641'!$N$5&lt;=B1362,'641'!$O$5&gt;=B1362),"641",""))))</f>
        <v/>
      </c>
      <c r="V1362" s="51" t="str">
        <f>IF(OR(TH!L1362=TH!$V$7,M1362=TH!$V$7),"x","")</f>
        <v/>
      </c>
      <c r="W1362" s="51" t="str">
        <f>IF(AND(B1362&gt;='IN-NX'!$P$3,B1362&lt;='IN-NX'!$Q$3,'IN-NX'!$D$7=D1362,OR(LEFT(L1362,2)="15",AND(LEFT(M1362,2)&lt;&gt;"15",LEFT(M1362,2)&lt;&gt;"33"))),"x","")</f>
        <v/>
      </c>
      <c r="X1362" s="51" t="str">
        <f>IF(AND(OR(LEFT(TH!L1362,2)="15",LEFT(TH!M1362,2)="15"),'152-CT'!$J$8=TH!F1362),"x","")</f>
        <v/>
      </c>
      <c r="Y1362" s="51" t="str">
        <f>IF(AND(OR(LEFT(TH!L1362,2)="15",LEFT(TH!M1362,2)="15"),TK!$E$7=TH!F1362),"x","")</f>
        <v/>
      </c>
      <c r="Z1362" s="51" t="str">
        <f>IF(AND(B1362&lt;=NKC!$N$8,B1362&gt;=NKC!$M$8),"x","")</f>
        <v/>
      </c>
      <c r="AA1362" s="803"/>
      <c r="AB1362" s="565"/>
    </row>
    <row r="1363" spans="1:31" ht="15.75" customHeight="1">
      <c r="A1363" s="804" t="str">
        <f>IF(B1363&lt;&gt;"",IF(AND(B1363&gt;=_TM1,B1363&lt;=_TM2,OR(TH!L1363="1111",TH!M1363="1111")),TH!D1363,""),"")</f>
        <v/>
      </c>
      <c r="B1363" s="36">
        <f t="shared" si="85"/>
        <v>12</v>
      </c>
      <c r="C1363" s="189">
        <f t="shared" si="86"/>
        <v>42363</v>
      </c>
      <c r="D1363" s="182" t="s">
        <v>1518</v>
      </c>
      <c r="E1363" s="189">
        <v>42363</v>
      </c>
      <c r="F1363" s="187" t="s">
        <v>1155</v>
      </c>
      <c r="G1363" s="813" t="s">
        <v>622</v>
      </c>
      <c r="H1363" s="191" t="s">
        <v>904</v>
      </c>
      <c r="I1363" s="243">
        <v>18</v>
      </c>
      <c r="J1363" s="243">
        <v>42683</v>
      </c>
      <c r="K1363" s="573">
        <f t="shared" si="88"/>
        <v>768294</v>
      </c>
      <c r="L1363" s="574" t="s">
        <v>417</v>
      </c>
      <c r="M1363" s="574" t="s">
        <v>8</v>
      </c>
      <c r="N1363" s="51" t="str">
        <f>IF(AND('331-CT'!$E$7=TH!H1363,OR(L1363="331",M1363="331")),"331",IF(AND(OR(L1363="131",M1363="131"),H1363='131-CT'!$E$7),"131",""))</f>
        <v/>
      </c>
      <c r="O1363" s="51" t="str">
        <f>IF(AND($B1363&gt;='111'!$N$11,$B1363&lt;='111'!$O$11,OR($L1363=$O$7,$M1363=$O$7)),"x","")</f>
        <v/>
      </c>
      <c r="P1363" s="51" t="str">
        <f>IF(AND($L1363=$O$7,$B1363&lt;'111'!$N$11),"x","")</f>
        <v/>
      </c>
      <c r="Q1363" s="51" t="str">
        <f>IF(AND($M1363=$O$7,$B1363&lt;'111'!$N$11),"x","")</f>
        <v/>
      </c>
      <c r="R1363" s="51" t="str">
        <f>IF(ISERROR(FIND('112'!$M$9,G1363,1)),"",IF((AND(FIND('112'!$M$9,G1363,1)&gt;=1,$B1363&gt;='112'!$N$8,$B1363&lt;='112'!$O$8,OR($L1363='112'!$I$6,$M1363='112'!$I$6))),"x",""))</f>
        <v/>
      </c>
      <c r="S1363" s="51" t="str">
        <f>IF(ISERROR(FIND('112'!$M$9,G1363,1)),"",IF((AND(LEFT(G1363,2)=LEFT('112'!$M$9,2),B1363&lt;'112'!$N$8,$L1363='112'!$I$6)),"x",""))</f>
        <v/>
      </c>
      <c r="T1363" s="51" t="str">
        <f>IF(ISERROR(FIND('112'!$M$9,G1363,1)),"",IF((AND(RIGHT(G1363,2)=RIGHT('112'!$M$9,2),B1363&lt;'112'!$N$8,$M1363='112'!$I$6)),"x",""))</f>
        <v/>
      </c>
      <c r="U1363" s="51" t="str">
        <f>IF(AND(L1363="154",'154'!$O$5&lt;=B1363,'154'!$P$5&gt;=B1363),"154",IF(AND(L1363="632",'632'!$L$5&lt;=B1363,'632'!$M$5&gt;=B1363),"632",IF(AND(L1363="642",'642'!$N$5&lt;=B1363,'642'!$O$5&gt;=B1363),"642",IF(AND(L1363="641",'641'!$N$5&lt;=B1363,'641'!$O$5&gt;=B1363),"641",""))))</f>
        <v/>
      </c>
      <c r="V1363" s="51" t="str">
        <f>IF(OR(TH!L1363=TH!$V$7,M1363=TH!$V$7),"x","")</f>
        <v/>
      </c>
      <c r="W1363" s="51" t="str">
        <f>IF(AND(B1363&gt;='IN-NX'!$P$3,B1363&lt;='IN-NX'!$Q$3,'IN-NX'!$D$7=D1363,OR(LEFT(L1363,2)="15",AND(LEFT(M1363,2)&lt;&gt;"15",LEFT(M1363,2)&lt;&gt;"33"))),"x","")</f>
        <v/>
      </c>
      <c r="X1363" s="51" t="str">
        <f>IF(AND(OR(LEFT(TH!L1363,2)="15",LEFT(TH!M1363,2)="15"),'152-CT'!$J$8=TH!F1363),"x","")</f>
        <v/>
      </c>
      <c r="Y1363" s="51" t="str">
        <f>IF(AND(OR(LEFT(TH!L1363,2)="15",LEFT(TH!M1363,2)="15"),TK!$E$7=TH!F1363),"x","")</f>
        <v/>
      </c>
      <c r="Z1363" s="51" t="str">
        <f>IF(AND(B1363&lt;=NKC!$N$8,B1363&gt;=NKC!$M$8),"x","")</f>
        <v/>
      </c>
      <c r="AA1363" s="803"/>
      <c r="AB1363" s="565"/>
    </row>
    <row r="1364" spans="1:31" ht="15.75" customHeight="1">
      <c r="A1364" s="804" t="str">
        <f>IF(B1364&lt;&gt;"",IF(AND(B1364&gt;=_TM1,B1364&lt;=_TM2,OR(TH!L1364="1111",TH!M1364="1111")),TH!D1364,""),"")</f>
        <v/>
      </c>
      <c r="B1364" s="36">
        <f t="shared" si="85"/>
        <v>12</v>
      </c>
      <c r="C1364" s="189">
        <f t="shared" si="86"/>
        <v>42363</v>
      </c>
      <c r="D1364" s="182" t="s">
        <v>1518</v>
      </c>
      <c r="E1364" s="189">
        <v>42363</v>
      </c>
      <c r="F1364" s="187" t="s">
        <v>1156</v>
      </c>
      <c r="G1364" s="813" t="s">
        <v>622</v>
      </c>
      <c r="H1364" s="191" t="s">
        <v>904</v>
      </c>
      <c r="I1364" s="243">
        <v>14</v>
      </c>
      <c r="J1364" s="243">
        <v>42123</v>
      </c>
      <c r="K1364" s="573">
        <f t="shared" si="88"/>
        <v>589722</v>
      </c>
      <c r="L1364" s="574" t="s">
        <v>417</v>
      </c>
      <c r="M1364" s="574" t="s">
        <v>8</v>
      </c>
      <c r="N1364" s="51" t="str">
        <f>IF(AND('331-CT'!$E$7=TH!H1364,OR(L1364="331",M1364="331")),"331",IF(AND(OR(L1364="131",M1364="131"),H1364='131-CT'!$E$7),"131",""))</f>
        <v/>
      </c>
      <c r="O1364" s="51" t="str">
        <f>IF(AND($B1364&gt;='111'!$N$11,$B1364&lt;='111'!$O$11,OR($L1364=$O$7,$M1364=$O$7)),"x","")</f>
        <v/>
      </c>
      <c r="P1364" s="51" t="str">
        <f>IF(AND($L1364=$O$7,$B1364&lt;'111'!$N$11),"x","")</f>
        <v/>
      </c>
      <c r="Q1364" s="51" t="str">
        <f>IF(AND($M1364=$O$7,$B1364&lt;'111'!$N$11),"x","")</f>
        <v/>
      </c>
      <c r="R1364" s="51" t="str">
        <f>IF(ISERROR(FIND('112'!$M$9,G1364,1)),"",IF((AND(FIND('112'!$M$9,G1364,1)&gt;=1,$B1364&gt;='112'!$N$8,$B1364&lt;='112'!$O$8,OR($L1364='112'!$I$6,$M1364='112'!$I$6))),"x",""))</f>
        <v/>
      </c>
      <c r="S1364" s="51" t="str">
        <f>IF(ISERROR(FIND('112'!$M$9,G1364,1)),"",IF((AND(LEFT(G1364,2)=LEFT('112'!$M$9,2),B1364&lt;'112'!$N$8,$L1364='112'!$I$6)),"x",""))</f>
        <v/>
      </c>
      <c r="T1364" s="51" t="str">
        <f>IF(ISERROR(FIND('112'!$M$9,G1364,1)),"",IF((AND(RIGHT(G1364,2)=RIGHT('112'!$M$9,2),B1364&lt;'112'!$N$8,$M1364='112'!$I$6)),"x",""))</f>
        <v/>
      </c>
      <c r="U1364" s="51" t="str">
        <f>IF(AND(L1364="154",'154'!$O$5&lt;=B1364,'154'!$P$5&gt;=B1364),"154",IF(AND(L1364="632",'632'!$L$5&lt;=B1364,'632'!$M$5&gt;=B1364),"632",IF(AND(L1364="642",'642'!$N$5&lt;=B1364,'642'!$O$5&gt;=B1364),"642",IF(AND(L1364="641",'641'!$N$5&lt;=B1364,'641'!$O$5&gt;=B1364),"641",""))))</f>
        <v/>
      </c>
      <c r="V1364" s="51" t="str">
        <f>IF(OR(TH!L1364=TH!$V$7,M1364=TH!$V$7),"x","")</f>
        <v/>
      </c>
      <c r="W1364" s="51" t="str">
        <f>IF(AND(B1364&gt;='IN-NX'!$P$3,B1364&lt;='IN-NX'!$Q$3,'IN-NX'!$D$7=D1364,OR(LEFT(L1364,2)="15",AND(LEFT(M1364,2)&lt;&gt;"15",LEFT(M1364,2)&lt;&gt;"33"))),"x","")</f>
        <v/>
      </c>
      <c r="X1364" s="51" t="str">
        <f>IF(AND(OR(LEFT(TH!L1364,2)="15",LEFT(TH!M1364,2)="15"),'152-CT'!$J$8=TH!F1364),"x","")</f>
        <v/>
      </c>
      <c r="Y1364" s="51" t="str">
        <f>IF(AND(OR(LEFT(TH!L1364,2)="15",LEFT(TH!M1364,2)="15"),TK!$E$7=TH!F1364),"x","")</f>
        <v/>
      </c>
      <c r="Z1364" s="51" t="str">
        <f>IF(AND(B1364&lt;=NKC!$N$8,B1364&gt;=NKC!$M$8),"x","")</f>
        <v/>
      </c>
      <c r="AA1364" s="803"/>
      <c r="AB1364" s="565"/>
    </row>
    <row r="1365" spans="1:31" ht="15.75" customHeight="1">
      <c r="A1365" s="804" t="str">
        <f>IF(B1365&lt;&gt;"",IF(AND(B1365&gt;=_TM1,B1365&lt;=_TM2,OR(TH!L1365="1111",TH!M1365="1111")),TH!D1365,""),"")</f>
        <v/>
      </c>
      <c r="B1365" s="36">
        <f t="shared" si="85"/>
        <v>12</v>
      </c>
      <c r="C1365" s="189">
        <f t="shared" si="86"/>
        <v>42363</v>
      </c>
      <c r="D1365" s="182" t="s">
        <v>1519</v>
      </c>
      <c r="E1365" s="189">
        <v>42363</v>
      </c>
      <c r="F1365" s="187" t="s">
        <v>1157</v>
      </c>
      <c r="G1365" s="813" t="s">
        <v>622</v>
      </c>
      <c r="H1365" s="191" t="s">
        <v>904</v>
      </c>
      <c r="I1365" s="243">
        <v>6</v>
      </c>
      <c r="J1365" s="243">
        <v>77455</v>
      </c>
      <c r="K1365" s="573">
        <f t="shared" si="88"/>
        <v>464730</v>
      </c>
      <c r="L1365" s="574" t="s">
        <v>417</v>
      </c>
      <c r="M1365" s="574" t="s">
        <v>8</v>
      </c>
      <c r="N1365" s="51" t="str">
        <f>IF(AND('331-CT'!$E$7=TH!H1365,OR(L1365="331",M1365="331")),"331",IF(AND(OR(L1365="131",M1365="131"),H1365='131-CT'!$E$7),"131",""))</f>
        <v/>
      </c>
      <c r="O1365" s="51" t="str">
        <f>IF(AND($B1365&gt;='111'!$N$11,$B1365&lt;='111'!$O$11,OR($L1365=$O$7,$M1365=$O$7)),"x","")</f>
        <v/>
      </c>
      <c r="P1365" s="51" t="str">
        <f>IF(AND($L1365=$O$7,$B1365&lt;'111'!$N$11),"x","")</f>
        <v/>
      </c>
      <c r="Q1365" s="51" t="str">
        <f>IF(AND($M1365=$O$7,$B1365&lt;'111'!$N$11),"x","")</f>
        <v/>
      </c>
      <c r="R1365" s="51" t="str">
        <f>IF(ISERROR(FIND('112'!$M$9,G1365,1)),"",IF((AND(FIND('112'!$M$9,G1365,1)&gt;=1,$B1365&gt;='112'!$N$8,$B1365&lt;='112'!$O$8,OR($L1365='112'!$I$6,$M1365='112'!$I$6))),"x",""))</f>
        <v/>
      </c>
      <c r="S1365" s="51" t="str">
        <f>IF(ISERROR(FIND('112'!$M$9,G1365,1)),"",IF((AND(LEFT(G1365,2)=LEFT('112'!$M$9,2),B1365&lt;'112'!$N$8,$L1365='112'!$I$6)),"x",""))</f>
        <v/>
      </c>
      <c r="T1365" s="51" t="str">
        <f>IF(ISERROR(FIND('112'!$M$9,G1365,1)),"",IF((AND(RIGHT(G1365,2)=RIGHT('112'!$M$9,2),B1365&lt;'112'!$N$8,$M1365='112'!$I$6)),"x",""))</f>
        <v/>
      </c>
      <c r="U1365" s="51" t="str">
        <f>IF(AND(L1365="154",'154'!$O$5&lt;=B1365,'154'!$P$5&gt;=B1365),"154",IF(AND(L1365="632",'632'!$L$5&lt;=B1365,'632'!$M$5&gt;=B1365),"632",IF(AND(L1365="642",'642'!$N$5&lt;=B1365,'642'!$O$5&gt;=B1365),"642",IF(AND(L1365="641",'641'!$N$5&lt;=B1365,'641'!$O$5&gt;=B1365),"641",""))))</f>
        <v/>
      </c>
      <c r="V1365" s="51" t="str">
        <f>IF(OR(TH!L1365=TH!$V$7,M1365=TH!$V$7),"x","")</f>
        <v/>
      </c>
      <c r="W1365" s="51" t="str">
        <f>IF(AND(B1365&gt;='IN-NX'!$P$3,B1365&lt;='IN-NX'!$Q$3,'IN-NX'!$D$7=D1365,OR(LEFT(L1365,2)="15",AND(LEFT(M1365,2)&lt;&gt;"15",LEFT(M1365,2)&lt;&gt;"33"))),"x","")</f>
        <v/>
      </c>
      <c r="X1365" s="51" t="str">
        <f>IF(AND(OR(LEFT(TH!L1365,2)="15",LEFT(TH!M1365,2)="15"),'152-CT'!$J$8=TH!F1365),"x","")</f>
        <v/>
      </c>
      <c r="Y1365" s="51" t="str">
        <f>IF(AND(OR(LEFT(TH!L1365,2)="15",LEFT(TH!M1365,2)="15"),TK!$E$7=TH!F1365),"x","")</f>
        <v/>
      </c>
      <c r="Z1365" s="51" t="str">
        <f>IF(AND(B1365&lt;=NKC!$N$8,B1365&gt;=NKC!$M$8),"x","")</f>
        <v/>
      </c>
      <c r="AA1365" s="803"/>
      <c r="AB1365" s="565"/>
    </row>
    <row r="1366" spans="1:31" ht="15.75" customHeight="1">
      <c r="A1366" s="804" t="str">
        <f>IF(B1366&lt;&gt;"",IF(AND(B1366&gt;=_TM1,B1366&lt;=_TM2,OR(TH!L1366="1111",TH!M1366="1111")),TH!D1366,""),"")</f>
        <v/>
      </c>
      <c r="B1366" s="36">
        <f t="shared" si="85"/>
        <v>12</v>
      </c>
      <c r="C1366" s="189">
        <f t="shared" si="86"/>
        <v>42363</v>
      </c>
      <c r="D1366" s="182" t="s">
        <v>1519</v>
      </c>
      <c r="E1366" s="189">
        <v>42363</v>
      </c>
      <c r="F1366" s="187" t="s">
        <v>1158</v>
      </c>
      <c r="G1366" s="813" t="s">
        <v>622</v>
      </c>
      <c r="H1366" s="191" t="s">
        <v>904</v>
      </c>
      <c r="I1366" s="244">
        <v>12</v>
      </c>
      <c r="J1366" s="244">
        <v>71766</v>
      </c>
      <c r="K1366" s="573">
        <f t="shared" si="88"/>
        <v>861192</v>
      </c>
      <c r="L1366" s="574" t="s">
        <v>417</v>
      </c>
      <c r="M1366" s="574" t="s">
        <v>8</v>
      </c>
      <c r="N1366" s="51" t="str">
        <f>IF(AND('331-CT'!$E$7=TH!H1366,OR(L1366="331",M1366="331")),"331",IF(AND(OR(L1366="131",M1366="131"),H1366='131-CT'!$E$7),"131",""))</f>
        <v/>
      </c>
      <c r="O1366" s="51" t="str">
        <f>IF(AND($B1366&gt;='111'!$N$11,$B1366&lt;='111'!$O$11,OR($L1366=$O$7,$M1366=$O$7)),"x","")</f>
        <v/>
      </c>
      <c r="P1366" s="51" t="str">
        <f>IF(AND($L1366=$O$7,$B1366&lt;'111'!$N$11),"x","")</f>
        <v/>
      </c>
      <c r="Q1366" s="51" t="str">
        <f>IF(AND($M1366=$O$7,$B1366&lt;'111'!$N$11),"x","")</f>
        <v/>
      </c>
      <c r="R1366" s="51" t="str">
        <f>IF(ISERROR(FIND('112'!$M$9,G1366,1)),"",IF((AND(FIND('112'!$M$9,G1366,1)&gt;=1,$B1366&gt;='112'!$N$8,$B1366&lt;='112'!$O$8,OR($L1366='112'!$I$6,$M1366='112'!$I$6))),"x",""))</f>
        <v/>
      </c>
      <c r="S1366" s="51" t="str">
        <f>IF(ISERROR(FIND('112'!$M$9,G1366,1)),"",IF((AND(LEFT(G1366,2)=LEFT('112'!$M$9,2),B1366&lt;'112'!$N$8,$L1366='112'!$I$6)),"x",""))</f>
        <v/>
      </c>
      <c r="T1366" s="51" t="str">
        <f>IF(ISERROR(FIND('112'!$M$9,G1366,1)),"",IF((AND(RIGHT(G1366,2)=RIGHT('112'!$M$9,2),B1366&lt;'112'!$N$8,$M1366='112'!$I$6)),"x",""))</f>
        <v/>
      </c>
      <c r="U1366" s="51" t="str">
        <f>IF(AND(L1366="154",'154'!$O$5&lt;=B1366,'154'!$P$5&gt;=B1366),"154",IF(AND(L1366="632",'632'!$L$5&lt;=B1366,'632'!$M$5&gt;=B1366),"632",IF(AND(L1366="642",'642'!$N$5&lt;=B1366,'642'!$O$5&gt;=B1366),"642",IF(AND(L1366="641",'641'!$N$5&lt;=B1366,'641'!$O$5&gt;=B1366),"641",""))))</f>
        <v/>
      </c>
      <c r="V1366" s="51" t="str">
        <f>IF(OR(TH!L1366=TH!$V$7,M1366=TH!$V$7),"x","")</f>
        <v/>
      </c>
      <c r="W1366" s="51" t="str">
        <f>IF(AND(B1366&gt;='IN-NX'!$P$3,B1366&lt;='IN-NX'!$Q$3,'IN-NX'!$D$7=D1366,OR(LEFT(L1366,2)="15",AND(LEFT(M1366,2)&lt;&gt;"15",LEFT(M1366,2)&lt;&gt;"33"))),"x","")</f>
        <v/>
      </c>
      <c r="X1366" s="51" t="str">
        <f>IF(AND(OR(LEFT(TH!L1366,2)="15",LEFT(TH!M1366,2)="15"),'152-CT'!$J$8=TH!F1366),"x","")</f>
        <v/>
      </c>
      <c r="Y1366" s="51" t="str">
        <f>IF(AND(OR(LEFT(TH!L1366,2)="15",LEFT(TH!M1366,2)="15"),TK!$E$7=TH!F1366),"x","")</f>
        <v/>
      </c>
      <c r="Z1366" s="51" t="str">
        <f>IF(AND(B1366&lt;=NKC!$N$8,B1366&gt;=NKC!$M$8),"x","")</f>
        <v/>
      </c>
      <c r="AA1366" s="803"/>
      <c r="AB1366" s="565"/>
    </row>
    <row r="1367" spans="1:31" ht="15.75" customHeight="1">
      <c r="A1367" s="804" t="str">
        <f>IF(B1367&lt;&gt;"",IF(AND(B1367&gt;=_TM1,B1367&lt;=_TM2,OR(TH!L1367="1111",TH!M1367="1111")),TH!D1367,""),"")</f>
        <v/>
      </c>
      <c r="B1367" s="36">
        <f t="shared" si="85"/>
        <v>12</v>
      </c>
      <c r="C1367" s="189">
        <f t="shared" si="86"/>
        <v>42363</v>
      </c>
      <c r="D1367" s="182" t="s">
        <v>1519</v>
      </c>
      <c r="E1367" s="189">
        <v>42363</v>
      </c>
      <c r="F1367" s="187" t="s">
        <v>1158</v>
      </c>
      <c r="G1367" s="813" t="s">
        <v>622</v>
      </c>
      <c r="H1367" s="191" t="s">
        <v>904</v>
      </c>
      <c r="I1367" s="243">
        <v>12</v>
      </c>
      <c r="J1367" s="243">
        <v>71766</v>
      </c>
      <c r="K1367" s="573">
        <f t="shared" si="88"/>
        <v>861192</v>
      </c>
      <c r="L1367" s="574" t="s">
        <v>417</v>
      </c>
      <c r="M1367" s="574" t="s">
        <v>8</v>
      </c>
      <c r="N1367" s="51" t="str">
        <f>IF(AND('331-CT'!$E$7=TH!H1367,OR(L1367="331",M1367="331")),"331",IF(AND(OR(L1367="131",M1367="131"),H1367='131-CT'!$E$7),"131",""))</f>
        <v/>
      </c>
      <c r="O1367" s="51" t="str">
        <f>IF(AND($B1367&gt;='111'!$N$11,$B1367&lt;='111'!$O$11,OR($L1367=$O$7,$M1367=$O$7)),"x","")</f>
        <v/>
      </c>
      <c r="P1367" s="51" t="str">
        <f>IF(AND($L1367=$O$7,$B1367&lt;'111'!$N$11),"x","")</f>
        <v/>
      </c>
      <c r="Q1367" s="51" t="str">
        <f>IF(AND($M1367=$O$7,$B1367&lt;'111'!$N$11),"x","")</f>
        <v/>
      </c>
      <c r="R1367" s="51" t="str">
        <f>IF(ISERROR(FIND('112'!$M$9,G1367,1)),"",IF((AND(FIND('112'!$M$9,G1367,1)&gt;=1,$B1367&gt;='112'!$N$8,$B1367&lt;='112'!$O$8,OR($L1367='112'!$I$6,$M1367='112'!$I$6))),"x",""))</f>
        <v/>
      </c>
      <c r="S1367" s="51" t="str">
        <f>IF(ISERROR(FIND('112'!$M$9,G1367,1)),"",IF((AND(LEFT(G1367,2)=LEFT('112'!$M$9,2),B1367&lt;'112'!$N$8,$L1367='112'!$I$6)),"x",""))</f>
        <v/>
      </c>
      <c r="T1367" s="51" t="str">
        <f>IF(ISERROR(FIND('112'!$M$9,G1367,1)),"",IF((AND(RIGHT(G1367,2)=RIGHT('112'!$M$9,2),B1367&lt;'112'!$N$8,$M1367='112'!$I$6)),"x",""))</f>
        <v/>
      </c>
      <c r="U1367" s="51" t="str">
        <f>IF(AND(L1367="154",'154'!$O$5&lt;=B1367,'154'!$P$5&gt;=B1367),"154",IF(AND(L1367="632",'632'!$L$5&lt;=B1367,'632'!$M$5&gt;=B1367),"632",IF(AND(L1367="642",'642'!$N$5&lt;=B1367,'642'!$O$5&gt;=B1367),"642",IF(AND(L1367="641",'641'!$N$5&lt;=B1367,'641'!$O$5&gt;=B1367),"641",""))))</f>
        <v/>
      </c>
      <c r="V1367" s="51" t="str">
        <f>IF(OR(TH!L1367=TH!$V$7,M1367=TH!$V$7),"x","")</f>
        <v/>
      </c>
      <c r="W1367" s="51" t="str">
        <f>IF(AND(B1367&gt;='IN-NX'!$P$3,B1367&lt;='IN-NX'!$Q$3,'IN-NX'!$D$7=D1367,OR(LEFT(L1367,2)="15",AND(LEFT(M1367,2)&lt;&gt;"15",LEFT(M1367,2)&lt;&gt;"33"))),"x","")</f>
        <v/>
      </c>
      <c r="X1367" s="51" t="str">
        <f>IF(AND(OR(LEFT(TH!L1367,2)="15",LEFT(TH!M1367,2)="15"),'152-CT'!$J$8=TH!F1367),"x","")</f>
        <v/>
      </c>
      <c r="Y1367" s="51" t="str">
        <f>IF(AND(OR(LEFT(TH!L1367,2)="15",LEFT(TH!M1367,2)="15"),TK!$E$7=TH!F1367),"x","")</f>
        <v/>
      </c>
      <c r="Z1367" s="51" t="str">
        <f>IF(AND(B1367&lt;=NKC!$N$8,B1367&gt;=NKC!$M$8),"x","")</f>
        <v/>
      </c>
      <c r="AA1367" s="803"/>
      <c r="AB1367" s="565"/>
    </row>
    <row r="1368" spans="1:31" ht="15.75" customHeight="1">
      <c r="A1368" s="804" t="str">
        <f>IF(B1368&lt;&gt;"",IF(AND(B1368&gt;=_TM1,B1368&lt;=_TM2,OR(TH!L1368="1111",TH!M1368="1111")),TH!D1368,""),"")</f>
        <v/>
      </c>
      <c r="B1368" s="36">
        <f t="shared" si="85"/>
        <v>12</v>
      </c>
      <c r="C1368" s="189">
        <f t="shared" si="86"/>
        <v>42363</v>
      </c>
      <c r="D1368" s="182" t="s">
        <v>1519</v>
      </c>
      <c r="E1368" s="189">
        <v>42363</v>
      </c>
      <c r="F1368" s="187" t="s">
        <v>1159</v>
      </c>
      <c r="G1368" s="813" t="s">
        <v>622</v>
      </c>
      <c r="H1368" s="191" t="s">
        <v>904</v>
      </c>
      <c r="I1368" s="243">
        <v>30</v>
      </c>
      <c r="J1368" s="243">
        <v>48157</v>
      </c>
      <c r="K1368" s="573">
        <f t="shared" si="88"/>
        <v>1444710</v>
      </c>
      <c r="L1368" s="574" t="s">
        <v>417</v>
      </c>
      <c r="M1368" s="574" t="s">
        <v>8</v>
      </c>
      <c r="N1368" s="51" t="str">
        <f>IF(AND('331-CT'!$E$7=TH!H1368,OR(L1368="331",M1368="331")),"331",IF(AND(OR(L1368="131",M1368="131"),H1368='131-CT'!$E$7),"131",""))</f>
        <v/>
      </c>
      <c r="O1368" s="51" t="str">
        <f>IF(AND($B1368&gt;='111'!$N$11,$B1368&lt;='111'!$O$11,OR($L1368=$O$7,$M1368=$O$7)),"x","")</f>
        <v/>
      </c>
      <c r="P1368" s="51" t="str">
        <f>IF(AND($L1368=$O$7,$B1368&lt;'111'!$N$11),"x","")</f>
        <v/>
      </c>
      <c r="Q1368" s="51" t="str">
        <f>IF(AND($M1368=$O$7,$B1368&lt;'111'!$N$11),"x","")</f>
        <v/>
      </c>
      <c r="R1368" s="51" t="str">
        <f>IF(ISERROR(FIND('112'!$M$9,G1368,1)),"",IF((AND(FIND('112'!$M$9,G1368,1)&gt;=1,$B1368&gt;='112'!$N$8,$B1368&lt;='112'!$O$8,OR($L1368='112'!$I$6,$M1368='112'!$I$6))),"x",""))</f>
        <v/>
      </c>
      <c r="S1368" s="51" t="str">
        <f>IF(ISERROR(FIND('112'!$M$9,G1368,1)),"",IF((AND(LEFT(G1368,2)=LEFT('112'!$M$9,2),B1368&lt;'112'!$N$8,$L1368='112'!$I$6)),"x",""))</f>
        <v/>
      </c>
      <c r="T1368" s="51" t="str">
        <f>IF(ISERROR(FIND('112'!$M$9,G1368,1)),"",IF((AND(RIGHT(G1368,2)=RIGHT('112'!$M$9,2),B1368&lt;'112'!$N$8,$M1368='112'!$I$6)),"x",""))</f>
        <v/>
      </c>
      <c r="U1368" s="51" t="str">
        <f>IF(AND(L1368="154",'154'!$O$5&lt;=B1368,'154'!$P$5&gt;=B1368),"154",IF(AND(L1368="632",'632'!$L$5&lt;=B1368,'632'!$M$5&gt;=B1368),"632",IF(AND(L1368="642",'642'!$N$5&lt;=B1368,'642'!$O$5&gt;=B1368),"642",IF(AND(L1368="641",'641'!$N$5&lt;=B1368,'641'!$O$5&gt;=B1368),"641",""))))</f>
        <v/>
      </c>
      <c r="V1368" s="51" t="str">
        <f>IF(OR(TH!L1368=TH!$V$7,M1368=TH!$V$7),"x","")</f>
        <v/>
      </c>
      <c r="W1368" s="51" t="str">
        <f>IF(AND(B1368&gt;='IN-NX'!$P$3,B1368&lt;='IN-NX'!$Q$3,'IN-NX'!$D$7=D1368,OR(LEFT(L1368,2)="15",AND(LEFT(M1368,2)&lt;&gt;"15",LEFT(M1368,2)&lt;&gt;"33"))),"x","")</f>
        <v/>
      </c>
      <c r="X1368" s="51" t="str">
        <f>IF(AND(OR(LEFT(TH!L1368,2)="15",LEFT(TH!M1368,2)="15"),'152-CT'!$J$8=TH!F1368),"x","")</f>
        <v/>
      </c>
      <c r="Y1368" s="51" t="str">
        <f>IF(AND(OR(LEFT(TH!L1368,2)="15",LEFT(TH!M1368,2)="15"),TK!$E$7=TH!F1368),"x","")</f>
        <v/>
      </c>
      <c r="Z1368" s="51" t="str">
        <f>IF(AND(B1368&lt;=NKC!$N$8,B1368&gt;=NKC!$M$8),"x","")</f>
        <v/>
      </c>
      <c r="AA1368" s="803"/>
      <c r="AB1368" s="565"/>
    </row>
    <row r="1369" spans="1:31" ht="15.75" customHeight="1">
      <c r="A1369" s="804" t="str">
        <f>IF(B1369&lt;&gt;"",IF(AND(B1369&gt;=_TM1,B1369&lt;=_TM2,OR(TH!L1369="1111",TH!M1369="1111")),TH!D1369,""),"")</f>
        <v/>
      </c>
      <c r="B1369" s="36">
        <f t="shared" si="85"/>
        <v>12</v>
      </c>
      <c r="C1369" s="189">
        <f t="shared" si="86"/>
        <v>42363</v>
      </c>
      <c r="D1369" s="182" t="s">
        <v>1519</v>
      </c>
      <c r="E1369" s="189">
        <v>42363</v>
      </c>
      <c r="F1369" s="187" t="s">
        <v>1224</v>
      </c>
      <c r="G1369" s="813" t="s">
        <v>622</v>
      </c>
      <c r="H1369" s="191" t="s">
        <v>904</v>
      </c>
      <c r="I1369" s="243">
        <v>6</v>
      </c>
      <c r="J1369" s="243">
        <v>89473</v>
      </c>
      <c r="K1369" s="573">
        <f t="shared" si="88"/>
        <v>536838</v>
      </c>
      <c r="L1369" s="574" t="s">
        <v>417</v>
      </c>
      <c r="M1369" s="574" t="s">
        <v>8</v>
      </c>
      <c r="N1369" s="51" t="str">
        <f>IF(AND('331-CT'!$E$7=TH!H1369,OR(L1369="331",M1369="331")),"331",IF(AND(OR(L1369="131",M1369="131"),H1369='131-CT'!$E$7),"131",""))</f>
        <v/>
      </c>
      <c r="O1369" s="51" t="str">
        <f>IF(AND($B1369&gt;='111'!$N$11,$B1369&lt;='111'!$O$11,OR($L1369=$O$7,$M1369=$O$7)),"x","")</f>
        <v/>
      </c>
      <c r="P1369" s="51" t="str">
        <f>IF(AND($L1369=$O$7,$B1369&lt;'111'!$N$11),"x","")</f>
        <v/>
      </c>
      <c r="Q1369" s="51" t="str">
        <f>IF(AND($M1369=$O$7,$B1369&lt;'111'!$N$11),"x","")</f>
        <v/>
      </c>
      <c r="R1369" s="51" t="str">
        <f>IF(ISERROR(FIND('112'!$M$9,G1369,1)),"",IF((AND(FIND('112'!$M$9,G1369,1)&gt;=1,$B1369&gt;='112'!$N$8,$B1369&lt;='112'!$O$8,OR($L1369='112'!$I$6,$M1369='112'!$I$6))),"x",""))</f>
        <v/>
      </c>
      <c r="S1369" s="51" t="str">
        <f>IF(ISERROR(FIND('112'!$M$9,G1369,1)),"",IF((AND(LEFT(G1369,2)=LEFT('112'!$M$9,2),B1369&lt;'112'!$N$8,$L1369='112'!$I$6)),"x",""))</f>
        <v/>
      </c>
      <c r="T1369" s="51" t="str">
        <f>IF(ISERROR(FIND('112'!$M$9,G1369,1)),"",IF((AND(RIGHT(G1369,2)=RIGHT('112'!$M$9,2),B1369&lt;'112'!$N$8,$M1369='112'!$I$6)),"x",""))</f>
        <v/>
      </c>
      <c r="U1369" s="51" t="str">
        <f>IF(AND(L1369="154",'154'!$O$5&lt;=B1369,'154'!$P$5&gt;=B1369),"154",IF(AND(L1369="632",'632'!$L$5&lt;=B1369,'632'!$M$5&gt;=B1369),"632",IF(AND(L1369="642",'642'!$N$5&lt;=B1369,'642'!$O$5&gt;=B1369),"642",IF(AND(L1369="641",'641'!$N$5&lt;=B1369,'641'!$O$5&gt;=B1369),"641",""))))</f>
        <v/>
      </c>
      <c r="V1369" s="51" t="str">
        <f>IF(OR(TH!L1369=TH!$V$7,M1369=TH!$V$7),"x","")</f>
        <v/>
      </c>
      <c r="W1369" s="51" t="str">
        <f>IF(AND(B1369&gt;='IN-NX'!$P$3,B1369&lt;='IN-NX'!$Q$3,'IN-NX'!$D$7=D1369,OR(LEFT(L1369,2)="15",AND(LEFT(M1369,2)&lt;&gt;"15",LEFT(M1369,2)&lt;&gt;"33"))),"x","")</f>
        <v/>
      </c>
      <c r="X1369" s="51" t="str">
        <f>IF(AND(OR(LEFT(TH!L1369,2)="15",LEFT(TH!M1369,2)="15"),'152-CT'!$J$8=TH!F1369),"x","")</f>
        <v/>
      </c>
      <c r="Y1369" s="51" t="str">
        <f>IF(AND(OR(LEFT(TH!L1369,2)="15",LEFT(TH!M1369,2)="15"),TK!$E$7=TH!F1369),"x","")</f>
        <v/>
      </c>
      <c r="Z1369" s="51" t="str">
        <f>IF(AND(B1369&lt;=NKC!$N$8,B1369&gt;=NKC!$M$8),"x","")</f>
        <v/>
      </c>
      <c r="AA1369" s="803"/>
      <c r="AB1369" s="565"/>
    </row>
    <row r="1370" spans="1:31" ht="15.75" customHeight="1">
      <c r="A1370" s="804" t="str">
        <f>IF(B1370&lt;&gt;"",IF(AND(B1370&gt;=_TM1,B1370&lt;=_TM2,OR(TH!L1370="1111",TH!M1370="1111")),TH!D1370,""),"")</f>
        <v/>
      </c>
      <c r="B1370" s="36">
        <f t="shared" si="85"/>
        <v>12</v>
      </c>
      <c r="C1370" s="189">
        <f t="shared" si="86"/>
        <v>42363</v>
      </c>
      <c r="D1370" s="182" t="s">
        <v>1519</v>
      </c>
      <c r="E1370" s="189">
        <v>42363</v>
      </c>
      <c r="F1370" s="187" t="s">
        <v>1225</v>
      </c>
      <c r="G1370" s="813" t="s">
        <v>622</v>
      </c>
      <c r="H1370" s="191" t="s">
        <v>904</v>
      </c>
      <c r="I1370" s="243">
        <v>10</v>
      </c>
      <c r="J1370" s="243">
        <v>75739</v>
      </c>
      <c r="K1370" s="573">
        <f t="shared" si="88"/>
        <v>757390</v>
      </c>
      <c r="L1370" s="574" t="s">
        <v>417</v>
      </c>
      <c r="M1370" s="574" t="s">
        <v>8</v>
      </c>
      <c r="N1370" s="51" t="str">
        <f>IF(AND('331-CT'!$E$7=TH!H1370,OR(L1370="331",M1370="331")),"331",IF(AND(OR(L1370="131",M1370="131"),H1370='131-CT'!$E$7),"131",""))</f>
        <v/>
      </c>
      <c r="O1370" s="51" t="str">
        <f>IF(AND($B1370&gt;='111'!$N$11,$B1370&lt;='111'!$O$11,OR($L1370=$O$7,$M1370=$O$7)),"x","")</f>
        <v/>
      </c>
      <c r="P1370" s="51" t="str">
        <f>IF(AND($L1370=$O$7,$B1370&lt;'111'!$N$11),"x","")</f>
        <v/>
      </c>
      <c r="Q1370" s="51" t="str">
        <f>IF(AND($M1370=$O$7,$B1370&lt;'111'!$N$11),"x","")</f>
        <v/>
      </c>
      <c r="R1370" s="51" t="str">
        <f>IF(ISERROR(FIND('112'!$M$9,G1370,1)),"",IF((AND(FIND('112'!$M$9,G1370,1)&gt;=1,$B1370&gt;='112'!$N$8,$B1370&lt;='112'!$O$8,OR($L1370='112'!$I$6,$M1370='112'!$I$6))),"x",""))</f>
        <v/>
      </c>
      <c r="S1370" s="51" t="str">
        <f>IF(ISERROR(FIND('112'!$M$9,G1370,1)),"",IF((AND(LEFT(G1370,2)=LEFT('112'!$M$9,2),B1370&lt;'112'!$N$8,$L1370='112'!$I$6)),"x",""))</f>
        <v/>
      </c>
      <c r="T1370" s="51" t="str">
        <f>IF(ISERROR(FIND('112'!$M$9,G1370,1)),"",IF((AND(RIGHT(G1370,2)=RIGHT('112'!$M$9,2),B1370&lt;'112'!$N$8,$M1370='112'!$I$6)),"x",""))</f>
        <v/>
      </c>
      <c r="U1370" s="51" t="str">
        <f>IF(AND(L1370="154",'154'!$O$5&lt;=B1370,'154'!$P$5&gt;=B1370),"154",IF(AND(L1370="632",'632'!$L$5&lt;=B1370,'632'!$M$5&gt;=B1370),"632",IF(AND(L1370="642",'642'!$N$5&lt;=B1370,'642'!$O$5&gt;=B1370),"642",IF(AND(L1370="641",'641'!$N$5&lt;=B1370,'641'!$O$5&gt;=B1370),"641",""))))</f>
        <v/>
      </c>
      <c r="V1370" s="51" t="str">
        <f>IF(OR(TH!L1370=TH!$V$7,M1370=TH!$V$7),"x","")</f>
        <v/>
      </c>
      <c r="W1370" s="51" t="str">
        <f>IF(AND(B1370&gt;='IN-NX'!$P$3,B1370&lt;='IN-NX'!$Q$3,'IN-NX'!$D$7=D1370,OR(LEFT(L1370,2)="15",AND(LEFT(M1370,2)&lt;&gt;"15",LEFT(M1370,2)&lt;&gt;"33"))),"x","")</f>
        <v/>
      </c>
      <c r="X1370" s="51" t="str">
        <f>IF(AND(OR(LEFT(TH!L1370,2)="15",LEFT(TH!M1370,2)="15"),'152-CT'!$J$8=TH!F1370),"x","")</f>
        <v/>
      </c>
      <c r="Y1370" s="51" t="str">
        <f>IF(AND(OR(LEFT(TH!L1370,2)="15",LEFT(TH!M1370,2)="15"),TK!$E$7=TH!F1370),"x","")</f>
        <v/>
      </c>
      <c r="Z1370" s="51" t="str">
        <f>IF(AND(B1370&lt;=NKC!$N$8,B1370&gt;=NKC!$M$8),"x","")</f>
        <v/>
      </c>
      <c r="AA1370" s="803"/>
      <c r="AB1370" s="565"/>
    </row>
    <row r="1371" spans="1:31" s="828" customFormat="1" ht="15.75" customHeight="1">
      <c r="A1371" s="804" t="str">
        <f>IF(B1371&lt;&gt;"",IF(AND(B1371&gt;=_TM1,B1371&lt;=_TM2,OR(TH!L1371="1111",TH!M1371="1111")),TH!D1371,""),"")</f>
        <v/>
      </c>
      <c r="B1371" s="36">
        <f t="shared" si="85"/>
        <v>12</v>
      </c>
      <c r="C1371" s="189">
        <f t="shared" si="86"/>
        <v>42363</v>
      </c>
      <c r="D1371" s="182" t="s">
        <v>1519</v>
      </c>
      <c r="E1371" s="189">
        <v>42363</v>
      </c>
      <c r="F1371" s="187" t="s">
        <v>1226</v>
      </c>
      <c r="G1371" s="813" t="s">
        <v>622</v>
      </c>
      <c r="H1371" s="191" t="s">
        <v>904</v>
      </c>
      <c r="I1371" s="243">
        <v>20</v>
      </c>
      <c r="J1371" s="243">
        <v>21485</v>
      </c>
      <c r="K1371" s="573">
        <f t="shared" si="88"/>
        <v>429700</v>
      </c>
      <c r="L1371" s="574" t="s">
        <v>417</v>
      </c>
      <c r="M1371" s="574" t="s">
        <v>8</v>
      </c>
      <c r="N1371" s="51" t="str">
        <f>IF(AND('331-CT'!$E$7=TH!H1371,OR(L1371="331",M1371="331")),"331",IF(AND(OR(L1371="131",M1371="131"),H1371='131-CT'!$E$7),"131",""))</f>
        <v/>
      </c>
      <c r="O1371" s="51" t="str">
        <f>IF(AND($B1371&gt;='111'!$N$11,$B1371&lt;='111'!$O$11,OR($L1371=$O$7,$M1371=$O$7)),"x","")</f>
        <v/>
      </c>
      <c r="P1371" s="51" t="str">
        <f>IF(AND($L1371=$O$7,$B1371&lt;'111'!$N$11),"x","")</f>
        <v/>
      </c>
      <c r="Q1371" s="51" t="str">
        <f>IF(AND($M1371=$O$7,$B1371&lt;'111'!$N$11),"x","")</f>
        <v/>
      </c>
      <c r="R1371" s="51" t="str">
        <f>IF(ISERROR(FIND('112'!$M$9,G1371,1)),"",IF((AND(FIND('112'!$M$9,G1371,1)&gt;=1,$B1371&gt;='112'!$N$8,$B1371&lt;='112'!$O$8,OR($L1371='112'!$I$6,$M1371='112'!$I$6))),"x",""))</f>
        <v/>
      </c>
      <c r="S1371" s="51" t="str">
        <f>IF(ISERROR(FIND('112'!$M$9,G1371,1)),"",IF((AND(LEFT(G1371,2)=LEFT('112'!$M$9,2),B1371&lt;'112'!$N$8,$L1371='112'!$I$6)),"x",""))</f>
        <v/>
      </c>
      <c r="T1371" s="51" t="str">
        <f>IF(ISERROR(FIND('112'!$M$9,G1371,1)),"",IF((AND(RIGHT(G1371,2)=RIGHT('112'!$M$9,2),B1371&lt;'112'!$N$8,$M1371='112'!$I$6)),"x",""))</f>
        <v/>
      </c>
      <c r="U1371" s="51" t="str">
        <f>IF(AND(L1371="154",'154'!$O$5&lt;=B1371,'154'!$P$5&gt;=B1371),"154",IF(AND(L1371="632",'632'!$L$5&lt;=B1371,'632'!$M$5&gt;=B1371),"632",IF(AND(L1371="642",'642'!$N$5&lt;=B1371,'642'!$O$5&gt;=B1371),"642",IF(AND(L1371="641",'641'!$N$5&lt;=B1371,'641'!$O$5&gt;=B1371),"641",""))))</f>
        <v/>
      </c>
      <c r="V1371" s="51" t="str">
        <f>IF(OR(TH!L1371=TH!$V$7,M1371=TH!$V$7),"x","")</f>
        <v/>
      </c>
      <c r="W1371" s="51" t="str">
        <f>IF(AND(B1371&gt;='IN-NX'!$P$3,B1371&lt;='IN-NX'!$Q$3,'IN-NX'!$D$7=D1371,OR(LEFT(L1371,2)="15",AND(LEFT(M1371,2)&lt;&gt;"15",LEFT(M1371,2)&lt;&gt;"33"))),"x","")</f>
        <v/>
      </c>
      <c r="X1371" s="51" t="str">
        <f>IF(AND(OR(LEFT(TH!L1371,2)="15",LEFT(TH!M1371,2)="15"),'152-CT'!$J$8=TH!F1371),"x","")</f>
        <v/>
      </c>
      <c r="Y1371" s="51" t="str">
        <f>IF(AND(OR(LEFT(TH!L1371,2)="15",LEFT(TH!M1371,2)="15"),TK!$E$7=TH!F1371),"x","")</f>
        <v/>
      </c>
      <c r="Z1371" s="51" t="str">
        <f>IF(AND(B1371&lt;=NKC!$N$8,B1371&gt;=NKC!$M$8),"x","")</f>
        <v/>
      </c>
      <c r="AA1371" s="803"/>
      <c r="AB1371" s="565"/>
      <c r="AC1371" s="203"/>
      <c r="AD1371" s="203"/>
      <c r="AE1371" s="203"/>
    </row>
    <row r="1372" spans="1:31" s="828" customFormat="1" ht="15.75" customHeight="1">
      <c r="A1372" s="804" t="str">
        <f>IF(B1372&lt;&gt;"",IF(AND(B1372&gt;=_TM1,B1372&lt;=_TM2,OR(TH!L1372="1111",TH!M1372="1111")),TH!D1372,""),"")</f>
        <v/>
      </c>
      <c r="B1372" s="36">
        <f t="shared" si="85"/>
        <v>12</v>
      </c>
      <c r="C1372" s="189">
        <f t="shared" si="86"/>
        <v>42363</v>
      </c>
      <c r="D1372" s="182" t="s">
        <v>1519</v>
      </c>
      <c r="E1372" s="189">
        <v>42363</v>
      </c>
      <c r="F1372" s="187" t="s">
        <v>1227</v>
      </c>
      <c r="G1372" s="813" t="s">
        <v>622</v>
      </c>
      <c r="H1372" s="191" t="s">
        <v>904</v>
      </c>
      <c r="I1372" s="243">
        <v>10</v>
      </c>
      <c r="J1372" s="243">
        <v>25985</v>
      </c>
      <c r="K1372" s="573">
        <f t="shared" si="88"/>
        <v>259850</v>
      </c>
      <c r="L1372" s="574" t="s">
        <v>417</v>
      </c>
      <c r="M1372" s="574" t="s">
        <v>8</v>
      </c>
      <c r="N1372" s="51" t="str">
        <f>IF(AND('331-CT'!$E$7=TH!H1372,OR(L1372="331",M1372="331")),"331",IF(AND(OR(L1372="131",M1372="131"),H1372='131-CT'!$E$7),"131",""))</f>
        <v/>
      </c>
      <c r="O1372" s="51" t="str">
        <f>IF(AND($B1372&gt;='111'!$N$11,$B1372&lt;='111'!$O$11,OR($L1372=$O$7,$M1372=$O$7)),"x","")</f>
        <v/>
      </c>
      <c r="P1372" s="51" t="str">
        <f>IF(AND($L1372=$O$7,$B1372&lt;'111'!$N$11),"x","")</f>
        <v/>
      </c>
      <c r="Q1372" s="51" t="str">
        <f>IF(AND($M1372=$O$7,$B1372&lt;'111'!$N$11),"x","")</f>
        <v/>
      </c>
      <c r="R1372" s="51" t="str">
        <f>IF(ISERROR(FIND('112'!$M$9,G1372,1)),"",IF((AND(FIND('112'!$M$9,G1372,1)&gt;=1,$B1372&gt;='112'!$N$8,$B1372&lt;='112'!$O$8,OR($L1372='112'!$I$6,$M1372='112'!$I$6))),"x",""))</f>
        <v/>
      </c>
      <c r="S1372" s="51" t="str">
        <f>IF(ISERROR(FIND('112'!$M$9,G1372,1)),"",IF((AND(LEFT(G1372,2)=LEFT('112'!$M$9,2),B1372&lt;'112'!$N$8,$L1372='112'!$I$6)),"x",""))</f>
        <v/>
      </c>
      <c r="T1372" s="51" t="str">
        <f>IF(ISERROR(FIND('112'!$M$9,G1372,1)),"",IF((AND(RIGHT(G1372,2)=RIGHT('112'!$M$9,2),B1372&lt;'112'!$N$8,$M1372='112'!$I$6)),"x",""))</f>
        <v/>
      </c>
      <c r="U1372" s="51" t="str">
        <f>IF(AND(L1372="154",'154'!$O$5&lt;=B1372,'154'!$P$5&gt;=B1372),"154",IF(AND(L1372="632",'632'!$L$5&lt;=B1372,'632'!$M$5&gt;=B1372),"632",IF(AND(L1372="642",'642'!$N$5&lt;=B1372,'642'!$O$5&gt;=B1372),"642",IF(AND(L1372="641",'641'!$N$5&lt;=B1372,'641'!$O$5&gt;=B1372),"641",""))))</f>
        <v/>
      </c>
      <c r="V1372" s="51" t="str">
        <f>IF(OR(TH!L1372=TH!$V$7,M1372=TH!$V$7),"x","")</f>
        <v/>
      </c>
      <c r="W1372" s="51" t="str">
        <f>IF(AND(B1372&gt;='IN-NX'!$P$3,B1372&lt;='IN-NX'!$Q$3,'IN-NX'!$D$7=D1372,OR(LEFT(L1372,2)="15",AND(LEFT(M1372,2)&lt;&gt;"15",LEFT(M1372,2)&lt;&gt;"33"))),"x","")</f>
        <v/>
      </c>
      <c r="X1372" s="51" t="str">
        <f>IF(AND(OR(LEFT(TH!L1372,2)="15",LEFT(TH!M1372,2)="15"),'152-CT'!$J$8=TH!F1372),"x","")</f>
        <v/>
      </c>
      <c r="Y1372" s="51" t="str">
        <f>IF(AND(OR(LEFT(TH!L1372,2)="15",LEFT(TH!M1372,2)="15"),TK!$E$7=TH!F1372),"x","")</f>
        <v/>
      </c>
      <c r="Z1372" s="51" t="str">
        <f>IF(AND(B1372&lt;=NKC!$N$8,B1372&gt;=NKC!$M$8),"x","")</f>
        <v/>
      </c>
      <c r="AA1372" s="803"/>
      <c r="AB1372" s="565"/>
      <c r="AC1372" s="203"/>
      <c r="AD1372" s="203"/>
      <c r="AE1372" s="203"/>
    </row>
    <row r="1373" spans="1:31" s="828" customFormat="1" ht="15.75" customHeight="1">
      <c r="A1373" s="804" t="str">
        <f>IF(B1373&lt;&gt;"",IF(AND(B1373&gt;=_TM1,B1373&lt;=_TM2,OR(TH!L1373="1111",TH!M1373="1111")),TH!D1373,""),"")</f>
        <v/>
      </c>
      <c r="B1373" s="36">
        <f t="shared" ref="B1373:B1431" si="89">IF(C1373&lt;&gt;"",MONTH(C1373),"")</f>
        <v>12</v>
      </c>
      <c r="C1373" s="189">
        <f t="shared" ref="C1373:C1431" si="90">E1373</f>
        <v>42363</v>
      </c>
      <c r="D1373" s="182" t="s">
        <v>1519</v>
      </c>
      <c r="E1373" s="189">
        <v>42363</v>
      </c>
      <c r="F1373" s="187" t="s">
        <v>1228</v>
      </c>
      <c r="G1373" s="813" t="s">
        <v>622</v>
      </c>
      <c r="H1373" s="191" t="s">
        <v>904</v>
      </c>
      <c r="I1373" s="243">
        <v>6</v>
      </c>
      <c r="J1373" s="243">
        <v>33564</v>
      </c>
      <c r="K1373" s="573">
        <f t="shared" si="88"/>
        <v>201384</v>
      </c>
      <c r="L1373" s="574" t="s">
        <v>417</v>
      </c>
      <c r="M1373" s="574" t="s">
        <v>8</v>
      </c>
      <c r="N1373" s="51" t="str">
        <f>IF(AND('331-CT'!$E$7=TH!H1373,OR(L1373="331",M1373="331")),"331",IF(AND(OR(L1373="131",M1373="131"),H1373='131-CT'!$E$7),"131",""))</f>
        <v/>
      </c>
      <c r="O1373" s="51" t="str">
        <f>IF(AND($B1373&gt;='111'!$N$11,$B1373&lt;='111'!$O$11,OR($L1373=$O$7,$M1373=$O$7)),"x","")</f>
        <v/>
      </c>
      <c r="P1373" s="51" t="str">
        <f>IF(AND($L1373=$O$7,$B1373&lt;'111'!$N$11),"x","")</f>
        <v/>
      </c>
      <c r="Q1373" s="51" t="str">
        <f>IF(AND($M1373=$O$7,$B1373&lt;'111'!$N$11),"x","")</f>
        <v/>
      </c>
      <c r="R1373" s="51" t="str">
        <f>IF(ISERROR(FIND('112'!$M$9,G1373,1)),"",IF((AND(FIND('112'!$M$9,G1373,1)&gt;=1,$B1373&gt;='112'!$N$8,$B1373&lt;='112'!$O$8,OR($L1373='112'!$I$6,$M1373='112'!$I$6))),"x",""))</f>
        <v/>
      </c>
      <c r="S1373" s="51" t="str">
        <f>IF(ISERROR(FIND('112'!$M$9,G1373,1)),"",IF((AND(LEFT(G1373,2)=LEFT('112'!$M$9,2),B1373&lt;'112'!$N$8,$L1373='112'!$I$6)),"x",""))</f>
        <v/>
      </c>
      <c r="T1373" s="51" t="str">
        <f>IF(ISERROR(FIND('112'!$M$9,G1373,1)),"",IF((AND(RIGHT(G1373,2)=RIGHT('112'!$M$9,2),B1373&lt;'112'!$N$8,$M1373='112'!$I$6)),"x",""))</f>
        <v/>
      </c>
      <c r="U1373" s="51" t="str">
        <f>IF(AND(L1373="154",'154'!$O$5&lt;=B1373,'154'!$P$5&gt;=B1373),"154",IF(AND(L1373="632",'632'!$L$5&lt;=B1373,'632'!$M$5&gt;=B1373),"632",IF(AND(L1373="642",'642'!$N$5&lt;=B1373,'642'!$O$5&gt;=B1373),"642",IF(AND(L1373="641",'641'!$N$5&lt;=B1373,'641'!$O$5&gt;=B1373),"641",""))))</f>
        <v/>
      </c>
      <c r="V1373" s="51" t="str">
        <f>IF(OR(TH!L1373=TH!$V$7,M1373=TH!$V$7),"x","")</f>
        <v/>
      </c>
      <c r="W1373" s="51" t="str">
        <f>IF(AND(B1373&gt;='IN-NX'!$P$3,B1373&lt;='IN-NX'!$Q$3,'IN-NX'!$D$7=D1373,OR(LEFT(L1373,2)="15",AND(LEFT(M1373,2)&lt;&gt;"15",LEFT(M1373,2)&lt;&gt;"33"))),"x","")</f>
        <v/>
      </c>
      <c r="X1373" s="51" t="str">
        <f>IF(AND(OR(LEFT(TH!L1373,2)="15",LEFT(TH!M1373,2)="15"),'152-CT'!$J$8=TH!F1373),"x","")</f>
        <v/>
      </c>
      <c r="Y1373" s="51" t="str">
        <f>IF(AND(OR(LEFT(TH!L1373,2)="15",LEFT(TH!M1373,2)="15"),TK!$E$7=TH!F1373),"x","")</f>
        <v/>
      </c>
      <c r="Z1373" s="51" t="str">
        <f>IF(AND(B1373&lt;=NKC!$N$8,B1373&gt;=NKC!$M$8),"x","")</f>
        <v/>
      </c>
      <c r="AA1373" s="803"/>
      <c r="AB1373" s="565"/>
      <c r="AC1373" s="203"/>
      <c r="AD1373" s="203"/>
      <c r="AE1373" s="203"/>
    </row>
    <row r="1374" spans="1:31" s="828" customFormat="1" ht="15.75" customHeight="1">
      <c r="A1374" s="804" t="str">
        <f>IF(B1374&lt;&gt;"",IF(AND(B1374&gt;=_TM1,B1374&lt;=_TM2,OR(TH!L1374="1111",TH!M1374="1111")),TH!D1374,""),"")</f>
        <v/>
      </c>
      <c r="B1374" s="36">
        <f t="shared" si="89"/>
        <v>12</v>
      </c>
      <c r="C1374" s="189">
        <f t="shared" si="90"/>
        <v>42363</v>
      </c>
      <c r="D1374" s="182" t="s">
        <v>1519</v>
      </c>
      <c r="E1374" s="189">
        <v>42363</v>
      </c>
      <c r="F1374" s="187" t="s">
        <v>1229</v>
      </c>
      <c r="G1374" s="813" t="s">
        <v>622</v>
      </c>
      <c r="H1374" s="191" t="s">
        <v>904</v>
      </c>
      <c r="I1374" s="243">
        <v>8</v>
      </c>
      <c r="J1374" s="243">
        <v>21567</v>
      </c>
      <c r="K1374" s="573">
        <f t="shared" si="88"/>
        <v>172536</v>
      </c>
      <c r="L1374" s="574" t="s">
        <v>417</v>
      </c>
      <c r="M1374" s="574" t="s">
        <v>8</v>
      </c>
      <c r="N1374" s="51" t="str">
        <f>IF(AND('331-CT'!$E$7=TH!H1374,OR(L1374="331",M1374="331")),"331",IF(AND(OR(L1374="131",M1374="131"),H1374='131-CT'!$E$7),"131",""))</f>
        <v/>
      </c>
      <c r="O1374" s="51" t="str">
        <f>IF(AND($B1374&gt;='111'!$N$11,$B1374&lt;='111'!$O$11,OR($L1374=$O$7,$M1374=$O$7)),"x","")</f>
        <v/>
      </c>
      <c r="P1374" s="51" t="str">
        <f>IF(AND($L1374=$O$7,$B1374&lt;'111'!$N$11),"x","")</f>
        <v/>
      </c>
      <c r="Q1374" s="51" t="str">
        <f>IF(AND($M1374=$O$7,$B1374&lt;'111'!$N$11),"x","")</f>
        <v/>
      </c>
      <c r="R1374" s="51" t="str">
        <f>IF(ISERROR(FIND('112'!$M$9,G1374,1)),"",IF((AND(FIND('112'!$M$9,G1374,1)&gt;=1,$B1374&gt;='112'!$N$8,$B1374&lt;='112'!$O$8,OR($L1374='112'!$I$6,$M1374='112'!$I$6))),"x",""))</f>
        <v/>
      </c>
      <c r="S1374" s="51" t="str">
        <f>IF(ISERROR(FIND('112'!$M$9,G1374,1)),"",IF((AND(LEFT(G1374,2)=LEFT('112'!$M$9,2),B1374&lt;'112'!$N$8,$L1374='112'!$I$6)),"x",""))</f>
        <v/>
      </c>
      <c r="T1374" s="51" t="str">
        <f>IF(ISERROR(FIND('112'!$M$9,G1374,1)),"",IF((AND(RIGHT(G1374,2)=RIGHT('112'!$M$9,2),B1374&lt;'112'!$N$8,$M1374='112'!$I$6)),"x",""))</f>
        <v/>
      </c>
      <c r="U1374" s="51" t="str">
        <f>IF(AND(L1374="154",'154'!$O$5&lt;=B1374,'154'!$P$5&gt;=B1374),"154",IF(AND(L1374="632",'632'!$L$5&lt;=B1374,'632'!$M$5&gt;=B1374),"632",IF(AND(L1374="642",'642'!$N$5&lt;=B1374,'642'!$O$5&gt;=B1374),"642",IF(AND(L1374="641",'641'!$N$5&lt;=B1374,'641'!$O$5&gt;=B1374),"641",""))))</f>
        <v/>
      </c>
      <c r="V1374" s="51" t="str">
        <f>IF(OR(TH!L1374=TH!$V$7,M1374=TH!$V$7),"x","")</f>
        <v/>
      </c>
      <c r="W1374" s="51" t="str">
        <f>IF(AND(B1374&gt;='IN-NX'!$P$3,B1374&lt;='IN-NX'!$Q$3,'IN-NX'!$D$7=D1374,OR(LEFT(L1374,2)="15",AND(LEFT(M1374,2)&lt;&gt;"15",LEFT(M1374,2)&lt;&gt;"33"))),"x","")</f>
        <v/>
      </c>
      <c r="X1374" s="51" t="str">
        <f>IF(AND(OR(LEFT(TH!L1374,2)="15",LEFT(TH!M1374,2)="15"),'152-CT'!$J$8=TH!F1374),"x","")</f>
        <v/>
      </c>
      <c r="Y1374" s="51" t="str">
        <f>IF(AND(OR(LEFT(TH!L1374,2)="15",LEFT(TH!M1374,2)="15"),TK!$E$7=TH!F1374),"x","")</f>
        <v/>
      </c>
      <c r="Z1374" s="51" t="str">
        <f>IF(AND(B1374&lt;=NKC!$N$8,B1374&gt;=NKC!$M$8),"x","")</f>
        <v/>
      </c>
      <c r="AA1374" s="803"/>
      <c r="AB1374" s="565"/>
      <c r="AC1374" s="203"/>
      <c r="AD1374" s="203"/>
      <c r="AE1374" s="203"/>
    </row>
    <row r="1375" spans="1:31" s="828" customFormat="1" ht="15.75" customHeight="1">
      <c r="A1375" s="804" t="str">
        <f>IF(B1375&lt;&gt;"",IF(AND(B1375&gt;=_TM1,B1375&lt;=_TM2,OR(TH!L1375="1111",TH!M1375="1111")),TH!D1375,""),"")</f>
        <v/>
      </c>
      <c r="B1375" s="36">
        <f t="shared" si="89"/>
        <v>12</v>
      </c>
      <c r="C1375" s="189">
        <f t="shared" si="90"/>
        <v>42363</v>
      </c>
      <c r="D1375" s="182" t="s">
        <v>1519</v>
      </c>
      <c r="E1375" s="189">
        <v>42363</v>
      </c>
      <c r="F1375" s="187" t="s">
        <v>1230</v>
      </c>
      <c r="G1375" s="813" t="s">
        <v>622</v>
      </c>
      <c r="H1375" s="191" t="s">
        <v>904</v>
      </c>
      <c r="I1375" s="243">
        <v>24</v>
      </c>
      <c r="J1375" s="243">
        <v>75751</v>
      </c>
      <c r="K1375" s="573">
        <f t="shared" ref="K1375:K1396" si="91">ROUND(I1375*J1375,0)</f>
        <v>1818024</v>
      </c>
      <c r="L1375" s="574" t="s">
        <v>417</v>
      </c>
      <c r="M1375" s="574" t="s">
        <v>8</v>
      </c>
      <c r="N1375" s="51" t="str">
        <f>IF(AND('331-CT'!$E$7=TH!H1375,OR(L1375="331",M1375="331")),"331",IF(AND(OR(L1375="131",M1375="131"),H1375='131-CT'!$E$7),"131",""))</f>
        <v/>
      </c>
      <c r="O1375" s="51" t="str">
        <f>IF(AND($B1375&gt;='111'!$N$11,$B1375&lt;='111'!$O$11,OR($L1375=$O$7,$M1375=$O$7)),"x","")</f>
        <v/>
      </c>
      <c r="P1375" s="51" t="str">
        <f>IF(AND($L1375=$O$7,$B1375&lt;'111'!$N$11),"x","")</f>
        <v/>
      </c>
      <c r="Q1375" s="51" t="str">
        <f>IF(AND($M1375=$O$7,$B1375&lt;'111'!$N$11),"x","")</f>
        <v/>
      </c>
      <c r="R1375" s="51" t="str">
        <f>IF(ISERROR(FIND('112'!$M$9,G1375,1)),"",IF((AND(FIND('112'!$M$9,G1375,1)&gt;=1,$B1375&gt;='112'!$N$8,$B1375&lt;='112'!$O$8,OR($L1375='112'!$I$6,$M1375='112'!$I$6))),"x",""))</f>
        <v/>
      </c>
      <c r="S1375" s="51" t="str">
        <f>IF(ISERROR(FIND('112'!$M$9,G1375,1)),"",IF((AND(LEFT(G1375,2)=LEFT('112'!$M$9,2),B1375&lt;'112'!$N$8,$L1375='112'!$I$6)),"x",""))</f>
        <v/>
      </c>
      <c r="T1375" s="51" t="str">
        <f>IF(ISERROR(FIND('112'!$M$9,G1375,1)),"",IF((AND(RIGHT(G1375,2)=RIGHT('112'!$M$9,2),B1375&lt;'112'!$N$8,$M1375='112'!$I$6)),"x",""))</f>
        <v/>
      </c>
      <c r="U1375" s="51" t="str">
        <f>IF(AND(L1375="154",'154'!$O$5&lt;=B1375,'154'!$P$5&gt;=B1375),"154",IF(AND(L1375="632",'632'!$L$5&lt;=B1375,'632'!$M$5&gt;=B1375),"632",IF(AND(L1375="642",'642'!$N$5&lt;=B1375,'642'!$O$5&gt;=B1375),"642",IF(AND(L1375="641",'641'!$N$5&lt;=B1375,'641'!$O$5&gt;=B1375),"641",""))))</f>
        <v/>
      </c>
      <c r="V1375" s="51" t="str">
        <f>IF(OR(TH!L1375=TH!$V$7,M1375=TH!$V$7),"x","")</f>
        <v/>
      </c>
      <c r="W1375" s="51" t="str">
        <f>IF(AND(B1375&gt;='IN-NX'!$P$3,B1375&lt;='IN-NX'!$Q$3,'IN-NX'!$D$7=D1375,OR(LEFT(L1375,2)="15",AND(LEFT(M1375,2)&lt;&gt;"15",LEFT(M1375,2)&lt;&gt;"33"))),"x","")</f>
        <v/>
      </c>
      <c r="X1375" s="51" t="str">
        <f>IF(AND(OR(LEFT(TH!L1375,2)="15",LEFT(TH!M1375,2)="15"),'152-CT'!$J$8=TH!F1375),"x","")</f>
        <v/>
      </c>
      <c r="Y1375" s="51" t="str">
        <f>IF(AND(OR(LEFT(TH!L1375,2)="15",LEFT(TH!M1375,2)="15"),TK!$E$7=TH!F1375),"x","")</f>
        <v/>
      </c>
      <c r="Z1375" s="51" t="str">
        <f>IF(AND(B1375&lt;=NKC!$N$8,B1375&gt;=NKC!$M$8),"x","")</f>
        <v/>
      </c>
      <c r="AA1375" s="803"/>
      <c r="AB1375" s="565"/>
      <c r="AC1375" s="203"/>
      <c r="AD1375" s="203"/>
      <c r="AE1375" s="203"/>
    </row>
    <row r="1376" spans="1:31" s="828" customFormat="1" ht="15.75" customHeight="1">
      <c r="A1376" s="804" t="str">
        <f>IF(B1376&lt;&gt;"",IF(AND(B1376&gt;=_TM1,B1376&lt;=_TM2,OR(TH!L1376="1111",TH!M1376="1111")),TH!D1376,""),"")</f>
        <v/>
      </c>
      <c r="B1376" s="36">
        <f t="shared" si="89"/>
        <v>12</v>
      </c>
      <c r="C1376" s="189">
        <f t="shared" si="90"/>
        <v>42363</v>
      </c>
      <c r="D1376" s="182" t="s">
        <v>1520</v>
      </c>
      <c r="E1376" s="189">
        <v>42363</v>
      </c>
      <c r="F1376" s="187" t="s">
        <v>1148</v>
      </c>
      <c r="G1376" s="813" t="s">
        <v>622</v>
      </c>
      <c r="H1376" s="191" t="s">
        <v>904</v>
      </c>
      <c r="I1376" s="243">
        <v>24</v>
      </c>
      <c r="J1376" s="243">
        <v>30685</v>
      </c>
      <c r="K1376" s="573">
        <f t="shared" si="91"/>
        <v>736440</v>
      </c>
      <c r="L1376" s="574" t="s">
        <v>417</v>
      </c>
      <c r="M1376" s="574" t="s">
        <v>8</v>
      </c>
      <c r="N1376" s="51" t="str">
        <f>IF(AND('331-CT'!$E$7=TH!H1376,OR(L1376="331",M1376="331")),"331",IF(AND(OR(L1376="131",M1376="131"),H1376='131-CT'!$E$7),"131",""))</f>
        <v/>
      </c>
      <c r="O1376" s="51" t="str">
        <f>IF(AND($B1376&gt;='111'!$N$11,$B1376&lt;='111'!$O$11,OR($L1376=$O$7,$M1376=$O$7)),"x","")</f>
        <v/>
      </c>
      <c r="P1376" s="51" t="str">
        <f>IF(AND($L1376=$O$7,$B1376&lt;'111'!$N$11),"x","")</f>
        <v/>
      </c>
      <c r="Q1376" s="51" t="str">
        <f>IF(AND($M1376=$O$7,$B1376&lt;'111'!$N$11),"x","")</f>
        <v/>
      </c>
      <c r="R1376" s="51" t="str">
        <f>IF(ISERROR(FIND('112'!$M$9,G1376,1)),"",IF((AND(FIND('112'!$M$9,G1376,1)&gt;=1,$B1376&gt;='112'!$N$8,$B1376&lt;='112'!$O$8,OR($L1376='112'!$I$6,$M1376='112'!$I$6))),"x",""))</f>
        <v/>
      </c>
      <c r="S1376" s="51" t="str">
        <f>IF(ISERROR(FIND('112'!$M$9,G1376,1)),"",IF((AND(LEFT(G1376,2)=LEFT('112'!$M$9,2),B1376&lt;'112'!$N$8,$L1376='112'!$I$6)),"x",""))</f>
        <v/>
      </c>
      <c r="T1376" s="51" t="str">
        <f>IF(ISERROR(FIND('112'!$M$9,G1376,1)),"",IF((AND(RIGHT(G1376,2)=RIGHT('112'!$M$9,2),B1376&lt;'112'!$N$8,$M1376='112'!$I$6)),"x",""))</f>
        <v/>
      </c>
      <c r="U1376" s="51" t="str">
        <f>IF(AND(L1376="154",'154'!$O$5&lt;=B1376,'154'!$P$5&gt;=B1376),"154",IF(AND(L1376="632",'632'!$L$5&lt;=B1376,'632'!$M$5&gt;=B1376),"632",IF(AND(L1376="642",'642'!$N$5&lt;=B1376,'642'!$O$5&gt;=B1376),"642",IF(AND(L1376="641",'641'!$N$5&lt;=B1376,'641'!$O$5&gt;=B1376),"641",""))))</f>
        <v/>
      </c>
      <c r="V1376" s="51" t="str">
        <f>IF(OR(TH!L1376=TH!$V$7,M1376=TH!$V$7),"x","")</f>
        <v/>
      </c>
      <c r="W1376" s="51" t="str">
        <f>IF(AND(B1376&gt;='IN-NX'!$P$3,B1376&lt;='IN-NX'!$Q$3,'IN-NX'!$D$7=D1376,OR(LEFT(L1376,2)="15",AND(LEFT(M1376,2)&lt;&gt;"15",LEFT(M1376,2)&lt;&gt;"33"))),"x","")</f>
        <v/>
      </c>
      <c r="X1376" s="51" t="str">
        <f>IF(AND(OR(LEFT(TH!L1376,2)="15",LEFT(TH!M1376,2)="15"),'152-CT'!$J$8=TH!F1376),"x","")</f>
        <v/>
      </c>
      <c r="Y1376" s="51" t="str">
        <f>IF(AND(OR(LEFT(TH!L1376,2)="15",LEFT(TH!M1376,2)="15"),TK!$E$7=TH!F1376),"x","")</f>
        <v/>
      </c>
      <c r="Z1376" s="51" t="str">
        <f>IF(AND(B1376&lt;=NKC!$N$8,B1376&gt;=NKC!$M$8),"x","")</f>
        <v/>
      </c>
      <c r="AA1376" s="803"/>
      <c r="AB1376" s="565"/>
      <c r="AC1376" s="203"/>
      <c r="AD1376" s="203"/>
      <c r="AE1376" s="203"/>
    </row>
    <row r="1377" spans="1:31" s="828" customFormat="1" ht="15.75" customHeight="1">
      <c r="A1377" s="804" t="str">
        <f>IF(B1377&lt;&gt;"",IF(AND(B1377&gt;=_TM1,B1377&lt;=_TM2,OR(TH!L1377="1111",TH!M1377="1111")),TH!D1377,""),"")</f>
        <v/>
      </c>
      <c r="B1377" s="36">
        <f t="shared" si="89"/>
        <v>12</v>
      </c>
      <c r="C1377" s="189">
        <f t="shared" si="90"/>
        <v>42363</v>
      </c>
      <c r="D1377" s="182" t="s">
        <v>1520</v>
      </c>
      <c r="E1377" s="189">
        <v>42363</v>
      </c>
      <c r="F1377" s="187" t="s">
        <v>1160</v>
      </c>
      <c r="G1377" s="813" t="s">
        <v>622</v>
      </c>
      <c r="H1377" s="191" t="s">
        <v>904</v>
      </c>
      <c r="I1377" s="243">
        <v>14</v>
      </c>
      <c r="J1377" s="243">
        <v>7075</v>
      </c>
      <c r="K1377" s="573">
        <f t="shared" si="91"/>
        <v>99050</v>
      </c>
      <c r="L1377" s="574" t="s">
        <v>417</v>
      </c>
      <c r="M1377" s="574" t="s">
        <v>8</v>
      </c>
      <c r="N1377" s="51" t="str">
        <f>IF(AND('331-CT'!$E$7=TH!H1377,OR(L1377="331",M1377="331")),"331",IF(AND(OR(L1377="131",M1377="131"),H1377='131-CT'!$E$7),"131",""))</f>
        <v/>
      </c>
      <c r="O1377" s="51" t="str">
        <f>IF(AND($B1377&gt;='111'!$N$11,$B1377&lt;='111'!$O$11,OR($L1377=$O$7,$M1377=$O$7)),"x","")</f>
        <v/>
      </c>
      <c r="P1377" s="51" t="str">
        <f>IF(AND($L1377=$O$7,$B1377&lt;'111'!$N$11),"x","")</f>
        <v/>
      </c>
      <c r="Q1377" s="51" t="str">
        <f>IF(AND($M1377=$O$7,$B1377&lt;'111'!$N$11),"x","")</f>
        <v/>
      </c>
      <c r="R1377" s="51" t="str">
        <f>IF(ISERROR(FIND('112'!$M$9,G1377,1)),"",IF((AND(FIND('112'!$M$9,G1377,1)&gt;=1,$B1377&gt;='112'!$N$8,$B1377&lt;='112'!$O$8,OR($L1377='112'!$I$6,$M1377='112'!$I$6))),"x",""))</f>
        <v/>
      </c>
      <c r="S1377" s="51" t="str">
        <f>IF(ISERROR(FIND('112'!$M$9,G1377,1)),"",IF((AND(LEFT(G1377,2)=LEFT('112'!$M$9,2),B1377&lt;'112'!$N$8,$L1377='112'!$I$6)),"x",""))</f>
        <v/>
      </c>
      <c r="T1377" s="51" t="str">
        <f>IF(ISERROR(FIND('112'!$M$9,G1377,1)),"",IF((AND(RIGHT(G1377,2)=RIGHT('112'!$M$9,2),B1377&lt;'112'!$N$8,$M1377='112'!$I$6)),"x",""))</f>
        <v/>
      </c>
      <c r="U1377" s="51" t="str">
        <f>IF(AND(L1377="154",'154'!$O$5&lt;=B1377,'154'!$P$5&gt;=B1377),"154",IF(AND(L1377="632",'632'!$L$5&lt;=B1377,'632'!$M$5&gt;=B1377),"632",IF(AND(L1377="642",'642'!$N$5&lt;=B1377,'642'!$O$5&gt;=B1377),"642",IF(AND(L1377="641",'641'!$N$5&lt;=B1377,'641'!$O$5&gt;=B1377),"641",""))))</f>
        <v/>
      </c>
      <c r="V1377" s="51" t="str">
        <f>IF(OR(TH!L1377=TH!$V$7,M1377=TH!$V$7),"x","")</f>
        <v/>
      </c>
      <c r="W1377" s="51" t="str">
        <f>IF(AND(B1377&gt;='IN-NX'!$P$3,B1377&lt;='IN-NX'!$Q$3,'IN-NX'!$D$7=D1377,OR(LEFT(L1377,2)="15",AND(LEFT(M1377,2)&lt;&gt;"15",LEFT(M1377,2)&lt;&gt;"33"))),"x","")</f>
        <v/>
      </c>
      <c r="X1377" s="51" t="str">
        <f>IF(AND(OR(LEFT(TH!L1377,2)="15",LEFT(TH!M1377,2)="15"),'152-CT'!$J$8=TH!F1377),"x","")</f>
        <v/>
      </c>
      <c r="Y1377" s="51" t="str">
        <f>IF(AND(OR(LEFT(TH!L1377,2)="15",LEFT(TH!M1377,2)="15"),TK!$E$7=TH!F1377),"x","")</f>
        <v/>
      </c>
      <c r="Z1377" s="51" t="str">
        <f>IF(AND(B1377&lt;=NKC!$N$8,B1377&gt;=NKC!$M$8),"x","")</f>
        <v/>
      </c>
      <c r="AA1377" s="803"/>
      <c r="AB1377" s="565"/>
      <c r="AC1377" s="203"/>
      <c r="AD1377" s="203"/>
      <c r="AE1377" s="203"/>
    </row>
    <row r="1378" spans="1:31" ht="15.75" customHeight="1">
      <c r="A1378" s="804" t="str">
        <f>IF(B1378&lt;&gt;"",IF(AND(B1378&gt;=_TM1,B1378&lt;=_TM2,OR(TH!L1378="1111",TH!M1378="1111")),TH!D1378,""),"")</f>
        <v/>
      </c>
      <c r="B1378" s="36">
        <f t="shared" si="89"/>
        <v>12</v>
      </c>
      <c r="C1378" s="189">
        <f t="shared" si="90"/>
        <v>42363</v>
      </c>
      <c r="D1378" s="182" t="s">
        <v>1520</v>
      </c>
      <c r="E1378" s="189">
        <v>42363</v>
      </c>
      <c r="F1378" s="187" t="s">
        <v>1161</v>
      </c>
      <c r="G1378" s="813" t="s">
        <v>622</v>
      </c>
      <c r="H1378" s="191" t="s">
        <v>904</v>
      </c>
      <c r="I1378" s="243">
        <v>6</v>
      </c>
      <c r="J1378" s="243">
        <v>38356</v>
      </c>
      <c r="K1378" s="573">
        <f t="shared" si="91"/>
        <v>230136</v>
      </c>
      <c r="L1378" s="574" t="s">
        <v>417</v>
      </c>
      <c r="M1378" s="574" t="s">
        <v>8</v>
      </c>
      <c r="N1378" s="51" t="str">
        <f>IF(AND('331-CT'!$E$7=TH!H1378,OR(L1378="331",M1378="331")),"331",IF(AND(OR(L1378="131",M1378="131"),H1378='131-CT'!$E$7),"131",""))</f>
        <v/>
      </c>
      <c r="O1378" s="51" t="str">
        <f>IF(AND($B1378&gt;='111'!$N$11,$B1378&lt;='111'!$O$11,OR($L1378=$O$7,$M1378=$O$7)),"x","")</f>
        <v/>
      </c>
      <c r="P1378" s="51" t="str">
        <f>IF(AND($L1378=$O$7,$B1378&lt;'111'!$N$11),"x","")</f>
        <v/>
      </c>
      <c r="Q1378" s="51" t="str">
        <f>IF(AND($M1378=$O$7,$B1378&lt;'111'!$N$11),"x","")</f>
        <v/>
      </c>
      <c r="R1378" s="51" t="str">
        <f>IF(ISERROR(FIND('112'!$M$9,G1378,1)),"",IF((AND(FIND('112'!$M$9,G1378,1)&gt;=1,$B1378&gt;='112'!$N$8,$B1378&lt;='112'!$O$8,OR($L1378='112'!$I$6,$M1378='112'!$I$6))),"x",""))</f>
        <v/>
      </c>
      <c r="S1378" s="51" t="str">
        <f>IF(ISERROR(FIND('112'!$M$9,G1378,1)),"",IF((AND(LEFT(G1378,2)=LEFT('112'!$M$9,2),B1378&lt;'112'!$N$8,$L1378='112'!$I$6)),"x",""))</f>
        <v/>
      </c>
      <c r="T1378" s="51" t="str">
        <f>IF(ISERROR(FIND('112'!$M$9,G1378,1)),"",IF((AND(RIGHT(G1378,2)=RIGHT('112'!$M$9,2),B1378&lt;'112'!$N$8,$M1378='112'!$I$6)),"x",""))</f>
        <v/>
      </c>
      <c r="U1378" s="51" t="str">
        <f>IF(AND(L1378="154",'154'!$O$5&lt;=B1378,'154'!$P$5&gt;=B1378),"154",IF(AND(L1378="632",'632'!$L$5&lt;=B1378,'632'!$M$5&gt;=B1378),"632",IF(AND(L1378="642",'642'!$N$5&lt;=B1378,'642'!$O$5&gt;=B1378),"642",IF(AND(L1378="641",'641'!$N$5&lt;=B1378,'641'!$O$5&gt;=B1378),"641",""))))</f>
        <v/>
      </c>
      <c r="V1378" s="51" t="str">
        <f>IF(OR(TH!L1378=TH!$V$7,M1378=TH!$V$7),"x","")</f>
        <v/>
      </c>
      <c r="W1378" s="51" t="str">
        <f>IF(AND(B1378&gt;='IN-NX'!$P$3,B1378&lt;='IN-NX'!$Q$3,'IN-NX'!$D$7=D1378,OR(LEFT(L1378,2)="15",AND(LEFT(M1378,2)&lt;&gt;"15",LEFT(M1378,2)&lt;&gt;"33"))),"x","")</f>
        <v/>
      </c>
      <c r="X1378" s="51" t="str">
        <f>IF(AND(OR(LEFT(TH!L1378,2)="15",LEFT(TH!M1378,2)="15"),'152-CT'!$J$8=TH!F1378),"x","")</f>
        <v/>
      </c>
      <c r="Y1378" s="51" t="str">
        <f>IF(AND(OR(LEFT(TH!L1378,2)="15",LEFT(TH!M1378,2)="15"),TK!$E$7=TH!F1378),"x","")</f>
        <v/>
      </c>
      <c r="Z1378" s="51" t="str">
        <f>IF(AND(B1378&lt;=NKC!$N$8,B1378&gt;=NKC!$M$8),"x","")</f>
        <v/>
      </c>
      <c r="AA1378" s="803"/>
      <c r="AB1378" s="565"/>
    </row>
    <row r="1379" spans="1:31" ht="15.75" customHeight="1">
      <c r="A1379" s="804" t="str">
        <f>IF(B1379&lt;&gt;"",IF(AND(B1379&gt;=_TM1,B1379&lt;=_TM2,OR(TH!L1379="1111",TH!M1379="1111")),TH!D1379,""),"")</f>
        <v/>
      </c>
      <c r="B1379" s="36">
        <f t="shared" si="89"/>
        <v>12</v>
      </c>
      <c r="C1379" s="189">
        <f t="shared" si="90"/>
        <v>42363</v>
      </c>
      <c r="D1379" s="182" t="s">
        <v>1520</v>
      </c>
      <c r="E1379" s="189">
        <v>42363</v>
      </c>
      <c r="F1379" s="187" t="s">
        <v>1162</v>
      </c>
      <c r="G1379" s="813" t="s">
        <v>622</v>
      </c>
      <c r="H1379" s="191" t="s">
        <v>904</v>
      </c>
      <c r="I1379" s="243">
        <v>6</v>
      </c>
      <c r="J1379" s="243">
        <v>71080</v>
      </c>
      <c r="K1379" s="573">
        <f t="shared" si="91"/>
        <v>426480</v>
      </c>
      <c r="L1379" s="574" t="s">
        <v>417</v>
      </c>
      <c r="M1379" s="574" t="s">
        <v>8</v>
      </c>
      <c r="N1379" s="51" t="str">
        <f>IF(AND('331-CT'!$E$7=TH!H1379,OR(L1379="331",M1379="331")),"331",IF(AND(OR(L1379="131",M1379="131"),H1379='131-CT'!$E$7),"131",""))</f>
        <v/>
      </c>
      <c r="O1379" s="51" t="str">
        <f>IF(AND($B1379&gt;='111'!$N$11,$B1379&lt;='111'!$O$11,OR($L1379=$O$7,$M1379=$O$7)),"x","")</f>
        <v/>
      </c>
      <c r="P1379" s="51" t="str">
        <f>IF(AND($L1379=$O$7,$B1379&lt;'111'!$N$11),"x","")</f>
        <v/>
      </c>
      <c r="Q1379" s="51" t="str">
        <f>IF(AND($M1379=$O$7,$B1379&lt;'111'!$N$11),"x","")</f>
        <v/>
      </c>
      <c r="R1379" s="51" t="str">
        <f>IF(ISERROR(FIND('112'!$M$9,G1379,1)),"",IF((AND(FIND('112'!$M$9,G1379,1)&gt;=1,$B1379&gt;='112'!$N$8,$B1379&lt;='112'!$O$8,OR($L1379='112'!$I$6,$M1379='112'!$I$6))),"x",""))</f>
        <v/>
      </c>
      <c r="S1379" s="51" t="str">
        <f>IF(ISERROR(FIND('112'!$M$9,G1379,1)),"",IF((AND(LEFT(G1379,2)=LEFT('112'!$M$9,2),B1379&lt;'112'!$N$8,$L1379='112'!$I$6)),"x",""))</f>
        <v/>
      </c>
      <c r="T1379" s="51" t="str">
        <f>IF(ISERROR(FIND('112'!$M$9,G1379,1)),"",IF((AND(RIGHT(G1379,2)=RIGHT('112'!$M$9,2),B1379&lt;'112'!$N$8,$M1379='112'!$I$6)),"x",""))</f>
        <v/>
      </c>
      <c r="U1379" s="51" t="str">
        <f>IF(AND(L1379="154",'154'!$O$5&lt;=B1379,'154'!$P$5&gt;=B1379),"154",IF(AND(L1379="632",'632'!$L$5&lt;=B1379,'632'!$M$5&gt;=B1379),"632",IF(AND(L1379="642",'642'!$N$5&lt;=B1379,'642'!$O$5&gt;=B1379),"642",IF(AND(L1379="641",'641'!$N$5&lt;=B1379,'641'!$O$5&gt;=B1379),"641",""))))</f>
        <v/>
      </c>
      <c r="V1379" s="51" t="str">
        <f>IF(OR(TH!L1379=TH!$V$7,M1379=TH!$V$7),"x","")</f>
        <v/>
      </c>
      <c r="W1379" s="51" t="str">
        <f>IF(AND(B1379&gt;='IN-NX'!$P$3,B1379&lt;='IN-NX'!$Q$3,'IN-NX'!$D$7=D1379,OR(LEFT(L1379,2)="15",AND(LEFT(M1379,2)&lt;&gt;"15",LEFT(M1379,2)&lt;&gt;"33"))),"x","")</f>
        <v/>
      </c>
      <c r="X1379" s="51" t="str">
        <f>IF(AND(OR(LEFT(TH!L1379,2)="15",LEFT(TH!M1379,2)="15"),'152-CT'!$J$8=TH!F1379),"x","")</f>
        <v/>
      </c>
      <c r="Y1379" s="51" t="str">
        <f>IF(AND(OR(LEFT(TH!L1379,2)="15",LEFT(TH!M1379,2)="15"),TK!$E$7=TH!F1379),"x","")</f>
        <v/>
      </c>
      <c r="Z1379" s="51" t="str">
        <f>IF(AND(B1379&lt;=NKC!$N$8,B1379&gt;=NKC!$M$8),"x","")</f>
        <v/>
      </c>
      <c r="AA1379" s="803"/>
      <c r="AB1379" s="565"/>
    </row>
    <row r="1380" spans="1:31" ht="15.75" customHeight="1">
      <c r="A1380" s="804" t="str">
        <f>IF(B1380&lt;&gt;"",IF(AND(B1380&gt;=_TM1,B1380&lt;=_TM2,OR(TH!L1380="1111",TH!M1380="1111")),TH!D1380,""),"")</f>
        <v/>
      </c>
      <c r="B1380" s="36">
        <f t="shared" si="89"/>
        <v>12</v>
      </c>
      <c r="C1380" s="189">
        <f t="shared" si="90"/>
        <v>42363</v>
      </c>
      <c r="D1380" s="182" t="s">
        <v>1520</v>
      </c>
      <c r="E1380" s="189">
        <v>42363</v>
      </c>
      <c r="F1380" s="187" t="s">
        <v>1163</v>
      </c>
      <c r="G1380" s="813" t="s">
        <v>622</v>
      </c>
      <c r="H1380" s="191" t="s">
        <v>904</v>
      </c>
      <c r="I1380" s="243">
        <v>7</v>
      </c>
      <c r="J1380" s="243">
        <v>47381</v>
      </c>
      <c r="K1380" s="573">
        <f t="shared" si="91"/>
        <v>331667</v>
      </c>
      <c r="L1380" s="574" t="s">
        <v>417</v>
      </c>
      <c r="M1380" s="574" t="s">
        <v>8</v>
      </c>
      <c r="N1380" s="51" t="str">
        <f>IF(AND('331-CT'!$E$7=TH!H1380,OR(L1380="331",M1380="331")),"331",IF(AND(OR(L1380="131",M1380="131"),H1380='131-CT'!$E$7),"131",""))</f>
        <v/>
      </c>
      <c r="O1380" s="51" t="str">
        <f>IF(AND($B1380&gt;='111'!$N$11,$B1380&lt;='111'!$O$11,OR($L1380=$O$7,$M1380=$O$7)),"x","")</f>
        <v/>
      </c>
      <c r="P1380" s="51" t="str">
        <f>IF(AND($L1380=$O$7,$B1380&lt;'111'!$N$11),"x","")</f>
        <v/>
      </c>
      <c r="Q1380" s="51" t="str">
        <f>IF(AND($M1380=$O$7,$B1380&lt;'111'!$N$11),"x","")</f>
        <v/>
      </c>
      <c r="R1380" s="51" t="str">
        <f>IF(ISERROR(FIND('112'!$M$9,G1380,1)),"",IF((AND(FIND('112'!$M$9,G1380,1)&gt;=1,$B1380&gt;='112'!$N$8,$B1380&lt;='112'!$O$8,OR($L1380='112'!$I$6,$M1380='112'!$I$6))),"x",""))</f>
        <v/>
      </c>
      <c r="S1380" s="51" t="str">
        <f>IF(ISERROR(FIND('112'!$M$9,G1380,1)),"",IF((AND(LEFT(G1380,2)=LEFT('112'!$M$9,2),B1380&lt;'112'!$N$8,$L1380='112'!$I$6)),"x",""))</f>
        <v/>
      </c>
      <c r="T1380" s="51" t="str">
        <f>IF(ISERROR(FIND('112'!$M$9,G1380,1)),"",IF((AND(RIGHT(G1380,2)=RIGHT('112'!$M$9,2),B1380&lt;'112'!$N$8,$M1380='112'!$I$6)),"x",""))</f>
        <v/>
      </c>
      <c r="U1380" s="51" t="str">
        <f>IF(AND(L1380="154",'154'!$O$5&lt;=B1380,'154'!$P$5&gt;=B1380),"154",IF(AND(L1380="632",'632'!$L$5&lt;=B1380,'632'!$M$5&gt;=B1380),"632",IF(AND(L1380="642",'642'!$N$5&lt;=B1380,'642'!$O$5&gt;=B1380),"642",IF(AND(L1380="641",'641'!$N$5&lt;=B1380,'641'!$O$5&gt;=B1380),"641",""))))</f>
        <v/>
      </c>
      <c r="V1380" s="51" t="str">
        <f>IF(OR(TH!L1380=TH!$V$7,M1380=TH!$V$7),"x","")</f>
        <v/>
      </c>
      <c r="W1380" s="51" t="str">
        <f>IF(AND(B1380&gt;='IN-NX'!$P$3,B1380&lt;='IN-NX'!$Q$3,'IN-NX'!$D$7=D1380,OR(LEFT(L1380,2)="15",AND(LEFT(M1380,2)&lt;&gt;"15",LEFT(M1380,2)&lt;&gt;"33"))),"x","")</f>
        <v/>
      </c>
      <c r="X1380" s="51" t="str">
        <f>IF(AND(OR(LEFT(TH!L1380,2)="15",LEFT(TH!M1380,2)="15"),'152-CT'!$J$8=TH!F1380),"x","")</f>
        <v/>
      </c>
      <c r="Y1380" s="51" t="str">
        <f>IF(AND(OR(LEFT(TH!L1380,2)="15",LEFT(TH!M1380,2)="15"),TK!$E$7=TH!F1380),"x","")</f>
        <v/>
      </c>
      <c r="Z1380" s="51" t="str">
        <f>IF(AND(B1380&lt;=NKC!$N$8,B1380&gt;=NKC!$M$8),"x","")</f>
        <v/>
      </c>
      <c r="AA1380" s="803"/>
      <c r="AB1380" s="565"/>
    </row>
    <row r="1381" spans="1:31" ht="15.75" customHeight="1">
      <c r="A1381" s="804" t="str">
        <f>IF(B1381&lt;&gt;"",IF(AND(B1381&gt;=_TM1,B1381&lt;=_TM2,OR(TH!L1381="1111",TH!M1381="1111")),TH!D1381,""),"")</f>
        <v/>
      </c>
      <c r="B1381" s="36">
        <f t="shared" si="89"/>
        <v>12</v>
      </c>
      <c r="C1381" s="189">
        <f t="shared" si="90"/>
        <v>42363</v>
      </c>
      <c r="D1381" s="182" t="s">
        <v>1520</v>
      </c>
      <c r="E1381" s="189">
        <v>42363</v>
      </c>
      <c r="F1381" s="187" t="s">
        <v>1164</v>
      </c>
      <c r="G1381" s="813" t="s">
        <v>622</v>
      </c>
      <c r="H1381" s="191" t="s">
        <v>904</v>
      </c>
      <c r="I1381" s="243">
        <v>10</v>
      </c>
      <c r="J1381" s="243">
        <v>75810</v>
      </c>
      <c r="K1381" s="573">
        <f t="shared" si="91"/>
        <v>758100</v>
      </c>
      <c r="L1381" s="574" t="s">
        <v>417</v>
      </c>
      <c r="M1381" s="574" t="s">
        <v>8</v>
      </c>
      <c r="N1381" s="51" t="str">
        <f>IF(AND('331-CT'!$E$7=TH!H1381,OR(L1381="331",M1381="331")),"331",IF(AND(OR(L1381="131",M1381="131"),H1381='131-CT'!$E$7),"131",""))</f>
        <v/>
      </c>
      <c r="O1381" s="51" t="str">
        <f>IF(AND($B1381&gt;='111'!$N$11,$B1381&lt;='111'!$O$11,OR($L1381=$O$7,$M1381=$O$7)),"x","")</f>
        <v/>
      </c>
      <c r="P1381" s="51" t="str">
        <f>IF(AND($L1381=$O$7,$B1381&lt;'111'!$N$11),"x","")</f>
        <v/>
      </c>
      <c r="Q1381" s="51" t="str">
        <f>IF(AND($M1381=$O$7,$B1381&lt;'111'!$N$11),"x","")</f>
        <v/>
      </c>
      <c r="R1381" s="51" t="str">
        <f>IF(ISERROR(FIND('112'!$M$9,G1381,1)),"",IF((AND(FIND('112'!$M$9,G1381,1)&gt;=1,$B1381&gt;='112'!$N$8,$B1381&lt;='112'!$O$8,OR($L1381='112'!$I$6,$M1381='112'!$I$6))),"x",""))</f>
        <v/>
      </c>
      <c r="S1381" s="51" t="str">
        <f>IF(ISERROR(FIND('112'!$M$9,G1381,1)),"",IF((AND(LEFT(G1381,2)=LEFT('112'!$M$9,2),B1381&lt;'112'!$N$8,$L1381='112'!$I$6)),"x",""))</f>
        <v/>
      </c>
      <c r="T1381" s="51" t="str">
        <f>IF(ISERROR(FIND('112'!$M$9,G1381,1)),"",IF((AND(RIGHT(G1381,2)=RIGHT('112'!$M$9,2),B1381&lt;'112'!$N$8,$M1381='112'!$I$6)),"x",""))</f>
        <v/>
      </c>
      <c r="U1381" s="51" t="str">
        <f>IF(AND(L1381="154",'154'!$O$5&lt;=B1381,'154'!$P$5&gt;=B1381),"154",IF(AND(L1381="632",'632'!$L$5&lt;=B1381,'632'!$M$5&gt;=B1381),"632",IF(AND(L1381="642",'642'!$N$5&lt;=B1381,'642'!$O$5&gt;=B1381),"642",IF(AND(L1381="641",'641'!$N$5&lt;=B1381,'641'!$O$5&gt;=B1381),"641",""))))</f>
        <v/>
      </c>
      <c r="V1381" s="51" t="str">
        <f>IF(OR(TH!L1381=TH!$V$7,M1381=TH!$V$7),"x","")</f>
        <v/>
      </c>
      <c r="W1381" s="51" t="str">
        <f>IF(AND(B1381&gt;='IN-NX'!$P$3,B1381&lt;='IN-NX'!$Q$3,'IN-NX'!$D$7=D1381,OR(LEFT(L1381,2)="15",AND(LEFT(M1381,2)&lt;&gt;"15",LEFT(M1381,2)&lt;&gt;"33"))),"x","")</f>
        <v/>
      </c>
      <c r="X1381" s="51" t="str">
        <f>IF(AND(OR(LEFT(TH!L1381,2)="15",LEFT(TH!M1381,2)="15"),'152-CT'!$J$8=TH!F1381),"x","")</f>
        <v/>
      </c>
      <c r="Y1381" s="51" t="str">
        <f>IF(AND(OR(LEFT(TH!L1381,2)="15",LEFT(TH!M1381,2)="15"),TK!$E$7=TH!F1381),"x","")</f>
        <v/>
      </c>
      <c r="Z1381" s="51" t="str">
        <f>IF(AND(B1381&lt;=NKC!$N$8,B1381&gt;=NKC!$M$8),"x","")</f>
        <v/>
      </c>
      <c r="AA1381" s="803"/>
      <c r="AB1381" s="565"/>
    </row>
    <row r="1382" spans="1:31" ht="15.75" customHeight="1">
      <c r="A1382" s="804" t="str">
        <f>IF(B1382&lt;&gt;"",IF(AND(B1382&gt;=_TM1,B1382&lt;=_TM2,OR(TH!L1382="1111",TH!M1382="1111")),TH!D1382,""),"")</f>
        <v/>
      </c>
      <c r="B1382" s="36">
        <f t="shared" si="89"/>
        <v>12</v>
      </c>
      <c r="C1382" s="189">
        <f t="shared" si="90"/>
        <v>42363</v>
      </c>
      <c r="D1382" s="182" t="s">
        <v>1520</v>
      </c>
      <c r="E1382" s="189">
        <v>42363</v>
      </c>
      <c r="F1382" s="187" t="s">
        <v>1165</v>
      </c>
      <c r="G1382" s="813" t="s">
        <v>622</v>
      </c>
      <c r="H1382" s="191" t="s">
        <v>904</v>
      </c>
      <c r="I1382" s="243">
        <v>25</v>
      </c>
      <c r="J1382" s="243">
        <v>18663</v>
      </c>
      <c r="K1382" s="573">
        <f t="shared" si="91"/>
        <v>466575</v>
      </c>
      <c r="L1382" s="574" t="s">
        <v>417</v>
      </c>
      <c r="M1382" s="574" t="s">
        <v>8</v>
      </c>
      <c r="N1382" s="51" t="str">
        <f>IF(AND('331-CT'!$E$7=TH!H1382,OR(L1382="331",M1382="331")),"331",IF(AND(OR(L1382="131",M1382="131"),H1382='131-CT'!$E$7),"131",""))</f>
        <v/>
      </c>
      <c r="O1382" s="51" t="str">
        <f>IF(AND($B1382&gt;='111'!$N$11,$B1382&lt;='111'!$O$11,OR($L1382=$O$7,$M1382=$O$7)),"x","")</f>
        <v/>
      </c>
      <c r="P1382" s="51" t="str">
        <f>IF(AND($L1382=$O$7,$B1382&lt;'111'!$N$11),"x","")</f>
        <v/>
      </c>
      <c r="Q1382" s="51" t="str">
        <f>IF(AND($M1382=$O$7,$B1382&lt;'111'!$N$11),"x","")</f>
        <v/>
      </c>
      <c r="R1382" s="51" t="str">
        <f>IF(ISERROR(FIND('112'!$M$9,G1382,1)),"",IF((AND(FIND('112'!$M$9,G1382,1)&gt;=1,$B1382&gt;='112'!$N$8,$B1382&lt;='112'!$O$8,OR($L1382='112'!$I$6,$M1382='112'!$I$6))),"x",""))</f>
        <v/>
      </c>
      <c r="S1382" s="51" t="str">
        <f>IF(ISERROR(FIND('112'!$M$9,G1382,1)),"",IF((AND(LEFT(G1382,2)=LEFT('112'!$M$9,2),B1382&lt;'112'!$N$8,$L1382='112'!$I$6)),"x",""))</f>
        <v/>
      </c>
      <c r="T1382" s="51" t="str">
        <f>IF(ISERROR(FIND('112'!$M$9,G1382,1)),"",IF((AND(RIGHT(G1382,2)=RIGHT('112'!$M$9,2),B1382&lt;'112'!$N$8,$M1382='112'!$I$6)),"x",""))</f>
        <v/>
      </c>
      <c r="U1382" s="51" t="str">
        <f>IF(AND(L1382="154",'154'!$O$5&lt;=B1382,'154'!$P$5&gt;=B1382),"154",IF(AND(L1382="632",'632'!$L$5&lt;=B1382,'632'!$M$5&gt;=B1382),"632",IF(AND(L1382="642",'642'!$N$5&lt;=B1382,'642'!$O$5&gt;=B1382),"642",IF(AND(L1382="641",'641'!$N$5&lt;=B1382,'641'!$O$5&gt;=B1382),"641",""))))</f>
        <v/>
      </c>
      <c r="V1382" s="51" t="str">
        <f>IF(OR(TH!L1382=TH!$V$7,M1382=TH!$V$7),"x","")</f>
        <v/>
      </c>
      <c r="W1382" s="51" t="str">
        <f>IF(AND(B1382&gt;='IN-NX'!$P$3,B1382&lt;='IN-NX'!$Q$3,'IN-NX'!$D$7=D1382,OR(LEFT(L1382,2)="15",AND(LEFT(M1382,2)&lt;&gt;"15",LEFT(M1382,2)&lt;&gt;"33"))),"x","")</f>
        <v/>
      </c>
      <c r="X1382" s="51" t="str">
        <f>IF(AND(OR(LEFT(TH!L1382,2)="15",LEFT(TH!M1382,2)="15"),'152-CT'!$J$8=TH!F1382),"x","")</f>
        <v/>
      </c>
      <c r="Y1382" s="51" t="str">
        <f>IF(AND(OR(LEFT(TH!L1382,2)="15",LEFT(TH!M1382,2)="15"),TK!$E$7=TH!F1382),"x","")</f>
        <v/>
      </c>
      <c r="Z1382" s="51" t="str">
        <f>IF(AND(B1382&lt;=NKC!$N$8,B1382&gt;=NKC!$M$8),"x","")</f>
        <v/>
      </c>
      <c r="AA1382" s="803"/>
      <c r="AB1382" s="565"/>
    </row>
    <row r="1383" spans="1:31" ht="15.75" customHeight="1">
      <c r="A1383" s="804" t="str">
        <f>IF(B1383&lt;&gt;"",IF(AND(B1383&gt;=_TM1,B1383&lt;=_TM2,OR(TH!L1383="1111",TH!M1383="1111")),TH!D1383,""),"")</f>
        <v/>
      </c>
      <c r="B1383" s="36">
        <f t="shared" si="89"/>
        <v>12</v>
      </c>
      <c r="C1383" s="189">
        <f t="shared" si="90"/>
        <v>42363</v>
      </c>
      <c r="D1383" s="182" t="s">
        <v>1520</v>
      </c>
      <c r="E1383" s="189">
        <v>42363</v>
      </c>
      <c r="F1383" s="187" t="s">
        <v>1166</v>
      </c>
      <c r="G1383" s="813" t="s">
        <v>622</v>
      </c>
      <c r="H1383" s="191" t="s">
        <v>904</v>
      </c>
      <c r="I1383" s="243">
        <v>6</v>
      </c>
      <c r="J1383" s="243">
        <v>37724</v>
      </c>
      <c r="K1383" s="573">
        <f t="shared" si="91"/>
        <v>226344</v>
      </c>
      <c r="L1383" s="574" t="s">
        <v>417</v>
      </c>
      <c r="M1383" s="574" t="s">
        <v>8</v>
      </c>
      <c r="N1383" s="51" t="str">
        <f>IF(AND('331-CT'!$E$7=TH!H1383,OR(L1383="331",M1383="331")),"331",IF(AND(OR(L1383="131",M1383="131"),H1383='131-CT'!$E$7),"131",""))</f>
        <v/>
      </c>
      <c r="O1383" s="51" t="str">
        <f>IF(AND($B1383&gt;='111'!$N$11,$B1383&lt;='111'!$O$11,OR($L1383=$O$7,$M1383=$O$7)),"x","")</f>
        <v/>
      </c>
      <c r="P1383" s="51" t="str">
        <f>IF(AND($L1383=$O$7,$B1383&lt;'111'!$N$11),"x","")</f>
        <v/>
      </c>
      <c r="Q1383" s="51" t="str">
        <f>IF(AND($M1383=$O$7,$B1383&lt;'111'!$N$11),"x","")</f>
        <v/>
      </c>
      <c r="R1383" s="51" t="str">
        <f>IF(ISERROR(FIND('112'!$M$9,G1383,1)),"",IF((AND(FIND('112'!$M$9,G1383,1)&gt;=1,$B1383&gt;='112'!$N$8,$B1383&lt;='112'!$O$8,OR($L1383='112'!$I$6,$M1383='112'!$I$6))),"x",""))</f>
        <v/>
      </c>
      <c r="S1383" s="51" t="str">
        <f>IF(ISERROR(FIND('112'!$M$9,G1383,1)),"",IF((AND(LEFT(G1383,2)=LEFT('112'!$M$9,2),B1383&lt;'112'!$N$8,$L1383='112'!$I$6)),"x",""))</f>
        <v/>
      </c>
      <c r="T1383" s="51" t="str">
        <f>IF(ISERROR(FIND('112'!$M$9,G1383,1)),"",IF((AND(RIGHT(G1383,2)=RIGHT('112'!$M$9,2),B1383&lt;'112'!$N$8,$M1383='112'!$I$6)),"x",""))</f>
        <v/>
      </c>
      <c r="U1383" s="51" t="str">
        <f>IF(AND(L1383="154",'154'!$O$5&lt;=B1383,'154'!$P$5&gt;=B1383),"154",IF(AND(L1383="632",'632'!$L$5&lt;=B1383,'632'!$M$5&gt;=B1383),"632",IF(AND(L1383="642",'642'!$N$5&lt;=B1383,'642'!$O$5&gt;=B1383),"642",IF(AND(L1383="641",'641'!$N$5&lt;=B1383,'641'!$O$5&gt;=B1383),"641",""))))</f>
        <v/>
      </c>
      <c r="V1383" s="51" t="str">
        <f>IF(OR(TH!L1383=TH!$V$7,M1383=TH!$V$7),"x","")</f>
        <v/>
      </c>
      <c r="W1383" s="51" t="str">
        <f>IF(AND(B1383&gt;='IN-NX'!$P$3,B1383&lt;='IN-NX'!$Q$3,'IN-NX'!$D$7=D1383,OR(LEFT(L1383,2)="15",AND(LEFT(M1383,2)&lt;&gt;"15",LEFT(M1383,2)&lt;&gt;"33"))),"x","")</f>
        <v/>
      </c>
      <c r="X1383" s="51" t="str">
        <f>IF(AND(OR(LEFT(TH!L1383,2)="15",LEFT(TH!M1383,2)="15"),'152-CT'!$J$8=TH!F1383),"x","")</f>
        <v/>
      </c>
      <c r="Y1383" s="51" t="str">
        <f>IF(AND(OR(LEFT(TH!L1383,2)="15",LEFT(TH!M1383,2)="15"),TK!$E$7=TH!F1383),"x","")</f>
        <v/>
      </c>
      <c r="Z1383" s="51" t="str">
        <f>IF(AND(B1383&lt;=NKC!$N$8,B1383&gt;=NKC!$M$8),"x","")</f>
        <v/>
      </c>
      <c r="AA1383" s="803"/>
      <c r="AB1383" s="565"/>
    </row>
    <row r="1384" spans="1:31" ht="15.75" customHeight="1">
      <c r="A1384" s="804" t="str">
        <f>IF(B1384&lt;&gt;"",IF(AND(B1384&gt;=_TM1,B1384&lt;=_TM2,OR(TH!L1384="1111",TH!M1384="1111")),TH!D1384,""),"")</f>
        <v/>
      </c>
      <c r="B1384" s="36">
        <f t="shared" si="89"/>
        <v>12</v>
      </c>
      <c r="C1384" s="189">
        <f t="shared" si="90"/>
        <v>42363</v>
      </c>
      <c r="D1384" s="182" t="s">
        <v>1520</v>
      </c>
      <c r="E1384" s="189">
        <v>42363</v>
      </c>
      <c r="F1384" s="187" t="s">
        <v>1167</v>
      </c>
      <c r="G1384" s="813" t="s">
        <v>622</v>
      </c>
      <c r="H1384" s="191" t="s">
        <v>904</v>
      </c>
      <c r="I1384" s="243">
        <v>6</v>
      </c>
      <c r="J1384" s="243">
        <v>42868</v>
      </c>
      <c r="K1384" s="573">
        <f t="shared" si="91"/>
        <v>257208</v>
      </c>
      <c r="L1384" s="574" t="s">
        <v>417</v>
      </c>
      <c r="M1384" s="574" t="s">
        <v>8</v>
      </c>
      <c r="N1384" s="51" t="str">
        <f>IF(AND('331-CT'!$E$7=TH!H1384,OR(L1384="331",M1384="331")),"331",IF(AND(OR(L1384="131",M1384="131"),H1384='131-CT'!$E$7),"131",""))</f>
        <v/>
      </c>
      <c r="O1384" s="51" t="str">
        <f>IF(AND($B1384&gt;='111'!$N$11,$B1384&lt;='111'!$O$11,OR($L1384=$O$7,$M1384=$O$7)),"x","")</f>
        <v/>
      </c>
      <c r="P1384" s="51" t="str">
        <f>IF(AND($L1384=$O$7,$B1384&lt;'111'!$N$11),"x","")</f>
        <v/>
      </c>
      <c r="Q1384" s="51" t="str">
        <f>IF(AND($M1384=$O$7,$B1384&lt;'111'!$N$11),"x","")</f>
        <v/>
      </c>
      <c r="R1384" s="51" t="str">
        <f>IF(ISERROR(FIND('112'!$M$9,G1384,1)),"",IF((AND(FIND('112'!$M$9,G1384,1)&gt;=1,$B1384&gt;='112'!$N$8,$B1384&lt;='112'!$O$8,OR($L1384='112'!$I$6,$M1384='112'!$I$6))),"x",""))</f>
        <v/>
      </c>
      <c r="S1384" s="51" t="str">
        <f>IF(ISERROR(FIND('112'!$M$9,G1384,1)),"",IF((AND(LEFT(G1384,2)=LEFT('112'!$M$9,2),B1384&lt;'112'!$N$8,$L1384='112'!$I$6)),"x",""))</f>
        <v/>
      </c>
      <c r="T1384" s="51" t="str">
        <f>IF(ISERROR(FIND('112'!$M$9,G1384,1)),"",IF((AND(RIGHT(G1384,2)=RIGHT('112'!$M$9,2),B1384&lt;'112'!$N$8,$M1384='112'!$I$6)),"x",""))</f>
        <v/>
      </c>
      <c r="U1384" s="51" t="str">
        <f>IF(AND(L1384="154",'154'!$O$5&lt;=B1384,'154'!$P$5&gt;=B1384),"154",IF(AND(L1384="632",'632'!$L$5&lt;=B1384,'632'!$M$5&gt;=B1384),"632",IF(AND(L1384="642",'642'!$N$5&lt;=B1384,'642'!$O$5&gt;=B1384),"642",IF(AND(L1384="641",'641'!$N$5&lt;=B1384,'641'!$O$5&gt;=B1384),"641",""))))</f>
        <v/>
      </c>
      <c r="V1384" s="51" t="str">
        <f>IF(OR(TH!L1384=TH!$V$7,M1384=TH!$V$7),"x","")</f>
        <v/>
      </c>
      <c r="W1384" s="51" t="str">
        <f>IF(AND(B1384&gt;='IN-NX'!$P$3,B1384&lt;='IN-NX'!$Q$3,'IN-NX'!$D$7=D1384,OR(LEFT(L1384,2)="15",AND(LEFT(M1384,2)&lt;&gt;"15",LEFT(M1384,2)&lt;&gt;"33"))),"x","")</f>
        <v/>
      </c>
      <c r="X1384" s="51" t="str">
        <f>IF(AND(OR(LEFT(TH!L1384,2)="15",LEFT(TH!M1384,2)="15"),'152-CT'!$J$8=TH!F1384),"x","")</f>
        <v/>
      </c>
      <c r="Y1384" s="51" t="str">
        <f>IF(AND(OR(LEFT(TH!L1384,2)="15",LEFT(TH!M1384,2)="15"),TK!$E$7=TH!F1384),"x","")</f>
        <v/>
      </c>
      <c r="Z1384" s="51" t="str">
        <f>IF(AND(B1384&lt;=NKC!$N$8,B1384&gt;=NKC!$M$8),"x","")</f>
        <v/>
      </c>
      <c r="AA1384" s="803"/>
      <c r="AB1384" s="565"/>
    </row>
    <row r="1385" spans="1:31" ht="15.75" customHeight="1">
      <c r="A1385" s="804" t="str">
        <f>IF(B1385&lt;&gt;"",IF(AND(B1385&gt;=_TM1,B1385&lt;=_TM2,OR(TH!L1385="1111",TH!M1385="1111")),TH!D1385,""),"")</f>
        <v/>
      </c>
      <c r="B1385" s="36">
        <f t="shared" si="89"/>
        <v>12</v>
      </c>
      <c r="C1385" s="189">
        <f t="shared" si="90"/>
        <v>42363</v>
      </c>
      <c r="D1385" s="182" t="s">
        <v>1520</v>
      </c>
      <c r="E1385" s="189">
        <v>42363</v>
      </c>
      <c r="F1385" s="187" t="s">
        <v>1168</v>
      </c>
      <c r="G1385" s="813" t="s">
        <v>622</v>
      </c>
      <c r="H1385" s="191" t="s">
        <v>904</v>
      </c>
      <c r="I1385" s="243">
        <v>8</v>
      </c>
      <c r="J1385" s="243">
        <v>19062</v>
      </c>
      <c r="K1385" s="573">
        <f t="shared" si="91"/>
        <v>152496</v>
      </c>
      <c r="L1385" s="574" t="s">
        <v>417</v>
      </c>
      <c r="M1385" s="574" t="s">
        <v>8</v>
      </c>
      <c r="N1385" s="51" t="str">
        <f>IF(AND('331-CT'!$E$7=TH!H1385,OR(L1385="331",M1385="331")),"331",IF(AND(OR(L1385="131",M1385="131"),H1385='131-CT'!$E$7),"131",""))</f>
        <v/>
      </c>
      <c r="O1385" s="51" t="str">
        <f>IF(AND($B1385&gt;='111'!$N$11,$B1385&lt;='111'!$O$11,OR($L1385=$O$7,$M1385=$O$7)),"x","")</f>
        <v/>
      </c>
      <c r="P1385" s="51" t="str">
        <f>IF(AND($L1385=$O$7,$B1385&lt;'111'!$N$11),"x","")</f>
        <v/>
      </c>
      <c r="Q1385" s="51" t="str">
        <f>IF(AND($M1385=$O$7,$B1385&lt;'111'!$N$11),"x","")</f>
        <v/>
      </c>
      <c r="R1385" s="51" t="str">
        <f>IF(ISERROR(FIND('112'!$M$9,G1385,1)),"",IF((AND(FIND('112'!$M$9,G1385,1)&gt;=1,$B1385&gt;='112'!$N$8,$B1385&lt;='112'!$O$8,OR($L1385='112'!$I$6,$M1385='112'!$I$6))),"x",""))</f>
        <v/>
      </c>
      <c r="S1385" s="51" t="str">
        <f>IF(ISERROR(FIND('112'!$M$9,G1385,1)),"",IF((AND(LEFT(G1385,2)=LEFT('112'!$M$9,2),B1385&lt;'112'!$N$8,$L1385='112'!$I$6)),"x",""))</f>
        <v/>
      </c>
      <c r="T1385" s="51" t="str">
        <f>IF(ISERROR(FIND('112'!$M$9,G1385,1)),"",IF((AND(RIGHT(G1385,2)=RIGHT('112'!$M$9,2),B1385&lt;'112'!$N$8,$M1385='112'!$I$6)),"x",""))</f>
        <v/>
      </c>
      <c r="U1385" s="51" t="str">
        <f>IF(AND(L1385="154",'154'!$O$5&lt;=B1385,'154'!$P$5&gt;=B1385),"154",IF(AND(L1385="632",'632'!$L$5&lt;=B1385,'632'!$M$5&gt;=B1385),"632",IF(AND(L1385="642",'642'!$N$5&lt;=B1385,'642'!$O$5&gt;=B1385),"642",IF(AND(L1385="641",'641'!$N$5&lt;=B1385,'641'!$O$5&gt;=B1385),"641",""))))</f>
        <v/>
      </c>
      <c r="V1385" s="51" t="str">
        <f>IF(OR(TH!L1385=TH!$V$7,M1385=TH!$V$7),"x","")</f>
        <v/>
      </c>
      <c r="W1385" s="51" t="str">
        <f>IF(AND(B1385&gt;='IN-NX'!$P$3,B1385&lt;='IN-NX'!$Q$3,'IN-NX'!$D$7=D1385,OR(LEFT(L1385,2)="15",AND(LEFT(M1385,2)&lt;&gt;"15",LEFT(M1385,2)&lt;&gt;"33"))),"x","")</f>
        <v/>
      </c>
      <c r="X1385" s="51" t="str">
        <f>IF(AND(OR(LEFT(TH!L1385,2)="15",LEFT(TH!M1385,2)="15"),'152-CT'!$J$8=TH!F1385),"x","")</f>
        <v/>
      </c>
      <c r="Y1385" s="51" t="str">
        <f>IF(AND(OR(LEFT(TH!L1385,2)="15",LEFT(TH!M1385,2)="15"),TK!$E$7=TH!F1385),"x","")</f>
        <v/>
      </c>
      <c r="Z1385" s="51" t="str">
        <f>IF(AND(B1385&lt;=NKC!$N$8,B1385&gt;=NKC!$M$8),"x","")</f>
        <v/>
      </c>
      <c r="AA1385" s="803"/>
      <c r="AB1385" s="565"/>
    </row>
    <row r="1386" spans="1:31" ht="15.75" customHeight="1">
      <c r="A1386" s="804" t="str">
        <f>IF(B1386&lt;&gt;"",IF(AND(B1386&gt;=_TM1,B1386&lt;=_TM2,OR(TH!L1386="1111",TH!M1386="1111")),TH!D1386,""),"")</f>
        <v/>
      </c>
      <c r="B1386" s="36">
        <f t="shared" si="89"/>
        <v>12</v>
      </c>
      <c r="C1386" s="189">
        <f t="shared" si="90"/>
        <v>42363</v>
      </c>
      <c r="D1386" s="182" t="s">
        <v>1520</v>
      </c>
      <c r="E1386" s="189">
        <v>42363</v>
      </c>
      <c r="F1386" s="187" t="s">
        <v>1169</v>
      </c>
      <c r="G1386" s="813" t="s">
        <v>622</v>
      </c>
      <c r="H1386" s="191" t="s">
        <v>904</v>
      </c>
      <c r="I1386" s="243">
        <v>8</v>
      </c>
      <c r="J1386" s="243">
        <v>73102</v>
      </c>
      <c r="K1386" s="573">
        <f t="shared" si="91"/>
        <v>584816</v>
      </c>
      <c r="L1386" s="574" t="s">
        <v>417</v>
      </c>
      <c r="M1386" s="574" t="s">
        <v>8</v>
      </c>
      <c r="N1386" s="51" t="str">
        <f>IF(AND('331-CT'!$E$7=TH!H1386,OR(L1386="331",M1386="331")),"331",IF(AND(OR(L1386="131",M1386="131"),H1386='131-CT'!$E$7),"131",""))</f>
        <v/>
      </c>
      <c r="O1386" s="51" t="str">
        <f>IF(AND($B1386&gt;='111'!$N$11,$B1386&lt;='111'!$O$11,OR($L1386=$O$7,$M1386=$O$7)),"x","")</f>
        <v/>
      </c>
      <c r="P1386" s="51" t="str">
        <f>IF(AND($L1386=$O$7,$B1386&lt;'111'!$N$11),"x","")</f>
        <v/>
      </c>
      <c r="Q1386" s="51" t="str">
        <f>IF(AND($M1386=$O$7,$B1386&lt;'111'!$N$11),"x","")</f>
        <v/>
      </c>
      <c r="R1386" s="51" t="str">
        <f>IF(ISERROR(FIND('112'!$M$9,G1386,1)),"",IF((AND(FIND('112'!$M$9,G1386,1)&gt;=1,$B1386&gt;='112'!$N$8,$B1386&lt;='112'!$O$8,OR($L1386='112'!$I$6,$M1386='112'!$I$6))),"x",""))</f>
        <v/>
      </c>
      <c r="S1386" s="51" t="str">
        <f>IF(ISERROR(FIND('112'!$M$9,G1386,1)),"",IF((AND(LEFT(G1386,2)=LEFT('112'!$M$9,2),B1386&lt;'112'!$N$8,$L1386='112'!$I$6)),"x",""))</f>
        <v/>
      </c>
      <c r="T1386" s="51" t="str">
        <f>IF(ISERROR(FIND('112'!$M$9,G1386,1)),"",IF((AND(RIGHT(G1386,2)=RIGHT('112'!$M$9,2),B1386&lt;'112'!$N$8,$M1386='112'!$I$6)),"x",""))</f>
        <v/>
      </c>
      <c r="U1386" s="51" t="str">
        <f>IF(AND(L1386="154",'154'!$O$5&lt;=B1386,'154'!$P$5&gt;=B1386),"154",IF(AND(L1386="632",'632'!$L$5&lt;=B1386,'632'!$M$5&gt;=B1386),"632",IF(AND(L1386="642",'642'!$N$5&lt;=B1386,'642'!$O$5&gt;=B1386),"642",IF(AND(L1386="641",'641'!$N$5&lt;=B1386,'641'!$O$5&gt;=B1386),"641",""))))</f>
        <v/>
      </c>
      <c r="V1386" s="51" t="str">
        <f>IF(OR(TH!L1386=TH!$V$7,M1386=TH!$V$7),"x","")</f>
        <v/>
      </c>
      <c r="W1386" s="51" t="str">
        <f>IF(AND(B1386&gt;='IN-NX'!$P$3,B1386&lt;='IN-NX'!$Q$3,'IN-NX'!$D$7=D1386,OR(LEFT(L1386,2)="15",AND(LEFT(M1386,2)&lt;&gt;"15",LEFT(M1386,2)&lt;&gt;"33"))),"x","")</f>
        <v/>
      </c>
      <c r="X1386" s="51" t="str">
        <f>IF(AND(OR(LEFT(TH!L1386,2)="15",LEFT(TH!M1386,2)="15"),'152-CT'!$J$8=TH!F1386),"x","")</f>
        <v/>
      </c>
      <c r="Y1386" s="51" t="str">
        <f>IF(AND(OR(LEFT(TH!L1386,2)="15",LEFT(TH!M1386,2)="15"),TK!$E$7=TH!F1386),"x","")</f>
        <v/>
      </c>
      <c r="Z1386" s="51" t="str">
        <f>IF(AND(B1386&lt;=NKC!$N$8,B1386&gt;=NKC!$M$8),"x","")</f>
        <v/>
      </c>
      <c r="AA1386" s="803"/>
      <c r="AB1386" s="565"/>
    </row>
    <row r="1387" spans="1:31" ht="15.75" customHeight="1">
      <c r="A1387" s="804" t="str">
        <f>IF(B1387&lt;&gt;"",IF(AND(B1387&gt;=_TM1,B1387&lt;=_TM2,OR(TH!L1387="1111",TH!M1387="1111")),TH!D1387,""),"")</f>
        <v/>
      </c>
      <c r="B1387" s="36">
        <f t="shared" si="89"/>
        <v>12</v>
      </c>
      <c r="C1387" s="189">
        <f t="shared" si="90"/>
        <v>42363</v>
      </c>
      <c r="D1387" s="182" t="s">
        <v>1521</v>
      </c>
      <c r="E1387" s="189">
        <v>42363</v>
      </c>
      <c r="F1387" s="187" t="s">
        <v>1170</v>
      </c>
      <c r="G1387" s="813" t="s">
        <v>622</v>
      </c>
      <c r="H1387" s="191" t="s">
        <v>904</v>
      </c>
      <c r="I1387" s="243">
        <v>7</v>
      </c>
      <c r="J1387" s="243">
        <v>85340</v>
      </c>
      <c r="K1387" s="573">
        <f t="shared" si="91"/>
        <v>597380</v>
      </c>
      <c r="L1387" s="574" t="s">
        <v>417</v>
      </c>
      <c r="M1387" s="574" t="s">
        <v>8</v>
      </c>
      <c r="N1387" s="51" t="str">
        <f>IF(AND('331-CT'!$E$7=TH!H1387,OR(L1387="331",M1387="331")),"331",IF(AND(OR(L1387="131",M1387="131"),H1387='131-CT'!$E$7),"131",""))</f>
        <v/>
      </c>
      <c r="O1387" s="51" t="str">
        <f>IF(AND($B1387&gt;='111'!$N$11,$B1387&lt;='111'!$O$11,OR($L1387=$O$7,$M1387=$O$7)),"x","")</f>
        <v/>
      </c>
      <c r="P1387" s="51" t="str">
        <f>IF(AND($L1387=$O$7,$B1387&lt;'111'!$N$11),"x","")</f>
        <v/>
      </c>
      <c r="Q1387" s="51" t="str">
        <f>IF(AND($M1387=$O$7,$B1387&lt;'111'!$N$11),"x","")</f>
        <v/>
      </c>
      <c r="R1387" s="51" t="str">
        <f>IF(ISERROR(FIND('112'!$M$9,G1387,1)),"",IF((AND(FIND('112'!$M$9,G1387,1)&gt;=1,$B1387&gt;='112'!$N$8,$B1387&lt;='112'!$O$8,OR($L1387='112'!$I$6,$M1387='112'!$I$6))),"x",""))</f>
        <v/>
      </c>
      <c r="S1387" s="51" t="str">
        <f>IF(ISERROR(FIND('112'!$M$9,G1387,1)),"",IF((AND(LEFT(G1387,2)=LEFT('112'!$M$9,2),B1387&lt;'112'!$N$8,$L1387='112'!$I$6)),"x",""))</f>
        <v/>
      </c>
      <c r="T1387" s="51" t="str">
        <f>IF(ISERROR(FIND('112'!$M$9,G1387,1)),"",IF((AND(RIGHT(G1387,2)=RIGHT('112'!$M$9,2),B1387&lt;'112'!$N$8,$M1387='112'!$I$6)),"x",""))</f>
        <v/>
      </c>
      <c r="U1387" s="51" t="str">
        <f>IF(AND(L1387="154",'154'!$O$5&lt;=B1387,'154'!$P$5&gt;=B1387),"154",IF(AND(L1387="632",'632'!$L$5&lt;=B1387,'632'!$M$5&gt;=B1387),"632",IF(AND(L1387="642",'642'!$N$5&lt;=B1387,'642'!$O$5&gt;=B1387),"642",IF(AND(L1387="641",'641'!$N$5&lt;=B1387,'641'!$O$5&gt;=B1387),"641",""))))</f>
        <v/>
      </c>
      <c r="V1387" s="51" t="str">
        <f>IF(OR(TH!L1387=TH!$V$7,M1387=TH!$V$7),"x","")</f>
        <v/>
      </c>
      <c r="W1387" s="51" t="str">
        <f>IF(AND(B1387&gt;='IN-NX'!$P$3,B1387&lt;='IN-NX'!$Q$3,'IN-NX'!$D$7=D1387,OR(LEFT(L1387,2)="15",AND(LEFT(M1387,2)&lt;&gt;"15",LEFT(M1387,2)&lt;&gt;"33"))),"x","")</f>
        <v/>
      </c>
      <c r="X1387" s="51" t="str">
        <f>IF(AND(OR(LEFT(TH!L1387,2)="15",LEFT(TH!M1387,2)="15"),'152-CT'!$J$8=TH!F1387),"x","")</f>
        <v/>
      </c>
      <c r="Y1387" s="51" t="str">
        <f>IF(AND(OR(LEFT(TH!L1387,2)="15",LEFT(TH!M1387,2)="15"),TK!$E$7=TH!F1387),"x","")</f>
        <v/>
      </c>
      <c r="Z1387" s="51" t="str">
        <f>IF(AND(B1387&lt;=NKC!$N$8,B1387&gt;=NKC!$M$8),"x","")</f>
        <v/>
      </c>
      <c r="AA1387" s="803"/>
      <c r="AB1387" s="565"/>
    </row>
    <row r="1388" spans="1:31" ht="15.75" customHeight="1">
      <c r="A1388" s="804" t="str">
        <f>IF(B1388&lt;&gt;"",IF(AND(B1388&gt;=_TM1,B1388&lt;=_TM2,OR(TH!L1388="1111",TH!M1388="1111")),TH!D1388,""),"")</f>
        <v/>
      </c>
      <c r="B1388" s="36">
        <f t="shared" si="89"/>
        <v>12</v>
      </c>
      <c r="C1388" s="189">
        <f t="shared" si="90"/>
        <v>42363</v>
      </c>
      <c r="D1388" s="182" t="s">
        <v>1521</v>
      </c>
      <c r="E1388" s="189">
        <v>42363</v>
      </c>
      <c r="F1388" s="187" t="s">
        <v>1160</v>
      </c>
      <c r="G1388" s="813" t="s">
        <v>622</v>
      </c>
      <c r="H1388" s="191" t="s">
        <v>904</v>
      </c>
      <c r="I1388" s="243">
        <v>14</v>
      </c>
      <c r="J1388" s="243">
        <v>27075</v>
      </c>
      <c r="K1388" s="573">
        <f t="shared" si="91"/>
        <v>379050</v>
      </c>
      <c r="L1388" s="574" t="s">
        <v>417</v>
      </c>
      <c r="M1388" s="574" t="s">
        <v>8</v>
      </c>
      <c r="N1388" s="51" t="str">
        <f>IF(AND('331-CT'!$E$7=TH!H1388,OR(L1388="331",M1388="331")),"331",IF(AND(OR(L1388="131",M1388="131"),H1388='131-CT'!$E$7),"131",""))</f>
        <v/>
      </c>
      <c r="O1388" s="51" t="str">
        <f>IF(AND($B1388&gt;='111'!$N$11,$B1388&lt;='111'!$O$11,OR($L1388=$O$7,$M1388=$O$7)),"x","")</f>
        <v/>
      </c>
      <c r="P1388" s="51" t="str">
        <f>IF(AND($L1388=$O$7,$B1388&lt;'111'!$N$11),"x","")</f>
        <v/>
      </c>
      <c r="Q1388" s="51" t="str">
        <f>IF(AND($M1388=$O$7,$B1388&lt;'111'!$N$11),"x","")</f>
        <v/>
      </c>
      <c r="R1388" s="51" t="str">
        <f>IF(ISERROR(FIND('112'!$M$9,G1388,1)),"",IF((AND(FIND('112'!$M$9,G1388,1)&gt;=1,$B1388&gt;='112'!$N$8,$B1388&lt;='112'!$O$8,OR($L1388='112'!$I$6,$M1388='112'!$I$6))),"x",""))</f>
        <v/>
      </c>
      <c r="S1388" s="51" t="str">
        <f>IF(ISERROR(FIND('112'!$M$9,G1388,1)),"",IF((AND(LEFT(G1388,2)=LEFT('112'!$M$9,2),B1388&lt;'112'!$N$8,$L1388='112'!$I$6)),"x",""))</f>
        <v/>
      </c>
      <c r="T1388" s="51" t="str">
        <f>IF(ISERROR(FIND('112'!$M$9,G1388,1)),"",IF((AND(RIGHT(G1388,2)=RIGHT('112'!$M$9,2),B1388&lt;'112'!$N$8,$M1388='112'!$I$6)),"x",""))</f>
        <v/>
      </c>
      <c r="U1388" s="51" t="str">
        <f>IF(AND(L1388="154",'154'!$O$5&lt;=B1388,'154'!$P$5&gt;=B1388),"154",IF(AND(L1388="632",'632'!$L$5&lt;=B1388,'632'!$M$5&gt;=B1388),"632",IF(AND(L1388="642",'642'!$N$5&lt;=B1388,'642'!$O$5&gt;=B1388),"642",IF(AND(L1388="641",'641'!$N$5&lt;=B1388,'641'!$O$5&gt;=B1388),"641",""))))</f>
        <v/>
      </c>
      <c r="V1388" s="51" t="str">
        <f>IF(OR(TH!L1388=TH!$V$7,M1388=TH!$V$7),"x","")</f>
        <v/>
      </c>
      <c r="W1388" s="51" t="str">
        <f>IF(AND(B1388&gt;='IN-NX'!$P$3,B1388&lt;='IN-NX'!$Q$3,'IN-NX'!$D$7=D1388,OR(LEFT(L1388,2)="15",AND(LEFT(M1388,2)&lt;&gt;"15",LEFT(M1388,2)&lt;&gt;"33"))),"x","")</f>
        <v/>
      </c>
      <c r="X1388" s="51" t="str">
        <f>IF(AND(OR(LEFT(TH!L1388,2)="15",LEFT(TH!M1388,2)="15"),'152-CT'!$J$8=TH!F1388),"x","")</f>
        <v/>
      </c>
      <c r="Y1388" s="51" t="str">
        <f>IF(AND(OR(LEFT(TH!L1388,2)="15",LEFT(TH!M1388,2)="15"),TK!$E$7=TH!F1388),"x","")</f>
        <v/>
      </c>
      <c r="Z1388" s="51" t="str">
        <f>IF(AND(B1388&lt;=NKC!$N$8,B1388&gt;=NKC!$M$8),"x","")</f>
        <v/>
      </c>
      <c r="AA1388" s="803"/>
      <c r="AB1388" s="565"/>
    </row>
    <row r="1389" spans="1:31" ht="15.75" customHeight="1">
      <c r="A1389" s="804" t="str">
        <f>IF(B1389&lt;&gt;"",IF(AND(B1389&gt;=_TM1,B1389&lt;=_TM2,OR(TH!L1389="1111",TH!M1389="1111")),TH!D1389,""),"")</f>
        <v/>
      </c>
      <c r="B1389" s="36">
        <f t="shared" si="89"/>
        <v>12</v>
      </c>
      <c r="C1389" s="189">
        <f t="shared" si="90"/>
        <v>42363</v>
      </c>
      <c r="D1389" s="182" t="s">
        <v>1521</v>
      </c>
      <c r="E1389" s="189">
        <v>42363</v>
      </c>
      <c r="F1389" s="187" t="s">
        <v>1162</v>
      </c>
      <c r="G1389" s="813" t="s">
        <v>622</v>
      </c>
      <c r="H1389" s="191" t="s">
        <v>904</v>
      </c>
      <c r="I1389" s="243">
        <v>4</v>
      </c>
      <c r="J1389" s="243">
        <v>71080</v>
      </c>
      <c r="K1389" s="573">
        <f t="shared" si="91"/>
        <v>284320</v>
      </c>
      <c r="L1389" s="574" t="s">
        <v>417</v>
      </c>
      <c r="M1389" s="574" t="s">
        <v>8</v>
      </c>
      <c r="N1389" s="51" t="str">
        <f>IF(AND('331-CT'!$E$7=TH!H1389,OR(L1389="331",M1389="331")),"331",IF(AND(OR(L1389="131",M1389="131"),H1389='131-CT'!$E$7),"131",""))</f>
        <v/>
      </c>
      <c r="O1389" s="51" t="str">
        <f>IF(AND($B1389&gt;='111'!$N$11,$B1389&lt;='111'!$O$11,OR($L1389=$O$7,$M1389=$O$7)),"x","")</f>
        <v/>
      </c>
      <c r="P1389" s="51" t="str">
        <f>IF(AND($L1389=$O$7,$B1389&lt;'111'!$N$11),"x","")</f>
        <v/>
      </c>
      <c r="Q1389" s="51" t="str">
        <f>IF(AND($M1389=$O$7,$B1389&lt;'111'!$N$11),"x","")</f>
        <v/>
      </c>
      <c r="R1389" s="51" t="str">
        <f>IF(ISERROR(FIND('112'!$M$9,G1389,1)),"",IF((AND(FIND('112'!$M$9,G1389,1)&gt;=1,$B1389&gt;='112'!$N$8,$B1389&lt;='112'!$O$8,OR($L1389='112'!$I$6,$M1389='112'!$I$6))),"x",""))</f>
        <v/>
      </c>
      <c r="S1389" s="51" t="str">
        <f>IF(ISERROR(FIND('112'!$M$9,G1389,1)),"",IF((AND(LEFT(G1389,2)=LEFT('112'!$M$9,2),B1389&lt;'112'!$N$8,$L1389='112'!$I$6)),"x",""))</f>
        <v/>
      </c>
      <c r="T1389" s="51" t="str">
        <f>IF(ISERROR(FIND('112'!$M$9,G1389,1)),"",IF((AND(RIGHT(G1389,2)=RIGHT('112'!$M$9,2),B1389&lt;'112'!$N$8,$M1389='112'!$I$6)),"x",""))</f>
        <v/>
      </c>
      <c r="U1389" s="51" t="str">
        <f>IF(AND(L1389="154",'154'!$O$5&lt;=B1389,'154'!$P$5&gt;=B1389),"154",IF(AND(L1389="632",'632'!$L$5&lt;=B1389,'632'!$M$5&gt;=B1389),"632",IF(AND(L1389="642",'642'!$N$5&lt;=B1389,'642'!$O$5&gt;=B1389),"642",IF(AND(L1389="641",'641'!$N$5&lt;=B1389,'641'!$O$5&gt;=B1389),"641",""))))</f>
        <v/>
      </c>
      <c r="V1389" s="51" t="str">
        <f>IF(OR(TH!L1389=TH!$V$7,M1389=TH!$V$7),"x","")</f>
        <v/>
      </c>
      <c r="W1389" s="51" t="str">
        <f>IF(AND(B1389&gt;='IN-NX'!$P$3,B1389&lt;='IN-NX'!$Q$3,'IN-NX'!$D$7=D1389,OR(LEFT(L1389,2)="15",AND(LEFT(M1389,2)&lt;&gt;"15",LEFT(M1389,2)&lt;&gt;"33"))),"x","")</f>
        <v/>
      </c>
      <c r="X1389" s="51" t="str">
        <f>IF(AND(OR(LEFT(TH!L1389,2)="15",LEFT(TH!M1389,2)="15"),'152-CT'!$J$8=TH!F1389),"x","")</f>
        <v/>
      </c>
      <c r="Y1389" s="51" t="str">
        <f>IF(AND(OR(LEFT(TH!L1389,2)="15",LEFT(TH!M1389,2)="15"),TK!$E$7=TH!F1389),"x","")</f>
        <v/>
      </c>
      <c r="Z1389" s="51" t="str">
        <f>IF(AND(B1389&lt;=NKC!$N$8,B1389&gt;=NKC!$M$8),"x","")</f>
        <v/>
      </c>
      <c r="AA1389" s="803"/>
      <c r="AB1389" s="565"/>
    </row>
    <row r="1390" spans="1:31" ht="15.75" customHeight="1">
      <c r="A1390" s="804" t="str">
        <f>IF(B1390&lt;&gt;"",IF(AND(B1390&gt;=_TM1,B1390&lt;=_TM2,OR(TH!L1390="1111",TH!M1390="1111")),TH!D1390,""),"")</f>
        <v/>
      </c>
      <c r="B1390" s="36">
        <f t="shared" si="89"/>
        <v>12</v>
      </c>
      <c r="C1390" s="189">
        <f t="shared" si="90"/>
        <v>42363</v>
      </c>
      <c r="D1390" s="182" t="s">
        <v>1521</v>
      </c>
      <c r="E1390" s="189">
        <v>42363</v>
      </c>
      <c r="F1390" s="187" t="s">
        <v>1171</v>
      </c>
      <c r="G1390" s="813" t="s">
        <v>622</v>
      </c>
      <c r="H1390" s="191" t="s">
        <v>904</v>
      </c>
      <c r="I1390" s="243">
        <v>8</v>
      </c>
      <c r="J1390" s="243">
        <v>66969</v>
      </c>
      <c r="K1390" s="573">
        <f t="shared" si="91"/>
        <v>535752</v>
      </c>
      <c r="L1390" s="574" t="s">
        <v>417</v>
      </c>
      <c r="M1390" s="574" t="s">
        <v>8</v>
      </c>
      <c r="N1390" s="51" t="str">
        <f>IF(AND('331-CT'!$E$7=TH!H1390,OR(L1390="331",M1390="331")),"331",IF(AND(OR(L1390="131",M1390="131"),H1390='131-CT'!$E$7),"131",""))</f>
        <v/>
      </c>
      <c r="O1390" s="51" t="str">
        <f>IF(AND($B1390&gt;='111'!$N$11,$B1390&lt;='111'!$O$11,OR($L1390=$O$7,$M1390=$O$7)),"x","")</f>
        <v/>
      </c>
      <c r="P1390" s="51" t="str">
        <f>IF(AND($L1390=$O$7,$B1390&lt;'111'!$N$11),"x","")</f>
        <v/>
      </c>
      <c r="Q1390" s="51" t="str">
        <f>IF(AND($M1390=$O$7,$B1390&lt;'111'!$N$11),"x","")</f>
        <v/>
      </c>
      <c r="R1390" s="51" t="str">
        <f>IF(ISERROR(FIND('112'!$M$9,G1390,1)),"",IF((AND(FIND('112'!$M$9,G1390,1)&gt;=1,$B1390&gt;='112'!$N$8,$B1390&lt;='112'!$O$8,OR($L1390='112'!$I$6,$M1390='112'!$I$6))),"x",""))</f>
        <v/>
      </c>
      <c r="S1390" s="51" t="str">
        <f>IF(ISERROR(FIND('112'!$M$9,G1390,1)),"",IF((AND(LEFT(G1390,2)=LEFT('112'!$M$9,2),B1390&lt;'112'!$N$8,$L1390='112'!$I$6)),"x",""))</f>
        <v/>
      </c>
      <c r="T1390" s="51" t="str">
        <f>IF(ISERROR(FIND('112'!$M$9,G1390,1)),"",IF((AND(RIGHT(G1390,2)=RIGHT('112'!$M$9,2),B1390&lt;'112'!$N$8,$M1390='112'!$I$6)),"x",""))</f>
        <v/>
      </c>
      <c r="U1390" s="51" t="str">
        <f>IF(AND(L1390="154",'154'!$O$5&lt;=B1390,'154'!$P$5&gt;=B1390),"154",IF(AND(L1390="632",'632'!$L$5&lt;=B1390,'632'!$M$5&gt;=B1390),"632",IF(AND(L1390="642",'642'!$N$5&lt;=B1390,'642'!$O$5&gt;=B1390),"642",IF(AND(L1390="641",'641'!$N$5&lt;=B1390,'641'!$O$5&gt;=B1390),"641",""))))</f>
        <v/>
      </c>
      <c r="V1390" s="51" t="str">
        <f>IF(OR(TH!L1390=TH!$V$7,M1390=TH!$V$7),"x","")</f>
        <v/>
      </c>
      <c r="W1390" s="51" t="str">
        <f>IF(AND(B1390&gt;='IN-NX'!$P$3,B1390&lt;='IN-NX'!$Q$3,'IN-NX'!$D$7=D1390,OR(LEFT(L1390,2)="15",AND(LEFT(M1390,2)&lt;&gt;"15",LEFT(M1390,2)&lt;&gt;"33"))),"x","")</f>
        <v/>
      </c>
      <c r="X1390" s="51" t="str">
        <f>IF(AND(OR(LEFT(TH!L1390,2)="15",LEFT(TH!M1390,2)="15"),'152-CT'!$J$8=TH!F1390),"x","")</f>
        <v/>
      </c>
      <c r="Y1390" s="51" t="str">
        <f>IF(AND(OR(LEFT(TH!L1390,2)="15",LEFT(TH!M1390,2)="15"),TK!$E$7=TH!F1390),"x","")</f>
        <v/>
      </c>
      <c r="Z1390" s="51" t="str">
        <f>IF(AND(B1390&lt;=NKC!$N$8,B1390&gt;=NKC!$M$8),"x","")</f>
        <v/>
      </c>
      <c r="AA1390" s="803"/>
      <c r="AB1390" s="565"/>
    </row>
    <row r="1391" spans="1:31" ht="15.75" customHeight="1">
      <c r="A1391" s="804" t="str">
        <f>IF(B1391&lt;&gt;"",IF(AND(B1391&gt;=_TM1,B1391&lt;=_TM2,OR(TH!L1391="1111",TH!M1391="1111")),TH!D1391,""),"")</f>
        <v/>
      </c>
      <c r="B1391" s="36">
        <f t="shared" si="89"/>
        <v>12</v>
      </c>
      <c r="C1391" s="189">
        <f t="shared" si="90"/>
        <v>42363</v>
      </c>
      <c r="D1391" s="182" t="s">
        <v>1521</v>
      </c>
      <c r="E1391" s="189">
        <v>42363</v>
      </c>
      <c r="F1391" s="187" t="s">
        <v>1172</v>
      </c>
      <c r="G1391" s="813" t="s">
        <v>622</v>
      </c>
      <c r="H1391" s="191" t="s">
        <v>904</v>
      </c>
      <c r="I1391" s="243">
        <v>24</v>
      </c>
      <c r="J1391" s="243">
        <v>36470</v>
      </c>
      <c r="K1391" s="573">
        <f t="shared" si="91"/>
        <v>875280</v>
      </c>
      <c r="L1391" s="574" t="s">
        <v>417</v>
      </c>
      <c r="M1391" s="574" t="s">
        <v>8</v>
      </c>
      <c r="N1391" s="51" t="str">
        <f>IF(AND('331-CT'!$E$7=TH!H1391,OR(L1391="331",M1391="331")),"331",IF(AND(OR(L1391="131",M1391="131"),H1391='131-CT'!$E$7),"131",""))</f>
        <v/>
      </c>
      <c r="O1391" s="51" t="str">
        <f>IF(AND($B1391&gt;='111'!$N$11,$B1391&lt;='111'!$O$11,OR($L1391=$O$7,$M1391=$O$7)),"x","")</f>
        <v/>
      </c>
      <c r="P1391" s="51" t="str">
        <f>IF(AND($L1391=$O$7,$B1391&lt;'111'!$N$11),"x","")</f>
        <v/>
      </c>
      <c r="Q1391" s="51" t="str">
        <f>IF(AND($M1391=$O$7,$B1391&lt;'111'!$N$11),"x","")</f>
        <v/>
      </c>
      <c r="R1391" s="51" t="str">
        <f>IF(ISERROR(FIND('112'!$M$9,G1391,1)),"",IF((AND(FIND('112'!$M$9,G1391,1)&gt;=1,$B1391&gt;='112'!$N$8,$B1391&lt;='112'!$O$8,OR($L1391='112'!$I$6,$M1391='112'!$I$6))),"x",""))</f>
        <v/>
      </c>
      <c r="S1391" s="51" t="str">
        <f>IF(ISERROR(FIND('112'!$M$9,G1391,1)),"",IF((AND(LEFT(G1391,2)=LEFT('112'!$M$9,2),B1391&lt;'112'!$N$8,$L1391='112'!$I$6)),"x",""))</f>
        <v/>
      </c>
      <c r="T1391" s="51" t="str">
        <f>IF(ISERROR(FIND('112'!$M$9,G1391,1)),"",IF((AND(RIGHT(G1391,2)=RIGHT('112'!$M$9,2),B1391&lt;'112'!$N$8,$M1391='112'!$I$6)),"x",""))</f>
        <v/>
      </c>
      <c r="U1391" s="51" t="str">
        <f>IF(AND(L1391="154",'154'!$O$5&lt;=B1391,'154'!$P$5&gt;=B1391),"154",IF(AND(L1391="632",'632'!$L$5&lt;=B1391,'632'!$M$5&gt;=B1391),"632",IF(AND(L1391="642",'642'!$N$5&lt;=B1391,'642'!$O$5&gt;=B1391),"642",IF(AND(L1391="641",'641'!$N$5&lt;=B1391,'641'!$O$5&gt;=B1391),"641",""))))</f>
        <v/>
      </c>
      <c r="V1391" s="51" t="str">
        <f>IF(OR(TH!L1391=TH!$V$7,M1391=TH!$V$7),"x","")</f>
        <v/>
      </c>
      <c r="W1391" s="51" t="str">
        <f>IF(AND(B1391&gt;='IN-NX'!$P$3,B1391&lt;='IN-NX'!$Q$3,'IN-NX'!$D$7=D1391,OR(LEFT(L1391,2)="15",AND(LEFT(M1391,2)&lt;&gt;"15",LEFT(M1391,2)&lt;&gt;"33"))),"x","")</f>
        <v/>
      </c>
      <c r="X1391" s="51" t="str">
        <f>IF(AND(OR(LEFT(TH!L1391,2)="15",LEFT(TH!M1391,2)="15"),'152-CT'!$J$8=TH!F1391),"x","")</f>
        <v/>
      </c>
      <c r="Y1391" s="51" t="str">
        <f>IF(AND(OR(LEFT(TH!L1391,2)="15",LEFT(TH!M1391,2)="15"),TK!$E$7=TH!F1391),"x","")</f>
        <v/>
      </c>
      <c r="Z1391" s="51" t="str">
        <f>IF(AND(B1391&lt;=NKC!$N$8,B1391&gt;=NKC!$M$8),"x","")</f>
        <v/>
      </c>
      <c r="AA1391" s="803"/>
      <c r="AB1391" s="565"/>
    </row>
    <row r="1392" spans="1:31" ht="15.75" customHeight="1">
      <c r="A1392" s="804" t="str">
        <f>IF(B1392&lt;&gt;"",IF(AND(B1392&gt;=_TM1,B1392&lt;=_TM2,OR(TH!L1392="1111",TH!M1392="1111")),TH!D1392,""),"")</f>
        <v/>
      </c>
      <c r="B1392" s="36">
        <f t="shared" si="89"/>
        <v>12</v>
      </c>
      <c r="C1392" s="189">
        <f t="shared" si="90"/>
        <v>42363</v>
      </c>
      <c r="D1392" s="182" t="s">
        <v>1521</v>
      </c>
      <c r="E1392" s="189">
        <v>42363</v>
      </c>
      <c r="F1392" s="187" t="s">
        <v>1173</v>
      </c>
      <c r="G1392" s="813" t="s">
        <v>622</v>
      </c>
      <c r="H1392" s="191" t="s">
        <v>904</v>
      </c>
      <c r="I1392" s="243">
        <v>12</v>
      </c>
      <c r="J1392" s="243">
        <v>45436</v>
      </c>
      <c r="K1392" s="573">
        <f t="shared" si="91"/>
        <v>545232</v>
      </c>
      <c r="L1392" s="574" t="s">
        <v>417</v>
      </c>
      <c r="M1392" s="574" t="s">
        <v>8</v>
      </c>
      <c r="N1392" s="51" t="str">
        <f>IF(AND('331-CT'!$E$7=TH!H1392,OR(L1392="331",M1392="331")),"331",IF(AND(OR(L1392="131",M1392="131"),H1392='131-CT'!$E$7),"131",""))</f>
        <v/>
      </c>
      <c r="O1392" s="51" t="str">
        <f>IF(AND($B1392&gt;='111'!$N$11,$B1392&lt;='111'!$O$11,OR($L1392=$O$7,$M1392=$O$7)),"x","")</f>
        <v/>
      </c>
      <c r="P1392" s="51" t="str">
        <f>IF(AND($L1392=$O$7,$B1392&lt;'111'!$N$11),"x","")</f>
        <v/>
      </c>
      <c r="Q1392" s="51" t="str">
        <f>IF(AND($M1392=$O$7,$B1392&lt;'111'!$N$11),"x","")</f>
        <v/>
      </c>
      <c r="R1392" s="51" t="str">
        <f>IF(ISERROR(FIND('112'!$M$9,G1392,1)),"",IF((AND(FIND('112'!$M$9,G1392,1)&gt;=1,$B1392&gt;='112'!$N$8,$B1392&lt;='112'!$O$8,OR($L1392='112'!$I$6,$M1392='112'!$I$6))),"x",""))</f>
        <v/>
      </c>
      <c r="S1392" s="51" t="str">
        <f>IF(ISERROR(FIND('112'!$M$9,G1392,1)),"",IF((AND(LEFT(G1392,2)=LEFT('112'!$M$9,2),B1392&lt;'112'!$N$8,$L1392='112'!$I$6)),"x",""))</f>
        <v/>
      </c>
      <c r="T1392" s="51" t="str">
        <f>IF(ISERROR(FIND('112'!$M$9,G1392,1)),"",IF((AND(RIGHT(G1392,2)=RIGHT('112'!$M$9,2),B1392&lt;'112'!$N$8,$M1392='112'!$I$6)),"x",""))</f>
        <v/>
      </c>
      <c r="U1392" s="51" t="str">
        <f>IF(AND(L1392="154",'154'!$O$5&lt;=B1392,'154'!$P$5&gt;=B1392),"154",IF(AND(L1392="632",'632'!$L$5&lt;=B1392,'632'!$M$5&gt;=B1392),"632",IF(AND(L1392="642",'642'!$N$5&lt;=B1392,'642'!$O$5&gt;=B1392),"642",IF(AND(L1392="641",'641'!$N$5&lt;=B1392,'641'!$O$5&gt;=B1392),"641",""))))</f>
        <v/>
      </c>
      <c r="V1392" s="51" t="str">
        <f>IF(OR(TH!L1392=TH!$V$7,M1392=TH!$V$7),"x","")</f>
        <v/>
      </c>
      <c r="W1392" s="51" t="str">
        <f>IF(AND(B1392&gt;='IN-NX'!$P$3,B1392&lt;='IN-NX'!$Q$3,'IN-NX'!$D$7=D1392,OR(LEFT(L1392,2)="15",AND(LEFT(M1392,2)&lt;&gt;"15",LEFT(M1392,2)&lt;&gt;"33"))),"x","")</f>
        <v/>
      </c>
      <c r="X1392" s="51" t="str">
        <f>IF(AND(OR(LEFT(TH!L1392,2)="15",LEFT(TH!M1392,2)="15"),'152-CT'!$J$8=TH!F1392),"x","")</f>
        <v/>
      </c>
      <c r="Y1392" s="51" t="str">
        <f>IF(AND(OR(LEFT(TH!L1392,2)="15",LEFT(TH!M1392,2)="15"),TK!$E$7=TH!F1392),"x","")</f>
        <v/>
      </c>
      <c r="Z1392" s="51" t="str">
        <f>IF(AND(B1392&lt;=NKC!$N$8,B1392&gt;=NKC!$M$8),"x","")</f>
        <v/>
      </c>
      <c r="AA1392" s="803"/>
      <c r="AB1392" s="565"/>
    </row>
    <row r="1393" spans="1:31" ht="15.75" customHeight="1">
      <c r="A1393" s="804" t="str">
        <f>IF(B1393&lt;&gt;"",IF(AND(B1393&gt;=_TM1,B1393&lt;=_TM2,OR(TH!L1393="1111",TH!M1393="1111")),TH!D1393,""),"")</f>
        <v/>
      </c>
      <c r="B1393" s="36">
        <f t="shared" si="89"/>
        <v>12</v>
      </c>
      <c r="C1393" s="189">
        <f t="shared" si="90"/>
        <v>42363</v>
      </c>
      <c r="D1393" s="182" t="s">
        <v>1521</v>
      </c>
      <c r="E1393" s="189">
        <v>42363</v>
      </c>
      <c r="F1393" s="187" t="s">
        <v>1147</v>
      </c>
      <c r="G1393" s="813" t="s">
        <v>622</v>
      </c>
      <c r="H1393" s="191" t="s">
        <v>904</v>
      </c>
      <c r="I1393" s="243">
        <v>12</v>
      </c>
      <c r="J1393" s="243">
        <v>30875</v>
      </c>
      <c r="K1393" s="573">
        <f t="shared" si="91"/>
        <v>370500</v>
      </c>
      <c r="L1393" s="574" t="s">
        <v>417</v>
      </c>
      <c r="M1393" s="574" t="s">
        <v>8</v>
      </c>
      <c r="N1393" s="51" t="str">
        <f>IF(AND('331-CT'!$E$7=TH!H1393,OR(L1393="331",M1393="331")),"331",IF(AND(OR(L1393="131",M1393="131"),H1393='131-CT'!$E$7),"131",""))</f>
        <v/>
      </c>
      <c r="O1393" s="51" t="str">
        <f>IF(AND($B1393&gt;='111'!$N$11,$B1393&lt;='111'!$O$11,OR($L1393=$O$7,$M1393=$O$7)),"x","")</f>
        <v/>
      </c>
      <c r="P1393" s="51" t="str">
        <f>IF(AND($L1393=$O$7,$B1393&lt;'111'!$N$11),"x","")</f>
        <v/>
      </c>
      <c r="Q1393" s="51" t="str">
        <f>IF(AND($M1393=$O$7,$B1393&lt;'111'!$N$11),"x","")</f>
        <v/>
      </c>
      <c r="R1393" s="51" t="str">
        <f>IF(ISERROR(FIND('112'!$M$9,G1393,1)),"",IF((AND(FIND('112'!$M$9,G1393,1)&gt;=1,$B1393&gt;='112'!$N$8,$B1393&lt;='112'!$O$8,OR($L1393='112'!$I$6,$M1393='112'!$I$6))),"x",""))</f>
        <v/>
      </c>
      <c r="S1393" s="51" t="str">
        <f>IF(ISERROR(FIND('112'!$M$9,G1393,1)),"",IF((AND(LEFT(G1393,2)=LEFT('112'!$M$9,2),B1393&lt;'112'!$N$8,$L1393='112'!$I$6)),"x",""))</f>
        <v/>
      </c>
      <c r="T1393" s="51" t="str">
        <f>IF(ISERROR(FIND('112'!$M$9,G1393,1)),"",IF((AND(RIGHT(G1393,2)=RIGHT('112'!$M$9,2),B1393&lt;'112'!$N$8,$M1393='112'!$I$6)),"x",""))</f>
        <v/>
      </c>
      <c r="U1393" s="51" t="str">
        <f>IF(AND(L1393="154",'154'!$O$5&lt;=B1393,'154'!$P$5&gt;=B1393),"154",IF(AND(L1393="632",'632'!$L$5&lt;=B1393,'632'!$M$5&gt;=B1393),"632",IF(AND(L1393="642",'642'!$N$5&lt;=B1393,'642'!$O$5&gt;=B1393),"642",IF(AND(L1393="641",'641'!$N$5&lt;=B1393,'641'!$O$5&gt;=B1393),"641",""))))</f>
        <v/>
      </c>
      <c r="V1393" s="51" t="str">
        <f>IF(OR(TH!L1393=TH!$V$7,M1393=TH!$V$7),"x","")</f>
        <v/>
      </c>
      <c r="W1393" s="51" t="str">
        <f>IF(AND(B1393&gt;='IN-NX'!$P$3,B1393&lt;='IN-NX'!$Q$3,'IN-NX'!$D$7=D1393,OR(LEFT(L1393,2)="15",AND(LEFT(M1393,2)&lt;&gt;"15",LEFT(M1393,2)&lt;&gt;"33"))),"x","")</f>
        <v/>
      </c>
      <c r="X1393" s="51" t="str">
        <f>IF(AND(OR(LEFT(TH!L1393,2)="15",LEFT(TH!M1393,2)="15"),'152-CT'!$J$8=TH!F1393),"x","")</f>
        <v/>
      </c>
      <c r="Y1393" s="51" t="str">
        <f>IF(AND(OR(LEFT(TH!L1393,2)="15",LEFT(TH!M1393,2)="15"),TK!$E$7=TH!F1393),"x","")</f>
        <v/>
      </c>
      <c r="Z1393" s="51" t="str">
        <f>IF(AND(B1393&lt;=NKC!$N$8,B1393&gt;=NKC!$M$8),"x","")</f>
        <v/>
      </c>
      <c r="AA1393" s="803"/>
      <c r="AB1393" s="565"/>
    </row>
    <row r="1394" spans="1:31" ht="15.75" customHeight="1">
      <c r="A1394" s="804" t="str">
        <f>IF(B1394&lt;&gt;"",IF(AND(B1394&gt;=_TM1,B1394&lt;=_TM2,OR(TH!L1394="1111",TH!M1394="1111")),TH!D1394,""),"")</f>
        <v/>
      </c>
      <c r="B1394" s="36">
        <f t="shared" si="89"/>
        <v>12</v>
      </c>
      <c r="C1394" s="189">
        <f t="shared" si="90"/>
        <v>42363</v>
      </c>
      <c r="D1394" s="182" t="s">
        <v>1521</v>
      </c>
      <c r="E1394" s="189">
        <v>42363</v>
      </c>
      <c r="F1394" s="187" t="s">
        <v>1148</v>
      </c>
      <c r="G1394" s="813" t="s">
        <v>622</v>
      </c>
      <c r="H1394" s="191" t="s">
        <v>904</v>
      </c>
      <c r="I1394" s="243">
        <v>12</v>
      </c>
      <c r="J1394" s="243">
        <v>30031</v>
      </c>
      <c r="K1394" s="573">
        <f t="shared" si="91"/>
        <v>360372</v>
      </c>
      <c r="L1394" s="574" t="s">
        <v>417</v>
      </c>
      <c r="M1394" s="574" t="s">
        <v>8</v>
      </c>
      <c r="N1394" s="51" t="str">
        <f>IF(AND('331-CT'!$E$7=TH!H1394,OR(L1394="331",M1394="331")),"331",IF(AND(OR(L1394="131",M1394="131"),H1394='131-CT'!$E$7),"131",""))</f>
        <v/>
      </c>
      <c r="O1394" s="51" t="str">
        <f>IF(AND($B1394&gt;='111'!$N$11,$B1394&lt;='111'!$O$11,OR($L1394=$O$7,$M1394=$O$7)),"x","")</f>
        <v/>
      </c>
      <c r="P1394" s="51" t="str">
        <f>IF(AND($L1394=$O$7,$B1394&lt;'111'!$N$11),"x","")</f>
        <v/>
      </c>
      <c r="Q1394" s="51" t="str">
        <f>IF(AND($M1394=$O$7,$B1394&lt;'111'!$N$11),"x","")</f>
        <v/>
      </c>
      <c r="R1394" s="51" t="str">
        <f>IF(ISERROR(FIND('112'!$M$9,G1394,1)),"",IF((AND(FIND('112'!$M$9,G1394,1)&gt;=1,$B1394&gt;='112'!$N$8,$B1394&lt;='112'!$O$8,OR($L1394='112'!$I$6,$M1394='112'!$I$6))),"x",""))</f>
        <v/>
      </c>
      <c r="S1394" s="51" t="str">
        <f>IF(ISERROR(FIND('112'!$M$9,G1394,1)),"",IF((AND(LEFT(G1394,2)=LEFT('112'!$M$9,2),B1394&lt;'112'!$N$8,$L1394='112'!$I$6)),"x",""))</f>
        <v/>
      </c>
      <c r="T1394" s="51" t="str">
        <f>IF(ISERROR(FIND('112'!$M$9,G1394,1)),"",IF((AND(RIGHT(G1394,2)=RIGHT('112'!$M$9,2),B1394&lt;'112'!$N$8,$M1394='112'!$I$6)),"x",""))</f>
        <v/>
      </c>
      <c r="U1394" s="51" t="str">
        <f>IF(AND(L1394="154",'154'!$O$5&lt;=B1394,'154'!$P$5&gt;=B1394),"154",IF(AND(L1394="632",'632'!$L$5&lt;=B1394,'632'!$M$5&gt;=B1394),"632",IF(AND(L1394="642",'642'!$N$5&lt;=B1394,'642'!$O$5&gt;=B1394),"642",IF(AND(L1394="641",'641'!$N$5&lt;=B1394,'641'!$O$5&gt;=B1394),"641",""))))</f>
        <v/>
      </c>
      <c r="V1394" s="51" t="str">
        <f>IF(OR(TH!L1394=TH!$V$7,M1394=TH!$V$7),"x","")</f>
        <v/>
      </c>
      <c r="W1394" s="51" t="str">
        <f>IF(AND(B1394&gt;='IN-NX'!$P$3,B1394&lt;='IN-NX'!$Q$3,'IN-NX'!$D$7=D1394,OR(LEFT(L1394,2)="15",AND(LEFT(M1394,2)&lt;&gt;"15",LEFT(M1394,2)&lt;&gt;"33"))),"x","")</f>
        <v/>
      </c>
      <c r="X1394" s="51" t="str">
        <f>IF(AND(OR(LEFT(TH!L1394,2)="15",LEFT(TH!M1394,2)="15"),'152-CT'!$J$8=TH!F1394),"x","")</f>
        <v/>
      </c>
      <c r="Y1394" s="51" t="str">
        <f>IF(AND(OR(LEFT(TH!L1394,2)="15",LEFT(TH!M1394,2)="15"),TK!$E$7=TH!F1394),"x","")</f>
        <v/>
      </c>
      <c r="Z1394" s="51" t="str">
        <f>IF(AND(B1394&lt;=NKC!$N$8,B1394&gt;=NKC!$M$8),"x","")</f>
        <v/>
      </c>
      <c r="AA1394" s="803"/>
      <c r="AB1394" s="565"/>
    </row>
    <row r="1395" spans="1:31" ht="15.75" customHeight="1">
      <c r="A1395" s="804" t="str">
        <f>IF(B1395&lt;&gt;"",IF(AND(B1395&gt;=_TM1,B1395&lt;=_TM2,OR(TH!L1395="1111",TH!M1395="1111")),TH!D1395,""),"")</f>
        <v/>
      </c>
      <c r="B1395" s="36">
        <f t="shared" si="89"/>
        <v>12</v>
      </c>
      <c r="C1395" s="189">
        <f t="shared" si="90"/>
        <v>42363</v>
      </c>
      <c r="D1395" s="182" t="s">
        <v>1521</v>
      </c>
      <c r="E1395" s="189">
        <v>42363</v>
      </c>
      <c r="F1395" s="187" t="s">
        <v>1174</v>
      </c>
      <c r="G1395" s="813" t="s">
        <v>622</v>
      </c>
      <c r="H1395" s="191" t="s">
        <v>904</v>
      </c>
      <c r="I1395" s="243">
        <v>12</v>
      </c>
      <c r="J1395" s="243">
        <v>35924</v>
      </c>
      <c r="K1395" s="573">
        <f t="shared" si="91"/>
        <v>431088</v>
      </c>
      <c r="L1395" s="574" t="s">
        <v>417</v>
      </c>
      <c r="M1395" s="574" t="s">
        <v>8</v>
      </c>
      <c r="N1395" s="51" t="str">
        <f>IF(AND('331-CT'!$E$7=TH!H1395,OR(L1395="331",M1395="331")),"331",IF(AND(OR(L1395="131",M1395="131"),H1395='131-CT'!$E$7),"131",""))</f>
        <v/>
      </c>
      <c r="O1395" s="51" t="str">
        <f>IF(AND($B1395&gt;='111'!$N$11,$B1395&lt;='111'!$O$11,OR($L1395=$O$7,$M1395=$O$7)),"x","")</f>
        <v/>
      </c>
      <c r="P1395" s="51" t="str">
        <f>IF(AND($L1395=$O$7,$B1395&lt;'111'!$N$11),"x","")</f>
        <v/>
      </c>
      <c r="Q1395" s="51" t="str">
        <f>IF(AND($M1395=$O$7,$B1395&lt;'111'!$N$11),"x","")</f>
        <v/>
      </c>
      <c r="R1395" s="51" t="str">
        <f>IF(ISERROR(FIND('112'!$M$9,G1395,1)),"",IF((AND(FIND('112'!$M$9,G1395,1)&gt;=1,$B1395&gt;='112'!$N$8,$B1395&lt;='112'!$O$8,OR($L1395='112'!$I$6,$M1395='112'!$I$6))),"x",""))</f>
        <v/>
      </c>
      <c r="S1395" s="51" t="str">
        <f>IF(ISERROR(FIND('112'!$M$9,G1395,1)),"",IF((AND(LEFT(G1395,2)=LEFT('112'!$M$9,2),B1395&lt;'112'!$N$8,$L1395='112'!$I$6)),"x",""))</f>
        <v/>
      </c>
      <c r="T1395" s="51" t="str">
        <f>IF(ISERROR(FIND('112'!$M$9,G1395,1)),"",IF((AND(RIGHT(G1395,2)=RIGHT('112'!$M$9,2),B1395&lt;'112'!$N$8,$M1395='112'!$I$6)),"x",""))</f>
        <v/>
      </c>
      <c r="U1395" s="51" t="str">
        <f>IF(AND(L1395="154",'154'!$O$5&lt;=B1395,'154'!$P$5&gt;=B1395),"154",IF(AND(L1395="632",'632'!$L$5&lt;=B1395,'632'!$M$5&gt;=B1395),"632",IF(AND(L1395="642",'642'!$N$5&lt;=B1395,'642'!$O$5&gt;=B1395),"642",IF(AND(L1395="641",'641'!$N$5&lt;=B1395,'641'!$O$5&gt;=B1395),"641",""))))</f>
        <v/>
      </c>
      <c r="V1395" s="51" t="str">
        <f>IF(OR(TH!L1395=TH!$V$7,M1395=TH!$V$7),"x","")</f>
        <v/>
      </c>
      <c r="W1395" s="51" t="str">
        <f>IF(AND(B1395&gt;='IN-NX'!$P$3,B1395&lt;='IN-NX'!$Q$3,'IN-NX'!$D$7=D1395,OR(LEFT(L1395,2)="15",AND(LEFT(M1395,2)&lt;&gt;"15",LEFT(M1395,2)&lt;&gt;"33"))),"x","")</f>
        <v/>
      </c>
      <c r="X1395" s="51" t="str">
        <f>IF(AND(OR(LEFT(TH!L1395,2)="15",LEFT(TH!M1395,2)="15"),'152-CT'!$J$8=TH!F1395),"x","")</f>
        <v/>
      </c>
      <c r="Y1395" s="51" t="str">
        <f>IF(AND(OR(LEFT(TH!L1395,2)="15",LEFT(TH!M1395,2)="15"),TK!$E$7=TH!F1395),"x","")</f>
        <v/>
      </c>
      <c r="Z1395" s="51" t="str">
        <f>IF(AND(B1395&lt;=NKC!$N$8,B1395&gt;=NKC!$M$8),"x","")</f>
        <v/>
      </c>
      <c r="AA1395" s="803"/>
      <c r="AB1395" s="565"/>
    </row>
    <row r="1396" spans="1:31" ht="15.75" customHeight="1">
      <c r="A1396" s="804" t="str">
        <f>IF(B1396&lt;&gt;"",IF(AND(B1396&gt;=_TM1,B1396&lt;=_TM2,OR(TH!L1396="1111",TH!M1396="1111")),TH!D1396,""),"")</f>
        <v/>
      </c>
      <c r="B1396" s="36">
        <f t="shared" si="89"/>
        <v>12</v>
      </c>
      <c r="C1396" s="189">
        <f t="shared" si="90"/>
        <v>42363</v>
      </c>
      <c r="D1396" s="182" t="s">
        <v>1521</v>
      </c>
      <c r="E1396" s="189">
        <v>42363</v>
      </c>
      <c r="F1396" s="187" t="s">
        <v>1175</v>
      </c>
      <c r="G1396" s="813" t="s">
        <v>622</v>
      </c>
      <c r="H1396" s="191" t="s">
        <v>904</v>
      </c>
      <c r="I1396" s="243">
        <v>12</v>
      </c>
      <c r="J1396" s="243">
        <v>66528</v>
      </c>
      <c r="K1396" s="573">
        <f t="shared" si="91"/>
        <v>798336</v>
      </c>
      <c r="L1396" s="574" t="s">
        <v>417</v>
      </c>
      <c r="M1396" s="574" t="s">
        <v>8</v>
      </c>
      <c r="N1396" s="51" t="str">
        <f>IF(AND('331-CT'!$E$7=TH!H1396,OR(L1396="331",M1396="331")),"331",IF(AND(OR(L1396="131",M1396="131"),H1396='131-CT'!$E$7),"131",""))</f>
        <v/>
      </c>
      <c r="O1396" s="51" t="str">
        <f>IF(AND($B1396&gt;='111'!$N$11,$B1396&lt;='111'!$O$11,OR($L1396=$O$7,$M1396=$O$7)),"x","")</f>
        <v/>
      </c>
      <c r="P1396" s="51" t="str">
        <f>IF(AND($L1396=$O$7,$B1396&lt;'111'!$N$11),"x","")</f>
        <v/>
      </c>
      <c r="Q1396" s="51" t="str">
        <f>IF(AND($M1396=$O$7,$B1396&lt;'111'!$N$11),"x","")</f>
        <v/>
      </c>
      <c r="R1396" s="51" t="str">
        <f>IF(ISERROR(FIND('112'!$M$9,G1396,1)),"",IF((AND(FIND('112'!$M$9,G1396,1)&gt;=1,$B1396&gt;='112'!$N$8,$B1396&lt;='112'!$O$8,OR($L1396='112'!$I$6,$M1396='112'!$I$6))),"x",""))</f>
        <v/>
      </c>
      <c r="S1396" s="51" t="str">
        <f>IF(ISERROR(FIND('112'!$M$9,G1396,1)),"",IF((AND(LEFT(G1396,2)=LEFT('112'!$M$9,2),B1396&lt;'112'!$N$8,$L1396='112'!$I$6)),"x",""))</f>
        <v/>
      </c>
      <c r="T1396" s="51" t="str">
        <f>IF(ISERROR(FIND('112'!$M$9,G1396,1)),"",IF((AND(RIGHT(G1396,2)=RIGHT('112'!$M$9,2),B1396&lt;'112'!$N$8,$M1396='112'!$I$6)),"x",""))</f>
        <v/>
      </c>
      <c r="U1396" s="51" t="str">
        <f>IF(AND(L1396="154",'154'!$O$5&lt;=B1396,'154'!$P$5&gt;=B1396),"154",IF(AND(L1396="632",'632'!$L$5&lt;=B1396,'632'!$M$5&gt;=B1396),"632",IF(AND(L1396="642",'642'!$N$5&lt;=B1396,'642'!$O$5&gt;=B1396),"642",IF(AND(L1396="641",'641'!$N$5&lt;=B1396,'641'!$O$5&gt;=B1396),"641",""))))</f>
        <v/>
      </c>
      <c r="V1396" s="51" t="str">
        <f>IF(OR(TH!L1396=TH!$V$7,M1396=TH!$V$7),"x","")</f>
        <v/>
      </c>
      <c r="W1396" s="51" t="str">
        <f>IF(AND(B1396&gt;='IN-NX'!$P$3,B1396&lt;='IN-NX'!$Q$3,'IN-NX'!$D$7=D1396,OR(LEFT(L1396,2)="15",AND(LEFT(M1396,2)&lt;&gt;"15",LEFT(M1396,2)&lt;&gt;"33"))),"x","")</f>
        <v/>
      </c>
      <c r="X1396" s="51" t="str">
        <f>IF(AND(OR(LEFT(TH!L1396,2)="15",LEFT(TH!M1396,2)="15"),'152-CT'!$J$8=TH!F1396),"x","")</f>
        <v/>
      </c>
      <c r="Y1396" s="51" t="str">
        <f>IF(AND(OR(LEFT(TH!L1396,2)="15",LEFT(TH!M1396,2)="15"),TK!$E$7=TH!F1396),"x","")</f>
        <v/>
      </c>
      <c r="Z1396" s="51" t="str">
        <f>IF(AND(B1396&lt;=NKC!$N$8,B1396&gt;=NKC!$M$8),"x","")</f>
        <v/>
      </c>
      <c r="AA1396" s="803"/>
      <c r="AB1396" s="565"/>
    </row>
    <row r="1397" spans="1:31" ht="15.75" customHeight="1">
      <c r="A1397" s="804" t="str">
        <f>IF(B1397&lt;&gt;"",IF(AND(B1397&gt;=_TM1,B1397&lt;=_TM2,OR(TH!L1397="1111",TH!M1397="1111")),TH!D1397,""),"")</f>
        <v/>
      </c>
      <c r="B1397" s="820">
        <f t="shared" si="89"/>
        <v>12</v>
      </c>
      <c r="C1397" s="821">
        <f t="shared" si="90"/>
        <v>42363</v>
      </c>
      <c r="D1397" s="182" t="s">
        <v>1521</v>
      </c>
      <c r="E1397" s="821">
        <v>42363</v>
      </c>
      <c r="F1397" s="822" t="s">
        <v>778</v>
      </c>
      <c r="G1397" s="829" t="s">
        <v>622</v>
      </c>
      <c r="H1397" s="824" t="s">
        <v>904</v>
      </c>
      <c r="I1397" s="825"/>
      <c r="J1397" s="825"/>
      <c r="K1397" s="818">
        <v>3048290</v>
      </c>
      <c r="L1397" s="819" t="s">
        <v>9</v>
      </c>
      <c r="M1397" s="819" t="s">
        <v>8</v>
      </c>
      <c r="N1397" s="51" t="str">
        <f>IF(AND('331-CT'!$E$7=TH!H1397,OR(L1397="331",M1397="331")),"331",IF(AND(OR(L1397="131",M1397="131"),H1397='131-CT'!$E$7),"131",""))</f>
        <v/>
      </c>
      <c r="O1397" s="51" t="str">
        <f>IF(AND($B1397&gt;='111'!$N$11,$B1397&lt;='111'!$O$11,OR($L1397=$O$7,$M1397=$O$7)),"x","")</f>
        <v/>
      </c>
      <c r="P1397" s="51" t="str">
        <f>IF(AND($L1397=$O$7,$B1397&lt;'111'!$N$11),"x","")</f>
        <v/>
      </c>
      <c r="Q1397" s="51" t="str">
        <f>IF(AND($M1397=$O$7,$B1397&lt;'111'!$N$11),"x","")</f>
        <v/>
      </c>
      <c r="R1397" s="51" t="str">
        <f>IF(ISERROR(FIND('112'!$M$9,G1397,1)),"",IF((AND(FIND('112'!$M$9,G1397,1)&gt;=1,$B1397&gt;='112'!$N$8,$B1397&lt;='112'!$O$8,OR($L1397='112'!$I$6,$M1397='112'!$I$6))),"x",""))</f>
        <v/>
      </c>
      <c r="S1397" s="51" t="str">
        <f>IF(ISERROR(FIND('112'!$M$9,G1397,1)),"",IF((AND(LEFT(G1397,2)=LEFT('112'!$M$9,2),B1397&lt;'112'!$N$8,$L1397='112'!$I$6)),"x",""))</f>
        <v/>
      </c>
      <c r="T1397" s="51" t="str">
        <f>IF(ISERROR(FIND('112'!$M$9,G1397,1)),"",IF((AND(RIGHT(G1397,2)=RIGHT('112'!$M$9,2),B1397&lt;'112'!$N$8,$M1397='112'!$I$6)),"x",""))</f>
        <v/>
      </c>
      <c r="U1397" s="51" t="str">
        <f>IF(AND(L1397="154",'154'!$O$5&lt;=B1397,'154'!$P$5&gt;=B1397),"154",IF(AND(L1397="632",'632'!$L$5&lt;=B1397,'632'!$M$5&gt;=B1397),"632",IF(AND(L1397="642",'642'!$N$5&lt;=B1397,'642'!$O$5&gt;=B1397),"642",IF(AND(L1397="641",'641'!$N$5&lt;=B1397,'641'!$O$5&gt;=B1397),"641",""))))</f>
        <v/>
      </c>
      <c r="V1397" s="51" t="str">
        <f>IF(OR(TH!L1397=TH!$V$7,M1397=TH!$V$7),"x","")</f>
        <v/>
      </c>
      <c r="W1397" s="51" t="str">
        <f>IF(AND(B1397&gt;='IN-NX'!$P$3,B1397&lt;='IN-NX'!$Q$3,'IN-NX'!$D$7=D1397,OR(LEFT(L1397,2)="15",AND(LEFT(M1397,2)&lt;&gt;"15",LEFT(M1397,2)&lt;&gt;"33"))),"x","")</f>
        <v/>
      </c>
      <c r="X1397" s="51" t="str">
        <f>IF(AND(OR(LEFT(TH!L1397,2)="15",LEFT(TH!M1397,2)="15"),'152-CT'!$J$8=TH!F1397),"x","")</f>
        <v/>
      </c>
      <c r="Y1397" s="51" t="str">
        <f>IF(AND(OR(LEFT(TH!L1397,2)="15",LEFT(TH!M1397,2)="15"),TK!$E$7=TH!F1397),"x","")</f>
        <v/>
      </c>
      <c r="Z1397" s="51" t="str">
        <f>IF(AND(B1397&lt;=NKC!$N$8,B1397&gt;=NKC!$M$8),"x","")</f>
        <v/>
      </c>
      <c r="AA1397" s="826">
        <v>4</v>
      </c>
      <c r="AB1397" s="827"/>
      <c r="AC1397" s="828"/>
      <c r="AD1397" s="828"/>
      <c r="AE1397" s="828"/>
    </row>
    <row r="1398" spans="1:31" ht="15.75" customHeight="1">
      <c r="A1398" s="804" t="str">
        <f>IF(B1398&lt;&gt;"",IF(AND(B1398&gt;=_TM1,B1398&lt;=_TM2,OR(TH!L1398="1111",TH!M1398="1111")),TH!D1398,""),"")</f>
        <v/>
      </c>
      <c r="B1398" s="36">
        <f t="shared" si="89"/>
        <v>12</v>
      </c>
      <c r="C1398" s="189">
        <f t="shared" si="90"/>
        <v>42363</v>
      </c>
      <c r="D1398" s="182" t="s">
        <v>1522</v>
      </c>
      <c r="E1398" s="189">
        <v>42363</v>
      </c>
      <c r="F1398" s="926" t="s">
        <v>925</v>
      </c>
      <c r="G1398" s="813" t="s">
        <v>924</v>
      </c>
      <c r="H1398" s="191" t="s">
        <v>904</v>
      </c>
      <c r="I1398" s="243">
        <v>2200</v>
      </c>
      <c r="J1398" s="243">
        <v>9598</v>
      </c>
      <c r="K1398" s="573">
        <f>ROUND(I1398*J1398,0)</f>
        <v>21115600</v>
      </c>
      <c r="L1398" s="574" t="s">
        <v>417</v>
      </c>
      <c r="M1398" s="574" t="s">
        <v>8</v>
      </c>
      <c r="N1398" s="51" t="str">
        <f>IF(AND('331-CT'!$E$7=TH!H1398,OR(L1398="331",M1398="331")),"331",IF(AND(OR(L1398="131",M1398="131"),H1398='131-CT'!$E$7),"131",""))</f>
        <v/>
      </c>
      <c r="O1398" s="51" t="str">
        <f>IF(AND($B1398&gt;='111'!$N$11,$B1398&lt;='111'!$O$11,OR($L1398=$O$7,$M1398=$O$7)),"x","")</f>
        <v/>
      </c>
      <c r="P1398" s="51" t="str">
        <f>IF(AND($L1398=$O$7,$B1398&lt;'111'!$N$11),"x","")</f>
        <v/>
      </c>
      <c r="Q1398" s="51" t="str">
        <f>IF(AND($M1398=$O$7,$B1398&lt;'111'!$N$11),"x","")</f>
        <v/>
      </c>
      <c r="R1398" s="51" t="str">
        <f>IF(ISERROR(FIND('112'!$M$9,G1398,1)),"",IF((AND(FIND('112'!$M$9,G1398,1)&gt;=1,$B1398&gt;='112'!$N$8,$B1398&lt;='112'!$O$8,OR($L1398='112'!$I$6,$M1398='112'!$I$6))),"x",""))</f>
        <v/>
      </c>
      <c r="S1398" s="51" t="str">
        <f>IF(ISERROR(FIND('112'!$M$9,G1398,1)),"",IF((AND(LEFT(G1398,2)=LEFT('112'!$M$9,2),B1398&lt;'112'!$N$8,$L1398='112'!$I$6)),"x",""))</f>
        <v/>
      </c>
      <c r="T1398" s="51" t="str">
        <f>IF(ISERROR(FIND('112'!$M$9,G1398,1)),"",IF((AND(RIGHT(G1398,2)=RIGHT('112'!$M$9,2),B1398&lt;'112'!$N$8,$M1398='112'!$I$6)),"x",""))</f>
        <v/>
      </c>
      <c r="U1398" s="51" t="str">
        <f>IF(AND(L1398="154",'154'!$O$5&lt;=B1398,'154'!$P$5&gt;=B1398),"154",IF(AND(L1398="632",'632'!$L$5&lt;=B1398,'632'!$M$5&gt;=B1398),"632",IF(AND(L1398="642",'642'!$N$5&lt;=B1398,'642'!$O$5&gt;=B1398),"642",IF(AND(L1398="641",'641'!$N$5&lt;=B1398,'641'!$O$5&gt;=B1398),"641",""))))</f>
        <v/>
      </c>
      <c r="V1398" s="51" t="str">
        <f>IF(OR(TH!L1398=TH!$V$7,M1398=TH!$V$7),"x","")</f>
        <v/>
      </c>
      <c r="W1398" s="51" t="str">
        <f>IF(AND(B1398&gt;='IN-NX'!$P$3,B1398&lt;='IN-NX'!$Q$3,'IN-NX'!$D$7=D1398,OR(LEFT(L1398,2)="15",AND(LEFT(M1398,2)&lt;&gt;"15",LEFT(M1398,2)&lt;&gt;"33"))),"x","")</f>
        <v/>
      </c>
      <c r="X1398" s="51" t="str">
        <f>IF(AND(OR(LEFT(TH!L1398,2)="15",LEFT(TH!M1398,2)="15"),'152-CT'!$J$8=TH!F1398),"x","")</f>
        <v/>
      </c>
      <c r="Y1398" s="51" t="str">
        <f>IF(AND(OR(LEFT(TH!L1398,2)="15",LEFT(TH!M1398,2)="15"),TK!$E$7=TH!F1398),"x","")</f>
        <v/>
      </c>
      <c r="Z1398" s="51" t="str">
        <f>IF(AND(B1398&lt;=NKC!$N$8,B1398&gt;=NKC!$M$8),"x","")</f>
        <v/>
      </c>
      <c r="AA1398" s="803"/>
      <c r="AB1398" s="565"/>
    </row>
    <row r="1399" spans="1:31" ht="15.75" customHeight="1">
      <c r="A1399" s="804" t="str">
        <f>IF(B1399&lt;&gt;"",IF(AND(B1399&gt;=_TM1,B1399&lt;=_TM2,OR(TH!L1399="1111",TH!M1399="1111")),TH!D1399,""),"")</f>
        <v/>
      </c>
      <c r="B1399" s="36">
        <f t="shared" si="89"/>
        <v>12</v>
      </c>
      <c r="C1399" s="189">
        <f t="shared" si="90"/>
        <v>42363</v>
      </c>
      <c r="D1399" s="182" t="s">
        <v>1522</v>
      </c>
      <c r="E1399" s="189">
        <v>42363</v>
      </c>
      <c r="F1399" s="926" t="s">
        <v>926</v>
      </c>
      <c r="G1399" s="813" t="s">
        <v>924</v>
      </c>
      <c r="H1399" s="191" t="s">
        <v>904</v>
      </c>
      <c r="I1399" s="243">
        <v>1750</v>
      </c>
      <c r="J1399" s="243">
        <v>8234</v>
      </c>
      <c r="K1399" s="573">
        <f>ROUND(I1399*J1399,0)</f>
        <v>14409500</v>
      </c>
      <c r="L1399" s="574" t="s">
        <v>417</v>
      </c>
      <c r="M1399" s="574" t="s">
        <v>8</v>
      </c>
      <c r="N1399" s="51" t="str">
        <f>IF(AND('331-CT'!$E$7=TH!H1399,OR(L1399="331",M1399="331")),"331",IF(AND(OR(L1399="131",M1399="131"),H1399='131-CT'!$E$7),"131",""))</f>
        <v/>
      </c>
      <c r="O1399" s="51" t="str">
        <f>IF(AND($B1399&gt;='111'!$N$11,$B1399&lt;='111'!$O$11,OR($L1399=$O$7,$M1399=$O$7)),"x","")</f>
        <v/>
      </c>
      <c r="P1399" s="51" t="str">
        <f>IF(AND($L1399=$O$7,$B1399&lt;'111'!$N$11),"x","")</f>
        <v/>
      </c>
      <c r="Q1399" s="51" t="str">
        <f>IF(AND($M1399=$O$7,$B1399&lt;'111'!$N$11),"x","")</f>
        <v/>
      </c>
      <c r="R1399" s="51" t="str">
        <f>IF(ISERROR(FIND('112'!$M$9,G1399,1)),"",IF((AND(FIND('112'!$M$9,G1399,1)&gt;=1,$B1399&gt;='112'!$N$8,$B1399&lt;='112'!$O$8,OR($L1399='112'!$I$6,$M1399='112'!$I$6))),"x",""))</f>
        <v/>
      </c>
      <c r="S1399" s="51" t="str">
        <f>IF(ISERROR(FIND('112'!$M$9,G1399,1)),"",IF((AND(LEFT(G1399,2)=LEFT('112'!$M$9,2),B1399&lt;'112'!$N$8,$L1399='112'!$I$6)),"x",""))</f>
        <v/>
      </c>
      <c r="T1399" s="51" t="str">
        <f>IF(ISERROR(FIND('112'!$M$9,G1399,1)),"",IF((AND(RIGHT(G1399,2)=RIGHT('112'!$M$9,2),B1399&lt;'112'!$N$8,$M1399='112'!$I$6)),"x",""))</f>
        <v/>
      </c>
      <c r="U1399" s="51" t="str">
        <f>IF(AND(L1399="154",'154'!$O$5&lt;=B1399,'154'!$P$5&gt;=B1399),"154",IF(AND(L1399="632",'632'!$L$5&lt;=B1399,'632'!$M$5&gt;=B1399),"632",IF(AND(L1399="642",'642'!$N$5&lt;=B1399,'642'!$O$5&gt;=B1399),"642",IF(AND(L1399="641",'641'!$N$5&lt;=B1399,'641'!$O$5&gt;=B1399),"641",""))))</f>
        <v/>
      </c>
      <c r="V1399" s="51" t="str">
        <f>IF(OR(TH!L1399=TH!$V$7,M1399=TH!$V$7),"x","")</f>
        <v/>
      </c>
      <c r="W1399" s="51" t="str">
        <f>IF(AND(B1399&gt;='IN-NX'!$P$3,B1399&lt;='IN-NX'!$Q$3,'IN-NX'!$D$7=D1399,OR(LEFT(L1399,2)="15",AND(LEFT(M1399,2)&lt;&gt;"15",LEFT(M1399,2)&lt;&gt;"33"))),"x","")</f>
        <v/>
      </c>
      <c r="X1399" s="51" t="str">
        <f>IF(AND(OR(LEFT(TH!L1399,2)="15",LEFT(TH!M1399,2)="15"),'152-CT'!$J$8=TH!F1399),"x","")</f>
        <v/>
      </c>
      <c r="Y1399" s="51" t="str">
        <f>IF(AND(OR(LEFT(TH!L1399,2)="15",LEFT(TH!M1399,2)="15"),TK!$E$7=TH!F1399),"x","")</f>
        <v/>
      </c>
      <c r="Z1399" s="51" t="str">
        <f>IF(AND(B1399&lt;=NKC!$N$8,B1399&gt;=NKC!$M$8),"x","")</f>
        <v/>
      </c>
      <c r="AA1399" s="803"/>
      <c r="AB1399" s="565"/>
    </row>
    <row r="1400" spans="1:31" ht="15.75" customHeight="1">
      <c r="A1400" s="804" t="str">
        <f>IF(B1400&lt;&gt;"",IF(AND(B1400&gt;=_TM1,B1400&lt;=_TM2,OR(TH!L1400="1111",TH!M1400="1111")),TH!D1400,""),"")</f>
        <v/>
      </c>
      <c r="B1400" s="36">
        <f t="shared" si="89"/>
        <v>12</v>
      </c>
      <c r="C1400" s="189">
        <f t="shared" si="90"/>
        <v>42363</v>
      </c>
      <c r="D1400" s="182" t="s">
        <v>1522</v>
      </c>
      <c r="E1400" s="189">
        <v>42363</v>
      </c>
      <c r="F1400" s="190" t="s">
        <v>927</v>
      </c>
      <c r="G1400" s="813" t="s">
        <v>924</v>
      </c>
      <c r="H1400" s="191" t="s">
        <v>904</v>
      </c>
      <c r="I1400" s="243">
        <v>2000</v>
      </c>
      <c r="J1400" s="243">
        <v>9383</v>
      </c>
      <c r="K1400" s="573">
        <f>ROUND(I1400*J1400,0)</f>
        <v>18766000</v>
      </c>
      <c r="L1400" s="574" t="s">
        <v>417</v>
      </c>
      <c r="M1400" s="574" t="s">
        <v>8</v>
      </c>
      <c r="N1400" s="51" t="str">
        <f>IF(AND('331-CT'!$E$7=TH!H1400,OR(L1400="331",M1400="331")),"331",IF(AND(OR(L1400="131",M1400="131"),H1400='131-CT'!$E$7),"131",""))</f>
        <v/>
      </c>
      <c r="O1400" s="51" t="str">
        <f>IF(AND($B1400&gt;='111'!$N$11,$B1400&lt;='111'!$O$11,OR($L1400=$O$7,$M1400=$O$7)),"x","")</f>
        <v/>
      </c>
      <c r="P1400" s="51" t="str">
        <f>IF(AND($L1400=$O$7,$B1400&lt;'111'!$N$11),"x","")</f>
        <v/>
      </c>
      <c r="Q1400" s="51" t="str">
        <f>IF(AND($M1400=$O$7,$B1400&lt;'111'!$N$11),"x","")</f>
        <v/>
      </c>
      <c r="R1400" s="51" t="str">
        <f>IF(ISERROR(FIND('112'!$M$9,G1400,1)),"",IF((AND(FIND('112'!$M$9,G1400,1)&gt;=1,$B1400&gt;='112'!$N$8,$B1400&lt;='112'!$O$8,OR($L1400='112'!$I$6,$M1400='112'!$I$6))),"x",""))</f>
        <v/>
      </c>
      <c r="S1400" s="51" t="str">
        <f>IF(ISERROR(FIND('112'!$M$9,G1400,1)),"",IF((AND(LEFT(G1400,2)=LEFT('112'!$M$9,2),B1400&lt;'112'!$N$8,$L1400='112'!$I$6)),"x",""))</f>
        <v/>
      </c>
      <c r="T1400" s="51" t="str">
        <f>IF(ISERROR(FIND('112'!$M$9,G1400,1)),"",IF((AND(RIGHT(G1400,2)=RIGHT('112'!$M$9,2),B1400&lt;'112'!$N$8,$M1400='112'!$I$6)),"x",""))</f>
        <v/>
      </c>
      <c r="U1400" s="51" t="str">
        <f>IF(AND(L1400="154",'154'!$O$5&lt;=B1400,'154'!$P$5&gt;=B1400),"154",IF(AND(L1400="632",'632'!$L$5&lt;=B1400,'632'!$M$5&gt;=B1400),"632",IF(AND(L1400="642",'642'!$N$5&lt;=B1400,'642'!$O$5&gt;=B1400),"642",IF(AND(L1400="641",'641'!$N$5&lt;=B1400,'641'!$O$5&gt;=B1400),"641",""))))</f>
        <v/>
      </c>
      <c r="V1400" s="51" t="str">
        <f>IF(OR(TH!L1400=TH!$V$7,M1400=TH!$V$7),"x","")</f>
        <v/>
      </c>
      <c r="W1400" s="51" t="str">
        <f>IF(AND(B1400&gt;='IN-NX'!$P$3,B1400&lt;='IN-NX'!$Q$3,'IN-NX'!$D$7=D1400,OR(LEFT(L1400,2)="15",AND(LEFT(M1400,2)&lt;&gt;"15",LEFT(M1400,2)&lt;&gt;"33"))),"x","")</f>
        <v/>
      </c>
      <c r="X1400" s="51" t="str">
        <f>IF(AND(OR(LEFT(TH!L1400,2)="15",LEFT(TH!M1400,2)="15"),'152-CT'!$J$8=TH!F1400),"x","")</f>
        <v/>
      </c>
      <c r="Y1400" s="51" t="str">
        <f>IF(AND(OR(LEFT(TH!L1400,2)="15",LEFT(TH!M1400,2)="15"),TK!$E$7=TH!F1400),"x","")</f>
        <v/>
      </c>
      <c r="Z1400" s="51" t="str">
        <f>IF(AND(B1400&lt;=NKC!$N$8,B1400&gt;=NKC!$M$8),"x","")</f>
        <v/>
      </c>
      <c r="AA1400" s="803"/>
      <c r="AB1400" s="565"/>
    </row>
    <row r="1401" spans="1:31" ht="15.75" customHeight="1">
      <c r="A1401" s="804" t="str">
        <f>IF(B1401&lt;&gt;"",IF(AND(B1401&gt;=_TM1,B1401&lt;=_TM2,OR(TH!L1401="1111",TH!M1401="1111")),TH!D1401,""),"")</f>
        <v/>
      </c>
      <c r="B1401" s="36">
        <f t="shared" si="89"/>
        <v>12</v>
      </c>
      <c r="C1401" s="189">
        <f t="shared" si="90"/>
        <v>42363</v>
      </c>
      <c r="D1401" s="182" t="s">
        <v>1522</v>
      </c>
      <c r="E1401" s="189">
        <v>42363</v>
      </c>
      <c r="F1401" s="190" t="s">
        <v>496</v>
      </c>
      <c r="G1401" s="813" t="s">
        <v>924</v>
      </c>
      <c r="H1401" s="191" t="s">
        <v>904</v>
      </c>
      <c r="I1401" s="243"/>
      <c r="J1401" s="243"/>
      <c r="K1401" s="573">
        <v>5429110</v>
      </c>
      <c r="L1401" s="574" t="s">
        <v>9</v>
      </c>
      <c r="M1401" s="574" t="s">
        <v>8</v>
      </c>
      <c r="N1401" s="51" t="str">
        <f>IF(AND('331-CT'!$E$7=TH!H1401,OR(L1401="331",M1401="331")),"331",IF(AND(OR(L1401="131",M1401="131"),H1401='131-CT'!$E$7),"131",""))</f>
        <v/>
      </c>
      <c r="O1401" s="51" t="str">
        <f>IF(AND($B1401&gt;='111'!$N$11,$B1401&lt;='111'!$O$11,OR($L1401=$O$7,$M1401=$O$7)),"x","")</f>
        <v/>
      </c>
      <c r="P1401" s="51" t="str">
        <f>IF(AND($L1401=$O$7,$B1401&lt;'111'!$N$11),"x","")</f>
        <v/>
      </c>
      <c r="Q1401" s="51" t="str">
        <f>IF(AND($M1401=$O$7,$B1401&lt;'111'!$N$11),"x","")</f>
        <v/>
      </c>
      <c r="R1401" s="51" t="str">
        <f>IF(ISERROR(FIND('112'!$M$9,G1401,1)),"",IF((AND(FIND('112'!$M$9,G1401,1)&gt;=1,$B1401&gt;='112'!$N$8,$B1401&lt;='112'!$O$8,OR($L1401='112'!$I$6,$M1401='112'!$I$6))),"x",""))</f>
        <v/>
      </c>
      <c r="S1401" s="51" t="str">
        <f>IF(ISERROR(FIND('112'!$M$9,G1401,1)),"",IF((AND(LEFT(G1401,2)=LEFT('112'!$M$9,2),B1401&lt;'112'!$N$8,$L1401='112'!$I$6)),"x",""))</f>
        <v/>
      </c>
      <c r="T1401" s="51" t="str">
        <f>IF(ISERROR(FIND('112'!$M$9,G1401,1)),"",IF((AND(RIGHT(G1401,2)=RIGHT('112'!$M$9,2),B1401&lt;'112'!$N$8,$M1401='112'!$I$6)),"x",""))</f>
        <v/>
      </c>
      <c r="U1401" s="51" t="str">
        <f>IF(AND(L1401="154",'154'!$O$5&lt;=B1401,'154'!$P$5&gt;=B1401),"154",IF(AND(L1401="632",'632'!$L$5&lt;=B1401,'632'!$M$5&gt;=B1401),"632",IF(AND(L1401="642",'642'!$N$5&lt;=B1401,'642'!$O$5&gt;=B1401),"642",IF(AND(L1401="641",'641'!$N$5&lt;=B1401,'641'!$O$5&gt;=B1401),"641",""))))</f>
        <v/>
      </c>
      <c r="V1401" s="51" t="str">
        <f>IF(OR(TH!L1401=TH!$V$7,M1401=TH!$V$7),"x","")</f>
        <v/>
      </c>
      <c r="W1401" s="51" t="str">
        <f>IF(AND(B1401&gt;='IN-NX'!$P$3,B1401&lt;='IN-NX'!$Q$3,'IN-NX'!$D$7=D1401,OR(LEFT(L1401,2)="15",AND(LEFT(M1401,2)&lt;&gt;"15",LEFT(M1401,2)&lt;&gt;"33"))),"x","")</f>
        <v/>
      </c>
      <c r="X1401" s="51" t="str">
        <f>IF(AND(OR(LEFT(TH!L1401,2)="15",LEFT(TH!M1401,2)="15"),'152-CT'!$J$8=TH!F1401),"x","")</f>
        <v/>
      </c>
      <c r="Y1401" s="51" t="str">
        <f>IF(AND(OR(LEFT(TH!L1401,2)="15",LEFT(TH!M1401,2)="15"),TK!$E$7=TH!F1401),"x","")</f>
        <v/>
      </c>
      <c r="Z1401" s="51" t="str">
        <f>IF(AND(B1401&lt;=NKC!$N$8,B1401&gt;=NKC!$M$8),"x","")</f>
        <v/>
      </c>
      <c r="AA1401" s="803">
        <v>4</v>
      </c>
      <c r="AB1401" s="565"/>
    </row>
    <row r="1402" spans="1:31" ht="15.75" customHeight="1">
      <c r="A1402" s="804" t="str">
        <f>IF(B1402&lt;&gt;"",IF(AND(B1402&gt;=_TM1,B1402&lt;=_TM2,OR(TH!L1402="1111",TH!M1402="1111")),TH!D1402,""),"")</f>
        <v/>
      </c>
      <c r="B1402" s="36">
        <f t="shared" si="89"/>
        <v>12</v>
      </c>
      <c r="C1402" s="189">
        <f t="shared" si="90"/>
        <v>42366</v>
      </c>
      <c r="D1402" s="189" t="s">
        <v>421</v>
      </c>
      <c r="E1402" s="182">
        <v>42366</v>
      </c>
      <c r="F1402" s="187" t="s">
        <v>423</v>
      </c>
      <c r="G1402" s="811" t="s">
        <v>415</v>
      </c>
      <c r="H1402" s="7" t="s">
        <v>416</v>
      </c>
      <c r="I1402" s="243"/>
      <c r="J1402" s="243"/>
      <c r="K1402" s="573">
        <v>13805000</v>
      </c>
      <c r="L1402" s="574" t="s">
        <v>24</v>
      </c>
      <c r="M1402" s="574" t="s">
        <v>250</v>
      </c>
      <c r="N1402" s="51" t="str">
        <f>IF(AND('331-CT'!$E$7=TH!H1402,OR(L1402="331",M1402="331")),"331",IF(AND(OR(L1402="131",M1402="131"),H1402='131-CT'!$E$7),"131",""))</f>
        <v/>
      </c>
      <c r="O1402" s="51" t="str">
        <f>IF(AND($B1402&gt;='111'!$N$11,$B1402&lt;='111'!$O$11,OR($L1402=$O$7,$M1402=$O$7)),"x","")</f>
        <v/>
      </c>
      <c r="P1402" s="51" t="str">
        <f>IF(AND($L1402=$O$7,$B1402&lt;'111'!$N$11),"x","")</f>
        <v/>
      </c>
      <c r="Q1402" s="51" t="str">
        <f>IF(AND($M1402=$O$7,$B1402&lt;'111'!$N$11),"x","")</f>
        <v/>
      </c>
      <c r="R1402" s="51" t="str">
        <f>IF(ISERROR(FIND('112'!$M$9,G1402,1)),"",IF((AND(FIND('112'!$M$9,G1402,1)&gt;=1,$B1402&gt;='112'!$N$8,$B1402&lt;='112'!$O$8,OR($L1402='112'!$I$6,$M1402='112'!$I$6))),"x",""))</f>
        <v/>
      </c>
      <c r="S1402" s="51" t="str">
        <f>IF(ISERROR(FIND('112'!$M$9,G1402,1)),"",IF((AND(LEFT(G1402,2)=LEFT('112'!$M$9,2),B1402&lt;'112'!$N$8,$L1402='112'!$I$6)),"x",""))</f>
        <v/>
      </c>
      <c r="T1402" s="51" t="str">
        <f>IF(ISERROR(FIND('112'!$M$9,G1402,1)),"",IF((AND(RIGHT(G1402,2)=RIGHT('112'!$M$9,2),B1402&lt;'112'!$N$8,$M1402='112'!$I$6)),"x",""))</f>
        <v/>
      </c>
      <c r="U1402" s="51" t="str">
        <f>IF(AND(L1402="154",'154'!$O$5&lt;=B1402,'154'!$P$5&gt;=B1402),"154",IF(AND(L1402="632",'632'!$L$5&lt;=B1402,'632'!$M$5&gt;=B1402),"632",IF(AND(L1402="642",'642'!$N$5&lt;=B1402,'642'!$O$5&gt;=B1402),"642",IF(AND(L1402="641",'641'!$N$5&lt;=B1402,'641'!$O$5&gt;=B1402),"641",""))))</f>
        <v/>
      </c>
      <c r="V1402" s="51" t="str">
        <f>IF(OR(TH!L1402=TH!$V$7,M1402=TH!$V$7),"x","")</f>
        <v/>
      </c>
      <c r="W1402" s="51" t="str">
        <f>IF(AND(B1402&gt;='IN-NX'!$P$3,B1402&lt;='IN-NX'!$Q$3,'IN-NX'!$D$7=D1402,OR(LEFT(L1402,2)="15",AND(LEFT(M1402,2)&lt;&gt;"15",LEFT(M1402,2)&lt;&gt;"33"))),"x","")</f>
        <v/>
      </c>
      <c r="X1402" s="51" t="str">
        <f>IF(AND(OR(LEFT(TH!L1402,2)="15",LEFT(TH!M1402,2)="15"),'152-CT'!$J$8=TH!F1402),"x","")</f>
        <v/>
      </c>
      <c r="Y1402" s="51" t="str">
        <f>IF(AND(OR(LEFT(TH!L1402,2)="15",LEFT(TH!M1402,2)="15"),TK!$E$7=TH!F1402),"x","")</f>
        <v/>
      </c>
      <c r="Z1402" s="51" t="str">
        <f>IF(AND(B1402&lt;=NKC!$N$8,B1402&gt;=NKC!$M$8),"x","")</f>
        <v/>
      </c>
      <c r="AA1402" s="803"/>
      <c r="AB1402" s="565"/>
    </row>
    <row r="1403" spans="1:31" ht="15.75" customHeight="1">
      <c r="A1403" s="804" t="str">
        <f>IF(B1403&lt;&gt;"",IF(AND(B1403&gt;=_TM1,B1403&lt;=_TM2,OR(TH!L1403="1111",TH!M1403="1111")),TH!D1403,""),"")</f>
        <v/>
      </c>
      <c r="B1403" s="36">
        <f t="shared" si="89"/>
        <v>12</v>
      </c>
      <c r="C1403" s="189">
        <f t="shared" si="90"/>
        <v>42366</v>
      </c>
      <c r="D1403" s="189" t="s">
        <v>1523</v>
      </c>
      <c r="E1403" s="189">
        <v>42366</v>
      </c>
      <c r="F1403" s="190" t="s">
        <v>623</v>
      </c>
      <c r="G1403" s="813" t="s">
        <v>930</v>
      </c>
      <c r="H1403" s="191" t="s">
        <v>957</v>
      </c>
      <c r="I1403" s="243">
        <v>650</v>
      </c>
      <c r="J1403" s="243">
        <v>30875</v>
      </c>
      <c r="K1403" s="573">
        <f>ROUND(I1403*J1403,0)</f>
        <v>20068750</v>
      </c>
      <c r="L1403" s="574" t="s">
        <v>417</v>
      </c>
      <c r="M1403" s="574" t="s">
        <v>8</v>
      </c>
      <c r="N1403" s="51" t="str">
        <f>IF(AND('331-CT'!$E$7=TH!H1403,OR(L1403="331",M1403="331")),"331",IF(AND(OR(L1403="131",M1403="131"),H1403='131-CT'!$E$7),"131",""))</f>
        <v/>
      </c>
      <c r="O1403" s="51" t="str">
        <f>IF(AND($B1403&gt;='111'!$N$11,$B1403&lt;='111'!$O$11,OR($L1403=$O$7,$M1403=$O$7)),"x","")</f>
        <v/>
      </c>
      <c r="P1403" s="51" t="str">
        <f>IF(AND($L1403=$O$7,$B1403&lt;'111'!$N$11),"x","")</f>
        <v/>
      </c>
      <c r="Q1403" s="51" t="str">
        <f>IF(AND($M1403=$O$7,$B1403&lt;'111'!$N$11),"x","")</f>
        <v/>
      </c>
      <c r="R1403" s="51" t="str">
        <f>IF(ISERROR(FIND('112'!$M$9,G1403,1)),"",IF((AND(FIND('112'!$M$9,G1403,1)&gt;=1,$B1403&gt;='112'!$N$8,$B1403&lt;='112'!$O$8,OR($L1403='112'!$I$6,$M1403='112'!$I$6))),"x",""))</f>
        <v/>
      </c>
      <c r="S1403" s="51" t="str">
        <f>IF(ISERROR(FIND('112'!$M$9,G1403,1)),"",IF((AND(LEFT(G1403,2)=LEFT('112'!$M$9,2),B1403&lt;'112'!$N$8,$L1403='112'!$I$6)),"x",""))</f>
        <v/>
      </c>
      <c r="T1403" s="51" t="str">
        <f>IF(ISERROR(FIND('112'!$M$9,G1403,1)),"",IF((AND(RIGHT(G1403,2)=RIGHT('112'!$M$9,2),B1403&lt;'112'!$N$8,$M1403='112'!$I$6)),"x",""))</f>
        <v/>
      </c>
      <c r="U1403" s="51" t="str">
        <f>IF(AND(L1403="154",'154'!$O$5&lt;=B1403,'154'!$P$5&gt;=B1403),"154",IF(AND(L1403="632",'632'!$L$5&lt;=B1403,'632'!$M$5&gt;=B1403),"632",IF(AND(L1403="642",'642'!$N$5&lt;=B1403,'642'!$O$5&gt;=B1403),"642",IF(AND(L1403="641",'641'!$N$5&lt;=B1403,'641'!$O$5&gt;=B1403),"641",""))))</f>
        <v/>
      </c>
      <c r="V1403" s="51" t="str">
        <f>IF(OR(TH!L1403=TH!$V$7,M1403=TH!$V$7),"x","")</f>
        <v/>
      </c>
      <c r="W1403" s="51" t="str">
        <f>IF(AND(B1403&gt;='IN-NX'!$P$3,B1403&lt;='IN-NX'!$Q$3,'IN-NX'!$D$7=D1403,OR(LEFT(L1403,2)="15",AND(LEFT(M1403,2)&lt;&gt;"15",LEFT(M1403,2)&lt;&gt;"33"))),"x","")</f>
        <v/>
      </c>
      <c r="X1403" s="51" t="str">
        <f>IF(AND(OR(LEFT(TH!L1403,2)="15",LEFT(TH!M1403,2)="15"),'152-CT'!$J$8=TH!F1403),"x","")</f>
        <v/>
      </c>
      <c r="Y1403" s="51" t="str">
        <f>IF(AND(OR(LEFT(TH!L1403,2)="15",LEFT(TH!M1403,2)="15"),TK!$E$7=TH!F1403),"x","")</f>
        <v/>
      </c>
      <c r="Z1403" s="51" t="str">
        <f>IF(AND(B1403&lt;=NKC!$N$8,B1403&gt;=NKC!$M$8),"x","")</f>
        <v/>
      </c>
      <c r="AA1403" s="803"/>
      <c r="AB1403" s="565"/>
    </row>
    <row r="1404" spans="1:31" ht="15.75" customHeight="1">
      <c r="A1404" s="804" t="str">
        <f>IF(B1404&lt;&gt;"",IF(AND(B1404&gt;=_TM1,B1404&lt;=_TM2,OR(TH!L1404="1111",TH!M1404="1111")),TH!D1404,""),"")</f>
        <v/>
      </c>
      <c r="B1404" s="36">
        <f t="shared" si="89"/>
        <v>12</v>
      </c>
      <c r="C1404" s="189">
        <f t="shared" si="90"/>
        <v>42366</v>
      </c>
      <c r="D1404" s="189" t="s">
        <v>1523</v>
      </c>
      <c r="E1404" s="189">
        <v>42366</v>
      </c>
      <c r="F1404" s="190" t="s">
        <v>624</v>
      </c>
      <c r="G1404" s="813" t="s">
        <v>930</v>
      </c>
      <c r="H1404" s="191" t="s">
        <v>957</v>
      </c>
      <c r="I1404" s="243">
        <v>650</v>
      </c>
      <c r="J1404" s="243">
        <v>31155</v>
      </c>
      <c r="K1404" s="573">
        <f>ROUND(I1404*J1404,0)</f>
        <v>20250750</v>
      </c>
      <c r="L1404" s="574" t="s">
        <v>417</v>
      </c>
      <c r="M1404" s="574" t="s">
        <v>8</v>
      </c>
      <c r="N1404" s="51" t="str">
        <f>IF(AND('331-CT'!$E$7=TH!H1404,OR(L1404="331",M1404="331")),"331",IF(AND(OR(L1404="131",M1404="131"),H1404='131-CT'!$E$7),"131",""))</f>
        <v/>
      </c>
      <c r="O1404" s="51" t="str">
        <f>IF(AND($B1404&gt;='111'!$N$11,$B1404&lt;='111'!$O$11,OR($L1404=$O$7,$M1404=$O$7)),"x","")</f>
        <v/>
      </c>
      <c r="P1404" s="51" t="str">
        <f>IF(AND($L1404=$O$7,$B1404&lt;'111'!$N$11),"x","")</f>
        <v/>
      </c>
      <c r="Q1404" s="51" t="str">
        <f>IF(AND($M1404=$O$7,$B1404&lt;'111'!$N$11),"x","")</f>
        <v/>
      </c>
      <c r="R1404" s="51" t="str">
        <f>IF(ISERROR(FIND('112'!$M$9,G1404,1)),"",IF((AND(FIND('112'!$M$9,G1404,1)&gt;=1,$B1404&gt;='112'!$N$8,$B1404&lt;='112'!$O$8,OR($L1404='112'!$I$6,$M1404='112'!$I$6))),"x",""))</f>
        <v/>
      </c>
      <c r="S1404" s="51" t="str">
        <f>IF(ISERROR(FIND('112'!$M$9,G1404,1)),"",IF((AND(LEFT(G1404,2)=LEFT('112'!$M$9,2),B1404&lt;'112'!$N$8,$L1404='112'!$I$6)),"x",""))</f>
        <v/>
      </c>
      <c r="T1404" s="51" t="str">
        <f>IF(ISERROR(FIND('112'!$M$9,G1404,1)),"",IF((AND(RIGHT(G1404,2)=RIGHT('112'!$M$9,2),B1404&lt;'112'!$N$8,$M1404='112'!$I$6)),"x",""))</f>
        <v/>
      </c>
      <c r="U1404" s="51" t="str">
        <f>IF(AND(L1404="154",'154'!$O$5&lt;=B1404,'154'!$P$5&gt;=B1404),"154",IF(AND(L1404="632",'632'!$L$5&lt;=B1404,'632'!$M$5&gt;=B1404),"632",IF(AND(L1404="642",'642'!$N$5&lt;=B1404,'642'!$O$5&gt;=B1404),"642",IF(AND(L1404="641",'641'!$N$5&lt;=B1404,'641'!$O$5&gt;=B1404),"641",""))))</f>
        <v/>
      </c>
      <c r="V1404" s="51" t="str">
        <f>IF(OR(TH!L1404=TH!$V$7,M1404=TH!$V$7),"x","")</f>
        <v/>
      </c>
      <c r="W1404" s="51" t="str">
        <f>IF(AND(B1404&gt;='IN-NX'!$P$3,B1404&lt;='IN-NX'!$Q$3,'IN-NX'!$D$7=D1404,OR(LEFT(L1404,2)="15",AND(LEFT(M1404,2)&lt;&gt;"15",LEFT(M1404,2)&lt;&gt;"33"))),"x","")</f>
        <v/>
      </c>
      <c r="X1404" s="51" t="str">
        <f>IF(AND(OR(LEFT(TH!L1404,2)="15",LEFT(TH!M1404,2)="15"),'152-CT'!$J$8=TH!F1404),"x","")</f>
        <v/>
      </c>
      <c r="Y1404" s="51" t="str">
        <f>IF(AND(OR(LEFT(TH!L1404,2)="15",LEFT(TH!M1404,2)="15"),TK!$E$7=TH!F1404),"x","")</f>
        <v/>
      </c>
      <c r="Z1404" s="51" t="str">
        <f>IF(AND(B1404&lt;=NKC!$N$8,B1404&gt;=NKC!$M$8),"x","")</f>
        <v/>
      </c>
      <c r="AA1404" s="803"/>
      <c r="AB1404" s="565"/>
    </row>
    <row r="1405" spans="1:31" ht="15.75" customHeight="1">
      <c r="A1405" s="804" t="str">
        <f>IF(B1405&lt;&gt;"",IF(AND(B1405&gt;=_TM1,B1405&lt;=_TM2,OR(TH!L1405="1111",TH!M1405="1111")),TH!D1405,""),"")</f>
        <v/>
      </c>
      <c r="B1405" s="36">
        <f t="shared" si="89"/>
        <v>12</v>
      </c>
      <c r="C1405" s="189">
        <f t="shared" si="90"/>
        <v>42366</v>
      </c>
      <c r="D1405" s="189" t="s">
        <v>1523</v>
      </c>
      <c r="E1405" s="189">
        <v>42366</v>
      </c>
      <c r="F1405" s="190" t="s">
        <v>620</v>
      </c>
      <c r="G1405" s="813" t="s">
        <v>930</v>
      </c>
      <c r="H1405" s="191" t="s">
        <v>957</v>
      </c>
      <c r="I1405" s="243">
        <v>3500</v>
      </c>
      <c r="J1405" s="243">
        <v>14250</v>
      </c>
      <c r="K1405" s="573">
        <f>ROUND(I1405*J1405,0)</f>
        <v>49875000</v>
      </c>
      <c r="L1405" s="574" t="s">
        <v>417</v>
      </c>
      <c r="M1405" s="574" t="s">
        <v>8</v>
      </c>
      <c r="N1405" s="51" t="str">
        <f>IF(AND('331-CT'!$E$7=TH!H1405,OR(L1405="331",M1405="331")),"331",IF(AND(OR(L1405="131",M1405="131"),H1405='131-CT'!$E$7),"131",""))</f>
        <v/>
      </c>
      <c r="O1405" s="51" t="str">
        <f>IF(AND($B1405&gt;='111'!$N$11,$B1405&lt;='111'!$O$11,OR($L1405=$O$7,$M1405=$O$7)),"x","")</f>
        <v/>
      </c>
      <c r="P1405" s="51" t="str">
        <f>IF(AND($L1405=$O$7,$B1405&lt;'111'!$N$11),"x","")</f>
        <v/>
      </c>
      <c r="Q1405" s="51" t="str">
        <f>IF(AND($M1405=$O$7,$B1405&lt;'111'!$N$11),"x","")</f>
        <v/>
      </c>
      <c r="R1405" s="51" t="str">
        <f>IF(ISERROR(FIND('112'!$M$9,G1405,1)),"",IF((AND(FIND('112'!$M$9,G1405,1)&gt;=1,$B1405&gt;='112'!$N$8,$B1405&lt;='112'!$O$8,OR($L1405='112'!$I$6,$M1405='112'!$I$6))),"x",""))</f>
        <v/>
      </c>
      <c r="S1405" s="51" t="str">
        <f>IF(ISERROR(FIND('112'!$M$9,G1405,1)),"",IF((AND(LEFT(G1405,2)=LEFT('112'!$M$9,2),B1405&lt;'112'!$N$8,$L1405='112'!$I$6)),"x",""))</f>
        <v/>
      </c>
      <c r="T1405" s="51" t="str">
        <f>IF(ISERROR(FIND('112'!$M$9,G1405,1)),"",IF((AND(RIGHT(G1405,2)=RIGHT('112'!$M$9,2),B1405&lt;'112'!$N$8,$M1405='112'!$I$6)),"x",""))</f>
        <v/>
      </c>
      <c r="U1405" s="51" t="str">
        <f>IF(AND(L1405="154",'154'!$O$5&lt;=B1405,'154'!$P$5&gt;=B1405),"154",IF(AND(L1405="632",'632'!$L$5&lt;=B1405,'632'!$M$5&gt;=B1405),"632",IF(AND(L1405="642",'642'!$N$5&lt;=B1405,'642'!$O$5&gt;=B1405),"642",IF(AND(L1405="641",'641'!$N$5&lt;=B1405,'641'!$O$5&gt;=B1405),"641",""))))</f>
        <v/>
      </c>
      <c r="V1405" s="51" t="str">
        <f>IF(OR(TH!L1405=TH!$V$7,M1405=TH!$V$7),"x","")</f>
        <v/>
      </c>
      <c r="W1405" s="51" t="str">
        <f>IF(AND(B1405&gt;='IN-NX'!$P$3,B1405&lt;='IN-NX'!$Q$3,'IN-NX'!$D$7=D1405,OR(LEFT(L1405,2)="15",AND(LEFT(M1405,2)&lt;&gt;"15",LEFT(M1405,2)&lt;&gt;"33"))),"x","")</f>
        <v/>
      </c>
      <c r="X1405" s="51" t="str">
        <f>IF(AND(OR(LEFT(TH!L1405,2)="15",LEFT(TH!M1405,2)="15"),'152-CT'!$J$8=TH!F1405),"x","")</f>
        <v/>
      </c>
      <c r="Y1405" s="51" t="str">
        <f>IF(AND(OR(LEFT(TH!L1405,2)="15",LEFT(TH!M1405,2)="15"),TK!$E$7=TH!F1405),"x","")</f>
        <v/>
      </c>
      <c r="Z1405" s="51" t="str">
        <f>IF(AND(B1405&lt;=NKC!$N$8,B1405&gt;=NKC!$M$8),"x","")</f>
        <v/>
      </c>
      <c r="AA1405" s="803"/>
      <c r="AB1405" s="565"/>
    </row>
    <row r="1406" spans="1:31" ht="15.75" customHeight="1">
      <c r="A1406" s="804" t="str">
        <f>IF(B1406&lt;&gt;"",IF(AND(B1406&gt;=_TM1,B1406&lt;=_TM2,OR(TH!L1406="1111",TH!M1406="1111")),TH!D1406,""),"")</f>
        <v/>
      </c>
      <c r="B1406" s="36">
        <f t="shared" si="89"/>
        <v>12</v>
      </c>
      <c r="C1406" s="189">
        <f t="shared" si="90"/>
        <v>42366</v>
      </c>
      <c r="D1406" s="189" t="s">
        <v>1523</v>
      </c>
      <c r="E1406" s="189">
        <v>42366</v>
      </c>
      <c r="F1406" s="190" t="s">
        <v>621</v>
      </c>
      <c r="G1406" s="813" t="s">
        <v>930</v>
      </c>
      <c r="H1406" s="191" t="s">
        <v>957</v>
      </c>
      <c r="I1406" s="243">
        <v>1000</v>
      </c>
      <c r="J1406" s="243">
        <v>15675</v>
      </c>
      <c r="K1406" s="573">
        <f>ROUND(I1406*J1406,0)</f>
        <v>15675000</v>
      </c>
      <c r="L1406" s="574" t="s">
        <v>417</v>
      </c>
      <c r="M1406" s="574" t="s">
        <v>8</v>
      </c>
      <c r="N1406" s="51" t="str">
        <f>IF(AND('331-CT'!$E$7=TH!H1406,OR(L1406="331",M1406="331")),"331",IF(AND(OR(L1406="131",M1406="131"),H1406='131-CT'!$E$7),"131",""))</f>
        <v/>
      </c>
      <c r="O1406" s="51" t="str">
        <f>IF(AND($B1406&gt;='111'!$N$11,$B1406&lt;='111'!$O$11,OR($L1406=$O$7,$M1406=$O$7)),"x","")</f>
        <v/>
      </c>
      <c r="P1406" s="51" t="str">
        <f>IF(AND($L1406=$O$7,$B1406&lt;'111'!$N$11),"x","")</f>
        <v/>
      </c>
      <c r="Q1406" s="51" t="str">
        <f>IF(AND($M1406=$O$7,$B1406&lt;'111'!$N$11),"x","")</f>
        <v/>
      </c>
      <c r="R1406" s="51" t="str">
        <f>IF(ISERROR(FIND('112'!$M$9,G1406,1)),"",IF((AND(FIND('112'!$M$9,G1406,1)&gt;=1,$B1406&gt;='112'!$N$8,$B1406&lt;='112'!$O$8,OR($L1406='112'!$I$6,$M1406='112'!$I$6))),"x",""))</f>
        <v/>
      </c>
      <c r="S1406" s="51" t="str">
        <f>IF(ISERROR(FIND('112'!$M$9,G1406,1)),"",IF((AND(LEFT(G1406,2)=LEFT('112'!$M$9,2),B1406&lt;'112'!$N$8,$L1406='112'!$I$6)),"x",""))</f>
        <v/>
      </c>
      <c r="T1406" s="51" t="str">
        <f>IF(ISERROR(FIND('112'!$M$9,G1406,1)),"",IF((AND(RIGHT(G1406,2)=RIGHT('112'!$M$9,2),B1406&lt;'112'!$N$8,$M1406='112'!$I$6)),"x",""))</f>
        <v/>
      </c>
      <c r="U1406" s="51" t="str">
        <f>IF(AND(L1406="154",'154'!$O$5&lt;=B1406,'154'!$P$5&gt;=B1406),"154",IF(AND(L1406="632",'632'!$L$5&lt;=B1406,'632'!$M$5&gt;=B1406),"632",IF(AND(L1406="642",'642'!$N$5&lt;=B1406,'642'!$O$5&gt;=B1406),"642",IF(AND(L1406="641",'641'!$N$5&lt;=B1406,'641'!$O$5&gt;=B1406),"641",""))))</f>
        <v/>
      </c>
      <c r="V1406" s="51" t="str">
        <f>IF(OR(TH!L1406=TH!$V$7,M1406=TH!$V$7),"x","")</f>
        <v/>
      </c>
      <c r="W1406" s="51" t="str">
        <f>IF(AND(B1406&gt;='IN-NX'!$P$3,B1406&lt;='IN-NX'!$Q$3,'IN-NX'!$D$7=D1406,OR(LEFT(L1406,2)="15",AND(LEFT(M1406,2)&lt;&gt;"15",LEFT(M1406,2)&lt;&gt;"33"))),"x","")</f>
        <v/>
      </c>
      <c r="X1406" s="51" t="str">
        <f>IF(AND(OR(LEFT(TH!L1406,2)="15",LEFT(TH!M1406,2)="15"),'152-CT'!$J$8=TH!F1406),"x","")</f>
        <v/>
      </c>
      <c r="Y1406" s="51" t="str">
        <f>IF(AND(OR(LEFT(TH!L1406,2)="15",LEFT(TH!M1406,2)="15"),TK!$E$7=TH!F1406),"x","")</f>
        <v/>
      </c>
      <c r="Z1406" s="51" t="str">
        <f>IF(AND(B1406&lt;=NKC!$N$8,B1406&gt;=NKC!$M$8),"x","")</f>
        <v/>
      </c>
      <c r="AA1406" s="803"/>
      <c r="AB1406" s="565"/>
    </row>
    <row r="1407" spans="1:31" ht="15.75" customHeight="1">
      <c r="A1407" s="804" t="str">
        <f>IF(B1407&lt;&gt;"",IF(AND(B1407&gt;=_TM1,B1407&lt;=_TM2,OR(TH!L1407="1111",TH!M1407="1111")),TH!D1407,""),"")</f>
        <v/>
      </c>
      <c r="B1407" s="36">
        <f t="shared" si="89"/>
        <v>12</v>
      </c>
      <c r="C1407" s="189">
        <f t="shared" si="90"/>
        <v>42366</v>
      </c>
      <c r="D1407" s="189" t="s">
        <v>1523</v>
      </c>
      <c r="E1407" s="189">
        <v>42366</v>
      </c>
      <c r="F1407" s="190" t="s">
        <v>496</v>
      </c>
      <c r="G1407" s="813" t="s">
        <v>930</v>
      </c>
      <c r="H1407" s="191" t="s">
        <v>957</v>
      </c>
      <c r="I1407" s="243"/>
      <c r="J1407" s="243"/>
      <c r="K1407" s="573">
        <v>10586950</v>
      </c>
      <c r="L1407" s="574" t="s">
        <v>9</v>
      </c>
      <c r="M1407" s="574" t="s">
        <v>8</v>
      </c>
      <c r="N1407" s="51" t="str">
        <f>IF(AND('331-CT'!$E$7=TH!H1407,OR(L1407="331",M1407="331")),"331",IF(AND(OR(L1407="131",M1407="131"),H1407='131-CT'!$E$7),"131",""))</f>
        <v/>
      </c>
      <c r="O1407" s="51" t="str">
        <f>IF(AND($B1407&gt;='111'!$N$11,$B1407&lt;='111'!$O$11,OR($L1407=$O$7,$M1407=$O$7)),"x","")</f>
        <v/>
      </c>
      <c r="P1407" s="51" t="str">
        <f>IF(AND($L1407=$O$7,$B1407&lt;'111'!$N$11),"x","")</f>
        <v/>
      </c>
      <c r="Q1407" s="51" t="str">
        <f>IF(AND($M1407=$O$7,$B1407&lt;'111'!$N$11),"x","")</f>
        <v/>
      </c>
      <c r="R1407" s="51" t="str">
        <f>IF(ISERROR(FIND('112'!$M$9,G1407,1)),"",IF((AND(FIND('112'!$M$9,G1407,1)&gt;=1,$B1407&gt;='112'!$N$8,$B1407&lt;='112'!$O$8,OR($L1407='112'!$I$6,$M1407='112'!$I$6))),"x",""))</f>
        <v/>
      </c>
      <c r="S1407" s="51" t="str">
        <f>IF(ISERROR(FIND('112'!$M$9,G1407,1)),"",IF((AND(LEFT(G1407,2)=LEFT('112'!$M$9,2),B1407&lt;'112'!$N$8,$L1407='112'!$I$6)),"x",""))</f>
        <v/>
      </c>
      <c r="T1407" s="51" t="str">
        <f>IF(ISERROR(FIND('112'!$M$9,G1407,1)),"",IF((AND(RIGHT(G1407,2)=RIGHT('112'!$M$9,2),B1407&lt;'112'!$N$8,$M1407='112'!$I$6)),"x",""))</f>
        <v/>
      </c>
      <c r="U1407" s="51" t="str">
        <f>IF(AND(L1407="154",'154'!$O$5&lt;=B1407,'154'!$P$5&gt;=B1407),"154",IF(AND(L1407="632",'632'!$L$5&lt;=B1407,'632'!$M$5&gt;=B1407),"632",IF(AND(L1407="642",'642'!$N$5&lt;=B1407,'642'!$O$5&gt;=B1407),"642",IF(AND(L1407="641",'641'!$N$5&lt;=B1407,'641'!$O$5&gt;=B1407),"641",""))))</f>
        <v/>
      </c>
      <c r="V1407" s="51" t="str">
        <f>IF(OR(TH!L1407=TH!$V$7,M1407=TH!$V$7),"x","")</f>
        <v/>
      </c>
      <c r="W1407" s="51" t="str">
        <f>IF(AND(B1407&gt;='IN-NX'!$P$3,B1407&lt;='IN-NX'!$Q$3,'IN-NX'!$D$7=D1407,OR(LEFT(L1407,2)="15",AND(LEFT(M1407,2)&lt;&gt;"15",LEFT(M1407,2)&lt;&gt;"33"))),"x","")</f>
        <v/>
      </c>
      <c r="X1407" s="51" t="str">
        <f>IF(AND(OR(LEFT(TH!L1407,2)="15",LEFT(TH!M1407,2)="15"),'152-CT'!$J$8=TH!F1407),"x","")</f>
        <v/>
      </c>
      <c r="Y1407" s="51" t="str">
        <f>IF(AND(OR(LEFT(TH!L1407,2)="15",LEFT(TH!M1407,2)="15"),TK!$E$7=TH!F1407),"x","")</f>
        <v/>
      </c>
      <c r="Z1407" s="51" t="str">
        <f>IF(AND(B1407&lt;=NKC!$N$8,B1407&gt;=NKC!$M$8),"x","")</f>
        <v/>
      </c>
      <c r="AA1407" s="803">
        <v>4</v>
      </c>
      <c r="AB1407" s="565"/>
    </row>
    <row r="1408" spans="1:31" ht="15.75" customHeight="1">
      <c r="A1408" s="804" t="str">
        <f>IF(B1408&lt;&gt;"",IF(AND(B1408&gt;=_TM1,B1408&lt;=_TM2,OR(TH!L1408="1111",TH!M1408="1111")),TH!D1408,""),"")</f>
        <v/>
      </c>
      <c r="B1408" s="36">
        <f t="shared" si="89"/>
        <v>12</v>
      </c>
      <c r="C1408" s="189">
        <f t="shared" si="90"/>
        <v>42367</v>
      </c>
      <c r="D1408" s="189" t="s">
        <v>1455</v>
      </c>
      <c r="E1408" s="182">
        <v>42367</v>
      </c>
      <c r="F1408" s="187" t="s">
        <v>433</v>
      </c>
      <c r="G1408" s="811" t="s">
        <v>415</v>
      </c>
      <c r="H1408" s="7" t="s">
        <v>437</v>
      </c>
      <c r="I1408" s="243"/>
      <c r="J1408" s="243"/>
      <c r="K1408" s="573">
        <v>8000000</v>
      </c>
      <c r="L1408" s="574" t="s">
        <v>24</v>
      </c>
      <c r="M1408" s="574" t="s">
        <v>47</v>
      </c>
      <c r="N1408" s="51" t="str">
        <f>IF(AND('331-CT'!$E$7=TH!H1408,OR(L1408="331",M1408="331")),"331",IF(AND(OR(L1408="131",M1408="131"),H1408='131-CT'!$E$7),"131",""))</f>
        <v/>
      </c>
      <c r="O1408" s="51" t="str">
        <f>IF(AND($B1408&gt;='111'!$N$11,$B1408&lt;='111'!$O$11,OR($L1408=$O$7,$M1408=$O$7)),"x","")</f>
        <v>x</v>
      </c>
      <c r="P1408" s="51" t="str">
        <f>IF(AND($L1408=$O$7,$B1408&lt;'111'!$N$11),"x","")</f>
        <v/>
      </c>
      <c r="Q1408" s="51" t="str">
        <f>IF(AND($M1408=$O$7,$B1408&lt;'111'!$N$11),"x","")</f>
        <v/>
      </c>
      <c r="R1408" s="51" t="str">
        <f>IF(ISERROR(FIND('112'!$M$9,G1408,1)),"",IF((AND(FIND('112'!$M$9,G1408,1)&gt;=1,$B1408&gt;='112'!$N$8,$B1408&lt;='112'!$O$8,OR($L1408='112'!$I$6,$M1408='112'!$I$6))),"x",""))</f>
        <v/>
      </c>
      <c r="S1408" s="51" t="str">
        <f>IF(ISERROR(FIND('112'!$M$9,G1408,1)),"",IF((AND(LEFT(G1408,2)=LEFT('112'!$M$9,2),B1408&lt;'112'!$N$8,$L1408='112'!$I$6)),"x",""))</f>
        <v/>
      </c>
      <c r="T1408" s="51" t="str">
        <f>IF(ISERROR(FIND('112'!$M$9,G1408,1)),"",IF((AND(RIGHT(G1408,2)=RIGHT('112'!$M$9,2),B1408&lt;'112'!$N$8,$M1408='112'!$I$6)),"x",""))</f>
        <v/>
      </c>
      <c r="U1408" s="51" t="str">
        <f>IF(AND(L1408="154",'154'!$O$5&lt;=B1408,'154'!$P$5&gt;=B1408),"154",IF(AND(L1408="632",'632'!$L$5&lt;=B1408,'632'!$M$5&gt;=B1408),"632",IF(AND(L1408="642",'642'!$N$5&lt;=B1408,'642'!$O$5&gt;=B1408),"642",IF(AND(L1408="641",'641'!$N$5&lt;=B1408,'641'!$O$5&gt;=B1408),"641",""))))</f>
        <v/>
      </c>
      <c r="V1408" s="51" t="str">
        <f>IF(OR(TH!L1408=TH!$V$7,M1408=TH!$V$7),"x","")</f>
        <v/>
      </c>
      <c r="W1408" s="51" t="str">
        <f>IF(AND(B1408&gt;='IN-NX'!$P$3,B1408&lt;='IN-NX'!$Q$3,'IN-NX'!$D$7=D1408,OR(LEFT(L1408,2)="15",AND(LEFT(M1408,2)&lt;&gt;"15",LEFT(M1408,2)&lt;&gt;"33"))),"x","")</f>
        <v/>
      </c>
      <c r="X1408" s="51" t="str">
        <f>IF(AND(OR(LEFT(TH!L1408,2)="15",LEFT(TH!M1408,2)="15"),'152-CT'!$J$8=TH!F1408),"x","")</f>
        <v/>
      </c>
      <c r="Y1408" s="51" t="str">
        <f>IF(AND(OR(LEFT(TH!L1408,2)="15",LEFT(TH!M1408,2)="15"),TK!$E$7=TH!F1408),"x","")</f>
        <v/>
      </c>
      <c r="Z1408" s="51" t="str">
        <f>IF(AND(B1408&lt;=NKC!$N$8,B1408&gt;=NKC!$M$8),"x","")</f>
        <v/>
      </c>
      <c r="AA1408" s="803"/>
      <c r="AB1408" s="565"/>
    </row>
    <row r="1409" spans="1:30" ht="15.75" customHeight="1">
      <c r="A1409" s="804" t="str">
        <f>IF(B1409&lt;&gt;"",IF(AND(B1409&gt;=_TM1,B1409&lt;=_TM2,OR(TH!L1409="1111",TH!M1409="1111")),TH!D1409,""),"")</f>
        <v/>
      </c>
      <c r="B1409" s="36">
        <f t="shared" si="89"/>
        <v>12</v>
      </c>
      <c r="C1409" s="189">
        <f t="shared" si="90"/>
        <v>42367</v>
      </c>
      <c r="D1409" s="189" t="s">
        <v>422</v>
      </c>
      <c r="E1409" s="182">
        <v>42367</v>
      </c>
      <c r="F1409" s="187" t="s">
        <v>438</v>
      </c>
      <c r="G1409" s="811" t="s">
        <v>415</v>
      </c>
      <c r="H1409" s="7" t="s">
        <v>448</v>
      </c>
      <c r="I1409" s="243"/>
      <c r="J1409" s="243"/>
      <c r="K1409" s="573">
        <v>22822000</v>
      </c>
      <c r="L1409" s="574" t="s">
        <v>8</v>
      </c>
      <c r="M1409" s="574" t="s">
        <v>24</v>
      </c>
      <c r="N1409" s="51" t="str">
        <f>IF(AND('331-CT'!$E$7=TH!H1409,OR(L1409="331",M1409="331")),"331",IF(AND(OR(L1409="131",M1409="131"),H1409='131-CT'!$E$7),"131",""))</f>
        <v/>
      </c>
      <c r="O1409" s="51" t="str">
        <f>IF(AND($B1409&gt;='111'!$N$11,$B1409&lt;='111'!$O$11,OR($L1409=$O$7,$M1409=$O$7)),"x","")</f>
        <v/>
      </c>
      <c r="P1409" s="51" t="str">
        <f>IF(AND($L1409=$O$7,$B1409&lt;'111'!$N$11),"x","")</f>
        <v/>
      </c>
      <c r="Q1409" s="51" t="str">
        <f>IF(AND($M1409=$O$7,$B1409&lt;'111'!$N$11),"x","")</f>
        <v/>
      </c>
      <c r="R1409" s="51" t="str">
        <f>IF(ISERROR(FIND('112'!$M$9,G1409,1)),"",IF((AND(FIND('112'!$M$9,G1409,1)&gt;=1,$B1409&gt;='112'!$N$8,$B1409&lt;='112'!$O$8,OR($L1409='112'!$I$6,$M1409='112'!$I$6))),"x",""))</f>
        <v/>
      </c>
      <c r="S1409" s="51" t="str">
        <f>IF(ISERROR(FIND('112'!$M$9,G1409,1)),"",IF((AND(LEFT(G1409,2)=LEFT('112'!$M$9,2),B1409&lt;'112'!$N$8,$L1409='112'!$I$6)),"x",""))</f>
        <v/>
      </c>
      <c r="T1409" s="51" t="str">
        <f>IF(ISERROR(FIND('112'!$M$9,G1409,1)),"",IF((AND(RIGHT(G1409,2)=RIGHT('112'!$M$9,2),B1409&lt;'112'!$N$8,$M1409='112'!$I$6)),"x",""))</f>
        <v/>
      </c>
      <c r="U1409" s="51" t="str">
        <f>IF(AND(L1409="154",'154'!$O$5&lt;=B1409,'154'!$P$5&gt;=B1409),"154",IF(AND(L1409="632",'632'!$L$5&lt;=B1409,'632'!$M$5&gt;=B1409),"632",IF(AND(L1409="642",'642'!$N$5&lt;=B1409,'642'!$O$5&gt;=B1409),"642",IF(AND(L1409="641",'641'!$N$5&lt;=B1409,'641'!$O$5&gt;=B1409),"641",""))))</f>
        <v/>
      </c>
      <c r="V1409" s="51" t="str">
        <f>IF(OR(TH!L1409=TH!$V$7,M1409=TH!$V$7),"x","")</f>
        <v/>
      </c>
      <c r="W1409" s="51" t="str">
        <f>IF(AND(B1409&gt;='IN-NX'!$P$3,B1409&lt;='IN-NX'!$Q$3,'IN-NX'!$D$7=D1409,OR(LEFT(L1409,2)="15",AND(LEFT(M1409,2)&lt;&gt;"15",LEFT(M1409,2)&lt;&gt;"33"))),"x","")</f>
        <v/>
      </c>
      <c r="X1409" s="51" t="str">
        <f>IF(AND(OR(LEFT(TH!L1409,2)="15",LEFT(TH!M1409,2)="15"),'152-CT'!$J$8=TH!F1409),"x","")</f>
        <v/>
      </c>
      <c r="Y1409" s="51" t="str">
        <f>IF(AND(OR(LEFT(TH!L1409,2)="15",LEFT(TH!M1409,2)="15"),TK!$E$7=TH!F1409),"x","")</f>
        <v/>
      </c>
      <c r="Z1409" s="51" t="str">
        <f>IF(AND(B1409&lt;=NKC!$N$8,B1409&gt;=NKC!$M$8),"x","")</f>
        <v/>
      </c>
      <c r="AA1409" s="803"/>
      <c r="AB1409" s="565"/>
    </row>
    <row r="1410" spans="1:30" ht="15.75" customHeight="1">
      <c r="A1410" s="804" t="str">
        <f>IF(B1410&lt;&gt;"",IF(AND(B1410&gt;=_TM1,B1410&lt;=_TM2,OR(TH!L1410="1111",TH!M1410="1111")),TH!D1410,""),"")</f>
        <v/>
      </c>
      <c r="B1410" s="36">
        <f t="shared" si="89"/>
        <v>12</v>
      </c>
      <c r="C1410" s="189">
        <f t="shared" si="90"/>
        <v>42367</v>
      </c>
      <c r="D1410" s="189" t="s">
        <v>422</v>
      </c>
      <c r="E1410" s="182">
        <v>42367</v>
      </c>
      <c r="F1410" s="187" t="s">
        <v>443</v>
      </c>
      <c r="G1410" s="811" t="s">
        <v>415</v>
      </c>
      <c r="H1410" s="191"/>
      <c r="I1410" s="243"/>
      <c r="J1410" s="243"/>
      <c r="K1410" s="573">
        <v>22000</v>
      </c>
      <c r="L1410" s="574" t="s">
        <v>83</v>
      </c>
      <c r="M1410" s="574" t="s">
        <v>24</v>
      </c>
      <c r="N1410" s="51" t="str">
        <f>IF(AND('331-CT'!$E$7=TH!H1410,OR(L1410="331",M1410="331")),"331",IF(AND(OR(L1410="131",M1410="131"),H1410='131-CT'!$E$7),"131",""))</f>
        <v/>
      </c>
      <c r="O1410" s="51" t="str">
        <f>IF(AND($B1410&gt;='111'!$N$11,$B1410&lt;='111'!$O$11,OR($L1410=$O$7,$M1410=$O$7)),"x","")</f>
        <v/>
      </c>
      <c r="P1410" s="51" t="str">
        <f>IF(AND($L1410=$O$7,$B1410&lt;'111'!$N$11),"x","")</f>
        <v/>
      </c>
      <c r="Q1410" s="51" t="str">
        <f>IF(AND($M1410=$O$7,$B1410&lt;'111'!$N$11),"x","")</f>
        <v/>
      </c>
      <c r="R1410" s="51" t="str">
        <f>IF(ISERROR(FIND('112'!$M$9,G1410,1)),"",IF((AND(FIND('112'!$M$9,G1410,1)&gt;=1,$B1410&gt;='112'!$N$8,$B1410&lt;='112'!$O$8,OR($L1410='112'!$I$6,$M1410='112'!$I$6))),"x",""))</f>
        <v/>
      </c>
      <c r="S1410" s="51" t="str">
        <f>IF(ISERROR(FIND('112'!$M$9,G1410,1)),"",IF((AND(LEFT(G1410,2)=LEFT('112'!$M$9,2),B1410&lt;'112'!$N$8,$L1410='112'!$I$6)),"x",""))</f>
        <v/>
      </c>
      <c r="T1410" s="51" t="str">
        <f>IF(ISERROR(FIND('112'!$M$9,G1410,1)),"",IF((AND(RIGHT(G1410,2)=RIGHT('112'!$M$9,2),B1410&lt;'112'!$N$8,$M1410='112'!$I$6)),"x",""))</f>
        <v/>
      </c>
      <c r="U1410" s="51" t="str">
        <f>IF(AND(L1410="154",'154'!$O$5&lt;=B1410,'154'!$P$5&gt;=B1410),"154",IF(AND(L1410="632",'632'!$L$5&lt;=B1410,'632'!$M$5&gt;=B1410),"632",IF(AND(L1410="642",'642'!$N$5&lt;=B1410,'642'!$O$5&gt;=B1410),"642",IF(AND(L1410="641",'641'!$N$5&lt;=B1410,'641'!$O$5&gt;=B1410),"641",""))))</f>
        <v/>
      </c>
      <c r="V1410" s="51" t="str">
        <f>IF(OR(TH!L1410=TH!$V$7,M1410=TH!$V$7),"x","")</f>
        <v>x</v>
      </c>
      <c r="W1410" s="51" t="str">
        <f>IF(AND(B1410&gt;='IN-NX'!$P$3,B1410&lt;='IN-NX'!$Q$3,'IN-NX'!$D$7=D1410,OR(LEFT(L1410,2)="15",AND(LEFT(M1410,2)&lt;&gt;"15",LEFT(M1410,2)&lt;&gt;"33"))),"x","")</f>
        <v/>
      </c>
      <c r="X1410" s="51" t="str">
        <f>IF(AND(OR(LEFT(TH!L1410,2)="15",LEFT(TH!M1410,2)="15"),'152-CT'!$J$8=TH!F1410),"x","")</f>
        <v/>
      </c>
      <c r="Y1410" s="51" t="str">
        <f>IF(AND(OR(LEFT(TH!L1410,2)="15",LEFT(TH!M1410,2)="15"),TK!$E$7=TH!F1410),"x","")</f>
        <v/>
      </c>
      <c r="Z1410" s="51" t="str">
        <f>IF(AND(B1410&lt;=NKC!$N$8,B1410&gt;=NKC!$M$8),"x","")</f>
        <v/>
      </c>
      <c r="AA1410" s="803"/>
      <c r="AB1410" s="565"/>
    </row>
    <row r="1411" spans="1:30" ht="15.75" customHeight="1">
      <c r="A1411" s="804" t="str">
        <f>IF(B1411&lt;&gt;"",IF(AND(B1411&gt;=_TM1,B1411&lt;=_TM2,OR(TH!L1411="1111",TH!M1411="1111")),TH!D1411,""),"")</f>
        <v/>
      </c>
      <c r="B1411" s="36">
        <f t="shared" si="89"/>
        <v>12</v>
      </c>
      <c r="C1411" s="189">
        <f t="shared" si="90"/>
        <v>42367</v>
      </c>
      <c r="D1411" s="189" t="s">
        <v>1524</v>
      </c>
      <c r="E1411" s="189">
        <v>42367</v>
      </c>
      <c r="F1411" s="926" t="s">
        <v>952</v>
      </c>
      <c r="G1411" s="813" t="s">
        <v>951</v>
      </c>
      <c r="H1411" s="191" t="s">
        <v>448</v>
      </c>
      <c r="I1411" s="243">
        <v>1500</v>
      </c>
      <c r="J1411" s="243">
        <v>11831</v>
      </c>
      <c r="K1411" s="573">
        <f>ROUND(I1411*J1411,0)</f>
        <v>17746500</v>
      </c>
      <c r="L1411" s="574" t="s">
        <v>417</v>
      </c>
      <c r="M1411" s="574" t="s">
        <v>8</v>
      </c>
      <c r="N1411" s="51" t="str">
        <f>IF(AND('331-CT'!$E$7=TH!H1411,OR(L1411="331",M1411="331")),"331",IF(AND(OR(L1411="131",M1411="131"),H1411='131-CT'!$E$7),"131",""))</f>
        <v/>
      </c>
      <c r="O1411" s="51" t="str">
        <f>IF(AND($B1411&gt;='111'!$N$11,$B1411&lt;='111'!$O$11,OR($L1411=$O$7,$M1411=$O$7)),"x","")</f>
        <v/>
      </c>
      <c r="P1411" s="51" t="str">
        <f>IF(AND($L1411=$O$7,$B1411&lt;'111'!$N$11),"x","")</f>
        <v/>
      </c>
      <c r="Q1411" s="51" t="str">
        <f>IF(AND($M1411=$O$7,$B1411&lt;'111'!$N$11),"x","")</f>
        <v/>
      </c>
      <c r="R1411" s="51" t="str">
        <f>IF(ISERROR(FIND('112'!$M$9,G1411,1)),"",IF((AND(FIND('112'!$M$9,G1411,1)&gt;=1,$B1411&gt;='112'!$N$8,$B1411&lt;='112'!$O$8,OR($L1411='112'!$I$6,$M1411='112'!$I$6))),"x",""))</f>
        <v/>
      </c>
      <c r="S1411" s="51" t="str">
        <f>IF(ISERROR(FIND('112'!$M$9,G1411,1)),"",IF((AND(LEFT(G1411,2)=LEFT('112'!$M$9,2),B1411&lt;'112'!$N$8,$L1411='112'!$I$6)),"x",""))</f>
        <v/>
      </c>
      <c r="T1411" s="51" t="str">
        <f>IF(ISERROR(FIND('112'!$M$9,G1411,1)),"",IF((AND(RIGHT(G1411,2)=RIGHT('112'!$M$9,2),B1411&lt;'112'!$N$8,$M1411='112'!$I$6)),"x",""))</f>
        <v/>
      </c>
      <c r="U1411" s="51" t="str">
        <f>IF(AND(L1411="154",'154'!$O$5&lt;=B1411,'154'!$P$5&gt;=B1411),"154",IF(AND(L1411="632",'632'!$L$5&lt;=B1411,'632'!$M$5&gt;=B1411),"632",IF(AND(L1411="642",'642'!$N$5&lt;=B1411,'642'!$O$5&gt;=B1411),"642",IF(AND(L1411="641",'641'!$N$5&lt;=B1411,'641'!$O$5&gt;=B1411),"641",""))))</f>
        <v/>
      </c>
      <c r="V1411" s="51" t="str">
        <f>IF(OR(TH!L1411=TH!$V$7,M1411=TH!$V$7),"x","")</f>
        <v/>
      </c>
      <c r="W1411" s="51" t="str">
        <f>IF(AND(B1411&gt;='IN-NX'!$P$3,B1411&lt;='IN-NX'!$Q$3,'IN-NX'!$D$7=D1411,OR(LEFT(L1411,2)="15",AND(LEFT(M1411,2)&lt;&gt;"15",LEFT(M1411,2)&lt;&gt;"33"))),"x","")</f>
        <v/>
      </c>
      <c r="X1411" s="51" t="str">
        <f>IF(AND(OR(LEFT(TH!L1411,2)="15",LEFT(TH!M1411,2)="15"),'152-CT'!$J$8=TH!F1411),"x","")</f>
        <v/>
      </c>
      <c r="Y1411" s="51" t="str">
        <f>IF(AND(OR(LEFT(TH!L1411,2)="15",LEFT(TH!M1411,2)="15"),TK!$E$7=TH!F1411),"x","")</f>
        <v/>
      </c>
      <c r="Z1411" s="51" t="str">
        <f>IF(AND(B1411&lt;=NKC!$N$8,B1411&gt;=NKC!$M$8),"x","")</f>
        <v/>
      </c>
      <c r="AA1411" s="803"/>
      <c r="AB1411" s="565"/>
    </row>
    <row r="1412" spans="1:30" ht="15.75" customHeight="1">
      <c r="A1412" s="804" t="str">
        <f>IF(B1412&lt;&gt;"",IF(AND(B1412&gt;=_TM1,B1412&lt;=_TM2,OR(TH!L1412="1111",TH!M1412="1111")),TH!D1412,""),"")</f>
        <v/>
      </c>
      <c r="B1412" s="36">
        <f t="shared" si="89"/>
        <v>12</v>
      </c>
      <c r="C1412" s="189">
        <f t="shared" si="90"/>
        <v>42367</v>
      </c>
      <c r="D1412" s="189" t="s">
        <v>1524</v>
      </c>
      <c r="E1412" s="189">
        <v>42367</v>
      </c>
      <c r="F1412" s="926" t="s">
        <v>1233</v>
      </c>
      <c r="G1412" s="813" t="s">
        <v>951</v>
      </c>
      <c r="H1412" s="191" t="s">
        <v>448</v>
      </c>
      <c r="I1412" s="243">
        <v>1500</v>
      </c>
      <c r="J1412" s="243">
        <v>6119</v>
      </c>
      <c r="K1412" s="573">
        <f>ROUND(I1412*J1412,0)</f>
        <v>9178500</v>
      </c>
      <c r="L1412" s="574" t="s">
        <v>417</v>
      </c>
      <c r="M1412" s="574" t="s">
        <v>8</v>
      </c>
      <c r="N1412" s="51" t="str">
        <f>IF(AND('331-CT'!$E$7=TH!H1412,OR(L1412="331",M1412="331")),"331",IF(AND(OR(L1412="131",M1412="131"),H1412='131-CT'!$E$7),"131",""))</f>
        <v/>
      </c>
      <c r="O1412" s="51" t="str">
        <f>IF(AND($B1412&gt;='111'!$N$11,$B1412&lt;='111'!$O$11,OR($L1412=$O$7,$M1412=$O$7)),"x","")</f>
        <v/>
      </c>
      <c r="P1412" s="51" t="str">
        <f>IF(AND($L1412=$O$7,$B1412&lt;'111'!$N$11),"x","")</f>
        <v/>
      </c>
      <c r="Q1412" s="51" t="str">
        <f>IF(AND($M1412=$O$7,$B1412&lt;'111'!$N$11),"x","")</f>
        <v/>
      </c>
      <c r="R1412" s="51" t="str">
        <f>IF(ISERROR(FIND('112'!$M$9,G1412,1)),"",IF((AND(FIND('112'!$M$9,G1412,1)&gt;=1,$B1412&gt;='112'!$N$8,$B1412&lt;='112'!$O$8,OR($L1412='112'!$I$6,$M1412='112'!$I$6))),"x",""))</f>
        <v/>
      </c>
      <c r="S1412" s="51" t="str">
        <f>IF(ISERROR(FIND('112'!$M$9,G1412,1)),"",IF((AND(LEFT(G1412,2)=LEFT('112'!$M$9,2),B1412&lt;'112'!$N$8,$L1412='112'!$I$6)),"x",""))</f>
        <v/>
      </c>
      <c r="T1412" s="51" t="str">
        <f>IF(ISERROR(FIND('112'!$M$9,G1412,1)),"",IF((AND(RIGHT(G1412,2)=RIGHT('112'!$M$9,2),B1412&lt;'112'!$N$8,$M1412='112'!$I$6)),"x",""))</f>
        <v/>
      </c>
      <c r="U1412" s="51" t="str">
        <f>IF(AND(L1412="154",'154'!$O$5&lt;=B1412,'154'!$P$5&gt;=B1412),"154",IF(AND(L1412="632",'632'!$L$5&lt;=B1412,'632'!$M$5&gt;=B1412),"632",IF(AND(L1412="642",'642'!$N$5&lt;=B1412,'642'!$O$5&gt;=B1412),"642",IF(AND(L1412="641",'641'!$N$5&lt;=B1412,'641'!$O$5&gt;=B1412),"641",""))))</f>
        <v/>
      </c>
      <c r="V1412" s="51" t="str">
        <f>IF(OR(TH!L1412=TH!$V$7,M1412=TH!$V$7),"x","")</f>
        <v/>
      </c>
      <c r="W1412" s="51" t="str">
        <f>IF(AND(B1412&gt;='IN-NX'!$P$3,B1412&lt;='IN-NX'!$Q$3,'IN-NX'!$D$7=D1412,OR(LEFT(L1412,2)="15",AND(LEFT(M1412,2)&lt;&gt;"15",LEFT(M1412,2)&lt;&gt;"33"))),"x","")</f>
        <v/>
      </c>
      <c r="X1412" s="51" t="str">
        <f>IF(AND(OR(LEFT(TH!L1412,2)="15",LEFT(TH!M1412,2)="15"),'152-CT'!$J$8=TH!F1412),"x","")</f>
        <v/>
      </c>
      <c r="Y1412" s="51" t="str">
        <f>IF(AND(OR(LEFT(TH!L1412,2)="15",LEFT(TH!M1412,2)="15"),TK!$E$7=TH!F1412),"x","")</f>
        <v/>
      </c>
      <c r="Z1412" s="51" t="str">
        <f>IF(AND(B1412&lt;=NKC!$N$8,B1412&gt;=NKC!$M$8),"x","")</f>
        <v/>
      </c>
      <c r="AA1412" s="803"/>
      <c r="AB1412" s="565"/>
    </row>
    <row r="1413" spans="1:30" ht="15.75" customHeight="1">
      <c r="A1413" s="804" t="str">
        <f>IF(B1413&lt;&gt;"",IF(AND(B1413&gt;=_TM1,B1413&lt;=_TM2,OR(TH!L1413="1111",TH!M1413="1111")),TH!D1413,""),"")</f>
        <v/>
      </c>
      <c r="B1413" s="36">
        <f t="shared" si="89"/>
        <v>12</v>
      </c>
      <c r="C1413" s="189">
        <f t="shared" si="90"/>
        <v>42367</v>
      </c>
      <c r="D1413" s="189" t="s">
        <v>1524</v>
      </c>
      <c r="E1413" s="189">
        <v>42367</v>
      </c>
      <c r="F1413" s="926" t="s">
        <v>1232</v>
      </c>
      <c r="G1413" s="813" t="s">
        <v>951</v>
      </c>
      <c r="H1413" s="191" t="s">
        <v>448</v>
      </c>
      <c r="I1413" s="243">
        <v>1500</v>
      </c>
      <c r="J1413" s="243">
        <v>4182</v>
      </c>
      <c r="K1413" s="573">
        <f>ROUND(I1413*J1413,0)</f>
        <v>6273000</v>
      </c>
      <c r="L1413" s="574" t="s">
        <v>417</v>
      </c>
      <c r="M1413" s="574" t="s">
        <v>8</v>
      </c>
      <c r="N1413" s="51" t="str">
        <f>IF(AND('331-CT'!$E$7=TH!H1413,OR(L1413="331",M1413="331")),"331",IF(AND(OR(L1413="131",M1413="131"),H1413='131-CT'!$E$7),"131",""))</f>
        <v/>
      </c>
      <c r="O1413" s="51" t="str">
        <f>IF(AND($B1413&gt;='111'!$N$11,$B1413&lt;='111'!$O$11,OR($L1413=$O$7,$M1413=$O$7)),"x","")</f>
        <v/>
      </c>
      <c r="P1413" s="51" t="str">
        <f>IF(AND($L1413=$O$7,$B1413&lt;'111'!$N$11),"x","")</f>
        <v/>
      </c>
      <c r="Q1413" s="51" t="str">
        <f>IF(AND($M1413=$O$7,$B1413&lt;'111'!$N$11),"x","")</f>
        <v/>
      </c>
      <c r="R1413" s="51" t="str">
        <f>IF(ISERROR(FIND('112'!$M$9,G1413,1)),"",IF((AND(FIND('112'!$M$9,G1413,1)&gt;=1,$B1413&gt;='112'!$N$8,$B1413&lt;='112'!$O$8,OR($L1413='112'!$I$6,$M1413='112'!$I$6))),"x",""))</f>
        <v/>
      </c>
      <c r="S1413" s="51" t="str">
        <f>IF(ISERROR(FIND('112'!$M$9,G1413,1)),"",IF((AND(LEFT(G1413,2)=LEFT('112'!$M$9,2),B1413&lt;'112'!$N$8,$L1413='112'!$I$6)),"x",""))</f>
        <v/>
      </c>
      <c r="T1413" s="51" t="str">
        <f>IF(ISERROR(FIND('112'!$M$9,G1413,1)),"",IF((AND(RIGHT(G1413,2)=RIGHT('112'!$M$9,2),B1413&lt;'112'!$N$8,$M1413='112'!$I$6)),"x",""))</f>
        <v/>
      </c>
      <c r="U1413" s="51" t="str">
        <f>IF(AND(L1413="154",'154'!$O$5&lt;=B1413,'154'!$P$5&gt;=B1413),"154",IF(AND(L1413="632",'632'!$L$5&lt;=B1413,'632'!$M$5&gt;=B1413),"632",IF(AND(L1413="642",'642'!$N$5&lt;=B1413,'642'!$O$5&gt;=B1413),"642",IF(AND(L1413="641",'641'!$N$5&lt;=B1413,'641'!$O$5&gt;=B1413),"641",""))))</f>
        <v/>
      </c>
      <c r="V1413" s="51" t="str">
        <f>IF(OR(TH!L1413=TH!$V$7,M1413=TH!$V$7),"x","")</f>
        <v/>
      </c>
      <c r="W1413" s="51" t="str">
        <f>IF(AND(B1413&gt;='IN-NX'!$P$3,B1413&lt;='IN-NX'!$Q$3,'IN-NX'!$D$7=D1413,OR(LEFT(L1413,2)="15",AND(LEFT(M1413,2)&lt;&gt;"15",LEFT(M1413,2)&lt;&gt;"33"))),"x","")</f>
        <v/>
      </c>
      <c r="X1413" s="51" t="str">
        <f>IF(AND(OR(LEFT(TH!L1413,2)="15",LEFT(TH!M1413,2)="15"),'152-CT'!$J$8=TH!F1413),"x","")</f>
        <v/>
      </c>
      <c r="Y1413" s="51" t="str">
        <f>IF(AND(OR(LEFT(TH!L1413,2)="15",LEFT(TH!M1413,2)="15"),TK!$E$7=TH!F1413),"x","")</f>
        <v/>
      </c>
      <c r="Z1413" s="51" t="str">
        <f>IF(AND(B1413&lt;=NKC!$N$8,B1413&gt;=NKC!$M$8),"x","")</f>
        <v/>
      </c>
      <c r="AA1413" s="803"/>
      <c r="AB1413" s="565"/>
    </row>
    <row r="1414" spans="1:30" ht="15.75" customHeight="1">
      <c r="A1414" s="804" t="str">
        <f>IF(B1414&lt;&gt;"",IF(AND(B1414&gt;=_TM1,B1414&lt;=_TM2,OR(TH!L1414="1111",TH!M1414="1111")),TH!D1414,""),"")</f>
        <v/>
      </c>
      <c r="B1414" s="36">
        <f t="shared" si="89"/>
        <v>12</v>
      </c>
      <c r="C1414" s="189">
        <f t="shared" si="90"/>
        <v>42367</v>
      </c>
      <c r="D1414" s="189" t="s">
        <v>1524</v>
      </c>
      <c r="E1414" s="189">
        <v>42367</v>
      </c>
      <c r="F1414" s="926" t="s">
        <v>953</v>
      </c>
      <c r="G1414" s="813" t="s">
        <v>951</v>
      </c>
      <c r="H1414" s="191" t="s">
        <v>448</v>
      </c>
      <c r="I1414" s="243">
        <v>100</v>
      </c>
      <c r="J1414" s="243">
        <v>12932</v>
      </c>
      <c r="K1414" s="573">
        <f>ROUND(I1414*J1414,0)</f>
        <v>1293200</v>
      </c>
      <c r="L1414" s="574" t="s">
        <v>417</v>
      </c>
      <c r="M1414" s="574" t="s">
        <v>8</v>
      </c>
      <c r="N1414" s="51" t="str">
        <f>IF(AND('331-CT'!$E$7=TH!H1414,OR(L1414="331",M1414="331")),"331",IF(AND(OR(L1414="131",M1414="131"),H1414='131-CT'!$E$7),"131",""))</f>
        <v/>
      </c>
      <c r="O1414" s="51" t="str">
        <f>IF(AND($B1414&gt;='111'!$N$11,$B1414&lt;='111'!$O$11,OR($L1414=$O$7,$M1414=$O$7)),"x","")</f>
        <v/>
      </c>
      <c r="P1414" s="51" t="str">
        <f>IF(AND($L1414=$O$7,$B1414&lt;'111'!$N$11),"x","")</f>
        <v/>
      </c>
      <c r="Q1414" s="51" t="str">
        <f>IF(AND($M1414=$O$7,$B1414&lt;'111'!$N$11),"x","")</f>
        <v/>
      </c>
      <c r="R1414" s="51" t="str">
        <f>IF(ISERROR(FIND('112'!$M$9,G1414,1)),"",IF((AND(FIND('112'!$M$9,G1414,1)&gt;=1,$B1414&gt;='112'!$N$8,$B1414&lt;='112'!$O$8,OR($L1414='112'!$I$6,$M1414='112'!$I$6))),"x",""))</f>
        <v/>
      </c>
      <c r="S1414" s="51" t="str">
        <f>IF(ISERROR(FIND('112'!$M$9,G1414,1)),"",IF((AND(LEFT(G1414,2)=LEFT('112'!$M$9,2),B1414&lt;'112'!$N$8,$L1414='112'!$I$6)),"x",""))</f>
        <v/>
      </c>
      <c r="T1414" s="51" t="str">
        <f>IF(ISERROR(FIND('112'!$M$9,G1414,1)),"",IF((AND(RIGHT(G1414,2)=RIGHT('112'!$M$9,2),B1414&lt;'112'!$N$8,$M1414='112'!$I$6)),"x",""))</f>
        <v/>
      </c>
      <c r="U1414" s="51" t="str">
        <f>IF(AND(L1414="154",'154'!$O$5&lt;=B1414,'154'!$P$5&gt;=B1414),"154",IF(AND(L1414="632",'632'!$L$5&lt;=B1414,'632'!$M$5&gt;=B1414),"632",IF(AND(L1414="642",'642'!$N$5&lt;=B1414,'642'!$O$5&gt;=B1414),"642",IF(AND(L1414="641",'641'!$N$5&lt;=B1414,'641'!$O$5&gt;=B1414),"641",""))))</f>
        <v/>
      </c>
      <c r="V1414" s="51" t="str">
        <f>IF(OR(TH!L1414=TH!$V$7,M1414=TH!$V$7),"x","")</f>
        <v/>
      </c>
      <c r="W1414" s="51" t="str">
        <f>IF(AND(B1414&gt;='IN-NX'!$P$3,B1414&lt;='IN-NX'!$Q$3,'IN-NX'!$D$7=D1414,OR(LEFT(L1414,2)="15",AND(LEFT(M1414,2)&lt;&gt;"15",LEFT(M1414,2)&lt;&gt;"33"))),"x","")</f>
        <v/>
      </c>
      <c r="X1414" s="51" t="str">
        <f>IF(AND(OR(LEFT(TH!L1414,2)="15",LEFT(TH!M1414,2)="15"),'152-CT'!$J$8=TH!F1414),"x","")</f>
        <v/>
      </c>
      <c r="Y1414" s="51" t="str">
        <f>IF(AND(OR(LEFT(TH!L1414,2)="15",LEFT(TH!M1414,2)="15"),TK!$E$7=TH!F1414),"x","")</f>
        <v/>
      </c>
      <c r="Z1414" s="51" t="str">
        <f>IF(AND(B1414&lt;=NKC!$N$8,B1414&gt;=NKC!$M$8),"x","")</f>
        <v/>
      </c>
      <c r="AA1414" s="803"/>
      <c r="AB1414" s="565"/>
    </row>
    <row r="1415" spans="1:30" ht="15.75" customHeight="1">
      <c r="A1415" s="804" t="str">
        <f>IF(B1415&lt;&gt;"",IF(AND(B1415&gt;=_TM1,B1415&lt;=_TM2,OR(TH!L1415="1111",TH!M1415="1111")),TH!D1415,""),"")</f>
        <v/>
      </c>
      <c r="B1415" s="36">
        <f t="shared" si="89"/>
        <v>12</v>
      </c>
      <c r="C1415" s="189">
        <f t="shared" si="90"/>
        <v>42367</v>
      </c>
      <c r="D1415" s="189" t="s">
        <v>1524</v>
      </c>
      <c r="E1415" s="189">
        <v>42367</v>
      </c>
      <c r="F1415" s="926" t="s">
        <v>496</v>
      </c>
      <c r="G1415" s="813" t="s">
        <v>951</v>
      </c>
      <c r="H1415" s="191" t="s">
        <v>448</v>
      </c>
      <c r="I1415" s="243"/>
      <c r="J1415" s="243"/>
      <c r="K1415" s="573">
        <v>3449120</v>
      </c>
      <c r="L1415" s="574" t="s">
        <v>9</v>
      </c>
      <c r="M1415" s="574" t="s">
        <v>8</v>
      </c>
      <c r="N1415" s="51" t="str">
        <f>IF(AND('331-CT'!$E$7=TH!H1415,OR(L1415="331",M1415="331")),"331",IF(AND(OR(L1415="131",M1415="131"),H1415='131-CT'!$E$7),"131",""))</f>
        <v/>
      </c>
      <c r="O1415" s="51" t="str">
        <f>IF(AND($B1415&gt;='111'!$N$11,$B1415&lt;='111'!$O$11,OR($L1415=$O$7,$M1415=$O$7)),"x","")</f>
        <v/>
      </c>
      <c r="P1415" s="51" t="str">
        <f>IF(AND($L1415=$O$7,$B1415&lt;'111'!$N$11),"x","")</f>
        <v/>
      </c>
      <c r="Q1415" s="51" t="str">
        <f>IF(AND($M1415=$O$7,$B1415&lt;'111'!$N$11),"x","")</f>
        <v/>
      </c>
      <c r="R1415" s="51" t="str">
        <f>IF(ISERROR(FIND('112'!$M$9,G1415,1)),"",IF((AND(FIND('112'!$M$9,G1415,1)&gt;=1,$B1415&gt;='112'!$N$8,$B1415&lt;='112'!$O$8,OR($L1415='112'!$I$6,$M1415='112'!$I$6))),"x",""))</f>
        <v/>
      </c>
      <c r="S1415" s="51" t="str">
        <f>IF(ISERROR(FIND('112'!$M$9,G1415,1)),"",IF((AND(LEFT(G1415,2)=LEFT('112'!$M$9,2),B1415&lt;'112'!$N$8,$L1415='112'!$I$6)),"x",""))</f>
        <v/>
      </c>
      <c r="T1415" s="51" t="str">
        <f>IF(ISERROR(FIND('112'!$M$9,G1415,1)),"",IF((AND(RIGHT(G1415,2)=RIGHT('112'!$M$9,2),B1415&lt;'112'!$N$8,$M1415='112'!$I$6)),"x",""))</f>
        <v/>
      </c>
      <c r="U1415" s="51" t="str">
        <f>IF(AND(L1415="154",'154'!$O$5&lt;=B1415,'154'!$P$5&gt;=B1415),"154",IF(AND(L1415="632",'632'!$L$5&lt;=B1415,'632'!$M$5&gt;=B1415),"632",IF(AND(L1415="642",'642'!$N$5&lt;=B1415,'642'!$O$5&gt;=B1415),"642",IF(AND(L1415="641",'641'!$N$5&lt;=B1415,'641'!$O$5&gt;=B1415),"641",""))))</f>
        <v/>
      </c>
      <c r="V1415" s="51" t="str">
        <f>IF(OR(TH!L1415=TH!$V$7,M1415=TH!$V$7),"x","")</f>
        <v/>
      </c>
      <c r="W1415" s="51" t="str">
        <f>IF(AND(B1415&gt;='IN-NX'!$P$3,B1415&lt;='IN-NX'!$Q$3,'IN-NX'!$D$7=D1415,OR(LEFT(L1415,2)="15",AND(LEFT(M1415,2)&lt;&gt;"15",LEFT(M1415,2)&lt;&gt;"33"))),"x","")</f>
        <v/>
      </c>
      <c r="X1415" s="51" t="str">
        <f>IF(AND(OR(LEFT(TH!L1415,2)="15",LEFT(TH!M1415,2)="15"),'152-CT'!$J$8=TH!F1415),"x","")</f>
        <v/>
      </c>
      <c r="Y1415" s="51" t="str">
        <f>IF(AND(OR(LEFT(TH!L1415,2)="15",LEFT(TH!M1415,2)="15"),TK!$E$7=TH!F1415),"x","")</f>
        <v/>
      </c>
      <c r="Z1415" s="51" t="str">
        <f>IF(AND(B1415&lt;=NKC!$N$8,B1415&gt;=NKC!$M$8),"x","")</f>
        <v/>
      </c>
      <c r="AA1415" s="803">
        <v>4</v>
      </c>
      <c r="AB1415" s="565"/>
      <c r="AC1415" s="565"/>
      <c r="AD1415" s="565"/>
    </row>
    <row r="1416" spans="1:30" ht="15.75" customHeight="1">
      <c r="A1416" s="804" t="str">
        <f>IF(B1416&lt;&gt;"",IF(AND(B1416&gt;=_TM1,B1416&lt;=_TM2,OR(TH!L1416="1111",TH!M1416="1111")),TH!D1416,""),"")</f>
        <v/>
      </c>
      <c r="B1416" s="36">
        <f t="shared" si="89"/>
        <v>12</v>
      </c>
      <c r="C1416" s="189">
        <f t="shared" si="90"/>
        <v>42367</v>
      </c>
      <c r="D1416" s="189" t="s">
        <v>1330</v>
      </c>
      <c r="E1416" s="189">
        <v>42367</v>
      </c>
      <c r="F1416" s="926" t="s">
        <v>1233</v>
      </c>
      <c r="G1416" s="811" t="s">
        <v>1112</v>
      </c>
      <c r="H1416" s="7" t="s">
        <v>445</v>
      </c>
      <c r="I1416" s="243">
        <v>1500</v>
      </c>
      <c r="J1416" s="243">
        <v>6425</v>
      </c>
      <c r="K1416" s="573">
        <f>ROUND(I1416*J1416,0)</f>
        <v>9637500</v>
      </c>
      <c r="L1416" s="574" t="s">
        <v>250</v>
      </c>
      <c r="M1416" s="574" t="s">
        <v>164</v>
      </c>
      <c r="N1416" s="51" t="str">
        <f>IF(AND('331-CT'!$E$7=TH!H1416,OR(L1416="331",M1416="331")),"331",IF(AND(OR(L1416="131",M1416="131"),H1416='131-CT'!$E$7),"131",""))</f>
        <v/>
      </c>
      <c r="O1416" s="51" t="str">
        <f>IF(AND($B1416&gt;='111'!$N$11,$B1416&lt;='111'!$O$11,OR($L1416=$O$7,$M1416=$O$7)),"x","")</f>
        <v/>
      </c>
      <c r="P1416" s="51" t="str">
        <f>IF(AND($L1416=$O$7,$B1416&lt;'111'!$N$11),"x","")</f>
        <v/>
      </c>
      <c r="Q1416" s="51" t="str">
        <f>IF(AND($M1416=$O$7,$B1416&lt;'111'!$N$11),"x","")</f>
        <v/>
      </c>
      <c r="R1416" s="51" t="str">
        <f>IF(ISERROR(FIND('112'!$M$9,G1416,1)),"",IF((AND(FIND('112'!$M$9,G1416,1)&gt;=1,$B1416&gt;='112'!$N$8,$B1416&lt;='112'!$O$8,OR($L1416='112'!$I$6,$M1416='112'!$I$6))),"x",""))</f>
        <v/>
      </c>
      <c r="S1416" s="51" t="str">
        <f>IF(ISERROR(FIND('112'!$M$9,G1416,1)),"",IF((AND(LEFT(G1416,2)=LEFT('112'!$M$9,2),B1416&lt;'112'!$N$8,$L1416='112'!$I$6)),"x",""))</f>
        <v/>
      </c>
      <c r="T1416" s="51" t="str">
        <f>IF(ISERROR(FIND('112'!$M$9,G1416,1)),"",IF((AND(RIGHT(G1416,2)=RIGHT('112'!$M$9,2),B1416&lt;'112'!$N$8,$M1416='112'!$I$6)),"x",""))</f>
        <v/>
      </c>
      <c r="U1416" s="51" t="str">
        <f>IF(AND(L1416="154",'154'!$O$5&lt;=B1416,'154'!$P$5&gt;=B1416),"154",IF(AND(L1416="632",'632'!$L$5&lt;=B1416,'632'!$M$5&gt;=B1416),"632",IF(AND(L1416="642",'642'!$N$5&lt;=B1416,'642'!$O$5&gt;=B1416),"642",IF(AND(L1416="641",'641'!$N$5&lt;=B1416,'641'!$O$5&gt;=B1416),"641",""))))</f>
        <v/>
      </c>
      <c r="V1416" s="51" t="str">
        <f>IF(OR(TH!L1416=TH!$V$7,M1416=TH!$V$7),"x","")</f>
        <v/>
      </c>
      <c r="W1416" s="51" t="str">
        <f>IF(AND(B1416&gt;='IN-NX'!$P$3,B1416&lt;='IN-NX'!$Q$3,'IN-NX'!$D$7=D1416,OR(LEFT(L1416,2)="15",AND(LEFT(M1416,2)&lt;&gt;"15",LEFT(M1416,2)&lt;&gt;"33"))),"x","")</f>
        <v/>
      </c>
      <c r="X1416" s="51" t="str">
        <f>IF(AND(OR(LEFT(TH!L1416,2)="15",LEFT(TH!M1416,2)="15"),'152-CT'!$J$8=TH!F1416),"x","")</f>
        <v/>
      </c>
      <c r="Y1416" s="51" t="str">
        <f>IF(AND(OR(LEFT(TH!L1416,2)="15",LEFT(TH!M1416,2)="15"),TK!$E$7=TH!F1416),"x","")</f>
        <v/>
      </c>
      <c r="Z1416" s="51" t="str">
        <f>IF(AND(B1416&lt;=NKC!$N$8,B1416&gt;=NKC!$M$8),"x","")</f>
        <v/>
      </c>
      <c r="AA1416" s="803"/>
      <c r="AB1416" s="565"/>
    </row>
    <row r="1417" spans="1:30" ht="15.75" customHeight="1">
      <c r="A1417" s="804" t="str">
        <f>IF(B1417&lt;&gt;"",IF(AND(B1417&gt;=_TM1,B1417&lt;=_TM2,OR(TH!L1417="1111",TH!M1417="1111")),TH!D1417,""),"")</f>
        <v/>
      </c>
      <c r="B1417" s="36">
        <f t="shared" si="89"/>
        <v>12</v>
      </c>
      <c r="C1417" s="189">
        <f t="shared" si="90"/>
        <v>42367</v>
      </c>
      <c r="D1417" s="189" t="s">
        <v>1330</v>
      </c>
      <c r="E1417" s="189">
        <v>42367</v>
      </c>
      <c r="F1417" s="926" t="s">
        <v>1232</v>
      </c>
      <c r="G1417" s="811" t="s">
        <v>1112</v>
      </c>
      <c r="H1417" s="7" t="s">
        <v>445</v>
      </c>
      <c r="I1417" s="243">
        <v>1500</v>
      </c>
      <c r="J1417" s="243">
        <v>4391</v>
      </c>
      <c r="K1417" s="573">
        <f>ROUND(I1417*J1417,0)</f>
        <v>6586500</v>
      </c>
      <c r="L1417" s="574" t="s">
        <v>250</v>
      </c>
      <c r="M1417" s="574" t="s">
        <v>164</v>
      </c>
      <c r="N1417" s="51" t="str">
        <f>IF(AND('331-CT'!$E$7=TH!H1417,OR(L1417="331",M1417="331")),"331",IF(AND(OR(L1417="131",M1417="131"),H1417='131-CT'!$E$7),"131",""))</f>
        <v/>
      </c>
      <c r="O1417" s="51" t="str">
        <f>IF(AND($B1417&gt;='111'!$N$11,$B1417&lt;='111'!$O$11,OR($L1417=$O$7,$M1417=$O$7)),"x","")</f>
        <v/>
      </c>
      <c r="P1417" s="51" t="str">
        <f>IF(AND($L1417=$O$7,$B1417&lt;'111'!$N$11),"x","")</f>
        <v/>
      </c>
      <c r="Q1417" s="51" t="str">
        <f>IF(AND($M1417=$O$7,$B1417&lt;'111'!$N$11),"x","")</f>
        <v/>
      </c>
      <c r="R1417" s="51" t="str">
        <f>IF(ISERROR(FIND('112'!$M$9,G1417,1)),"",IF((AND(FIND('112'!$M$9,G1417,1)&gt;=1,$B1417&gt;='112'!$N$8,$B1417&lt;='112'!$O$8,OR($L1417='112'!$I$6,$M1417='112'!$I$6))),"x",""))</f>
        <v/>
      </c>
      <c r="S1417" s="51" t="str">
        <f>IF(ISERROR(FIND('112'!$M$9,G1417,1)),"",IF((AND(LEFT(G1417,2)=LEFT('112'!$M$9,2),B1417&lt;'112'!$N$8,$L1417='112'!$I$6)),"x",""))</f>
        <v/>
      </c>
      <c r="T1417" s="51" t="str">
        <f>IF(ISERROR(FIND('112'!$M$9,G1417,1)),"",IF((AND(RIGHT(G1417,2)=RIGHT('112'!$M$9,2),B1417&lt;'112'!$N$8,$M1417='112'!$I$6)),"x",""))</f>
        <v/>
      </c>
      <c r="U1417" s="51" t="str">
        <f>IF(AND(L1417="154",'154'!$O$5&lt;=B1417,'154'!$P$5&gt;=B1417),"154",IF(AND(L1417="632",'632'!$L$5&lt;=B1417,'632'!$M$5&gt;=B1417),"632",IF(AND(L1417="642",'642'!$N$5&lt;=B1417,'642'!$O$5&gt;=B1417),"642",IF(AND(L1417="641",'641'!$N$5&lt;=B1417,'641'!$O$5&gt;=B1417),"641",""))))</f>
        <v/>
      </c>
      <c r="V1417" s="51" t="str">
        <f>IF(OR(TH!L1417=TH!$V$7,M1417=TH!$V$7),"x","")</f>
        <v/>
      </c>
      <c r="W1417" s="51" t="str">
        <f>IF(AND(B1417&gt;='IN-NX'!$P$3,B1417&lt;='IN-NX'!$Q$3,'IN-NX'!$D$7=D1417,OR(LEFT(L1417,2)="15",AND(LEFT(M1417,2)&lt;&gt;"15",LEFT(M1417,2)&lt;&gt;"33"))),"x","")</f>
        <v/>
      </c>
      <c r="X1417" s="51" t="str">
        <f>IF(AND(OR(LEFT(TH!L1417,2)="15",LEFT(TH!M1417,2)="15"),'152-CT'!$J$8=TH!F1417),"x","")</f>
        <v/>
      </c>
      <c r="Y1417" s="51" t="str">
        <f>IF(AND(OR(LEFT(TH!L1417,2)="15",LEFT(TH!M1417,2)="15"),TK!$E$7=TH!F1417),"x","")</f>
        <v/>
      </c>
      <c r="Z1417" s="51" t="str">
        <f>IF(AND(B1417&lt;=NKC!$N$8,B1417&gt;=NKC!$M$8),"x","")</f>
        <v/>
      </c>
      <c r="AA1417" s="803"/>
      <c r="AB1417" s="565"/>
    </row>
    <row r="1418" spans="1:30" ht="15.75" customHeight="1">
      <c r="A1418" s="804" t="str">
        <f>IF(B1418&lt;&gt;"",IF(AND(B1418&gt;=_TM1,B1418&lt;=_TM2,OR(TH!L1418="1111",TH!M1418="1111")),TH!D1418,""),"")</f>
        <v/>
      </c>
      <c r="B1418" s="36">
        <f t="shared" si="89"/>
        <v>12</v>
      </c>
      <c r="C1418" s="189">
        <f t="shared" si="90"/>
        <v>42367</v>
      </c>
      <c r="D1418" s="189" t="s">
        <v>1330</v>
      </c>
      <c r="E1418" s="189">
        <v>42367</v>
      </c>
      <c r="F1418" s="926" t="s">
        <v>962</v>
      </c>
      <c r="G1418" s="811" t="s">
        <v>1112</v>
      </c>
      <c r="H1418" s="7" t="s">
        <v>445</v>
      </c>
      <c r="I1418" s="243"/>
      <c r="J1418" s="243"/>
      <c r="K1418" s="573">
        <v>1622400</v>
      </c>
      <c r="L1418" s="574" t="s">
        <v>250</v>
      </c>
      <c r="M1418" s="574" t="s">
        <v>352</v>
      </c>
      <c r="N1418" s="51" t="str">
        <f>IF(AND('331-CT'!$E$7=TH!H1418,OR(L1418="331",M1418="331")),"331",IF(AND(OR(L1418="131",M1418="131"),H1418='131-CT'!$E$7),"131",""))</f>
        <v/>
      </c>
      <c r="O1418" s="51" t="str">
        <f>IF(AND($B1418&gt;='111'!$N$11,$B1418&lt;='111'!$O$11,OR($L1418=$O$7,$M1418=$O$7)),"x","")</f>
        <v/>
      </c>
      <c r="P1418" s="51" t="str">
        <f>IF(AND($L1418=$O$7,$B1418&lt;'111'!$N$11),"x","")</f>
        <v/>
      </c>
      <c r="Q1418" s="51" t="str">
        <f>IF(AND($M1418=$O$7,$B1418&lt;'111'!$N$11),"x","")</f>
        <v/>
      </c>
      <c r="R1418" s="51" t="str">
        <f>IF(ISERROR(FIND('112'!$M$9,G1418,1)),"",IF((AND(FIND('112'!$M$9,G1418,1)&gt;=1,$B1418&gt;='112'!$N$8,$B1418&lt;='112'!$O$8,OR($L1418='112'!$I$6,$M1418='112'!$I$6))),"x",""))</f>
        <v/>
      </c>
      <c r="S1418" s="51" t="str">
        <f>IF(ISERROR(FIND('112'!$M$9,G1418,1)),"",IF((AND(LEFT(G1418,2)=LEFT('112'!$M$9,2),B1418&lt;'112'!$N$8,$L1418='112'!$I$6)),"x",""))</f>
        <v/>
      </c>
      <c r="T1418" s="51" t="str">
        <f>IF(ISERROR(FIND('112'!$M$9,G1418,1)),"",IF((AND(RIGHT(G1418,2)=RIGHT('112'!$M$9,2),B1418&lt;'112'!$N$8,$M1418='112'!$I$6)),"x",""))</f>
        <v/>
      </c>
      <c r="U1418" s="51" t="str">
        <f>IF(AND(L1418="154",'154'!$O$5&lt;=B1418,'154'!$P$5&gt;=B1418),"154",IF(AND(L1418="632",'632'!$L$5&lt;=B1418,'632'!$M$5&gt;=B1418),"632",IF(AND(L1418="642",'642'!$N$5&lt;=B1418,'642'!$O$5&gt;=B1418),"642",IF(AND(L1418="641",'641'!$N$5&lt;=B1418,'641'!$O$5&gt;=B1418),"641",""))))</f>
        <v/>
      </c>
      <c r="V1418" s="51" t="str">
        <f>IF(OR(TH!L1418=TH!$V$7,M1418=TH!$V$7),"x","")</f>
        <v/>
      </c>
      <c r="W1418" s="51" t="str">
        <f>IF(AND(B1418&gt;='IN-NX'!$P$3,B1418&lt;='IN-NX'!$Q$3,'IN-NX'!$D$7=D1418,OR(LEFT(L1418,2)="15",AND(LEFT(M1418,2)&lt;&gt;"15",LEFT(M1418,2)&lt;&gt;"33"))),"x","")</f>
        <v/>
      </c>
      <c r="X1418" s="51" t="str">
        <f>IF(AND(OR(LEFT(TH!L1418,2)="15",LEFT(TH!M1418,2)="15"),'152-CT'!$J$8=TH!F1418),"x","")</f>
        <v/>
      </c>
      <c r="Y1418" s="51" t="str">
        <f>IF(AND(OR(LEFT(TH!L1418,2)="15",LEFT(TH!M1418,2)="15"),TK!$E$7=TH!F1418),"x","")</f>
        <v/>
      </c>
      <c r="Z1418" s="51" t="str">
        <f>IF(AND(B1418&lt;=NKC!$N$8,B1418&gt;=NKC!$M$8),"x","")</f>
        <v/>
      </c>
      <c r="AA1418" s="803"/>
      <c r="AB1418" s="565"/>
    </row>
    <row r="1419" spans="1:30" ht="15.75" customHeight="1">
      <c r="A1419" s="804" t="str">
        <f>IF(B1419&lt;&gt;"",IF(AND(B1419&gt;=_TM1,B1419&lt;=_TM2,OR(TH!L1419="1111",TH!M1419="1111")),TH!D1419,""),"")</f>
        <v/>
      </c>
      <c r="B1419" s="36">
        <f t="shared" si="89"/>
        <v>12</v>
      </c>
      <c r="C1419" s="189">
        <f t="shared" si="90"/>
        <v>42367</v>
      </c>
      <c r="D1419" s="189" t="s">
        <v>1413</v>
      </c>
      <c r="E1419" s="189">
        <v>42367</v>
      </c>
      <c r="F1419" s="926" t="s">
        <v>423</v>
      </c>
      <c r="G1419" s="811" t="s">
        <v>1112</v>
      </c>
      <c r="H1419" s="7" t="s">
        <v>445</v>
      </c>
      <c r="I1419" s="243"/>
      <c r="J1419" s="243"/>
      <c r="K1419" s="573">
        <v>17846400</v>
      </c>
      <c r="L1419" s="574" t="s">
        <v>47</v>
      </c>
      <c r="M1419" s="574" t="s">
        <v>250</v>
      </c>
      <c r="N1419" s="51" t="str">
        <f>IF(AND('331-CT'!$E$7=TH!H1419,OR(L1419="331",M1419="331")),"331",IF(AND(OR(L1419="131",M1419="131"),H1419='131-CT'!$E$7),"131",""))</f>
        <v/>
      </c>
      <c r="O1419" s="51" t="str">
        <f>IF(AND($B1419&gt;='111'!$N$11,$B1419&lt;='111'!$O$11,OR($L1419=$O$7,$M1419=$O$7)),"x","")</f>
        <v>x</v>
      </c>
      <c r="P1419" s="51" t="str">
        <f>IF(AND($L1419=$O$7,$B1419&lt;'111'!$N$11),"x","")</f>
        <v/>
      </c>
      <c r="Q1419" s="51" t="str">
        <f>IF(AND($M1419=$O$7,$B1419&lt;'111'!$N$11),"x","")</f>
        <v/>
      </c>
      <c r="R1419" s="51" t="str">
        <f>IF(ISERROR(FIND('112'!$M$9,G1419,1)),"",IF((AND(FIND('112'!$M$9,G1419,1)&gt;=1,$B1419&gt;='112'!$N$8,$B1419&lt;='112'!$O$8,OR($L1419='112'!$I$6,$M1419='112'!$I$6))),"x",""))</f>
        <v/>
      </c>
      <c r="S1419" s="51" t="str">
        <f>IF(ISERROR(FIND('112'!$M$9,G1419,1)),"",IF((AND(LEFT(G1419,2)=LEFT('112'!$M$9,2),B1419&lt;'112'!$N$8,$L1419='112'!$I$6)),"x",""))</f>
        <v/>
      </c>
      <c r="T1419" s="51" t="str">
        <f>IF(ISERROR(FIND('112'!$M$9,G1419,1)),"",IF((AND(RIGHT(G1419,2)=RIGHT('112'!$M$9,2),B1419&lt;'112'!$N$8,$M1419='112'!$I$6)),"x",""))</f>
        <v/>
      </c>
      <c r="U1419" s="51" t="str">
        <f>IF(AND(L1419="154",'154'!$O$5&lt;=B1419,'154'!$P$5&gt;=B1419),"154",IF(AND(L1419="632",'632'!$L$5&lt;=B1419,'632'!$M$5&gt;=B1419),"632",IF(AND(L1419="642",'642'!$N$5&lt;=B1419,'642'!$O$5&gt;=B1419),"642",IF(AND(L1419="641",'641'!$N$5&lt;=B1419,'641'!$O$5&gt;=B1419),"641",""))))</f>
        <v/>
      </c>
      <c r="V1419" s="51" t="str">
        <f>IF(OR(TH!L1419=TH!$V$7,M1419=TH!$V$7),"x","")</f>
        <v/>
      </c>
      <c r="W1419" s="51" t="str">
        <f>IF(AND(B1419&gt;='IN-NX'!$P$3,B1419&lt;='IN-NX'!$Q$3,'IN-NX'!$D$7=D1419,OR(LEFT(L1419,2)="15",AND(LEFT(M1419,2)&lt;&gt;"15",LEFT(M1419,2)&lt;&gt;"33"))),"x","")</f>
        <v/>
      </c>
      <c r="X1419" s="51" t="str">
        <f>IF(AND(OR(LEFT(TH!L1419,2)="15",LEFT(TH!M1419,2)="15"),'152-CT'!$J$8=TH!F1419),"x","")</f>
        <v/>
      </c>
      <c r="Y1419" s="51" t="str">
        <f>IF(AND(OR(LEFT(TH!L1419,2)="15",LEFT(TH!M1419,2)="15"),TK!$E$7=TH!F1419),"x","")</f>
        <v/>
      </c>
      <c r="Z1419" s="51" t="str">
        <f>IF(AND(B1419&lt;=NKC!$N$8,B1419&gt;=NKC!$M$8),"x","")</f>
        <v/>
      </c>
      <c r="AA1419" s="803"/>
      <c r="AB1419" s="565"/>
    </row>
    <row r="1420" spans="1:30" ht="15.75" customHeight="1">
      <c r="A1420" s="804" t="str">
        <f>IF(B1420&lt;&gt;"",IF(AND(B1420&gt;=_TM1,B1420&lt;=_TM2,OR(TH!L1420="1111",TH!M1420="1111")),TH!D1420,""),"")</f>
        <v/>
      </c>
      <c r="B1420" s="36">
        <f t="shared" si="89"/>
        <v>12</v>
      </c>
      <c r="C1420" s="189">
        <f t="shared" si="90"/>
        <v>42368</v>
      </c>
      <c r="D1420" s="189" t="s">
        <v>1414</v>
      </c>
      <c r="E1420" s="189">
        <v>42368</v>
      </c>
      <c r="F1420" s="926" t="s">
        <v>964</v>
      </c>
      <c r="G1420" s="811" t="s">
        <v>700</v>
      </c>
      <c r="H1420" s="191" t="s">
        <v>975</v>
      </c>
      <c r="I1420" s="243"/>
      <c r="J1420" s="243"/>
      <c r="K1420" s="573">
        <v>5200000</v>
      </c>
      <c r="L1420" s="574" t="s">
        <v>47</v>
      </c>
      <c r="M1420" s="574" t="s">
        <v>408</v>
      </c>
      <c r="N1420" s="51" t="str">
        <f>IF(AND('331-CT'!$E$7=TH!H1420,OR(L1420="331",M1420="331")),"331",IF(AND(OR(L1420="131",M1420="131"),H1420='131-CT'!$E$7),"131",""))</f>
        <v/>
      </c>
      <c r="O1420" s="51" t="str">
        <f>IF(AND($B1420&gt;='111'!$N$11,$B1420&lt;='111'!$O$11,OR($L1420=$O$7,$M1420=$O$7)),"x","")</f>
        <v>x</v>
      </c>
      <c r="P1420" s="51" t="str">
        <f>IF(AND($L1420=$O$7,$B1420&lt;'111'!$N$11),"x","")</f>
        <v/>
      </c>
      <c r="Q1420" s="51" t="str">
        <f>IF(AND($M1420=$O$7,$B1420&lt;'111'!$N$11),"x","")</f>
        <v/>
      </c>
      <c r="R1420" s="51" t="str">
        <f>IF(ISERROR(FIND('112'!$M$9,G1420,1)),"",IF((AND(FIND('112'!$M$9,G1420,1)&gt;=1,$B1420&gt;='112'!$N$8,$B1420&lt;='112'!$O$8,OR($L1420='112'!$I$6,$M1420='112'!$I$6))),"x",""))</f>
        <v/>
      </c>
      <c r="S1420" s="51" t="str">
        <f>IF(ISERROR(FIND('112'!$M$9,G1420,1)),"",IF((AND(LEFT(G1420,2)=LEFT('112'!$M$9,2),B1420&lt;'112'!$N$8,$L1420='112'!$I$6)),"x",""))</f>
        <v/>
      </c>
      <c r="T1420" s="51" t="str">
        <f>IF(ISERROR(FIND('112'!$M$9,G1420,1)),"",IF((AND(RIGHT(G1420,2)=RIGHT('112'!$M$9,2),B1420&lt;'112'!$N$8,$M1420='112'!$I$6)),"x",""))</f>
        <v/>
      </c>
      <c r="U1420" s="51" t="str">
        <f>IF(AND(L1420="154",'154'!$O$5&lt;=B1420,'154'!$P$5&gt;=B1420),"154",IF(AND(L1420="632",'632'!$L$5&lt;=B1420,'632'!$M$5&gt;=B1420),"632",IF(AND(L1420="642",'642'!$N$5&lt;=B1420,'642'!$O$5&gt;=B1420),"642",IF(AND(L1420="641",'641'!$N$5&lt;=B1420,'641'!$O$5&gt;=B1420),"641",""))))</f>
        <v/>
      </c>
      <c r="V1420" s="51" t="str">
        <f>IF(OR(TH!L1420=TH!$V$7,M1420=TH!$V$7),"x","")</f>
        <v/>
      </c>
      <c r="W1420" s="51" t="str">
        <f>IF(AND(B1420&gt;='IN-NX'!$P$3,B1420&lt;='IN-NX'!$Q$3,'IN-NX'!$D$7=D1420,OR(LEFT(L1420,2)="15",AND(LEFT(M1420,2)&lt;&gt;"15",LEFT(M1420,2)&lt;&gt;"33"))),"x","")</f>
        <v/>
      </c>
      <c r="X1420" s="51" t="str">
        <f>IF(AND(OR(LEFT(TH!L1420,2)="15",LEFT(TH!M1420,2)="15"),'152-CT'!$J$8=TH!F1420),"x","")</f>
        <v/>
      </c>
      <c r="Y1420" s="51" t="str">
        <f>IF(AND(OR(LEFT(TH!L1420,2)="15",LEFT(TH!M1420,2)="15"),TK!$E$7=TH!F1420),"x","")</f>
        <v/>
      </c>
      <c r="Z1420" s="51" t="str">
        <f>IF(AND(B1420&lt;=NKC!$N$8,B1420&gt;=NKC!$M$8),"x","")</f>
        <v/>
      </c>
      <c r="AA1420" s="803"/>
      <c r="AB1420" s="565"/>
    </row>
    <row r="1421" spans="1:30" ht="15.75" customHeight="1">
      <c r="A1421" s="804" t="str">
        <f>IF(B1421&lt;&gt;"",IF(AND(B1421&gt;=_TM1,B1421&lt;=_TM2,OR(TH!L1421="1111",TH!M1421="1111")),TH!D1421,""),"")</f>
        <v/>
      </c>
      <c r="B1421" s="36">
        <f t="shared" si="89"/>
        <v>12</v>
      </c>
      <c r="C1421" s="189">
        <f t="shared" si="90"/>
        <v>42368</v>
      </c>
      <c r="D1421" s="189" t="s">
        <v>1414</v>
      </c>
      <c r="E1421" s="189">
        <v>42368</v>
      </c>
      <c r="F1421" s="926" t="s">
        <v>1110</v>
      </c>
      <c r="G1421" s="811" t="s">
        <v>700</v>
      </c>
      <c r="H1421" s="191" t="s">
        <v>975</v>
      </c>
      <c r="I1421" s="243"/>
      <c r="J1421" s="243"/>
      <c r="K1421" s="573">
        <v>520000</v>
      </c>
      <c r="L1421" s="574" t="s">
        <v>47</v>
      </c>
      <c r="M1421" s="574" t="s">
        <v>352</v>
      </c>
      <c r="N1421" s="51" t="str">
        <f>IF(AND('331-CT'!$E$7=TH!H1421,OR(L1421="331",M1421="331")),"331",IF(AND(OR(L1421="131",M1421="131"),H1421='131-CT'!$E$7),"131",""))</f>
        <v/>
      </c>
      <c r="O1421" s="51" t="str">
        <f>IF(AND($B1421&gt;='111'!$N$11,$B1421&lt;='111'!$O$11,OR($L1421=$O$7,$M1421=$O$7)),"x","")</f>
        <v>x</v>
      </c>
      <c r="P1421" s="51" t="str">
        <f>IF(AND($L1421=$O$7,$B1421&lt;'111'!$N$11),"x","")</f>
        <v/>
      </c>
      <c r="Q1421" s="51" t="str">
        <f>IF(AND($M1421=$O$7,$B1421&lt;'111'!$N$11),"x","")</f>
        <v/>
      </c>
      <c r="R1421" s="51" t="str">
        <f>IF(ISERROR(FIND('112'!$M$9,G1421,1)),"",IF((AND(FIND('112'!$M$9,G1421,1)&gt;=1,$B1421&gt;='112'!$N$8,$B1421&lt;='112'!$O$8,OR($L1421='112'!$I$6,$M1421='112'!$I$6))),"x",""))</f>
        <v/>
      </c>
      <c r="S1421" s="51" t="str">
        <f>IF(ISERROR(FIND('112'!$M$9,G1421,1)),"",IF((AND(LEFT(G1421,2)=LEFT('112'!$M$9,2),B1421&lt;'112'!$N$8,$L1421='112'!$I$6)),"x",""))</f>
        <v/>
      </c>
      <c r="T1421" s="51" t="str">
        <f>IF(ISERROR(FIND('112'!$M$9,G1421,1)),"",IF((AND(RIGHT(G1421,2)=RIGHT('112'!$M$9,2),B1421&lt;'112'!$N$8,$M1421='112'!$I$6)),"x",""))</f>
        <v/>
      </c>
      <c r="U1421" s="51" t="str">
        <f>IF(AND(L1421="154",'154'!$O$5&lt;=B1421,'154'!$P$5&gt;=B1421),"154",IF(AND(L1421="632",'632'!$L$5&lt;=B1421,'632'!$M$5&gt;=B1421),"632",IF(AND(L1421="642",'642'!$N$5&lt;=B1421,'642'!$O$5&gt;=B1421),"642",IF(AND(L1421="641",'641'!$N$5&lt;=B1421,'641'!$O$5&gt;=B1421),"641",""))))</f>
        <v/>
      </c>
      <c r="V1421" s="51" t="str">
        <f>IF(OR(TH!L1421=TH!$V$7,M1421=TH!$V$7),"x","")</f>
        <v/>
      </c>
      <c r="W1421" s="51" t="str">
        <f>IF(AND(B1421&gt;='IN-NX'!$P$3,B1421&lt;='IN-NX'!$Q$3,'IN-NX'!$D$7=D1421,OR(LEFT(L1421,2)="15",AND(LEFT(M1421,2)&lt;&gt;"15",LEFT(M1421,2)&lt;&gt;"33"))),"x","")</f>
        <v/>
      </c>
      <c r="X1421" s="51" t="str">
        <f>IF(AND(OR(LEFT(TH!L1421,2)="15",LEFT(TH!M1421,2)="15"),'152-CT'!$J$8=TH!F1421),"x","")</f>
        <v/>
      </c>
      <c r="Y1421" s="51" t="str">
        <f>IF(AND(OR(LEFT(TH!L1421,2)="15",LEFT(TH!M1421,2)="15"),TK!$E$7=TH!F1421),"x","")</f>
        <v/>
      </c>
      <c r="Z1421" s="51" t="str">
        <f>IF(AND(B1421&lt;=NKC!$N$8,B1421&gt;=NKC!$M$8),"x","")</f>
        <v/>
      </c>
      <c r="AA1421" s="803"/>
      <c r="AB1421" s="565"/>
    </row>
    <row r="1422" spans="1:30" ht="15.75" customHeight="1">
      <c r="A1422" s="804" t="str">
        <f>IF(B1422&lt;&gt;"",IF(AND(B1422&gt;=_TM1,B1422&lt;=_TM2,OR(TH!L1422="1111",TH!M1422="1111")),TH!D1422,""),"")</f>
        <v/>
      </c>
      <c r="B1422" s="36">
        <f t="shared" si="89"/>
        <v>12</v>
      </c>
      <c r="C1422" s="189">
        <f t="shared" si="90"/>
        <v>42369</v>
      </c>
      <c r="D1422" s="189" t="s">
        <v>421</v>
      </c>
      <c r="E1422" s="182">
        <v>42369</v>
      </c>
      <c r="F1422" s="187" t="s">
        <v>429</v>
      </c>
      <c r="G1422" s="811" t="s">
        <v>415</v>
      </c>
      <c r="H1422" s="191"/>
      <c r="I1422" s="243"/>
      <c r="J1422" s="243"/>
      <c r="K1422" s="573">
        <v>5969</v>
      </c>
      <c r="L1422" s="574" t="s">
        <v>24</v>
      </c>
      <c r="M1422" s="574" t="s">
        <v>40</v>
      </c>
      <c r="N1422" s="51" t="str">
        <f>IF(AND('331-CT'!$E$7=TH!H1422,OR(L1422="331",M1422="331")),"331",IF(AND(OR(L1422="131",M1422="131"),H1422='131-CT'!$E$7),"131",""))</f>
        <v/>
      </c>
      <c r="O1422" s="51" t="str">
        <f>IF(AND($B1422&gt;='111'!$N$11,$B1422&lt;='111'!$O$11,OR($L1422=$O$7,$M1422=$O$7)),"x","")</f>
        <v/>
      </c>
      <c r="P1422" s="51" t="str">
        <f>IF(AND($L1422=$O$7,$B1422&lt;'111'!$N$11),"x","")</f>
        <v/>
      </c>
      <c r="Q1422" s="51" t="str">
        <f>IF(AND($M1422=$O$7,$B1422&lt;'111'!$N$11),"x","")</f>
        <v/>
      </c>
      <c r="R1422" s="51" t="str">
        <f>IF(ISERROR(FIND('112'!$M$9,G1422,1)),"",IF((AND(FIND('112'!$M$9,G1422,1)&gt;=1,$B1422&gt;='112'!$N$8,$B1422&lt;='112'!$O$8,OR($L1422='112'!$I$6,$M1422='112'!$I$6))),"x",""))</f>
        <v/>
      </c>
      <c r="S1422" s="51" t="str">
        <f>IF(ISERROR(FIND('112'!$M$9,G1422,1)),"",IF((AND(LEFT(G1422,2)=LEFT('112'!$M$9,2),B1422&lt;'112'!$N$8,$L1422='112'!$I$6)),"x",""))</f>
        <v/>
      </c>
      <c r="T1422" s="51" t="str">
        <f>IF(ISERROR(FIND('112'!$M$9,G1422,1)),"",IF((AND(RIGHT(G1422,2)=RIGHT('112'!$M$9,2),B1422&lt;'112'!$N$8,$M1422='112'!$I$6)),"x",""))</f>
        <v/>
      </c>
      <c r="U1422" s="51" t="str">
        <f>IF(AND(L1422="154",'154'!$O$5&lt;=B1422,'154'!$P$5&gt;=B1422),"154",IF(AND(L1422="632",'632'!$L$5&lt;=B1422,'632'!$M$5&gt;=B1422),"632",IF(AND(L1422="642",'642'!$N$5&lt;=B1422,'642'!$O$5&gt;=B1422),"642",IF(AND(L1422="641",'641'!$N$5&lt;=B1422,'641'!$O$5&gt;=B1422),"641",""))))</f>
        <v/>
      </c>
      <c r="V1422" s="51" t="str">
        <f>IF(OR(TH!L1422=TH!$V$7,M1422=TH!$V$7),"x","")</f>
        <v/>
      </c>
      <c r="W1422" s="51" t="str">
        <f>IF(AND(B1422&gt;='IN-NX'!$P$3,B1422&lt;='IN-NX'!$Q$3,'IN-NX'!$D$7=D1422,OR(LEFT(L1422,2)="15",AND(LEFT(M1422,2)&lt;&gt;"15",LEFT(M1422,2)&lt;&gt;"33"))),"x","")</f>
        <v/>
      </c>
      <c r="X1422" s="51" t="str">
        <f>IF(AND(OR(LEFT(TH!L1422,2)="15",LEFT(TH!M1422,2)="15"),'152-CT'!$J$8=TH!F1422),"x","")</f>
        <v/>
      </c>
      <c r="Y1422" s="51" t="str">
        <f>IF(AND(OR(LEFT(TH!L1422,2)="15",LEFT(TH!M1422,2)="15"),TK!$E$7=TH!F1422),"x","")</f>
        <v/>
      </c>
      <c r="Z1422" s="51" t="str">
        <f>IF(AND(B1422&lt;=NKC!$N$8,B1422&gt;=NKC!$M$8),"x","")</f>
        <v/>
      </c>
      <c r="AA1422" s="803"/>
      <c r="AB1422" s="565"/>
      <c r="AC1422" s="565"/>
      <c r="AD1422" s="565"/>
    </row>
    <row r="1423" spans="1:30" ht="15.75" customHeight="1">
      <c r="A1423" s="804" t="str">
        <f>IF(B1423&lt;&gt;"",IF(AND(B1423&gt;=_TM1,B1423&lt;=_TM2,OR(TH!L1423="1111",TH!M1423="1111")),TH!D1423,""),"")</f>
        <v/>
      </c>
      <c r="B1423" s="36">
        <f t="shared" si="89"/>
        <v>12</v>
      </c>
      <c r="C1423" s="189">
        <f t="shared" si="90"/>
        <v>42369</v>
      </c>
      <c r="D1423" s="189" t="s">
        <v>421</v>
      </c>
      <c r="E1423" s="182">
        <v>42369</v>
      </c>
      <c r="F1423" s="187" t="s">
        <v>423</v>
      </c>
      <c r="G1423" s="811" t="s">
        <v>415</v>
      </c>
      <c r="H1423" s="191" t="s">
        <v>449</v>
      </c>
      <c r="I1423" s="243"/>
      <c r="J1423" s="243"/>
      <c r="K1423" s="573">
        <v>20971164</v>
      </c>
      <c r="L1423" s="574" t="s">
        <v>24</v>
      </c>
      <c r="M1423" s="574" t="s">
        <v>250</v>
      </c>
      <c r="N1423" s="51" t="str">
        <f>IF(AND('331-CT'!$E$7=TH!H1423,OR(L1423="331",M1423="331")),"331",IF(AND(OR(L1423="131",M1423="131"),H1423='131-CT'!$E$7),"131",""))</f>
        <v/>
      </c>
      <c r="O1423" s="51" t="str">
        <f>IF(AND($B1423&gt;='111'!$N$11,$B1423&lt;='111'!$O$11,OR($L1423=$O$7,$M1423=$O$7)),"x","")</f>
        <v/>
      </c>
      <c r="P1423" s="51" t="str">
        <f>IF(AND($L1423=$O$7,$B1423&lt;'111'!$N$11),"x","")</f>
        <v/>
      </c>
      <c r="Q1423" s="51" t="str">
        <f>IF(AND($M1423=$O$7,$B1423&lt;'111'!$N$11),"x","")</f>
        <v/>
      </c>
      <c r="R1423" s="51" t="str">
        <f>IF(ISERROR(FIND('112'!$M$9,G1423,1)),"",IF((AND(FIND('112'!$M$9,G1423,1)&gt;=1,$B1423&gt;='112'!$N$8,$B1423&lt;='112'!$O$8,OR($L1423='112'!$I$6,$M1423='112'!$I$6))),"x",""))</f>
        <v/>
      </c>
      <c r="S1423" s="51" t="str">
        <f>IF(ISERROR(FIND('112'!$M$9,G1423,1)),"",IF((AND(LEFT(G1423,2)=LEFT('112'!$M$9,2),B1423&lt;'112'!$N$8,$L1423='112'!$I$6)),"x",""))</f>
        <v/>
      </c>
      <c r="T1423" s="51" t="str">
        <f>IF(ISERROR(FIND('112'!$M$9,G1423,1)),"",IF((AND(RIGHT(G1423,2)=RIGHT('112'!$M$9,2),B1423&lt;'112'!$N$8,$M1423='112'!$I$6)),"x",""))</f>
        <v/>
      </c>
      <c r="U1423" s="51" t="str">
        <f>IF(AND(L1423="154",'154'!$O$5&lt;=B1423,'154'!$P$5&gt;=B1423),"154",IF(AND(L1423="632",'632'!$L$5&lt;=B1423,'632'!$M$5&gt;=B1423),"632",IF(AND(L1423="642",'642'!$N$5&lt;=B1423,'642'!$O$5&gt;=B1423),"642",IF(AND(L1423="641",'641'!$N$5&lt;=B1423,'641'!$O$5&gt;=B1423),"641",""))))</f>
        <v/>
      </c>
      <c r="V1423" s="51" t="str">
        <f>IF(OR(TH!L1423=TH!$V$7,M1423=TH!$V$7),"x","")</f>
        <v/>
      </c>
      <c r="W1423" s="51" t="str">
        <f>IF(AND(B1423&gt;='IN-NX'!$P$3,B1423&lt;='IN-NX'!$Q$3,'IN-NX'!$D$7=D1423,OR(LEFT(L1423,2)="15",AND(LEFT(M1423,2)&lt;&gt;"15",LEFT(M1423,2)&lt;&gt;"33"))),"x","")</f>
        <v/>
      </c>
      <c r="X1423" s="51" t="str">
        <f>IF(AND(OR(LEFT(TH!L1423,2)="15",LEFT(TH!M1423,2)="15"),'152-CT'!$J$8=TH!F1423),"x","")</f>
        <v/>
      </c>
      <c r="Y1423" s="51" t="str">
        <f>IF(AND(OR(LEFT(TH!L1423,2)="15",LEFT(TH!M1423,2)="15"),TK!$E$7=TH!F1423),"x","")</f>
        <v/>
      </c>
      <c r="Z1423" s="51" t="str">
        <f>IF(AND(B1423&lt;=NKC!$N$8,B1423&gt;=NKC!$M$8),"x","")</f>
        <v/>
      </c>
      <c r="AA1423" s="803"/>
      <c r="AB1423" s="565"/>
      <c r="AD1423" s="565"/>
    </row>
    <row r="1424" spans="1:30" ht="15.75" customHeight="1">
      <c r="A1424" s="804" t="str">
        <f>IF(B1424&lt;&gt;"",IF(AND(B1424&gt;=_TM1,B1424&lt;=_TM2,OR(TH!L1424="1111",TH!M1424="1111")),TH!D1424,""),"")</f>
        <v/>
      </c>
      <c r="B1424" s="36">
        <f t="shared" si="89"/>
        <v>12</v>
      </c>
      <c r="C1424" s="189">
        <f t="shared" si="90"/>
        <v>42369</v>
      </c>
      <c r="D1424" s="189" t="s">
        <v>319</v>
      </c>
      <c r="E1424" s="182">
        <v>42369</v>
      </c>
      <c r="F1424" s="187" t="s">
        <v>1279</v>
      </c>
      <c r="G1424" s="811"/>
      <c r="H1424" s="191" t="s">
        <v>449</v>
      </c>
      <c r="I1424" s="243"/>
      <c r="J1424" s="243"/>
      <c r="K1424" s="573">
        <v>55</v>
      </c>
      <c r="L1424" s="574" t="s">
        <v>87</v>
      </c>
      <c r="M1424" s="574" t="s">
        <v>250</v>
      </c>
      <c r="N1424" s="51" t="str">
        <f>IF(AND('331-CT'!$E$7=TH!H1424,OR(L1424="331",M1424="331")),"331",IF(AND(OR(L1424="131",M1424="131"),H1424='131-CT'!$E$7),"131",""))</f>
        <v/>
      </c>
      <c r="O1424" s="51" t="str">
        <f>IF(AND($B1424&gt;='111'!$N$11,$B1424&lt;='111'!$O$11,OR($L1424=$O$7,$M1424=$O$7)),"x","")</f>
        <v/>
      </c>
      <c r="P1424" s="51" t="str">
        <f>IF(AND($L1424=$O$7,$B1424&lt;'111'!$N$11),"x","")</f>
        <v/>
      </c>
      <c r="Q1424" s="51" t="str">
        <f>IF(AND($M1424=$O$7,$B1424&lt;'111'!$N$11),"x","")</f>
        <v/>
      </c>
      <c r="R1424" s="51" t="str">
        <f>IF(ISERROR(FIND('112'!$M$9,G1424,1)),"",IF((AND(FIND('112'!$M$9,G1424,1)&gt;=1,$B1424&gt;='112'!$N$8,$B1424&lt;='112'!$O$8,OR($L1424='112'!$I$6,$M1424='112'!$I$6))),"x",""))</f>
        <v/>
      </c>
      <c r="S1424" s="51" t="str">
        <f>IF(ISERROR(FIND('112'!$M$9,G1424,1)),"",IF((AND(LEFT(G1424,2)=LEFT('112'!$M$9,2),B1424&lt;'112'!$N$8,$L1424='112'!$I$6)),"x",""))</f>
        <v/>
      </c>
      <c r="T1424" s="51" t="str">
        <f>IF(ISERROR(FIND('112'!$M$9,G1424,1)),"",IF((AND(RIGHT(G1424,2)=RIGHT('112'!$M$9,2),B1424&lt;'112'!$N$8,$M1424='112'!$I$6)),"x",""))</f>
        <v/>
      </c>
      <c r="U1424" s="51" t="str">
        <f>IF(AND(L1424="154",'154'!$O$5&lt;=B1424,'154'!$P$5&gt;=B1424),"154",IF(AND(L1424="632",'632'!$L$5&lt;=B1424,'632'!$M$5&gt;=B1424),"632",IF(AND(L1424="642",'642'!$N$5&lt;=B1424,'642'!$O$5&gt;=B1424),"642",IF(AND(L1424="641",'641'!$N$5&lt;=B1424,'641'!$O$5&gt;=B1424),"641",""))))</f>
        <v/>
      </c>
      <c r="V1424" s="51" t="str">
        <f>IF(OR(TH!L1424=TH!$V$7,M1424=TH!$V$7),"x","")</f>
        <v/>
      </c>
      <c r="W1424" s="51" t="str">
        <f>IF(AND(B1424&gt;='IN-NX'!$P$3,B1424&lt;='IN-NX'!$Q$3,'IN-NX'!$D$7=D1424,OR(LEFT(L1424,2)="15",AND(LEFT(M1424,2)&lt;&gt;"15",LEFT(M1424,2)&lt;&gt;"33"))),"x","")</f>
        <v/>
      </c>
      <c r="X1424" s="51" t="str">
        <f>IF(AND(OR(LEFT(TH!L1424,2)="15",LEFT(TH!M1424,2)="15"),'152-CT'!$J$8=TH!F1424),"x","")</f>
        <v/>
      </c>
      <c r="Y1424" s="51" t="str">
        <f>IF(AND(OR(LEFT(TH!L1424,2)="15",LEFT(TH!M1424,2)="15"),TK!$E$7=TH!F1424),"x","")</f>
        <v/>
      </c>
      <c r="Z1424" s="51" t="str">
        <f>IF(AND(B1424&lt;=NKC!$N$8,B1424&gt;=NKC!$M$8),"x","")</f>
        <v/>
      </c>
      <c r="AA1424" s="803"/>
      <c r="AB1424" s="565"/>
      <c r="AD1424" s="565"/>
    </row>
    <row r="1425" spans="1:31" ht="15.75" customHeight="1">
      <c r="A1425" s="804" t="str">
        <f>IF(B1425&lt;&gt;"",IF(AND(B1425&gt;=_TM1,B1425&lt;=_TM2,OR(TH!L1425="1111",TH!M1425="1111")),TH!D1425,""),"")</f>
        <v/>
      </c>
      <c r="B1425" s="36">
        <f t="shared" si="89"/>
        <v>12</v>
      </c>
      <c r="C1425" s="189">
        <f t="shared" si="90"/>
        <v>42369</v>
      </c>
      <c r="D1425" s="189" t="s">
        <v>422</v>
      </c>
      <c r="E1425" s="182">
        <v>42369</v>
      </c>
      <c r="F1425" s="187" t="s">
        <v>426</v>
      </c>
      <c r="G1425" s="811" t="s">
        <v>415</v>
      </c>
      <c r="H1425" s="191"/>
      <c r="I1425" s="243"/>
      <c r="J1425" s="243"/>
      <c r="K1425" s="573">
        <v>11000</v>
      </c>
      <c r="L1425" s="574" t="s">
        <v>83</v>
      </c>
      <c r="M1425" s="574" t="s">
        <v>24</v>
      </c>
      <c r="N1425" s="51" t="str">
        <f>IF(AND('331-CT'!$E$7=TH!H1425,OR(L1425="331",M1425="331")),"331",IF(AND(OR(L1425="131",M1425="131"),H1425='131-CT'!$E$7),"131",""))</f>
        <v/>
      </c>
      <c r="O1425" s="51" t="str">
        <f>IF(AND($B1425&gt;='111'!$N$11,$B1425&lt;='111'!$O$11,OR($L1425=$O$7,$M1425=$O$7)),"x","")</f>
        <v/>
      </c>
      <c r="P1425" s="51" t="str">
        <f>IF(AND($L1425=$O$7,$B1425&lt;'111'!$N$11),"x","")</f>
        <v/>
      </c>
      <c r="Q1425" s="51" t="str">
        <f>IF(AND($M1425=$O$7,$B1425&lt;'111'!$N$11),"x","")</f>
        <v/>
      </c>
      <c r="R1425" s="51" t="str">
        <f>IF(ISERROR(FIND('112'!$M$9,G1425,1)),"",IF((AND(FIND('112'!$M$9,G1425,1)&gt;=1,$B1425&gt;='112'!$N$8,$B1425&lt;='112'!$O$8,OR($L1425='112'!$I$6,$M1425='112'!$I$6))),"x",""))</f>
        <v/>
      </c>
      <c r="S1425" s="51" t="str">
        <f>IF(ISERROR(FIND('112'!$M$9,G1425,1)),"",IF((AND(LEFT(G1425,2)=LEFT('112'!$M$9,2),B1425&lt;'112'!$N$8,$L1425='112'!$I$6)),"x",""))</f>
        <v/>
      </c>
      <c r="T1425" s="51" t="str">
        <f>IF(ISERROR(FIND('112'!$M$9,G1425,1)),"",IF((AND(RIGHT(G1425,2)=RIGHT('112'!$M$9,2),B1425&lt;'112'!$N$8,$M1425='112'!$I$6)),"x",""))</f>
        <v/>
      </c>
      <c r="U1425" s="51" t="str">
        <f>IF(AND(L1425="154",'154'!$O$5&lt;=B1425,'154'!$P$5&gt;=B1425),"154",IF(AND(L1425="632",'632'!$L$5&lt;=B1425,'632'!$M$5&gt;=B1425),"632",IF(AND(L1425="642",'642'!$N$5&lt;=B1425,'642'!$O$5&gt;=B1425),"642",IF(AND(L1425="641",'641'!$N$5&lt;=B1425,'641'!$O$5&gt;=B1425),"641",""))))</f>
        <v/>
      </c>
      <c r="V1425" s="51" t="str">
        <f>IF(OR(TH!L1425=TH!$V$7,M1425=TH!$V$7),"x","")</f>
        <v>x</v>
      </c>
      <c r="W1425" s="51" t="str">
        <f>IF(AND(B1425&gt;='IN-NX'!$P$3,B1425&lt;='IN-NX'!$Q$3,'IN-NX'!$D$7=D1425,OR(LEFT(L1425,2)="15",AND(LEFT(M1425,2)&lt;&gt;"15",LEFT(M1425,2)&lt;&gt;"33"))),"x","")</f>
        <v/>
      </c>
      <c r="X1425" s="51" t="str">
        <f>IF(AND(OR(LEFT(TH!L1425,2)="15",LEFT(TH!M1425,2)="15"),'152-CT'!$J$8=TH!F1425),"x","")</f>
        <v/>
      </c>
      <c r="Y1425" s="51" t="str">
        <f>IF(AND(OR(LEFT(TH!L1425,2)="15",LEFT(TH!M1425,2)="15"),TK!$E$7=TH!F1425),"x","")</f>
        <v/>
      </c>
      <c r="Z1425" s="51" t="str">
        <f>IF(AND(B1425&lt;=NKC!$N$8,B1425&gt;=NKC!$M$8),"x","")</f>
        <v/>
      </c>
      <c r="AA1425" s="803"/>
      <c r="AB1425" s="565"/>
    </row>
    <row r="1426" spans="1:31" ht="15.75" customHeight="1">
      <c r="A1426" s="804" t="str">
        <f>IF(B1426&lt;&gt;"",IF(AND(B1426&gt;=_TM1,B1426&lt;=_TM2,OR(TH!L1426="1111",TH!M1426="1111")),TH!D1426,""),"")</f>
        <v/>
      </c>
      <c r="B1426" s="36">
        <f t="shared" si="89"/>
        <v>12</v>
      </c>
      <c r="C1426" s="189">
        <f t="shared" si="90"/>
        <v>42369</v>
      </c>
      <c r="D1426" s="189" t="s">
        <v>1415</v>
      </c>
      <c r="E1426" s="182">
        <v>42369</v>
      </c>
      <c r="F1426" s="187" t="s">
        <v>427</v>
      </c>
      <c r="G1426" s="811" t="s">
        <v>415</v>
      </c>
      <c r="H1426" s="7" t="s">
        <v>437</v>
      </c>
      <c r="I1426" s="243"/>
      <c r="J1426" s="243"/>
      <c r="K1426" s="573">
        <v>20900000</v>
      </c>
      <c r="L1426" s="574" t="s">
        <v>47</v>
      </c>
      <c r="M1426" s="574" t="s">
        <v>24</v>
      </c>
      <c r="N1426" s="51" t="str">
        <f>IF(AND('331-CT'!$E$7=TH!H1426,OR(L1426="331",M1426="331")),"331",IF(AND(OR(L1426="131",M1426="131"),H1426='131-CT'!$E$7),"131",""))</f>
        <v/>
      </c>
      <c r="O1426" s="51" t="str">
        <f>IF(AND($B1426&gt;='111'!$N$11,$B1426&lt;='111'!$O$11,OR($L1426=$O$7,$M1426=$O$7)),"x","")</f>
        <v>x</v>
      </c>
      <c r="P1426" s="51" t="str">
        <f>IF(AND($L1426=$O$7,$B1426&lt;'111'!$N$11),"x","")</f>
        <v/>
      </c>
      <c r="Q1426" s="51" t="str">
        <f>IF(AND($M1426=$O$7,$B1426&lt;'111'!$N$11),"x","")</f>
        <v/>
      </c>
      <c r="R1426" s="51" t="str">
        <f>IF(ISERROR(FIND('112'!$M$9,G1426,1)),"",IF((AND(FIND('112'!$M$9,G1426,1)&gt;=1,$B1426&gt;='112'!$N$8,$B1426&lt;='112'!$O$8,OR($L1426='112'!$I$6,$M1426='112'!$I$6))),"x",""))</f>
        <v/>
      </c>
      <c r="S1426" s="51" t="str">
        <f>IF(ISERROR(FIND('112'!$M$9,G1426,1)),"",IF((AND(LEFT(G1426,2)=LEFT('112'!$M$9,2),B1426&lt;'112'!$N$8,$L1426='112'!$I$6)),"x",""))</f>
        <v/>
      </c>
      <c r="T1426" s="51" t="str">
        <f>IF(ISERROR(FIND('112'!$M$9,G1426,1)),"",IF((AND(RIGHT(G1426,2)=RIGHT('112'!$M$9,2),B1426&lt;'112'!$N$8,$M1426='112'!$I$6)),"x",""))</f>
        <v/>
      </c>
      <c r="U1426" s="51" t="str">
        <f>IF(AND(L1426="154",'154'!$O$5&lt;=B1426,'154'!$P$5&gt;=B1426),"154",IF(AND(L1426="632",'632'!$L$5&lt;=B1426,'632'!$M$5&gt;=B1426),"632",IF(AND(L1426="642",'642'!$N$5&lt;=B1426,'642'!$O$5&gt;=B1426),"642",IF(AND(L1426="641",'641'!$N$5&lt;=B1426,'641'!$O$5&gt;=B1426),"641",""))))</f>
        <v/>
      </c>
      <c r="V1426" s="51" t="str">
        <f>IF(OR(TH!L1426=TH!$V$7,M1426=TH!$V$7),"x","")</f>
        <v/>
      </c>
      <c r="W1426" s="51" t="str">
        <f>IF(AND(B1426&gt;='IN-NX'!$P$3,B1426&lt;='IN-NX'!$Q$3,'IN-NX'!$D$7=D1426,OR(LEFT(L1426,2)="15",AND(LEFT(M1426,2)&lt;&gt;"15",LEFT(M1426,2)&lt;&gt;"33"))),"x","")</f>
        <v/>
      </c>
      <c r="X1426" s="51" t="str">
        <f>IF(AND(OR(LEFT(TH!L1426,2)="15",LEFT(TH!M1426,2)="15"),'152-CT'!$J$8=TH!F1426),"x","")</f>
        <v/>
      </c>
      <c r="Y1426" s="51" t="str">
        <f>IF(AND(OR(LEFT(TH!L1426,2)="15",LEFT(TH!M1426,2)="15"),TK!$E$7=TH!F1426),"x","")</f>
        <v/>
      </c>
      <c r="Z1426" s="51" t="str">
        <f>IF(AND(B1426&lt;=NKC!$N$8,B1426&gt;=NKC!$M$8),"x","")</f>
        <v/>
      </c>
      <c r="AA1426" s="803"/>
      <c r="AB1426" s="565"/>
    </row>
    <row r="1427" spans="1:31" ht="15.75" customHeight="1">
      <c r="A1427" s="804" t="str">
        <f>IF(B1427&lt;&gt;"",IF(AND(B1427&gt;=_TM1,B1427&lt;=_TM2,OR(TH!L1427="1111",TH!M1427="1111")),TH!D1427,""),"")</f>
        <v/>
      </c>
      <c r="B1427" s="36">
        <f t="shared" si="89"/>
        <v>12</v>
      </c>
      <c r="C1427" s="853">
        <f t="shared" si="90"/>
        <v>42369</v>
      </c>
      <c r="D1427" s="853" t="s">
        <v>319</v>
      </c>
      <c r="E1427" s="853">
        <v>42369</v>
      </c>
      <c r="F1427" s="854" t="s">
        <v>1262</v>
      </c>
      <c r="G1427" s="855"/>
      <c r="H1427" s="856"/>
      <c r="I1427" s="857"/>
      <c r="J1427" s="857"/>
      <c r="K1427" s="858">
        <v>11760000</v>
      </c>
      <c r="L1427" s="859" t="s">
        <v>83</v>
      </c>
      <c r="M1427" s="859" t="s">
        <v>252</v>
      </c>
      <c r="N1427" s="51" t="str">
        <f>IF(AND('331-CT'!$E$7=TH!H1427,OR(L1427="331",M1427="331")),"331",IF(AND(OR(L1427="131",M1427="131"),H1427='131-CT'!$E$7),"131",""))</f>
        <v/>
      </c>
      <c r="O1427" s="51" t="str">
        <f>IF(AND($B1427&gt;='111'!$N$11,$B1427&lt;='111'!$O$11,OR($L1427=$O$7,$M1427=$O$7)),"x","")</f>
        <v/>
      </c>
      <c r="P1427" s="51" t="str">
        <f>IF(AND($L1427=$O$7,$B1427&lt;'111'!$N$11),"x","")</f>
        <v/>
      </c>
      <c r="Q1427" s="51" t="str">
        <f>IF(AND($M1427=$O$7,$B1427&lt;'111'!$N$11),"x","")</f>
        <v/>
      </c>
      <c r="R1427" s="51" t="str">
        <f>IF(ISERROR(FIND('112'!$M$9,G1427,1)),"",IF((AND(FIND('112'!$M$9,G1427,1)&gt;=1,$B1427&gt;='112'!$N$8,$B1427&lt;='112'!$O$8,OR($L1427='112'!$I$6,$M1427='112'!$I$6))),"x",""))</f>
        <v/>
      </c>
      <c r="S1427" s="51" t="str">
        <f>IF(ISERROR(FIND('112'!$M$9,G1427,1)),"",IF((AND(LEFT(G1427,2)=LEFT('112'!$M$9,2),B1427&lt;'112'!$N$8,$L1427='112'!$I$6)),"x",""))</f>
        <v/>
      </c>
      <c r="T1427" s="51" t="str">
        <f>IF(ISERROR(FIND('112'!$M$9,G1427,1)),"",IF((AND(RIGHT(G1427,2)=RIGHT('112'!$M$9,2),B1427&lt;'112'!$N$8,$M1427='112'!$I$6)),"x",""))</f>
        <v/>
      </c>
      <c r="U1427" s="51" t="str">
        <f>IF(AND(L1427="154",'154'!$O$5&lt;=B1427,'154'!$P$5&gt;=B1427),"154",IF(AND(L1427="632",'632'!$L$5&lt;=B1427,'632'!$M$5&gt;=B1427),"632",IF(AND(L1427="642",'642'!$N$5&lt;=B1427,'642'!$O$5&gt;=B1427),"642",IF(AND(L1427="641",'641'!$N$5&lt;=B1427,'641'!$O$5&gt;=B1427),"641",""))))</f>
        <v/>
      </c>
      <c r="V1427" s="51" t="str">
        <f>IF(OR(TH!L1427=TH!$V$7,M1427=TH!$V$7),"x","")</f>
        <v>x</v>
      </c>
      <c r="W1427" s="51" t="str">
        <f>IF(AND(B1427&gt;='IN-NX'!$P$3,B1427&lt;='IN-NX'!$Q$3,'IN-NX'!$D$7=D1427,OR(LEFT(L1427,2)="15",AND(LEFT(M1427,2)&lt;&gt;"15",LEFT(M1427,2)&lt;&gt;"33"))),"x","")</f>
        <v/>
      </c>
      <c r="X1427" s="51" t="str">
        <f>IF(AND(OR(LEFT(TH!L1427,2)="15",LEFT(TH!M1427,2)="15"),'152-CT'!$J$8=TH!F1427),"x","")</f>
        <v/>
      </c>
      <c r="Y1427" s="51" t="str">
        <f>IF(AND(OR(LEFT(TH!L1427,2)="15",LEFT(TH!M1427,2)="15"),TK!$E$7=TH!F1427),"x","")</f>
        <v/>
      </c>
      <c r="Z1427" s="51" t="str">
        <f>IF(AND(B1427&lt;=NKC!$N$8,B1427&gt;=NKC!$M$8),"x","")</f>
        <v/>
      </c>
      <c r="AA1427" s="860"/>
      <c r="AB1427" s="565"/>
      <c r="AE1427" s="565"/>
    </row>
    <row r="1428" spans="1:31" ht="15.75" customHeight="1">
      <c r="A1428" s="804" t="str">
        <f>IF(B1428&lt;&gt;"",IF(AND(B1428&gt;=_TM1,B1428&lt;=_TM2,OR(TH!L1428="1111",TH!M1428="1111")),TH!D1428,""),"")</f>
        <v/>
      </c>
      <c r="B1428" s="36">
        <f t="shared" si="89"/>
        <v>12</v>
      </c>
      <c r="C1428" s="853">
        <f t="shared" si="90"/>
        <v>42369</v>
      </c>
      <c r="D1428" s="853" t="s">
        <v>319</v>
      </c>
      <c r="E1428" s="853">
        <v>42369</v>
      </c>
      <c r="F1428" s="854" t="s">
        <v>1263</v>
      </c>
      <c r="G1428" s="855"/>
      <c r="H1428" s="856"/>
      <c r="I1428" s="857"/>
      <c r="J1428" s="857"/>
      <c r="K1428" s="858">
        <v>3040000</v>
      </c>
      <c r="L1428" s="859" t="s">
        <v>160</v>
      </c>
      <c r="M1428" s="859" t="s">
        <v>252</v>
      </c>
      <c r="N1428" s="51" t="str">
        <f>IF(AND('331-CT'!$E$7=TH!H1428,OR(L1428="331",M1428="331")),"331",IF(AND(OR(L1428="131",M1428="131"),H1428='131-CT'!$E$7),"131",""))</f>
        <v/>
      </c>
      <c r="O1428" s="51" t="str">
        <f>IF(AND($B1428&gt;='111'!$N$11,$B1428&lt;='111'!$O$11,OR($L1428=$O$7,$M1428=$O$7)),"x","")</f>
        <v/>
      </c>
      <c r="P1428" s="51" t="str">
        <f>IF(AND($L1428=$O$7,$B1428&lt;'111'!$N$11),"x","")</f>
        <v/>
      </c>
      <c r="Q1428" s="51" t="str">
        <f>IF(AND($M1428=$O$7,$B1428&lt;'111'!$N$11),"x","")</f>
        <v/>
      </c>
      <c r="R1428" s="51" t="str">
        <f>IF(ISERROR(FIND('112'!$M$9,G1428,1)),"",IF((AND(FIND('112'!$M$9,G1428,1)&gt;=1,$B1428&gt;='112'!$N$8,$B1428&lt;='112'!$O$8,OR($L1428='112'!$I$6,$M1428='112'!$I$6))),"x",""))</f>
        <v/>
      </c>
      <c r="S1428" s="51" t="str">
        <f>IF(ISERROR(FIND('112'!$M$9,G1428,1)),"",IF((AND(LEFT(G1428,2)=LEFT('112'!$M$9,2),B1428&lt;'112'!$N$8,$L1428='112'!$I$6)),"x",""))</f>
        <v/>
      </c>
      <c r="T1428" s="51" t="str">
        <f>IF(ISERROR(FIND('112'!$M$9,G1428,1)),"",IF((AND(RIGHT(G1428,2)=RIGHT('112'!$M$9,2),B1428&lt;'112'!$N$8,$M1428='112'!$I$6)),"x",""))</f>
        <v/>
      </c>
      <c r="U1428" s="51" t="str">
        <f>IF(AND(L1428="154",'154'!$O$5&lt;=B1428,'154'!$P$5&gt;=B1428),"154",IF(AND(L1428="632",'632'!$L$5&lt;=B1428,'632'!$M$5&gt;=B1428),"632",IF(AND(L1428="642",'642'!$N$5&lt;=B1428,'642'!$O$5&gt;=B1428),"642",IF(AND(L1428="641",'641'!$N$5&lt;=B1428,'641'!$O$5&gt;=B1428),"641",""))))</f>
        <v/>
      </c>
      <c r="V1428" s="51" t="str">
        <f>IF(OR(TH!L1428=TH!$V$7,M1428=TH!$V$7),"x","")</f>
        <v/>
      </c>
      <c r="W1428" s="51" t="str">
        <f>IF(AND(B1428&gt;='IN-NX'!$P$3,B1428&lt;='IN-NX'!$Q$3,'IN-NX'!$D$7=D1428,OR(LEFT(L1428,2)="15",AND(LEFT(M1428,2)&lt;&gt;"15",LEFT(M1428,2)&lt;&gt;"33"))),"x","")</f>
        <v/>
      </c>
      <c r="X1428" s="51" t="str">
        <f>IF(AND(OR(LEFT(TH!L1428,2)="15",LEFT(TH!M1428,2)="15"),'152-CT'!$J$8=TH!F1428),"x","")</f>
        <v/>
      </c>
      <c r="Y1428" s="51" t="str">
        <f>IF(AND(OR(LEFT(TH!L1428,2)="15",LEFT(TH!M1428,2)="15"),TK!$E$7=TH!F1428),"x","")</f>
        <v/>
      </c>
      <c r="Z1428" s="51" t="str">
        <f>IF(AND(B1428&lt;=NKC!$N$8,B1428&gt;=NKC!$M$8),"x","")</f>
        <v/>
      </c>
      <c r="AA1428" s="860"/>
      <c r="AB1428" s="565"/>
      <c r="AE1428" s="565"/>
    </row>
    <row r="1429" spans="1:31" ht="15.75" customHeight="1">
      <c r="A1429" s="804" t="str">
        <f>IF(B1429&lt;&gt;"",IF(AND(B1429&gt;=_TM1,B1429&lt;=_TM2,OR(TH!L1429="1111",TH!M1429="1111")),TH!D1429,""),"")</f>
        <v/>
      </c>
      <c r="B1429" s="36">
        <f t="shared" si="89"/>
        <v>12</v>
      </c>
      <c r="C1429" s="853">
        <f t="shared" si="90"/>
        <v>42369</v>
      </c>
      <c r="D1429" s="861" t="s">
        <v>1510</v>
      </c>
      <c r="E1429" s="853">
        <v>42369</v>
      </c>
      <c r="F1429" s="854" t="s">
        <v>1266</v>
      </c>
      <c r="G1429" s="855"/>
      <c r="H1429" s="7" t="s">
        <v>437</v>
      </c>
      <c r="I1429" s="857"/>
      <c r="J1429" s="857"/>
      <c r="K1429" s="858">
        <f>K1427+K1428</f>
        <v>14800000</v>
      </c>
      <c r="L1429" s="859" t="s">
        <v>252</v>
      </c>
      <c r="M1429" s="859" t="s">
        <v>47</v>
      </c>
      <c r="N1429" s="51" t="str">
        <f>IF(AND('331-CT'!$E$7=TH!H1429,OR(L1429="331",M1429="331")),"331",IF(AND(OR(L1429="131",M1429="131"),H1429='131-CT'!$E$7),"131",""))</f>
        <v/>
      </c>
      <c r="O1429" s="51" t="str">
        <f>IF(AND($B1429&gt;='111'!$N$11,$B1429&lt;='111'!$O$11,OR($L1429=$O$7,$M1429=$O$7)),"x","")</f>
        <v>x</v>
      </c>
      <c r="P1429" s="51" t="str">
        <f>IF(AND($L1429=$O$7,$B1429&lt;'111'!$N$11),"x","")</f>
        <v/>
      </c>
      <c r="Q1429" s="51" t="str">
        <f>IF(AND($M1429=$O$7,$B1429&lt;'111'!$N$11),"x","")</f>
        <v/>
      </c>
      <c r="R1429" s="51" t="str">
        <f>IF(ISERROR(FIND('112'!$M$9,G1429,1)),"",IF((AND(FIND('112'!$M$9,G1429,1)&gt;=1,$B1429&gt;='112'!$N$8,$B1429&lt;='112'!$O$8,OR($L1429='112'!$I$6,$M1429='112'!$I$6))),"x",""))</f>
        <v/>
      </c>
      <c r="S1429" s="51" t="str">
        <f>IF(ISERROR(FIND('112'!$M$9,G1429,1)),"",IF((AND(LEFT(G1429,2)=LEFT('112'!$M$9,2),B1429&lt;'112'!$N$8,$L1429='112'!$I$6)),"x",""))</f>
        <v/>
      </c>
      <c r="T1429" s="51" t="str">
        <f>IF(ISERROR(FIND('112'!$M$9,G1429,1)),"",IF((AND(RIGHT(G1429,2)=RIGHT('112'!$M$9,2),B1429&lt;'112'!$N$8,$M1429='112'!$I$6)),"x",""))</f>
        <v/>
      </c>
      <c r="U1429" s="51" t="str">
        <f>IF(AND(L1429="154",'154'!$O$5&lt;=B1429,'154'!$P$5&gt;=B1429),"154",IF(AND(L1429="632",'632'!$L$5&lt;=B1429,'632'!$M$5&gt;=B1429),"632",IF(AND(L1429="642",'642'!$N$5&lt;=B1429,'642'!$O$5&gt;=B1429),"642",IF(AND(L1429="641",'641'!$N$5&lt;=B1429,'641'!$O$5&gt;=B1429),"641",""))))</f>
        <v/>
      </c>
      <c r="V1429" s="51" t="str">
        <f>IF(OR(TH!L1429=TH!$V$7,M1429=TH!$V$7),"x","")</f>
        <v/>
      </c>
      <c r="W1429" s="51" t="str">
        <f>IF(AND(B1429&gt;='IN-NX'!$P$3,B1429&lt;='IN-NX'!$Q$3,'IN-NX'!$D$7=D1429,OR(LEFT(L1429,2)="15",AND(LEFT(M1429,2)&lt;&gt;"15",LEFT(M1429,2)&lt;&gt;"33"))),"x","")</f>
        <v/>
      </c>
      <c r="X1429" s="51" t="str">
        <f>IF(AND(OR(LEFT(TH!L1429,2)="15",LEFT(TH!M1429,2)="15"),'152-CT'!$J$8=TH!F1429),"x","")</f>
        <v/>
      </c>
      <c r="Y1429" s="51" t="str">
        <f>IF(AND(OR(LEFT(TH!L1429,2)="15",LEFT(TH!M1429,2)="15"),TK!$E$7=TH!F1429),"x","")</f>
        <v/>
      </c>
      <c r="Z1429" s="51" t="str">
        <f>IF(AND(B1429&lt;=NKC!$N$8,B1429&gt;=NKC!$M$8),"x","")</f>
        <v/>
      </c>
      <c r="AA1429" s="860"/>
      <c r="AB1429" s="565"/>
      <c r="AE1429" s="565"/>
    </row>
    <row r="1430" spans="1:31" ht="15.75" customHeight="1">
      <c r="A1430" s="804" t="str">
        <f>IF(B1430&lt;&gt;"",IF(AND(B1430&gt;=_TM1,B1430&lt;=_TM2,OR(TH!L1430="1111",TH!M1430="1111")),TH!D1430,""),"")</f>
        <v/>
      </c>
      <c r="B1430" s="661">
        <f t="shared" si="89"/>
        <v>12</v>
      </c>
      <c r="C1430" s="830">
        <f t="shared" si="90"/>
        <v>42369</v>
      </c>
      <c r="D1430" s="830" t="s">
        <v>319</v>
      </c>
      <c r="E1430" s="830">
        <v>42369</v>
      </c>
      <c r="F1430" s="836" t="s">
        <v>1278</v>
      </c>
      <c r="G1430" s="849"/>
      <c r="H1430" s="914" t="s">
        <v>1277</v>
      </c>
      <c r="I1430" s="241"/>
      <c r="J1430" s="241"/>
      <c r="K1430" s="834">
        <v>1409132</v>
      </c>
      <c r="L1430" s="851" t="s">
        <v>89</v>
      </c>
      <c r="M1430" s="851" t="s">
        <v>61</v>
      </c>
      <c r="N1430" s="51" t="str">
        <f>IF(AND('331-CT'!$E$7=TH!H1430,OR(L1430="331",M1430="331")),"331",IF(AND(OR(L1430="131",M1430="131"),H1430='131-CT'!$E$7),"131",""))</f>
        <v/>
      </c>
      <c r="O1430" s="51" t="str">
        <f>IF(AND($B1430&gt;='111'!$N$11,$B1430&lt;='111'!$O$11,OR($L1430=$O$7,$M1430=$O$7)),"x","")</f>
        <v/>
      </c>
      <c r="P1430" s="51" t="str">
        <f>IF(AND($L1430=$O$7,$B1430&lt;'111'!$N$11),"x","")</f>
        <v/>
      </c>
      <c r="Q1430" s="51" t="str">
        <f>IF(AND($M1430=$O$7,$B1430&lt;'111'!$N$11),"x","")</f>
        <v/>
      </c>
      <c r="R1430" s="51" t="str">
        <f>IF(ISERROR(FIND('112'!$M$9,G1430,1)),"",IF((AND(FIND('112'!$M$9,G1430,1)&gt;=1,$B1430&gt;='112'!$N$8,$B1430&lt;='112'!$O$8,OR($L1430='112'!$I$6,$M1430='112'!$I$6))),"x",""))</f>
        <v/>
      </c>
      <c r="S1430" s="51" t="str">
        <f>IF(ISERROR(FIND('112'!$M$9,G1430,1)),"",IF((AND(LEFT(G1430,2)=LEFT('112'!$M$9,2),B1430&lt;'112'!$N$8,$L1430='112'!$I$6)),"x",""))</f>
        <v/>
      </c>
      <c r="T1430" s="51" t="str">
        <f>IF(ISERROR(FIND('112'!$M$9,G1430,1)),"",IF((AND(RIGHT(G1430,2)=RIGHT('112'!$M$9,2),B1430&lt;'112'!$N$8,$M1430='112'!$I$6)),"x",""))</f>
        <v/>
      </c>
      <c r="U1430" s="51" t="str">
        <f>IF(AND(L1430="154",'154'!$O$5&lt;=B1430,'154'!$P$5&gt;=B1430),"154",IF(AND(L1430="632",'632'!$L$5&lt;=B1430,'632'!$M$5&gt;=B1430),"632",IF(AND(L1430="642",'642'!$N$5&lt;=B1430,'642'!$O$5&gt;=B1430),"642",IF(AND(L1430="641",'641'!$N$5&lt;=B1430,'641'!$O$5&gt;=B1430),"641",""))))</f>
        <v/>
      </c>
      <c r="V1430" s="51" t="str">
        <f>IF(OR(TH!L1430=TH!$V$7,M1430=TH!$V$7),"x","")</f>
        <v/>
      </c>
      <c r="W1430" s="51" t="str">
        <f>IF(AND(B1430&gt;='IN-NX'!$P$3,B1430&lt;='IN-NX'!$Q$3,'IN-NX'!$D$7=D1430,OR(LEFT(L1430,2)="15",AND(LEFT(M1430,2)&lt;&gt;"15",LEFT(M1430,2)&lt;&gt;"33"))),"x","")</f>
        <v/>
      </c>
      <c r="X1430" s="51" t="str">
        <f>IF(AND(OR(LEFT(TH!L1430,2)="15",LEFT(TH!M1430,2)="15"),'152-CT'!$J$8=TH!F1430),"x","")</f>
        <v/>
      </c>
      <c r="Y1430" s="51" t="str">
        <f>IF(AND(OR(LEFT(TH!L1430,2)="15",LEFT(TH!M1430,2)="15"),TK!$E$7=TH!F1430),"x","")</f>
        <v/>
      </c>
      <c r="Z1430" s="51" t="str">
        <f>IF(AND(B1430&lt;=NKC!$N$8,B1430&gt;=NKC!$M$8),"x","")</f>
        <v/>
      </c>
      <c r="AA1430" s="915"/>
      <c r="AB1430" s="662"/>
      <c r="AC1430" s="916"/>
      <c r="AD1430" s="916"/>
      <c r="AE1430" s="565"/>
    </row>
    <row r="1431" spans="1:31" ht="15.75" customHeight="1">
      <c r="A1431" s="804" t="str">
        <f>IF(B1431&lt;&gt;"",IF(AND(B1431&gt;=_TM1,B1431&lt;=_TM2,OR(TH!L1431="1111",TH!M1431="1111")),TH!D1431,""),"")</f>
        <v/>
      </c>
      <c r="B1431" s="661">
        <f t="shared" si="89"/>
        <v>12</v>
      </c>
      <c r="C1431" s="830">
        <f t="shared" si="90"/>
        <v>42369</v>
      </c>
      <c r="D1431" s="830" t="s">
        <v>1511</v>
      </c>
      <c r="E1431" s="830">
        <v>42369</v>
      </c>
      <c r="F1431" s="836" t="s">
        <v>1470</v>
      </c>
      <c r="G1431" s="849"/>
      <c r="H1431" s="914" t="s">
        <v>437</v>
      </c>
      <c r="I1431" s="241"/>
      <c r="J1431" s="241"/>
      <c r="K1431" s="834">
        <v>5000000</v>
      </c>
      <c r="L1431" s="851" t="s">
        <v>83</v>
      </c>
      <c r="M1431" s="851" t="s">
        <v>47</v>
      </c>
      <c r="N1431" s="51" t="str">
        <f>IF(AND('331-CT'!$E$7=TH!H1431,OR(L1431="331",M1431="331")),"331",IF(AND(OR(L1431="131",M1431="131"),H1431='131-CT'!$E$7),"131",""))</f>
        <v/>
      </c>
      <c r="O1431" s="51" t="str">
        <f>IF(AND($B1431&gt;='111'!$N$11,$B1431&lt;='111'!$O$11,OR($L1431=$O$7,$M1431=$O$7)),"x","")</f>
        <v>x</v>
      </c>
      <c r="P1431" s="51" t="str">
        <f>IF(AND($L1431=$O$7,$B1431&lt;'111'!$N$11),"x","")</f>
        <v/>
      </c>
      <c r="Q1431" s="51" t="str">
        <f>IF(AND($M1431=$O$7,$B1431&lt;'111'!$N$11),"x","")</f>
        <v/>
      </c>
      <c r="R1431" s="51" t="str">
        <f>IF(ISERROR(FIND('112'!$M$9,G1431,1)),"",IF((AND(FIND('112'!$M$9,G1431,1)&gt;=1,$B1431&gt;='112'!$N$8,$B1431&lt;='112'!$O$8,OR($L1431='112'!$I$6,$M1431='112'!$I$6))),"x",""))</f>
        <v/>
      </c>
      <c r="S1431" s="51" t="str">
        <f>IF(ISERROR(FIND('112'!$M$9,G1431,1)),"",IF((AND(LEFT(G1431,2)=LEFT('112'!$M$9,2),B1431&lt;'112'!$N$8,$L1431='112'!$I$6)),"x",""))</f>
        <v/>
      </c>
      <c r="T1431" s="51" t="str">
        <f>IF(ISERROR(FIND('112'!$M$9,G1431,1)),"",IF((AND(RIGHT(G1431,2)=RIGHT('112'!$M$9,2),B1431&lt;'112'!$N$8,$M1431='112'!$I$6)),"x",""))</f>
        <v/>
      </c>
      <c r="U1431" s="51" t="str">
        <f>IF(AND(L1431="154",'154'!$O$5&lt;=B1431,'154'!$P$5&gt;=B1431),"154",IF(AND(L1431="632",'632'!$L$5&lt;=B1431,'632'!$M$5&gt;=B1431),"632",IF(AND(L1431="642",'642'!$N$5&lt;=B1431,'642'!$O$5&gt;=B1431),"642",IF(AND(L1431="641",'641'!$N$5&lt;=B1431,'641'!$O$5&gt;=B1431),"641",""))))</f>
        <v/>
      </c>
      <c r="V1431" s="51" t="str">
        <f>IF(OR(TH!L1431=TH!$V$7,M1431=TH!$V$7),"x","")</f>
        <v>x</v>
      </c>
      <c r="W1431" s="51" t="str">
        <f>IF(AND(B1431&gt;='IN-NX'!$P$3,B1431&lt;='IN-NX'!$Q$3,'IN-NX'!$D$7=D1431,OR(LEFT(L1431,2)="15",AND(LEFT(M1431,2)&lt;&gt;"15",LEFT(M1431,2)&lt;&gt;"33"))),"x","")</f>
        <v/>
      </c>
      <c r="X1431" s="51" t="str">
        <f>IF(AND(OR(LEFT(TH!L1431,2)="15",LEFT(TH!M1431,2)="15"),'152-CT'!$J$8=TH!F1431),"x","")</f>
        <v/>
      </c>
      <c r="Y1431" s="51" t="str">
        <f>IF(AND(OR(LEFT(TH!L1431,2)="15",LEFT(TH!M1431,2)="15"),TK!$E$7=TH!F1431),"x","")</f>
        <v/>
      </c>
      <c r="Z1431" s="51" t="str">
        <f>IF(AND(B1431&lt;=NKC!$N$8,B1431&gt;=NKC!$M$8),"x","")</f>
        <v/>
      </c>
      <c r="AA1431" s="915"/>
      <c r="AB1431" s="662"/>
      <c r="AC1431" s="916"/>
      <c r="AD1431" s="916"/>
      <c r="AE1431" s="565"/>
    </row>
    <row r="1432" spans="1:31" ht="15.75" customHeight="1">
      <c r="A1432" s="804" t="str">
        <f>IF(B1432&lt;&gt;"",IF(AND(B1432&gt;=_TM1,B1432&lt;=_TM2,OR(TH!L1432="1111",TH!M1432="1111")),TH!D1432,""),"")</f>
        <v/>
      </c>
      <c r="B1432" s="36">
        <f t="shared" ref="B1432:B1447" si="92">IF(C1432&lt;&gt;"",MONTH(C1432),"")</f>
        <v>12</v>
      </c>
      <c r="C1432" s="189">
        <f t="shared" ref="C1432:C1447" si="93">E1432</f>
        <v>42369</v>
      </c>
      <c r="D1432" s="189" t="s">
        <v>1512</v>
      </c>
      <c r="E1432" s="189">
        <v>42369</v>
      </c>
      <c r="F1432" s="190" t="s">
        <v>460</v>
      </c>
      <c r="G1432" s="813" t="s">
        <v>900</v>
      </c>
      <c r="H1432" s="191" t="s">
        <v>492</v>
      </c>
      <c r="I1432" s="243"/>
      <c r="J1432" s="243"/>
      <c r="K1432" s="573">
        <v>18000059</v>
      </c>
      <c r="L1432" s="574" t="s">
        <v>83</v>
      </c>
      <c r="M1432" s="574" t="s">
        <v>47</v>
      </c>
      <c r="N1432" s="51" t="str">
        <f>IF(AND('331-CT'!$E$7=TH!H1432,OR(L1432="331",M1432="331")),"331",IF(AND(OR(L1432="131",M1432="131"),H1432='131-CT'!$E$7),"131",""))</f>
        <v/>
      </c>
      <c r="O1432" s="51" t="str">
        <f>IF(AND($B1432&gt;='111'!$N$11,$B1432&lt;='111'!$O$11,OR($L1432=$O$7,$M1432=$O$7)),"x","")</f>
        <v>x</v>
      </c>
      <c r="P1432" s="51" t="str">
        <f>IF(AND($L1432=$O$7,$B1432&lt;'111'!$N$11),"x","")</f>
        <v/>
      </c>
      <c r="Q1432" s="51" t="str">
        <f>IF(AND($M1432=$O$7,$B1432&lt;'111'!$N$11),"x","")</f>
        <v/>
      </c>
      <c r="R1432" s="51" t="str">
        <f>IF(ISERROR(FIND('112'!$M$9,G1432,1)),"",IF((AND(FIND('112'!$M$9,G1432,1)&gt;=1,$B1432&gt;='112'!$N$8,$B1432&lt;='112'!$O$8,OR($L1432='112'!$I$6,$M1432='112'!$I$6))),"x",""))</f>
        <v/>
      </c>
      <c r="S1432" s="51" t="str">
        <f>IF(ISERROR(FIND('112'!$M$9,G1432,1)),"",IF((AND(LEFT(G1432,2)=LEFT('112'!$M$9,2),B1432&lt;'112'!$N$8,$L1432='112'!$I$6)),"x",""))</f>
        <v/>
      </c>
      <c r="T1432" s="51" t="str">
        <f>IF(ISERROR(FIND('112'!$M$9,G1432,1)),"",IF((AND(RIGHT(G1432,2)=RIGHT('112'!$M$9,2),B1432&lt;'112'!$N$8,$M1432='112'!$I$6)),"x",""))</f>
        <v/>
      </c>
      <c r="U1432" s="51" t="str">
        <f>IF(AND(L1432="154",'154'!$O$5&lt;=B1432,'154'!$P$5&gt;=B1432),"154",IF(AND(L1432="632",'632'!$L$5&lt;=B1432,'632'!$M$5&gt;=B1432),"632",IF(AND(L1432="642",'642'!$N$5&lt;=B1432,'642'!$O$5&gt;=B1432),"642",IF(AND(L1432="641",'641'!$N$5&lt;=B1432,'641'!$O$5&gt;=B1432),"641",""))))</f>
        <v/>
      </c>
      <c r="V1432" s="51" t="str">
        <f>IF(OR(TH!L1432=TH!$V$7,M1432=TH!$V$7),"x","")</f>
        <v>x</v>
      </c>
      <c r="W1432" s="51" t="str">
        <f>IF(AND(B1432&gt;='IN-NX'!$P$3,B1432&lt;='IN-NX'!$Q$3,'IN-NX'!$D$7=D1432,OR(LEFT(L1432,2)="15",AND(LEFT(M1432,2)&lt;&gt;"15",LEFT(M1432,2)&lt;&gt;"33"))),"x","")</f>
        <v/>
      </c>
      <c r="X1432" s="51" t="str">
        <f>IF(AND(OR(LEFT(TH!L1432,2)="15",LEFT(TH!M1432,2)="15"),'152-CT'!$J$8=TH!F1432),"x","")</f>
        <v/>
      </c>
      <c r="Y1432" s="51" t="str">
        <f>IF(AND(OR(LEFT(TH!L1432,2)="15",LEFT(TH!M1432,2)="15"),TK!$E$7=TH!F1432),"x","")</f>
        <v/>
      </c>
      <c r="Z1432" s="51" t="str">
        <f>IF(AND(B1432&lt;=NKC!$N$8,B1432&gt;=NKC!$M$8),"x","")</f>
        <v/>
      </c>
      <c r="AA1432" s="803"/>
      <c r="AB1432" s="565"/>
      <c r="AE1432" s="565"/>
    </row>
    <row r="1433" spans="1:31" ht="15.75" customHeight="1">
      <c r="A1433" s="804" t="str">
        <f>IF(B1433&lt;&gt;"",IF(AND(B1433&gt;=_TM1,B1433&lt;=_TM2,OR(TH!L1433="1111",TH!M1433="1111")),TH!D1433,""),"")</f>
        <v/>
      </c>
      <c r="B1433" s="36">
        <f t="shared" si="92"/>
        <v>12</v>
      </c>
      <c r="C1433" s="189">
        <f t="shared" si="93"/>
        <v>42369</v>
      </c>
      <c r="D1433" s="189" t="s">
        <v>1512</v>
      </c>
      <c r="E1433" s="189">
        <v>42369</v>
      </c>
      <c r="F1433" s="917" t="s">
        <v>461</v>
      </c>
      <c r="G1433" s="813" t="s">
        <v>900</v>
      </c>
      <c r="H1433" s="191" t="s">
        <v>492</v>
      </c>
      <c r="I1433" s="243"/>
      <c r="J1433" s="243"/>
      <c r="K1433" s="573">
        <v>1800006</v>
      </c>
      <c r="L1433" s="574" t="s">
        <v>9</v>
      </c>
      <c r="M1433" s="574" t="s">
        <v>47</v>
      </c>
      <c r="N1433" s="51" t="str">
        <f>IF(AND('331-CT'!$E$7=TH!H1433,OR(L1433="331",M1433="331")),"331",IF(AND(OR(L1433="131",M1433="131"),H1433='131-CT'!$E$7),"131",""))</f>
        <v/>
      </c>
      <c r="O1433" s="51" t="str">
        <f>IF(AND($B1433&gt;='111'!$N$11,$B1433&lt;='111'!$O$11,OR($L1433=$O$7,$M1433=$O$7)),"x","")</f>
        <v>x</v>
      </c>
      <c r="P1433" s="51" t="str">
        <f>IF(AND($L1433=$O$7,$B1433&lt;'111'!$N$11),"x","")</f>
        <v/>
      </c>
      <c r="Q1433" s="51" t="str">
        <f>IF(AND($M1433=$O$7,$B1433&lt;'111'!$N$11),"x","")</f>
        <v/>
      </c>
      <c r="R1433" s="51" t="str">
        <f>IF(ISERROR(FIND('112'!$M$9,G1433,1)),"",IF((AND(FIND('112'!$M$9,G1433,1)&gt;=1,$B1433&gt;='112'!$N$8,$B1433&lt;='112'!$O$8,OR($L1433='112'!$I$6,$M1433='112'!$I$6))),"x",""))</f>
        <v/>
      </c>
      <c r="S1433" s="51" t="str">
        <f>IF(ISERROR(FIND('112'!$M$9,G1433,1)),"",IF((AND(LEFT(G1433,2)=LEFT('112'!$M$9,2),B1433&lt;'112'!$N$8,$L1433='112'!$I$6)),"x",""))</f>
        <v/>
      </c>
      <c r="T1433" s="51" t="str">
        <f>IF(ISERROR(FIND('112'!$M$9,G1433,1)),"",IF((AND(RIGHT(G1433,2)=RIGHT('112'!$M$9,2),B1433&lt;'112'!$N$8,$M1433='112'!$I$6)),"x",""))</f>
        <v/>
      </c>
      <c r="U1433" s="51" t="str">
        <f>IF(AND(L1433="154",'154'!$O$5&lt;=B1433,'154'!$P$5&gt;=B1433),"154",IF(AND(L1433="632",'632'!$L$5&lt;=B1433,'632'!$M$5&gt;=B1433),"632",IF(AND(L1433="642",'642'!$N$5&lt;=B1433,'642'!$O$5&gt;=B1433),"642",IF(AND(L1433="641",'641'!$N$5&lt;=B1433,'641'!$O$5&gt;=B1433),"641",""))))</f>
        <v/>
      </c>
      <c r="V1433" s="51" t="str">
        <f>IF(OR(TH!L1433=TH!$V$7,M1433=TH!$V$7),"x","")</f>
        <v/>
      </c>
      <c r="W1433" s="51" t="str">
        <f>IF(AND(B1433&gt;='IN-NX'!$P$3,B1433&lt;='IN-NX'!$Q$3,'IN-NX'!$D$7=D1433,OR(LEFT(L1433,2)="15",AND(LEFT(M1433,2)&lt;&gt;"15",LEFT(M1433,2)&lt;&gt;"33"))),"x","")</f>
        <v/>
      </c>
      <c r="X1433" s="51" t="str">
        <f>IF(AND(OR(LEFT(TH!L1433,2)="15",LEFT(TH!M1433,2)="15"),'152-CT'!$J$8=TH!F1433),"x","")</f>
        <v/>
      </c>
      <c r="Y1433" s="51" t="str">
        <f>IF(AND(OR(LEFT(TH!L1433,2)="15",LEFT(TH!M1433,2)="15"),TK!$E$7=TH!F1433),"x","")</f>
        <v/>
      </c>
      <c r="Z1433" s="51" t="str">
        <f>IF(AND(B1433&lt;=NKC!$N$8,B1433&gt;=NKC!$M$8),"x","")</f>
        <v/>
      </c>
      <c r="AA1433" s="803">
        <v>4</v>
      </c>
      <c r="AB1433" s="565"/>
      <c r="AE1433" s="565"/>
    </row>
    <row r="1434" spans="1:31" ht="15.75" customHeight="1">
      <c r="A1434" s="804" t="str">
        <f>IF(B1434&lt;&gt;"",IF(AND(B1434&gt;=_TM1,B1434&lt;=_TM2,OR(TH!L1434="1111",TH!M1434="1111")),TH!D1434,""),"")</f>
        <v/>
      </c>
      <c r="B1434" s="36">
        <f t="shared" si="92"/>
        <v>12</v>
      </c>
      <c r="C1434" s="189">
        <f t="shared" si="93"/>
        <v>42369</v>
      </c>
      <c r="D1434" s="189" t="s">
        <v>1525</v>
      </c>
      <c r="E1434" s="189">
        <v>42369</v>
      </c>
      <c r="F1434" s="190" t="s">
        <v>925</v>
      </c>
      <c r="G1434" s="813" t="s">
        <v>954</v>
      </c>
      <c r="H1434" s="191" t="s">
        <v>448</v>
      </c>
      <c r="I1434" s="243">
        <v>1000</v>
      </c>
      <c r="J1434" s="243">
        <v>9598</v>
      </c>
      <c r="K1434" s="573">
        <f>ROUND(I1434*J1434,0)</f>
        <v>9598000</v>
      </c>
      <c r="L1434" s="574" t="s">
        <v>417</v>
      </c>
      <c r="M1434" s="574" t="s">
        <v>8</v>
      </c>
      <c r="N1434" s="51" t="str">
        <f>IF(AND('331-CT'!$E$7=TH!H1434,OR(L1434="331",M1434="331")),"331",IF(AND(OR(L1434="131",M1434="131"),H1434='131-CT'!$E$7),"131",""))</f>
        <v/>
      </c>
      <c r="O1434" s="51" t="str">
        <f>IF(AND($B1434&gt;='111'!$N$11,$B1434&lt;='111'!$O$11,OR($L1434=$O$7,$M1434=$O$7)),"x","")</f>
        <v/>
      </c>
      <c r="P1434" s="51" t="str">
        <f>IF(AND($L1434=$O$7,$B1434&lt;'111'!$N$11),"x","")</f>
        <v/>
      </c>
      <c r="Q1434" s="51" t="str">
        <f>IF(AND($M1434=$O$7,$B1434&lt;'111'!$N$11),"x","")</f>
        <v/>
      </c>
      <c r="R1434" s="51" t="str">
        <f>IF(ISERROR(FIND('112'!$M$9,G1434,1)),"",IF((AND(FIND('112'!$M$9,G1434,1)&gt;=1,$B1434&gt;='112'!$N$8,$B1434&lt;='112'!$O$8,OR($L1434='112'!$I$6,$M1434='112'!$I$6))),"x",""))</f>
        <v/>
      </c>
      <c r="S1434" s="51" t="str">
        <f>IF(ISERROR(FIND('112'!$M$9,G1434,1)),"",IF((AND(LEFT(G1434,2)=LEFT('112'!$M$9,2),B1434&lt;'112'!$N$8,$L1434='112'!$I$6)),"x",""))</f>
        <v/>
      </c>
      <c r="T1434" s="51" t="str">
        <f>IF(ISERROR(FIND('112'!$M$9,G1434,1)),"",IF((AND(RIGHT(G1434,2)=RIGHT('112'!$M$9,2),B1434&lt;'112'!$N$8,$M1434='112'!$I$6)),"x",""))</f>
        <v/>
      </c>
      <c r="U1434" s="51" t="str">
        <f>IF(AND(L1434="154",'154'!$O$5&lt;=B1434,'154'!$P$5&gt;=B1434),"154",IF(AND(L1434="632",'632'!$L$5&lt;=B1434,'632'!$M$5&gt;=B1434),"632",IF(AND(L1434="642",'642'!$N$5&lt;=B1434,'642'!$O$5&gt;=B1434),"642",IF(AND(L1434="641",'641'!$N$5&lt;=B1434,'641'!$O$5&gt;=B1434),"641",""))))</f>
        <v/>
      </c>
      <c r="V1434" s="51" t="str">
        <f>IF(OR(TH!L1434=TH!$V$7,M1434=TH!$V$7),"x","")</f>
        <v/>
      </c>
      <c r="W1434" s="51" t="str">
        <f>IF(AND(B1434&gt;='IN-NX'!$P$3,B1434&lt;='IN-NX'!$Q$3,'IN-NX'!$D$7=D1434,OR(LEFT(L1434,2)="15",AND(LEFT(M1434,2)&lt;&gt;"15",LEFT(M1434,2)&lt;&gt;"33"))),"x","")</f>
        <v/>
      </c>
      <c r="X1434" s="51" t="str">
        <f>IF(AND(OR(LEFT(TH!L1434,2)="15",LEFT(TH!M1434,2)="15"),'152-CT'!$J$8=TH!F1434),"x","")</f>
        <v/>
      </c>
      <c r="Y1434" s="51" t="str">
        <f>IF(AND(OR(LEFT(TH!L1434,2)="15",LEFT(TH!M1434,2)="15"),TK!$E$7=TH!F1434),"x","")</f>
        <v/>
      </c>
      <c r="Z1434" s="51" t="str">
        <f>IF(AND(B1434&lt;=NKC!$N$8,B1434&gt;=NKC!$M$8),"x","")</f>
        <v/>
      </c>
      <c r="AA1434" s="803"/>
      <c r="AB1434" s="565"/>
    </row>
    <row r="1435" spans="1:31" ht="15.75" customHeight="1">
      <c r="A1435" s="804" t="str">
        <f>IF(B1435&lt;&gt;"",IF(AND(B1435&gt;=_TM1,B1435&lt;=_TM2,OR(TH!L1435="1111",TH!M1435="1111")),TH!D1435,""),"")</f>
        <v/>
      </c>
      <c r="B1435" s="36">
        <f t="shared" si="92"/>
        <v>12</v>
      </c>
      <c r="C1435" s="189">
        <f t="shared" si="93"/>
        <v>42369</v>
      </c>
      <c r="D1435" s="189" t="s">
        <v>1525</v>
      </c>
      <c r="E1435" s="189">
        <v>42369</v>
      </c>
      <c r="F1435" s="190" t="s">
        <v>926</v>
      </c>
      <c r="G1435" s="813" t="s">
        <v>954</v>
      </c>
      <c r="H1435" s="191" t="s">
        <v>448</v>
      </c>
      <c r="I1435" s="243">
        <v>1000</v>
      </c>
      <c r="J1435" s="243">
        <v>8234</v>
      </c>
      <c r="K1435" s="573">
        <f>ROUND(I1435*J1435,0)</f>
        <v>8234000</v>
      </c>
      <c r="L1435" s="574" t="s">
        <v>417</v>
      </c>
      <c r="M1435" s="574" t="s">
        <v>8</v>
      </c>
      <c r="N1435" s="51" t="str">
        <f>IF(AND('331-CT'!$E$7=TH!H1435,OR(L1435="331",M1435="331")),"331",IF(AND(OR(L1435="131",M1435="131"),H1435='131-CT'!$E$7),"131",""))</f>
        <v/>
      </c>
      <c r="O1435" s="51" t="str">
        <f>IF(AND($B1435&gt;='111'!$N$11,$B1435&lt;='111'!$O$11,OR($L1435=$O$7,$M1435=$O$7)),"x","")</f>
        <v/>
      </c>
      <c r="P1435" s="51" t="str">
        <f>IF(AND($L1435=$O$7,$B1435&lt;'111'!$N$11),"x","")</f>
        <v/>
      </c>
      <c r="Q1435" s="51" t="str">
        <f>IF(AND($M1435=$O$7,$B1435&lt;'111'!$N$11),"x","")</f>
        <v/>
      </c>
      <c r="R1435" s="51" t="str">
        <f>IF(ISERROR(FIND('112'!$M$9,G1435,1)),"",IF((AND(FIND('112'!$M$9,G1435,1)&gt;=1,$B1435&gt;='112'!$N$8,$B1435&lt;='112'!$O$8,OR($L1435='112'!$I$6,$M1435='112'!$I$6))),"x",""))</f>
        <v/>
      </c>
      <c r="S1435" s="51" t="str">
        <f>IF(ISERROR(FIND('112'!$M$9,G1435,1)),"",IF((AND(LEFT(G1435,2)=LEFT('112'!$M$9,2),B1435&lt;'112'!$N$8,$L1435='112'!$I$6)),"x",""))</f>
        <v/>
      </c>
      <c r="T1435" s="51" t="str">
        <f>IF(ISERROR(FIND('112'!$M$9,G1435,1)),"",IF((AND(RIGHT(G1435,2)=RIGHT('112'!$M$9,2),B1435&lt;'112'!$N$8,$M1435='112'!$I$6)),"x",""))</f>
        <v/>
      </c>
      <c r="U1435" s="51" t="str">
        <f>IF(AND(L1435="154",'154'!$O$5&lt;=B1435,'154'!$P$5&gt;=B1435),"154",IF(AND(L1435="632",'632'!$L$5&lt;=B1435,'632'!$M$5&gt;=B1435),"632",IF(AND(L1435="642",'642'!$N$5&lt;=B1435,'642'!$O$5&gt;=B1435),"642",IF(AND(L1435="641",'641'!$N$5&lt;=B1435,'641'!$O$5&gt;=B1435),"641",""))))</f>
        <v/>
      </c>
      <c r="V1435" s="51" t="str">
        <f>IF(OR(TH!L1435=TH!$V$7,M1435=TH!$V$7),"x","")</f>
        <v/>
      </c>
      <c r="W1435" s="51" t="str">
        <f>IF(AND(B1435&gt;='IN-NX'!$P$3,B1435&lt;='IN-NX'!$Q$3,'IN-NX'!$D$7=D1435,OR(LEFT(L1435,2)="15",AND(LEFT(M1435,2)&lt;&gt;"15",LEFT(M1435,2)&lt;&gt;"33"))),"x","")</f>
        <v/>
      </c>
      <c r="X1435" s="51" t="str">
        <f>IF(AND(OR(LEFT(TH!L1435,2)="15",LEFT(TH!M1435,2)="15"),'152-CT'!$J$8=TH!F1435),"x","")</f>
        <v/>
      </c>
      <c r="Y1435" s="51" t="str">
        <f>IF(AND(OR(LEFT(TH!L1435,2)="15",LEFT(TH!M1435,2)="15"),TK!$E$7=TH!F1435),"x","")</f>
        <v/>
      </c>
      <c r="Z1435" s="51" t="str">
        <f>IF(AND(B1435&lt;=NKC!$N$8,B1435&gt;=NKC!$M$8),"x","")</f>
        <v/>
      </c>
      <c r="AA1435" s="803"/>
      <c r="AB1435" s="565"/>
    </row>
    <row r="1436" spans="1:31" ht="15.75" customHeight="1">
      <c r="A1436" s="804" t="str">
        <f>IF(B1436&lt;&gt;"",IF(AND(B1436&gt;=_TM1,B1436&lt;=_TM2,OR(TH!L1436="1111",TH!M1436="1111")),TH!D1436,""),"")</f>
        <v/>
      </c>
      <c r="B1436" s="36">
        <f t="shared" si="92"/>
        <v>12</v>
      </c>
      <c r="C1436" s="189">
        <f t="shared" si="93"/>
        <v>42369</v>
      </c>
      <c r="D1436" s="189" t="s">
        <v>1525</v>
      </c>
      <c r="E1436" s="189">
        <v>42369</v>
      </c>
      <c r="F1436" s="190" t="s">
        <v>956</v>
      </c>
      <c r="G1436" s="813" t="s">
        <v>954</v>
      </c>
      <c r="H1436" s="191" t="s">
        <v>448</v>
      </c>
      <c r="I1436" s="243">
        <v>55</v>
      </c>
      <c r="J1436" s="243">
        <v>11443</v>
      </c>
      <c r="K1436" s="573">
        <f>ROUND(I1436*J1436,0)</f>
        <v>629365</v>
      </c>
      <c r="L1436" s="574" t="s">
        <v>417</v>
      </c>
      <c r="M1436" s="574" t="s">
        <v>8</v>
      </c>
      <c r="N1436" s="51" t="str">
        <f>IF(AND('331-CT'!$E$7=TH!H1436,OR(L1436="331",M1436="331")),"331",IF(AND(OR(L1436="131",M1436="131"),H1436='131-CT'!$E$7),"131",""))</f>
        <v/>
      </c>
      <c r="O1436" s="51" t="str">
        <f>IF(AND($B1436&gt;='111'!$N$11,$B1436&lt;='111'!$O$11,OR($L1436=$O$7,$M1436=$O$7)),"x","")</f>
        <v/>
      </c>
      <c r="P1436" s="51" t="str">
        <f>IF(AND($L1436=$O$7,$B1436&lt;'111'!$N$11),"x","")</f>
        <v/>
      </c>
      <c r="Q1436" s="51" t="str">
        <f>IF(AND($M1436=$O$7,$B1436&lt;'111'!$N$11),"x","")</f>
        <v/>
      </c>
      <c r="R1436" s="51" t="str">
        <f>IF(ISERROR(FIND('112'!$M$9,G1436,1)),"",IF((AND(FIND('112'!$M$9,G1436,1)&gt;=1,$B1436&gt;='112'!$N$8,$B1436&lt;='112'!$O$8,OR($L1436='112'!$I$6,$M1436='112'!$I$6))),"x",""))</f>
        <v/>
      </c>
      <c r="S1436" s="51" t="str">
        <f>IF(ISERROR(FIND('112'!$M$9,G1436,1)),"",IF((AND(LEFT(G1436,2)=LEFT('112'!$M$9,2),B1436&lt;'112'!$N$8,$L1436='112'!$I$6)),"x",""))</f>
        <v/>
      </c>
      <c r="T1436" s="51" t="str">
        <f>IF(ISERROR(FIND('112'!$M$9,G1436,1)),"",IF((AND(RIGHT(G1436,2)=RIGHT('112'!$M$9,2),B1436&lt;'112'!$N$8,$M1436='112'!$I$6)),"x",""))</f>
        <v/>
      </c>
      <c r="U1436" s="51" t="str">
        <f>IF(AND(L1436="154",'154'!$O$5&lt;=B1436,'154'!$P$5&gt;=B1436),"154",IF(AND(L1436="632",'632'!$L$5&lt;=B1436,'632'!$M$5&gt;=B1436),"632",IF(AND(L1436="642",'642'!$N$5&lt;=B1436,'642'!$O$5&gt;=B1436),"642",IF(AND(L1436="641",'641'!$N$5&lt;=B1436,'641'!$O$5&gt;=B1436),"641",""))))</f>
        <v/>
      </c>
      <c r="V1436" s="51" t="str">
        <f>IF(OR(TH!L1436=TH!$V$7,M1436=TH!$V$7),"x","")</f>
        <v/>
      </c>
      <c r="W1436" s="51" t="str">
        <f>IF(AND(B1436&gt;='IN-NX'!$P$3,B1436&lt;='IN-NX'!$Q$3,'IN-NX'!$D$7=D1436,OR(LEFT(L1436,2)="15",AND(LEFT(M1436,2)&lt;&gt;"15",LEFT(M1436,2)&lt;&gt;"33"))),"x","")</f>
        <v/>
      </c>
      <c r="X1436" s="51" t="str">
        <f>IF(AND(OR(LEFT(TH!L1436,2)="15",LEFT(TH!M1436,2)="15"),'152-CT'!$J$8=TH!F1436),"x","")</f>
        <v/>
      </c>
      <c r="Y1436" s="51" t="str">
        <f>IF(AND(OR(LEFT(TH!L1436,2)="15",LEFT(TH!M1436,2)="15"),TK!$E$7=TH!F1436),"x","")</f>
        <v/>
      </c>
      <c r="Z1436" s="51" t="str">
        <f>IF(AND(B1436&lt;=NKC!$N$8,B1436&gt;=NKC!$M$8),"x","")</f>
        <v/>
      </c>
      <c r="AA1436" s="803"/>
      <c r="AB1436" s="565"/>
    </row>
    <row r="1437" spans="1:31" ht="15.75" customHeight="1">
      <c r="A1437" s="804" t="str">
        <f>IF(B1437&lt;&gt;"",IF(AND(B1437&gt;=_TM1,B1437&lt;=_TM2,OR(TH!L1437="1111",TH!M1437="1111")),TH!D1437,""),"")</f>
        <v/>
      </c>
      <c r="B1437" s="36">
        <f t="shared" si="92"/>
        <v>12</v>
      </c>
      <c r="C1437" s="189">
        <f t="shared" si="93"/>
        <v>42369</v>
      </c>
      <c r="D1437" s="189" t="s">
        <v>1525</v>
      </c>
      <c r="E1437" s="189">
        <v>42369</v>
      </c>
      <c r="F1437" s="917" t="s">
        <v>1233</v>
      </c>
      <c r="G1437" s="813" t="s">
        <v>954</v>
      </c>
      <c r="H1437" s="191" t="s">
        <v>448</v>
      </c>
      <c r="I1437" s="243">
        <v>2000</v>
      </c>
      <c r="J1437" s="243">
        <v>6119</v>
      </c>
      <c r="K1437" s="573">
        <f>ROUND(I1437*J1437,0)</f>
        <v>12238000</v>
      </c>
      <c r="L1437" s="574" t="s">
        <v>417</v>
      </c>
      <c r="M1437" s="574" t="s">
        <v>8</v>
      </c>
      <c r="N1437" s="51" t="str">
        <f>IF(AND('331-CT'!$E$7=TH!H1437,OR(L1437="331",M1437="331")),"331",IF(AND(OR(L1437="131",M1437="131"),H1437='131-CT'!$E$7),"131",""))</f>
        <v/>
      </c>
      <c r="O1437" s="51" t="str">
        <f>IF(AND($B1437&gt;='111'!$N$11,$B1437&lt;='111'!$O$11,OR($L1437=$O$7,$M1437=$O$7)),"x","")</f>
        <v/>
      </c>
      <c r="P1437" s="51" t="str">
        <f>IF(AND($L1437=$O$7,$B1437&lt;'111'!$N$11),"x","")</f>
        <v/>
      </c>
      <c r="Q1437" s="51" t="str">
        <f>IF(AND($M1437=$O$7,$B1437&lt;'111'!$N$11),"x","")</f>
        <v/>
      </c>
      <c r="R1437" s="51" t="str">
        <f>IF(ISERROR(FIND('112'!$M$9,G1437,1)),"",IF((AND(FIND('112'!$M$9,G1437,1)&gt;=1,$B1437&gt;='112'!$N$8,$B1437&lt;='112'!$O$8,OR($L1437='112'!$I$6,$M1437='112'!$I$6))),"x",""))</f>
        <v/>
      </c>
      <c r="S1437" s="51" t="str">
        <f>IF(ISERROR(FIND('112'!$M$9,G1437,1)),"",IF((AND(LEFT(G1437,2)=LEFT('112'!$M$9,2),B1437&lt;'112'!$N$8,$L1437='112'!$I$6)),"x",""))</f>
        <v/>
      </c>
      <c r="T1437" s="51" t="str">
        <f>IF(ISERROR(FIND('112'!$M$9,G1437,1)),"",IF((AND(RIGHT(G1437,2)=RIGHT('112'!$M$9,2),B1437&lt;'112'!$N$8,$M1437='112'!$I$6)),"x",""))</f>
        <v/>
      </c>
      <c r="U1437" s="51" t="str">
        <f>IF(AND(L1437="154",'154'!$O$5&lt;=B1437,'154'!$P$5&gt;=B1437),"154",IF(AND(L1437="632",'632'!$L$5&lt;=B1437,'632'!$M$5&gt;=B1437),"632",IF(AND(L1437="642",'642'!$N$5&lt;=B1437,'642'!$O$5&gt;=B1437),"642",IF(AND(L1437="641",'641'!$N$5&lt;=B1437,'641'!$O$5&gt;=B1437),"641",""))))</f>
        <v/>
      </c>
      <c r="V1437" s="51" t="str">
        <f>IF(OR(TH!L1437=TH!$V$7,M1437=TH!$V$7),"x","")</f>
        <v/>
      </c>
      <c r="W1437" s="51" t="str">
        <f>IF(AND(B1437&gt;='IN-NX'!$P$3,B1437&lt;='IN-NX'!$Q$3,'IN-NX'!$D$7=D1437,OR(LEFT(L1437,2)="15",AND(LEFT(M1437,2)&lt;&gt;"15",LEFT(M1437,2)&lt;&gt;"33"))),"x","")</f>
        <v/>
      </c>
      <c r="X1437" s="51" t="str">
        <f>IF(AND(OR(LEFT(TH!L1437,2)="15",LEFT(TH!M1437,2)="15"),'152-CT'!$J$8=TH!F1437),"x","")</f>
        <v/>
      </c>
      <c r="Y1437" s="51" t="str">
        <f>IF(AND(OR(LEFT(TH!L1437,2)="15",LEFT(TH!M1437,2)="15"),TK!$E$7=TH!F1437),"x","")</f>
        <v/>
      </c>
      <c r="Z1437" s="51" t="str">
        <f>IF(AND(B1437&lt;=NKC!$N$8,B1437&gt;=NKC!$M$8),"x","")</f>
        <v/>
      </c>
      <c r="AA1437" s="803"/>
      <c r="AB1437" s="565"/>
    </row>
    <row r="1438" spans="1:31" ht="15.75" customHeight="1">
      <c r="A1438" s="804" t="str">
        <f>IF(B1438&lt;&gt;"",IF(AND(B1438&gt;=_TM1,B1438&lt;=_TM2,OR(TH!L1438="1111",TH!M1438="1111")),TH!D1438,""),"")</f>
        <v/>
      </c>
      <c r="B1438" s="36">
        <f t="shared" si="92"/>
        <v>12</v>
      </c>
      <c r="C1438" s="189">
        <f t="shared" si="93"/>
        <v>42369</v>
      </c>
      <c r="D1438" s="189" t="s">
        <v>1525</v>
      </c>
      <c r="E1438" s="189">
        <v>42369</v>
      </c>
      <c r="F1438" s="190" t="s">
        <v>1232</v>
      </c>
      <c r="G1438" s="813" t="s">
        <v>954</v>
      </c>
      <c r="H1438" s="191" t="s">
        <v>448</v>
      </c>
      <c r="I1438" s="243">
        <v>1000</v>
      </c>
      <c r="J1438" s="243">
        <v>4203</v>
      </c>
      <c r="K1438" s="573">
        <f>ROUND(I1438*J1438,0)</f>
        <v>4203000</v>
      </c>
      <c r="L1438" s="574" t="s">
        <v>417</v>
      </c>
      <c r="M1438" s="574" t="s">
        <v>8</v>
      </c>
      <c r="N1438" s="51" t="str">
        <f>IF(AND('331-CT'!$E$7=TH!H1438,OR(L1438="331",M1438="331")),"331",IF(AND(OR(L1438="131",M1438="131"),H1438='131-CT'!$E$7),"131",""))</f>
        <v/>
      </c>
      <c r="O1438" s="51" t="str">
        <f>IF(AND($B1438&gt;='111'!$N$11,$B1438&lt;='111'!$O$11,OR($L1438=$O$7,$M1438=$O$7)),"x","")</f>
        <v/>
      </c>
      <c r="P1438" s="51" t="str">
        <f>IF(AND($L1438=$O$7,$B1438&lt;'111'!$N$11),"x","")</f>
        <v/>
      </c>
      <c r="Q1438" s="51" t="str">
        <f>IF(AND($M1438=$O$7,$B1438&lt;'111'!$N$11),"x","")</f>
        <v/>
      </c>
      <c r="R1438" s="51" t="str">
        <f>IF(ISERROR(FIND('112'!$M$9,G1438,1)),"",IF((AND(FIND('112'!$M$9,G1438,1)&gt;=1,$B1438&gt;='112'!$N$8,$B1438&lt;='112'!$O$8,OR($L1438='112'!$I$6,$M1438='112'!$I$6))),"x",""))</f>
        <v/>
      </c>
      <c r="S1438" s="51" t="str">
        <f>IF(ISERROR(FIND('112'!$M$9,G1438,1)),"",IF((AND(LEFT(G1438,2)=LEFT('112'!$M$9,2),B1438&lt;'112'!$N$8,$L1438='112'!$I$6)),"x",""))</f>
        <v/>
      </c>
      <c r="T1438" s="51" t="str">
        <f>IF(ISERROR(FIND('112'!$M$9,G1438,1)),"",IF((AND(RIGHT(G1438,2)=RIGHT('112'!$M$9,2),B1438&lt;'112'!$N$8,$M1438='112'!$I$6)),"x",""))</f>
        <v/>
      </c>
      <c r="U1438" s="51" t="str">
        <f>IF(AND(L1438="154",'154'!$O$5&lt;=B1438,'154'!$P$5&gt;=B1438),"154",IF(AND(L1438="632",'632'!$L$5&lt;=B1438,'632'!$M$5&gt;=B1438),"632",IF(AND(L1438="642",'642'!$N$5&lt;=B1438,'642'!$O$5&gt;=B1438),"642",IF(AND(L1438="641",'641'!$N$5&lt;=B1438,'641'!$O$5&gt;=B1438),"641",""))))</f>
        <v/>
      </c>
      <c r="V1438" s="51" t="str">
        <f>IF(OR(TH!L1438=TH!$V$7,M1438=TH!$V$7),"x","")</f>
        <v/>
      </c>
      <c r="W1438" s="51" t="str">
        <f>IF(AND(B1438&gt;='IN-NX'!$P$3,B1438&lt;='IN-NX'!$Q$3,'IN-NX'!$D$7=D1438,OR(LEFT(L1438,2)="15",AND(LEFT(M1438,2)&lt;&gt;"15",LEFT(M1438,2)&lt;&gt;"33"))),"x","")</f>
        <v/>
      </c>
      <c r="X1438" s="51" t="str">
        <f>IF(AND(OR(LEFT(TH!L1438,2)="15",LEFT(TH!M1438,2)="15"),'152-CT'!$J$8=TH!F1438),"x","")</f>
        <v/>
      </c>
      <c r="Y1438" s="51" t="str">
        <f>IF(AND(OR(LEFT(TH!L1438,2)="15",LEFT(TH!M1438,2)="15"),TK!$E$7=TH!F1438),"x","")</f>
        <v/>
      </c>
      <c r="Z1438" s="51" t="str">
        <f>IF(AND(B1438&lt;=NKC!$N$8,B1438&gt;=NKC!$M$8),"x","")</f>
        <v/>
      </c>
      <c r="AA1438" s="803"/>
      <c r="AB1438" s="565"/>
    </row>
    <row r="1439" spans="1:31" ht="15.75" customHeight="1">
      <c r="A1439" s="804" t="str">
        <f>IF(B1439&lt;&gt;"",IF(AND(B1439&gt;=_TM1,B1439&lt;=_TM2,OR(TH!L1439="1111",TH!M1439="1111")),TH!D1439,""),"")</f>
        <v/>
      </c>
      <c r="B1439" s="36">
        <f t="shared" si="92"/>
        <v>12</v>
      </c>
      <c r="C1439" s="189">
        <f t="shared" si="93"/>
        <v>42369</v>
      </c>
      <c r="D1439" s="189" t="s">
        <v>1525</v>
      </c>
      <c r="E1439" s="189">
        <v>42369</v>
      </c>
      <c r="F1439" s="190" t="s">
        <v>496</v>
      </c>
      <c r="G1439" s="813" t="s">
        <v>954</v>
      </c>
      <c r="H1439" s="191" t="s">
        <v>448</v>
      </c>
      <c r="I1439" s="243"/>
      <c r="J1439" s="243"/>
      <c r="K1439" s="573">
        <v>3490237</v>
      </c>
      <c r="L1439" s="574" t="s">
        <v>9</v>
      </c>
      <c r="M1439" s="574" t="s">
        <v>8</v>
      </c>
      <c r="N1439" s="51" t="str">
        <f>IF(AND('331-CT'!$E$7=TH!H1439,OR(L1439="331",M1439="331")),"331",IF(AND(OR(L1439="131",M1439="131"),H1439='131-CT'!$E$7),"131",""))</f>
        <v/>
      </c>
      <c r="O1439" s="51" t="str">
        <f>IF(AND($B1439&gt;='111'!$N$11,$B1439&lt;='111'!$O$11,OR($L1439=$O$7,$M1439=$O$7)),"x","")</f>
        <v/>
      </c>
      <c r="P1439" s="51" t="str">
        <f>IF(AND($L1439=$O$7,$B1439&lt;'111'!$N$11),"x","")</f>
        <v/>
      </c>
      <c r="Q1439" s="51" t="str">
        <f>IF(AND($M1439=$O$7,$B1439&lt;'111'!$N$11),"x","")</f>
        <v/>
      </c>
      <c r="R1439" s="51" t="str">
        <f>IF(ISERROR(FIND('112'!$M$9,G1439,1)),"",IF((AND(FIND('112'!$M$9,G1439,1)&gt;=1,$B1439&gt;='112'!$N$8,$B1439&lt;='112'!$O$8,OR($L1439='112'!$I$6,$M1439='112'!$I$6))),"x",""))</f>
        <v/>
      </c>
      <c r="S1439" s="51" t="str">
        <f>IF(ISERROR(FIND('112'!$M$9,G1439,1)),"",IF((AND(LEFT(G1439,2)=LEFT('112'!$M$9,2),B1439&lt;'112'!$N$8,$L1439='112'!$I$6)),"x",""))</f>
        <v/>
      </c>
      <c r="T1439" s="51" t="str">
        <f>IF(ISERROR(FIND('112'!$M$9,G1439,1)),"",IF((AND(RIGHT(G1439,2)=RIGHT('112'!$M$9,2),B1439&lt;'112'!$N$8,$M1439='112'!$I$6)),"x",""))</f>
        <v/>
      </c>
      <c r="U1439" s="51" t="str">
        <f>IF(AND(L1439="154",'154'!$O$5&lt;=B1439,'154'!$P$5&gt;=B1439),"154",IF(AND(L1439="632",'632'!$L$5&lt;=B1439,'632'!$M$5&gt;=B1439),"632",IF(AND(L1439="642",'642'!$N$5&lt;=B1439,'642'!$O$5&gt;=B1439),"642",IF(AND(L1439="641",'641'!$N$5&lt;=B1439,'641'!$O$5&gt;=B1439),"641",""))))</f>
        <v/>
      </c>
      <c r="V1439" s="51" t="str">
        <f>IF(OR(TH!L1439=TH!$V$7,M1439=TH!$V$7),"x","")</f>
        <v/>
      </c>
      <c r="W1439" s="51" t="str">
        <f>IF(AND(B1439&gt;='IN-NX'!$P$3,B1439&lt;='IN-NX'!$Q$3,'IN-NX'!$D$7=D1439,OR(LEFT(L1439,2)="15",AND(LEFT(M1439,2)&lt;&gt;"15",LEFT(M1439,2)&lt;&gt;"33"))),"x","")</f>
        <v/>
      </c>
      <c r="X1439" s="51" t="str">
        <f>IF(AND(OR(LEFT(TH!L1439,2)="15",LEFT(TH!M1439,2)="15"),'152-CT'!$J$8=TH!F1439),"x","")</f>
        <v/>
      </c>
      <c r="Y1439" s="51" t="str">
        <f>IF(AND(OR(LEFT(TH!L1439,2)="15",LEFT(TH!M1439,2)="15"),TK!$E$7=TH!F1439),"x","")</f>
        <v/>
      </c>
      <c r="Z1439" s="51" t="str">
        <f>IF(AND(B1439&lt;=NKC!$N$8,B1439&gt;=NKC!$M$8),"x","")</f>
        <v/>
      </c>
      <c r="AA1439" s="803">
        <v>4</v>
      </c>
      <c r="AB1439" s="565"/>
    </row>
    <row r="1440" spans="1:31" ht="15.75" customHeight="1">
      <c r="A1440" s="804" t="str">
        <f>IF(B1440&lt;&gt;"",IF(AND(B1440&gt;=_TM1,B1440&lt;=_TM2,OR(TH!L1440="1111",TH!M1440="1111")),TH!D1440,""),"")</f>
        <v/>
      </c>
      <c r="B1440" s="36">
        <f t="shared" si="92"/>
        <v>12</v>
      </c>
      <c r="C1440" s="189">
        <f t="shared" si="93"/>
        <v>42369</v>
      </c>
      <c r="D1440" s="37" t="s">
        <v>1331</v>
      </c>
      <c r="E1440" s="189">
        <v>42369</v>
      </c>
      <c r="F1440" s="190" t="s">
        <v>925</v>
      </c>
      <c r="G1440" s="811" t="s">
        <v>1113</v>
      </c>
      <c r="H1440" s="7" t="s">
        <v>445</v>
      </c>
      <c r="I1440" s="243">
        <v>1000</v>
      </c>
      <c r="J1440" s="243">
        <v>10078</v>
      </c>
      <c r="K1440" s="573">
        <f>ROUND(I1440*J1440,0)</f>
        <v>10078000</v>
      </c>
      <c r="L1440" s="574" t="s">
        <v>250</v>
      </c>
      <c r="M1440" s="574" t="s">
        <v>164</v>
      </c>
      <c r="N1440" s="51" t="str">
        <f>IF(AND('331-CT'!$E$7=TH!H1440,OR(L1440="331",M1440="331")),"331",IF(AND(OR(L1440="131",M1440="131"),H1440='131-CT'!$E$7),"131",""))</f>
        <v/>
      </c>
      <c r="O1440" s="51" t="str">
        <f>IF(AND($B1440&gt;='111'!$N$11,$B1440&lt;='111'!$O$11,OR($L1440=$O$7,$M1440=$O$7)),"x","")</f>
        <v/>
      </c>
      <c r="P1440" s="51" t="str">
        <f>IF(AND($L1440=$O$7,$B1440&lt;'111'!$N$11),"x","")</f>
        <v/>
      </c>
      <c r="Q1440" s="51" t="str">
        <f>IF(AND($M1440=$O$7,$B1440&lt;'111'!$N$11),"x","")</f>
        <v/>
      </c>
      <c r="R1440" s="51" t="str">
        <f>IF(ISERROR(FIND('112'!$M$9,G1440,1)),"",IF((AND(FIND('112'!$M$9,G1440,1)&gt;=1,$B1440&gt;='112'!$N$8,$B1440&lt;='112'!$O$8,OR($L1440='112'!$I$6,$M1440='112'!$I$6))),"x",""))</f>
        <v/>
      </c>
      <c r="S1440" s="51" t="str">
        <f>IF(ISERROR(FIND('112'!$M$9,G1440,1)),"",IF((AND(LEFT(G1440,2)=LEFT('112'!$M$9,2),B1440&lt;'112'!$N$8,$L1440='112'!$I$6)),"x",""))</f>
        <v/>
      </c>
      <c r="T1440" s="51" t="str">
        <f>IF(ISERROR(FIND('112'!$M$9,G1440,1)),"",IF((AND(RIGHT(G1440,2)=RIGHT('112'!$M$9,2),B1440&lt;'112'!$N$8,$M1440='112'!$I$6)),"x",""))</f>
        <v/>
      </c>
      <c r="U1440" s="51" t="str">
        <f>IF(AND(L1440="154",'154'!$O$5&lt;=B1440,'154'!$P$5&gt;=B1440),"154",IF(AND(L1440="632",'632'!$L$5&lt;=B1440,'632'!$M$5&gt;=B1440),"632",IF(AND(L1440="642",'642'!$N$5&lt;=B1440,'642'!$O$5&gt;=B1440),"642",IF(AND(L1440="641",'641'!$N$5&lt;=B1440,'641'!$O$5&gt;=B1440),"641",""))))</f>
        <v/>
      </c>
      <c r="V1440" s="51" t="str">
        <f>IF(OR(TH!L1440=TH!$V$7,M1440=TH!$V$7),"x","")</f>
        <v/>
      </c>
      <c r="W1440" s="51" t="str">
        <f>IF(AND(B1440&gt;='IN-NX'!$P$3,B1440&lt;='IN-NX'!$Q$3,'IN-NX'!$D$7=D1440,OR(LEFT(L1440,2)="15",AND(LEFT(M1440,2)&lt;&gt;"15",LEFT(M1440,2)&lt;&gt;"33"))),"x","")</f>
        <v/>
      </c>
      <c r="X1440" s="51" t="str">
        <f>IF(AND(OR(LEFT(TH!L1440,2)="15",LEFT(TH!M1440,2)="15"),'152-CT'!$J$8=TH!F1440),"x","")</f>
        <v/>
      </c>
      <c r="Y1440" s="51" t="str">
        <f>IF(AND(OR(LEFT(TH!L1440,2)="15",LEFT(TH!M1440,2)="15"),TK!$E$7=TH!F1440),"x","")</f>
        <v/>
      </c>
      <c r="Z1440" s="51" t="str">
        <f>IF(AND(B1440&lt;=NKC!$N$8,B1440&gt;=NKC!$M$8),"x","")</f>
        <v/>
      </c>
      <c r="AA1440" s="803"/>
      <c r="AB1440" s="565"/>
    </row>
    <row r="1441" spans="1:28" ht="15.75" customHeight="1">
      <c r="A1441" s="804" t="str">
        <f>IF(B1441&lt;&gt;"",IF(AND(B1441&gt;=_TM1,B1441&lt;=_TM2,OR(TH!L1441="1111",TH!M1441="1111")),TH!D1441,""),"")</f>
        <v/>
      </c>
      <c r="B1441" s="36">
        <f t="shared" si="92"/>
        <v>12</v>
      </c>
      <c r="C1441" s="189">
        <f t="shared" si="93"/>
        <v>42369</v>
      </c>
      <c r="D1441" s="37" t="s">
        <v>1331</v>
      </c>
      <c r="E1441" s="189">
        <v>42369</v>
      </c>
      <c r="F1441" s="190" t="s">
        <v>926</v>
      </c>
      <c r="G1441" s="811" t="s">
        <v>1113</v>
      </c>
      <c r="H1441" s="7" t="s">
        <v>445</v>
      </c>
      <c r="I1441" s="243">
        <v>900</v>
      </c>
      <c r="J1441" s="243">
        <v>8646</v>
      </c>
      <c r="K1441" s="573">
        <f>ROUND(I1441*J1441,0)</f>
        <v>7781400</v>
      </c>
      <c r="L1441" s="574" t="s">
        <v>250</v>
      </c>
      <c r="M1441" s="574" t="s">
        <v>164</v>
      </c>
      <c r="N1441" s="51" t="str">
        <f>IF(AND('331-CT'!$E$7=TH!H1441,OR(L1441="331",M1441="331")),"331",IF(AND(OR(L1441="131",M1441="131"),H1441='131-CT'!$E$7),"131",""))</f>
        <v/>
      </c>
      <c r="O1441" s="51" t="str">
        <f>IF(AND($B1441&gt;='111'!$N$11,$B1441&lt;='111'!$O$11,OR($L1441=$O$7,$M1441=$O$7)),"x","")</f>
        <v/>
      </c>
      <c r="P1441" s="51" t="str">
        <f>IF(AND($L1441=$O$7,$B1441&lt;'111'!$N$11),"x","")</f>
        <v/>
      </c>
      <c r="Q1441" s="51" t="str">
        <f>IF(AND($M1441=$O$7,$B1441&lt;'111'!$N$11),"x","")</f>
        <v/>
      </c>
      <c r="R1441" s="51" t="str">
        <f>IF(ISERROR(FIND('112'!$M$9,G1441,1)),"",IF((AND(FIND('112'!$M$9,G1441,1)&gt;=1,$B1441&gt;='112'!$N$8,$B1441&lt;='112'!$O$8,OR($L1441='112'!$I$6,$M1441='112'!$I$6))),"x",""))</f>
        <v/>
      </c>
      <c r="S1441" s="51" t="str">
        <f>IF(ISERROR(FIND('112'!$M$9,G1441,1)),"",IF((AND(LEFT(G1441,2)=LEFT('112'!$M$9,2),B1441&lt;'112'!$N$8,$L1441='112'!$I$6)),"x",""))</f>
        <v/>
      </c>
      <c r="T1441" s="51" t="str">
        <f>IF(ISERROR(FIND('112'!$M$9,G1441,1)),"",IF((AND(RIGHT(G1441,2)=RIGHT('112'!$M$9,2),B1441&lt;'112'!$N$8,$M1441='112'!$I$6)),"x",""))</f>
        <v/>
      </c>
      <c r="U1441" s="51" t="str">
        <f>IF(AND(L1441="154",'154'!$O$5&lt;=B1441,'154'!$P$5&gt;=B1441),"154",IF(AND(L1441="632",'632'!$L$5&lt;=B1441,'632'!$M$5&gt;=B1441),"632",IF(AND(L1441="642",'642'!$N$5&lt;=B1441,'642'!$O$5&gt;=B1441),"642",IF(AND(L1441="641",'641'!$N$5&lt;=B1441,'641'!$O$5&gt;=B1441),"641",""))))</f>
        <v/>
      </c>
      <c r="V1441" s="51" t="str">
        <f>IF(OR(TH!L1441=TH!$V$7,M1441=TH!$V$7),"x","")</f>
        <v/>
      </c>
      <c r="W1441" s="51" t="str">
        <f>IF(AND(B1441&gt;='IN-NX'!$P$3,B1441&lt;='IN-NX'!$Q$3,'IN-NX'!$D$7=D1441,OR(LEFT(L1441,2)="15",AND(LEFT(M1441,2)&lt;&gt;"15",LEFT(M1441,2)&lt;&gt;"33"))),"x","")</f>
        <v/>
      </c>
      <c r="X1441" s="51" t="str">
        <f>IF(AND(OR(LEFT(TH!L1441,2)="15",LEFT(TH!M1441,2)="15"),'152-CT'!$J$8=TH!F1441),"x","")</f>
        <v/>
      </c>
      <c r="Y1441" s="51" t="str">
        <f>IF(AND(OR(LEFT(TH!L1441,2)="15",LEFT(TH!M1441,2)="15"),TK!$E$7=TH!F1441),"x","")</f>
        <v/>
      </c>
      <c r="Z1441" s="51" t="str">
        <f>IF(AND(B1441&lt;=NKC!$N$8,B1441&gt;=NKC!$M$8),"x","")</f>
        <v/>
      </c>
      <c r="AA1441" s="803"/>
      <c r="AB1441" s="565"/>
    </row>
    <row r="1442" spans="1:28" ht="15.75" customHeight="1">
      <c r="A1442" s="804" t="str">
        <f>IF(B1442&lt;&gt;"",IF(AND(B1442&gt;=_TM1,B1442&lt;=_TM2,OR(TH!L1442="1111",TH!M1442="1111")),TH!D1442,""),"")</f>
        <v/>
      </c>
      <c r="B1442" s="36">
        <f t="shared" si="92"/>
        <v>12</v>
      </c>
      <c r="C1442" s="189">
        <f t="shared" si="93"/>
        <v>42369</v>
      </c>
      <c r="D1442" s="37" t="s">
        <v>1331</v>
      </c>
      <c r="E1442" s="189">
        <v>42369</v>
      </c>
      <c r="F1442" s="190" t="s">
        <v>962</v>
      </c>
      <c r="G1442" s="811" t="s">
        <v>1113</v>
      </c>
      <c r="H1442" s="7" t="s">
        <v>445</v>
      </c>
      <c r="I1442" s="243"/>
      <c r="J1442" s="243"/>
      <c r="K1442" s="573">
        <v>1785940</v>
      </c>
      <c r="L1442" s="574" t="s">
        <v>250</v>
      </c>
      <c r="M1442" s="574" t="s">
        <v>352</v>
      </c>
      <c r="N1442" s="51" t="str">
        <f>IF(AND('331-CT'!$E$7=TH!H1442,OR(L1442="331",M1442="331")),"331",IF(AND(OR(L1442="131",M1442="131"),H1442='131-CT'!$E$7),"131",""))</f>
        <v/>
      </c>
      <c r="O1442" s="51" t="str">
        <f>IF(AND($B1442&gt;='111'!$N$11,$B1442&lt;='111'!$O$11,OR($L1442=$O$7,$M1442=$O$7)),"x","")</f>
        <v/>
      </c>
      <c r="P1442" s="51" t="str">
        <f>IF(AND($L1442=$O$7,$B1442&lt;'111'!$N$11),"x","")</f>
        <v/>
      </c>
      <c r="Q1442" s="51" t="str">
        <f>IF(AND($M1442=$O$7,$B1442&lt;'111'!$N$11),"x","")</f>
        <v/>
      </c>
      <c r="R1442" s="51" t="str">
        <f>IF(ISERROR(FIND('112'!$M$9,G1442,1)),"",IF((AND(FIND('112'!$M$9,G1442,1)&gt;=1,$B1442&gt;='112'!$N$8,$B1442&lt;='112'!$O$8,OR($L1442='112'!$I$6,$M1442='112'!$I$6))),"x",""))</f>
        <v/>
      </c>
      <c r="S1442" s="51" t="str">
        <f>IF(ISERROR(FIND('112'!$M$9,G1442,1)),"",IF((AND(LEFT(G1442,2)=LEFT('112'!$M$9,2),B1442&lt;'112'!$N$8,$L1442='112'!$I$6)),"x",""))</f>
        <v/>
      </c>
      <c r="T1442" s="51" t="str">
        <f>IF(ISERROR(FIND('112'!$M$9,G1442,1)),"",IF((AND(RIGHT(G1442,2)=RIGHT('112'!$M$9,2),B1442&lt;'112'!$N$8,$M1442='112'!$I$6)),"x",""))</f>
        <v/>
      </c>
      <c r="U1442" s="51" t="str">
        <f>IF(AND(L1442="154",'154'!$O$5&lt;=B1442,'154'!$P$5&gt;=B1442),"154",IF(AND(L1442="632",'632'!$L$5&lt;=B1442,'632'!$M$5&gt;=B1442),"632",IF(AND(L1442="642",'642'!$N$5&lt;=B1442,'642'!$O$5&gt;=B1442),"642",IF(AND(L1442="641",'641'!$N$5&lt;=B1442,'641'!$O$5&gt;=B1442),"641",""))))</f>
        <v/>
      </c>
      <c r="V1442" s="51" t="str">
        <f>IF(OR(TH!L1442=TH!$V$7,M1442=TH!$V$7),"x","")</f>
        <v/>
      </c>
      <c r="W1442" s="51" t="str">
        <f>IF(AND(B1442&gt;='IN-NX'!$P$3,B1442&lt;='IN-NX'!$Q$3,'IN-NX'!$D$7=D1442,OR(LEFT(L1442,2)="15",AND(LEFT(M1442,2)&lt;&gt;"15",LEFT(M1442,2)&lt;&gt;"33"))),"x","")</f>
        <v/>
      </c>
      <c r="X1442" s="51" t="str">
        <f>IF(AND(OR(LEFT(TH!L1442,2)="15",LEFT(TH!M1442,2)="15"),'152-CT'!$J$8=TH!F1442),"x","")</f>
        <v/>
      </c>
      <c r="Y1442" s="51" t="str">
        <f>IF(AND(OR(LEFT(TH!L1442,2)="15",LEFT(TH!M1442,2)="15"),TK!$E$7=TH!F1442),"x","")</f>
        <v/>
      </c>
      <c r="Z1442" s="51" t="str">
        <f>IF(AND(B1442&lt;=NKC!$N$8,B1442&gt;=NKC!$M$8),"x","")</f>
        <v/>
      </c>
      <c r="AA1442" s="803"/>
      <c r="AB1442" s="565"/>
    </row>
    <row r="1443" spans="1:28" ht="15.75" customHeight="1">
      <c r="A1443" s="804" t="str">
        <f>IF(B1443&lt;&gt;"",IF(AND(B1443&gt;=_TM1,B1443&lt;=_TM2,OR(TH!L1443="1111",TH!M1443="1111")),TH!D1443,""),"")</f>
        <v/>
      </c>
      <c r="B1443" s="36">
        <f t="shared" si="92"/>
        <v>12</v>
      </c>
      <c r="C1443" s="189">
        <f t="shared" si="93"/>
        <v>42369</v>
      </c>
      <c r="D1443" s="37" t="s">
        <v>1418</v>
      </c>
      <c r="E1443" s="189">
        <v>42369</v>
      </c>
      <c r="F1443" s="922" t="s">
        <v>423</v>
      </c>
      <c r="G1443" s="811" t="s">
        <v>1113</v>
      </c>
      <c r="H1443" s="7" t="s">
        <v>445</v>
      </c>
      <c r="I1443" s="243"/>
      <c r="J1443" s="243"/>
      <c r="K1443" s="573">
        <v>19645340</v>
      </c>
      <c r="L1443" s="574" t="s">
        <v>47</v>
      </c>
      <c r="M1443" s="574" t="s">
        <v>250</v>
      </c>
      <c r="N1443" s="51" t="str">
        <f>IF(AND('331-CT'!$E$7=TH!H1443,OR(L1443="331",M1443="331")),"331",IF(AND(OR(L1443="131",M1443="131"),H1443='131-CT'!$E$7),"131",""))</f>
        <v/>
      </c>
      <c r="O1443" s="51" t="str">
        <f>IF(AND($B1443&gt;='111'!$N$11,$B1443&lt;='111'!$O$11,OR($L1443=$O$7,$M1443=$O$7)),"x","")</f>
        <v>x</v>
      </c>
      <c r="P1443" s="51" t="str">
        <f>IF(AND($L1443=$O$7,$B1443&lt;'111'!$N$11),"x","")</f>
        <v/>
      </c>
      <c r="Q1443" s="51" t="str">
        <f>IF(AND($M1443=$O$7,$B1443&lt;'111'!$N$11),"x","")</f>
        <v/>
      </c>
      <c r="R1443" s="51" t="str">
        <f>IF(ISERROR(FIND('112'!$M$9,G1443,1)),"",IF((AND(FIND('112'!$M$9,G1443,1)&gt;=1,$B1443&gt;='112'!$N$8,$B1443&lt;='112'!$O$8,OR($L1443='112'!$I$6,$M1443='112'!$I$6))),"x",""))</f>
        <v/>
      </c>
      <c r="S1443" s="51" t="str">
        <f>IF(ISERROR(FIND('112'!$M$9,G1443,1)),"",IF((AND(LEFT(G1443,2)=LEFT('112'!$M$9,2),B1443&lt;'112'!$N$8,$L1443='112'!$I$6)),"x",""))</f>
        <v/>
      </c>
      <c r="T1443" s="51" t="str">
        <f>IF(ISERROR(FIND('112'!$M$9,G1443,1)),"",IF((AND(RIGHT(G1443,2)=RIGHT('112'!$M$9,2),B1443&lt;'112'!$N$8,$M1443='112'!$I$6)),"x",""))</f>
        <v/>
      </c>
      <c r="U1443" s="51" t="str">
        <f>IF(AND(L1443="154",'154'!$O$5&lt;=B1443,'154'!$P$5&gt;=B1443),"154",IF(AND(L1443="632",'632'!$L$5&lt;=B1443,'632'!$M$5&gt;=B1443),"632",IF(AND(L1443="642",'642'!$N$5&lt;=B1443,'642'!$O$5&gt;=B1443),"642",IF(AND(L1443="641",'641'!$N$5&lt;=B1443,'641'!$O$5&gt;=B1443),"641",""))))</f>
        <v/>
      </c>
      <c r="V1443" s="51" t="str">
        <f>IF(OR(TH!L1443=TH!$V$7,M1443=TH!$V$7),"x","")</f>
        <v/>
      </c>
      <c r="W1443" s="51" t="str">
        <f>IF(AND(B1443&gt;='IN-NX'!$P$3,B1443&lt;='IN-NX'!$Q$3,'IN-NX'!$D$7=D1443,OR(LEFT(L1443,2)="15",AND(LEFT(M1443,2)&lt;&gt;"15",LEFT(M1443,2)&lt;&gt;"33"))),"x","")</f>
        <v/>
      </c>
      <c r="X1443" s="51" t="str">
        <f>IF(AND(OR(LEFT(TH!L1443,2)="15",LEFT(TH!M1443,2)="15"),'152-CT'!$J$8=TH!F1443),"x","")</f>
        <v/>
      </c>
      <c r="Y1443" s="51" t="str">
        <f>IF(AND(OR(LEFT(TH!L1443,2)="15",LEFT(TH!M1443,2)="15"),TK!$E$7=TH!F1443),"x","")</f>
        <v/>
      </c>
      <c r="Z1443" s="51" t="str">
        <f>IF(AND(B1443&lt;=NKC!$N$8,B1443&gt;=NKC!$M$8),"x","")</f>
        <v/>
      </c>
      <c r="AA1443" s="803"/>
      <c r="AB1443" s="565"/>
    </row>
    <row r="1444" spans="1:28" s="828" customFormat="1" ht="15.75" customHeight="1">
      <c r="A1444" s="804" t="str">
        <f>IF(B1444&lt;&gt;"",IF(AND(B1444&gt;=_TM1,B1444&lt;=_TM2,OR(TH!L1444="1111",TH!M1444="1111")),TH!D1444,""),"")</f>
        <v/>
      </c>
      <c r="B1444" s="820">
        <f t="shared" si="92"/>
        <v>12</v>
      </c>
      <c r="C1444" s="821">
        <f t="shared" si="93"/>
        <v>42369</v>
      </c>
      <c r="D1444" s="847" t="s">
        <v>1332</v>
      </c>
      <c r="E1444" s="821">
        <v>42369</v>
      </c>
      <c r="F1444" s="822" t="s">
        <v>1154</v>
      </c>
      <c r="G1444" s="823" t="s">
        <v>702</v>
      </c>
      <c r="H1444" s="824" t="s">
        <v>441</v>
      </c>
      <c r="I1444" s="825">
        <v>20</v>
      </c>
      <c r="J1444" s="825">
        <v>61500</v>
      </c>
      <c r="K1444" s="818">
        <f t="shared" ref="K1444:K1487" si="94">ROUND(I1444*J1444,0)</f>
        <v>1230000</v>
      </c>
      <c r="L1444" s="819" t="s">
        <v>250</v>
      </c>
      <c r="M1444" s="819" t="s">
        <v>164</v>
      </c>
      <c r="N1444" s="51" t="str">
        <f>IF(AND('331-CT'!$E$7=TH!H1444,OR(L1444="331",M1444="331")),"331",IF(AND(OR(L1444="131",M1444="131"),H1444='131-CT'!$E$7),"131",""))</f>
        <v/>
      </c>
      <c r="O1444" s="51" t="str">
        <f>IF(AND($B1444&gt;='111'!$N$11,$B1444&lt;='111'!$O$11,OR($L1444=$O$7,$M1444=$O$7)),"x","")</f>
        <v/>
      </c>
      <c r="P1444" s="51" t="str">
        <f>IF(AND($L1444=$O$7,$B1444&lt;'111'!$N$11),"x","")</f>
        <v/>
      </c>
      <c r="Q1444" s="51" t="str">
        <f>IF(AND($M1444=$O$7,$B1444&lt;'111'!$N$11),"x","")</f>
        <v/>
      </c>
      <c r="R1444" s="51" t="str">
        <f>IF(ISERROR(FIND('112'!$M$9,G1444,1)),"",IF((AND(FIND('112'!$M$9,G1444,1)&gt;=1,$B1444&gt;='112'!$N$8,$B1444&lt;='112'!$O$8,OR($L1444='112'!$I$6,$M1444='112'!$I$6))),"x",""))</f>
        <v/>
      </c>
      <c r="S1444" s="51" t="str">
        <f>IF(ISERROR(FIND('112'!$M$9,G1444,1)),"",IF((AND(LEFT(G1444,2)=LEFT('112'!$M$9,2),B1444&lt;'112'!$N$8,$L1444='112'!$I$6)),"x",""))</f>
        <v/>
      </c>
      <c r="T1444" s="51" t="str">
        <f>IF(ISERROR(FIND('112'!$M$9,G1444,1)),"",IF((AND(RIGHT(G1444,2)=RIGHT('112'!$M$9,2),B1444&lt;'112'!$N$8,$M1444='112'!$I$6)),"x",""))</f>
        <v/>
      </c>
      <c r="U1444" s="51" t="str">
        <f>IF(AND(L1444="154",'154'!$O$5&lt;=B1444,'154'!$P$5&gt;=B1444),"154",IF(AND(L1444="632",'632'!$L$5&lt;=B1444,'632'!$M$5&gt;=B1444),"632",IF(AND(L1444="642",'642'!$N$5&lt;=B1444,'642'!$O$5&gt;=B1444),"642",IF(AND(L1444="641",'641'!$N$5&lt;=B1444,'641'!$O$5&gt;=B1444),"641",""))))</f>
        <v/>
      </c>
      <c r="V1444" s="51" t="str">
        <f>IF(OR(TH!L1444=TH!$V$7,M1444=TH!$V$7),"x","")</f>
        <v/>
      </c>
      <c r="W1444" s="51" t="str">
        <f>IF(AND(B1444&gt;='IN-NX'!$P$3,B1444&lt;='IN-NX'!$Q$3,'IN-NX'!$D$7=D1444,OR(LEFT(L1444,2)="15",AND(LEFT(M1444,2)&lt;&gt;"15",LEFT(M1444,2)&lt;&gt;"33"))),"x","")</f>
        <v/>
      </c>
      <c r="X1444" s="51" t="str">
        <f>IF(AND(OR(LEFT(TH!L1444,2)="15",LEFT(TH!M1444,2)="15"),'152-CT'!$J$8=TH!F1444),"x","")</f>
        <v/>
      </c>
      <c r="Y1444" s="51" t="str">
        <f>IF(AND(OR(LEFT(TH!L1444,2)="15",LEFT(TH!M1444,2)="15"),TK!$E$7=TH!F1444),"x","")</f>
        <v/>
      </c>
      <c r="Z1444" s="51" t="str">
        <f>IF(AND(B1444&lt;=NKC!$N$8,B1444&gt;=NKC!$M$8),"x","")</f>
        <v/>
      </c>
      <c r="AA1444" s="826"/>
      <c r="AB1444" s="565"/>
    </row>
    <row r="1445" spans="1:28" s="828" customFormat="1" ht="15.75" customHeight="1">
      <c r="A1445" s="804" t="str">
        <f>IF(B1445&lt;&gt;"",IF(AND(B1445&gt;=_TM1,B1445&lt;=_TM2,OR(TH!L1445="1111",TH!M1445="1111")),TH!D1445,""),"")</f>
        <v/>
      </c>
      <c r="B1445" s="820">
        <f t="shared" si="92"/>
        <v>12</v>
      </c>
      <c r="C1445" s="821">
        <f t="shared" si="93"/>
        <v>42369</v>
      </c>
      <c r="D1445" s="847" t="s">
        <v>1332</v>
      </c>
      <c r="E1445" s="821">
        <v>42369</v>
      </c>
      <c r="F1445" s="822" t="s">
        <v>1175</v>
      </c>
      <c r="G1445" s="823" t="s">
        <v>702</v>
      </c>
      <c r="H1445" s="824" t="s">
        <v>441</v>
      </c>
      <c r="I1445" s="825">
        <v>12</v>
      </c>
      <c r="J1445" s="825">
        <v>66600</v>
      </c>
      <c r="K1445" s="818">
        <f t="shared" si="94"/>
        <v>799200</v>
      </c>
      <c r="L1445" s="819" t="s">
        <v>250</v>
      </c>
      <c r="M1445" s="819" t="s">
        <v>164</v>
      </c>
      <c r="N1445" s="51" t="str">
        <f>IF(AND('331-CT'!$E$7=TH!H1445,OR(L1445="331",M1445="331")),"331",IF(AND(OR(L1445="131",M1445="131"),H1445='131-CT'!$E$7),"131",""))</f>
        <v/>
      </c>
      <c r="O1445" s="51" t="str">
        <f>IF(AND($B1445&gt;='111'!$N$11,$B1445&lt;='111'!$O$11,OR($L1445=$O$7,$M1445=$O$7)),"x","")</f>
        <v/>
      </c>
      <c r="P1445" s="51" t="str">
        <f>IF(AND($L1445=$O$7,$B1445&lt;'111'!$N$11),"x","")</f>
        <v/>
      </c>
      <c r="Q1445" s="51" t="str">
        <f>IF(AND($M1445=$O$7,$B1445&lt;'111'!$N$11),"x","")</f>
        <v/>
      </c>
      <c r="R1445" s="51" t="str">
        <f>IF(ISERROR(FIND('112'!$M$9,G1445,1)),"",IF((AND(FIND('112'!$M$9,G1445,1)&gt;=1,$B1445&gt;='112'!$N$8,$B1445&lt;='112'!$O$8,OR($L1445='112'!$I$6,$M1445='112'!$I$6))),"x",""))</f>
        <v/>
      </c>
      <c r="S1445" s="51" t="str">
        <f>IF(ISERROR(FIND('112'!$M$9,G1445,1)),"",IF((AND(LEFT(G1445,2)=LEFT('112'!$M$9,2),B1445&lt;'112'!$N$8,$L1445='112'!$I$6)),"x",""))</f>
        <v/>
      </c>
      <c r="T1445" s="51" t="str">
        <f>IF(ISERROR(FIND('112'!$M$9,G1445,1)),"",IF((AND(RIGHT(G1445,2)=RIGHT('112'!$M$9,2),B1445&lt;'112'!$N$8,$M1445='112'!$I$6)),"x",""))</f>
        <v/>
      </c>
      <c r="U1445" s="51" t="str">
        <f>IF(AND(L1445="154",'154'!$O$5&lt;=B1445,'154'!$P$5&gt;=B1445),"154",IF(AND(L1445="632",'632'!$L$5&lt;=B1445,'632'!$M$5&gt;=B1445),"632",IF(AND(L1445="642",'642'!$N$5&lt;=B1445,'642'!$O$5&gt;=B1445),"642",IF(AND(L1445="641",'641'!$N$5&lt;=B1445,'641'!$O$5&gt;=B1445),"641",""))))</f>
        <v/>
      </c>
      <c r="V1445" s="51" t="str">
        <f>IF(OR(TH!L1445=TH!$V$7,M1445=TH!$V$7),"x","")</f>
        <v/>
      </c>
      <c r="W1445" s="51" t="str">
        <f>IF(AND(B1445&gt;='IN-NX'!$P$3,B1445&lt;='IN-NX'!$Q$3,'IN-NX'!$D$7=D1445,OR(LEFT(L1445,2)="15",AND(LEFT(M1445,2)&lt;&gt;"15",LEFT(M1445,2)&lt;&gt;"33"))),"x","")</f>
        <v/>
      </c>
      <c r="X1445" s="51" t="str">
        <f>IF(AND(OR(LEFT(TH!L1445,2)="15",LEFT(TH!M1445,2)="15"),'152-CT'!$J$8=TH!F1445),"x","")</f>
        <v/>
      </c>
      <c r="Y1445" s="51" t="str">
        <f>IF(AND(OR(LEFT(TH!L1445,2)="15",LEFT(TH!M1445,2)="15"),TK!$E$7=TH!F1445),"x","")</f>
        <v/>
      </c>
      <c r="Z1445" s="51" t="str">
        <f>IF(AND(B1445&lt;=NKC!$N$8,B1445&gt;=NKC!$M$8),"x","")</f>
        <v/>
      </c>
      <c r="AA1445" s="826"/>
      <c r="AB1445" s="565"/>
    </row>
    <row r="1446" spans="1:28" s="828" customFormat="1" ht="15.75" customHeight="1">
      <c r="A1446" s="804" t="str">
        <f>IF(B1446&lt;&gt;"",IF(AND(B1446&gt;=_TM1,B1446&lt;=_TM2,OR(TH!L1446="1111",TH!M1446="1111")),TH!D1446,""),"")</f>
        <v/>
      </c>
      <c r="B1446" s="820">
        <f t="shared" si="92"/>
        <v>12</v>
      </c>
      <c r="C1446" s="821">
        <f t="shared" si="93"/>
        <v>42369</v>
      </c>
      <c r="D1446" s="847" t="s">
        <v>1332</v>
      </c>
      <c r="E1446" s="821">
        <v>42369</v>
      </c>
      <c r="F1446" s="822" t="s">
        <v>1164</v>
      </c>
      <c r="G1446" s="823" t="s">
        <v>702</v>
      </c>
      <c r="H1446" s="824" t="s">
        <v>441</v>
      </c>
      <c r="I1446" s="825">
        <v>10</v>
      </c>
      <c r="J1446" s="825">
        <v>75900</v>
      </c>
      <c r="K1446" s="818">
        <f t="shared" si="94"/>
        <v>759000</v>
      </c>
      <c r="L1446" s="819" t="s">
        <v>250</v>
      </c>
      <c r="M1446" s="819" t="s">
        <v>164</v>
      </c>
      <c r="N1446" s="51" t="str">
        <f>IF(AND('331-CT'!$E$7=TH!H1446,OR(L1446="331",M1446="331")),"331",IF(AND(OR(L1446="131",M1446="131"),H1446='131-CT'!$E$7),"131",""))</f>
        <v/>
      </c>
      <c r="O1446" s="51" t="str">
        <f>IF(AND($B1446&gt;='111'!$N$11,$B1446&lt;='111'!$O$11,OR($L1446=$O$7,$M1446=$O$7)),"x","")</f>
        <v/>
      </c>
      <c r="P1446" s="51" t="str">
        <f>IF(AND($L1446=$O$7,$B1446&lt;'111'!$N$11),"x","")</f>
        <v/>
      </c>
      <c r="Q1446" s="51" t="str">
        <f>IF(AND($M1446=$O$7,$B1446&lt;'111'!$N$11),"x","")</f>
        <v/>
      </c>
      <c r="R1446" s="51" t="str">
        <f>IF(ISERROR(FIND('112'!$M$9,G1446,1)),"",IF((AND(FIND('112'!$M$9,G1446,1)&gt;=1,$B1446&gt;='112'!$N$8,$B1446&lt;='112'!$O$8,OR($L1446='112'!$I$6,$M1446='112'!$I$6))),"x",""))</f>
        <v/>
      </c>
      <c r="S1446" s="51" t="str">
        <f>IF(ISERROR(FIND('112'!$M$9,G1446,1)),"",IF((AND(LEFT(G1446,2)=LEFT('112'!$M$9,2),B1446&lt;'112'!$N$8,$L1446='112'!$I$6)),"x",""))</f>
        <v/>
      </c>
      <c r="T1446" s="51" t="str">
        <f>IF(ISERROR(FIND('112'!$M$9,G1446,1)),"",IF((AND(RIGHT(G1446,2)=RIGHT('112'!$M$9,2),B1446&lt;'112'!$N$8,$M1446='112'!$I$6)),"x",""))</f>
        <v/>
      </c>
      <c r="U1446" s="51" t="str">
        <f>IF(AND(L1446="154",'154'!$O$5&lt;=B1446,'154'!$P$5&gt;=B1446),"154",IF(AND(L1446="632",'632'!$L$5&lt;=B1446,'632'!$M$5&gt;=B1446),"632",IF(AND(L1446="642",'642'!$N$5&lt;=B1446,'642'!$O$5&gt;=B1446),"642",IF(AND(L1446="641",'641'!$N$5&lt;=B1446,'641'!$O$5&gt;=B1446),"641",""))))</f>
        <v/>
      </c>
      <c r="V1446" s="51" t="str">
        <f>IF(OR(TH!L1446=TH!$V$7,M1446=TH!$V$7),"x","")</f>
        <v/>
      </c>
      <c r="W1446" s="51" t="str">
        <f>IF(AND(B1446&gt;='IN-NX'!$P$3,B1446&lt;='IN-NX'!$Q$3,'IN-NX'!$D$7=D1446,OR(LEFT(L1446,2)="15",AND(LEFT(M1446,2)&lt;&gt;"15",LEFT(M1446,2)&lt;&gt;"33"))),"x","")</f>
        <v/>
      </c>
      <c r="X1446" s="51" t="str">
        <f>IF(AND(OR(LEFT(TH!L1446,2)="15",LEFT(TH!M1446,2)="15"),'152-CT'!$J$8=TH!F1446),"x","")</f>
        <v/>
      </c>
      <c r="Y1446" s="51" t="str">
        <f>IF(AND(OR(LEFT(TH!L1446,2)="15",LEFT(TH!M1446,2)="15"),TK!$E$7=TH!F1446),"x","")</f>
        <v/>
      </c>
      <c r="Z1446" s="51" t="str">
        <f>IF(AND(B1446&lt;=NKC!$N$8,B1446&gt;=NKC!$M$8),"x","")</f>
        <v/>
      </c>
      <c r="AA1446" s="826"/>
      <c r="AB1446" s="565"/>
    </row>
    <row r="1447" spans="1:28" s="828" customFormat="1" ht="15.75" customHeight="1">
      <c r="A1447" s="804" t="str">
        <f>IF(B1447&lt;&gt;"",IF(AND(B1447&gt;=_TM1,B1447&lt;=_TM2,OR(TH!L1447="1111",TH!M1447="1111")),TH!D1447,""),"")</f>
        <v/>
      </c>
      <c r="B1447" s="820">
        <f t="shared" si="92"/>
        <v>12</v>
      </c>
      <c r="C1447" s="821">
        <f t="shared" si="93"/>
        <v>42369</v>
      </c>
      <c r="D1447" s="847" t="s">
        <v>1332</v>
      </c>
      <c r="E1447" s="821">
        <v>42369</v>
      </c>
      <c r="F1447" s="822" t="s">
        <v>1165</v>
      </c>
      <c r="G1447" s="823" t="s">
        <v>702</v>
      </c>
      <c r="H1447" s="824" t="s">
        <v>441</v>
      </c>
      <c r="I1447" s="825">
        <v>25</v>
      </c>
      <c r="J1447" s="825">
        <v>18680</v>
      </c>
      <c r="K1447" s="818">
        <f t="shared" si="94"/>
        <v>467000</v>
      </c>
      <c r="L1447" s="819" t="s">
        <v>250</v>
      </c>
      <c r="M1447" s="819" t="s">
        <v>164</v>
      </c>
      <c r="N1447" s="51" t="str">
        <f>IF(AND('331-CT'!$E$7=TH!H1447,OR(L1447="331",M1447="331")),"331",IF(AND(OR(L1447="131",M1447="131"),H1447='131-CT'!$E$7),"131",""))</f>
        <v/>
      </c>
      <c r="O1447" s="51" t="str">
        <f>IF(AND($B1447&gt;='111'!$N$11,$B1447&lt;='111'!$O$11,OR($L1447=$O$7,$M1447=$O$7)),"x","")</f>
        <v/>
      </c>
      <c r="P1447" s="51" t="str">
        <f>IF(AND($L1447=$O$7,$B1447&lt;'111'!$N$11),"x","")</f>
        <v/>
      </c>
      <c r="Q1447" s="51" t="str">
        <f>IF(AND($M1447=$O$7,$B1447&lt;'111'!$N$11),"x","")</f>
        <v/>
      </c>
      <c r="R1447" s="51" t="str">
        <f>IF(ISERROR(FIND('112'!$M$9,G1447,1)),"",IF((AND(FIND('112'!$M$9,G1447,1)&gt;=1,$B1447&gt;='112'!$N$8,$B1447&lt;='112'!$O$8,OR($L1447='112'!$I$6,$M1447='112'!$I$6))),"x",""))</f>
        <v/>
      </c>
      <c r="S1447" s="51" t="str">
        <f>IF(ISERROR(FIND('112'!$M$9,G1447,1)),"",IF((AND(LEFT(G1447,2)=LEFT('112'!$M$9,2),B1447&lt;'112'!$N$8,$L1447='112'!$I$6)),"x",""))</f>
        <v/>
      </c>
      <c r="T1447" s="51" t="str">
        <f>IF(ISERROR(FIND('112'!$M$9,G1447,1)),"",IF((AND(RIGHT(G1447,2)=RIGHT('112'!$M$9,2),B1447&lt;'112'!$N$8,$M1447='112'!$I$6)),"x",""))</f>
        <v/>
      </c>
      <c r="U1447" s="51" t="str">
        <f>IF(AND(L1447="154",'154'!$O$5&lt;=B1447,'154'!$P$5&gt;=B1447),"154",IF(AND(L1447="632",'632'!$L$5&lt;=B1447,'632'!$M$5&gt;=B1447),"632",IF(AND(L1447="642",'642'!$N$5&lt;=B1447,'642'!$O$5&gt;=B1447),"642",IF(AND(L1447="641",'641'!$N$5&lt;=B1447,'641'!$O$5&gt;=B1447),"641",""))))</f>
        <v/>
      </c>
      <c r="V1447" s="51" t="str">
        <f>IF(OR(TH!L1447=TH!$V$7,M1447=TH!$V$7),"x","")</f>
        <v/>
      </c>
      <c r="W1447" s="51" t="str">
        <f>IF(AND(B1447&gt;='IN-NX'!$P$3,B1447&lt;='IN-NX'!$Q$3,'IN-NX'!$D$7=D1447,OR(LEFT(L1447,2)="15",AND(LEFT(M1447,2)&lt;&gt;"15",LEFT(M1447,2)&lt;&gt;"33"))),"x","")</f>
        <v/>
      </c>
      <c r="X1447" s="51" t="str">
        <f>IF(AND(OR(LEFT(TH!L1447,2)="15",LEFT(TH!M1447,2)="15"),'152-CT'!$J$8=TH!F1447),"x","")</f>
        <v/>
      </c>
      <c r="Y1447" s="51" t="str">
        <f>IF(AND(OR(LEFT(TH!L1447,2)="15",LEFT(TH!M1447,2)="15"),TK!$E$7=TH!F1447),"x","")</f>
        <v/>
      </c>
      <c r="Z1447" s="51" t="str">
        <f>IF(AND(B1447&lt;=NKC!$N$8,B1447&gt;=NKC!$M$8),"x","")</f>
        <v/>
      </c>
      <c r="AA1447" s="826"/>
      <c r="AB1447" s="565"/>
    </row>
    <row r="1448" spans="1:28" s="828" customFormat="1" ht="15.75" customHeight="1">
      <c r="A1448" s="804" t="str">
        <f>IF(B1448&lt;&gt;"",IF(AND(B1448&gt;=_TM1,B1448&lt;=_TM2,OR(TH!L1448="1111",TH!M1448="1111")),TH!D1448,""),"")</f>
        <v/>
      </c>
      <c r="B1448" s="820">
        <f t="shared" ref="B1448:B1506" si="95">IF(C1448&lt;&gt;"",MONTH(C1448),"")</f>
        <v>12</v>
      </c>
      <c r="C1448" s="821">
        <f t="shared" ref="C1448:C1506" si="96">E1448</f>
        <v>42369</v>
      </c>
      <c r="D1448" s="847" t="s">
        <v>1332</v>
      </c>
      <c r="E1448" s="821">
        <v>42369</v>
      </c>
      <c r="F1448" s="822" t="s">
        <v>1160</v>
      </c>
      <c r="G1448" s="823" t="s">
        <v>702</v>
      </c>
      <c r="H1448" s="824" t="s">
        <v>441</v>
      </c>
      <c r="I1448" s="825">
        <v>28</v>
      </c>
      <c r="J1448" s="825">
        <v>17200</v>
      </c>
      <c r="K1448" s="818">
        <f t="shared" si="94"/>
        <v>481600</v>
      </c>
      <c r="L1448" s="819" t="s">
        <v>250</v>
      </c>
      <c r="M1448" s="819" t="s">
        <v>164</v>
      </c>
      <c r="N1448" s="51" t="str">
        <f>IF(AND('331-CT'!$E$7=TH!H1448,OR(L1448="331",M1448="331")),"331",IF(AND(OR(L1448="131",M1448="131"),H1448='131-CT'!$E$7),"131",""))</f>
        <v/>
      </c>
      <c r="O1448" s="51" t="str">
        <f>IF(AND($B1448&gt;='111'!$N$11,$B1448&lt;='111'!$O$11,OR($L1448=$O$7,$M1448=$O$7)),"x","")</f>
        <v/>
      </c>
      <c r="P1448" s="51" t="str">
        <f>IF(AND($L1448=$O$7,$B1448&lt;'111'!$N$11),"x","")</f>
        <v/>
      </c>
      <c r="Q1448" s="51" t="str">
        <f>IF(AND($M1448=$O$7,$B1448&lt;'111'!$N$11),"x","")</f>
        <v/>
      </c>
      <c r="R1448" s="51" t="str">
        <f>IF(ISERROR(FIND('112'!$M$9,G1448,1)),"",IF((AND(FIND('112'!$M$9,G1448,1)&gt;=1,$B1448&gt;='112'!$N$8,$B1448&lt;='112'!$O$8,OR($L1448='112'!$I$6,$M1448='112'!$I$6))),"x",""))</f>
        <v/>
      </c>
      <c r="S1448" s="51" t="str">
        <f>IF(ISERROR(FIND('112'!$M$9,G1448,1)),"",IF((AND(LEFT(G1448,2)=LEFT('112'!$M$9,2),B1448&lt;'112'!$N$8,$L1448='112'!$I$6)),"x",""))</f>
        <v/>
      </c>
      <c r="T1448" s="51" t="str">
        <f>IF(ISERROR(FIND('112'!$M$9,G1448,1)),"",IF((AND(RIGHT(G1448,2)=RIGHT('112'!$M$9,2),B1448&lt;'112'!$N$8,$M1448='112'!$I$6)),"x",""))</f>
        <v/>
      </c>
      <c r="U1448" s="51" t="str">
        <f>IF(AND(L1448="154",'154'!$O$5&lt;=B1448,'154'!$P$5&gt;=B1448),"154",IF(AND(L1448="632",'632'!$L$5&lt;=B1448,'632'!$M$5&gt;=B1448),"632",IF(AND(L1448="642",'642'!$N$5&lt;=B1448,'642'!$O$5&gt;=B1448),"642",IF(AND(L1448="641",'641'!$N$5&lt;=B1448,'641'!$O$5&gt;=B1448),"641",""))))</f>
        <v/>
      </c>
      <c r="V1448" s="51" t="str">
        <f>IF(OR(TH!L1448=TH!$V$7,M1448=TH!$V$7),"x","")</f>
        <v/>
      </c>
      <c r="W1448" s="51" t="str">
        <f>IF(AND(B1448&gt;='IN-NX'!$P$3,B1448&lt;='IN-NX'!$Q$3,'IN-NX'!$D$7=D1448,OR(LEFT(L1448,2)="15",AND(LEFT(M1448,2)&lt;&gt;"15",LEFT(M1448,2)&lt;&gt;"33"))),"x","")</f>
        <v/>
      </c>
      <c r="X1448" s="51" t="str">
        <f>IF(AND(OR(LEFT(TH!L1448,2)="15",LEFT(TH!M1448,2)="15"),'152-CT'!$J$8=TH!F1448),"x","")</f>
        <v/>
      </c>
      <c r="Y1448" s="51" t="str">
        <f>IF(AND(OR(LEFT(TH!L1448,2)="15",LEFT(TH!M1448,2)="15"),TK!$E$7=TH!F1448),"x","")</f>
        <v/>
      </c>
      <c r="Z1448" s="51" t="str">
        <f>IF(AND(B1448&lt;=NKC!$N$8,B1448&gt;=NKC!$M$8),"x","")</f>
        <v/>
      </c>
      <c r="AA1448" s="826"/>
      <c r="AB1448" s="565"/>
    </row>
    <row r="1449" spans="1:28" s="828" customFormat="1" ht="15.75" customHeight="1">
      <c r="A1449" s="804" t="str">
        <f>IF(B1449&lt;&gt;"",IF(AND(B1449&gt;=_TM1,B1449&lt;=_TM2,OR(TH!L1449="1111",TH!M1449="1111")),TH!D1449,""),"")</f>
        <v/>
      </c>
      <c r="B1449" s="820">
        <f t="shared" si="95"/>
        <v>12</v>
      </c>
      <c r="C1449" s="821">
        <f t="shared" si="96"/>
        <v>42369</v>
      </c>
      <c r="D1449" s="847" t="s">
        <v>1332</v>
      </c>
      <c r="E1449" s="821">
        <v>42369</v>
      </c>
      <c r="F1449" s="822" t="s">
        <v>1152</v>
      </c>
      <c r="G1449" s="823" t="s">
        <v>702</v>
      </c>
      <c r="H1449" s="824" t="s">
        <v>441</v>
      </c>
      <c r="I1449" s="825">
        <v>12</v>
      </c>
      <c r="J1449" s="825">
        <v>25800</v>
      </c>
      <c r="K1449" s="818">
        <f t="shared" si="94"/>
        <v>309600</v>
      </c>
      <c r="L1449" s="819" t="s">
        <v>250</v>
      </c>
      <c r="M1449" s="819" t="s">
        <v>164</v>
      </c>
      <c r="N1449" s="51" t="str">
        <f>IF(AND('331-CT'!$E$7=TH!H1449,OR(L1449="331",M1449="331")),"331",IF(AND(OR(L1449="131",M1449="131"),H1449='131-CT'!$E$7),"131",""))</f>
        <v/>
      </c>
      <c r="O1449" s="51" t="str">
        <f>IF(AND($B1449&gt;='111'!$N$11,$B1449&lt;='111'!$O$11,OR($L1449=$O$7,$M1449=$O$7)),"x","")</f>
        <v/>
      </c>
      <c r="P1449" s="51" t="str">
        <f>IF(AND($L1449=$O$7,$B1449&lt;'111'!$N$11),"x","")</f>
        <v/>
      </c>
      <c r="Q1449" s="51" t="str">
        <f>IF(AND($M1449=$O$7,$B1449&lt;'111'!$N$11),"x","")</f>
        <v/>
      </c>
      <c r="R1449" s="51" t="str">
        <f>IF(ISERROR(FIND('112'!$M$9,G1449,1)),"",IF((AND(FIND('112'!$M$9,G1449,1)&gt;=1,$B1449&gt;='112'!$N$8,$B1449&lt;='112'!$O$8,OR($L1449='112'!$I$6,$M1449='112'!$I$6))),"x",""))</f>
        <v/>
      </c>
      <c r="S1449" s="51" t="str">
        <f>IF(ISERROR(FIND('112'!$M$9,G1449,1)),"",IF((AND(LEFT(G1449,2)=LEFT('112'!$M$9,2),B1449&lt;'112'!$N$8,$L1449='112'!$I$6)),"x",""))</f>
        <v/>
      </c>
      <c r="T1449" s="51" t="str">
        <f>IF(ISERROR(FIND('112'!$M$9,G1449,1)),"",IF((AND(RIGHT(G1449,2)=RIGHT('112'!$M$9,2),B1449&lt;'112'!$N$8,$M1449='112'!$I$6)),"x",""))</f>
        <v/>
      </c>
      <c r="U1449" s="51" t="str">
        <f>IF(AND(L1449="154",'154'!$O$5&lt;=B1449,'154'!$P$5&gt;=B1449),"154",IF(AND(L1449="632",'632'!$L$5&lt;=B1449,'632'!$M$5&gt;=B1449),"632",IF(AND(L1449="642",'642'!$N$5&lt;=B1449,'642'!$O$5&gt;=B1449),"642",IF(AND(L1449="641",'641'!$N$5&lt;=B1449,'641'!$O$5&gt;=B1449),"641",""))))</f>
        <v/>
      </c>
      <c r="V1449" s="51" t="str">
        <f>IF(OR(TH!L1449=TH!$V$7,M1449=TH!$V$7),"x","")</f>
        <v/>
      </c>
      <c r="W1449" s="51" t="str">
        <f>IF(AND(B1449&gt;='IN-NX'!$P$3,B1449&lt;='IN-NX'!$Q$3,'IN-NX'!$D$7=D1449,OR(LEFT(L1449,2)="15",AND(LEFT(M1449,2)&lt;&gt;"15",LEFT(M1449,2)&lt;&gt;"33"))),"x","")</f>
        <v/>
      </c>
      <c r="X1449" s="51" t="str">
        <f>IF(AND(OR(LEFT(TH!L1449,2)="15",LEFT(TH!M1449,2)="15"),'152-CT'!$J$8=TH!F1449),"x","")</f>
        <v/>
      </c>
      <c r="Y1449" s="51" t="str">
        <f>IF(AND(OR(LEFT(TH!L1449,2)="15",LEFT(TH!M1449,2)="15"),TK!$E$7=TH!F1449),"x","")</f>
        <v/>
      </c>
      <c r="Z1449" s="51" t="str">
        <f>IF(AND(B1449&lt;=NKC!$N$8,B1449&gt;=NKC!$M$8),"x","")</f>
        <v/>
      </c>
      <c r="AA1449" s="826"/>
      <c r="AB1449" s="565"/>
    </row>
    <row r="1450" spans="1:28" s="828" customFormat="1" ht="15.75" customHeight="1">
      <c r="A1450" s="804" t="str">
        <f>IF(B1450&lt;&gt;"",IF(AND(B1450&gt;=_TM1,B1450&lt;=_TM2,OR(TH!L1450="1111",TH!M1450="1111")),TH!D1450,""),"")</f>
        <v/>
      </c>
      <c r="B1450" s="820">
        <f t="shared" si="95"/>
        <v>12</v>
      </c>
      <c r="C1450" s="821">
        <f t="shared" si="96"/>
        <v>42369</v>
      </c>
      <c r="D1450" s="847" t="s">
        <v>1332</v>
      </c>
      <c r="E1450" s="821">
        <v>42369</v>
      </c>
      <c r="F1450" s="822" t="s">
        <v>1168</v>
      </c>
      <c r="G1450" s="823" t="s">
        <v>702</v>
      </c>
      <c r="H1450" s="824" t="s">
        <v>441</v>
      </c>
      <c r="I1450" s="825">
        <v>8</v>
      </c>
      <c r="J1450" s="825">
        <v>19200</v>
      </c>
      <c r="K1450" s="818">
        <f t="shared" si="94"/>
        <v>153600</v>
      </c>
      <c r="L1450" s="819" t="s">
        <v>250</v>
      </c>
      <c r="M1450" s="819" t="s">
        <v>164</v>
      </c>
      <c r="N1450" s="51" t="str">
        <f>IF(AND('331-CT'!$E$7=TH!H1450,OR(L1450="331",M1450="331")),"331",IF(AND(OR(L1450="131",M1450="131"),H1450='131-CT'!$E$7),"131",""))</f>
        <v/>
      </c>
      <c r="O1450" s="51" t="str">
        <f>IF(AND($B1450&gt;='111'!$N$11,$B1450&lt;='111'!$O$11,OR($L1450=$O$7,$M1450=$O$7)),"x","")</f>
        <v/>
      </c>
      <c r="P1450" s="51" t="str">
        <f>IF(AND($L1450=$O$7,$B1450&lt;'111'!$N$11),"x","")</f>
        <v/>
      </c>
      <c r="Q1450" s="51" t="str">
        <f>IF(AND($M1450=$O$7,$B1450&lt;'111'!$N$11),"x","")</f>
        <v/>
      </c>
      <c r="R1450" s="51" t="str">
        <f>IF(ISERROR(FIND('112'!$M$9,G1450,1)),"",IF((AND(FIND('112'!$M$9,G1450,1)&gt;=1,$B1450&gt;='112'!$N$8,$B1450&lt;='112'!$O$8,OR($L1450='112'!$I$6,$M1450='112'!$I$6))),"x",""))</f>
        <v/>
      </c>
      <c r="S1450" s="51" t="str">
        <f>IF(ISERROR(FIND('112'!$M$9,G1450,1)),"",IF((AND(LEFT(G1450,2)=LEFT('112'!$M$9,2),B1450&lt;'112'!$N$8,$L1450='112'!$I$6)),"x",""))</f>
        <v/>
      </c>
      <c r="T1450" s="51" t="str">
        <f>IF(ISERROR(FIND('112'!$M$9,G1450,1)),"",IF((AND(RIGHT(G1450,2)=RIGHT('112'!$M$9,2),B1450&lt;'112'!$N$8,$M1450='112'!$I$6)),"x",""))</f>
        <v/>
      </c>
      <c r="U1450" s="51" t="str">
        <f>IF(AND(L1450="154",'154'!$O$5&lt;=B1450,'154'!$P$5&gt;=B1450),"154",IF(AND(L1450="632",'632'!$L$5&lt;=B1450,'632'!$M$5&gt;=B1450),"632",IF(AND(L1450="642",'642'!$N$5&lt;=B1450,'642'!$O$5&gt;=B1450),"642",IF(AND(L1450="641",'641'!$N$5&lt;=B1450,'641'!$O$5&gt;=B1450),"641",""))))</f>
        <v/>
      </c>
      <c r="V1450" s="51" t="str">
        <f>IF(OR(TH!L1450=TH!$V$7,M1450=TH!$V$7),"x","")</f>
        <v/>
      </c>
      <c r="W1450" s="51" t="str">
        <f>IF(AND(B1450&gt;='IN-NX'!$P$3,B1450&lt;='IN-NX'!$Q$3,'IN-NX'!$D$7=D1450,OR(LEFT(L1450,2)="15",AND(LEFT(M1450,2)&lt;&gt;"15",LEFT(M1450,2)&lt;&gt;"33"))),"x","")</f>
        <v/>
      </c>
      <c r="X1450" s="51" t="str">
        <f>IF(AND(OR(LEFT(TH!L1450,2)="15",LEFT(TH!M1450,2)="15"),'152-CT'!$J$8=TH!F1450),"x","")</f>
        <v/>
      </c>
      <c r="Y1450" s="51" t="str">
        <f>IF(AND(OR(LEFT(TH!L1450,2)="15",LEFT(TH!M1450,2)="15"),TK!$E$7=TH!F1450),"x","")</f>
        <v/>
      </c>
      <c r="Z1450" s="51" t="str">
        <f>IF(AND(B1450&lt;=NKC!$N$8,B1450&gt;=NKC!$M$8),"x","")</f>
        <v/>
      </c>
      <c r="AA1450" s="826"/>
      <c r="AB1450" s="565"/>
    </row>
    <row r="1451" spans="1:28" s="828" customFormat="1" ht="15.75" customHeight="1">
      <c r="A1451" s="804" t="str">
        <f>IF(B1451&lt;&gt;"",IF(AND(B1451&gt;=_TM1,B1451&lt;=_TM2,OR(TH!L1451="1111",TH!M1451="1111")),TH!D1451,""),"")</f>
        <v/>
      </c>
      <c r="B1451" s="820">
        <f t="shared" si="95"/>
        <v>12</v>
      </c>
      <c r="C1451" s="821">
        <f t="shared" si="96"/>
        <v>42369</v>
      </c>
      <c r="D1451" s="847" t="s">
        <v>1332</v>
      </c>
      <c r="E1451" s="821">
        <v>42369</v>
      </c>
      <c r="F1451" s="822" t="s">
        <v>1151</v>
      </c>
      <c r="G1451" s="823" t="s">
        <v>702</v>
      </c>
      <c r="H1451" s="824" t="s">
        <v>441</v>
      </c>
      <c r="I1451" s="825">
        <v>12</v>
      </c>
      <c r="J1451" s="825">
        <v>30600</v>
      </c>
      <c r="K1451" s="818">
        <f t="shared" si="94"/>
        <v>367200</v>
      </c>
      <c r="L1451" s="819" t="s">
        <v>250</v>
      </c>
      <c r="M1451" s="819" t="s">
        <v>164</v>
      </c>
      <c r="N1451" s="51" t="str">
        <f>IF(AND('331-CT'!$E$7=TH!H1451,OR(L1451="331",M1451="331")),"331",IF(AND(OR(L1451="131",M1451="131"),H1451='131-CT'!$E$7),"131",""))</f>
        <v/>
      </c>
      <c r="O1451" s="51" t="str">
        <f>IF(AND($B1451&gt;='111'!$N$11,$B1451&lt;='111'!$O$11,OR($L1451=$O$7,$M1451=$O$7)),"x","")</f>
        <v/>
      </c>
      <c r="P1451" s="51" t="str">
        <f>IF(AND($L1451=$O$7,$B1451&lt;'111'!$N$11),"x","")</f>
        <v/>
      </c>
      <c r="Q1451" s="51" t="str">
        <f>IF(AND($M1451=$O$7,$B1451&lt;'111'!$N$11),"x","")</f>
        <v/>
      </c>
      <c r="R1451" s="51" t="str">
        <f>IF(ISERROR(FIND('112'!$M$9,G1451,1)),"",IF((AND(FIND('112'!$M$9,G1451,1)&gt;=1,$B1451&gt;='112'!$N$8,$B1451&lt;='112'!$O$8,OR($L1451='112'!$I$6,$M1451='112'!$I$6))),"x",""))</f>
        <v/>
      </c>
      <c r="S1451" s="51" t="str">
        <f>IF(ISERROR(FIND('112'!$M$9,G1451,1)),"",IF((AND(LEFT(G1451,2)=LEFT('112'!$M$9,2),B1451&lt;'112'!$N$8,$L1451='112'!$I$6)),"x",""))</f>
        <v/>
      </c>
      <c r="T1451" s="51" t="str">
        <f>IF(ISERROR(FIND('112'!$M$9,G1451,1)),"",IF((AND(RIGHT(G1451,2)=RIGHT('112'!$M$9,2),B1451&lt;'112'!$N$8,$M1451='112'!$I$6)),"x",""))</f>
        <v/>
      </c>
      <c r="U1451" s="51" t="str">
        <f>IF(AND(L1451="154",'154'!$O$5&lt;=B1451,'154'!$P$5&gt;=B1451),"154",IF(AND(L1451="632",'632'!$L$5&lt;=B1451,'632'!$M$5&gt;=B1451),"632",IF(AND(L1451="642",'642'!$N$5&lt;=B1451,'642'!$O$5&gt;=B1451),"642",IF(AND(L1451="641",'641'!$N$5&lt;=B1451,'641'!$O$5&gt;=B1451),"641",""))))</f>
        <v/>
      </c>
      <c r="V1451" s="51" t="str">
        <f>IF(OR(TH!L1451=TH!$V$7,M1451=TH!$V$7),"x","")</f>
        <v/>
      </c>
      <c r="W1451" s="51" t="str">
        <f>IF(AND(B1451&gt;='IN-NX'!$P$3,B1451&lt;='IN-NX'!$Q$3,'IN-NX'!$D$7=D1451,OR(LEFT(L1451,2)="15",AND(LEFT(M1451,2)&lt;&gt;"15",LEFT(M1451,2)&lt;&gt;"33"))),"x","")</f>
        <v/>
      </c>
      <c r="X1451" s="51" t="str">
        <f>IF(AND(OR(LEFT(TH!L1451,2)="15",LEFT(TH!M1451,2)="15"),'152-CT'!$J$8=TH!F1451),"x","")</f>
        <v/>
      </c>
      <c r="Y1451" s="51" t="str">
        <f>IF(AND(OR(LEFT(TH!L1451,2)="15",LEFT(TH!M1451,2)="15"),TK!$E$7=TH!F1451),"x","")</f>
        <v/>
      </c>
      <c r="Z1451" s="51" t="str">
        <f>IF(AND(B1451&lt;=NKC!$N$8,B1451&gt;=NKC!$M$8),"x","")</f>
        <v/>
      </c>
      <c r="AA1451" s="826"/>
      <c r="AB1451" s="565"/>
    </row>
    <row r="1452" spans="1:28" s="828" customFormat="1" ht="15.75" customHeight="1">
      <c r="A1452" s="804" t="str">
        <f>IF(B1452&lt;&gt;"",IF(AND(B1452&gt;=_TM1,B1452&lt;=_TM2,OR(TH!L1452="1111",TH!M1452="1111")),TH!D1452,""),"")</f>
        <v/>
      </c>
      <c r="B1452" s="820">
        <f t="shared" si="95"/>
        <v>12</v>
      </c>
      <c r="C1452" s="821">
        <f t="shared" si="96"/>
        <v>42369</v>
      </c>
      <c r="D1452" s="847" t="s">
        <v>1332</v>
      </c>
      <c r="E1452" s="821">
        <v>42369</v>
      </c>
      <c r="F1452" s="822" t="s">
        <v>1147</v>
      </c>
      <c r="G1452" s="823" t="s">
        <v>702</v>
      </c>
      <c r="H1452" s="824" t="s">
        <v>441</v>
      </c>
      <c r="I1452" s="825">
        <v>74</v>
      </c>
      <c r="J1452" s="825">
        <v>31000</v>
      </c>
      <c r="K1452" s="818">
        <f t="shared" si="94"/>
        <v>2294000</v>
      </c>
      <c r="L1452" s="819" t="s">
        <v>250</v>
      </c>
      <c r="M1452" s="819" t="s">
        <v>164</v>
      </c>
      <c r="N1452" s="51" t="str">
        <f>IF(AND('331-CT'!$E$7=TH!H1452,OR(L1452="331",M1452="331")),"331",IF(AND(OR(L1452="131",M1452="131"),H1452='131-CT'!$E$7),"131",""))</f>
        <v/>
      </c>
      <c r="O1452" s="51" t="str">
        <f>IF(AND($B1452&gt;='111'!$N$11,$B1452&lt;='111'!$O$11,OR($L1452=$O$7,$M1452=$O$7)),"x","")</f>
        <v/>
      </c>
      <c r="P1452" s="51" t="str">
        <f>IF(AND($L1452=$O$7,$B1452&lt;'111'!$N$11),"x","")</f>
        <v/>
      </c>
      <c r="Q1452" s="51" t="str">
        <f>IF(AND($M1452=$O$7,$B1452&lt;'111'!$N$11),"x","")</f>
        <v/>
      </c>
      <c r="R1452" s="51" t="str">
        <f>IF(ISERROR(FIND('112'!$M$9,G1452,1)),"",IF((AND(FIND('112'!$M$9,G1452,1)&gt;=1,$B1452&gt;='112'!$N$8,$B1452&lt;='112'!$O$8,OR($L1452='112'!$I$6,$M1452='112'!$I$6))),"x",""))</f>
        <v/>
      </c>
      <c r="S1452" s="51" t="str">
        <f>IF(ISERROR(FIND('112'!$M$9,G1452,1)),"",IF((AND(LEFT(G1452,2)=LEFT('112'!$M$9,2),B1452&lt;'112'!$N$8,$L1452='112'!$I$6)),"x",""))</f>
        <v/>
      </c>
      <c r="T1452" s="51" t="str">
        <f>IF(ISERROR(FIND('112'!$M$9,G1452,1)),"",IF((AND(RIGHT(G1452,2)=RIGHT('112'!$M$9,2),B1452&lt;'112'!$N$8,$M1452='112'!$I$6)),"x",""))</f>
        <v/>
      </c>
      <c r="U1452" s="51" t="str">
        <f>IF(AND(L1452="154",'154'!$O$5&lt;=B1452,'154'!$P$5&gt;=B1452),"154",IF(AND(L1452="632",'632'!$L$5&lt;=B1452,'632'!$M$5&gt;=B1452),"632",IF(AND(L1452="642",'642'!$N$5&lt;=B1452,'642'!$O$5&gt;=B1452),"642",IF(AND(L1452="641",'641'!$N$5&lt;=B1452,'641'!$O$5&gt;=B1452),"641",""))))</f>
        <v/>
      </c>
      <c r="V1452" s="51" t="str">
        <f>IF(OR(TH!L1452=TH!$V$7,M1452=TH!$V$7),"x","")</f>
        <v/>
      </c>
      <c r="W1452" s="51" t="str">
        <f>IF(AND(B1452&gt;='IN-NX'!$P$3,B1452&lt;='IN-NX'!$Q$3,'IN-NX'!$D$7=D1452,OR(LEFT(L1452,2)="15",AND(LEFT(M1452,2)&lt;&gt;"15",LEFT(M1452,2)&lt;&gt;"33"))),"x","")</f>
        <v/>
      </c>
      <c r="X1452" s="51" t="str">
        <f>IF(AND(OR(LEFT(TH!L1452,2)="15",LEFT(TH!M1452,2)="15"),'152-CT'!$J$8=TH!F1452),"x","")</f>
        <v/>
      </c>
      <c r="Y1452" s="51" t="str">
        <f>IF(AND(OR(LEFT(TH!L1452,2)="15",LEFT(TH!M1452,2)="15"),TK!$E$7=TH!F1452),"x","")</f>
        <v/>
      </c>
      <c r="Z1452" s="51" t="str">
        <f>IF(AND(B1452&lt;=NKC!$N$8,B1452&gt;=NKC!$M$8),"x","")</f>
        <v/>
      </c>
      <c r="AA1452" s="826"/>
      <c r="AB1452" s="565"/>
    </row>
    <row r="1453" spans="1:28" s="828" customFormat="1" ht="15.75" customHeight="1">
      <c r="A1453" s="804" t="str">
        <f>IF(B1453&lt;&gt;"",IF(AND(B1453&gt;=_TM1,B1453&lt;=_TM2,OR(TH!L1453="1111",TH!M1453="1111")),TH!D1453,""),"")</f>
        <v/>
      </c>
      <c r="B1453" s="820">
        <f t="shared" si="95"/>
        <v>12</v>
      </c>
      <c r="C1453" s="821">
        <f t="shared" si="96"/>
        <v>42369</v>
      </c>
      <c r="D1453" s="847" t="s">
        <v>1332</v>
      </c>
      <c r="E1453" s="821">
        <v>42369</v>
      </c>
      <c r="F1453" s="822" t="s">
        <v>1153</v>
      </c>
      <c r="G1453" s="823" t="s">
        <v>702</v>
      </c>
      <c r="H1453" s="824" t="s">
        <v>441</v>
      </c>
      <c r="I1453" s="825">
        <v>12</v>
      </c>
      <c r="J1453" s="825">
        <v>22400</v>
      </c>
      <c r="K1453" s="818">
        <f t="shared" si="94"/>
        <v>268800</v>
      </c>
      <c r="L1453" s="819" t="s">
        <v>250</v>
      </c>
      <c r="M1453" s="819" t="s">
        <v>164</v>
      </c>
      <c r="N1453" s="51" t="str">
        <f>IF(AND('331-CT'!$E$7=TH!H1453,OR(L1453="331",M1453="331")),"331",IF(AND(OR(L1453="131",M1453="131"),H1453='131-CT'!$E$7),"131",""))</f>
        <v/>
      </c>
      <c r="O1453" s="51" t="str">
        <f>IF(AND($B1453&gt;='111'!$N$11,$B1453&lt;='111'!$O$11,OR($L1453=$O$7,$M1453=$O$7)),"x","")</f>
        <v/>
      </c>
      <c r="P1453" s="51" t="str">
        <f>IF(AND($L1453=$O$7,$B1453&lt;'111'!$N$11),"x","")</f>
        <v/>
      </c>
      <c r="Q1453" s="51" t="str">
        <f>IF(AND($M1453=$O$7,$B1453&lt;'111'!$N$11),"x","")</f>
        <v/>
      </c>
      <c r="R1453" s="51" t="str">
        <f>IF(ISERROR(FIND('112'!$M$9,G1453,1)),"",IF((AND(FIND('112'!$M$9,G1453,1)&gt;=1,$B1453&gt;='112'!$N$8,$B1453&lt;='112'!$O$8,OR($L1453='112'!$I$6,$M1453='112'!$I$6))),"x",""))</f>
        <v/>
      </c>
      <c r="S1453" s="51" t="str">
        <f>IF(ISERROR(FIND('112'!$M$9,G1453,1)),"",IF((AND(LEFT(G1453,2)=LEFT('112'!$M$9,2),B1453&lt;'112'!$N$8,$L1453='112'!$I$6)),"x",""))</f>
        <v/>
      </c>
      <c r="T1453" s="51" t="str">
        <f>IF(ISERROR(FIND('112'!$M$9,G1453,1)),"",IF((AND(RIGHT(G1453,2)=RIGHT('112'!$M$9,2),B1453&lt;'112'!$N$8,$M1453='112'!$I$6)),"x",""))</f>
        <v/>
      </c>
      <c r="U1453" s="51" t="str">
        <f>IF(AND(L1453="154",'154'!$O$5&lt;=B1453,'154'!$P$5&gt;=B1453),"154",IF(AND(L1453="632",'632'!$L$5&lt;=B1453,'632'!$M$5&gt;=B1453),"632",IF(AND(L1453="642",'642'!$N$5&lt;=B1453,'642'!$O$5&gt;=B1453),"642",IF(AND(L1453="641",'641'!$N$5&lt;=B1453,'641'!$O$5&gt;=B1453),"641",""))))</f>
        <v/>
      </c>
      <c r="V1453" s="51" t="str">
        <f>IF(OR(TH!L1453=TH!$V$7,M1453=TH!$V$7),"x","")</f>
        <v/>
      </c>
      <c r="W1453" s="51" t="str">
        <f>IF(AND(B1453&gt;='IN-NX'!$P$3,B1453&lt;='IN-NX'!$Q$3,'IN-NX'!$D$7=D1453,OR(LEFT(L1453,2)="15",AND(LEFT(M1453,2)&lt;&gt;"15",LEFT(M1453,2)&lt;&gt;"33"))),"x","")</f>
        <v/>
      </c>
      <c r="X1453" s="51" t="str">
        <f>IF(AND(OR(LEFT(TH!L1453,2)="15",LEFT(TH!M1453,2)="15"),'152-CT'!$J$8=TH!F1453),"x","")</f>
        <v/>
      </c>
      <c r="Y1453" s="51" t="str">
        <f>IF(AND(OR(LEFT(TH!L1453,2)="15",LEFT(TH!M1453,2)="15"),TK!$E$7=TH!F1453),"x","")</f>
        <v/>
      </c>
      <c r="Z1453" s="51" t="str">
        <f>IF(AND(B1453&lt;=NKC!$N$8,B1453&gt;=NKC!$M$8),"x","")</f>
        <v/>
      </c>
      <c r="AA1453" s="826"/>
      <c r="AB1453" s="565"/>
    </row>
    <row r="1454" spans="1:28" s="828" customFormat="1" ht="15.75" customHeight="1">
      <c r="A1454" s="804" t="str">
        <f>IF(B1454&lt;&gt;"",IF(AND(B1454&gt;=_TM1,B1454&lt;=_TM2,OR(TH!L1454="1111",TH!M1454="1111")),TH!D1454,""),"")</f>
        <v/>
      </c>
      <c r="B1454" s="820">
        <f t="shared" si="95"/>
        <v>12</v>
      </c>
      <c r="C1454" s="821">
        <f t="shared" si="96"/>
        <v>42369</v>
      </c>
      <c r="D1454" s="847" t="s">
        <v>1332</v>
      </c>
      <c r="E1454" s="821">
        <v>42369</v>
      </c>
      <c r="F1454" s="822" t="s">
        <v>1148</v>
      </c>
      <c r="G1454" s="823" t="s">
        <v>702</v>
      </c>
      <c r="H1454" s="824" t="s">
        <v>441</v>
      </c>
      <c r="I1454" s="825">
        <v>72</v>
      </c>
      <c r="J1454" s="825">
        <v>30500</v>
      </c>
      <c r="K1454" s="818">
        <f t="shared" si="94"/>
        <v>2196000</v>
      </c>
      <c r="L1454" s="819" t="s">
        <v>250</v>
      </c>
      <c r="M1454" s="819" t="s">
        <v>164</v>
      </c>
      <c r="N1454" s="51" t="str">
        <f>IF(AND('331-CT'!$E$7=TH!H1454,OR(L1454="331",M1454="331")),"331",IF(AND(OR(L1454="131",M1454="131"),H1454='131-CT'!$E$7),"131",""))</f>
        <v/>
      </c>
      <c r="O1454" s="51" t="str">
        <f>IF(AND($B1454&gt;='111'!$N$11,$B1454&lt;='111'!$O$11,OR($L1454=$O$7,$M1454=$O$7)),"x","")</f>
        <v/>
      </c>
      <c r="P1454" s="51" t="str">
        <f>IF(AND($L1454=$O$7,$B1454&lt;'111'!$N$11),"x","")</f>
        <v/>
      </c>
      <c r="Q1454" s="51" t="str">
        <f>IF(AND($M1454=$O$7,$B1454&lt;'111'!$N$11),"x","")</f>
        <v/>
      </c>
      <c r="R1454" s="51" t="str">
        <f>IF(ISERROR(FIND('112'!$M$9,G1454,1)),"",IF((AND(FIND('112'!$M$9,G1454,1)&gt;=1,$B1454&gt;='112'!$N$8,$B1454&lt;='112'!$O$8,OR($L1454='112'!$I$6,$M1454='112'!$I$6))),"x",""))</f>
        <v/>
      </c>
      <c r="S1454" s="51" t="str">
        <f>IF(ISERROR(FIND('112'!$M$9,G1454,1)),"",IF((AND(LEFT(G1454,2)=LEFT('112'!$M$9,2),B1454&lt;'112'!$N$8,$L1454='112'!$I$6)),"x",""))</f>
        <v/>
      </c>
      <c r="T1454" s="51" t="str">
        <f>IF(ISERROR(FIND('112'!$M$9,G1454,1)),"",IF((AND(RIGHT(G1454,2)=RIGHT('112'!$M$9,2),B1454&lt;'112'!$N$8,$M1454='112'!$I$6)),"x",""))</f>
        <v/>
      </c>
      <c r="U1454" s="51" t="str">
        <f>IF(AND(L1454="154",'154'!$O$5&lt;=B1454,'154'!$P$5&gt;=B1454),"154",IF(AND(L1454="632",'632'!$L$5&lt;=B1454,'632'!$M$5&gt;=B1454),"632",IF(AND(L1454="642",'642'!$N$5&lt;=B1454,'642'!$O$5&gt;=B1454),"642",IF(AND(L1454="641",'641'!$N$5&lt;=B1454,'641'!$O$5&gt;=B1454),"641",""))))</f>
        <v/>
      </c>
      <c r="V1454" s="51" t="str">
        <f>IF(OR(TH!L1454=TH!$V$7,M1454=TH!$V$7),"x","")</f>
        <v/>
      </c>
      <c r="W1454" s="51" t="str">
        <f>IF(AND(B1454&gt;='IN-NX'!$P$3,B1454&lt;='IN-NX'!$Q$3,'IN-NX'!$D$7=D1454,OR(LEFT(L1454,2)="15",AND(LEFT(M1454,2)&lt;&gt;"15",LEFT(M1454,2)&lt;&gt;"33"))),"x","")</f>
        <v/>
      </c>
      <c r="X1454" s="51" t="str">
        <f>IF(AND(OR(LEFT(TH!L1454,2)="15",LEFT(TH!M1454,2)="15"),'152-CT'!$J$8=TH!F1454),"x","")</f>
        <v/>
      </c>
      <c r="Y1454" s="51" t="str">
        <f>IF(AND(OR(LEFT(TH!L1454,2)="15",LEFT(TH!M1454,2)="15"),TK!$E$7=TH!F1454),"x","")</f>
        <v/>
      </c>
      <c r="Z1454" s="51" t="str">
        <f>IF(AND(B1454&lt;=NKC!$N$8,B1454&gt;=NKC!$M$8),"x","")</f>
        <v/>
      </c>
      <c r="AA1454" s="826"/>
      <c r="AB1454" s="565"/>
    </row>
    <row r="1455" spans="1:28" s="828" customFormat="1" ht="15.75" customHeight="1">
      <c r="A1455" s="804" t="str">
        <f>IF(B1455&lt;&gt;"",IF(AND(B1455&gt;=_TM1,B1455&lt;=_TM2,OR(TH!L1455="1111",TH!M1455="1111")),TH!D1455,""),"")</f>
        <v/>
      </c>
      <c r="B1455" s="820">
        <f t="shared" si="95"/>
        <v>12</v>
      </c>
      <c r="C1455" s="821">
        <f t="shared" si="96"/>
        <v>42369</v>
      </c>
      <c r="D1455" s="847" t="s">
        <v>1333</v>
      </c>
      <c r="E1455" s="821">
        <v>42369</v>
      </c>
      <c r="F1455" s="822" t="s">
        <v>1161</v>
      </c>
      <c r="G1455" s="823" t="s">
        <v>702</v>
      </c>
      <c r="H1455" s="824" t="s">
        <v>441</v>
      </c>
      <c r="I1455" s="825">
        <v>6</v>
      </c>
      <c r="J1455" s="825">
        <v>38500</v>
      </c>
      <c r="K1455" s="818">
        <f t="shared" si="94"/>
        <v>231000</v>
      </c>
      <c r="L1455" s="819" t="s">
        <v>250</v>
      </c>
      <c r="M1455" s="819" t="s">
        <v>164</v>
      </c>
      <c r="N1455" s="51" t="str">
        <f>IF(AND('331-CT'!$E$7=TH!H1455,OR(L1455="331",M1455="331")),"331",IF(AND(OR(L1455="131",M1455="131"),H1455='131-CT'!$E$7),"131",""))</f>
        <v/>
      </c>
      <c r="O1455" s="51" t="str">
        <f>IF(AND($B1455&gt;='111'!$N$11,$B1455&lt;='111'!$O$11,OR($L1455=$O$7,$M1455=$O$7)),"x","")</f>
        <v/>
      </c>
      <c r="P1455" s="51" t="str">
        <f>IF(AND($L1455=$O$7,$B1455&lt;'111'!$N$11),"x","")</f>
        <v/>
      </c>
      <c r="Q1455" s="51" t="str">
        <f>IF(AND($M1455=$O$7,$B1455&lt;'111'!$N$11),"x","")</f>
        <v/>
      </c>
      <c r="R1455" s="51" t="str">
        <f>IF(ISERROR(FIND('112'!$M$9,G1455,1)),"",IF((AND(FIND('112'!$M$9,G1455,1)&gt;=1,$B1455&gt;='112'!$N$8,$B1455&lt;='112'!$O$8,OR($L1455='112'!$I$6,$M1455='112'!$I$6))),"x",""))</f>
        <v/>
      </c>
      <c r="S1455" s="51" t="str">
        <f>IF(ISERROR(FIND('112'!$M$9,G1455,1)),"",IF((AND(LEFT(G1455,2)=LEFT('112'!$M$9,2),B1455&lt;'112'!$N$8,$L1455='112'!$I$6)),"x",""))</f>
        <v/>
      </c>
      <c r="T1455" s="51" t="str">
        <f>IF(ISERROR(FIND('112'!$M$9,G1455,1)),"",IF((AND(RIGHT(G1455,2)=RIGHT('112'!$M$9,2),B1455&lt;'112'!$N$8,$M1455='112'!$I$6)),"x",""))</f>
        <v/>
      </c>
      <c r="U1455" s="51" t="str">
        <f>IF(AND(L1455="154",'154'!$O$5&lt;=B1455,'154'!$P$5&gt;=B1455),"154",IF(AND(L1455="632",'632'!$L$5&lt;=B1455,'632'!$M$5&gt;=B1455),"632",IF(AND(L1455="642",'642'!$N$5&lt;=B1455,'642'!$O$5&gt;=B1455),"642",IF(AND(L1455="641",'641'!$N$5&lt;=B1455,'641'!$O$5&gt;=B1455),"641",""))))</f>
        <v/>
      </c>
      <c r="V1455" s="51" t="str">
        <f>IF(OR(TH!L1455=TH!$V$7,M1455=TH!$V$7),"x","")</f>
        <v/>
      </c>
      <c r="W1455" s="51" t="str">
        <f>IF(AND(B1455&gt;='IN-NX'!$P$3,B1455&lt;='IN-NX'!$Q$3,'IN-NX'!$D$7=D1455,OR(LEFT(L1455,2)="15",AND(LEFT(M1455,2)&lt;&gt;"15",LEFT(M1455,2)&lt;&gt;"33"))),"x","")</f>
        <v/>
      </c>
      <c r="X1455" s="51" t="str">
        <f>IF(AND(OR(LEFT(TH!L1455,2)="15",LEFT(TH!M1455,2)="15"),'152-CT'!$J$8=TH!F1455),"x","")</f>
        <v/>
      </c>
      <c r="Y1455" s="51" t="str">
        <f>IF(AND(OR(LEFT(TH!L1455,2)="15",LEFT(TH!M1455,2)="15"),TK!$E$7=TH!F1455),"x","")</f>
        <v/>
      </c>
      <c r="Z1455" s="51" t="str">
        <f>IF(AND(B1455&lt;=NKC!$N$8,B1455&gt;=NKC!$M$8),"x","")</f>
        <v/>
      </c>
      <c r="AA1455" s="826"/>
      <c r="AB1455" s="565"/>
    </row>
    <row r="1456" spans="1:28" s="828" customFormat="1" ht="15.75" customHeight="1">
      <c r="A1456" s="804" t="str">
        <f>IF(B1456&lt;&gt;"",IF(AND(B1456&gt;=_TM1,B1456&lt;=_TM2,OR(TH!L1456="1111",TH!M1456="1111")),TH!D1456,""),"")</f>
        <v/>
      </c>
      <c r="B1456" s="820">
        <f t="shared" si="95"/>
        <v>12</v>
      </c>
      <c r="C1456" s="821">
        <f t="shared" si="96"/>
        <v>42369</v>
      </c>
      <c r="D1456" s="847" t="s">
        <v>1333</v>
      </c>
      <c r="E1456" s="821">
        <v>42369</v>
      </c>
      <c r="F1456" s="822" t="s">
        <v>1149</v>
      </c>
      <c r="G1456" s="823" t="s">
        <v>702</v>
      </c>
      <c r="H1456" s="824" t="s">
        <v>441</v>
      </c>
      <c r="I1456" s="825">
        <v>6</v>
      </c>
      <c r="J1456" s="825">
        <v>34500</v>
      </c>
      <c r="K1456" s="818">
        <f t="shared" si="94"/>
        <v>207000</v>
      </c>
      <c r="L1456" s="819" t="s">
        <v>250</v>
      </c>
      <c r="M1456" s="819" t="s">
        <v>164</v>
      </c>
      <c r="N1456" s="51" t="str">
        <f>IF(AND('331-CT'!$E$7=TH!H1456,OR(L1456="331",M1456="331")),"331",IF(AND(OR(L1456="131",M1456="131"),H1456='131-CT'!$E$7),"131",""))</f>
        <v/>
      </c>
      <c r="O1456" s="51" t="str">
        <f>IF(AND($B1456&gt;='111'!$N$11,$B1456&lt;='111'!$O$11,OR($L1456=$O$7,$M1456=$O$7)),"x","")</f>
        <v/>
      </c>
      <c r="P1456" s="51" t="str">
        <f>IF(AND($L1456=$O$7,$B1456&lt;'111'!$N$11),"x","")</f>
        <v/>
      </c>
      <c r="Q1456" s="51" t="str">
        <f>IF(AND($M1456=$O$7,$B1456&lt;'111'!$N$11),"x","")</f>
        <v/>
      </c>
      <c r="R1456" s="51" t="str">
        <f>IF(ISERROR(FIND('112'!$M$9,G1456,1)),"",IF((AND(FIND('112'!$M$9,G1456,1)&gt;=1,$B1456&gt;='112'!$N$8,$B1456&lt;='112'!$O$8,OR($L1456='112'!$I$6,$M1456='112'!$I$6))),"x",""))</f>
        <v/>
      </c>
      <c r="S1456" s="51" t="str">
        <f>IF(ISERROR(FIND('112'!$M$9,G1456,1)),"",IF((AND(LEFT(G1456,2)=LEFT('112'!$M$9,2),B1456&lt;'112'!$N$8,$L1456='112'!$I$6)),"x",""))</f>
        <v/>
      </c>
      <c r="T1456" s="51" t="str">
        <f>IF(ISERROR(FIND('112'!$M$9,G1456,1)),"",IF((AND(RIGHT(G1456,2)=RIGHT('112'!$M$9,2),B1456&lt;'112'!$N$8,$M1456='112'!$I$6)),"x",""))</f>
        <v/>
      </c>
      <c r="U1456" s="51" t="str">
        <f>IF(AND(L1456="154",'154'!$O$5&lt;=B1456,'154'!$P$5&gt;=B1456),"154",IF(AND(L1456="632",'632'!$L$5&lt;=B1456,'632'!$M$5&gt;=B1456),"632",IF(AND(L1456="642",'642'!$N$5&lt;=B1456,'642'!$O$5&gt;=B1456),"642",IF(AND(L1456="641",'641'!$N$5&lt;=B1456,'641'!$O$5&gt;=B1456),"641",""))))</f>
        <v/>
      </c>
      <c r="V1456" s="51" t="str">
        <f>IF(OR(TH!L1456=TH!$V$7,M1456=TH!$V$7),"x","")</f>
        <v/>
      </c>
      <c r="W1456" s="51" t="str">
        <f>IF(AND(B1456&gt;='IN-NX'!$P$3,B1456&lt;='IN-NX'!$Q$3,'IN-NX'!$D$7=D1456,OR(LEFT(L1456,2)="15",AND(LEFT(M1456,2)&lt;&gt;"15",LEFT(M1456,2)&lt;&gt;"33"))),"x","")</f>
        <v/>
      </c>
      <c r="X1456" s="51" t="str">
        <f>IF(AND(OR(LEFT(TH!L1456,2)="15",LEFT(TH!M1456,2)="15"),'152-CT'!$J$8=TH!F1456),"x","")</f>
        <v/>
      </c>
      <c r="Y1456" s="51" t="str">
        <f>IF(AND(OR(LEFT(TH!L1456,2)="15",LEFT(TH!M1456,2)="15"),TK!$E$7=TH!F1456),"x","")</f>
        <v/>
      </c>
      <c r="Z1456" s="51" t="str">
        <f>IF(AND(B1456&lt;=NKC!$N$8,B1456&gt;=NKC!$M$8),"x","")</f>
        <v/>
      </c>
      <c r="AA1456" s="826"/>
      <c r="AB1456" s="565"/>
    </row>
    <row r="1457" spans="1:28" s="828" customFormat="1" ht="15.75" customHeight="1">
      <c r="A1457" s="804" t="str">
        <f>IF(B1457&lt;&gt;"",IF(AND(B1457&gt;=_TM1,B1457&lt;=_TM2,OR(TH!L1457="1111",TH!M1457="1111")),TH!D1457,""),"")</f>
        <v/>
      </c>
      <c r="B1457" s="820">
        <f t="shared" si="95"/>
        <v>12</v>
      </c>
      <c r="C1457" s="821">
        <f t="shared" si="96"/>
        <v>42369</v>
      </c>
      <c r="D1457" s="847" t="s">
        <v>1333</v>
      </c>
      <c r="E1457" s="821">
        <v>42369</v>
      </c>
      <c r="F1457" s="822" t="s">
        <v>1174</v>
      </c>
      <c r="G1457" s="823" t="s">
        <v>702</v>
      </c>
      <c r="H1457" s="824" t="s">
        <v>441</v>
      </c>
      <c r="I1457" s="825">
        <v>12</v>
      </c>
      <c r="J1457" s="825">
        <v>36000</v>
      </c>
      <c r="K1457" s="818">
        <f t="shared" si="94"/>
        <v>432000</v>
      </c>
      <c r="L1457" s="819" t="s">
        <v>250</v>
      </c>
      <c r="M1457" s="819" t="s">
        <v>164</v>
      </c>
      <c r="N1457" s="51" t="str">
        <f>IF(AND('331-CT'!$E$7=TH!H1457,OR(L1457="331",M1457="331")),"331",IF(AND(OR(L1457="131",M1457="131"),H1457='131-CT'!$E$7),"131",""))</f>
        <v/>
      </c>
      <c r="O1457" s="51" t="str">
        <f>IF(AND($B1457&gt;='111'!$N$11,$B1457&lt;='111'!$O$11,OR($L1457=$O$7,$M1457=$O$7)),"x","")</f>
        <v/>
      </c>
      <c r="P1457" s="51" t="str">
        <f>IF(AND($L1457=$O$7,$B1457&lt;'111'!$N$11),"x","")</f>
        <v/>
      </c>
      <c r="Q1457" s="51" t="str">
        <f>IF(AND($M1457=$O$7,$B1457&lt;'111'!$N$11),"x","")</f>
        <v/>
      </c>
      <c r="R1457" s="51" t="str">
        <f>IF(ISERROR(FIND('112'!$M$9,G1457,1)),"",IF((AND(FIND('112'!$M$9,G1457,1)&gt;=1,$B1457&gt;='112'!$N$8,$B1457&lt;='112'!$O$8,OR($L1457='112'!$I$6,$M1457='112'!$I$6))),"x",""))</f>
        <v/>
      </c>
      <c r="S1457" s="51" t="str">
        <f>IF(ISERROR(FIND('112'!$M$9,G1457,1)),"",IF((AND(LEFT(G1457,2)=LEFT('112'!$M$9,2),B1457&lt;'112'!$N$8,$L1457='112'!$I$6)),"x",""))</f>
        <v/>
      </c>
      <c r="T1457" s="51" t="str">
        <f>IF(ISERROR(FIND('112'!$M$9,G1457,1)),"",IF((AND(RIGHT(G1457,2)=RIGHT('112'!$M$9,2),B1457&lt;'112'!$N$8,$M1457='112'!$I$6)),"x",""))</f>
        <v/>
      </c>
      <c r="U1457" s="51" t="str">
        <f>IF(AND(L1457="154",'154'!$O$5&lt;=B1457,'154'!$P$5&gt;=B1457),"154",IF(AND(L1457="632",'632'!$L$5&lt;=B1457,'632'!$M$5&gt;=B1457),"632",IF(AND(L1457="642",'642'!$N$5&lt;=B1457,'642'!$O$5&gt;=B1457),"642",IF(AND(L1457="641",'641'!$N$5&lt;=B1457,'641'!$O$5&gt;=B1457),"641",""))))</f>
        <v/>
      </c>
      <c r="V1457" s="51" t="str">
        <f>IF(OR(TH!L1457=TH!$V$7,M1457=TH!$V$7),"x","")</f>
        <v/>
      </c>
      <c r="W1457" s="51" t="str">
        <f>IF(AND(B1457&gt;='IN-NX'!$P$3,B1457&lt;='IN-NX'!$Q$3,'IN-NX'!$D$7=D1457,OR(LEFT(L1457,2)="15",AND(LEFT(M1457,2)&lt;&gt;"15",LEFT(M1457,2)&lt;&gt;"33"))),"x","")</f>
        <v/>
      </c>
      <c r="X1457" s="51" t="str">
        <f>IF(AND(OR(LEFT(TH!L1457,2)="15",LEFT(TH!M1457,2)="15"),'152-CT'!$J$8=TH!F1457),"x","")</f>
        <v/>
      </c>
      <c r="Y1457" s="51" t="str">
        <f>IF(AND(OR(LEFT(TH!L1457,2)="15",LEFT(TH!M1457,2)="15"),TK!$E$7=TH!F1457),"x","")</f>
        <v/>
      </c>
      <c r="Z1457" s="51" t="str">
        <f>IF(AND(B1457&lt;=NKC!$N$8,B1457&gt;=NKC!$M$8),"x","")</f>
        <v/>
      </c>
      <c r="AA1457" s="826"/>
      <c r="AB1457" s="565"/>
    </row>
    <row r="1458" spans="1:28" s="828" customFormat="1" ht="15.75" customHeight="1">
      <c r="A1458" s="804" t="str">
        <f>IF(B1458&lt;&gt;"",IF(AND(B1458&gt;=_TM1,B1458&lt;=_TM2,OR(TH!L1458="1111",TH!M1458="1111")),TH!D1458,""),"")</f>
        <v/>
      </c>
      <c r="B1458" s="820">
        <f t="shared" si="95"/>
        <v>12</v>
      </c>
      <c r="C1458" s="821">
        <f t="shared" si="96"/>
        <v>42369</v>
      </c>
      <c r="D1458" s="847" t="s">
        <v>1333</v>
      </c>
      <c r="E1458" s="821">
        <v>42369</v>
      </c>
      <c r="F1458" s="822" t="s">
        <v>1172</v>
      </c>
      <c r="G1458" s="823" t="s">
        <v>702</v>
      </c>
      <c r="H1458" s="824" t="s">
        <v>441</v>
      </c>
      <c r="I1458" s="825">
        <v>24</v>
      </c>
      <c r="J1458" s="825">
        <v>36500</v>
      </c>
      <c r="K1458" s="818">
        <f t="shared" si="94"/>
        <v>876000</v>
      </c>
      <c r="L1458" s="819" t="s">
        <v>250</v>
      </c>
      <c r="M1458" s="819" t="s">
        <v>164</v>
      </c>
      <c r="N1458" s="51" t="str">
        <f>IF(AND('331-CT'!$E$7=TH!H1458,OR(L1458="331",M1458="331")),"331",IF(AND(OR(L1458="131",M1458="131"),H1458='131-CT'!$E$7),"131",""))</f>
        <v/>
      </c>
      <c r="O1458" s="51" t="str">
        <f>IF(AND($B1458&gt;='111'!$N$11,$B1458&lt;='111'!$O$11,OR($L1458=$O$7,$M1458=$O$7)),"x","")</f>
        <v/>
      </c>
      <c r="P1458" s="51" t="str">
        <f>IF(AND($L1458=$O$7,$B1458&lt;'111'!$N$11),"x","")</f>
        <v/>
      </c>
      <c r="Q1458" s="51" t="str">
        <f>IF(AND($M1458=$O$7,$B1458&lt;'111'!$N$11),"x","")</f>
        <v/>
      </c>
      <c r="R1458" s="51" t="str">
        <f>IF(ISERROR(FIND('112'!$M$9,G1458,1)),"",IF((AND(FIND('112'!$M$9,G1458,1)&gt;=1,$B1458&gt;='112'!$N$8,$B1458&lt;='112'!$O$8,OR($L1458='112'!$I$6,$M1458='112'!$I$6))),"x",""))</f>
        <v/>
      </c>
      <c r="S1458" s="51" t="str">
        <f>IF(ISERROR(FIND('112'!$M$9,G1458,1)),"",IF((AND(LEFT(G1458,2)=LEFT('112'!$M$9,2),B1458&lt;'112'!$N$8,$L1458='112'!$I$6)),"x",""))</f>
        <v/>
      </c>
      <c r="T1458" s="51" t="str">
        <f>IF(ISERROR(FIND('112'!$M$9,G1458,1)),"",IF((AND(RIGHT(G1458,2)=RIGHT('112'!$M$9,2),B1458&lt;'112'!$N$8,$M1458='112'!$I$6)),"x",""))</f>
        <v/>
      </c>
      <c r="U1458" s="51" t="str">
        <f>IF(AND(L1458="154",'154'!$O$5&lt;=B1458,'154'!$P$5&gt;=B1458),"154",IF(AND(L1458="632",'632'!$L$5&lt;=B1458,'632'!$M$5&gt;=B1458),"632",IF(AND(L1458="642",'642'!$N$5&lt;=B1458,'642'!$O$5&gt;=B1458),"642",IF(AND(L1458="641",'641'!$N$5&lt;=B1458,'641'!$O$5&gt;=B1458),"641",""))))</f>
        <v/>
      </c>
      <c r="V1458" s="51" t="str">
        <f>IF(OR(TH!L1458=TH!$V$7,M1458=TH!$V$7),"x","")</f>
        <v/>
      </c>
      <c r="W1458" s="51" t="str">
        <f>IF(AND(B1458&gt;='IN-NX'!$P$3,B1458&lt;='IN-NX'!$Q$3,'IN-NX'!$D$7=D1458,OR(LEFT(L1458,2)="15",AND(LEFT(M1458,2)&lt;&gt;"15",LEFT(M1458,2)&lt;&gt;"33"))),"x","")</f>
        <v/>
      </c>
      <c r="X1458" s="51" t="str">
        <f>IF(AND(OR(LEFT(TH!L1458,2)="15",LEFT(TH!M1458,2)="15"),'152-CT'!$J$8=TH!F1458),"x","")</f>
        <v/>
      </c>
      <c r="Y1458" s="51" t="str">
        <f>IF(AND(OR(LEFT(TH!L1458,2)="15",LEFT(TH!M1458,2)="15"),TK!$E$7=TH!F1458),"x","")</f>
        <v/>
      </c>
      <c r="Z1458" s="51" t="str">
        <f>IF(AND(B1458&lt;=NKC!$N$8,B1458&gt;=NKC!$M$8),"x","")</f>
        <v/>
      </c>
      <c r="AA1458" s="826"/>
      <c r="AB1458" s="565"/>
    </row>
    <row r="1459" spans="1:28" s="828" customFormat="1" ht="15.75" customHeight="1">
      <c r="A1459" s="804" t="str">
        <f>IF(B1459&lt;&gt;"",IF(AND(B1459&gt;=_TM1,B1459&lt;=_TM2,OR(TH!L1459="1111",TH!M1459="1111")),TH!D1459,""),"")</f>
        <v/>
      </c>
      <c r="B1459" s="820">
        <f t="shared" si="95"/>
        <v>12</v>
      </c>
      <c r="C1459" s="821">
        <f t="shared" si="96"/>
        <v>42369</v>
      </c>
      <c r="D1459" s="847" t="s">
        <v>1333</v>
      </c>
      <c r="E1459" s="821">
        <v>42369</v>
      </c>
      <c r="F1459" s="822" t="s">
        <v>1166</v>
      </c>
      <c r="G1459" s="823" t="s">
        <v>702</v>
      </c>
      <c r="H1459" s="824" t="s">
        <v>441</v>
      </c>
      <c r="I1459" s="825">
        <v>6</v>
      </c>
      <c r="J1459" s="825">
        <v>37800</v>
      </c>
      <c r="K1459" s="818">
        <f t="shared" si="94"/>
        <v>226800</v>
      </c>
      <c r="L1459" s="819" t="s">
        <v>250</v>
      </c>
      <c r="M1459" s="819" t="s">
        <v>164</v>
      </c>
      <c r="N1459" s="51" t="str">
        <f>IF(AND('331-CT'!$E$7=TH!H1459,OR(L1459="331",M1459="331")),"331",IF(AND(OR(L1459="131",M1459="131"),H1459='131-CT'!$E$7),"131",""))</f>
        <v/>
      </c>
      <c r="O1459" s="51" t="str">
        <f>IF(AND($B1459&gt;='111'!$N$11,$B1459&lt;='111'!$O$11,OR($L1459=$O$7,$M1459=$O$7)),"x","")</f>
        <v/>
      </c>
      <c r="P1459" s="51" t="str">
        <f>IF(AND($L1459=$O$7,$B1459&lt;'111'!$N$11),"x","")</f>
        <v/>
      </c>
      <c r="Q1459" s="51" t="str">
        <f>IF(AND($M1459=$O$7,$B1459&lt;'111'!$N$11),"x","")</f>
        <v/>
      </c>
      <c r="R1459" s="51" t="str">
        <f>IF(ISERROR(FIND('112'!$M$9,G1459,1)),"",IF((AND(FIND('112'!$M$9,G1459,1)&gt;=1,$B1459&gt;='112'!$N$8,$B1459&lt;='112'!$O$8,OR($L1459='112'!$I$6,$M1459='112'!$I$6))),"x",""))</f>
        <v/>
      </c>
      <c r="S1459" s="51" t="str">
        <f>IF(ISERROR(FIND('112'!$M$9,G1459,1)),"",IF((AND(LEFT(G1459,2)=LEFT('112'!$M$9,2),B1459&lt;'112'!$N$8,$L1459='112'!$I$6)),"x",""))</f>
        <v/>
      </c>
      <c r="T1459" s="51" t="str">
        <f>IF(ISERROR(FIND('112'!$M$9,G1459,1)),"",IF((AND(RIGHT(G1459,2)=RIGHT('112'!$M$9,2),B1459&lt;'112'!$N$8,$M1459='112'!$I$6)),"x",""))</f>
        <v/>
      </c>
      <c r="U1459" s="51" t="str">
        <f>IF(AND(L1459="154",'154'!$O$5&lt;=B1459,'154'!$P$5&gt;=B1459),"154",IF(AND(L1459="632",'632'!$L$5&lt;=B1459,'632'!$M$5&gt;=B1459),"632",IF(AND(L1459="642",'642'!$N$5&lt;=B1459,'642'!$O$5&gt;=B1459),"642",IF(AND(L1459="641",'641'!$N$5&lt;=B1459,'641'!$O$5&gt;=B1459),"641",""))))</f>
        <v/>
      </c>
      <c r="V1459" s="51" t="str">
        <f>IF(OR(TH!L1459=TH!$V$7,M1459=TH!$V$7),"x","")</f>
        <v/>
      </c>
      <c r="W1459" s="51" t="str">
        <f>IF(AND(B1459&gt;='IN-NX'!$P$3,B1459&lt;='IN-NX'!$Q$3,'IN-NX'!$D$7=D1459,OR(LEFT(L1459,2)="15",AND(LEFT(M1459,2)&lt;&gt;"15",LEFT(M1459,2)&lt;&gt;"33"))),"x","")</f>
        <v/>
      </c>
      <c r="X1459" s="51" t="str">
        <f>IF(AND(OR(LEFT(TH!L1459,2)="15",LEFT(TH!M1459,2)="15"),'152-CT'!$J$8=TH!F1459),"x","")</f>
        <v/>
      </c>
      <c r="Y1459" s="51" t="str">
        <f>IF(AND(OR(LEFT(TH!L1459,2)="15",LEFT(TH!M1459,2)="15"),TK!$E$7=TH!F1459),"x","")</f>
        <v/>
      </c>
      <c r="Z1459" s="51" t="str">
        <f>IF(AND(B1459&lt;=NKC!$N$8,B1459&gt;=NKC!$M$8),"x","")</f>
        <v/>
      </c>
      <c r="AA1459" s="826"/>
      <c r="AB1459" s="565"/>
    </row>
    <row r="1460" spans="1:28" s="828" customFormat="1" ht="15.75" customHeight="1">
      <c r="A1460" s="804" t="str">
        <f>IF(B1460&lt;&gt;"",IF(AND(B1460&gt;=_TM1,B1460&lt;=_TM2,OR(TH!L1460="1111",TH!M1460="1111")),TH!D1460,""),"")</f>
        <v/>
      </c>
      <c r="B1460" s="820">
        <f t="shared" si="95"/>
        <v>12</v>
      </c>
      <c r="C1460" s="821">
        <f t="shared" si="96"/>
        <v>42369</v>
      </c>
      <c r="D1460" s="847" t="s">
        <v>1333</v>
      </c>
      <c r="E1460" s="821">
        <v>42369</v>
      </c>
      <c r="F1460" s="822" t="s">
        <v>1167</v>
      </c>
      <c r="G1460" s="823" t="s">
        <v>702</v>
      </c>
      <c r="H1460" s="824" t="s">
        <v>441</v>
      </c>
      <c r="I1460" s="825">
        <v>6</v>
      </c>
      <c r="J1460" s="825">
        <v>4300</v>
      </c>
      <c r="K1460" s="818">
        <f t="shared" si="94"/>
        <v>25800</v>
      </c>
      <c r="L1460" s="819" t="s">
        <v>250</v>
      </c>
      <c r="M1460" s="819" t="s">
        <v>164</v>
      </c>
      <c r="N1460" s="51" t="str">
        <f>IF(AND('331-CT'!$E$7=TH!H1460,OR(L1460="331",M1460="331")),"331",IF(AND(OR(L1460="131",M1460="131"),H1460='131-CT'!$E$7),"131",""))</f>
        <v/>
      </c>
      <c r="O1460" s="51" t="str">
        <f>IF(AND($B1460&gt;='111'!$N$11,$B1460&lt;='111'!$O$11,OR($L1460=$O$7,$M1460=$O$7)),"x","")</f>
        <v/>
      </c>
      <c r="P1460" s="51" t="str">
        <f>IF(AND($L1460=$O$7,$B1460&lt;'111'!$N$11),"x","")</f>
        <v/>
      </c>
      <c r="Q1460" s="51" t="str">
        <f>IF(AND($M1460=$O$7,$B1460&lt;'111'!$N$11),"x","")</f>
        <v/>
      </c>
      <c r="R1460" s="51" t="str">
        <f>IF(ISERROR(FIND('112'!$M$9,G1460,1)),"",IF((AND(FIND('112'!$M$9,G1460,1)&gt;=1,$B1460&gt;='112'!$N$8,$B1460&lt;='112'!$O$8,OR($L1460='112'!$I$6,$M1460='112'!$I$6))),"x",""))</f>
        <v/>
      </c>
      <c r="S1460" s="51" t="str">
        <f>IF(ISERROR(FIND('112'!$M$9,G1460,1)),"",IF((AND(LEFT(G1460,2)=LEFT('112'!$M$9,2),B1460&lt;'112'!$N$8,$L1460='112'!$I$6)),"x",""))</f>
        <v/>
      </c>
      <c r="T1460" s="51" t="str">
        <f>IF(ISERROR(FIND('112'!$M$9,G1460,1)),"",IF((AND(RIGHT(G1460,2)=RIGHT('112'!$M$9,2),B1460&lt;'112'!$N$8,$M1460='112'!$I$6)),"x",""))</f>
        <v/>
      </c>
      <c r="U1460" s="51" t="str">
        <f>IF(AND(L1460="154",'154'!$O$5&lt;=B1460,'154'!$P$5&gt;=B1460),"154",IF(AND(L1460="632",'632'!$L$5&lt;=B1460,'632'!$M$5&gt;=B1460),"632",IF(AND(L1460="642",'642'!$N$5&lt;=B1460,'642'!$O$5&gt;=B1460),"642",IF(AND(L1460="641",'641'!$N$5&lt;=B1460,'641'!$O$5&gt;=B1460),"641",""))))</f>
        <v/>
      </c>
      <c r="V1460" s="51" t="str">
        <f>IF(OR(TH!L1460=TH!$V$7,M1460=TH!$V$7),"x","")</f>
        <v/>
      </c>
      <c r="W1460" s="51" t="str">
        <f>IF(AND(B1460&gt;='IN-NX'!$P$3,B1460&lt;='IN-NX'!$Q$3,'IN-NX'!$D$7=D1460,OR(LEFT(L1460,2)="15",AND(LEFT(M1460,2)&lt;&gt;"15",LEFT(M1460,2)&lt;&gt;"33"))),"x","")</f>
        <v/>
      </c>
      <c r="X1460" s="51" t="str">
        <f>IF(AND(OR(LEFT(TH!L1460,2)="15",LEFT(TH!M1460,2)="15"),'152-CT'!$J$8=TH!F1460),"x","")</f>
        <v/>
      </c>
      <c r="Y1460" s="51" t="str">
        <f>IF(AND(OR(LEFT(TH!L1460,2)="15",LEFT(TH!M1460,2)="15"),TK!$E$7=TH!F1460),"x","")</f>
        <v/>
      </c>
      <c r="Z1460" s="51" t="str">
        <f>IF(AND(B1460&lt;=NKC!$N$8,B1460&gt;=NKC!$M$8),"x","")</f>
        <v/>
      </c>
      <c r="AA1460" s="826"/>
      <c r="AB1460" s="565"/>
    </row>
    <row r="1461" spans="1:28" s="828" customFormat="1" ht="15.75" customHeight="1">
      <c r="A1461" s="804" t="str">
        <f>IF(B1461&lt;&gt;"",IF(AND(B1461&gt;=_TM1,B1461&lt;=_TM2,OR(TH!L1461="1111",TH!M1461="1111")),TH!D1461,""),"")</f>
        <v/>
      </c>
      <c r="B1461" s="820">
        <f t="shared" si="95"/>
        <v>12</v>
      </c>
      <c r="C1461" s="821">
        <f t="shared" si="96"/>
        <v>42369</v>
      </c>
      <c r="D1461" s="847" t="s">
        <v>1333</v>
      </c>
      <c r="E1461" s="821">
        <v>42369</v>
      </c>
      <c r="F1461" s="822" t="s">
        <v>1146</v>
      </c>
      <c r="G1461" s="823" t="s">
        <v>702</v>
      </c>
      <c r="H1461" s="824" t="s">
        <v>441</v>
      </c>
      <c r="I1461" s="825">
        <v>36</v>
      </c>
      <c r="J1461" s="825">
        <v>45800</v>
      </c>
      <c r="K1461" s="818">
        <f t="shared" si="94"/>
        <v>1648800</v>
      </c>
      <c r="L1461" s="819" t="s">
        <v>250</v>
      </c>
      <c r="M1461" s="819" t="s">
        <v>164</v>
      </c>
      <c r="N1461" s="51" t="str">
        <f>IF(AND('331-CT'!$E$7=TH!H1461,OR(L1461="331",M1461="331")),"331",IF(AND(OR(L1461="131",M1461="131"),H1461='131-CT'!$E$7),"131",""))</f>
        <v/>
      </c>
      <c r="O1461" s="51" t="str">
        <f>IF(AND($B1461&gt;='111'!$N$11,$B1461&lt;='111'!$O$11,OR($L1461=$O$7,$M1461=$O$7)),"x","")</f>
        <v/>
      </c>
      <c r="P1461" s="51" t="str">
        <f>IF(AND($L1461=$O$7,$B1461&lt;'111'!$N$11),"x","")</f>
        <v/>
      </c>
      <c r="Q1461" s="51" t="str">
        <f>IF(AND($M1461=$O$7,$B1461&lt;'111'!$N$11),"x","")</f>
        <v/>
      </c>
      <c r="R1461" s="51" t="str">
        <f>IF(ISERROR(FIND('112'!$M$9,G1461,1)),"",IF((AND(FIND('112'!$M$9,G1461,1)&gt;=1,$B1461&gt;='112'!$N$8,$B1461&lt;='112'!$O$8,OR($L1461='112'!$I$6,$M1461='112'!$I$6))),"x",""))</f>
        <v/>
      </c>
      <c r="S1461" s="51" t="str">
        <f>IF(ISERROR(FIND('112'!$M$9,G1461,1)),"",IF((AND(LEFT(G1461,2)=LEFT('112'!$M$9,2),B1461&lt;'112'!$N$8,$L1461='112'!$I$6)),"x",""))</f>
        <v/>
      </c>
      <c r="T1461" s="51" t="str">
        <f>IF(ISERROR(FIND('112'!$M$9,G1461,1)),"",IF((AND(RIGHT(G1461,2)=RIGHT('112'!$M$9,2),B1461&lt;'112'!$N$8,$M1461='112'!$I$6)),"x",""))</f>
        <v/>
      </c>
      <c r="U1461" s="51" t="str">
        <f>IF(AND(L1461="154",'154'!$O$5&lt;=B1461,'154'!$P$5&gt;=B1461),"154",IF(AND(L1461="632",'632'!$L$5&lt;=B1461,'632'!$M$5&gt;=B1461),"632",IF(AND(L1461="642",'642'!$N$5&lt;=B1461,'642'!$O$5&gt;=B1461),"642",IF(AND(L1461="641",'641'!$N$5&lt;=B1461,'641'!$O$5&gt;=B1461),"641",""))))</f>
        <v/>
      </c>
      <c r="V1461" s="51" t="str">
        <f>IF(OR(TH!L1461=TH!$V$7,M1461=TH!$V$7),"x","")</f>
        <v/>
      </c>
      <c r="W1461" s="51" t="str">
        <f>IF(AND(B1461&gt;='IN-NX'!$P$3,B1461&lt;='IN-NX'!$Q$3,'IN-NX'!$D$7=D1461,OR(LEFT(L1461,2)="15",AND(LEFT(M1461,2)&lt;&gt;"15",LEFT(M1461,2)&lt;&gt;"33"))),"x","")</f>
        <v/>
      </c>
      <c r="X1461" s="51" t="str">
        <f>IF(AND(OR(LEFT(TH!L1461,2)="15",LEFT(TH!M1461,2)="15"),'152-CT'!$J$8=TH!F1461),"x","")</f>
        <v/>
      </c>
      <c r="Y1461" s="51" t="str">
        <f>IF(AND(OR(LEFT(TH!L1461,2)="15",LEFT(TH!M1461,2)="15"),TK!$E$7=TH!F1461),"x","")</f>
        <v/>
      </c>
      <c r="Z1461" s="51" t="str">
        <f>IF(AND(B1461&lt;=NKC!$N$8,B1461&gt;=NKC!$M$8),"x","")</f>
        <v/>
      </c>
      <c r="AA1461" s="826"/>
      <c r="AB1461" s="565"/>
    </row>
    <row r="1462" spans="1:28" s="828" customFormat="1" ht="15.75" customHeight="1">
      <c r="A1462" s="804" t="str">
        <f>IF(B1462&lt;&gt;"",IF(AND(B1462&gt;=_TM1,B1462&lt;=_TM2,OR(TH!L1462="1111",TH!M1462="1111")),TH!D1462,""),"")</f>
        <v/>
      </c>
      <c r="B1462" s="820">
        <f t="shared" si="95"/>
        <v>12</v>
      </c>
      <c r="C1462" s="821">
        <f t="shared" si="96"/>
        <v>42369</v>
      </c>
      <c r="D1462" s="847" t="s">
        <v>1333</v>
      </c>
      <c r="E1462" s="821">
        <v>42369</v>
      </c>
      <c r="F1462" s="822" t="s">
        <v>1157</v>
      </c>
      <c r="G1462" s="823" t="s">
        <v>702</v>
      </c>
      <c r="H1462" s="824" t="s">
        <v>441</v>
      </c>
      <c r="I1462" s="825">
        <v>6</v>
      </c>
      <c r="J1462" s="825">
        <v>77500</v>
      </c>
      <c r="K1462" s="818">
        <f t="shared" si="94"/>
        <v>465000</v>
      </c>
      <c r="L1462" s="819" t="s">
        <v>250</v>
      </c>
      <c r="M1462" s="819" t="s">
        <v>164</v>
      </c>
      <c r="N1462" s="51" t="str">
        <f>IF(AND('331-CT'!$E$7=TH!H1462,OR(L1462="331",M1462="331")),"331",IF(AND(OR(L1462="131",M1462="131"),H1462='131-CT'!$E$7),"131",""))</f>
        <v/>
      </c>
      <c r="O1462" s="51" t="str">
        <f>IF(AND($B1462&gt;='111'!$N$11,$B1462&lt;='111'!$O$11,OR($L1462=$O$7,$M1462=$O$7)),"x","")</f>
        <v/>
      </c>
      <c r="P1462" s="51" t="str">
        <f>IF(AND($L1462=$O$7,$B1462&lt;'111'!$N$11),"x","")</f>
        <v/>
      </c>
      <c r="Q1462" s="51" t="str">
        <f>IF(AND($M1462=$O$7,$B1462&lt;'111'!$N$11),"x","")</f>
        <v/>
      </c>
      <c r="R1462" s="51" t="str">
        <f>IF(ISERROR(FIND('112'!$M$9,G1462,1)),"",IF((AND(FIND('112'!$M$9,G1462,1)&gt;=1,$B1462&gt;='112'!$N$8,$B1462&lt;='112'!$O$8,OR($L1462='112'!$I$6,$M1462='112'!$I$6))),"x",""))</f>
        <v/>
      </c>
      <c r="S1462" s="51" t="str">
        <f>IF(ISERROR(FIND('112'!$M$9,G1462,1)),"",IF((AND(LEFT(G1462,2)=LEFT('112'!$M$9,2),B1462&lt;'112'!$N$8,$L1462='112'!$I$6)),"x",""))</f>
        <v/>
      </c>
      <c r="T1462" s="51" t="str">
        <f>IF(ISERROR(FIND('112'!$M$9,G1462,1)),"",IF((AND(RIGHT(G1462,2)=RIGHT('112'!$M$9,2),B1462&lt;'112'!$N$8,$M1462='112'!$I$6)),"x",""))</f>
        <v/>
      </c>
      <c r="U1462" s="51" t="str">
        <f>IF(AND(L1462="154",'154'!$O$5&lt;=B1462,'154'!$P$5&gt;=B1462),"154",IF(AND(L1462="632",'632'!$L$5&lt;=B1462,'632'!$M$5&gt;=B1462),"632",IF(AND(L1462="642",'642'!$N$5&lt;=B1462,'642'!$O$5&gt;=B1462),"642",IF(AND(L1462="641",'641'!$N$5&lt;=B1462,'641'!$O$5&gt;=B1462),"641",""))))</f>
        <v/>
      </c>
      <c r="V1462" s="51" t="str">
        <f>IF(OR(TH!L1462=TH!$V$7,M1462=TH!$V$7),"x","")</f>
        <v/>
      </c>
      <c r="W1462" s="51" t="str">
        <f>IF(AND(B1462&gt;='IN-NX'!$P$3,B1462&lt;='IN-NX'!$Q$3,'IN-NX'!$D$7=D1462,OR(LEFT(L1462,2)="15",AND(LEFT(M1462,2)&lt;&gt;"15",LEFT(M1462,2)&lt;&gt;"33"))),"x","")</f>
        <v/>
      </c>
      <c r="X1462" s="51" t="str">
        <f>IF(AND(OR(LEFT(TH!L1462,2)="15",LEFT(TH!M1462,2)="15"),'152-CT'!$J$8=TH!F1462),"x","")</f>
        <v/>
      </c>
      <c r="Y1462" s="51" t="str">
        <f>IF(AND(OR(LEFT(TH!L1462,2)="15",LEFT(TH!M1462,2)="15"),TK!$E$7=TH!F1462),"x","")</f>
        <v/>
      </c>
      <c r="Z1462" s="51" t="str">
        <f>IF(AND(B1462&lt;=NKC!$N$8,B1462&gt;=NKC!$M$8),"x","")</f>
        <v/>
      </c>
      <c r="AA1462" s="826"/>
      <c r="AB1462" s="565"/>
    </row>
    <row r="1463" spans="1:28" s="828" customFormat="1" ht="15.75" customHeight="1">
      <c r="A1463" s="804" t="str">
        <f>IF(B1463&lt;&gt;"",IF(AND(B1463&gt;=_TM1,B1463&lt;=_TM2,OR(TH!L1463="1111",TH!M1463="1111")),TH!D1463,""),"")</f>
        <v/>
      </c>
      <c r="B1463" s="820">
        <f t="shared" si="95"/>
        <v>12</v>
      </c>
      <c r="C1463" s="821">
        <f t="shared" si="96"/>
        <v>42369</v>
      </c>
      <c r="D1463" s="847" t="s">
        <v>1333</v>
      </c>
      <c r="E1463" s="821">
        <v>42369</v>
      </c>
      <c r="F1463" s="822" t="s">
        <v>1156</v>
      </c>
      <c r="G1463" s="823" t="s">
        <v>702</v>
      </c>
      <c r="H1463" s="824" t="s">
        <v>441</v>
      </c>
      <c r="I1463" s="825">
        <v>14</v>
      </c>
      <c r="J1463" s="825">
        <v>42300</v>
      </c>
      <c r="K1463" s="818">
        <f t="shared" si="94"/>
        <v>592200</v>
      </c>
      <c r="L1463" s="819" t="s">
        <v>250</v>
      </c>
      <c r="M1463" s="819" t="s">
        <v>164</v>
      </c>
      <c r="N1463" s="51" t="str">
        <f>IF(AND('331-CT'!$E$7=TH!H1463,OR(L1463="331",M1463="331")),"331",IF(AND(OR(L1463="131",M1463="131"),H1463='131-CT'!$E$7),"131",""))</f>
        <v/>
      </c>
      <c r="O1463" s="51" t="str">
        <f>IF(AND($B1463&gt;='111'!$N$11,$B1463&lt;='111'!$O$11,OR($L1463=$O$7,$M1463=$O$7)),"x","")</f>
        <v/>
      </c>
      <c r="P1463" s="51" t="str">
        <f>IF(AND($L1463=$O$7,$B1463&lt;'111'!$N$11),"x","")</f>
        <v/>
      </c>
      <c r="Q1463" s="51" t="str">
        <f>IF(AND($M1463=$O$7,$B1463&lt;'111'!$N$11),"x","")</f>
        <v/>
      </c>
      <c r="R1463" s="51" t="str">
        <f>IF(ISERROR(FIND('112'!$M$9,G1463,1)),"",IF((AND(FIND('112'!$M$9,G1463,1)&gt;=1,$B1463&gt;='112'!$N$8,$B1463&lt;='112'!$O$8,OR($L1463='112'!$I$6,$M1463='112'!$I$6))),"x",""))</f>
        <v/>
      </c>
      <c r="S1463" s="51" t="str">
        <f>IF(ISERROR(FIND('112'!$M$9,G1463,1)),"",IF((AND(LEFT(G1463,2)=LEFT('112'!$M$9,2),B1463&lt;'112'!$N$8,$L1463='112'!$I$6)),"x",""))</f>
        <v/>
      </c>
      <c r="T1463" s="51" t="str">
        <f>IF(ISERROR(FIND('112'!$M$9,G1463,1)),"",IF((AND(RIGHT(G1463,2)=RIGHT('112'!$M$9,2),B1463&lt;'112'!$N$8,$M1463='112'!$I$6)),"x",""))</f>
        <v/>
      </c>
      <c r="U1463" s="51" t="str">
        <f>IF(AND(L1463="154",'154'!$O$5&lt;=B1463,'154'!$P$5&gt;=B1463),"154",IF(AND(L1463="632",'632'!$L$5&lt;=B1463,'632'!$M$5&gt;=B1463),"632",IF(AND(L1463="642",'642'!$N$5&lt;=B1463,'642'!$O$5&gt;=B1463),"642",IF(AND(L1463="641",'641'!$N$5&lt;=B1463,'641'!$O$5&gt;=B1463),"641",""))))</f>
        <v/>
      </c>
      <c r="V1463" s="51" t="str">
        <f>IF(OR(TH!L1463=TH!$V$7,M1463=TH!$V$7),"x","")</f>
        <v/>
      </c>
      <c r="W1463" s="51" t="str">
        <f>IF(AND(B1463&gt;='IN-NX'!$P$3,B1463&lt;='IN-NX'!$Q$3,'IN-NX'!$D$7=D1463,OR(LEFT(L1463,2)="15",AND(LEFT(M1463,2)&lt;&gt;"15",LEFT(M1463,2)&lt;&gt;"33"))),"x","")</f>
        <v/>
      </c>
      <c r="X1463" s="51" t="str">
        <f>IF(AND(OR(LEFT(TH!L1463,2)="15",LEFT(TH!M1463,2)="15"),'152-CT'!$J$8=TH!F1463),"x","")</f>
        <v/>
      </c>
      <c r="Y1463" s="51" t="str">
        <f>IF(AND(OR(LEFT(TH!L1463,2)="15",LEFT(TH!M1463,2)="15"),TK!$E$7=TH!F1463),"x","")</f>
        <v/>
      </c>
      <c r="Z1463" s="51" t="str">
        <f>IF(AND(B1463&lt;=NKC!$N$8,B1463&gt;=NKC!$M$8),"x","")</f>
        <v/>
      </c>
      <c r="AA1463" s="826"/>
      <c r="AB1463" s="565"/>
    </row>
    <row r="1464" spans="1:28" s="828" customFormat="1" ht="15.75" customHeight="1">
      <c r="A1464" s="804" t="str">
        <f>IF(B1464&lt;&gt;"",IF(AND(B1464&gt;=_TM1,B1464&lt;=_TM2,OR(TH!L1464="1111",TH!M1464="1111")),TH!D1464,""),"")</f>
        <v/>
      </c>
      <c r="B1464" s="820">
        <f t="shared" si="95"/>
        <v>12</v>
      </c>
      <c r="C1464" s="821">
        <f t="shared" si="96"/>
        <v>42369</v>
      </c>
      <c r="D1464" s="847" t="s">
        <v>1333</v>
      </c>
      <c r="E1464" s="821">
        <v>42369</v>
      </c>
      <c r="F1464" s="822" t="s">
        <v>1155</v>
      </c>
      <c r="G1464" s="823" t="s">
        <v>702</v>
      </c>
      <c r="H1464" s="824" t="s">
        <v>441</v>
      </c>
      <c r="I1464" s="825">
        <v>18</v>
      </c>
      <c r="J1464" s="825">
        <v>42700</v>
      </c>
      <c r="K1464" s="818">
        <f t="shared" si="94"/>
        <v>768600</v>
      </c>
      <c r="L1464" s="819" t="s">
        <v>250</v>
      </c>
      <c r="M1464" s="819" t="s">
        <v>164</v>
      </c>
      <c r="N1464" s="51" t="str">
        <f>IF(AND('331-CT'!$E$7=TH!H1464,OR(L1464="331",M1464="331")),"331",IF(AND(OR(L1464="131",M1464="131"),H1464='131-CT'!$E$7),"131",""))</f>
        <v/>
      </c>
      <c r="O1464" s="51" t="str">
        <f>IF(AND($B1464&gt;='111'!$N$11,$B1464&lt;='111'!$O$11,OR($L1464=$O$7,$M1464=$O$7)),"x","")</f>
        <v/>
      </c>
      <c r="P1464" s="51" t="str">
        <f>IF(AND($L1464=$O$7,$B1464&lt;'111'!$N$11),"x","")</f>
        <v/>
      </c>
      <c r="Q1464" s="51" t="str">
        <f>IF(AND($M1464=$O$7,$B1464&lt;'111'!$N$11),"x","")</f>
        <v/>
      </c>
      <c r="R1464" s="51" t="str">
        <f>IF(ISERROR(FIND('112'!$M$9,G1464,1)),"",IF((AND(FIND('112'!$M$9,G1464,1)&gt;=1,$B1464&gt;='112'!$N$8,$B1464&lt;='112'!$O$8,OR($L1464='112'!$I$6,$M1464='112'!$I$6))),"x",""))</f>
        <v/>
      </c>
      <c r="S1464" s="51" t="str">
        <f>IF(ISERROR(FIND('112'!$M$9,G1464,1)),"",IF((AND(LEFT(G1464,2)=LEFT('112'!$M$9,2),B1464&lt;'112'!$N$8,$L1464='112'!$I$6)),"x",""))</f>
        <v/>
      </c>
      <c r="T1464" s="51" t="str">
        <f>IF(ISERROR(FIND('112'!$M$9,G1464,1)),"",IF((AND(RIGHT(G1464,2)=RIGHT('112'!$M$9,2),B1464&lt;'112'!$N$8,$M1464='112'!$I$6)),"x",""))</f>
        <v/>
      </c>
      <c r="U1464" s="51" t="str">
        <f>IF(AND(L1464="154",'154'!$O$5&lt;=B1464,'154'!$P$5&gt;=B1464),"154",IF(AND(L1464="632",'632'!$L$5&lt;=B1464,'632'!$M$5&gt;=B1464),"632",IF(AND(L1464="642",'642'!$N$5&lt;=B1464,'642'!$O$5&gt;=B1464),"642",IF(AND(L1464="641",'641'!$N$5&lt;=B1464,'641'!$O$5&gt;=B1464),"641",""))))</f>
        <v/>
      </c>
      <c r="V1464" s="51" t="str">
        <f>IF(OR(TH!L1464=TH!$V$7,M1464=TH!$V$7),"x","")</f>
        <v/>
      </c>
      <c r="W1464" s="51" t="str">
        <f>IF(AND(B1464&gt;='IN-NX'!$P$3,B1464&lt;='IN-NX'!$Q$3,'IN-NX'!$D$7=D1464,OR(LEFT(L1464,2)="15",AND(LEFT(M1464,2)&lt;&gt;"15",LEFT(M1464,2)&lt;&gt;"33"))),"x","")</f>
        <v/>
      </c>
      <c r="X1464" s="51" t="str">
        <f>IF(AND(OR(LEFT(TH!L1464,2)="15",LEFT(TH!M1464,2)="15"),'152-CT'!$J$8=TH!F1464),"x","")</f>
        <v/>
      </c>
      <c r="Y1464" s="51" t="str">
        <f>IF(AND(OR(LEFT(TH!L1464,2)="15",LEFT(TH!M1464,2)="15"),TK!$E$7=TH!F1464),"x","")</f>
        <v/>
      </c>
      <c r="Z1464" s="51" t="str">
        <f>IF(AND(B1464&lt;=NKC!$N$8,B1464&gt;=NKC!$M$8),"x","")</f>
        <v/>
      </c>
      <c r="AA1464" s="826"/>
      <c r="AB1464" s="565"/>
    </row>
    <row r="1465" spans="1:28" s="828" customFormat="1" ht="15.75" customHeight="1">
      <c r="A1465" s="804" t="str">
        <f>IF(B1465&lt;&gt;"",IF(AND(B1465&gt;=_TM1,B1465&lt;=_TM2,OR(TH!L1465="1111",TH!M1465="1111")),TH!D1465,""),"")</f>
        <v/>
      </c>
      <c r="B1465" s="820">
        <f t="shared" si="95"/>
        <v>12</v>
      </c>
      <c r="C1465" s="821">
        <f t="shared" si="96"/>
        <v>42369</v>
      </c>
      <c r="D1465" s="847" t="s">
        <v>1333</v>
      </c>
      <c r="E1465" s="821">
        <v>42369</v>
      </c>
      <c r="F1465" s="822" t="s">
        <v>1145</v>
      </c>
      <c r="G1465" s="823" t="s">
        <v>702</v>
      </c>
      <c r="H1465" s="824" t="s">
        <v>441</v>
      </c>
      <c r="I1465" s="825">
        <v>14</v>
      </c>
      <c r="J1465" s="825">
        <v>57800</v>
      </c>
      <c r="K1465" s="818">
        <f t="shared" si="94"/>
        <v>809200</v>
      </c>
      <c r="L1465" s="819" t="s">
        <v>250</v>
      </c>
      <c r="M1465" s="819" t="s">
        <v>164</v>
      </c>
      <c r="N1465" s="51" t="str">
        <f>IF(AND('331-CT'!$E$7=TH!H1465,OR(L1465="331",M1465="331")),"331",IF(AND(OR(L1465="131",M1465="131"),H1465='131-CT'!$E$7),"131",""))</f>
        <v/>
      </c>
      <c r="O1465" s="51" t="str">
        <f>IF(AND($B1465&gt;='111'!$N$11,$B1465&lt;='111'!$O$11,OR($L1465=$O$7,$M1465=$O$7)),"x","")</f>
        <v/>
      </c>
      <c r="P1465" s="51" t="str">
        <f>IF(AND($L1465=$O$7,$B1465&lt;'111'!$N$11),"x","")</f>
        <v/>
      </c>
      <c r="Q1465" s="51" t="str">
        <f>IF(AND($M1465=$O$7,$B1465&lt;'111'!$N$11),"x","")</f>
        <v/>
      </c>
      <c r="R1465" s="51" t="str">
        <f>IF(ISERROR(FIND('112'!$M$9,G1465,1)),"",IF((AND(FIND('112'!$M$9,G1465,1)&gt;=1,$B1465&gt;='112'!$N$8,$B1465&lt;='112'!$O$8,OR($L1465='112'!$I$6,$M1465='112'!$I$6))),"x",""))</f>
        <v/>
      </c>
      <c r="S1465" s="51" t="str">
        <f>IF(ISERROR(FIND('112'!$M$9,G1465,1)),"",IF((AND(LEFT(G1465,2)=LEFT('112'!$M$9,2),B1465&lt;'112'!$N$8,$L1465='112'!$I$6)),"x",""))</f>
        <v/>
      </c>
      <c r="T1465" s="51" t="str">
        <f>IF(ISERROR(FIND('112'!$M$9,G1465,1)),"",IF((AND(RIGHT(G1465,2)=RIGHT('112'!$M$9,2),B1465&lt;'112'!$N$8,$M1465='112'!$I$6)),"x",""))</f>
        <v/>
      </c>
      <c r="U1465" s="51" t="str">
        <f>IF(AND(L1465="154",'154'!$O$5&lt;=B1465,'154'!$P$5&gt;=B1465),"154",IF(AND(L1465="632",'632'!$L$5&lt;=B1465,'632'!$M$5&gt;=B1465),"632",IF(AND(L1465="642",'642'!$N$5&lt;=B1465,'642'!$O$5&gt;=B1465),"642",IF(AND(L1465="641",'641'!$N$5&lt;=B1465,'641'!$O$5&gt;=B1465),"641",""))))</f>
        <v/>
      </c>
      <c r="V1465" s="51" t="str">
        <f>IF(OR(TH!L1465=TH!$V$7,M1465=TH!$V$7),"x","")</f>
        <v/>
      </c>
      <c r="W1465" s="51" t="str">
        <f>IF(AND(B1465&gt;='IN-NX'!$P$3,B1465&lt;='IN-NX'!$Q$3,'IN-NX'!$D$7=D1465,OR(LEFT(L1465,2)="15",AND(LEFT(M1465,2)&lt;&gt;"15",LEFT(M1465,2)&lt;&gt;"33"))),"x","")</f>
        <v/>
      </c>
      <c r="X1465" s="51" t="str">
        <f>IF(AND(OR(LEFT(TH!L1465,2)="15",LEFT(TH!M1465,2)="15"),'152-CT'!$J$8=TH!F1465),"x","")</f>
        <v/>
      </c>
      <c r="Y1465" s="51" t="str">
        <f>IF(AND(OR(LEFT(TH!L1465,2)="15",LEFT(TH!M1465,2)="15"),TK!$E$7=TH!F1465),"x","")</f>
        <v/>
      </c>
      <c r="Z1465" s="51" t="str">
        <f>IF(AND(B1465&lt;=NKC!$N$8,B1465&gt;=NKC!$M$8),"x","")</f>
        <v/>
      </c>
      <c r="AA1465" s="826"/>
      <c r="AB1465" s="565"/>
    </row>
    <row r="1466" spans="1:28" s="828" customFormat="1" ht="15.75" customHeight="1">
      <c r="A1466" s="804" t="str">
        <f>IF(B1466&lt;&gt;"",IF(AND(B1466&gt;=_TM1,B1466&lt;=_TM2,OR(TH!L1466="1111",TH!M1466="1111")),TH!D1466,""),"")</f>
        <v/>
      </c>
      <c r="B1466" s="820">
        <f t="shared" si="95"/>
        <v>12</v>
      </c>
      <c r="C1466" s="821">
        <f t="shared" si="96"/>
        <v>42369</v>
      </c>
      <c r="D1466" s="847" t="s">
        <v>1526</v>
      </c>
      <c r="E1466" s="821">
        <v>42369</v>
      </c>
      <c r="F1466" s="822" t="s">
        <v>1173</v>
      </c>
      <c r="G1466" s="823" t="s">
        <v>702</v>
      </c>
      <c r="H1466" s="824" t="s">
        <v>441</v>
      </c>
      <c r="I1466" s="825">
        <v>12</v>
      </c>
      <c r="J1466" s="825">
        <v>45500</v>
      </c>
      <c r="K1466" s="818">
        <f t="shared" si="94"/>
        <v>546000</v>
      </c>
      <c r="L1466" s="819" t="s">
        <v>250</v>
      </c>
      <c r="M1466" s="819" t="s">
        <v>164</v>
      </c>
      <c r="N1466" s="51" t="str">
        <f>IF(AND('331-CT'!$E$7=TH!H1466,OR(L1466="331",M1466="331")),"331",IF(AND(OR(L1466="131",M1466="131"),H1466='131-CT'!$E$7),"131",""))</f>
        <v/>
      </c>
      <c r="O1466" s="51" t="str">
        <f>IF(AND($B1466&gt;='111'!$N$11,$B1466&lt;='111'!$O$11,OR($L1466=$O$7,$M1466=$O$7)),"x","")</f>
        <v/>
      </c>
      <c r="P1466" s="51" t="str">
        <f>IF(AND($L1466=$O$7,$B1466&lt;'111'!$N$11),"x","")</f>
        <v/>
      </c>
      <c r="Q1466" s="51" t="str">
        <f>IF(AND($M1466=$O$7,$B1466&lt;'111'!$N$11),"x","")</f>
        <v/>
      </c>
      <c r="R1466" s="51" t="str">
        <f>IF(ISERROR(FIND('112'!$M$9,G1466,1)),"",IF((AND(FIND('112'!$M$9,G1466,1)&gt;=1,$B1466&gt;='112'!$N$8,$B1466&lt;='112'!$O$8,OR($L1466='112'!$I$6,$M1466='112'!$I$6))),"x",""))</f>
        <v/>
      </c>
      <c r="S1466" s="51" t="str">
        <f>IF(ISERROR(FIND('112'!$M$9,G1466,1)),"",IF((AND(LEFT(G1466,2)=LEFT('112'!$M$9,2),B1466&lt;'112'!$N$8,$L1466='112'!$I$6)),"x",""))</f>
        <v/>
      </c>
      <c r="T1466" s="51" t="str">
        <f>IF(ISERROR(FIND('112'!$M$9,G1466,1)),"",IF((AND(RIGHT(G1466,2)=RIGHT('112'!$M$9,2),B1466&lt;'112'!$N$8,$M1466='112'!$I$6)),"x",""))</f>
        <v/>
      </c>
      <c r="U1466" s="51" t="str">
        <f>IF(AND(L1466="154",'154'!$O$5&lt;=B1466,'154'!$P$5&gt;=B1466),"154",IF(AND(L1466="632",'632'!$L$5&lt;=B1466,'632'!$M$5&gt;=B1466),"632",IF(AND(L1466="642",'642'!$N$5&lt;=B1466,'642'!$O$5&gt;=B1466),"642",IF(AND(L1466="641",'641'!$N$5&lt;=B1466,'641'!$O$5&gt;=B1466),"641",""))))</f>
        <v/>
      </c>
      <c r="V1466" s="51" t="str">
        <f>IF(OR(TH!L1466=TH!$V$7,M1466=TH!$V$7),"x","")</f>
        <v/>
      </c>
      <c r="W1466" s="51" t="str">
        <f>IF(AND(B1466&gt;='IN-NX'!$P$3,B1466&lt;='IN-NX'!$Q$3,'IN-NX'!$D$7=D1466,OR(LEFT(L1466,2)="15",AND(LEFT(M1466,2)&lt;&gt;"15",LEFT(M1466,2)&lt;&gt;"33"))),"x","")</f>
        <v/>
      </c>
      <c r="X1466" s="51" t="str">
        <f>IF(AND(OR(LEFT(TH!L1466,2)="15",LEFT(TH!M1466,2)="15"),'152-CT'!$J$8=TH!F1466),"x","")</f>
        <v/>
      </c>
      <c r="Y1466" s="51" t="str">
        <f>IF(AND(OR(LEFT(TH!L1466,2)="15",LEFT(TH!M1466,2)="15"),TK!$E$7=TH!F1466),"x","")</f>
        <v/>
      </c>
      <c r="Z1466" s="51" t="str">
        <f>IF(AND(B1466&lt;=NKC!$N$8,B1466&gt;=NKC!$M$8),"x","")</f>
        <v/>
      </c>
      <c r="AA1466" s="826"/>
      <c r="AB1466" s="565"/>
    </row>
    <row r="1467" spans="1:28" s="828" customFormat="1" ht="15.75" customHeight="1">
      <c r="A1467" s="804" t="str">
        <f>IF(B1467&lt;&gt;"",IF(AND(B1467&gt;=_TM1,B1467&lt;=_TM2,OR(TH!L1467="1111",TH!M1467="1111")),TH!D1467,""),"")</f>
        <v/>
      </c>
      <c r="B1467" s="820">
        <f t="shared" si="95"/>
        <v>12</v>
      </c>
      <c r="C1467" s="821">
        <f t="shared" si="96"/>
        <v>42369</v>
      </c>
      <c r="D1467" s="847" t="s">
        <v>1526</v>
      </c>
      <c r="E1467" s="821">
        <v>42369</v>
      </c>
      <c r="F1467" s="822" t="s">
        <v>1150</v>
      </c>
      <c r="G1467" s="823" t="s">
        <v>702</v>
      </c>
      <c r="H1467" s="824" t="s">
        <v>441</v>
      </c>
      <c r="I1467" s="825">
        <v>8</v>
      </c>
      <c r="J1467" s="825">
        <v>38200</v>
      </c>
      <c r="K1467" s="818">
        <f t="shared" si="94"/>
        <v>305600</v>
      </c>
      <c r="L1467" s="819" t="s">
        <v>250</v>
      </c>
      <c r="M1467" s="819" t="s">
        <v>164</v>
      </c>
      <c r="N1467" s="51" t="str">
        <f>IF(AND('331-CT'!$E$7=TH!H1467,OR(L1467="331",M1467="331")),"331",IF(AND(OR(L1467="131",M1467="131"),H1467='131-CT'!$E$7),"131",""))</f>
        <v/>
      </c>
      <c r="O1467" s="51" t="str">
        <f>IF(AND($B1467&gt;='111'!$N$11,$B1467&lt;='111'!$O$11,OR($L1467=$O$7,$M1467=$O$7)),"x","")</f>
        <v/>
      </c>
      <c r="P1467" s="51" t="str">
        <f>IF(AND($L1467=$O$7,$B1467&lt;'111'!$N$11),"x","")</f>
        <v/>
      </c>
      <c r="Q1467" s="51" t="str">
        <f>IF(AND($M1467=$O$7,$B1467&lt;'111'!$N$11),"x","")</f>
        <v/>
      </c>
      <c r="R1467" s="51" t="str">
        <f>IF(ISERROR(FIND('112'!$M$9,G1467,1)),"",IF((AND(FIND('112'!$M$9,G1467,1)&gt;=1,$B1467&gt;='112'!$N$8,$B1467&lt;='112'!$O$8,OR($L1467='112'!$I$6,$M1467='112'!$I$6))),"x",""))</f>
        <v/>
      </c>
      <c r="S1467" s="51" t="str">
        <f>IF(ISERROR(FIND('112'!$M$9,G1467,1)),"",IF((AND(LEFT(G1467,2)=LEFT('112'!$M$9,2),B1467&lt;'112'!$N$8,$L1467='112'!$I$6)),"x",""))</f>
        <v/>
      </c>
      <c r="T1467" s="51" t="str">
        <f>IF(ISERROR(FIND('112'!$M$9,G1467,1)),"",IF((AND(RIGHT(G1467,2)=RIGHT('112'!$M$9,2),B1467&lt;'112'!$N$8,$M1467='112'!$I$6)),"x",""))</f>
        <v/>
      </c>
      <c r="U1467" s="51" t="str">
        <f>IF(AND(L1467="154",'154'!$O$5&lt;=B1467,'154'!$P$5&gt;=B1467),"154",IF(AND(L1467="632",'632'!$L$5&lt;=B1467,'632'!$M$5&gt;=B1467),"632",IF(AND(L1467="642",'642'!$N$5&lt;=B1467,'642'!$O$5&gt;=B1467),"642",IF(AND(L1467="641",'641'!$N$5&lt;=B1467,'641'!$O$5&gt;=B1467),"641",""))))</f>
        <v/>
      </c>
      <c r="V1467" s="51" t="str">
        <f>IF(OR(TH!L1467=TH!$V$7,M1467=TH!$V$7),"x","")</f>
        <v/>
      </c>
      <c r="W1467" s="51" t="str">
        <f>IF(AND(B1467&gt;='IN-NX'!$P$3,B1467&lt;='IN-NX'!$Q$3,'IN-NX'!$D$7=D1467,OR(LEFT(L1467,2)="15",AND(LEFT(M1467,2)&lt;&gt;"15",LEFT(M1467,2)&lt;&gt;"33"))),"x","")</f>
        <v/>
      </c>
      <c r="X1467" s="51" t="str">
        <f>IF(AND(OR(LEFT(TH!L1467,2)="15",LEFT(TH!M1467,2)="15"),'152-CT'!$J$8=TH!F1467),"x","")</f>
        <v/>
      </c>
      <c r="Y1467" s="51" t="str">
        <f>IF(AND(OR(LEFT(TH!L1467,2)="15",LEFT(TH!M1467,2)="15"),TK!$E$7=TH!F1467),"x","")</f>
        <v/>
      </c>
      <c r="Z1467" s="51" t="str">
        <f>IF(AND(B1467&lt;=NKC!$N$8,B1467&gt;=NKC!$M$8),"x","")</f>
        <v/>
      </c>
      <c r="AA1467" s="826"/>
      <c r="AB1467" s="565"/>
    </row>
    <row r="1468" spans="1:28" s="828" customFormat="1" ht="15.75" customHeight="1">
      <c r="A1468" s="804" t="str">
        <f>IF(B1468&lt;&gt;"",IF(AND(B1468&gt;=_TM1,B1468&lt;=_TM2,OR(TH!L1468="1111",TH!M1468="1111")),TH!D1468,""),"")</f>
        <v/>
      </c>
      <c r="B1468" s="820">
        <f t="shared" si="95"/>
        <v>12</v>
      </c>
      <c r="C1468" s="821">
        <f t="shared" si="96"/>
        <v>42369</v>
      </c>
      <c r="D1468" s="847" t="s">
        <v>1526</v>
      </c>
      <c r="E1468" s="821">
        <v>42369</v>
      </c>
      <c r="F1468" s="822" t="s">
        <v>1159</v>
      </c>
      <c r="G1468" s="823" t="s">
        <v>702</v>
      </c>
      <c r="H1468" s="824" t="s">
        <v>441</v>
      </c>
      <c r="I1468" s="825">
        <v>30</v>
      </c>
      <c r="J1468" s="825">
        <v>48200</v>
      </c>
      <c r="K1468" s="818">
        <f t="shared" si="94"/>
        <v>1446000</v>
      </c>
      <c r="L1468" s="819" t="s">
        <v>250</v>
      </c>
      <c r="M1468" s="819" t="s">
        <v>164</v>
      </c>
      <c r="N1468" s="51" t="str">
        <f>IF(AND('331-CT'!$E$7=TH!H1468,OR(L1468="331",M1468="331")),"331",IF(AND(OR(L1468="131",M1468="131"),H1468='131-CT'!$E$7),"131",""))</f>
        <v/>
      </c>
      <c r="O1468" s="51" t="str">
        <f>IF(AND($B1468&gt;='111'!$N$11,$B1468&lt;='111'!$O$11,OR($L1468=$O$7,$M1468=$O$7)),"x","")</f>
        <v/>
      </c>
      <c r="P1468" s="51" t="str">
        <f>IF(AND($L1468=$O$7,$B1468&lt;'111'!$N$11),"x","")</f>
        <v/>
      </c>
      <c r="Q1468" s="51" t="str">
        <f>IF(AND($M1468=$O$7,$B1468&lt;'111'!$N$11),"x","")</f>
        <v/>
      </c>
      <c r="R1468" s="51" t="str">
        <f>IF(ISERROR(FIND('112'!$M$9,G1468,1)),"",IF((AND(FIND('112'!$M$9,G1468,1)&gt;=1,$B1468&gt;='112'!$N$8,$B1468&lt;='112'!$O$8,OR($L1468='112'!$I$6,$M1468='112'!$I$6))),"x",""))</f>
        <v/>
      </c>
      <c r="S1468" s="51" t="str">
        <f>IF(ISERROR(FIND('112'!$M$9,G1468,1)),"",IF((AND(LEFT(G1468,2)=LEFT('112'!$M$9,2),B1468&lt;'112'!$N$8,$L1468='112'!$I$6)),"x",""))</f>
        <v/>
      </c>
      <c r="T1468" s="51" t="str">
        <f>IF(ISERROR(FIND('112'!$M$9,G1468,1)),"",IF((AND(RIGHT(G1468,2)=RIGHT('112'!$M$9,2),B1468&lt;'112'!$N$8,$M1468='112'!$I$6)),"x",""))</f>
        <v/>
      </c>
      <c r="U1468" s="51" t="str">
        <f>IF(AND(L1468="154",'154'!$O$5&lt;=B1468,'154'!$P$5&gt;=B1468),"154",IF(AND(L1468="632",'632'!$L$5&lt;=B1468,'632'!$M$5&gt;=B1468),"632",IF(AND(L1468="642",'642'!$N$5&lt;=B1468,'642'!$O$5&gt;=B1468),"642",IF(AND(L1468="641",'641'!$N$5&lt;=B1468,'641'!$O$5&gt;=B1468),"641",""))))</f>
        <v/>
      </c>
      <c r="V1468" s="51" t="str">
        <f>IF(OR(TH!L1468=TH!$V$7,M1468=TH!$V$7),"x","")</f>
        <v/>
      </c>
      <c r="W1468" s="51" t="str">
        <f>IF(AND(B1468&gt;='IN-NX'!$P$3,B1468&lt;='IN-NX'!$Q$3,'IN-NX'!$D$7=D1468,OR(LEFT(L1468,2)="15",AND(LEFT(M1468,2)&lt;&gt;"15",LEFT(M1468,2)&lt;&gt;"33"))),"x","")</f>
        <v/>
      </c>
      <c r="X1468" s="51" t="str">
        <f>IF(AND(OR(LEFT(TH!L1468,2)="15",LEFT(TH!M1468,2)="15"),'152-CT'!$J$8=TH!F1468),"x","")</f>
        <v/>
      </c>
      <c r="Y1468" s="51" t="str">
        <f>IF(AND(OR(LEFT(TH!L1468,2)="15",LEFT(TH!M1468,2)="15"),TK!$E$7=TH!F1468),"x","")</f>
        <v/>
      </c>
      <c r="Z1468" s="51" t="str">
        <f>IF(AND(B1468&lt;=NKC!$N$8,B1468&gt;=NKC!$M$8),"x","")</f>
        <v/>
      </c>
      <c r="AA1468" s="826"/>
      <c r="AB1468" s="565"/>
    </row>
    <row r="1469" spans="1:28" s="828" customFormat="1" ht="15.75" customHeight="1">
      <c r="A1469" s="804" t="str">
        <f>IF(B1469&lt;&gt;"",IF(AND(B1469&gt;=_TM1,B1469&lt;=_TM2,OR(TH!L1469="1111",TH!M1469="1111")),TH!D1469,""),"")</f>
        <v/>
      </c>
      <c r="B1469" s="820">
        <f t="shared" si="95"/>
        <v>12</v>
      </c>
      <c r="C1469" s="821">
        <f t="shared" si="96"/>
        <v>42369</v>
      </c>
      <c r="D1469" s="847" t="s">
        <v>1526</v>
      </c>
      <c r="E1469" s="821">
        <v>42369</v>
      </c>
      <c r="F1469" s="822" t="s">
        <v>1163</v>
      </c>
      <c r="G1469" s="823" t="s">
        <v>702</v>
      </c>
      <c r="H1469" s="824" t="s">
        <v>441</v>
      </c>
      <c r="I1469" s="825">
        <v>7</v>
      </c>
      <c r="J1469" s="825">
        <v>47500</v>
      </c>
      <c r="K1469" s="818">
        <f t="shared" si="94"/>
        <v>332500</v>
      </c>
      <c r="L1469" s="819" t="s">
        <v>250</v>
      </c>
      <c r="M1469" s="819" t="s">
        <v>164</v>
      </c>
      <c r="N1469" s="51" t="str">
        <f>IF(AND('331-CT'!$E$7=TH!H1469,OR(L1469="331",M1469="331")),"331",IF(AND(OR(L1469="131",M1469="131"),H1469='131-CT'!$E$7),"131",""))</f>
        <v/>
      </c>
      <c r="O1469" s="51" t="str">
        <f>IF(AND($B1469&gt;='111'!$N$11,$B1469&lt;='111'!$O$11,OR($L1469=$O$7,$M1469=$O$7)),"x","")</f>
        <v/>
      </c>
      <c r="P1469" s="51" t="str">
        <f>IF(AND($L1469=$O$7,$B1469&lt;'111'!$N$11),"x","")</f>
        <v/>
      </c>
      <c r="Q1469" s="51" t="str">
        <f>IF(AND($M1469=$O$7,$B1469&lt;'111'!$N$11),"x","")</f>
        <v/>
      </c>
      <c r="R1469" s="51" t="str">
        <f>IF(ISERROR(FIND('112'!$M$9,G1469,1)),"",IF((AND(FIND('112'!$M$9,G1469,1)&gt;=1,$B1469&gt;='112'!$N$8,$B1469&lt;='112'!$O$8,OR($L1469='112'!$I$6,$M1469='112'!$I$6))),"x",""))</f>
        <v/>
      </c>
      <c r="S1469" s="51" t="str">
        <f>IF(ISERROR(FIND('112'!$M$9,G1469,1)),"",IF((AND(LEFT(G1469,2)=LEFT('112'!$M$9,2),B1469&lt;'112'!$N$8,$L1469='112'!$I$6)),"x",""))</f>
        <v/>
      </c>
      <c r="T1469" s="51" t="str">
        <f>IF(ISERROR(FIND('112'!$M$9,G1469,1)),"",IF((AND(RIGHT(G1469,2)=RIGHT('112'!$M$9,2),B1469&lt;'112'!$N$8,$M1469='112'!$I$6)),"x",""))</f>
        <v/>
      </c>
      <c r="U1469" s="51" t="str">
        <f>IF(AND(L1469="154",'154'!$O$5&lt;=B1469,'154'!$P$5&gt;=B1469),"154",IF(AND(L1469="632",'632'!$L$5&lt;=B1469,'632'!$M$5&gt;=B1469),"632",IF(AND(L1469="642",'642'!$N$5&lt;=B1469,'642'!$O$5&gt;=B1469),"642",IF(AND(L1469="641",'641'!$N$5&lt;=B1469,'641'!$O$5&gt;=B1469),"641",""))))</f>
        <v/>
      </c>
      <c r="V1469" s="51" t="str">
        <f>IF(OR(TH!L1469=TH!$V$7,M1469=TH!$V$7),"x","")</f>
        <v/>
      </c>
      <c r="W1469" s="51" t="str">
        <f>IF(AND(B1469&gt;='IN-NX'!$P$3,B1469&lt;='IN-NX'!$Q$3,'IN-NX'!$D$7=D1469,OR(LEFT(L1469,2)="15",AND(LEFT(M1469,2)&lt;&gt;"15",LEFT(M1469,2)&lt;&gt;"33"))),"x","")</f>
        <v/>
      </c>
      <c r="X1469" s="51" t="str">
        <f>IF(AND(OR(LEFT(TH!L1469,2)="15",LEFT(TH!M1469,2)="15"),'152-CT'!$J$8=TH!F1469),"x","")</f>
        <v/>
      </c>
      <c r="Y1469" s="51" t="str">
        <f>IF(AND(OR(LEFT(TH!L1469,2)="15",LEFT(TH!M1469,2)="15"),TK!$E$7=TH!F1469),"x","")</f>
        <v/>
      </c>
      <c r="Z1469" s="51" t="str">
        <f>IF(AND(B1469&lt;=NKC!$N$8,B1469&gt;=NKC!$M$8),"x","")</f>
        <v/>
      </c>
      <c r="AA1469" s="826"/>
      <c r="AB1469" s="565"/>
    </row>
    <row r="1470" spans="1:28" s="828" customFormat="1" ht="15.75" customHeight="1">
      <c r="A1470" s="804" t="str">
        <f>IF(B1470&lt;&gt;"",IF(AND(B1470&gt;=_TM1,B1470&lt;=_TM2,OR(TH!L1470="1111",TH!M1470="1111")),TH!D1470,""),"")</f>
        <v/>
      </c>
      <c r="B1470" s="820">
        <f t="shared" si="95"/>
        <v>12</v>
      </c>
      <c r="C1470" s="821">
        <f t="shared" si="96"/>
        <v>42369</v>
      </c>
      <c r="D1470" s="847" t="s">
        <v>1526</v>
      </c>
      <c r="E1470" s="821">
        <v>42369</v>
      </c>
      <c r="F1470" s="822" t="s">
        <v>1169</v>
      </c>
      <c r="G1470" s="823" t="s">
        <v>702</v>
      </c>
      <c r="H1470" s="824" t="s">
        <v>441</v>
      </c>
      <c r="I1470" s="825">
        <v>8</v>
      </c>
      <c r="J1470" s="825">
        <v>73300</v>
      </c>
      <c r="K1470" s="818">
        <f t="shared" si="94"/>
        <v>586400</v>
      </c>
      <c r="L1470" s="819" t="s">
        <v>250</v>
      </c>
      <c r="M1470" s="819" t="s">
        <v>164</v>
      </c>
      <c r="N1470" s="51" t="str">
        <f>IF(AND('331-CT'!$E$7=TH!H1470,OR(L1470="331",M1470="331")),"331",IF(AND(OR(L1470="131",M1470="131"),H1470='131-CT'!$E$7),"131",""))</f>
        <v/>
      </c>
      <c r="O1470" s="51" t="str">
        <f>IF(AND($B1470&gt;='111'!$N$11,$B1470&lt;='111'!$O$11,OR($L1470=$O$7,$M1470=$O$7)),"x","")</f>
        <v/>
      </c>
      <c r="P1470" s="51" t="str">
        <f>IF(AND($L1470=$O$7,$B1470&lt;'111'!$N$11),"x","")</f>
        <v/>
      </c>
      <c r="Q1470" s="51" t="str">
        <f>IF(AND($M1470=$O$7,$B1470&lt;'111'!$N$11),"x","")</f>
        <v/>
      </c>
      <c r="R1470" s="51" t="str">
        <f>IF(ISERROR(FIND('112'!$M$9,G1470,1)),"",IF((AND(FIND('112'!$M$9,G1470,1)&gt;=1,$B1470&gt;='112'!$N$8,$B1470&lt;='112'!$O$8,OR($L1470='112'!$I$6,$M1470='112'!$I$6))),"x",""))</f>
        <v/>
      </c>
      <c r="S1470" s="51" t="str">
        <f>IF(ISERROR(FIND('112'!$M$9,G1470,1)),"",IF((AND(LEFT(G1470,2)=LEFT('112'!$M$9,2),B1470&lt;'112'!$N$8,$L1470='112'!$I$6)),"x",""))</f>
        <v/>
      </c>
      <c r="T1470" s="51" t="str">
        <f>IF(ISERROR(FIND('112'!$M$9,G1470,1)),"",IF((AND(RIGHT(G1470,2)=RIGHT('112'!$M$9,2),B1470&lt;'112'!$N$8,$M1470='112'!$I$6)),"x",""))</f>
        <v/>
      </c>
      <c r="U1470" s="51" t="str">
        <f>IF(AND(L1470="154",'154'!$O$5&lt;=B1470,'154'!$P$5&gt;=B1470),"154",IF(AND(L1470="632",'632'!$L$5&lt;=B1470,'632'!$M$5&gt;=B1470),"632",IF(AND(L1470="642",'642'!$N$5&lt;=B1470,'642'!$O$5&gt;=B1470),"642",IF(AND(L1470="641",'641'!$N$5&lt;=B1470,'641'!$O$5&gt;=B1470),"641",""))))</f>
        <v/>
      </c>
      <c r="V1470" s="51" t="str">
        <f>IF(OR(TH!L1470=TH!$V$7,M1470=TH!$V$7),"x","")</f>
        <v/>
      </c>
      <c r="W1470" s="51" t="str">
        <f>IF(AND(B1470&gt;='IN-NX'!$P$3,B1470&lt;='IN-NX'!$Q$3,'IN-NX'!$D$7=D1470,OR(LEFT(L1470,2)="15",AND(LEFT(M1470,2)&lt;&gt;"15",LEFT(M1470,2)&lt;&gt;"33"))),"x","")</f>
        <v/>
      </c>
      <c r="X1470" s="51" t="str">
        <f>IF(AND(OR(LEFT(TH!L1470,2)="15",LEFT(TH!M1470,2)="15"),'152-CT'!$J$8=TH!F1470),"x","")</f>
        <v/>
      </c>
      <c r="Y1470" s="51" t="str">
        <f>IF(AND(OR(LEFT(TH!L1470,2)="15",LEFT(TH!M1470,2)="15"),TK!$E$7=TH!F1470),"x","")</f>
        <v/>
      </c>
      <c r="Z1470" s="51" t="str">
        <f>IF(AND(B1470&lt;=NKC!$N$8,B1470&gt;=NKC!$M$8),"x","")</f>
        <v/>
      </c>
      <c r="AA1470" s="826"/>
      <c r="AB1470" s="565"/>
    </row>
    <row r="1471" spans="1:28" s="828" customFormat="1" ht="15.75" customHeight="1">
      <c r="A1471" s="804" t="str">
        <f>IF(B1471&lt;&gt;"",IF(AND(B1471&gt;=_TM1,B1471&lt;=_TM2,OR(TH!L1471="1111",TH!M1471="1111")),TH!D1471,""),"")</f>
        <v/>
      </c>
      <c r="B1471" s="820">
        <f t="shared" si="95"/>
        <v>12</v>
      </c>
      <c r="C1471" s="821">
        <f t="shared" si="96"/>
        <v>42369</v>
      </c>
      <c r="D1471" s="847" t="s">
        <v>1526</v>
      </c>
      <c r="E1471" s="821">
        <v>42369</v>
      </c>
      <c r="F1471" s="822" t="s">
        <v>1158</v>
      </c>
      <c r="G1471" s="823" t="s">
        <v>702</v>
      </c>
      <c r="H1471" s="824" t="s">
        <v>441</v>
      </c>
      <c r="I1471" s="825">
        <v>24</v>
      </c>
      <c r="J1471" s="825">
        <v>72000</v>
      </c>
      <c r="K1471" s="818">
        <f t="shared" si="94"/>
        <v>1728000</v>
      </c>
      <c r="L1471" s="819" t="s">
        <v>250</v>
      </c>
      <c r="M1471" s="819" t="s">
        <v>164</v>
      </c>
      <c r="N1471" s="51" t="str">
        <f>IF(AND('331-CT'!$E$7=TH!H1471,OR(L1471="331",M1471="331")),"331",IF(AND(OR(L1471="131",M1471="131"),H1471='131-CT'!$E$7),"131",""))</f>
        <v/>
      </c>
      <c r="O1471" s="51" t="str">
        <f>IF(AND($B1471&gt;='111'!$N$11,$B1471&lt;='111'!$O$11,OR($L1471=$O$7,$M1471=$O$7)),"x","")</f>
        <v/>
      </c>
      <c r="P1471" s="51" t="str">
        <f>IF(AND($L1471=$O$7,$B1471&lt;'111'!$N$11),"x","")</f>
        <v/>
      </c>
      <c r="Q1471" s="51" t="str">
        <f>IF(AND($M1471=$O$7,$B1471&lt;'111'!$N$11),"x","")</f>
        <v/>
      </c>
      <c r="R1471" s="51" t="str">
        <f>IF(ISERROR(FIND('112'!$M$9,G1471,1)),"",IF((AND(FIND('112'!$M$9,G1471,1)&gt;=1,$B1471&gt;='112'!$N$8,$B1471&lt;='112'!$O$8,OR($L1471='112'!$I$6,$M1471='112'!$I$6))),"x",""))</f>
        <v/>
      </c>
      <c r="S1471" s="51" t="str">
        <f>IF(ISERROR(FIND('112'!$M$9,G1471,1)),"",IF((AND(LEFT(G1471,2)=LEFT('112'!$M$9,2),B1471&lt;'112'!$N$8,$L1471='112'!$I$6)),"x",""))</f>
        <v/>
      </c>
      <c r="T1471" s="51" t="str">
        <f>IF(ISERROR(FIND('112'!$M$9,G1471,1)),"",IF((AND(RIGHT(G1471,2)=RIGHT('112'!$M$9,2),B1471&lt;'112'!$N$8,$M1471='112'!$I$6)),"x",""))</f>
        <v/>
      </c>
      <c r="U1471" s="51" t="str">
        <f>IF(AND(L1471="154",'154'!$O$5&lt;=B1471,'154'!$P$5&gt;=B1471),"154",IF(AND(L1471="632",'632'!$L$5&lt;=B1471,'632'!$M$5&gt;=B1471),"632",IF(AND(L1471="642",'642'!$N$5&lt;=B1471,'642'!$O$5&gt;=B1471),"642",IF(AND(L1471="641",'641'!$N$5&lt;=B1471,'641'!$O$5&gt;=B1471),"641",""))))</f>
        <v/>
      </c>
      <c r="V1471" s="51" t="str">
        <f>IF(OR(TH!L1471=TH!$V$7,M1471=TH!$V$7),"x","")</f>
        <v/>
      </c>
      <c r="W1471" s="51" t="str">
        <f>IF(AND(B1471&gt;='IN-NX'!$P$3,B1471&lt;='IN-NX'!$Q$3,'IN-NX'!$D$7=D1471,OR(LEFT(L1471,2)="15",AND(LEFT(M1471,2)&lt;&gt;"15",LEFT(M1471,2)&lt;&gt;"33"))),"x","")</f>
        <v/>
      </c>
      <c r="X1471" s="51" t="str">
        <f>IF(AND(OR(LEFT(TH!L1471,2)="15",LEFT(TH!M1471,2)="15"),'152-CT'!$J$8=TH!F1471),"x","")</f>
        <v/>
      </c>
      <c r="Y1471" s="51" t="str">
        <f>IF(AND(OR(LEFT(TH!L1471,2)="15",LEFT(TH!M1471,2)="15"),TK!$E$7=TH!F1471),"x","")</f>
        <v/>
      </c>
      <c r="Z1471" s="51" t="str">
        <f>IF(AND(B1471&lt;=NKC!$N$8,B1471&gt;=NKC!$M$8),"x","")</f>
        <v/>
      </c>
      <c r="AA1471" s="826"/>
      <c r="AB1471" s="565"/>
    </row>
    <row r="1472" spans="1:28" s="828" customFormat="1" ht="15.75" customHeight="1">
      <c r="A1472" s="804" t="str">
        <f>IF(B1472&lt;&gt;"",IF(AND(B1472&gt;=_TM1,B1472&lt;=_TM2,OR(TH!L1472="1111",TH!M1472="1111")),TH!D1472,""),"")</f>
        <v/>
      </c>
      <c r="B1472" s="820">
        <f t="shared" si="95"/>
        <v>12</v>
      </c>
      <c r="C1472" s="821">
        <f t="shared" si="96"/>
        <v>42369</v>
      </c>
      <c r="D1472" s="847" t="s">
        <v>1526</v>
      </c>
      <c r="E1472" s="821">
        <v>42369</v>
      </c>
      <c r="F1472" s="822" t="s">
        <v>1171</v>
      </c>
      <c r="G1472" s="823" t="s">
        <v>702</v>
      </c>
      <c r="H1472" s="824" t="s">
        <v>441</v>
      </c>
      <c r="I1472" s="825">
        <v>8</v>
      </c>
      <c r="J1472" s="825">
        <v>67000</v>
      </c>
      <c r="K1472" s="818">
        <f t="shared" si="94"/>
        <v>536000</v>
      </c>
      <c r="L1472" s="819" t="s">
        <v>250</v>
      </c>
      <c r="M1472" s="819" t="s">
        <v>164</v>
      </c>
      <c r="N1472" s="51" t="str">
        <f>IF(AND('331-CT'!$E$7=TH!H1472,OR(L1472="331",M1472="331")),"331",IF(AND(OR(L1472="131",M1472="131"),H1472='131-CT'!$E$7),"131",""))</f>
        <v/>
      </c>
      <c r="O1472" s="51" t="str">
        <f>IF(AND($B1472&gt;='111'!$N$11,$B1472&lt;='111'!$O$11,OR($L1472=$O$7,$M1472=$O$7)),"x","")</f>
        <v/>
      </c>
      <c r="P1472" s="51" t="str">
        <f>IF(AND($L1472=$O$7,$B1472&lt;'111'!$N$11),"x","")</f>
        <v/>
      </c>
      <c r="Q1472" s="51" t="str">
        <f>IF(AND($M1472=$O$7,$B1472&lt;'111'!$N$11),"x","")</f>
        <v/>
      </c>
      <c r="R1472" s="51" t="str">
        <f>IF(ISERROR(FIND('112'!$M$9,G1472,1)),"",IF((AND(FIND('112'!$M$9,G1472,1)&gt;=1,$B1472&gt;='112'!$N$8,$B1472&lt;='112'!$O$8,OR($L1472='112'!$I$6,$M1472='112'!$I$6))),"x",""))</f>
        <v/>
      </c>
      <c r="S1472" s="51" t="str">
        <f>IF(ISERROR(FIND('112'!$M$9,G1472,1)),"",IF((AND(LEFT(G1472,2)=LEFT('112'!$M$9,2),B1472&lt;'112'!$N$8,$L1472='112'!$I$6)),"x",""))</f>
        <v/>
      </c>
      <c r="T1472" s="51" t="str">
        <f>IF(ISERROR(FIND('112'!$M$9,G1472,1)),"",IF((AND(RIGHT(G1472,2)=RIGHT('112'!$M$9,2),B1472&lt;'112'!$N$8,$M1472='112'!$I$6)),"x",""))</f>
        <v/>
      </c>
      <c r="U1472" s="51" t="str">
        <f>IF(AND(L1472="154",'154'!$O$5&lt;=B1472,'154'!$P$5&gt;=B1472),"154",IF(AND(L1472="632",'632'!$L$5&lt;=B1472,'632'!$M$5&gt;=B1472),"632",IF(AND(L1472="642",'642'!$N$5&lt;=B1472,'642'!$O$5&gt;=B1472),"642",IF(AND(L1472="641",'641'!$N$5&lt;=B1472,'641'!$O$5&gt;=B1472),"641",""))))</f>
        <v/>
      </c>
      <c r="V1472" s="51" t="str">
        <f>IF(OR(TH!L1472=TH!$V$7,M1472=TH!$V$7),"x","")</f>
        <v/>
      </c>
      <c r="W1472" s="51" t="str">
        <f>IF(AND(B1472&gt;='IN-NX'!$P$3,B1472&lt;='IN-NX'!$Q$3,'IN-NX'!$D$7=D1472,OR(LEFT(L1472,2)="15",AND(LEFT(M1472,2)&lt;&gt;"15",LEFT(M1472,2)&lt;&gt;"33"))),"x","")</f>
        <v/>
      </c>
      <c r="X1472" s="51" t="str">
        <f>IF(AND(OR(LEFT(TH!L1472,2)="15",LEFT(TH!M1472,2)="15"),'152-CT'!$J$8=TH!F1472),"x","")</f>
        <v/>
      </c>
      <c r="Y1472" s="51" t="str">
        <f>IF(AND(OR(LEFT(TH!L1472,2)="15",LEFT(TH!M1472,2)="15"),TK!$E$7=TH!F1472),"x","")</f>
        <v/>
      </c>
      <c r="Z1472" s="51" t="str">
        <f>IF(AND(B1472&lt;=NKC!$N$8,B1472&gt;=NKC!$M$8),"x","")</f>
        <v/>
      </c>
      <c r="AA1472" s="826"/>
      <c r="AB1472" s="565"/>
    </row>
    <row r="1473" spans="1:31" s="828" customFormat="1" ht="15.75" customHeight="1">
      <c r="A1473" s="804" t="str">
        <f>IF(B1473&lt;&gt;"",IF(AND(B1473&gt;=_TM1,B1473&lt;=_TM2,OR(TH!L1473="1111",TH!M1473="1111")),TH!D1473,""),"")</f>
        <v/>
      </c>
      <c r="B1473" s="820">
        <f t="shared" si="95"/>
        <v>12</v>
      </c>
      <c r="C1473" s="821">
        <f t="shared" si="96"/>
        <v>42369</v>
      </c>
      <c r="D1473" s="847" t="s">
        <v>1526</v>
      </c>
      <c r="E1473" s="821">
        <v>42369</v>
      </c>
      <c r="F1473" s="822" t="s">
        <v>1162</v>
      </c>
      <c r="G1473" s="823" t="s">
        <v>702</v>
      </c>
      <c r="H1473" s="824" t="s">
        <v>441</v>
      </c>
      <c r="I1473" s="825">
        <v>10</v>
      </c>
      <c r="J1473" s="825">
        <v>71200</v>
      </c>
      <c r="K1473" s="818">
        <f t="shared" si="94"/>
        <v>712000</v>
      </c>
      <c r="L1473" s="819" t="s">
        <v>250</v>
      </c>
      <c r="M1473" s="819" t="s">
        <v>164</v>
      </c>
      <c r="N1473" s="51" t="str">
        <f>IF(AND('331-CT'!$E$7=TH!H1473,OR(L1473="331",M1473="331")),"331",IF(AND(OR(L1473="131",M1473="131"),H1473='131-CT'!$E$7),"131",""))</f>
        <v/>
      </c>
      <c r="O1473" s="51" t="str">
        <f>IF(AND($B1473&gt;='111'!$N$11,$B1473&lt;='111'!$O$11,OR($L1473=$O$7,$M1473=$O$7)),"x","")</f>
        <v/>
      </c>
      <c r="P1473" s="51" t="str">
        <f>IF(AND($L1473=$O$7,$B1473&lt;'111'!$N$11),"x","")</f>
        <v/>
      </c>
      <c r="Q1473" s="51" t="str">
        <f>IF(AND($M1473=$O$7,$B1473&lt;'111'!$N$11),"x","")</f>
        <v/>
      </c>
      <c r="R1473" s="51" t="str">
        <f>IF(ISERROR(FIND('112'!$M$9,G1473,1)),"",IF((AND(FIND('112'!$M$9,G1473,1)&gt;=1,$B1473&gt;='112'!$N$8,$B1473&lt;='112'!$O$8,OR($L1473='112'!$I$6,$M1473='112'!$I$6))),"x",""))</f>
        <v/>
      </c>
      <c r="S1473" s="51" t="str">
        <f>IF(ISERROR(FIND('112'!$M$9,G1473,1)),"",IF((AND(LEFT(G1473,2)=LEFT('112'!$M$9,2),B1473&lt;'112'!$N$8,$L1473='112'!$I$6)),"x",""))</f>
        <v/>
      </c>
      <c r="T1473" s="51" t="str">
        <f>IF(ISERROR(FIND('112'!$M$9,G1473,1)),"",IF((AND(RIGHT(G1473,2)=RIGHT('112'!$M$9,2),B1473&lt;'112'!$N$8,$M1473='112'!$I$6)),"x",""))</f>
        <v/>
      </c>
      <c r="U1473" s="51" t="str">
        <f>IF(AND(L1473="154",'154'!$O$5&lt;=B1473,'154'!$P$5&gt;=B1473),"154",IF(AND(L1473="632",'632'!$L$5&lt;=B1473,'632'!$M$5&gt;=B1473),"632",IF(AND(L1473="642",'642'!$N$5&lt;=B1473,'642'!$O$5&gt;=B1473),"642",IF(AND(L1473="641",'641'!$N$5&lt;=B1473,'641'!$O$5&gt;=B1473),"641",""))))</f>
        <v/>
      </c>
      <c r="V1473" s="51" t="str">
        <f>IF(OR(TH!L1473=TH!$V$7,M1473=TH!$V$7),"x","")</f>
        <v/>
      </c>
      <c r="W1473" s="51" t="str">
        <f>IF(AND(B1473&gt;='IN-NX'!$P$3,B1473&lt;='IN-NX'!$Q$3,'IN-NX'!$D$7=D1473,OR(LEFT(L1473,2)="15",AND(LEFT(M1473,2)&lt;&gt;"15",LEFT(M1473,2)&lt;&gt;"33"))),"x","")</f>
        <v/>
      </c>
      <c r="X1473" s="51" t="str">
        <f>IF(AND(OR(LEFT(TH!L1473,2)="15",LEFT(TH!M1473,2)="15"),'152-CT'!$J$8=TH!F1473),"x","")</f>
        <v/>
      </c>
      <c r="Y1473" s="51" t="str">
        <f>IF(AND(OR(LEFT(TH!L1473,2)="15",LEFT(TH!M1473,2)="15"),TK!$E$7=TH!F1473),"x","")</f>
        <v/>
      </c>
      <c r="Z1473" s="51" t="str">
        <f>IF(AND(B1473&lt;=NKC!$N$8,B1473&gt;=NKC!$M$8),"x","")</f>
        <v/>
      </c>
      <c r="AA1473" s="826"/>
      <c r="AB1473" s="565"/>
    </row>
    <row r="1474" spans="1:31" s="828" customFormat="1" ht="15.75" customHeight="1">
      <c r="A1474" s="804" t="str">
        <f>IF(B1474&lt;&gt;"",IF(AND(B1474&gt;=_TM1,B1474&lt;=_TM2,OR(TH!L1474="1111",TH!M1474="1111")),TH!D1474,""),"")</f>
        <v/>
      </c>
      <c r="B1474" s="820">
        <f t="shared" si="95"/>
        <v>12</v>
      </c>
      <c r="C1474" s="821">
        <f t="shared" si="96"/>
        <v>42369</v>
      </c>
      <c r="D1474" s="847" t="s">
        <v>1526</v>
      </c>
      <c r="E1474" s="821">
        <v>42369</v>
      </c>
      <c r="F1474" s="822" t="s">
        <v>1170</v>
      </c>
      <c r="G1474" s="823" t="s">
        <v>702</v>
      </c>
      <c r="H1474" s="824" t="s">
        <v>441</v>
      </c>
      <c r="I1474" s="825">
        <v>7</v>
      </c>
      <c r="J1474" s="825">
        <v>85500</v>
      </c>
      <c r="K1474" s="818">
        <f t="shared" si="94"/>
        <v>598500</v>
      </c>
      <c r="L1474" s="819" t="s">
        <v>250</v>
      </c>
      <c r="M1474" s="819" t="s">
        <v>164</v>
      </c>
      <c r="N1474" s="51" t="str">
        <f>IF(AND('331-CT'!$E$7=TH!H1474,OR(L1474="331",M1474="331")),"331",IF(AND(OR(L1474="131",M1474="131"),H1474='131-CT'!$E$7),"131",""))</f>
        <v/>
      </c>
      <c r="O1474" s="51" t="str">
        <f>IF(AND($B1474&gt;='111'!$N$11,$B1474&lt;='111'!$O$11,OR($L1474=$O$7,$M1474=$O$7)),"x","")</f>
        <v/>
      </c>
      <c r="P1474" s="51" t="str">
        <f>IF(AND($L1474=$O$7,$B1474&lt;'111'!$N$11),"x","")</f>
        <v/>
      </c>
      <c r="Q1474" s="51" t="str">
        <f>IF(AND($M1474=$O$7,$B1474&lt;'111'!$N$11),"x","")</f>
        <v/>
      </c>
      <c r="R1474" s="51" t="str">
        <f>IF(ISERROR(FIND('112'!$M$9,G1474,1)),"",IF((AND(FIND('112'!$M$9,G1474,1)&gt;=1,$B1474&gt;='112'!$N$8,$B1474&lt;='112'!$O$8,OR($L1474='112'!$I$6,$M1474='112'!$I$6))),"x",""))</f>
        <v/>
      </c>
      <c r="S1474" s="51" t="str">
        <f>IF(ISERROR(FIND('112'!$M$9,G1474,1)),"",IF((AND(LEFT(G1474,2)=LEFT('112'!$M$9,2),B1474&lt;'112'!$N$8,$L1474='112'!$I$6)),"x",""))</f>
        <v/>
      </c>
      <c r="T1474" s="51" t="str">
        <f>IF(ISERROR(FIND('112'!$M$9,G1474,1)),"",IF((AND(RIGHT(G1474,2)=RIGHT('112'!$M$9,2),B1474&lt;'112'!$N$8,$M1474='112'!$I$6)),"x",""))</f>
        <v/>
      </c>
      <c r="U1474" s="51" t="str">
        <f>IF(AND(L1474="154",'154'!$O$5&lt;=B1474,'154'!$P$5&gt;=B1474),"154",IF(AND(L1474="632",'632'!$L$5&lt;=B1474,'632'!$M$5&gt;=B1474),"632",IF(AND(L1474="642",'642'!$N$5&lt;=B1474,'642'!$O$5&gt;=B1474),"642",IF(AND(L1474="641",'641'!$N$5&lt;=B1474,'641'!$O$5&gt;=B1474),"641",""))))</f>
        <v/>
      </c>
      <c r="V1474" s="51" t="str">
        <f>IF(OR(TH!L1474=TH!$V$7,M1474=TH!$V$7),"x","")</f>
        <v/>
      </c>
      <c r="W1474" s="51" t="str">
        <f>IF(AND(B1474&gt;='IN-NX'!$P$3,B1474&lt;='IN-NX'!$Q$3,'IN-NX'!$D$7=D1474,OR(LEFT(L1474,2)="15",AND(LEFT(M1474,2)&lt;&gt;"15",LEFT(M1474,2)&lt;&gt;"33"))),"x","")</f>
        <v/>
      </c>
      <c r="X1474" s="51" t="str">
        <f>IF(AND(OR(LEFT(TH!L1474,2)="15",LEFT(TH!M1474,2)="15"),'152-CT'!$J$8=TH!F1474),"x","")</f>
        <v/>
      </c>
      <c r="Y1474" s="51" t="str">
        <f>IF(AND(OR(LEFT(TH!L1474,2)="15",LEFT(TH!M1474,2)="15"),TK!$E$7=TH!F1474),"x","")</f>
        <v/>
      </c>
      <c r="Z1474" s="51" t="str">
        <f>IF(AND(B1474&lt;=NKC!$N$8,B1474&gt;=NKC!$M$8),"x","")</f>
        <v/>
      </c>
      <c r="AA1474" s="826"/>
      <c r="AB1474" s="565"/>
    </row>
    <row r="1475" spans="1:31" s="828" customFormat="1" ht="15.75" customHeight="1">
      <c r="A1475" s="804" t="str">
        <f>IF(B1475&lt;&gt;"",IF(AND(B1475&gt;=_TM1,B1475&lt;=_TM2,OR(TH!L1475="1111",TH!M1475="1111")),TH!D1475,""),"")</f>
        <v/>
      </c>
      <c r="B1475" s="820">
        <f t="shared" si="95"/>
        <v>12</v>
      </c>
      <c r="C1475" s="821">
        <f t="shared" si="96"/>
        <v>42369</v>
      </c>
      <c r="D1475" s="847" t="s">
        <v>1526</v>
      </c>
      <c r="E1475" s="821">
        <v>42369</v>
      </c>
      <c r="F1475" s="822" t="s">
        <v>935</v>
      </c>
      <c r="G1475" s="823" t="s">
        <v>702</v>
      </c>
      <c r="H1475" s="824" t="s">
        <v>441</v>
      </c>
      <c r="I1475" s="825">
        <v>30</v>
      </c>
      <c r="J1475" s="825">
        <v>29223</v>
      </c>
      <c r="K1475" s="818">
        <f t="shared" si="94"/>
        <v>876690</v>
      </c>
      <c r="L1475" s="819" t="s">
        <v>250</v>
      </c>
      <c r="M1475" s="819" t="s">
        <v>164</v>
      </c>
      <c r="N1475" s="51" t="str">
        <f>IF(AND('331-CT'!$E$7=TH!H1475,OR(L1475="331",M1475="331")),"331",IF(AND(OR(L1475="131",M1475="131"),H1475='131-CT'!$E$7),"131",""))</f>
        <v/>
      </c>
      <c r="O1475" s="51" t="str">
        <f>IF(AND($B1475&gt;='111'!$N$11,$B1475&lt;='111'!$O$11,OR($L1475=$O$7,$M1475=$O$7)),"x","")</f>
        <v/>
      </c>
      <c r="P1475" s="51" t="str">
        <f>IF(AND($L1475=$O$7,$B1475&lt;'111'!$N$11),"x","")</f>
        <v/>
      </c>
      <c r="Q1475" s="51" t="str">
        <f>IF(AND($M1475=$O$7,$B1475&lt;'111'!$N$11),"x","")</f>
        <v/>
      </c>
      <c r="R1475" s="51" t="str">
        <f>IF(ISERROR(FIND('112'!$M$9,G1475,1)),"",IF((AND(FIND('112'!$M$9,G1475,1)&gt;=1,$B1475&gt;='112'!$N$8,$B1475&lt;='112'!$O$8,OR($L1475='112'!$I$6,$M1475='112'!$I$6))),"x",""))</f>
        <v/>
      </c>
      <c r="S1475" s="51" t="str">
        <f>IF(ISERROR(FIND('112'!$M$9,G1475,1)),"",IF((AND(LEFT(G1475,2)=LEFT('112'!$M$9,2),B1475&lt;'112'!$N$8,$L1475='112'!$I$6)),"x",""))</f>
        <v/>
      </c>
      <c r="T1475" s="51" t="str">
        <f>IF(ISERROR(FIND('112'!$M$9,G1475,1)),"",IF((AND(RIGHT(G1475,2)=RIGHT('112'!$M$9,2),B1475&lt;'112'!$N$8,$M1475='112'!$I$6)),"x",""))</f>
        <v/>
      </c>
      <c r="U1475" s="51" t="str">
        <f>IF(AND(L1475="154",'154'!$O$5&lt;=B1475,'154'!$P$5&gt;=B1475),"154",IF(AND(L1475="632",'632'!$L$5&lt;=B1475,'632'!$M$5&gt;=B1475),"632",IF(AND(L1475="642",'642'!$N$5&lt;=B1475,'642'!$O$5&gt;=B1475),"642",IF(AND(L1475="641",'641'!$N$5&lt;=B1475,'641'!$O$5&gt;=B1475),"641",""))))</f>
        <v/>
      </c>
      <c r="V1475" s="51" t="str">
        <f>IF(OR(TH!L1475=TH!$V$7,M1475=TH!$V$7),"x","")</f>
        <v/>
      </c>
      <c r="W1475" s="51" t="str">
        <f>IF(AND(B1475&gt;='IN-NX'!$P$3,B1475&lt;='IN-NX'!$Q$3,'IN-NX'!$D$7=D1475,OR(LEFT(L1475,2)="15",AND(LEFT(M1475,2)&lt;&gt;"15",LEFT(M1475,2)&lt;&gt;"33"))),"x","")</f>
        <v/>
      </c>
      <c r="X1475" s="51" t="str">
        <f>IF(AND(OR(LEFT(TH!L1475,2)="15",LEFT(TH!M1475,2)="15"),'152-CT'!$J$8=TH!F1475),"x","")</f>
        <v/>
      </c>
      <c r="Y1475" s="51" t="str">
        <f>IF(AND(OR(LEFT(TH!L1475,2)="15",LEFT(TH!M1475,2)="15"),TK!$E$7=TH!F1475),"x","")</f>
        <v/>
      </c>
      <c r="Z1475" s="51" t="str">
        <f>IF(AND(B1475&lt;=NKC!$N$8,B1475&gt;=NKC!$M$8),"x","")</f>
        <v/>
      </c>
      <c r="AA1475" s="826"/>
      <c r="AB1475" s="565"/>
    </row>
    <row r="1476" spans="1:31" s="828" customFormat="1" ht="15.75" customHeight="1">
      <c r="A1476" s="804" t="str">
        <f>IF(B1476&lt;&gt;"",IF(AND(B1476&gt;=_TM1,B1476&lt;=_TM2,OR(TH!L1476="1111",TH!M1476="1111")),TH!D1476,""),"")</f>
        <v/>
      </c>
      <c r="B1476" s="820">
        <f t="shared" si="95"/>
        <v>12</v>
      </c>
      <c r="C1476" s="821">
        <f t="shared" si="96"/>
        <v>42369</v>
      </c>
      <c r="D1476" s="847" t="s">
        <v>1526</v>
      </c>
      <c r="E1476" s="821">
        <v>42369</v>
      </c>
      <c r="F1476" s="822" t="s">
        <v>933</v>
      </c>
      <c r="G1476" s="823" t="s">
        <v>702</v>
      </c>
      <c r="H1476" s="824" t="s">
        <v>441</v>
      </c>
      <c r="I1476" s="825">
        <v>271</v>
      </c>
      <c r="J1476" s="825">
        <v>33332.62361623616</v>
      </c>
      <c r="K1476" s="818">
        <f t="shared" si="94"/>
        <v>9033141</v>
      </c>
      <c r="L1476" s="819" t="s">
        <v>250</v>
      </c>
      <c r="M1476" s="819" t="s">
        <v>164</v>
      </c>
      <c r="N1476" s="51" t="str">
        <f>IF(AND('331-CT'!$E$7=TH!H1476,OR(L1476="331",M1476="331")),"331",IF(AND(OR(L1476="131",M1476="131"),H1476='131-CT'!$E$7),"131",""))</f>
        <v/>
      </c>
      <c r="O1476" s="51" t="str">
        <f>IF(AND($B1476&gt;='111'!$N$11,$B1476&lt;='111'!$O$11,OR($L1476=$O$7,$M1476=$O$7)),"x","")</f>
        <v/>
      </c>
      <c r="P1476" s="51" t="str">
        <f>IF(AND($L1476=$O$7,$B1476&lt;'111'!$N$11),"x","")</f>
        <v/>
      </c>
      <c r="Q1476" s="51" t="str">
        <f>IF(AND($M1476=$O$7,$B1476&lt;'111'!$N$11),"x","")</f>
        <v/>
      </c>
      <c r="R1476" s="51" t="str">
        <f>IF(ISERROR(FIND('112'!$M$9,G1476,1)),"",IF((AND(FIND('112'!$M$9,G1476,1)&gt;=1,$B1476&gt;='112'!$N$8,$B1476&lt;='112'!$O$8,OR($L1476='112'!$I$6,$M1476='112'!$I$6))),"x",""))</f>
        <v/>
      </c>
      <c r="S1476" s="51" t="str">
        <f>IF(ISERROR(FIND('112'!$M$9,G1476,1)),"",IF((AND(LEFT(G1476,2)=LEFT('112'!$M$9,2),B1476&lt;'112'!$N$8,$L1476='112'!$I$6)),"x",""))</f>
        <v/>
      </c>
      <c r="T1476" s="51" t="str">
        <f>IF(ISERROR(FIND('112'!$M$9,G1476,1)),"",IF((AND(RIGHT(G1476,2)=RIGHT('112'!$M$9,2),B1476&lt;'112'!$N$8,$M1476='112'!$I$6)),"x",""))</f>
        <v/>
      </c>
      <c r="U1476" s="51" t="str">
        <f>IF(AND(L1476="154",'154'!$O$5&lt;=B1476,'154'!$P$5&gt;=B1476),"154",IF(AND(L1476="632",'632'!$L$5&lt;=B1476,'632'!$M$5&gt;=B1476),"632",IF(AND(L1476="642",'642'!$N$5&lt;=B1476,'642'!$O$5&gt;=B1476),"642",IF(AND(L1476="641",'641'!$N$5&lt;=B1476,'641'!$O$5&gt;=B1476),"641",""))))</f>
        <v/>
      </c>
      <c r="V1476" s="51" t="str">
        <f>IF(OR(TH!L1476=TH!$V$7,M1476=TH!$V$7),"x","")</f>
        <v/>
      </c>
      <c r="W1476" s="51" t="str">
        <f>IF(AND(B1476&gt;='IN-NX'!$P$3,B1476&lt;='IN-NX'!$Q$3,'IN-NX'!$D$7=D1476,OR(LEFT(L1476,2)="15",AND(LEFT(M1476,2)&lt;&gt;"15",LEFT(M1476,2)&lt;&gt;"33"))),"x","")</f>
        <v/>
      </c>
      <c r="X1476" s="51" t="str">
        <f>IF(AND(OR(LEFT(TH!L1476,2)="15",LEFT(TH!M1476,2)="15"),'152-CT'!$J$8=TH!F1476),"x","")</f>
        <v/>
      </c>
      <c r="Y1476" s="51" t="str">
        <f>IF(AND(OR(LEFT(TH!L1476,2)="15",LEFT(TH!M1476,2)="15"),TK!$E$7=TH!F1476),"x","")</f>
        <v/>
      </c>
      <c r="Z1476" s="51" t="str">
        <f>IF(AND(B1476&lt;=NKC!$N$8,B1476&gt;=NKC!$M$8),"x","")</f>
        <v/>
      </c>
      <c r="AA1476" s="826"/>
      <c r="AB1476" s="565"/>
    </row>
    <row r="1477" spans="1:31" s="828" customFormat="1" ht="15.75" customHeight="1">
      <c r="A1477" s="804" t="str">
        <f>IF(B1477&lt;&gt;"",IF(AND(B1477&gt;=_TM1,B1477&lt;=_TM2,OR(TH!L1477="1111",TH!M1477="1111")),TH!D1477,""),"")</f>
        <v/>
      </c>
      <c r="B1477" s="820">
        <f t="shared" si="95"/>
        <v>12</v>
      </c>
      <c r="C1477" s="821">
        <f t="shared" si="96"/>
        <v>42369</v>
      </c>
      <c r="D1477" s="847" t="s">
        <v>1527</v>
      </c>
      <c r="E1477" s="821">
        <v>42369</v>
      </c>
      <c r="F1477" s="822" t="s">
        <v>932</v>
      </c>
      <c r="G1477" s="823" t="s">
        <v>702</v>
      </c>
      <c r="H1477" s="824" t="s">
        <v>441</v>
      </c>
      <c r="I1477" s="825">
        <v>133</v>
      </c>
      <c r="J1477" s="825">
        <v>69835</v>
      </c>
      <c r="K1477" s="818">
        <f t="shared" si="94"/>
        <v>9288055</v>
      </c>
      <c r="L1477" s="819" t="s">
        <v>250</v>
      </c>
      <c r="M1477" s="819" t="s">
        <v>164</v>
      </c>
      <c r="N1477" s="51" t="str">
        <f>IF(AND('331-CT'!$E$7=TH!H1477,OR(L1477="331",M1477="331")),"331",IF(AND(OR(L1477="131",M1477="131"),H1477='131-CT'!$E$7),"131",""))</f>
        <v/>
      </c>
      <c r="O1477" s="51" t="str">
        <f>IF(AND($B1477&gt;='111'!$N$11,$B1477&lt;='111'!$O$11,OR($L1477=$O$7,$M1477=$O$7)),"x","")</f>
        <v/>
      </c>
      <c r="P1477" s="51" t="str">
        <f>IF(AND($L1477=$O$7,$B1477&lt;'111'!$N$11),"x","")</f>
        <v/>
      </c>
      <c r="Q1477" s="51" t="str">
        <f>IF(AND($M1477=$O$7,$B1477&lt;'111'!$N$11),"x","")</f>
        <v/>
      </c>
      <c r="R1477" s="51" t="str">
        <f>IF(ISERROR(FIND('112'!$M$9,G1477,1)),"",IF((AND(FIND('112'!$M$9,G1477,1)&gt;=1,$B1477&gt;='112'!$N$8,$B1477&lt;='112'!$O$8,OR($L1477='112'!$I$6,$M1477='112'!$I$6))),"x",""))</f>
        <v/>
      </c>
      <c r="S1477" s="51" t="str">
        <f>IF(ISERROR(FIND('112'!$M$9,G1477,1)),"",IF((AND(LEFT(G1477,2)=LEFT('112'!$M$9,2),B1477&lt;'112'!$N$8,$L1477='112'!$I$6)),"x",""))</f>
        <v/>
      </c>
      <c r="T1477" s="51" t="str">
        <f>IF(ISERROR(FIND('112'!$M$9,G1477,1)),"",IF((AND(RIGHT(G1477,2)=RIGHT('112'!$M$9,2),B1477&lt;'112'!$N$8,$M1477='112'!$I$6)),"x",""))</f>
        <v/>
      </c>
      <c r="U1477" s="51" t="str">
        <f>IF(AND(L1477="154",'154'!$O$5&lt;=B1477,'154'!$P$5&gt;=B1477),"154",IF(AND(L1477="632",'632'!$L$5&lt;=B1477,'632'!$M$5&gt;=B1477),"632",IF(AND(L1477="642",'642'!$N$5&lt;=B1477,'642'!$O$5&gt;=B1477),"642",IF(AND(L1477="641",'641'!$N$5&lt;=B1477,'641'!$O$5&gt;=B1477),"641",""))))</f>
        <v/>
      </c>
      <c r="V1477" s="51" t="str">
        <f>IF(OR(TH!L1477=TH!$V$7,M1477=TH!$V$7),"x","")</f>
        <v/>
      </c>
      <c r="W1477" s="51" t="str">
        <f>IF(AND(B1477&gt;='IN-NX'!$P$3,B1477&lt;='IN-NX'!$Q$3,'IN-NX'!$D$7=D1477,OR(LEFT(L1477,2)="15",AND(LEFT(M1477,2)&lt;&gt;"15",LEFT(M1477,2)&lt;&gt;"33"))),"x","")</f>
        <v/>
      </c>
      <c r="X1477" s="51" t="str">
        <f>IF(AND(OR(LEFT(TH!L1477,2)="15",LEFT(TH!M1477,2)="15"),'152-CT'!$J$8=TH!F1477),"x","")</f>
        <v/>
      </c>
      <c r="Y1477" s="51" t="str">
        <f>IF(AND(OR(LEFT(TH!L1477,2)="15",LEFT(TH!M1477,2)="15"),TK!$E$7=TH!F1477),"x","")</f>
        <v/>
      </c>
      <c r="Z1477" s="51" t="str">
        <f>IF(AND(B1477&lt;=NKC!$N$8,B1477&gt;=NKC!$M$8),"x","")</f>
        <v/>
      </c>
      <c r="AA1477" s="826"/>
      <c r="AB1477" s="565"/>
    </row>
    <row r="1478" spans="1:31" s="828" customFormat="1" ht="15.75" customHeight="1">
      <c r="A1478" s="804" t="str">
        <f>IF(B1478&lt;&gt;"",IF(AND(B1478&gt;=_TM1,B1478&lt;=_TM2,OR(TH!L1478="1111",TH!M1478="1111")),TH!D1478,""),"")</f>
        <v/>
      </c>
      <c r="B1478" s="820">
        <f t="shared" si="95"/>
        <v>12</v>
      </c>
      <c r="C1478" s="821">
        <f t="shared" si="96"/>
        <v>42369</v>
      </c>
      <c r="D1478" s="847" t="s">
        <v>1527</v>
      </c>
      <c r="E1478" s="821">
        <v>42369</v>
      </c>
      <c r="F1478" s="822" t="s">
        <v>934</v>
      </c>
      <c r="G1478" s="823" t="s">
        <v>702</v>
      </c>
      <c r="H1478" s="824" t="s">
        <v>441</v>
      </c>
      <c r="I1478" s="825">
        <v>647</v>
      </c>
      <c r="J1478" s="825">
        <v>12532</v>
      </c>
      <c r="K1478" s="818">
        <f t="shared" si="94"/>
        <v>8108204</v>
      </c>
      <c r="L1478" s="819" t="s">
        <v>250</v>
      </c>
      <c r="M1478" s="819" t="s">
        <v>164</v>
      </c>
      <c r="N1478" s="51" t="str">
        <f>IF(AND('331-CT'!$E$7=TH!H1478,OR(L1478="331",M1478="331")),"331",IF(AND(OR(L1478="131",M1478="131"),H1478='131-CT'!$E$7),"131",""))</f>
        <v/>
      </c>
      <c r="O1478" s="51" t="str">
        <f>IF(AND($B1478&gt;='111'!$N$11,$B1478&lt;='111'!$O$11,OR($L1478=$O$7,$M1478=$O$7)),"x","")</f>
        <v/>
      </c>
      <c r="P1478" s="51" t="str">
        <f>IF(AND($L1478=$O$7,$B1478&lt;'111'!$N$11),"x","")</f>
        <v/>
      </c>
      <c r="Q1478" s="51" t="str">
        <f>IF(AND($M1478=$O$7,$B1478&lt;'111'!$N$11),"x","")</f>
        <v/>
      </c>
      <c r="R1478" s="51" t="str">
        <f>IF(ISERROR(FIND('112'!$M$9,G1478,1)),"",IF((AND(FIND('112'!$M$9,G1478,1)&gt;=1,$B1478&gt;='112'!$N$8,$B1478&lt;='112'!$O$8,OR($L1478='112'!$I$6,$M1478='112'!$I$6))),"x",""))</f>
        <v/>
      </c>
      <c r="S1478" s="51" t="str">
        <f>IF(ISERROR(FIND('112'!$M$9,G1478,1)),"",IF((AND(LEFT(G1478,2)=LEFT('112'!$M$9,2),B1478&lt;'112'!$N$8,$L1478='112'!$I$6)),"x",""))</f>
        <v/>
      </c>
      <c r="T1478" s="51" t="str">
        <f>IF(ISERROR(FIND('112'!$M$9,G1478,1)),"",IF((AND(RIGHT(G1478,2)=RIGHT('112'!$M$9,2),B1478&lt;'112'!$N$8,$M1478='112'!$I$6)),"x",""))</f>
        <v/>
      </c>
      <c r="U1478" s="51" t="str">
        <f>IF(AND(L1478="154",'154'!$O$5&lt;=B1478,'154'!$P$5&gt;=B1478),"154",IF(AND(L1478="632",'632'!$L$5&lt;=B1478,'632'!$M$5&gt;=B1478),"632",IF(AND(L1478="642",'642'!$N$5&lt;=B1478,'642'!$O$5&gt;=B1478),"642",IF(AND(L1478="641",'641'!$N$5&lt;=B1478,'641'!$O$5&gt;=B1478),"641",""))))</f>
        <v/>
      </c>
      <c r="V1478" s="51" t="str">
        <f>IF(OR(TH!L1478=TH!$V$7,M1478=TH!$V$7),"x","")</f>
        <v/>
      </c>
      <c r="W1478" s="51" t="str">
        <f>IF(AND(B1478&gt;='IN-NX'!$P$3,B1478&lt;='IN-NX'!$Q$3,'IN-NX'!$D$7=D1478,OR(LEFT(L1478,2)="15",AND(LEFT(M1478,2)&lt;&gt;"15",LEFT(M1478,2)&lt;&gt;"33"))),"x","")</f>
        <v/>
      </c>
      <c r="X1478" s="51" t="str">
        <f>IF(AND(OR(LEFT(TH!L1478,2)="15",LEFT(TH!M1478,2)="15"),'152-CT'!$J$8=TH!F1478),"x","")</f>
        <v/>
      </c>
      <c r="Y1478" s="51" t="str">
        <f>IF(AND(OR(LEFT(TH!L1478,2)="15",LEFT(TH!M1478,2)="15"),TK!$E$7=TH!F1478),"x","")</f>
        <v/>
      </c>
      <c r="Z1478" s="51" t="str">
        <f>IF(AND(B1478&lt;=NKC!$N$8,B1478&gt;=NKC!$M$8),"x","")</f>
        <v/>
      </c>
      <c r="AA1478" s="826"/>
      <c r="AB1478" s="565"/>
    </row>
    <row r="1479" spans="1:31" s="828" customFormat="1" ht="15.75" customHeight="1">
      <c r="A1479" s="804" t="str">
        <f>IF(B1479&lt;&gt;"",IF(AND(B1479&gt;=_TM1,B1479&lt;=_TM2,OR(TH!L1479="1111",TH!M1479="1111")),TH!D1479,""),"")</f>
        <v/>
      </c>
      <c r="B1479" s="820">
        <f t="shared" si="95"/>
        <v>12</v>
      </c>
      <c r="C1479" s="821">
        <f t="shared" si="96"/>
        <v>42369</v>
      </c>
      <c r="D1479" s="847" t="s">
        <v>1527</v>
      </c>
      <c r="E1479" s="821">
        <v>42369</v>
      </c>
      <c r="F1479" s="822" t="s">
        <v>952</v>
      </c>
      <c r="G1479" s="823" t="s">
        <v>702</v>
      </c>
      <c r="H1479" s="824" t="s">
        <v>441</v>
      </c>
      <c r="I1479" s="825">
        <v>1500</v>
      </c>
      <c r="J1479" s="825">
        <v>11831</v>
      </c>
      <c r="K1479" s="818">
        <f t="shared" si="94"/>
        <v>17746500</v>
      </c>
      <c r="L1479" s="819" t="s">
        <v>250</v>
      </c>
      <c r="M1479" s="819" t="s">
        <v>164</v>
      </c>
      <c r="N1479" s="51" t="str">
        <f>IF(AND('331-CT'!$E$7=TH!H1479,OR(L1479="331",M1479="331")),"331",IF(AND(OR(L1479="131",M1479="131"),H1479='131-CT'!$E$7),"131",""))</f>
        <v/>
      </c>
      <c r="O1479" s="51" t="str">
        <f>IF(AND($B1479&gt;='111'!$N$11,$B1479&lt;='111'!$O$11,OR($L1479=$O$7,$M1479=$O$7)),"x","")</f>
        <v/>
      </c>
      <c r="P1479" s="51" t="str">
        <f>IF(AND($L1479=$O$7,$B1479&lt;'111'!$N$11),"x","")</f>
        <v/>
      </c>
      <c r="Q1479" s="51" t="str">
        <f>IF(AND($M1479=$O$7,$B1479&lt;'111'!$N$11),"x","")</f>
        <v/>
      </c>
      <c r="R1479" s="51" t="str">
        <f>IF(ISERROR(FIND('112'!$M$9,G1479,1)),"",IF((AND(FIND('112'!$M$9,G1479,1)&gt;=1,$B1479&gt;='112'!$N$8,$B1479&lt;='112'!$O$8,OR($L1479='112'!$I$6,$M1479='112'!$I$6))),"x",""))</f>
        <v/>
      </c>
      <c r="S1479" s="51" t="str">
        <f>IF(ISERROR(FIND('112'!$M$9,G1479,1)),"",IF((AND(LEFT(G1479,2)=LEFT('112'!$M$9,2),B1479&lt;'112'!$N$8,$L1479='112'!$I$6)),"x",""))</f>
        <v/>
      </c>
      <c r="T1479" s="51" t="str">
        <f>IF(ISERROR(FIND('112'!$M$9,G1479,1)),"",IF((AND(RIGHT(G1479,2)=RIGHT('112'!$M$9,2),B1479&lt;'112'!$N$8,$M1479='112'!$I$6)),"x",""))</f>
        <v/>
      </c>
      <c r="U1479" s="51" t="str">
        <f>IF(AND(L1479="154",'154'!$O$5&lt;=B1479,'154'!$P$5&gt;=B1479),"154",IF(AND(L1479="632",'632'!$L$5&lt;=B1479,'632'!$M$5&gt;=B1479),"632",IF(AND(L1479="642",'642'!$N$5&lt;=B1479,'642'!$O$5&gt;=B1479),"642",IF(AND(L1479="641",'641'!$N$5&lt;=B1479,'641'!$O$5&gt;=B1479),"641",""))))</f>
        <v/>
      </c>
      <c r="V1479" s="51" t="str">
        <f>IF(OR(TH!L1479=TH!$V$7,M1479=TH!$V$7),"x","")</f>
        <v/>
      </c>
      <c r="W1479" s="51" t="str">
        <f>IF(AND(B1479&gt;='IN-NX'!$P$3,B1479&lt;='IN-NX'!$Q$3,'IN-NX'!$D$7=D1479,OR(LEFT(L1479,2)="15",AND(LEFT(M1479,2)&lt;&gt;"15",LEFT(M1479,2)&lt;&gt;"33"))),"x","")</f>
        <v/>
      </c>
      <c r="X1479" s="51" t="str">
        <f>IF(AND(OR(LEFT(TH!L1479,2)="15",LEFT(TH!M1479,2)="15"),'152-CT'!$J$8=TH!F1479),"x","")</f>
        <v/>
      </c>
      <c r="Y1479" s="51" t="str">
        <f>IF(AND(OR(LEFT(TH!L1479,2)="15",LEFT(TH!M1479,2)="15"),TK!$E$7=TH!F1479),"x","")</f>
        <v/>
      </c>
      <c r="Z1479" s="51" t="str">
        <f>IF(AND(B1479&lt;=NKC!$N$8,B1479&gt;=NKC!$M$8),"x","")</f>
        <v/>
      </c>
      <c r="AA1479" s="826"/>
      <c r="AB1479" s="565"/>
    </row>
    <row r="1480" spans="1:31" s="828" customFormat="1" ht="15.75" customHeight="1">
      <c r="A1480" s="804" t="str">
        <f>IF(B1480&lt;&gt;"",IF(AND(B1480&gt;=_TM1,B1480&lt;=_TM2,OR(TH!L1480="1111",TH!M1480="1111")),TH!D1480,""),"")</f>
        <v/>
      </c>
      <c r="B1480" s="820">
        <f t="shared" si="95"/>
        <v>12</v>
      </c>
      <c r="C1480" s="821">
        <f t="shared" si="96"/>
        <v>42369</v>
      </c>
      <c r="D1480" s="847" t="s">
        <v>1527</v>
      </c>
      <c r="E1480" s="821">
        <v>42369</v>
      </c>
      <c r="F1480" s="822" t="s">
        <v>937</v>
      </c>
      <c r="G1480" s="823" t="s">
        <v>702</v>
      </c>
      <c r="H1480" s="824" t="s">
        <v>441</v>
      </c>
      <c r="I1480" s="825">
        <v>60</v>
      </c>
      <c r="J1480" s="825">
        <v>14847</v>
      </c>
      <c r="K1480" s="818">
        <f t="shared" si="94"/>
        <v>890820</v>
      </c>
      <c r="L1480" s="819" t="s">
        <v>250</v>
      </c>
      <c r="M1480" s="819" t="s">
        <v>164</v>
      </c>
      <c r="N1480" s="51" t="str">
        <f>IF(AND('331-CT'!$E$7=TH!H1480,OR(L1480="331",M1480="331")),"331",IF(AND(OR(L1480="131",M1480="131"),H1480='131-CT'!$E$7),"131",""))</f>
        <v/>
      </c>
      <c r="O1480" s="51" t="str">
        <f>IF(AND($B1480&gt;='111'!$N$11,$B1480&lt;='111'!$O$11,OR($L1480=$O$7,$M1480=$O$7)),"x","")</f>
        <v/>
      </c>
      <c r="P1480" s="51" t="str">
        <f>IF(AND($L1480=$O$7,$B1480&lt;'111'!$N$11),"x","")</f>
        <v/>
      </c>
      <c r="Q1480" s="51" t="str">
        <f>IF(AND($M1480=$O$7,$B1480&lt;'111'!$N$11),"x","")</f>
        <v/>
      </c>
      <c r="R1480" s="51" t="str">
        <f>IF(ISERROR(FIND('112'!$M$9,G1480,1)),"",IF((AND(FIND('112'!$M$9,G1480,1)&gt;=1,$B1480&gt;='112'!$N$8,$B1480&lt;='112'!$O$8,OR($L1480='112'!$I$6,$M1480='112'!$I$6))),"x",""))</f>
        <v/>
      </c>
      <c r="S1480" s="51" t="str">
        <f>IF(ISERROR(FIND('112'!$M$9,G1480,1)),"",IF((AND(LEFT(G1480,2)=LEFT('112'!$M$9,2),B1480&lt;'112'!$N$8,$L1480='112'!$I$6)),"x",""))</f>
        <v/>
      </c>
      <c r="T1480" s="51" t="str">
        <f>IF(ISERROR(FIND('112'!$M$9,G1480,1)),"",IF((AND(RIGHT(G1480,2)=RIGHT('112'!$M$9,2),B1480&lt;'112'!$N$8,$M1480='112'!$I$6)),"x",""))</f>
        <v/>
      </c>
      <c r="U1480" s="51" t="str">
        <f>IF(AND(L1480="154",'154'!$O$5&lt;=B1480,'154'!$P$5&gt;=B1480),"154",IF(AND(L1480="632",'632'!$L$5&lt;=B1480,'632'!$M$5&gt;=B1480),"632",IF(AND(L1480="642",'642'!$N$5&lt;=B1480,'642'!$O$5&gt;=B1480),"642",IF(AND(L1480="641",'641'!$N$5&lt;=B1480,'641'!$O$5&gt;=B1480),"641",""))))</f>
        <v/>
      </c>
      <c r="V1480" s="51" t="str">
        <f>IF(OR(TH!L1480=TH!$V$7,M1480=TH!$V$7),"x","")</f>
        <v/>
      </c>
      <c r="W1480" s="51" t="str">
        <f>IF(AND(B1480&gt;='IN-NX'!$P$3,B1480&lt;='IN-NX'!$Q$3,'IN-NX'!$D$7=D1480,OR(LEFT(L1480,2)="15",AND(LEFT(M1480,2)&lt;&gt;"15",LEFT(M1480,2)&lt;&gt;"33"))),"x","")</f>
        <v/>
      </c>
      <c r="X1480" s="51" t="str">
        <f>IF(AND(OR(LEFT(TH!L1480,2)="15",LEFT(TH!M1480,2)="15"),'152-CT'!$J$8=TH!F1480),"x","")</f>
        <v/>
      </c>
      <c r="Y1480" s="51" t="str">
        <f>IF(AND(OR(LEFT(TH!L1480,2)="15",LEFT(TH!M1480,2)="15"),TK!$E$7=TH!F1480),"x","")</f>
        <v/>
      </c>
      <c r="Z1480" s="51" t="str">
        <f>IF(AND(B1480&lt;=NKC!$N$8,B1480&gt;=NKC!$M$8),"x","")</f>
        <v/>
      </c>
      <c r="AA1480" s="826"/>
      <c r="AB1480" s="565"/>
    </row>
    <row r="1481" spans="1:31" s="828" customFormat="1" ht="15.75" customHeight="1">
      <c r="A1481" s="804" t="str">
        <f>IF(B1481&lt;&gt;"",IF(AND(B1481&gt;=_TM1,B1481&lt;=_TM2,OR(TH!L1481="1111",TH!M1481="1111")),TH!D1481,""),"")</f>
        <v/>
      </c>
      <c r="B1481" s="820">
        <f t="shared" si="95"/>
        <v>12</v>
      </c>
      <c r="C1481" s="821">
        <f t="shared" si="96"/>
        <v>42369</v>
      </c>
      <c r="D1481" s="847" t="s">
        <v>1527</v>
      </c>
      <c r="E1481" s="821">
        <v>42369</v>
      </c>
      <c r="F1481" s="822" t="s">
        <v>938</v>
      </c>
      <c r="G1481" s="823" t="s">
        <v>702</v>
      </c>
      <c r="H1481" s="824" t="s">
        <v>441</v>
      </c>
      <c r="I1481" s="825">
        <v>60</v>
      </c>
      <c r="J1481" s="825">
        <v>17460</v>
      </c>
      <c r="K1481" s="818">
        <f t="shared" si="94"/>
        <v>1047600</v>
      </c>
      <c r="L1481" s="819" t="s">
        <v>250</v>
      </c>
      <c r="M1481" s="819" t="s">
        <v>164</v>
      </c>
      <c r="N1481" s="51" t="str">
        <f>IF(AND('331-CT'!$E$7=TH!H1481,OR(L1481="331",M1481="331")),"331",IF(AND(OR(L1481="131",M1481="131"),H1481='131-CT'!$E$7),"131",""))</f>
        <v/>
      </c>
      <c r="O1481" s="51" t="str">
        <f>IF(AND($B1481&gt;='111'!$N$11,$B1481&lt;='111'!$O$11,OR($L1481=$O$7,$M1481=$O$7)),"x","")</f>
        <v/>
      </c>
      <c r="P1481" s="51" t="str">
        <f>IF(AND($L1481=$O$7,$B1481&lt;'111'!$N$11),"x","")</f>
        <v/>
      </c>
      <c r="Q1481" s="51" t="str">
        <f>IF(AND($M1481=$O$7,$B1481&lt;'111'!$N$11),"x","")</f>
        <v/>
      </c>
      <c r="R1481" s="51" t="str">
        <f>IF(ISERROR(FIND('112'!$M$9,G1481,1)),"",IF((AND(FIND('112'!$M$9,G1481,1)&gt;=1,$B1481&gt;='112'!$N$8,$B1481&lt;='112'!$O$8,OR($L1481='112'!$I$6,$M1481='112'!$I$6))),"x",""))</f>
        <v/>
      </c>
      <c r="S1481" s="51" t="str">
        <f>IF(ISERROR(FIND('112'!$M$9,G1481,1)),"",IF((AND(LEFT(G1481,2)=LEFT('112'!$M$9,2),B1481&lt;'112'!$N$8,$L1481='112'!$I$6)),"x",""))</f>
        <v/>
      </c>
      <c r="T1481" s="51" t="str">
        <f>IF(ISERROR(FIND('112'!$M$9,G1481,1)),"",IF((AND(RIGHT(G1481,2)=RIGHT('112'!$M$9,2),B1481&lt;'112'!$N$8,$M1481='112'!$I$6)),"x",""))</f>
        <v/>
      </c>
      <c r="U1481" s="51" t="str">
        <f>IF(AND(L1481="154",'154'!$O$5&lt;=B1481,'154'!$P$5&gt;=B1481),"154",IF(AND(L1481="632",'632'!$L$5&lt;=B1481,'632'!$M$5&gt;=B1481),"632",IF(AND(L1481="642",'642'!$N$5&lt;=B1481,'642'!$O$5&gt;=B1481),"642",IF(AND(L1481="641",'641'!$N$5&lt;=B1481,'641'!$O$5&gt;=B1481),"641",""))))</f>
        <v/>
      </c>
      <c r="V1481" s="51" t="str">
        <f>IF(OR(TH!L1481=TH!$V$7,M1481=TH!$V$7),"x","")</f>
        <v/>
      </c>
      <c r="W1481" s="51" t="str">
        <f>IF(AND(B1481&gt;='IN-NX'!$P$3,B1481&lt;='IN-NX'!$Q$3,'IN-NX'!$D$7=D1481,OR(LEFT(L1481,2)="15",AND(LEFT(M1481,2)&lt;&gt;"15",LEFT(M1481,2)&lt;&gt;"33"))),"x","")</f>
        <v/>
      </c>
      <c r="X1481" s="51" t="str">
        <f>IF(AND(OR(LEFT(TH!L1481,2)="15",LEFT(TH!M1481,2)="15"),'152-CT'!$J$8=TH!F1481),"x","")</f>
        <v/>
      </c>
      <c r="Y1481" s="51" t="str">
        <f>IF(AND(OR(LEFT(TH!L1481,2)="15",LEFT(TH!M1481,2)="15"),TK!$E$7=TH!F1481),"x","")</f>
        <v/>
      </c>
      <c r="Z1481" s="51" t="str">
        <f>IF(AND(B1481&lt;=NKC!$N$8,B1481&gt;=NKC!$M$8),"x","")</f>
        <v/>
      </c>
      <c r="AA1481" s="826"/>
      <c r="AB1481" s="565"/>
    </row>
    <row r="1482" spans="1:31" s="828" customFormat="1" ht="15.75" customHeight="1">
      <c r="A1482" s="804" t="str">
        <f>IF(B1482&lt;&gt;"",IF(AND(B1482&gt;=_TM1,B1482&lt;=_TM2,OR(TH!L1482="1111",TH!M1482="1111")),TH!D1482,""),"")</f>
        <v/>
      </c>
      <c r="B1482" s="820">
        <f t="shared" si="95"/>
        <v>12</v>
      </c>
      <c r="C1482" s="821">
        <f t="shared" si="96"/>
        <v>42369</v>
      </c>
      <c r="D1482" s="847" t="s">
        <v>1527</v>
      </c>
      <c r="E1482" s="821">
        <v>42369</v>
      </c>
      <c r="F1482" s="822" t="s">
        <v>909</v>
      </c>
      <c r="G1482" s="823" t="s">
        <v>702</v>
      </c>
      <c r="H1482" s="824" t="s">
        <v>441</v>
      </c>
      <c r="I1482" s="825">
        <v>40</v>
      </c>
      <c r="J1482" s="825">
        <v>21186</v>
      </c>
      <c r="K1482" s="818">
        <f t="shared" si="94"/>
        <v>847440</v>
      </c>
      <c r="L1482" s="819" t="s">
        <v>250</v>
      </c>
      <c r="M1482" s="819" t="s">
        <v>164</v>
      </c>
      <c r="N1482" s="51" t="str">
        <f>IF(AND('331-CT'!$E$7=TH!H1482,OR(L1482="331",M1482="331")),"331",IF(AND(OR(L1482="131",M1482="131"),H1482='131-CT'!$E$7),"131",""))</f>
        <v/>
      </c>
      <c r="O1482" s="51" t="str">
        <f>IF(AND($B1482&gt;='111'!$N$11,$B1482&lt;='111'!$O$11,OR($L1482=$O$7,$M1482=$O$7)),"x","")</f>
        <v/>
      </c>
      <c r="P1482" s="51" t="str">
        <f>IF(AND($L1482=$O$7,$B1482&lt;'111'!$N$11),"x","")</f>
        <v/>
      </c>
      <c r="Q1482" s="51" t="str">
        <f>IF(AND($M1482=$O$7,$B1482&lt;'111'!$N$11),"x","")</f>
        <v/>
      </c>
      <c r="R1482" s="51" t="str">
        <f>IF(ISERROR(FIND('112'!$M$9,G1482,1)),"",IF((AND(FIND('112'!$M$9,G1482,1)&gt;=1,$B1482&gt;='112'!$N$8,$B1482&lt;='112'!$O$8,OR($L1482='112'!$I$6,$M1482='112'!$I$6))),"x",""))</f>
        <v/>
      </c>
      <c r="S1482" s="51" t="str">
        <f>IF(ISERROR(FIND('112'!$M$9,G1482,1)),"",IF((AND(LEFT(G1482,2)=LEFT('112'!$M$9,2),B1482&lt;'112'!$N$8,$L1482='112'!$I$6)),"x",""))</f>
        <v/>
      </c>
      <c r="T1482" s="51" t="str">
        <f>IF(ISERROR(FIND('112'!$M$9,G1482,1)),"",IF((AND(RIGHT(G1482,2)=RIGHT('112'!$M$9,2),B1482&lt;'112'!$N$8,$M1482='112'!$I$6)),"x",""))</f>
        <v/>
      </c>
      <c r="U1482" s="51" t="str">
        <f>IF(AND(L1482="154",'154'!$O$5&lt;=B1482,'154'!$P$5&gt;=B1482),"154",IF(AND(L1482="632",'632'!$L$5&lt;=B1482,'632'!$M$5&gt;=B1482),"632",IF(AND(L1482="642",'642'!$N$5&lt;=B1482,'642'!$O$5&gt;=B1482),"642",IF(AND(L1482="641",'641'!$N$5&lt;=B1482,'641'!$O$5&gt;=B1482),"641",""))))</f>
        <v/>
      </c>
      <c r="V1482" s="51" t="str">
        <f>IF(OR(TH!L1482=TH!$V$7,M1482=TH!$V$7),"x","")</f>
        <v/>
      </c>
      <c r="W1482" s="51" t="str">
        <f>IF(AND(B1482&gt;='IN-NX'!$P$3,B1482&lt;='IN-NX'!$Q$3,'IN-NX'!$D$7=D1482,OR(LEFT(L1482,2)="15",AND(LEFT(M1482,2)&lt;&gt;"15",LEFT(M1482,2)&lt;&gt;"33"))),"x","")</f>
        <v/>
      </c>
      <c r="X1482" s="51" t="str">
        <f>IF(AND(OR(LEFT(TH!L1482,2)="15",LEFT(TH!M1482,2)="15"),'152-CT'!$J$8=TH!F1482),"x","")</f>
        <v/>
      </c>
      <c r="Y1482" s="51" t="str">
        <f>IF(AND(OR(LEFT(TH!L1482,2)="15",LEFT(TH!M1482,2)="15"),TK!$E$7=TH!F1482),"x","")</f>
        <v/>
      </c>
      <c r="Z1482" s="51" t="str">
        <f>IF(AND(B1482&lt;=NKC!$N$8,B1482&gt;=NKC!$M$8),"x","")</f>
        <v/>
      </c>
      <c r="AA1482" s="826"/>
      <c r="AB1482" s="565"/>
    </row>
    <row r="1483" spans="1:31" s="828" customFormat="1" ht="15.75" customHeight="1">
      <c r="A1483" s="804" t="str">
        <f>IF(B1483&lt;&gt;"",IF(AND(B1483&gt;=_TM1,B1483&lt;=_TM2,OR(TH!L1483="1111",TH!M1483="1111")),TH!D1483,""),"")</f>
        <v/>
      </c>
      <c r="B1483" s="820">
        <f t="shared" si="95"/>
        <v>12</v>
      </c>
      <c r="C1483" s="821">
        <f t="shared" si="96"/>
        <v>42369</v>
      </c>
      <c r="D1483" s="847" t="s">
        <v>1527</v>
      </c>
      <c r="E1483" s="821">
        <v>42369</v>
      </c>
      <c r="F1483" s="822" t="s">
        <v>939</v>
      </c>
      <c r="G1483" s="823" t="s">
        <v>702</v>
      </c>
      <c r="H1483" s="824" t="s">
        <v>441</v>
      </c>
      <c r="I1483" s="825">
        <v>60</v>
      </c>
      <c r="J1483" s="825">
        <v>21960</v>
      </c>
      <c r="K1483" s="818">
        <f t="shared" si="94"/>
        <v>1317600</v>
      </c>
      <c r="L1483" s="819" t="s">
        <v>250</v>
      </c>
      <c r="M1483" s="819" t="s">
        <v>164</v>
      </c>
      <c r="N1483" s="51" t="str">
        <f>IF(AND('331-CT'!$E$7=TH!H1483,OR(L1483="331",M1483="331")),"331",IF(AND(OR(L1483="131",M1483="131"),H1483='131-CT'!$E$7),"131",""))</f>
        <v/>
      </c>
      <c r="O1483" s="51" t="str">
        <f>IF(AND($B1483&gt;='111'!$N$11,$B1483&lt;='111'!$O$11,OR($L1483=$O$7,$M1483=$O$7)),"x","")</f>
        <v/>
      </c>
      <c r="P1483" s="51" t="str">
        <f>IF(AND($L1483=$O$7,$B1483&lt;'111'!$N$11),"x","")</f>
        <v/>
      </c>
      <c r="Q1483" s="51" t="str">
        <f>IF(AND($M1483=$O$7,$B1483&lt;'111'!$N$11),"x","")</f>
        <v/>
      </c>
      <c r="R1483" s="51" t="str">
        <f>IF(ISERROR(FIND('112'!$M$9,G1483,1)),"",IF((AND(FIND('112'!$M$9,G1483,1)&gt;=1,$B1483&gt;='112'!$N$8,$B1483&lt;='112'!$O$8,OR($L1483='112'!$I$6,$M1483='112'!$I$6))),"x",""))</f>
        <v/>
      </c>
      <c r="S1483" s="51" t="str">
        <f>IF(ISERROR(FIND('112'!$M$9,G1483,1)),"",IF((AND(LEFT(G1483,2)=LEFT('112'!$M$9,2),B1483&lt;'112'!$N$8,$L1483='112'!$I$6)),"x",""))</f>
        <v/>
      </c>
      <c r="T1483" s="51" t="str">
        <f>IF(ISERROR(FIND('112'!$M$9,G1483,1)),"",IF((AND(RIGHT(G1483,2)=RIGHT('112'!$M$9,2),B1483&lt;'112'!$N$8,$M1483='112'!$I$6)),"x",""))</f>
        <v/>
      </c>
      <c r="U1483" s="51" t="str">
        <f>IF(AND(L1483="154",'154'!$O$5&lt;=B1483,'154'!$P$5&gt;=B1483),"154",IF(AND(L1483="632",'632'!$L$5&lt;=B1483,'632'!$M$5&gt;=B1483),"632",IF(AND(L1483="642",'642'!$N$5&lt;=B1483,'642'!$O$5&gt;=B1483),"642",IF(AND(L1483="641",'641'!$N$5&lt;=B1483,'641'!$O$5&gt;=B1483),"641",""))))</f>
        <v/>
      </c>
      <c r="V1483" s="51" t="str">
        <f>IF(OR(TH!L1483=TH!$V$7,M1483=TH!$V$7),"x","")</f>
        <v/>
      </c>
      <c r="W1483" s="51" t="str">
        <f>IF(AND(B1483&gt;='IN-NX'!$P$3,B1483&lt;='IN-NX'!$Q$3,'IN-NX'!$D$7=D1483,OR(LEFT(L1483,2)="15",AND(LEFT(M1483,2)&lt;&gt;"15",LEFT(M1483,2)&lt;&gt;"33"))),"x","")</f>
        <v/>
      </c>
      <c r="X1483" s="51" t="str">
        <f>IF(AND(OR(LEFT(TH!L1483,2)="15",LEFT(TH!M1483,2)="15"),'152-CT'!$J$8=TH!F1483),"x","")</f>
        <v/>
      </c>
      <c r="Y1483" s="51" t="str">
        <f>IF(AND(OR(LEFT(TH!L1483,2)="15",LEFT(TH!M1483,2)="15"),TK!$E$7=TH!F1483),"x","")</f>
        <v/>
      </c>
      <c r="Z1483" s="51" t="str">
        <f>IF(AND(B1483&lt;=NKC!$N$8,B1483&gt;=NKC!$M$8),"x","")</f>
        <v/>
      </c>
      <c r="AA1483" s="826"/>
      <c r="AB1483" s="565"/>
    </row>
    <row r="1484" spans="1:31" s="828" customFormat="1" ht="15.75" customHeight="1">
      <c r="A1484" s="804" t="str">
        <f>IF(B1484&lt;&gt;"",IF(AND(B1484&gt;=_TM1,B1484&lt;=_TM2,OR(TH!L1484="1111",TH!M1484="1111")),TH!D1484,""),"")</f>
        <v/>
      </c>
      <c r="B1484" s="820">
        <f t="shared" si="95"/>
        <v>12</v>
      </c>
      <c r="C1484" s="821">
        <f t="shared" si="96"/>
        <v>42369</v>
      </c>
      <c r="D1484" s="847" t="s">
        <v>1527</v>
      </c>
      <c r="E1484" s="821">
        <v>42369</v>
      </c>
      <c r="F1484" s="822" t="s">
        <v>956</v>
      </c>
      <c r="G1484" s="823" t="s">
        <v>702</v>
      </c>
      <c r="H1484" s="824" t="s">
        <v>441</v>
      </c>
      <c r="I1484" s="825">
        <v>55</v>
      </c>
      <c r="J1484" s="825">
        <v>11950</v>
      </c>
      <c r="K1484" s="818">
        <f t="shared" si="94"/>
        <v>657250</v>
      </c>
      <c r="L1484" s="819" t="s">
        <v>250</v>
      </c>
      <c r="M1484" s="819" t="s">
        <v>164</v>
      </c>
      <c r="N1484" s="51" t="str">
        <f>IF(AND('331-CT'!$E$7=TH!H1484,OR(L1484="331",M1484="331")),"331",IF(AND(OR(L1484="131",M1484="131"),H1484='131-CT'!$E$7),"131",""))</f>
        <v/>
      </c>
      <c r="O1484" s="51" t="str">
        <f>IF(AND($B1484&gt;='111'!$N$11,$B1484&lt;='111'!$O$11,OR($L1484=$O$7,$M1484=$O$7)),"x","")</f>
        <v/>
      </c>
      <c r="P1484" s="51" t="str">
        <f>IF(AND($L1484=$O$7,$B1484&lt;'111'!$N$11),"x","")</f>
        <v/>
      </c>
      <c r="Q1484" s="51" t="str">
        <f>IF(AND($M1484=$O$7,$B1484&lt;'111'!$N$11),"x","")</f>
        <v/>
      </c>
      <c r="R1484" s="51" t="str">
        <f>IF(ISERROR(FIND('112'!$M$9,G1484,1)),"",IF((AND(FIND('112'!$M$9,G1484,1)&gt;=1,$B1484&gt;='112'!$N$8,$B1484&lt;='112'!$O$8,OR($L1484='112'!$I$6,$M1484='112'!$I$6))),"x",""))</f>
        <v/>
      </c>
      <c r="S1484" s="51" t="str">
        <f>IF(ISERROR(FIND('112'!$M$9,G1484,1)),"",IF((AND(LEFT(G1484,2)=LEFT('112'!$M$9,2),B1484&lt;'112'!$N$8,$L1484='112'!$I$6)),"x",""))</f>
        <v/>
      </c>
      <c r="T1484" s="51" t="str">
        <f>IF(ISERROR(FIND('112'!$M$9,G1484,1)),"",IF((AND(RIGHT(G1484,2)=RIGHT('112'!$M$9,2),B1484&lt;'112'!$N$8,$M1484='112'!$I$6)),"x",""))</f>
        <v/>
      </c>
      <c r="U1484" s="51" t="str">
        <f>IF(AND(L1484="154",'154'!$O$5&lt;=B1484,'154'!$P$5&gt;=B1484),"154",IF(AND(L1484="632",'632'!$L$5&lt;=B1484,'632'!$M$5&gt;=B1484),"632",IF(AND(L1484="642",'642'!$N$5&lt;=B1484,'642'!$O$5&gt;=B1484),"642",IF(AND(L1484="641",'641'!$N$5&lt;=B1484,'641'!$O$5&gt;=B1484),"641",""))))</f>
        <v/>
      </c>
      <c r="V1484" s="51" t="str">
        <f>IF(OR(TH!L1484=TH!$V$7,M1484=TH!$V$7),"x","")</f>
        <v/>
      </c>
      <c r="W1484" s="51" t="str">
        <f>IF(AND(B1484&gt;='IN-NX'!$P$3,B1484&lt;='IN-NX'!$Q$3,'IN-NX'!$D$7=D1484,OR(LEFT(L1484,2)="15",AND(LEFT(M1484,2)&lt;&gt;"15",LEFT(M1484,2)&lt;&gt;"33"))),"x","")</f>
        <v/>
      </c>
      <c r="X1484" s="51" t="str">
        <f>IF(AND(OR(LEFT(TH!L1484,2)="15",LEFT(TH!M1484,2)="15"),'152-CT'!$J$8=TH!F1484),"x","")</f>
        <v/>
      </c>
      <c r="Y1484" s="51" t="str">
        <f>IF(AND(OR(LEFT(TH!L1484,2)="15",LEFT(TH!M1484,2)="15"),TK!$E$7=TH!F1484),"x","")</f>
        <v/>
      </c>
      <c r="Z1484" s="51" t="str">
        <f>IF(AND(B1484&lt;=NKC!$N$8,B1484&gt;=NKC!$M$8),"x","")</f>
        <v/>
      </c>
      <c r="AA1484" s="826"/>
      <c r="AB1484" s="565"/>
    </row>
    <row r="1485" spans="1:31" s="828" customFormat="1" ht="15.75" customHeight="1">
      <c r="A1485" s="804" t="str">
        <f>IF(B1485&lt;&gt;"",IF(AND(B1485&gt;=_TM1,B1485&lt;=_TM2,OR(TH!L1485="1111",TH!M1485="1111")),TH!D1485,""),"")</f>
        <v/>
      </c>
      <c r="B1485" s="820">
        <f t="shared" si="95"/>
        <v>12</v>
      </c>
      <c r="C1485" s="821">
        <f t="shared" si="96"/>
        <v>42369</v>
      </c>
      <c r="D1485" s="847" t="s">
        <v>1527</v>
      </c>
      <c r="E1485" s="821">
        <v>42369</v>
      </c>
      <c r="F1485" s="822" t="s">
        <v>936</v>
      </c>
      <c r="G1485" s="823" t="s">
        <v>702</v>
      </c>
      <c r="H1485" s="824" t="s">
        <v>441</v>
      </c>
      <c r="I1485" s="825">
        <v>30</v>
      </c>
      <c r="J1485" s="825">
        <v>20000</v>
      </c>
      <c r="K1485" s="818">
        <f t="shared" si="94"/>
        <v>600000</v>
      </c>
      <c r="L1485" s="819" t="s">
        <v>250</v>
      </c>
      <c r="M1485" s="819" t="s">
        <v>164</v>
      </c>
      <c r="N1485" s="51" t="str">
        <f>IF(AND('331-CT'!$E$7=TH!H1485,OR(L1485="331",M1485="331")),"331",IF(AND(OR(L1485="131",M1485="131"),H1485='131-CT'!$E$7),"131",""))</f>
        <v/>
      </c>
      <c r="O1485" s="51" t="str">
        <f>IF(AND($B1485&gt;='111'!$N$11,$B1485&lt;='111'!$O$11,OR($L1485=$O$7,$M1485=$O$7)),"x","")</f>
        <v/>
      </c>
      <c r="P1485" s="51" t="str">
        <f>IF(AND($L1485=$O$7,$B1485&lt;'111'!$N$11),"x","")</f>
        <v/>
      </c>
      <c r="Q1485" s="51" t="str">
        <f>IF(AND($M1485=$O$7,$B1485&lt;'111'!$N$11),"x","")</f>
        <v/>
      </c>
      <c r="R1485" s="51" t="str">
        <f>IF(ISERROR(FIND('112'!$M$9,G1485,1)),"",IF((AND(FIND('112'!$M$9,G1485,1)&gt;=1,$B1485&gt;='112'!$N$8,$B1485&lt;='112'!$O$8,OR($L1485='112'!$I$6,$M1485='112'!$I$6))),"x",""))</f>
        <v/>
      </c>
      <c r="S1485" s="51" t="str">
        <f>IF(ISERROR(FIND('112'!$M$9,G1485,1)),"",IF((AND(LEFT(G1485,2)=LEFT('112'!$M$9,2),B1485&lt;'112'!$N$8,$L1485='112'!$I$6)),"x",""))</f>
        <v/>
      </c>
      <c r="T1485" s="51" t="str">
        <f>IF(ISERROR(FIND('112'!$M$9,G1485,1)),"",IF((AND(RIGHT(G1485,2)=RIGHT('112'!$M$9,2),B1485&lt;'112'!$N$8,$M1485='112'!$I$6)),"x",""))</f>
        <v/>
      </c>
      <c r="U1485" s="51" t="str">
        <f>IF(AND(L1485="154",'154'!$O$5&lt;=B1485,'154'!$P$5&gt;=B1485),"154",IF(AND(L1485="632",'632'!$L$5&lt;=B1485,'632'!$M$5&gt;=B1485),"632",IF(AND(L1485="642",'642'!$N$5&lt;=B1485,'642'!$O$5&gt;=B1485),"642",IF(AND(L1485="641",'641'!$N$5&lt;=B1485,'641'!$O$5&gt;=B1485),"641",""))))</f>
        <v/>
      </c>
      <c r="V1485" s="51" t="str">
        <f>IF(OR(TH!L1485=TH!$V$7,M1485=TH!$V$7),"x","")</f>
        <v/>
      </c>
      <c r="W1485" s="51" t="str">
        <f>IF(AND(B1485&gt;='IN-NX'!$P$3,B1485&lt;='IN-NX'!$Q$3,'IN-NX'!$D$7=D1485,OR(LEFT(L1485,2)="15",AND(LEFT(M1485,2)&lt;&gt;"15",LEFT(M1485,2)&lt;&gt;"33"))),"x","")</f>
        <v/>
      </c>
      <c r="X1485" s="51" t="str">
        <f>IF(AND(OR(LEFT(TH!L1485,2)="15",LEFT(TH!M1485,2)="15"),'152-CT'!$J$8=TH!F1485),"x","")</f>
        <v/>
      </c>
      <c r="Y1485" s="51" t="str">
        <f>IF(AND(OR(LEFT(TH!L1485,2)="15",LEFT(TH!M1485,2)="15"),TK!$E$7=TH!F1485),"x","")</f>
        <v/>
      </c>
      <c r="Z1485" s="51" t="str">
        <f>IF(AND(B1485&lt;=NKC!$N$8,B1485&gt;=NKC!$M$8),"x","")</f>
        <v/>
      </c>
      <c r="AA1485" s="826"/>
      <c r="AB1485" s="565"/>
    </row>
    <row r="1486" spans="1:31" s="828" customFormat="1" ht="15.75" customHeight="1">
      <c r="A1486" s="804" t="str">
        <f>IF(B1486&lt;&gt;"",IF(AND(B1486&gt;=_TM1,B1486&lt;=_TM2,OR(TH!L1486="1111",TH!M1486="1111")),TH!D1486,""),"")</f>
        <v/>
      </c>
      <c r="B1486" s="820">
        <f t="shared" si="95"/>
        <v>12</v>
      </c>
      <c r="C1486" s="821">
        <f t="shared" si="96"/>
        <v>42369</v>
      </c>
      <c r="D1486" s="847" t="s">
        <v>1527</v>
      </c>
      <c r="E1486" s="821">
        <v>42369</v>
      </c>
      <c r="F1486" s="822" t="s">
        <v>1220</v>
      </c>
      <c r="G1486" s="823" t="s">
        <v>702</v>
      </c>
      <c r="H1486" s="824" t="s">
        <v>441</v>
      </c>
      <c r="I1486" s="825">
        <v>10</v>
      </c>
      <c r="J1486" s="825">
        <v>47500</v>
      </c>
      <c r="K1486" s="818">
        <f t="shared" si="94"/>
        <v>475000</v>
      </c>
      <c r="L1486" s="819" t="s">
        <v>250</v>
      </c>
      <c r="M1486" s="819" t="s">
        <v>164</v>
      </c>
      <c r="N1486" s="51" t="str">
        <f>IF(AND('331-CT'!$E$7=TH!H1486,OR(L1486="331",M1486="331")),"331",IF(AND(OR(L1486="131",M1486="131"),H1486='131-CT'!$E$7),"131",""))</f>
        <v/>
      </c>
      <c r="O1486" s="51" t="str">
        <f>IF(AND($B1486&gt;='111'!$N$11,$B1486&lt;='111'!$O$11,OR($L1486=$O$7,$M1486=$O$7)),"x","")</f>
        <v/>
      </c>
      <c r="P1486" s="51" t="str">
        <f>IF(AND($L1486=$O$7,$B1486&lt;'111'!$N$11),"x","")</f>
        <v/>
      </c>
      <c r="Q1486" s="51" t="str">
        <f>IF(AND($M1486=$O$7,$B1486&lt;'111'!$N$11),"x","")</f>
        <v/>
      </c>
      <c r="R1486" s="51" t="str">
        <f>IF(ISERROR(FIND('112'!$M$9,G1486,1)),"",IF((AND(FIND('112'!$M$9,G1486,1)&gt;=1,$B1486&gt;='112'!$N$8,$B1486&lt;='112'!$O$8,OR($L1486='112'!$I$6,$M1486='112'!$I$6))),"x",""))</f>
        <v/>
      </c>
      <c r="S1486" s="51" t="str">
        <f>IF(ISERROR(FIND('112'!$M$9,G1486,1)),"",IF((AND(LEFT(G1486,2)=LEFT('112'!$M$9,2),B1486&lt;'112'!$N$8,$L1486='112'!$I$6)),"x",""))</f>
        <v/>
      </c>
      <c r="T1486" s="51" t="str">
        <f>IF(ISERROR(FIND('112'!$M$9,G1486,1)),"",IF((AND(RIGHT(G1486,2)=RIGHT('112'!$M$9,2),B1486&lt;'112'!$N$8,$M1486='112'!$I$6)),"x",""))</f>
        <v/>
      </c>
      <c r="U1486" s="51" t="str">
        <f>IF(AND(L1486="154",'154'!$O$5&lt;=B1486,'154'!$P$5&gt;=B1486),"154",IF(AND(L1486="632",'632'!$L$5&lt;=B1486,'632'!$M$5&gt;=B1486),"632",IF(AND(L1486="642",'642'!$N$5&lt;=B1486,'642'!$O$5&gt;=B1486),"642",IF(AND(L1486="641",'641'!$N$5&lt;=B1486,'641'!$O$5&gt;=B1486),"641",""))))</f>
        <v/>
      </c>
      <c r="V1486" s="51" t="str">
        <f>IF(OR(TH!L1486=TH!$V$7,M1486=TH!$V$7),"x","")</f>
        <v/>
      </c>
      <c r="W1486" s="51" t="str">
        <f>IF(AND(B1486&gt;='IN-NX'!$P$3,B1486&lt;='IN-NX'!$Q$3,'IN-NX'!$D$7=D1486,OR(LEFT(L1486,2)="15",AND(LEFT(M1486,2)&lt;&gt;"15",LEFT(M1486,2)&lt;&gt;"33"))),"x","")</f>
        <v/>
      </c>
      <c r="X1486" s="51" t="str">
        <f>IF(AND(OR(LEFT(TH!L1486,2)="15",LEFT(TH!M1486,2)="15"),'152-CT'!$J$8=TH!F1486),"x","")</f>
        <v/>
      </c>
      <c r="Y1486" s="51" t="str">
        <f>IF(AND(OR(LEFT(TH!L1486,2)="15",LEFT(TH!M1486,2)="15"),TK!$E$7=TH!F1486),"x","")</f>
        <v/>
      </c>
      <c r="Z1486" s="51" t="str">
        <f>IF(AND(B1486&lt;=NKC!$N$8,B1486&gt;=NKC!$M$8),"x","")</f>
        <v/>
      </c>
      <c r="AA1486" s="826"/>
      <c r="AB1486" s="565"/>
    </row>
    <row r="1487" spans="1:31" s="828" customFormat="1" ht="15.75" customHeight="1">
      <c r="A1487" s="804" t="str">
        <f>IF(B1487&lt;&gt;"",IF(AND(B1487&gt;=_TM1,B1487&lt;=_TM2,OR(TH!L1487="1111",TH!M1487="1111")),TH!D1487,""),"")</f>
        <v/>
      </c>
      <c r="B1487" s="820">
        <f t="shared" si="95"/>
        <v>12</v>
      </c>
      <c r="C1487" s="821">
        <f t="shared" si="96"/>
        <v>42369</v>
      </c>
      <c r="D1487" s="847" t="s">
        <v>1527</v>
      </c>
      <c r="E1487" s="821">
        <v>42369</v>
      </c>
      <c r="F1487" s="822" t="s">
        <v>1230</v>
      </c>
      <c r="G1487" s="823" t="s">
        <v>702</v>
      </c>
      <c r="H1487" s="824" t="s">
        <v>441</v>
      </c>
      <c r="I1487" s="825">
        <v>24</v>
      </c>
      <c r="J1487" s="825">
        <v>76000</v>
      </c>
      <c r="K1487" s="818">
        <f t="shared" si="94"/>
        <v>1824000</v>
      </c>
      <c r="L1487" s="819" t="s">
        <v>250</v>
      </c>
      <c r="M1487" s="819" t="s">
        <v>164</v>
      </c>
      <c r="N1487" s="51" t="str">
        <f>IF(AND('331-CT'!$E$7=TH!H1487,OR(L1487="331",M1487="331")),"331",IF(AND(OR(L1487="131",M1487="131"),H1487='131-CT'!$E$7),"131",""))</f>
        <v/>
      </c>
      <c r="O1487" s="51" t="str">
        <f>IF(AND($B1487&gt;='111'!$N$11,$B1487&lt;='111'!$O$11,OR($L1487=$O$7,$M1487=$O$7)),"x","")</f>
        <v/>
      </c>
      <c r="P1487" s="51" t="str">
        <f>IF(AND($L1487=$O$7,$B1487&lt;'111'!$N$11),"x","")</f>
        <v/>
      </c>
      <c r="Q1487" s="51" t="str">
        <f>IF(AND($M1487=$O$7,$B1487&lt;'111'!$N$11),"x","")</f>
        <v/>
      </c>
      <c r="R1487" s="51" t="str">
        <f>IF(ISERROR(FIND('112'!$M$9,G1487,1)),"",IF((AND(FIND('112'!$M$9,G1487,1)&gt;=1,$B1487&gt;='112'!$N$8,$B1487&lt;='112'!$O$8,OR($L1487='112'!$I$6,$M1487='112'!$I$6))),"x",""))</f>
        <v/>
      </c>
      <c r="S1487" s="51" t="str">
        <f>IF(ISERROR(FIND('112'!$M$9,G1487,1)),"",IF((AND(LEFT(G1487,2)=LEFT('112'!$M$9,2),B1487&lt;'112'!$N$8,$L1487='112'!$I$6)),"x",""))</f>
        <v/>
      </c>
      <c r="T1487" s="51" t="str">
        <f>IF(ISERROR(FIND('112'!$M$9,G1487,1)),"",IF((AND(RIGHT(G1487,2)=RIGHT('112'!$M$9,2),B1487&lt;'112'!$N$8,$M1487='112'!$I$6)),"x",""))</f>
        <v/>
      </c>
      <c r="U1487" s="51" t="str">
        <f>IF(AND(L1487="154",'154'!$O$5&lt;=B1487,'154'!$P$5&gt;=B1487),"154",IF(AND(L1487="632",'632'!$L$5&lt;=B1487,'632'!$M$5&gt;=B1487),"632",IF(AND(L1487="642",'642'!$N$5&lt;=B1487,'642'!$O$5&gt;=B1487),"642",IF(AND(L1487="641",'641'!$N$5&lt;=B1487,'641'!$O$5&gt;=B1487),"641",""))))</f>
        <v/>
      </c>
      <c r="V1487" s="51" t="str">
        <f>IF(OR(TH!L1487=TH!$V$7,M1487=TH!$V$7),"x","")</f>
        <v/>
      </c>
      <c r="W1487" s="51" t="str">
        <f>IF(AND(B1487&gt;='IN-NX'!$P$3,B1487&lt;='IN-NX'!$Q$3,'IN-NX'!$D$7=D1487,OR(LEFT(L1487,2)="15",AND(LEFT(M1487,2)&lt;&gt;"15",LEFT(M1487,2)&lt;&gt;"33"))),"x","")</f>
        <v/>
      </c>
      <c r="X1487" s="51" t="str">
        <f>IF(AND(OR(LEFT(TH!L1487,2)="15",LEFT(TH!M1487,2)="15"),'152-CT'!$J$8=TH!F1487),"x","")</f>
        <v/>
      </c>
      <c r="Y1487" s="51" t="str">
        <f>IF(AND(OR(LEFT(TH!L1487,2)="15",LEFT(TH!M1487,2)="15"),TK!$E$7=TH!F1487),"x","")</f>
        <v/>
      </c>
      <c r="Z1487" s="51" t="str">
        <f>IF(AND(B1487&lt;=NKC!$N$8,B1487&gt;=NKC!$M$8),"x","")</f>
        <v/>
      </c>
      <c r="AA1487" s="826"/>
      <c r="AB1487" s="565"/>
    </row>
    <row r="1488" spans="1:31" s="828" customFormat="1" ht="15.75" customHeight="1">
      <c r="A1488" s="804" t="str">
        <f>IF(B1488&lt;&gt;"",IF(AND(B1488&gt;=_TM1,B1488&lt;=_TM2,OR(TH!L1488="1111",TH!M1488="1111")),TH!D1488,""),"")</f>
        <v/>
      </c>
      <c r="B1488" s="820">
        <f t="shared" si="95"/>
        <v>12</v>
      </c>
      <c r="C1488" s="821">
        <f t="shared" si="96"/>
        <v>42369</v>
      </c>
      <c r="D1488" s="847" t="s">
        <v>1527</v>
      </c>
      <c r="E1488" s="821">
        <v>42369</v>
      </c>
      <c r="F1488" s="822" t="s">
        <v>962</v>
      </c>
      <c r="G1488" s="823" t="s">
        <v>702</v>
      </c>
      <c r="H1488" s="824" t="s">
        <v>441</v>
      </c>
      <c r="I1488" s="825"/>
      <c r="J1488" s="825"/>
      <c r="K1488" s="818">
        <v>7511170</v>
      </c>
      <c r="L1488" s="819" t="s">
        <v>250</v>
      </c>
      <c r="M1488" s="819" t="s">
        <v>352</v>
      </c>
      <c r="N1488" s="51" t="str">
        <f>IF(AND('331-CT'!$E$7=TH!H1488,OR(L1488="331",M1488="331")),"331",IF(AND(OR(L1488="131",M1488="131"),H1488='131-CT'!$E$7),"131",""))</f>
        <v/>
      </c>
      <c r="O1488" s="51" t="str">
        <f>IF(AND($B1488&gt;='111'!$N$11,$B1488&lt;='111'!$O$11,OR($L1488=$O$7,$M1488=$O$7)),"x","")</f>
        <v/>
      </c>
      <c r="P1488" s="51" t="str">
        <f>IF(AND($L1488=$O$7,$B1488&lt;'111'!$N$11),"x","")</f>
        <v/>
      </c>
      <c r="Q1488" s="51" t="str">
        <f>IF(AND($M1488=$O$7,$B1488&lt;'111'!$N$11),"x","")</f>
        <v/>
      </c>
      <c r="R1488" s="51" t="str">
        <f>IF(ISERROR(FIND('112'!$M$9,G1488,1)),"",IF((AND(FIND('112'!$M$9,G1488,1)&gt;=1,$B1488&gt;='112'!$N$8,$B1488&lt;='112'!$O$8,OR($L1488='112'!$I$6,$M1488='112'!$I$6))),"x",""))</f>
        <v/>
      </c>
      <c r="S1488" s="51" t="str">
        <f>IF(ISERROR(FIND('112'!$M$9,G1488,1)),"",IF((AND(LEFT(G1488,2)=LEFT('112'!$M$9,2),B1488&lt;'112'!$N$8,$L1488='112'!$I$6)),"x",""))</f>
        <v/>
      </c>
      <c r="T1488" s="51" t="str">
        <f>IF(ISERROR(FIND('112'!$M$9,G1488,1)),"",IF((AND(RIGHT(G1488,2)=RIGHT('112'!$M$9,2),B1488&lt;'112'!$N$8,$M1488='112'!$I$6)),"x",""))</f>
        <v/>
      </c>
      <c r="U1488" s="51" t="str">
        <f>IF(AND(L1488="154",'154'!$O$5&lt;=B1488,'154'!$P$5&gt;=B1488),"154",IF(AND(L1488="632",'632'!$L$5&lt;=B1488,'632'!$M$5&gt;=B1488),"632",IF(AND(L1488="642",'642'!$N$5&lt;=B1488,'642'!$O$5&gt;=B1488),"642",IF(AND(L1488="641",'641'!$N$5&lt;=B1488,'641'!$O$5&gt;=B1488),"641",""))))</f>
        <v/>
      </c>
      <c r="V1488" s="51" t="str">
        <f>IF(OR(TH!L1488=TH!$V$7,M1488=TH!$V$7),"x","")</f>
        <v/>
      </c>
      <c r="W1488" s="51" t="str">
        <f>IF(AND(B1488&gt;='IN-NX'!$P$3,B1488&lt;='IN-NX'!$Q$3,'IN-NX'!$D$7=D1488,OR(LEFT(L1488,2)="15",AND(LEFT(M1488,2)&lt;&gt;"15",LEFT(M1488,2)&lt;&gt;"33"))),"x","")</f>
        <v/>
      </c>
      <c r="X1488" s="51" t="str">
        <f>IF(AND(OR(LEFT(TH!L1488,2)="15",LEFT(TH!M1488,2)="15"),'152-CT'!$J$8=TH!F1488),"x","")</f>
        <v/>
      </c>
      <c r="Y1488" s="51" t="str">
        <f>IF(AND(OR(LEFT(TH!L1488,2)="15",LEFT(TH!M1488,2)="15"),TK!$E$7=TH!F1488),"x","")</f>
        <v/>
      </c>
      <c r="Z1488" s="51" t="str">
        <f>IF(AND(B1488&lt;=NKC!$N$8,B1488&gt;=NKC!$M$8),"x","")</f>
        <v/>
      </c>
      <c r="AA1488" s="826"/>
      <c r="AB1488" s="565"/>
      <c r="AC1488" s="840"/>
      <c r="AD1488" s="840"/>
      <c r="AE1488" s="840"/>
    </row>
    <row r="1489" spans="1:28" s="828" customFormat="1" ht="15.75" customHeight="1">
      <c r="A1489" s="804" t="str">
        <f>IF(B1489&lt;&gt;"",IF(AND(B1489&gt;=_TM1,B1489&lt;=_TM2,OR(TH!L1489="1111",TH!M1489="1111")),TH!D1489,""),"")</f>
        <v/>
      </c>
      <c r="B1489" s="820">
        <f t="shared" si="95"/>
        <v>12</v>
      </c>
      <c r="C1489" s="821">
        <f t="shared" si="96"/>
        <v>42369</v>
      </c>
      <c r="D1489" s="847" t="s">
        <v>1528</v>
      </c>
      <c r="E1489" s="821">
        <v>42369</v>
      </c>
      <c r="F1489" s="822" t="s">
        <v>1219</v>
      </c>
      <c r="G1489" s="823" t="s">
        <v>1114</v>
      </c>
      <c r="H1489" s="824" t="s">
        <v>414</v>
      </c>
      <c r="I1489" s="825">
        <v>8</v>
      </c>
      <c r="J1489" s="825">
        <v>38400</v>
      </c>
      <c r="K1489" s="818">
        <f t="shared" ref="K1489:K1505" si="97">ROUND(I1489*J1489,0)</f>
        <v>307200</v>
      </c>
      <c r="L1489" s="819" t="s">
        <v>250</v>
      </c>
      <c r="M1489" s="819" t="s">
        <v>164</v>
      </c>
      <c r="N1489" s="51" t="str">
        <f>IF(AND('331-CT'!$E$7=TH!H1489,OR(L1489="331",M1489="331")),"331",IF(AND(OR(L1489="131",M1489="131"),H1489='131-CT'!$E$7),"131",""))</f>
        <v/>
      </c>
      <c r="O1489" s="51" t="str">
        <f>IF(AND($B1489&gt;='111'!$N$11,$B1489&lt;='111'!$O$11,OR($L1489=$O$7,$M1489=$O$7)),"x","")</f>
        <v/>
      </c>
      <c r="P1489" s="51" t="str">
        <f>IF(AND($L1489=$O$7,$B1489&lt;'111'!$N$11),"x","")</f>
        <v/>
      </c>
      <c r="Q1489" s="51" t="str">
        <f>IF(AND($M1489=$O$7,$B1489&lt;'111'!$N$11),"x","")</f>
        <v/>
      </c>
      <c r="R1489" s="51" t="str">
        <f>IF(ISERROR(FIND('112'!$M$9,G1489,1)),"",IF((AND(FIND('112'!$M$9,G1489,1)&gt;=1,$B1489&gt;='112'!$N$8,$B1489&lt;='112'!$O$8,OR($L1489='112'!$I$6,$M1489='112'!$I$6))),"x",""))</f>
        <v/>
      </c>
      <c r="S1489" s="51" t="str">
        <f>IF(ISERROR(FIND('112'!$M$9,G1489,1)),"",IF((AND(LEFT(G1489,2)=LEFT('112'!$M$9,2),B1489&lt;'112'!$N$8,$L1489='112'!$I$6)),"x",""))</f>
        <v/>
      </c>
      <c r="T1489" s="51" t="str">
        <f>IF(ISERROR(FIND('112'!$M$9,G1489,1)),"",IF((AND(RIGHT(G1489,2)=RIGHT('112'!$M$9,2),B1489&lt;'112'!$N$8,$M1489='112'!$I$6)),"x",""))</f>
        <v/>
      </c>
      <c r="U1489" s="51" t="str">
        <f>IF(AND(L1489="154",'154'!$O$5&lt;=B1489,'154'!$P$5&gt;=B1489),"154",IF(AND(L1489="632",'632'!$L$5&lt;=B1489,'632'!$M$5&gt;=B1489),"632",IF(AND(L1489="642",'642'!$N$5&lt;=B1489,'642'!$O$5&gt;=B1489),"642",IF(AND(L1489="641",'641'!$N$5&lt;=B1489,'641'!$O$5&gt;=B1489),"641",""))))</f>
        <v/>
      </c>
      <c r="V1489" s="51" t="str">
        <f>IF(OR(TH!L1489=TH!$V$7,M1489=TH!$V$7),"x","")</f>
        <v/>
      </c>
      <c r="W1489" s="51" t="str">
        <f>IF(AND(B1489&gt;='IN-NX'!$P$3,B1489&lt;='IN-NX'!$Q$3,'IN-NX'!$D$7=D1489,OR(LEFT(L1489,2)="15",AND(LEFT(M1489,2)&lt;&gt;"15",LEFT(M1489,2)&lt;&gt;"33"))),"x","")</f>
        <v/>
      </c>
      <c r="X1489" s="51" t="str">
        <f>IF(AND(OR(LEFT(TH!L1489,2)="15",LEFT(TH!M1489,2)="15"),'152-CT'!$J$8=TH!F1489),"x","")</f>
        <v/>
      </c>
      <c r="Y1489" s="51" t="str">
        <f>IF(AND(OR(LEFT(TH!L1489,2)="15",LEFT(TH!M1489,2)="15"),TK!$E$7=TH!F1489),"x","")</f>
        <v/>
      </c>
      <c r="Z1489" s="51" t="str">
        <f>IF(AND(B1489&lt;=NKC!$N$8,B1489&gt;=NKC!$M$8),"x","")</f>
        <v/>
      </c>
      <c r="AA1489" s="826"/>
      <c r="AB1489" s="565"/>
    </row>
    <row r="1490" spans="1:28" s="828" customFormat="1" ht="15.75" customHeight="1">
      <c r="A1490" s="804" t="str">
        <f>IF(B1490&lt;&gt;"",IF(AND(B1490&gt;=_TM1,B1490&lt;=_TM2,OR(TH!L1490="1111",TH!M1490="1111")),TH!D1490,""),"")</f>
        <v/>
      </c>
      <c r="B1490" s="820">
        <f t="shared" si="95"/>
        <v>12</v>
      </c>
      <c r="C1490" s="821">
        <f t="shared" si="96"/>
        <v>42369</v>
      </c>
      <c r="D1490" s="847" t="s">
        <v>1528</v>
      </c>
      <c r="E1490" s="821">
        <v>42369</v>
      </c>
      <c r="F1490" s="822" t="s">
        <v>1222</v>
      </c>
      <c r="G1490" s="823" t="s">
        <v>1114</v>
      </c>
      <c r="H1490" s="824" t="s">
        <v>414</v>
      </c>
      <c r="I1490" s="825">
        <v>8</v>
      </c>
      <c r="J1490" s="825">
        <v>60550</v>
      </c>
      <c r="K1490" s="818">
        <f t="shared" si="97"/>
        <v>484400</v>
      </c>
      <c r="L1490" s="819" t="s">
        <v>250</v>
      </c>
      <c r="M1490" s="819" t="s">
        <v>164</v>
      </c>
      <c r="N1490" s="51" t="str">
        <f>IF(AND('331-CT'!$E$7=TH!H1490,OR(L1490="331",M1490="331")),"331",IF(AND(OR(L1490="131",M1490="131"),H1490='131-CT'!$E$7),"131",""))</f>
        <v/>
      </c>
      <c r="O1490" s="51" t="str">
        <f>IF(AND($B1490&gt;='111'!$N$11,$B1490&lt;='111'!$O$11,OR($L1490=$O$7,$M1490=$O$7)),"x","")</f>
        <v/>
      </c>
      <c r="P1490" s="51" t="str">
        <f>IF(AND($L1490=$O$7,$B1490&lt;'111'!$N$11),"x","")</f>
        <v/>
      </c>
      <c r="Q1490" s="51" t="str">
        <f>IF(AND($M1490=$O$7,$B1490&lt;'111'!$N$11),"x","")</f>
        <v/>
      </c>
      <c r="R1490" s="51" t="str">
        <f>IF(ISERROR(FIND('112'!$M$9,G1490,1)),"",IF((AND(FIND('112'!$M$9,G1490,1)&gt;=1,$B1490&gt;='112'!$N$8,$B1490&lt;='112'!$O$8,OR($L1490='112'!$I$6,$M1490='112'!$I$6))),"x",""))</f>
        <v/>
      </c>
      <c r="S1490" s="51" t="str">
        <f>IF(ISERROR(FIND('112'!$M$9,G1490,1)),"",IF((AND(LEFT(G1490,2)=LEFT('112'!$M$9,2),B1490&lt;'112'!$N$8,$L1490='112'!$I$6)),"x",""))</f>
        <v/>
      </c>
      <c r="T1490" s="51" t="str">
        <f>IF(ISERROR(FIND('112'!$M$9,G1490,1)),"",IF((AND(RIGHT(G1490,2)=RIGHT('112'!$M$9,2),B1490&lt;'112'!$N$8,$M1490='112'!$I$6)),"x",""))</f>
        <v/>
      </c>
      <c r="U1490" s="51" t="str">
        <f>IF(AND(L1490="154",'154'!$O$5&lt;=B1490,'154'!$P$5&gt;=B1490),"154",IF(AND(L1490="632",'632'!$L$5&lt;=B1490,'632'!$M$5&gt;=B1490),"632",IF(AND(L1490="642",'642'!$N$5&lt;=B1490,'642'!$O$5&gt;=B1490),"642",IF(AND(L1490="641",'641'!$N$5&lt;=B1490,'641'!$O$5&gt;=B1490),"641",""))))</f>
        <v/>
      </c>
      <c r="V1490" s="51" t="str">
        <f>IF(OR(TH!L1490=TH!$V$7,M1490=TH!$V$7),"x","")</f>
        <v/>
      </c>
      <c r="W1490" s="51" t="str">
        <f>IF(AND(B1490&gt;='IN-NX'!$P$3,B1490&lt;='IN-NX'!$Q$3,'IN-NX'!$D$7=D1490,OR(LEFT(L1490,2)="15",AND(LEFT(M1490,2)&lt;&gt;"15",LEFT(M1490,2)&lt;&gt;"33"))),"x","")</f>
        <v/>
      </c>
      <c r="X1490" s="51" t="str">
        <f>IF(AND(OR(LEFT(TH!L1490,2)="15",LEFT(TH!M1490,2)="15"),'152-CT'!$J$8=TH!F1490),"x","")</f>
        <v/>
      </c>
      <c r="Y1490" s="51" t="str">
        <f>IF(AND(OR(LEFT(TH!L1490,2)="15",LEFT(TH!M1490,2)="15"),TK!$E$7=TH!F1490),"x","")</f>
        <v/>
      </c>
      <c r="Z1490" s="51" t="str">
        <f>IF(AND(B1490&lt;=NKC!$N$8,B1490&gt;=NKC!$M$8),"x","")</f>
        <v/>
      </c>
      <c r="AA1490" s="826"/>
      <c r="AB1490" s="565"/>
    </row>
    <row r="1491" spans="1:28" s="828" customFormat="1" ht="15.75" customHeight="1">
      <c r="A1491" s="804" t="str">
        <f>IF(B1491&lt;&gt;"",IF(AND(B1491&gt;=_TM1,B1491&lt;=_TM2,OR(TH!L1491="1111",TH!M1491="1111")),TH!D1491,""),"")</f>
        <v/>
      </c>
      <c r="B1491" s="820">
        <f t="shared" si="95"/>
        <v>12</v>
      </c>
      <c r="C1491" s="821">
        <f t="shared" si="96"/>
        <v>42369</v>
      </c>
      <c r="D1491" s="847" t="s">
        <v>1528</v>
      </c>
      <c r="E1491" s="821">
        <v>42369</v>
      </c>
      <c r="F1491" s="822" t="s">
        <v>1223</v>
      </c>
      <c r="G1491" s="823" t="s">
        <v>1114</v>
      </c>
      <c r="H1491" s="824" t="s">
        <v>414</v>
      </c>
      <c r="I1491" s="825">
        <v>12</v>
      </c>
      <c r="J1491" s="825">
        <v>54550</v>
      </c>
      <c r="K1491" s="818">
        <f t="shared" si="97"/>
        <v>654600</v>
      </c>
      <c r="L1491" s="819" t="s">
        <v>250</v>
      </c>
      <c r="M1491" s="819" t="s">
        <v>164</v>
      </c>
      <c r="N1491" s="51" t="str">
        <f>IF(AND('331-CT'!$E$7=TH!H1491,OR(L1491="331",M1491="331")),"331",IF(AND(OR(L1491="131",M1491="131"),H1491='131-CT'!$E$7),"131",""))</f>
        <v/>
      </c>
      <c r="O1491" s="51" t="str">
        <f>IF(AND($B1491&gt;='111'!$N$11,$B1491&lt;='111'!$O$11,OR($L1491=$O$7,$M1491=$O$7)),"x","")</f>
        <v/>
      </c>
      <c r="P1491" s="51" t="str">
        <f>IF(AND($L1491=$O$7,$B1491&lt;'111'!$N$11),"x","")</f>
        <v/>
      </c>
      <c r="Q1491" s="51" t="str">
        <f>IF(AND($M1491=$O$7,$B1491&lt;'111'!$N$11),"x","")</f>
        <v/>
      </c>
      <c r="R1491" s="51" t="str">
        <f>IF(ISERROR(FIND('112'!$M$9,G1491,1)),"",IF((AND(FIND('112'!$M$9,G1491,1)&gt;=1,$B1491&gt;='112'!$N$8,$B1491&lt;='112'!$O$8,OR($L1491='112'!$I$6,$M1491='112'!$I$6))),"x",""))</f>
        <v/>
      </c>
      <c r="S1491" s="51" t="str">
        <f>IF(ISERROR(FIND('112'!$M$9,G1491,1)),"",IF((AND(LEFT(G1491,2)=LEFT('112'!$M$9,2),B1491&lt;'112'!$N$8,$L1491='112'!$I$6)),"x",""))</f>
        <v/>
      </c>
      <c r="T1491" s="51" t="str">
        <f>IF(ISERROR(FIND('112'!$M$9,G1491,1)),"",IF((AND(RIGHT(G1491,2)=RIGHT('112'!$M$9,2),B1491&lt;'112'!$N$8,$M1491='112'!$I$6)),"x",""))</f>
        <v/>
      </c>
      <c r="U1491" s="51" t="str">
        <f>IF(AND(L1491="154",'154'!$O$5&lt;=B1491,'154'!$P$5&gt;=B1491),"154",IF(AND(L1491="632",'632'!$L$5&lt;=B1491,'632'!$M$5&gt;=B1491),"632",IF(AND(L1491="642",'642'!$N$5&lt;=B1491,'642'!$O$5&gt;=B1491),"642",IF(AND(L1491="641",'641'!$N$5&lt;=B1491,'641'!$O$5&gt;=B1491),"641",""))))</f>
        <v/>
      </c>
      <c r="V1491" s="51" t="str">
        <f>IF(OR(TH!L1491=TH!$V$7,M1491=TH!$V$7),"x","")</f>
        <v/>
      </c>
      <c r="W1491" s="51" t="str">
        <f>IF(AND(B1491&gt;='IN-NX'!$P$3,B1491&lt;='IN-NX'!$Q$3,'IN-NX'!$D$7=D1491,OR(LEFT(L1491,2)="15",AND(LEFT(M1491,2)&lt;&gt;"15",LEFT(M1491,2)&lt;&gt;"33"))),"x","")</f>
        <v/>
      </c>
      <c r="X1491" s="51" t="str">
        <f>IF(AND(OR(LEFT(TH!L1491,2)="15",LEFT(TH!M1491,2)="15"),'152-CT'!$J$8=TH!F1491),"x","")</f>
        <v/>
      </c>
      <c r="Y1491" s="51" t="str">
        <f>IF(AND(OR(LEFT(TH!L1491,2)="15",LEFT(TH!M1491,2)="15"),TK!$E$7=TH!F1491),"x","")</f>
        <v/>
      </c>
      <c r="Z1491" s="51" t="str">
        <f>IF(AND(B1491&lt;=NKC!$N$8,B1491&gt;=NKC!$M$8),"x","")</f>
        <v/>
      </c>
      <c r="AA1491" s="826"/>
      <c r="AB1491" s="565"/>
    </row>
    <row r="1492" spans="1:28" s="828" customFormat="1" ht="15.75" customHeight="1">
      <c r="A1492" s="804" t="str">
        <f>IF(B1492&lt;&gt;"",IF(AND(B1492&gt;=_TM1,B1492&lt;=_TM2,OR(TH!L1492="1111",TH!M1492="1111")),TH!D1492,""),"")</f>
        <v/>
      </c>
      <c r="B1492" s="820">
        <f t="shared" si="95"/>
        <v>12</v>
      </c>
      <c r="C1492" s="821">
        <f t="shared" si="96"/>
        <v>42369</v>
      </c>
      <c r="D1492" s="847" t="s">
        <v>1528</v>
      </c>
      <c r="E1492" s="821">
        <v>42369</v>
      </c>
      <c r="F1492" s="822" t="s">
        <v>1225</v>
      </c>
      <c r="G1492" s="823" t="s">
        <v>1114</v>
      </c>
      <c r="H1492" s="824" t="s">
        <v>414</v>
      </c>
      <c r="I1492" s="825">
        <v>10</v>
      </c>
      <c r="J1492" s="825">
        <v>75900</v>
      </c>
      <c r="K1492" s="818">
        <f t="shared" si="97"/>
        <v>759000</v>
      </c>
      <c r="L1492" s="819" t="s">
        <v>250</v>
      </c>
      <c r="M1492" s="819" t="s">
        <v>164</v>
      </c>
      <c r="N1492" s="51" t="str">
        <f>IF(AND('331-CT'!$E$7=TH!H1492,OR(L1492="331",M1492="331")),"331",IF(AND(OR(L1492="131",M1492="131"),H1492='131-CT'!$E$7),"131",""))</f>
        <v/>
      </c>
      <c r="O1492" s="51" t="str">
        <f>IF(AND($B1492&gt;='111'!$N$11,$B1492&lt;='111'!$O$11,OR($L1492=$O$7,$M1492=$O$7)),"x","")</f>
        <v/>
      </c>
      <c r="P1492" s="51" t="str">
        <f>IF(AND($L1492=$O$7,$B1492&lt;'111'!$N$11),"x","")</f>
        <v/>
      </c>
      <c r="Q1492" s="51" t="str">
        <f>IF(AND($M1492=$O$7,$B1492&lt;'111'!$N$11),"x","")</f>
        <v/>
      </c>
      <c r="R1492" s="51" t="str">
        <f>IF(ISERROR(FIND('112'!$M$9,G1492,1)),"",IF((AND(FIND('112'!$M$9,G1492,1)&gt;=1,$B1492&gt;='112'!$N$8,$B1492&lt;='112'!$O$8,OR($L1492='112'!$I$6,$M1492='112'!$I$6))),"x",""))</f>
        <v/>
      </c>
      <c r="S1492" s="51" t="str">
        <f>IF(ISERROR(FIND('112'!$M$9,G1492,1)),"",IF((AND(LEFT(G1492,2)=LEFT('112'!$M$9,2),B1492&lt;'112'!$N$8,$L1492='112'!$I$6)),"x",""))</f>
        <v/>
      </c>
      <c r="T1492" s="51" t="str">
        <f>IF(ISERROR(FIND('112'!$M$9,G1492,1)),"",IF((AND(RIGHT(G1492,2)=RIGHT('112'!$M$9,2),B1492&lt;'112'!$N$8,$M1492='112'!$I$6)),"x",""))</f>
        <v/>
      </c>
      <c r="U1492" s="51" t="str">
        <f>IF(AND(L1492="154",'154'!$O$5&lt;=B1492,'154'!$P$5&gt;=B1492),"154",IF(AND(L1492="632",'632'!$L$5&lt;=B1492,'632'!$M$5&gt;=B1492),"632",IF(AND(L1492="642",'642'!$N$5&lt;=B1492,'642'!$O$5&gt;=B1492),"642",IF(AND(L1492="641",'641'!$N$5&lt;=B1492,'641'!$O$5&gt;=B1492),"641",""))))</f>
        <v/>
      </c>
      <c r="V1492" s="51" t="str">
        <f>IF(OR(TH!L1492=TH!$V$7,M1492=TH!$V$7),"x","")</f>
        <v/>
      </c>
      <c r="W1492" s="51" t="str">
        <f>IF(AND(B1492&gt;='IN-NX'!$P$3,B1492&lt;='IN-NX'!$Q$3,'IN-NX'!$D$7=D1492,OR(LEFT(L1492,2)="15",AND(LEFT(M1492,2)&lt;&gt;"15",LEFT(M1492,2)&lt;&gt;"33"))),"x","")</f>
        <v/>
      </c>
      <c r="X1492" s="51" t="str">
        <f>IF(AND(OR(LEFT(TH!L1492,2)="15",LEFT(TH!M1492,2)="15"),'152-CT'!$J$8=TH!F1492),"x","")</f>
        <v/>
      </c>
      <c r="Y1492" s="51" t="str">
        <f>IF(AND(OR(LEFT(TH!L1492,2)="15",LEFT(TH!M1492,2)="15"),TK!$E$7=TH!F1492),"x","")</f>
        <v/>
      </c>
      <c r="Z1492" s="51" t="str">
        <f>IF(AND(B1492&lt;=NKC!$N$8,B1492&gt;=NKC!$M$8),"x","")</f>
        <v/>
      </c>
      <c r="AA1492" s="826"/>
      <c r="AB1492" s="565"/>
    </row>
    <row r="1493" spans="1:28" s="828" customFormat="1" ht="15.75" customHeight="1">
      <c r="A1493" s="804" t="str">
        <f>IF(B1493&lt;&gt;"",IF(AND(B1493&gt;=_TM1,B1493&lt;=_TM2,OR(TH!L1493="1111",TH!M1493="1111")),TH!D1493,""),"")</f>
        <v/>
      </c>
      <c r="B1493" s="820">
        <f t="shared" si="95"/>
        <v>12</v>
      </c>
      <c r="C1493" s="821">
        <f t="shared" si="96"/>
        <v>42369</v>
      </c>
      <c r="D1493" s="847" t="s">
        <v>1528</v>
      </c>
      <c r="E1493" s="821">
        <v>42369</v>
      </c>
      <c r="F1493" s="822" t="s">
        <v>1224</v>
      </c>
      <c r="G1493" s="823" t="s">
        <v>1114</v>
      </c>
      <c r="H1493" s="824" t="s">
        <v>414</v>
      </c>
      <c r="I1493" s="825">
        <v>6</v>
      </c>
      <c r="J1493" s="825">
        <v>89500</v>
      </c>
      <c r="K1493" s="818">
        <f t="shared" si="97"/>
        <v>537000</v>
      </c>
      <c r="L1493" s="819" t="s">
        <v>250</v>
      </c>
      <c r="M1493" s="819" t="s">
        <v>164</v>
      </c>
      <c r="N1493" s="51" t="str">
        <f>IF(AND('331-CT'!$E$7=TH!H1493,OR(L1493="331",M1493="331")),"331",IF(AND(OR(L1493="131",M1493="131"),H1493='131-CT'!$E$7),"131",""))</f>
        <v/>
      </c>
      <c r="O1493" s="51" t="str">
        <f>IF(AND($B1493&gt;='111'!$N$11,$B1493&lt;='111'!$O$11,OR($L1493=$O$7,$M1493=$O$7)),"x","")</f>
        <v/>
      </c>
      <c r="P1493" s="51" t="str">
        <f>IF(AND($L1493=$O$7,$B1493&lt;'111'!$N$11),"x","")</f>
        <v/>
      </c>
      <c r="Q1493" s="51" t="str">
        <f>IF(AND($M1493=$O$7,$B1493&lt;'111'!$N$11),"x","")</f>
        <v/>
      </c>
      <c r="R1493" s="51" t="str">
        <f>IF(ISERROR(FIND('112'!$M$9,G1493,1)),"",IF((AND(FIND('112'!$M$9,G1493,1)&gt;=1,$B1493&gt;='112'!$N$8,$B1493&lt;='112'!$O$8,OR($L1493='112'!$I$6,$M1493='112'!$I$6))),"x",""))</f>
        <v/>
      </c>
      <c r="S1493" s="51" t="str">
        <f>IF(ISERROR(FIND('112'!$M$9,G1493,1)),"",IF((AND(LEFT(G1493,2)=LEFT('112'!$M$9,2),B1493&lt;'112'!$N$8,$L1493='112'!$I$6)),"x",""))</f>
        <v/>
      </c>
      <c r="T1493" s="51" t="str">
        <f>IF(ISERROR(FIND('112'!$M$9,G1493,1)),"",IF((AND(RIGHT(G1493,2)=RIGHT('112'!$M$9,2),B1493&lt;'112'!$N$8,$M1493='112'!$I$6)),"x",""))</f>
        <v/>
      </c>
      <c r="U1493" s="51" t="str">
        <f>IF(AND(L1493="154",'154'!$O$5&lt;=B1493,'154'!$P$5&gt;=B1493),"154",IF(AND(L1493="632",'632'!$L$5&lt;=B1493,'632'!$M$5&gt;=B1493),"632",IF(AND(L1493="642",'642'!$N$5&lt;=B1493,'642'!$O$5&gt;=B1493),"642",IF(AND(L1493="641",'641'!$N$5&lt;=B1493,'641'!$O$5&gt;=B1493),"641",""))))</f>
        <v/>
      </c>
      <c r="V1493" s="51" t="str">
        <f>IF(OR(TH!L1493=TH!$V$7,M1493=TH!$V$7),"x","")</f>
        <v/>
      </c>
      <c r="W1493" s="51" t="str">
        <f>IF(AND(B1493&gt;='IN-NX'!$P$3,B1493&lt;='IN-NX'!$Q$3,'IN-NX'!$D$7=D1493,OR(LEFT(L1493,2)="15",AND(LEFT(M1493,2)&lt;&gt;"15",LEFT(M1493,2)&lt;&gt;"33"))),"x","")</f>
        <v/>
      </c>
      <c r="X1493" s="51" t="str">
        <f>IF(AND(OR(LEFT(TH!L1493,2)="15",LEFT(TH!M1493,2)="15"),'152-CT'!$J$8=TH!F1493),"x","")</f>
        <v/>
      </c>
      <c r="Y1493" s="51" t="str">
        <f>IF(AND(OR(LEFT(TH!L1493,2)="15",LEFT(TH!M1493,2)="15"),TK!$E$7=TH!F1493),"x","")</f>
        <v/>
      </c>
      <c r="Z1493" s="51" t="str">
        <f>IF(AND(B1493&lt;=NKC!$N$8,B1493&gt;=NKC!$M$8),"x","")</f>
        <v/>
      </c>
      <c r="AA1493" s="826"/>
      <c r="AB1493" s="565"/>
    </row>
    <row r="1494" spans="1:28" s="828" customFormat="1" ht="15.75" customHeight="1">
      <c r="A1494" s="804" t="str">
        <f>IF(B1494&lt;&gt;"",IF(AND(B1494&gt;=_TM1,B1494&lt;=_TM2,OR(TH!L1494="1111",TH!M1494="1111")),TH!D1494,""),"")</f>
        <v/>
      </c>
      <c r="B1494" s="820">
        <f t="shared" si="95"/>
        <v>12</v>
      </c>
      <c r="C1494" s="821">
        <f t="shared" si="96"/>
        <v>42369</v>
      </c>
      <c r="D1494" s="847" t="s">
        <v>1528</v>
      </c>
      <c r="E1494" s="821">
        <v>42369</v>
      </c>
      <c r="F1494" s="822" t="s">
        <v>1217</v>
      </c>
      <c r="G1494" s="823" t="s">
        <v>1114</v>
      </c>
      <c r="H1494" s="824" t="s">
        <v>414</v>
      </c>
      <c r="I1494" s="825">
        <v>40</v>
      </c>
      <c r="J1494" s="825">
        <v>25000</v>
      </c>
      <c r="K1494" s="818">
        <f t="shared" si="97"/>
        <v>1000000</v>
      </c>
      <c r="L1494" s="819" t="s">
        <v>250</v>
      </c>
      <c r="M1494" s="819" t="s">
        <v>164</v>
      </c>
      <c r="N1494" s="51" t="str">
        <f>IF(AND('331-CT'!$E$7=TH!H1494,OR(L1494="331",M1494="331")),"331",IF(AND(OR(L1494="131",M1494="131"),H1494='131-CT'!$E$7),"131",""))</f>
        <v/>
      </c>
      <c r="O1494" s="51" t="str">
        <f>IF(AND($B1494&gt;='111'!$N$11,$B1494&lt;='111'!$O$11,OR($L1494=$O$7,$M1494=$O$7)),"x","")</f>
        <v/>
      </c>
      <c r="P1494" s="51" t="str">
        <f>IF(AND($L1494=$O$7,$B1494&lt;'111'!$N$11),"x","")</f>
        <v/>
      </c>
      <c r="Q1494" s="51" t="str">
        <f>IF(AND($M1494=$O$7,$B1494&lt;'111'!$N$11),"x","")</f>
        <v/>
      </c>
      <c r="R1494" s="51" t="str">
        <f>IF(ISERROR(FIND('112'!$M$9,G1494,1)),"",IF((AND(FIND('112'!$M$9,G1494,1)&gt;=1,$B1494&gt;='112'!$N$8,$B1494&lt;='112'!$O$8,OR($L1494='112'!$I$6,$M1494='112'!$I$6))),"x",""))</f>
        <v/>
      </c>
      <c r="S1494" s="51" t="str">
        <f>IF(ISERROR(FIND('112'!$M$9,G1494,1)),"",IF((AND(LEFT(G1494,2)=LEFT('112'!$M$9,2),B1494&lt;'112'!$N$8,$L1494='112'!$I$6)),"x",""))</f>
        <v/>
      </c>
      <c r="T1494" s="51" t="str">
        <f>IF(ISERROR(FIND('112'!$M$9,G1494,1)),"",IF((AND(RIGHT(G1494,2)=RIGHT('112'!$M$9,2),B1494&lt;'112'!$N$8,$M1494='112'!$I$6)),"x",""))</f>
        <v/>
      </c>
      <c r="U1494" s="51" t="str">
        <f>IF(AND(L1494="154",'154'!$O$5&lt;=B1494,'154'!$P$5&gt;=B1494),"154",IF(AND(L1494="632",'632'!$L$5&lt;=B1494,'632'!$M$5&gt;=B1494),"632",IF(AND(L1494="642",'642'!$N$5&lt;=B1494,'642'!$O$5&gt;=B1494),"642",IF(AND(L1494="641",'641'!$N$5&lt;=B1494,'641'!$O$5&gt;=B1494),"641",""))))</f>
        <v/>
      </c>
      <c r="V1494" s="51" t="str">
        <f>IF(OR(TH!L1494=TH!$V$7,M1494=TH!$V$7),"x","")</f>
        <v/>
      </c>
      <c r="W1494" s="51" t="str">
        <f>IF(AND(B1494&gt;='IN-NX'!$P$3,B1494&lt;='IN-NX'!$Q$3,'IN-NX'!$D$7=D1494,OR(LEFT(L1494,2)="15",AND(LEFT(M1494,2)&lt;&gt;"15",LEFT(M1494,2)&lt;&gt;"33"))),"x","")</f>
        <v/>
      </c>
      <c r="X1494" s="51" t="str">
        <f>IF(AND(OR(LEFT(TH!L1494,2)="15",LEFT(TH!M1494,2)="15"),'152-CT'!$J$8=TH!F1494),"x","")</f>
        <v/>
      </c>
      <c r="Y1494" s="51" t="str">
        <f>IF(AND(OR(LEFT(TH!L1494,2)="15",LEFT(TH!M1494,2)="15"),TK!$E$7=TH!F1494),"x","")</f>
        <v/>
      </c>
      <c r="Z1494" s="51" t="str">
        <f>IF(AND(B1494&lt;=NKC!$N$8,B1494&gt;=NKC!$M$8),"x","")</f>
        <v/>
      </c>
      <c r="AA1494" s="826"/>
      <c r="AB1494" s="565"/>
    </row>
    <row r="1495" spans="1:28" s="828" customFormat="1" ht="15.75" customHeight="1">
      <c r="A1495" s="804" t="str">
        <f>IF(B1495&lt;&gt;"",IF(AND(B1495&gt;=_TM1,B1495&lt;=_TM2,OR(TH!L1495="1111",TH!M1495="1111")),TH!D1495,""),"")</f>
        <v/>
      </c>
      <c r="B1495" s="820">
        <f t="shared" si="95"/>
        <v>12</v>
      </c>
      <c r="C1495" s="821">
        <f t="shared" si="96"/>
        <v>42369</v>
      </c>
      <c r="D1495" s="847" t="s">
        <v>1528</v>
      </c>
      <c r="E1495" s="821">
        <v>42369</v>
      </c>
      <c r="F1495" s="822" t="s">
        <v>1227</v>
      </c>
      <c r="G1495" s="823" t="s">
        <v>1114</v>
      </c>
      <c r="H1495" s="824" t="s">
        <v>414</v>
      </c>
      <c r="I1495" s="825">
        <v>10</v>
      </c>
      <c r="J1495" s="825">
        <v>26000</v>
      </c>
      <c r="K1495" s="818">
        <f t="shared" si="97"/>
        <v>260000</v>
      </c>
      <c r="L1495" s="819" t="s">
        <v>250</v>
      </c>
      <c r="M1495" s="819" t="s">
        <v>164</v>
      </c>
      <c r="N1495" s="51" t="str">
        <f>IF(AND('331-CT'!$E$7=TH!H1495,OR(L1495="331",M1495="331")),"331",IF(AND(OR(L1495="131",M1495="131"),H1495='131-CT'!$E$7),"131",""))</f>
        <v/>
      </c>
      <c r="O1495" s="51" t="str">
        <f>IF(AND($B1495&gt;='111'!$N$11,$B1495&lt;='111'!$O$11,OR($L1495=$O$7,$M1495=$O$7)),"x","")</f>
        <v/>
      </c>
      <c r="P1495" s="51" t="str">
        <f>IF(AND($L1495=$O$7,$B1495&lt;'111'!$N$11),"x","")</f>
        <v/>
      </c>
      <c r="Q1495" s="51" t="str">
        <f>IF(AND($M1495=$O$7,$B1495&lt;'111'!$N$11),"x","")</f>
        <v/>
      </c>
      <c r="R1495" s="51" t="str">
        <f>IF(ISERROR(FIND('112'!$M$9,G1495,1)),"",IF((AND(FIND('112'!$M$9,G1495,1)&gt;=1,$B1495&gt;='112'!$N$8,$B1495&lt;='112'!$O$8,OR($L1495='112'!$I$6,$M1495='112'!$I$6))),"x",""))</f>
        <v/>
      </c>
      <c r="S1495" s="51" t="str">
        <f>IF(ISERROR(FIND('112'!$M$9,G1495,1)),"",IF((AND(LEFT(G1495,2)=LEFT('112'!$M$9,2),B1495&lt;'112'!$N$8,$L1495='112'!$I$6)),"x",""))</f>
        <v/>
      </c>
      <c r="T1495" s="51" t="str">
        <f>IF(ISERROR(FIND('112'!$M$9,G1495,1)),"",IF((AND(RIGHT(G1495,2)=RIGHT('112'!$M$9,2),B1495&lt;'112'!$N$8,$M1495='112'!$I$6)),"x",""))</f>
        <v/>
      </c>
      <c r="U1495" s="51" t="str">
        <f>IF(AND(L1495="154",'154'!$O$5&lt;=B1495,'154'!$P$5&gt;=B1495),"154",IF(AND(L1495="632",'632'!$L$5&lt;=B1495,'632'!$M$5&gt;=B1495),"632",IF(AND(L1495="642",'642'!$N$5&lt;=B1495,'642'!$O$5&gt;=B1495),"642",IF(AND(L1495="641",'641'!$N$5&lt;=B1495,'641'!$O$5&gt;=B1495),"641",""))))</f>
        <v/>
      </c>
      <c r="V1495" s="51" t="str">
        <f>IF(OR(TH!L1495=TH!$V$7,M1495=TH!$V$7),"x","")</f>
        <v/>
      </c>
      <c r="W1495" s="51" t="str">
        <f>IF(AND(B1495&gt;='IN-NX'!$P$3,B1495&lt;='IN-NX'!$Q$3,'IN-NX'!$D$7=D1495,OR(LEFT(L1495,2)="15",AND(LEFT(M1495,2)&lt;&gt;"15",LEFT(M1495,2)&lt;&gt;"33"))),"x","")</f>
        <v/>
      </c>
      <c r="X1495" s="51" t="str">
        <f>IF(AND(OR(LEFT(TH!L1495,2)="15",LEFT(TH!M1495,2)="15"),'152-CT'!$J$8=TH!F1495),"x","")</f>
        <v/>
      </c>
      <c r="Y1495" s="51" t="str">
        <f>IF(AND(OR(LEFT(TH!L1495,2)="15",LEFT(TH!M1495,2)="15"),TK!$E$7=TH!F1495),"x","")</f>
        <v/>
      </c>
      <c r="Z1495" s="51" t="str">
        <f>IF(AND(B1495&lt;=NKC!$N$8,B1495&gt;=NKC!$M$8),"x","")</f>
        <v/>
      </c>
      <c r="AA1495" s="826"/>
      <c r="AB1495" s="565"/>
    </row>
    <row r="1496" spans="1:28" s="828" customFormat="1" ht="15.75" customHeight="1">
      <c r="A1496" s="804" t="str">
        <f>IF(B1496&lt;&gt;"",IF(AND(B1496&gt;=_TM1,B1496&lt;=_TM2,OR(TH!L1496="1111",TH!M1496="1111")),TH!D1496,""),"")</f>
        <v/>
      </c>
      <c r="B1496" s="820">
        <f t="shared" si="95"/>
        <v>12</v>
      </c>
      <c r="C1496" s="821">
        <f t="shared" si="96"/>
        <v>42369</v>
      </c>
      <c r="D1496" s="847" t="s">
        <v>1528</v>
      </c>
      <c r="E1496" s="821">
        <v>42369</v>
      </c>
      <c r="F1496" s="822" t="s">
        <v>1221</v>
      </c>
      <c r="G1496" s="823" t="s">
        <v>1114</v>
      </c>
      <c r="H1496" s="824" t="s">
        <v>414</v>
      </c>
      <c r="I1496" s="825">
        <v>20</v>
      </c>
      <c r="J1496" s="825">
        <v>25300</v>
      </c>
      <c r="K1496" s="818">
        <f t="shared" si="97"/>
        <v>506000</v>
      </c>
      <c r="L1496" s="819" t="s">
        <v>250</v>
      </c>
      <c r="M1496" s="819" t="s">
        <v>164</v>
      </c>
      <c r="N1496" s="51" t="str">
        <f>IF(AND('331-CT'!$E$7=TH!H1496,OR(L1496="331",M1496="331")),"331",IF(AND(OR(L1496="131",M1496="131"),H1496='131-CT'!$E$7),"131",""))</f>
        <v/>
      </c>
      <c r="O1496" s="51" t="str">
        <f>IF(AND($B1496&gt;='111'!$N$11,$B1496&lt;='111'!$O$11,OR($L1496=$O$7,$M1496=$O$7)),"x","")</f>
        <v/>
      </c>
      <c r="P1496" s="51" t="str">
        <f>IF(AND($L1496=$O$7,$B1496&lt;'111'!$N$11),"x","")</f>
        <v/>
      </c>
      <c r="Q1496" s="51" t="str">
        <f>IF(AND($M1496=$O$7,$B1496&lt;'111'!$N$11),"x","")</f>
        <v/>
      </c>
      <c r="R1496" s="51" t="str">
        <f>IF(ISERROR(FIND('112'!$M$9,G1496,1)),"",IF((AND(FIND('112'!$M$9,G1496,1)&gt;=1,$B1496&gt;='112'!$N$8,$B1496&lt;='112'!$O$8,OR($L1496='112'!$I$6,$M1496='112'!$I$6))),"x",""))</f>
        <v/>
      </c>
      <c r="S1496" s="51" t="str">
        <f>IF(ISERROR(FIND('112'!$M$9,G1496,1)),"",IF((AND(LEFT(G1496,2)=LEFT('112'!$M$9,2),B1496&lt;'112'!$N$8,$L1496='112'!$I$6)),"x",""))</f>
        <v/>
      </c>
      <c r="T1496" s="51" t="str">
        <f>IF(ISERROR(FIND('112'!$M$9,G1496,1)),"",IF((AND(RIGHT(G1496,2)=RIGHT('112'!$M$9,2),B1496&lt;'112'!$N$8,$M1496='112'!$I$6)),"x",""))</f>
        <v/>
      </c>
      <c r="U1496" s="51" t="str">
        <f>IF(AND(L1496="154",'154'!$O$5&lt;=B1496,'154'!$P$5&gt;=B1496),"154",IF(AND(L1496="632",'632'!$L$5&lt;=B1496,'632'!$M$5&gt;=B1496),"632",IF(AND(L1496="642",'642'!$N$5&lt;=B1496,'642'!$O$5&gt;=B1496),"642",IF(AND(L1496="641",'641'!$N$5&lt;=B1496,'641'!$O$5&gt;=B1496),"641",""))))</f>
        <v/>
      </c>
      <c r="V1496" s="51" t="str">
        <f>IF(OR(TH!L1496=TH!$V$7,M1496=TH!$V$7),"x","")</f>
        <v/>
      </c>
      <c r="W1496" s="51" t="str">
        <f>IF(AND(B1496&gt;='IN-NX'!$P$3,B1496&lt;='IN-NX'!$Q$3,'IN-NX'!$D$7=D1496,OR(LEFT(L1496,2)="15",AND(LEFT(M1496,2)&lt;&gt;"15",LEFT(M1496,2)&lt;&gt;"33"))),"x","")</f>
        <v/>
      </c>
      <c r="X1496" s="51" t="str">
        <f>IF(AND(OR(LEFT(TH!L1496,2)="15",LEFT(TH!M1496,2)="15"),'152-CT'!$J$8=TH!F1496),"x","")</f>
        <v/>
      </c>
      <c r="Y1496" s="51" t="str">
        <f>IF(AND(OR(LEFT(TH!L1496,2)="15",LEFT(TH!M1496,2)="15"),TK!$E$7=TH!F1496),"x","")</f>
        <v/>
      </c>
      <c r="Z1496" s="51" t="str">
        <f>IF(AND(B1496&lt;=NKC!$N$8,B1496&gt;=NKC!$M$8),"x","")</f>
        <v/>
      </c>
      <c r="AA1496" s="826"/>
      <c r="AB1496" s="565"/>
    </row>
    <row r="1497" spans="1:28" s="828" customFormat="1" ht="15.75" customHeight="1">
      <c r="A1497" s="804" t="str">
        <f>IF(B1497&lt;&gt;"",IF(AND(B1497&gt;=_TM1,B1497&lt;=_TM2,OR(TH!L1497="1111",TH!M1497="1111")),TH!D1497,""),"")</f>
        <v/>
      </c>
      <c r="B1497" s="820">
        <f t="shared" si="95"/>
        <v>12</v>
      </c>
      <c r="C1497" s="821">
        <f t="shared" si="96"/>
        <v>42369</v>
      </c>
      <c r="D1497" s="847" t="s">
        <v>1528</v>
      </c>
      <c r="E1497" s="821">
        <v>42369</v>
      </c>
      <c r="F1497" s="822" t="s">
        <v>1228</v>
      </c>
      <c r="G1497" s="823" t="s">
        <v>1114</v>
      </c>
      <c r="H1497" s="824" t="s">
        <v>414</v>
      </c>
      <c r="I1497" s="825">
        <v>6</v>
      </c>
      <c r="J1497" s="825">
        <v>33750</v>
      </c>
      <c r="K1497" s="818">
        <f t="shared" si="97"/>
        <v>202500</v>
      </c>
      <c r="L1497" s="819" t="s">
        <v>250</v>
      </c>
      <c r="M1497" s="819" t="s">
        <v>164</v>
      </c>
      <c r="N1497" s="51" t="str">
        <f>IF(AND('331-CT'!$E$7=TH!H1497,OR(L1497="331",M1497="331")),"331",IF(AND(OR(L1497="131",M1497="131"),H1497='131-CT'!$E$7),"131",""))</f>
        <v/>
      </c>
      <c r="O1497" s="51" t="str">
        <f>IF(AND($B1497&gt;='111'!$N$11,$B1497&lt;='111'!$O$11,OR($L1497=$O$7,$M1497=$O$7)),"x","")</f>
        <v/>
      </c>
      <c r="P1497" s="51" t="str">
        <f>IF(AND($L1497=$O$7,$B1497&lt;'111'!$N$11),"x","")</f>
        <v/>
      </c>
      <c r="Q1497" s="51" t="str">
        <f>IF(AND($M1497=$O$7,$B1497&lt;'111'!$N$11),"x","")</f>
        <v/>
      </c>
      <c r="R1497" s="51" t="str">
        <f>IF(ISERROR(FIND('112'!$M$9,G1497,1)),"",IF((AND(FIND('112'!$M$9,G1497,1)&gt;=1,$B1497&gt;='112'!$N$8,$B1497&lt;='112'!$O$8,OR($L1497='112'!$I$6,$M1497='112'!$I$6))),"x",""))</f>
        <v/>
      </c>
      <c r="S1497" s="51" t="str">
        <f>IF(ISERROR(FIND('112'!$M$9,G1497,1)),"",IF((AND(LEFT(G1497,2)=LEFT('112'!$M$9,2),B1497&lt;'112'!$N$8,$L1497='112'!$I$6)),"x",""))</f>
        <v/>
      </c>
      <c r="T1497" s="51" t="str">
        <f>IF(ISERROR(FIND('112'!$M$9,G1497,1)),"",IF((AND(RIGHT(G1497,2)=RIGHT('112'!$M$9,2),B1497&lt;'112'!$N$8,$M1497='112'!$I$6)),"x",""))</f>
        <v/>
      </c>
      <c r="U1497" s="51" t="str">
        <f>IF(AND(L1497="154",'154'!$O$5&lt;=B1497,'154'!$P$5&gt;=B1497),"154",IF(AND(L1497="632",'632'!$L$5&lt;=B1497,'632'!$M$5&gt;=B1497),"632",IF(AND(L1497="642",'642'!$N$5&lt;=B1497,'642'!$O$5&gt;=B1497),"642",IF(AND(L1497="641",'641'!$N$5&lt;=B1497,'641'!$O$5&gt;=B1497),"641",""))))</f>
        <v/>
      </c>
      <c r="V1497" s="51" t="str">
        <f>IF(OR(TH!L1497=TH!$V$7,M1497=TH!$V$7),"x","")</f>
        <v/>
      </c>
      <c r="W1497" s="51" t="str">
        <f>IF(AND(B1497&gt;='IN-NX'!$P$3,B1497&lt;='IN-NX'!$Q$3,'IN-NX'!$D$7=D1497,OR(LEFT(L1497,2)="15",AND(LEFT(M1497,2)&lt;&gt;"15",LEFT(M1497,2)&lt;&gt;"33"))),"x","")</f>
        <v/>
      </c>
      <c r="X1497" s="51" t="str">
        <f>IF(AND(OR(LEFT(TH!L1497,2)="15",LEFT(TH!M1497,2)="15"),'152-CT'!$J$8=TH!F1497),"x","")</f>
        <v/>
      </c>
      <c r="Y1497" s="51" t="str">
        <f>IF(AND(OR(LEFT(TH!L1497,2)="15",LEFT(TH!M1497,2)="15"),TK!$E$7=TH!F1497),"x","")</f>
        <v/>
      </c>
      <c r="Z1497" s="51" t="str">
        <f>IF(AND(B1497&lt;=NKC!$N$8,B1497&gt;=NKC!$M$8),"x","")</f>
        <v/>
      </c>
      <c r="AA1497" s="826"/>
      <c r="AB1497" s="565"/>
    </row>
    <row r="1498" spans="1:28" s="828" customFormat="1" ht="15.75" customHeight="1">
      <c r="A1498" s="804" t="str">
        <f>IF(B1498&lt;&gt;"",IF(AND(B1498&gt;=_TM1,B1498&lt;=_TM2,OR(TH!L1498="1111",TH!M1498="1111")),TH!D1498,""),"")</f>
        <v/>
      </c>
      <c r="B1498" s="820">
        <f t="shared" si="95"/>
        <v>12</v>
      </c>
      <c r="C1498" s="821">
        <f t="shared" si="96"/>
        <v>42369</v>
      </c>
      <c r="D1498" s="847" t="s">
        <v>1528</v>
      </c>
      <c r="E1498" s="821">
        <v>42369</v>
      </c>
      <c r="F1498" s="822" t="s">
        <v>1226</v>
      </c>
      <c r="G1498" s="823" t="s">
        <v>1114</v>
      </c>
      <c r="H1498" s="824" t="s">
        <v>414</v>
      </c>
      <c r="I1498" s="825">
        <v>284</v>
      </c>
      <c r="J1498" s="825">
        <v>16780</v>
      </c>
      <c r="K1498" s="818">
        <f t="shared" si="97"/>
        <v>4765520</v>
      </c>
      <c r="L1498" s="819" t="s">
        <v>250</v>
      </c>
      <c r="M1498" s="819" t="s">
        <v>164</v>
      </c>
      <c r="N1498" s="51" t="str">
        <f>IF(AND('331-CT'!$E$7=TH!H1498,OR(L1498="331",M1498="331")),"331",IF(AND(OR(L1498="131",M1498="131"),H1498='131-CT'!$E$7),"131",""))</f>
        <v/>
      </c>
      <c r="O1498" s="51" t="str">
        <f>IF(AND($B1498&gt;='111'!$N$11,$B1498&lt;='111'!$O$11,OR($L1498=$O$7,$M1498=$O$7)),"x","")</f>
        <v/>
      </c>
      <c r="P1498" s="51" t="str">
        <f>IF(AND($L1498=$O$7,$B1498&lt;'111'!$N$11),"x","")</f>
        <v/>
      </c>
      <c r="Q1498" s="51" t="str">
        <f>IF(AND($M1498=$O$7,$B1498&lt;'111'!$N$11),"x","")</f>
        <v/>
      </c>
      <c r="R1498" s="51" t="str">
        <f>IF(ISERROR(FIND('112'!$M$9,G1498,1)),"",IF((AND(FIND('112'!$M$9,G1498,1)&gt;=1,$B1498&gt;='112'!$N$8,$B1498&lt;='112'!$O$8,OR($L1498='112'!$I$6,$M1498='112'!$I$6))),"x",""))</f>
        <v/>
      </c>
      <c r="S1498" s="51" t="str">
        <f>IF(ISERROR(FIND('112'!$M$9,G1498,1)),"",IF((AND(LEFT(G1498,2)=LEFT('112'!$M$9,2),B1498&lt;'112'!$N$8,$L1498='112'!$I$6)),"x",""))</f>
        <v/>
      </c>
      <c r="T1498" s="51" t="str">
        <f>IF(ISERROR(FIND('112'!$M$9,G1498,1)),"",IF((AND(RIGHT(G1498,2)=RIGHT('112'!$M$9,2),B1498&lt;'112'!$N$8,$M1498='112'!$I$6)),"x",""))</f>
        <v/>
      </c>
      <c r="U1498" s="51" t="str">
        <f>IF(AND(L1498="154",'154'!$O$5&lt;=B1498,'154'!$P$5&gt;=B1498),"154",IF(AND(L1498="632",'632'!$L$5&lt;=B1498,'632'!$M$5&gt;=B1498),"632",IF(AND(L1498="642",'642'!$N$5&lt;=B1498,'642'!$O$5&gt;=B1498),"642",IF(AND(L1498="641",'641'!$N$5&lt;=B1498,'641'!$O$5&gt;=B1498),"641",""))))</f>
        <v/>
      </c>
      <c r="V1498" s="51" t="str">
        <f>IF(OR(TH!L1498=TH!$V$7,M1498=TH!$V$7),"x","")</f>
        <v/>
      </c>
      <c r="W1498" s="51" t="str">
        <f>IF(AND(B1498&gt;='IN-NX'!$P$3,B1498&lt;='IN-NX'!$Q$3,'IN-NX'!$D$7=D1498,OR(LEFT(L1498,2)="15",AND(LEFT(M1498,2)&lt;&gt;"15",LEFT(M1498,2)&lt;&gt;"33"))),"x","")</f>
        <v/>
      </c>
      <c r="X1498" s="51" t="str">
        <f>IF(AND(OR(LEFT(TH!L1498,2)="15",LEFT(TH!M1498,2)="15"),'152-CT'!$J$8=TH!F1498),"x","")</f>
        <v/>
      </c>
      <c r="Y1498" s="51" t="str">
        <f>IF(AND(OR(LEFT(TH!L1498,2)="15",LEFT(TH!M1498,2)="15"),TK!$E$7=TH!F1498),"x","")</f>
        <v/>
      </c>
      <c r="Z1498" s="51" t="str">
        <f>IF(AND(B1498&lt;=NKC!$N$8,B1498&gt;=NKC!$M$8),"x","")</f>
        <v/>
      </c>
      <c r="AA1498" s="826"/>
      <c r="AB1498" s="565"/>
    </row>
    <row r="1499" spans="1:28" s="828" customFormat="1" ht="15.75" customHeight="1">
      <c r="A1499" s="804" t="str">
        <f>IF(B1499&lt;&gt;"",IF(AND(B1499&gt;=_TM1,B1499&lt;=_TM2,OR(TH!L1499="1111",TH!M1499="1111")),TH!D1499,""),"")</f>
        <v/>
      </c>
      <c r="B1499" s="820">
        <f t="shared" si="95"/>
        <v>12</v>
      </c>
      <c r="C1499" s="821">
        <f t="shared" si="96"/>
        <v>42369</v>
      </c>
      <c r="D1499" s="847" t="s">
        <v>1528</v>
      </c>
      <c r="E1499" s="821">
        <v>42369</v>
      </c>
      <c r="F1499" s="822" t="s">
        <v>1229</v>
      </c>
      <c r="G1499" s="823" t="s">
        <v>1114</v>
      </c>
      <c r="H1499" s="824" t="s">
        <v>414</v>
      </c>
      <c r="I1499" s="825">
        <v>8</v>
      </c>
      <c r="J1499" s="825">
        <v>21711.9</v>
      </c>
      <c r="K1499" s="818">
        <f t="shared" si="97"/>
        <v>173695</v>
      </c>
      <c r="L1499" s="819" t="s">
        <v>250</v>
      </c>
      <c r="M1499" s="819" t="s">
        <v>164</v>
      </c>
      <c r="N1499" s="51" t="str">
        <f>IF(AND('331-CT'!$E$7=TH!H1499,OR(L1499="331",M1499="331")),"331",IF(AND(OR(L1499="131",M1499="131"),H1499='131-CT'!$E$7),"131",""))</f>
        <v/>
      </c>
      <c r="O1499" s="51" t="str">
        <f>IF(AND($B1499&gt;='111'!$N$11,$B1499&lt;='111'!$O$11,OR($L1499=$O$7,$M1499=$O$7)),"x","")</f>
        <v/>
      </c>
      <c r="P1499" s="51" t="str">
        <f>IF(AND($L1499=$O$7,$B1499&lt;'111'!$N$11),"x","")</f>
        <v/>
      </c>
      <c r="Q1499" s="51" t="str">
        <f>IF(AND($M1499=$O$7,$B1499&lt;'111'!$N$11),"x","")</f>
        <v/>
      </c>
      <c r="R1499" s="51" t="str">
        <f>IF(ISERROR(FIND('112'!$M$9,G1499,1)),"",IF((AND(FIND('112'!$M$9,G1499,1)&gt;=1,$B1499&gt;='112'!$N$8,$B1499&lt;='112'!$O$8,OR($L1499='112'!$I$6,$M1499='112'!$I$6))),"x",""))</f>
        <v/>
      </c>
      <c r="S1499" s="51" t="str">
        <f>IF(ISERROR(FIND('112'!$M$9,G1499,1)),"",IF((AND(LEFT(G1499,2)=LEFT('112'!$M$9,2),B1499&lt;'112'!$N$8,$L1499='112'!$I$6)),"x",""))</f>
        <v/>
      </c>
      <c r="T1499" s="51" t="str">
        <f>IF(ISERROR(FIND('112'!$M$9,G1499,1)),"",IF((AND(RIGHT(G1499,2)=RIGHT('112'!$M$9,2),B1499&lt;'112'!$N$8,$M1499='112'!$I$6)),"x",""))</f>
        <v/>
      </c>
      <c r="U1499" s="51" t="str">
        <f>IF(AND(L1499="154",'154'!$O$5&lt;=B1499,'154'!$P$5&gt;=B1499),"154",IF(AND(L1499="632",'632'!$L$5&lt;=B1499,'632'!$M$5&gt;=B1499),"632",IF(AND(L1499="642",'642'!$N$5&lt;=B1499,'642'!$O$5&gt;=B1499),"642",IF(AND(L1499="641",'641'!$N$5&lt;=B1499,'641'!$O$5&gt;=B1499),"641",""))))</f>
        <v/>
      </c>
      <c r="V1499" s="51" t="str">
        <f>IF(OR(TH!L1499=TH!$V$7,M1499=TH!$V$7),"x","")</f>
        <v/>
      </c>
      <c r="W1499" s="51" t="str">
        <f>IF(AND(B1499&gt;='IN-NX'!$P$3,B1499&lt;='IN-NX'!$Q$3,'IN-NX'!$D$7=D1499,OR(LEFT(L1499,2)="15",AND(LEFT(M1499,2)&lt;&gt;"15",LEFT(M1499,2)&lt;&gt;"33"))),"x","")</f>
        <v/>
      </c>
      <c r="X1499" s="51" t="str">
        <f>IF(AND(OR(LEFT(TH!L1499,2)="15",LEFT(TH!M1499,2)="15"),'152-CT'!$J$8=TH!F1499),"x","")</f>
        <v/>
      </c>
      <c r="Y1499" s="51" t="str">
        <f>IF(AND(OR(LEFT(TH!L1499,2)="15",LEFT(TH!M1499,2)="15"),TK!$E$7=TH!F1499),"x","")</f>
        <v/>
      </c>
      <c r="Z1499" s="51" t="str">
        <f>IF(AND(B1499&lt;=NKC!$N$8,B1499&gt;=NKC!$M$8),"x","")</f>
        <v/>
      </c>
      <c r="AA1499" s="826"/>
      <c r="AB1499" s="565"/>
    </row>
    <row r="1500" spans="1:28" s="828" customFormat="1" ht="15.75" customHeight="1">
      <c r="A1500" s="804" t="str">
        <f>IF(B1500&lt;&gt;"",IF(AND(B1500&gt;=_TM1,B1500&lt;=_TM2,OR(TH!L1500="1111",TH!M1500="1111")),TH!D1500,""),"")</f>
        <v/>
      </c>
      <c r="B1500" s="820">
        <f t="shared" si="95"/>
        <v>12</v>
      </c>
      <c r="C1500" s="821">
        <f t="shared" si="96"/>
        <v>42369</v>
      </c>
      <c r="D1500" s="847" t="s">
        <v>1529</v>
      </c>
      <c r="E1500" s="821">
        <v>42369</v>
      </c>
      <c r="F1500" s="822" t="s">
        <v>1218</v>
      </c>
      <c r="G1500" s="823" t="s">
        <v>1114</v>
      </c>
      <c r="H1500" s="824" t="s">
        <v>414</v>
      </c>
      <c r="I1500" s="825">
        <v>8</v>
      </c>
      <c r="J1500" s="825">
        <v>40800</v>
      </c>
      <c r="K1500" s="818">
        <f t="shared" si="97"/>
        <v>326400</v>
      </c>
      <c r="L1500" s="819" t="s">
        <v>250</v>
      </c>
      <c r="M1500" s="819" t="s">
        <v>164</v>
      </c>
      <c r="N1500" s="51" t="str">
        <f>IF(AND('331-CT'!$E$7=TH!H1500,OR(L1500="331",M1500="331")),"331",IF(AND(OR(L1500="131",M1500="131"),H1500='131-CT'!$E$7),"131",""))</f>
        <v/>
      </c>
      <c r="O1500" s="51" t="str">
        <f>IF(AND($B1500&gt;='111'!$N$11,$B1500&lt;='111'!$O$11,OR($L1500=$O$7,$M1500=$O$7)),"x","")</f>
        <v/>
      </c>
      <c r="P1500" s="51" t="str">
        <f>IF(AND($L1500=$O$7,$B1500&lt;'111'!$N$11),"x","")</f>
        <v/>
      </c>
      <c r="Q1500" s="51" t="str">
        <f>IF(AND($M1500=$O$7,$B1500&lt;'111'!$N$11),"x","")</f>
        <v/>
      </c>
      <c r="R1500" s="51" t="str">
        <f>IF(ISERROR(FIND('112'!$M$9,G1500,1)),"",IF((AND(FIND('112'!$M$9,G1500,1)&gt;=1,$B1500&gt;='112'!$N$8,$B1500&lt;='112'!$O$8,OR($L1500='112'!$I$6,$M1500='112'!$I$6))),"x",""))</f>
        <v/>
      </c>
      <c r="S1500" s="51" t="str">
        <f>IF(ISERROR(FIND('112'!$M$9,G1500,1)),"",IF((AND(LEFT(G1500,2)=LEFT('112'!$M$9,2),B1500&lt;'112'!$N$8,$L1500='112'!$I$6)),"x",""))</f>
        <v/>
      </c>
      <c r="T1500" s="51" t="str">
        <f>IF(ISERROR(FIND('112'!$M$9,G1500,1)),"",IF((AND(RIGHT(G1500,2)=RIGHT('112'!$M$9,2),B1500&lt;'112'!$N$8,$M1500='112'!$I$6)),"x",""))</f>
        <v/>
      </c>
      <c r="U1500" s="51" t="str">
        <f>IF(AND(L1500="154",'154'!$O$5&lt;=B1500,'154'!$P$5&gt;=B1500),"154",IF(AND(L1500="632",'632'!$L$5&lt;=B1500,'632'!$M$5&gt;=B1500),"632",IF(AND(L1500="642",'642'!$N$5&lt;=B1500,'642'!$O$5&gt;=B1500),"642",IF(AND(L1500="641",'641'!$N$5&lt;=B1500,'641'!$O$5&gt;=B1500),"641",""))))</f>
        <v/>
      </c>
      <c r="V1500" s="51" t="str">
        <f>IF(OR(TH!L1500=TH!$V$7,M1500=TH!$V$7),"x","")</f>
        <v/>
      </c>
      <c r="W1500" s="51" t="str">
        <f>IF(AND(B1500&gt;='IN-NX'!$P$3,B1500&lt;='IN-NX'!$Q$3,'IN-NX'!$D$7=D1500,OR(LEFT(L1500,2)="15",AND(LEFT(M1500,2)&lt;&gt;"15",LEFT(M1500,2)&lt;&gt;"33"))),"x","")</f>
        <v/>
      </c>
      <c r="X1500" s="51" t="str">
        <f>IF(AND(OR(LEFT(TH!L1500,2)="15",LEFT(TH!M1500,2)="15"),'152-CT'!$J$8=TH!F1500),"x","")</f>
        <v/>
      </c>
      <c r="Y1500" s="51" t="str">
        <f>IF(AND(OR(LEFT(TH!L1500,2)="15",LEFT(TH!M1500,2)="15"),TK!$E$7=TH!F1500),"x","")</f>
        <v/>
      </c>
      <c r="Z1500" s="51" t="str">
        <f>IF(AND(B1500&lt;=NKC!$N$8,B1500&gt;=NKC!$M$8),"x","")</f>
        <v/>
      </c>
      <c r="AA1500" s="826"/>
      <c r="AB1500" s="565"/>
    </row>
    <row r="1501" spans="1:28" s="828" customFormat="1" ht="15.75" customHeight="1">
      <c r="A1501" s="804" t="str">
        <f>IF(B1501&lt;&gt;"",IF(AND(B1501&gt;=_TM1,B1501&lt;=_TM2,OR(TH!L1501="1111",TH!M1501="1111")),TH!D1501,""),"")</f>
        <v/>
      </c>
      <c r="B1501" s="820">
        <f t="shared" si="95"/>
        <v>12</v>
      </c>
      <c r="C1501" s="821">
        <f t="shared" si="96"/>
        <v>42369</v>
      </c>
      <c r="D1501" s="847" t="s">
        <v>1529</v>
      </c>
      <c r="E1501" s="821">
        <v>42369</v>
      </c>
      <c r="F1501" s="822" t="s">
        <v>1232</v>
      </c>
      <c r="G1501" s="823" t="s">
        <v>1114</v>
      </c>
      <c r="H1501" s="824" t="s">
        <v>414</v>
      </c>
      <c r="I1501" s="825">
        <v>1000</v>
      </c>
      <c r="J1501" s="825">
        <v>4300</v>
      </c>
      <c r="K1501" s="818">
        <f t="shared" si="97"/>
        <v>4300000</v>
      </c>
      <c r="L1501" s="819" t="s">
        <v>250</v>
      </c>
      <c r="M1501" s="819" t="s">
        <v>164</v>
      </c>
      <c r="N1501" s="51" t="str">
        <f>IF(AND('331-CT'!$E$7=TH!H1501,OR(L1501="331",M1501="331")),"331",IF(AND(OR(L1501="131",M1501="131"),H1501='131-CT'!$E$7),"131",""))</f>
        <v/>
      </c>
      <c r="O1501" s="51" t="str">
        <f>IF(AND($B1501&gt;='111'!$N$11,$B1501&lt;='111'!$O$11,OR($L1501=$O$7,$M1501=$O$7)),"x","")</f>
        <v/>
      </c>
      <c r="P1501" s="51" t="str">
        <f>IF(AND($L1501=$O$7,$B1501&lt;'111'!$N$11),"x","")</f>
        <v/>
      </c>
      <c r="Q1501" s="51" t="str">
        <f>IF(AND($M1501=$O$7,$B1501&lt;'111'!$N$11),"x","")</f>
        <v/>
      </c>
      <c r="R1501" s="51" t="str">
        <f>IF(ISERROR(FIND('112'!$M$9,G1501,1)),"",IF((AND(FIND('112'!$M$9,G1501,1)&gt;=1,$B1501&gt;='112'!$N$8,$B1501&lt;='112'!$O$8,OR($L1501='112'!$I$6,$M1501='112'!$I$6))),"x",""))</f>
        <v/>
      </c>
      <c r="S1501" s="51" t="str">
        <f>IF(ISERROR(FIND('112'!$M$9,G1501,1)),"",IF((AND(LEFT(G1501,2)=LEFT('112'!$M$9,2),B1501&lt;'112'!$N$8,$L1501='112'!$I$6)),"x",""))</f>
        <v/>
      </c>
      <c r="T1501" s="51" t="str">
        <f>IF(ISERROR(FIND('112'!$M$9,G1501,1)),"",IF((AND(RIGHT(G1501,2)=RIGHT('112'!$M$9,2),B1501&lt;'112'!$N$8,$M1501='112'!$I$6)),"x",""))</f>
        <v/>
      </c>
      <c r="U1501" s="51" t="str">
        <f>IF(AND(L1501="154",'154'!$O$5&lt;=B1501,'154'!$P$5&gt;=B1501),"154",IF(AND(L1501="632",'632'!$L$5&lt;=B1501,'632'!$M$5&gt;=B1501),"632",IF(AND(L1501="642",'642'!$N$5&lt;=B1501,'642'!$O$5&gt;=B1501),"642",IF(AND(L1501="641",'641'!$N$5&lt;=B1501,'641'!$O$5&gt;=B1501),"641",""))))</f>
        <v/>
      </c>
      <c r="V1501" s="51" t="str">
        <f>IF(OR(TH!L1501=TH!$V$7,M1501=TH!$V$7),"x","")</f>
        <v/>
      </c>
      <c r="W1501" s="51" t="str">
        <f>IF(AND(B1501&gt;='IN-NX'!$P$3,B1501&lt;='IN-NX'!$Q$3,'IN-NX'!$D$7=D1501,OR(LEFT(L1501,2)="15",AND(LEFT(M1501,2)&lt;&gt;"15",LEFT(M1501,2)&lt;&gt;"33"))),"x","")</f>
        <v/>
      </c>
      <c r="X1501" s="51" t="str">
        <f>IF(AND(OR(LEFT(TH!L1501,2)="15",LEFT(TH!M1501,2)="15"),'152-CT'!$J$8=TH!F1501),"x","")</f>
        <v/>
      </c>
      <c r="Y1501" s="51" t="str">
        <f>IF(AND(OR(LEFT(TH!L1501,2)="15",LEFT(TH!M1501,2)="15"),TK!$E$7=TH!F1501),"x","")</f>
        <v/>
      </c>
      <c r="Z1501" s="51" t="str">
        <f>IF(AND(B1501&lt;=NKC!$N$8,B1501&gt;=NKC!$M$8),"x","")</f>
        <v/>
      </c>
      <c r="AA1501" s="826"/>
      <c r="AB1501" s="565"/>
    </row>
    <row r="1502" spans="1:28" s="828" customFormat="1" ht="15.75" customHeight="1">
      <c r="A1502" s="804" t="str">
        <f>IF(B1502&lt;&gt;"",IF(AND(B1502&gt;=_TM1,B1502&lt;=_TM2,OR(TH!L1502="1111",TH!M1502="1111")),TH!D1502,""),"")</f>
        <v/>
      </c>
      <c r="B1502" s="820">
        <f t="shared" si="95"/>
        <v>12</v>
      </c>
      <c r="C1502" s="821">
        <f t="shared" si="96"/>
        <v>42369</v>
      </c>
      <c r="D1502" s="847" t="s">
        <v>1529</v>
      </c>
      <c r="E1502" s="821">
        <v>42369</v>
      </c>
      <c r="F1502" s="822" t="s">
        <v>925</v>
      </c>
      <c r="G1502" s="823" t="s">
        <v>1114</v>
      </c>
      <c r="H1502" s="824" t="s">
        <v>414</v>
      </c>
      <c r="I1502" s="825">
        <v>2200</v>
      </c>
      <c r="J1502" s="825">
        <v>9600</v>
      </c>
      <c r="K1502" s="818">
        <f t="shared" si="97"/>
        <v>21120000</v>
      </c>
      <c r="L1502" s="819" t="s">
        <v>250</v>
      </c>
      <c r="M1502" s="819" t="s">
        <v>164</v>
      </c>
      <c r="N1502" s="51" t="str">
        <f>IF(AND('331-CT'!$E$7=TH!H1502,OR(L1502="331",M1502="331")),"331",IF(AND(OR(L1502="131",M1502="131"),H1502='131-CT'!$E$7),"131",""))</f>
        <v/>
      </c>
      <c r="O1502" s="51" t="str">
        <f>IF(AND($B1502&gt;='111'!$N$11,$B1502&lt;='111'!$O$11,OR($L1502=$O$7,$M1502=$O$7)),"x","")</f>
        <v/>
      </c>
      <c r="P1502" s="51" t="str">
        <f>IF(AND($L1502=$O$7,$B1502&lt;'111'!$N$11),"x","")</f>
        <v/>
      </c>
      <c r="Q1502" s="51" t="str">
        <f>IF(AND($M1502=$O$7,$B1502&lt;'111'!$N$11),"x","")</f>
        <v/>
      </c>
      <c r="R1502" s="51" t="str">
        <f>IF(ISERROR(FIND('112'!$M$9,G1502,1)),"",IF((AND(FIND('112'!$M$9,G1502,1)&gt;=1,$B1502&gt;='112'!$N$8,$B1502&lt;='112'!$O$8,OR($L1502='112'!$I$6,$M1502='112'!$I$6))),"x",""))</f>
        <v/>
      </c>
      <c r="S1502" s="51" t="str">
        <f>IF(ISERROR(FIND('112'!$M$9,G1502,1)),"",IF((AND(LEFT(G1502,2)=LEFT('112'!$M$9,2),B1502&lt;'112'!$N$8,$L1502='112'!$I$6)),"x",""))</f>
        <v/>
      </c>
      <c r="T1502" s="51" t="str">
        <f>IF(ISERROR(FIND('112'!$M$9,G1502,1)),"",IF((AND(RIGHT(G1502,2)=RIGHT('112'!$M$9,2),B1502&lt;'112'!$N$8,$M1502='112'!$I$6)),"x",""))</f>
        <v/>
      </c>
      <c r="U1502" s="51" t="str">
        <f>IF(AND(L1502="154",'154'!$O$5&lt;=B1502,'154'!$P$5&gt;=B1502),"154",IF(AND(L1502="632",'632'!$L$5&lt;=B1502,'632'!$M$5&gt;=B1502),"632",IF(AND(L1502="642",'642'!$N$5&lt;=B1502,'642'!$O$5&gt;=B1502),"642",IF(AND(L1502="641",'641'!$N$5&lt;=B1502,'641'!$O$5&gt;=B1502),"641",""))))</f>
        <v/>
      </c>
      <c r="V1502" s="51" t="str">
        <f>IF(OR(TH!L1502=TH!$V$7,M1502=TH!$V$7),"x","")</f>
        <v/>
      </c>
      <c r="W1502" s="51" t="str">
        <f>IF(AND(B1502&gt;='IN-NX'!$P$3,B1502&lt;='IN-NX'!$Q$3,'IN-NX'!$D$7=D1502,OR(LEFT(L1502,2)="15",AND(LEFT(M1502,2)&lt;&gt;"15",LEFT(M1502,2)&lt;&gt;"33"))),"x","")</f>
        <v/>
      </c>
      <c r="X1502" s="51" t="str">
        <f>IF(AND(OR(LEFT(TH!L1502,2)="15",LEFT(TH!M1502,2)="15"),'152-CT'!$J$8=TH!F1502),"x","")</f>
        <v/>
      </c>
      <c r="Y1502" s="51" t="str">
        <f>IF(AND(OR(LEFT(TH!L1502,2)="15",LEFT(TH!M1502,2)="15"),TK!$E$7=TH!F1502),"x","")</f>
        <v/>
      </c>
      <c r="Z1502" s="51" t="str">
        <f>IF(AND(B1502&lt;=NKC!$N$8,B1502&gt;=NKC!$M$8),"x","")</f>
        <v/>
      </c>
      <c r="AA1502" s="826"/>
      <c r="AB1502" s="565"/>
    </row>
    <row r="1503" spans="1:28" s="828" customFormat="1" ht="15.75" customHeight="1">
      <c r="A1503" s="804" t="str">
        <f>IF(B1503&lt;&gt;"",IF(AND(B1503&gt;=_TM1,B1503&lt;=_TM2,OR(TH!L1503="1111",TH!M1503="1111")),TH!D1503,""),"")</f>
        <v/>
      </c>
      <c r="B1503" s="820">
        <f t="shared" si="95"/>
        <v>12</v>
      </c>
      <c r="C1503" s="821">
        <f t="shared" si="96"/>
        <v>42369</v>
      </c>
      <c r="D1503" s="847" t="s">
        <v>1529</v>
      </c>
      <c r="E1503" s="821">
        <v>42369</v>
      </c>
      <c r="F1503" s="822" t="s">
        <v>1233</v>
      </c>
      <c r="G1503" s="823" t="s">
        <v>1114</v>
      </c>
      <c r="H1503" s="824" t="s">
        <v>414</v>
      </c>
      <c r="I1503" s="825">
        <v>2000</v>
      </c>
      <c r="J1503" s="825">
        <v>6300</v>
      </c>
      <c r="K1503" s="818">
        <f t="shared" si="97"/>
        <v>12600000</v>
      </c>
      <c r="L1503" s="819" t="s">
        <v>250</v>
      </c>
      <c r="M1503" s="819" t="s">
        <v>164</v>
      </c>
      <c r="N1503" s="51" t="str">
        <f>IF(AND('331-CT'!$E$7=TH!H1503,OR(L1503="331",M1503="331")),"331",IF(AND(OR(L1503="131",M1503="131"),H1503='131-CT'!$E$7),"131",""))</f>
        <v/>
      </c>
      <c r="O1503" s="51" t="str">
        <f>IF(AND($B1503&gt;='111'!$N$11,$B1503&lt;='111'!$O$11,OR($L1503=$O$7,$M1503=$O$7)),"x","")</f>
        <v/>
      </c>
      <c r="P1503" s="51" t="str">
        <f>IF(AND($L1503=$O$7,$B1503&lt;'111'!$N$11),"x","")</f>
        <v/>
      </c>
      <c r="Q1503" s="51" t="str">
        <f>IF(AND($M1503=$O$7,$B1503&lt;'111'!$N$11),"x","")</f>
        <v/>
      </c>
      <c r="R1503" s="51" t="str">
        <f>IF(ISERROR(FIND('112'!$M$9,G1503,1)),"",IF((AND(FIND('112'!$M$9,G1503,1)&gt;=1,$B1503&gt;='112'!$N$8,$B1503&lt;='112'!$O$8,OR($L1503='112'!$I$6,$M1503='112'!$I$6))),"x",""))</f>
        <v/>
      </c>
      <c r="S1503" s="51" t="str">
        <f>IF(ISERROR(FIND('112'!$M$9,G1503,1)),"",IF((AND(LEFT(G1503,2)=LEFT('112'!$M$9,2),B1503&lt;'112'!$N$8,$L1503='112'!$I$6)),"x",""))</f>
        <v/>
      </c>
      <c r="T1503" s="51" t="str">
        <f>IF(ISERROR(FIND('112'!$M$9,G1503,1)),"",IF((AND(RIGHT(G1503,2)=RIGHT('112'!$M$9,2),B1503&lt;'112'!$N$8,$M1503='112'!$I$6)),"x",""))</f>
        <v/>
      </c>
      <c r="U1503" s="51" t="str">
        <f>IF(AND(L1503="154",'154'!$O$5&lt;=B1503,'154'!$P$5&gt;=B1503),"154",IF(AND(L1503="632",'632'!$L$5&lt;=B1503,'632'!$M$5&gt;=B1503),"632",IF(AND(L1503="642",'642'!$N$5&lt;=B1503,'642'!$O$5&gt;=B1503),"642",IF(AND(L1503="641",'641'!$N$5&lt;=B1503,'641'!$O$5&gt;=B1503),"641",""))))</f>
        <v/>
      </c>
      <c r="V1503" s="51" t="str">
        <f>IF(OR(TH!L1503=TH!$V$7,M1503=TH!$V$7),"x","")</f>
        <v/>
      </c>
      <c r="W1503" s="51" t="str">
        <f>IF(AND(B1503&gt;='IN-NX'!$P$3,B1503&lt;='IN-NX'!$Q$3,'IN-NX'!$D$7=D1503,OR(LEFT(L1503,2)="15",AND(LEFT(M1503,2)&lt;&gt;"15",LEFT(M1503,2)&lt;&gt;"33"))),"x","")</f>
        <v/>
      </c>
      <c r="X1503" s="51" t="str">
        <f>IF(AND(OR(LEFT(TH!L1503,2)="15",LEFT(TH!M1503,2)="15"),'152-CT'!$J$8=TH!F1503),"x","")</f>
        <v/>
      </c>
      <c r="Y1503" s="51" t="str">
        <f>IF(AND(OR(LEFT(TH!L1503,2)="15",LEFT(TH!M1503,2)="15"),TK!$E$7=TH!F1503),"x","")</f>
        <v/>
      </c>
      <c r="Z1503" s="51" t="str">
        <f>IF(AND(B1503&lt;=NKC!$N$8,B1503&gt;=NKC!$M$8),"x","")</f>
        <v/>
      </c>
      <c r="AA1503" s="826"/>
      <c r="AB1503" s="565"/>
    </row>
    <row r="1504" spans="1:28" s="828" customFormat="1" ht="15.75" customHeight="1">
      <c r="A1504" s="804" t="str">
        <f>IF(B1504&lt;&gt;"",IF(AND(B1504&gt;=_TM1,B1504&lt;=_TM2,OR(TH!L1504="1111",TH!M1504="1111")),TH!D1504,""),"")</f>
        <v/>
      </c>
      <c r="B1504" s="820">
        <f t="shared" si="95"/>
        <v>12</v>
      </c>
      <c r="C1504" s="821">
        <f t="shared" si="96"/>
        <v>42369</v>
      </c>
      <c r="D1504" s="847" t="s">
        <v>1529</v>
      </c>
      <c r="E1504" s="821">
        <v>42369</v>
      </c>
      <c r="F1504" s="822" t="s">
        <v>926</v>
      </c>
      <c r="G1504" s="823" t="s">
        <v>1114</v>
      </c>
      <c r="H1504" s="824" t="s">
        <v>414</v>
      </c>
      <c r="I1504" s="825">
        <v>1850</v>
      </c>
      <c r="J1504" s="825">
        <v>8250</v>
      </c>
      <c r="K1504" s="818">
        <f t="shared" si="97"/>
        <v>15262500</v>
      </c>
      <c r="L1504" s="819" t="s">
        <v>250</v>
      </c>
      <c r="M1504" s="819" t="s">
        <v>164</v>
      </c>
      <c r="N1504" s="51" t="str">
        <f>IF(AND('331-CT'!$E$7=TH!H1504,OR(L1504="331",M1504="331")),"331",IF(AND(OR(L1504="131",M1504="131"),H1504='131-CT'!$E$7),"131",""))</f>
        <v/>
      </c>
      <c r="O1504" s="51" t="str">
        <f>IF(AND($B1504&gt;='111'!$N$11,$B1504&lt;='111'!$O$11,OR($L1504=$O$7,$M1504=$O$7)),"x","")</f>
        <v/>
      </c>
      <c r="P1504" s="51" t="str">
        <f>IF(AND($L1504=$O$7,$B1504&lt;'111'!$N$11),"x","")</f>
        <v/>
      </c>
      <c r="Q1504" s="51" t="str">
        <f>IF(AND($M1504=$O$7,$B1504&lt;'111'!$N$11),"x","")</f>
        <v/>
      </c>
      <c r="R1504" s="51" t="str">
        <f>IF(ISERROR(FIND('112'!$M$9,G1504,1)),"",IF((AND(FIND('112'!$M$9,G1504,1)&gt;=1,$B1504&gt;='112'!$N$8,$B1504&lt;='112'!$O$8,OR($L1504='112'!$I$6,$M1504='112'!$I$6))),"x",""))</f>
        <v/>
      </c>
      <c r="S1504" s="51" t="str">
        <f>IF(ISERROR(FIND('112'!$M$9,G1504,1)),"",IF((AND(LEFT(G1504,2)=LEFT('112'!$M$9,2),B1504&lt;'112'!$N$8,$L1504='112'!$I$6)),"x",""))</f>
        <v/>
      </c>
      <c r="T1504" s="51" t="str">
        <f>IF(ISERROR(FIND('112'!$M$9,G1504,1)),"",IF((AND(RIGHT(G1504,2)=RIGHT('112'!$M$9,2),B1504&lt;'112'!$N$8,$M1504='112'!$I$6)),"x",""))</f>
        <v/>
      </c>
      <c r="U1504" s="51" t="str">
        <f>IF(AND(L1504="154",'154'!$O$5&lt;=B1504,'154'!$P$5&gt;=B1504),"154",IF(AND(L1504="632",'632'!$L$5&lt;=B1504,'632'!$M$5&gt;=B1504),"632",IF(AND(L1504="642",'642'!$N$5&lt;=B1504,'642'!$O$5&gt;=B1504),"642",IF(AND(L1504="641",'641'!$N$5&lt;=B1504,'641'!$O$5&gt;=B1504),"641",""))))</f>
        <v/>
      </c>
      <c r="V1504" s="51" t="str">
        <f>IF(OR(TH!L1504=TH!$V$7,M1504=TH!$V$7),"x","")</f>
        <v/>
      </c>
      <c r="W1504" s="51" t="str">
        <f>IF(AND(B1504&gt;='IN-NX'!$P$3,B1504&lt;='IN-NX'!$Q$3,'IN-NX'!$D$7=D1504,OR(LEFT(L1504,2)="15",AND(LEFT(M1504,2)&lt;&gt;"15",LEFT(M1504,2)&lt;&gt;"33"))),"x","")</f>
        <v/>
      </c>
      <c r="X1504" s="51" t="str">
        <f>IF(AND(OR(LEFT(TH!L1504,2)="15",LEFT(TH!M1504,2)="15"),'152-CT'!$J$8=TH!F1504),"x","")</f>
        <v/>
      </c>
      <c r="Y1504" s="51" t="str">
        <f>IF(AND(OR(LEFT(TH!L1504,2)="15",LEFT(TH!M1504,2)="15"),TK!$E$7=TH!F1504),"x","")</f>
        <v/>
      </c>
      <c r="Z1504" s="51" t="str">
        <f>IF(AND(B1504&lt;=NKC!$N$8,B1504&gt;=NKC!$M$8),"x","")</f>
        <v/>
      </c>
      <c r="AA1504" s="826"/>
      <c r="AB1504" s="565"/>
    </row>
    <row r="1505" spans="1:31" s="828" customFormat="1" ht="15.75" customHeight="1">
      <c r="A1505" s="804" t="str">
        <f>IF(B1505&lt;&gt;"",IF(AND(B1505&gt;=_TM1,B1505&lt;=_TM2,OR(TH!L1505="1111",TH!M1505="1111")),TH!D1505,""),"")</f>
        <v/>
      </c>
      <c r="B1505" s="820">
        <f t="shared" si="95"/>
        <v>12</v>
      </c>
      <c r="C1505" s="821">
        <f t="shared" si="96"/>
        <v>42369</v>
      </c>
      <c r="D1505" s="847" t="s">
        <v>1529</v>
      </c>
      <c r="E1505" s="821">
        <v>42369</v>
      </c>
      <c r="F1505" s="822" t="s">
        <v>927</v>
      </c>
      <c r="G1505" s="823" t="s">
        <v>1114</v>
      </c>
      <c r="H1505" s="824" t="s">
        <v>414</v>
      </c>
      <c r="I1505" s="825">
        <v>2000</v>
      </c>
      <c r="J1505" s="825">
        <v>9400</v>
      </c>
      <c r="K1505" s="818">
        <f t="shared" si="97"/>
        <v>18800000</v>
      </c>
      <c r="L1505" s="819" t="s">
        <v>250</v>
      </c>
      <c r="M1505" s="819" t="s">
        <v>164</v>
      </c>
      <c r="N1505" s="51" t="str">
        <f>IF(AND('331-CT'!$E$7=TH!H1505,OR(L1505="331",M1505="331")),"331",IF(AND(OR(L1505="131",M1505="131"),H1505='131-CT'!$E$7),"131",""))</f>
        <v/>
      </c>
      <c r="O1505" s="51" t="str">
        <f>IF(AND($B1505&gt;='111'!$N$11,$B1505&lt;='111'!$O$11,OR($L1505=$O$7,$M1505=$O$7)),"x","")</f>
        <v/>
      </c>
      <c r="P1505" s="51" t="str">
        <f>IF(AND($L1505=$O$7,$B1505&lt;'111'!$N$11),"x","")</f>
        <v/>
      </c>
      <c r="Q1505" s="51" t="str">
        <f>IF(AND($M1505=$O$7,$B1505&lt;'111'!$N$11),"x","")</f>
        <v/>
      </c>
      <c r="R1505" s="51" t="str">
        <f>IF(ISERROR(FIND('112'!$M$9,G1505,1)),"",IF((AND(FIND('112'!$M$9,G1505,1)&gt;=1,$B1505&gt;='112'!$N$8,$B1505&lt;='112'!$O$8,OR($L1505='112'!$I$6,$M1505='112'!$I$6))),"x",""))</f>
        <v/>
      </c>
      <c r="S1505" s="51" t="str">
        <f>IF(ISERROR(FIND('112'!$M$9,G1505,1)),"",IF((AND(LEFT(G1505,2)=LEFT('112'!$M$9,2),B1505&lt;'112'!$N$8,$L1505='112'!$I$6)),"x",""))</f>
        <v/>
      </c>
      <c r="T1505" s="51" t="str">
        <f>IF(ISERROR(FIND('112'!$M$9,G1505,1)),"",IF((AND(RIGHT(G1505,2)=RIGHT('112'!$M$9,2),B1505&lt;'112'!$N$8,$M1505='112'!$I$6)),"x",""))</f>
        <v/>
      </c>
      <c r="U1505" s="51" t="str">
        <f>IF(AND(L1505="154",'154'!$O$5&lt;=B1505,'154'!$P$5&gt;=B1505),"154",IF(AND(L1505="632",'632'!$L$5&lt;=B1505,'632'!$M$5&gt;=B1505),"632",IF(AND(L1505="642",'642'!$N$5&lt;=B1505,'642'!$O$5&gt;=B1505),"642",IF(AND(L1505="641",'641'!$N$5&lt;=B1505,'641'!$O$5&gt;=B1505),"641",""))))</f>
        <v/>
      </c>
      <c r="V1505" s="51" t="str">
        <f>IF(OR(TH!L1505=TH!$V$7,M1505=TH!$V$7),"x","")</f>
        <v/>
      </c>
      <c r="W1505" s="51" t="str">
        <f>IF(AND(B1505&gt;='IN-NX'!$P$3,B1505&lt;='IN-NX'!$Q$3,'IN-NX'!$D$7=D1505,OR(LEFT(L1505,2)="15",AND(LEFT(M1505,2)&lt;&gt;"15",LEFT(M1505,2)&lt;&gt;"33"))),"x","")</f>
        <v/>
      </c>
      <c r="X1505" s="51" t="str">
        <f>IF(AND(OR(LEFT(TH!L1505,2)="15",LEFT(TH!M1505,2)="15"),'152-CT'!$J$8=TH!F1505),"x","")</f>
        <v/>
      </c>
      <c r="Y1505" s="51" t="str">
        <f>IF(AND(OR(LEFT(TH!L1505,2)="15",LEFT(TH!M1505,2)="15"),TK!$E$7=TH!F1505),"x","")</f>
        <v/>
      </c>
      <c r="Z1505" s="51" t="str">
        <f>IF(AND(B1505&lt;=NKC!$N$8,B1505&gt;=NKC!$M$8),"x","")</f>
        <v/>
      </c>
      <c r="AA1505" s="826"/>
      <c r="AB1505" s="565"/>
    </row>
    <row r="1506" spans="1:31" s="828" customFormat="1" ht="15.75" customHeight="1">
      <c r="A1506" s="804" t="str">
        <f>IF(B1506&lt;&gt;"",IF(AND(B1506&gt;=_TM1,B1506&lt;=_TM2,OR(TH!L1506="1111",TH!M1506="1111")),TH!D1506,""),"")</f>
        <v/>
      </c>
      <c r="B1506" s="820">
        <f t="shared" si="95"/>
        <v>12</v>
      </c>
      <c r="C1506" s="821">
        <f t="shared" si="96"/>
        <v>42369</v>
      </c>
      <c r="D1506" s="847" t="s">
        <v>1529</v>
      </c>
      <c r="E1506" s="821">
        <v>42369</v>
      </c>
      <c r="F1506" s="822" t="s">
        <v>962</v>
      </c>
      <c r="G1506" s="823" t="s">
        <v>1114</v>
      </c>
      <c r="H1506" s="824" t="s">
        <v>414</v>
      </c>
      <c r="I1506" s="825"/>
      <c r="J1506" s="825"/>
      <c r="K1506" s="818">
        <v>8205882</v>
      </c>
      <c r="L1506" s="819" t="s">
        <v>250</v>
      </c>
      <c r="M1506" s="819" t="s">
        <v>352</v>
      </c>
      <c r="N1506" s="51" t="str">
        <f>IF(AND('331-CT'!$E$7=TH!H1506,OR(L1506="331",M1506="331")),"331",IF(AND(OR(L1506="131",M1506="131"),H1506='131-CT'!$E$7),"131",""))</f>
        <v/>
      </c>
      <c r="O1506" s="51" t="str">
        <f>IF(AND($B1506&gt;='111'!$N$11,$B1506&lt;='111'!$O$11,OR($L1506=$O$7,$M1506=$O$7)),"x","")</f>
        <v/>
      </c>
      <c r="P1506" s="51" t="str">
        <f>IF(AND($L1506=$O$7,$B1506&lt;'111'!$N$11),"x","")</f>
        <v/>
      </c>
      <c r="Q1506" s="51" t="str">
        <f>IF(AND($M1506=$O$7,$B1506&lt;'111'!$N$11),"x","")</f>
        <v/>
      </c>
      <c r="R1506" s="51" t="str">
        <f>IF(ISERROR(FIND('112'!$M$9,G1506,1)),"",IF((AND(FIND('112'!$M$9,G1506,1)&gt;=1,$B1506&gt;='112'!$N$8,$B1506&lt;='112'!$O$8,OR($L1506='112'!$I$6,$M1506='112'!$I$6))),"x",""))</f>
        <v/>
      </c>
      <c r="S1506" s="51" t="str">
        <f>IF(ISERROR(FIND('112'!$M$9,G1506,1)),"",IF((AND(LEFT(G1506,2)=LEFT('112'!$M$9,2),B1506&lt;'112'!$N$8,$L1506='112'!$I$6)),"x",""))</f>
        <v/>
      </c>
      <c r="T1506" s="51" t="str">
        <f>IF(ISERROR(FIND('112'!$M$9,G1506,1)),"",IF((AND(RIGHT(G1506,2)=RIGHT('112'!$M$9,2),B1506&lt;'112'!$N$8,$M1506='112'!$I$6)),"x",""))</f>
        <v/>
      </c>
      <c r="U1506" s="51" t="str">
        <f>IF(AND(L1506="154",'154'!$O$5&lt;=B1506,'154'!$P$5&gt;=B1506),"154",IF(AND(L1506="632",'632'!$L$5&lt;=B1506,'632'!$M$5&gt;=B1506),"632",IF(AND(L1506="642",'642'!$N$5&lt;=B1506,'642'!$O$5&gt;=B1506),"642",IF(AND(L1506="641",'641'!$N$5&lt;=B1506,'641'!$O$5&gt;=B1506),"641",""))))</f>
        <v/>
      </c>
      <c r="V1506" s="51" t="str">
        <f>IF(OR(TH!L1506=TH!$V$7,M1506=TH!$V$7),"x","")</f>
        <v/>
      </c>
      <c r="W1506" s="51" t="str">
        <f>IF(AND(B1506&gt;='IN-NX'!$P$3,B1506&lt;='IN-NX'!$Q$3,'IN-NX'!$D$7=D1506,OR(LEFT(L1506,2)="15",AND(LEFT(M1506,2)&lt;&gt;"15",LEFT(M1506,2)&lt;&gt;"33"))),"x","")</f>
        <v/>
      </c>
      <c r="X1506" s="51" t="str">
        <f>IF(AND(OR(LEFT(TH!L1506,2)="15",LEFT(TH!M1506,2)="15"),'152-CT'!$J$8=TH!F1506),"x","")</f>
        <v/>
      </c>
      <c r="Y1506" s="51" t="str">
        <f>IF(AND(OR(LEFT(TH!L1506,2)="15",LEFT(TH!M1506,2)="15"),TK!$E$7=TH!F1506),"x","")</f>
        <v/>
      </c>
      <c r="Z1506" s="51" t="str">
        <f>IF(AND(B1506&lt;=NKC!$N$8,B1506&gt;=NKC!$M$8),"x","")</f>
        <v/>
      </c>
      <c r="AA1506" s="826"/>
      <c r="AB1506" s="565"/>
      <c r="AC1506" s="840"/>
      <c r="AD1506" s="840"/>
      <c r="AE1506" s="840"/>
    </row>
    <row r="1507" spans="1:31" ht="15.75" customHeight="1">
      <c r="A1507" s="804" t="str">
        <f>IF(B1507&lt;&gt;"",IF(AND(B1507&gt;=_TM1,B1507&lt;=_TM2,OR(TH!L1507="1111",TH!M1507="1111")),TH!D1507,""),"")</f>
        <v/>
      </c>
      <c r="B1507" s="36">
        <f t="shared" ref="B1507:B1537" si="98">IF(C1507&lt;&gt;"",MONTH(C1507),"")</f>
        <v>1</v>
      </c>
      <c r="C1507" s="189">
        <f t="shared" ref="C1507:C1520" si="99">E1507</f>
        <v>42013</v>
      </c>
      <c r="D1507" s="830" t="s">
        <v>1285</v>
      </c>
      <c r="E1507" s="830">
        <v>42013</v>
      </c>
      <c r="F1507" s="831" t="s">
        <v>499</v>
      </c>
      <c r="G1507" s="832" t="s">
        <v>961</v>
      </c>
      <c r="H1507" s="833" t="s">
        <v>1259</v>
      </c>
      <c r="I1507" s="241">
        <v>110</v>
      </c>
      <c r="J1507" s="241">
        <v>13230</v>
      </c>
      <c r="K1507" s="834">
        <f t="shared" ref="K1507:K1512" si="100">ROUND(I1507*J1507,0)</f>
        <v>1455300</v>
      </c>
      <c r="L1507" s="835" t="s">
        <v>162</v>
      </c>
      <c r="M1507" s="835" t="s">
        <v>417</v>
      </c>
      <c r="N1507" s="51" t="str">
        <f>IF(AND('331-CT'!$E$7=TH!H1507,OR(L1507="331",M1507="331")),"331",IF(AND(OR(L1507="131",M1507="131"),H1507='131-CT'!$E$7),"131",""))</f>
        <v/>
      </c>
      <c r="O1507" s="51" t="str">
        <f>IF(AND($B1507&gt;='111'!$N$11,$B1507&lt;='111'!$O$11,OR($L1507=$O$7,$M1507=$O$7)),"x","")</f>
        <v/>
      </c>
      <c r="P1507" s="51" t="str">
        <f>IF(AND($L1507=$O$7,$B1507&lt;'111'!$N$11),"x","")</f>
        <v/>
      </c>
      <c r="Q1507" s="51" t="str">
        <f>IF(AND($M1507=$O$7,$B1507&lt;'111'!$N$11),"x","")</f>
        <v/>
      </c>
      <c r="R1507" s="51" t="str">
        <f>IF(ISERROR(FIND('112'!$M$9,G1507,1)),"",IF((AND(FIND('112'!$M$9,G1507,1)&gt;=1,$B1507&gt;='112'!$N$8,$B1507&lt;='112'!$O$8,OR($L1507='112'!$I$6,$M1507='112'!$I$6))),"x",""))</f>
        <v/>
      </c>
      <c r="S1507" s="51" t="str">
        <f>IF(ISERROR(FIND('112'!$M$9,G1507,1)),"",IF((AND(LEFT(G1507,2)=LEFT('112'!$M$9,2),B1507&lt;'112'!$N$8,$L1507='112'!$I$6)),"x",""))</f>
        <v/>
      </c>
      <c r="T1507" s="51" t="str">
        <f>IF(ISERROR(FIND('112'!$M$9,G1507,1)),"",IF((AND(RIGHT(G1507,2)=RIGHT('112'!$M$9,2),B1507&lt;'112'!$N$8,$M1507='112'!$I$6)),"x",""))</f>
        <v/>
      </c>
      <c r="U1507" s="51" t="str">
        <f>IF(AND(L1507="154",'154'!$O$5&lt;=B1507,'154'!$P$5&gt;=B1507),"154",IF(AND(L1507="632",'632'!$L$5&lt;=B1507,'632'!$M$5&gt;=B1507),"632",IF(AND(L1507="642",'642'!$N$5&lt;=B1507,'642'!$O$5&gt;=B1507),"642",IF(AND(L1507="641",'641'!$N$5&lt;=B1507,'641'!$O$5&gt;=B1507),"641",""))))</f>
        <v/>
      </c>
      <c r="V1507" s="51" t="str">
        <f>IF(OR(TH!L1507=TH!$V$7,M1507=TH!$V$7),"x","")</f>
        <v/>
      </c>
      <c r="W1507" s="51" t="str">
        <f>IF(AND(B1507&gt;='IN-NX'!$P$3,B1507&lt;='IN-NX'!$Q$3,'IN-NX'!$D$7=D1507,OR(LEFT(L1507,2)="15",AND(LEFT(M1507,2)&lt;&gt;"15",LEFT(M1507,2)&lt;&gt;"33"))),"x","")</f>
        <v/>
      </c>
      <c r="X1507" s="51" t="str">
        <f>IF(AND(OR(LEFT(TH!L1507,2)="15",LEFT(TH!M1507,2)="15"),'152-CT'!$J$8=TH!F1507),"x","")</f>
        <v/>
      </c>
      <c r="Y1507" s="51" t="str">
        <f>IF(AND(OR(LEFT(TH!L1507,2)="15",LEFT(TH!M1507,2)="15"),TK!$E$7=TH!F1507),"x","")</f>
        <v/>
      </c>
      <c r="Z1507" s="51" t="str">
        <f>IF(AND(B1507&lt;=NKC!$N$8,B1507&gt;=NKC!$M$8),"x","")</f>
        <v/>
      </c>
      <c r="AA1507" s="803"/>
      <c r="AB1507" s="565"/>
    </row>
    <row r="1508" spans="1:31" ht="15.75" customHeight="1">
      <c r="A1508" s="804" t="str">
        <f>IF(B1508&lt;&gt;"",IF(AND(B1508&gt;=_TM1,B1508&lt;=_TM2,OR(TH!L1508="1111",TH!M1508="1111")),TH!D1508,""),"")</f>
        <v/>
      </c>
      <c r="B1508" s="36">
        <f t="shared" si="98"/>
        <v>3</v>
      </c>
      <c r="C1508" s="189">
        <f t="shared" si="99"/>
        <v>42071</v>
      </c>
      <c r="D1508" s="830" t="s">
        <v>1285</v>
      </c>
      <c r="E1508" s="830">
        <v>42071</v>
      </c>
      <c r="F1508" s="831" t="s">
        <v>497</v>
      </c>
      <c r="G1508" s="832" t="s">
        <v>978</v>
      </c>
      <c r="H1508" s="833" t="s">
        <v>1259</v>
      </c>
      <c r="I1508" s="241">
        <v>40</v>
      </c>
      <c r="J1508" s="241">
        <v>40680</v>
      </c>
      <c r="K1508" s="834">
        <f t="shared" si="100"/>
        <v>1627200</v>
      </c>
      <c r="L1508" s="835" t="s">
        <v>162</v>
      </c>
      <c r="M1508" s="835" t="s">
        <v>417</v>
      </c>
      <c r="N1508" s="51" t="str">
        <f>IF(AND('331-CT'!$E$7=TH!H1508,OR(L1508="331",M1508="331")),"331",IF(AND(OR(L1508="131",M1508="131"),H1508='131-CT'!$E$7),"131",""))</f>
        <v/>
      </c>
      <c r="O1508" s="51" t="str">
        <f>IF(AND($B1508&gt;='111'!$N$11,$B1508&lt;='111'!$O$11,OR($L1508=$O$7,$M1508=$O$7)),"x","")</f>
        <v/>
      </c>
      <c r="P1508" s="51" t="str">
        <f>IF(AND($L1508=$O$7,$B1508&lt;'111'!$N$11),"x","")</f>
        <v/>
      </c>
      <c r="Q1508" s="51" t="str">
        <f>IF(AND($M1508=$O$7,$B1508&lt;'111'!$N$11),"x","")</f>
        <v/>
      </c>
      <c r="R1508" s="51" t="str">
        <f>IF(ISERROR(FIND('112'!$M$9,G1508,1)),"",IF((AND(FIND('112'!$M$9,G1508,1)&gt;=1,$B1508&gt;='112'!$N$8,$B1508&lt;='112'!$O$8,OR($L1508='112'!$I$6,$M1508='112'!$I$6))),"x",""))</f>
        <v/>
      </c>
      <c r="S1508" s="51" t="str">
        <f>IF(ISERROR(FIND('112'!$M$9,G1508,1)),"",IF((AND(LEFT(G1508,2)=LEFT('112'!$M$9,2),B1508&lt;'112'!$N$8,$L1508='112'!$I$6)),"x",""))</f>
        <v/>
      </c>
      <c r="T1508" s="51" t="str">
        <f>IF(ISERROR(FIND('112'!$M$9,G1508,1)),"",IF((AND(RIGHT(G1508,2)=RIGHT('112'!$M$9,2),B1508&lt;'112'!$N$8,$M1508='112'!$I$6)),"x",""))</f>
        <v/>
      </c>
      <c r="U1508" s="51" t="str">
        <f>IF(AND(L1508="154",'154'!$O$5&lt;=B1508,'154'!$P$5&gt;=B1508),"154",IF(AND(L1508="632",'632'!$L$5&lt;=B1508,'632'!$M$5&gt;=B1508),"632",IF(AND(L1508="642",'642'!$N$5&lt;=B1508,'642'!$O$5&gt;=B1508),"642",IF(AND(L1508="641",'641'!$N$5&lt;=B1508,'641'!$O$5&gt;=B1508),"641",""))))</f>
        <v/>
      </c>
      <c r="V1508" s="51" t="str">
        <f>IF(OR(TH!L1508=TH!$V$7,M1508=TH!$V$7),"x","")</f>
        <v/>
      </c>
      <c r="W1508" s="51" t="str">
        <f>IF(AND(B1508&gt;='IN-NX'!$P$3,B1508&lt;='IN-NX'!$Q$3,'IN-NX'!$D$7=D1508,OR(LEFT(L1508,2)="15",AND(LEFT(M1508,2)&lt;&gt;"15",LEFT(M1508,2)&lt;&gt;"33"))),"x","")</f>
        <v/>
      </c>
      <c r="X1508" s="51" t="str">
        <f>IF(AND(OR(LEFT(TH!L1508,2)="15",LEFT(TH!M1508,2)="15"),'152-CT'!$J$8=TH!F1508),"x","")</f>
        <v/>
      </c>
      <c r="Y1508" s="51" t="str">
        <f>IF(AND(OR(LEFT(TH!L1508,2)="15",LEFT(TH!M1508,2)="15"),TK!$E$7=TH!F1508),"x","")</f>
        <v/>
      </c>
      <c r="Z1508" s="51" t="str">
        <f>IF(AND(B1508&lt;=NKC!$N$8,B1508&gt;=NKC!$M$8),"x","")</f>
        <v/>
      </c>
      <c r="AA1508" s="803"/>
      <c r="AB1508" s="565"/>
    </row>
    <row r="1509" spans="1:31" ht="15.75" customHeight="1">
      <c r="A1509" s="804" t="str">
        <f>IF(B1509&lt;&gt;"",IF(AND(B1509&gt;=_TM1,B1509&lt;=_TM2,OR(TH!L1509="1111",TH!M1509="1111")),TH!D1509,""),"")</f>
        <v/>
      </c>
      <c r="B1509" s="36">
        <f t="shared" si="98"/>
        <v>3</v>
      </c>
      <c r="C1509" s="189">
        <f t="shared" si="99"/>
        <v>42079</v>
      </c>
      <c r="D1509" s="830" t="s">
        <v>1285</v>
      </c>
      <c r="E1509" s="830">
        <v>42079</v>
      </c>
      <c r="F1509" s="831" t="s">
        <v>498</v>
      </c>
      <c r="G1509" s="832" t="s">
        <v>979</v>
      </c>
      <c r="H1509" s="833" t="s">
        <v>1259</v>
      </c>
      <c r="I1509" s="241">
        <v>600</v>
      </c>
      <c r="J1509" s="241">
        <v>6030</v>
      </c>
      <c r="K1509" s="834">
        <f t="shared" si="100"/>
        <v>3618000</v>
      </c>
      <c r="L1509" s="835" t="s">
        <v>162</v>
      </c>
      <c r="M1509" s="835" t="s">
        <v>417</v>
      </c>
      <c r="N1509" s="51" t="str">
        <f>IF(AND('331-CT'!$E$7=TH!H1509,OR(L1509="331",M1509="331")),"331",IF(AND(OR(L1509="131",M1509="131"),H1509='131-CT'!$E$7),"131",""))</f>
        <v/>
      </c>
      <c r="O1509" s="51" t="str">
        <f>IF(AND($B1509&gt;='111'!$N$11,$B1509&lt;='111'!$O$11,OR($L1509=$O$7,$M1509=$O$7)),"x","")</f>
        <v/>
      </c>
      <c r="P1509" s="51" t="str">
        <f>IF(AND($L1509=$O$7,$B1509&lt;'111'!$N$11),"x","")</f>
        <v/>
      </c>
      <c r="Q1509" s="51" t="str">
        <f>IF(AND($M1509=$O$7,$B1509&lt;'111'!$N$11),"x","")</f>
        <v/>
      </c>
      <c r="R1509" s="51" t="str">
        <f>IF(ISERROR(FIND('112'!$M$9,G1509,1)),"",IF((AND(FIND('112'!$M$9,G1509,1)&gt;=1,$B1509&gt;='112'!$N$8,$B1509&lt;='112'!$O$8,OR($L1509='112'!$I$6,$M1509='112'!$I$6))),"x",""))</f>
        <v/>
      </c>
      <c r="S1509" s="51" t="str">
        <f>IF(ISERROR(FIND('112'!$M$9,G1509,1)),"",IF((AND(LEFT(G1509,2)=LEFT('112'!$M$9,2),B1509&lt;'112'!$N$8,$L1509='112'!$I$6)),"x",""))</f>
        <v/>
      </c>
      <c r="T1509" s="51" t="str">
        <f>IF(ISERROR(FIND('112'!$M$9,G1509,1)),"",IF((AND(RIGHT(G1509,2)=RIGHT('112'!$M$9,2),B1509&lt;'112'!$N$8,$M1509='112'!$I$6)),"x",""))</f>
        <v/>
      </c>
      <c r="U1509" s="51" t="str">
        <f>IF(AND(L1509="154",'154'!$O$5&lt;=B1509,'154'!$P$5&gt;=B1509),"154",IF(AND(L1509="632",'632'!$L$5&lt;=B1509,'632'!$M$5&gt;=B1509),"632",IF(AND(L1509="642",'642'!$N$5&lt;=B1509,'642'!$O$5&gt;=B1509),"642",IF(AND(L1509="641",'641'!$N$5&lt;=B1509,'641'!$O$5&gt;=B1509),"641",""))))</f>
        <v/>
      </c>
      <c r="V1509" s="51" t="str">
        <f>IF(OR(TH!L1509=TH!$V$7,M1509=TH!$V$7),"x","")</f>
        <v/>
      </c>
      <c r="W1509" s="51" t="str">
        <f>IF(AND(B1509&gt;='IN-NX'!$P$3,B1509&lt;='IN-NX'!$Q$3,'IN-NX'!$D$7=D1509,OR(LEFT(L1509,2)="15",AND(LEFT(M1509,2)&lt;&gt;"15",LEFT(M1509,2)&lt;&gt;"33"))),"x","")</f>
        <v/>
      </c>
      <c r="X1509" s="51" t="str">
        <f>IF(AND(OR(LEFT(TH!L1509,2)="15",LEFT(TH!M1509,2)="15"),'152-CT'!$J$8=TH!F1509),"x","")</f>
        <v/>
      </c>
      <c r="Y1509" s="51" t="str">
        <f>IF(AND(OR(LEFT(TH!L1509,2)="15",LEFT(TH!M1509,2)="15"),TK!$E$7=TH!F1509),"x","")</f>
        <v/>
      </c>
      <c r="Z1509" s="51" t="str">
        <f>IF(AND(B1509&lt;=NKC!$N$8,B1509&gt;=NKC!$M$8),"x","")</f>
        <v/>
      </c>
      <c r="AA1509" s="803"/>
      <c r="AB1509" s="565"/>
    </row>
    <row r="1510" spans="1:31" ht="15.75" customHeight="1">
      <c r="A1510" s="804" t="str">
        <f>IF(B1510&lt;&gt;"",IF(AND(B1510&gt;=_TM1,B1510&lt;=_TM2,OR(TH!L1510="1111",TH!M1510="1111")),TH!D1510,""),"")</f>
        <v/>
      </c>
      <c r="B1510" s="36">
        <f t="shared" si="98"/>
        <v>3</v>
      </c>
      <c r="C1510" s="189">
        <f t="shared" si="99"/>
        <v>42081</v>
      </c>
      <c r="D1510" s="830" t="s">
        <v>1285</v>
      </c>
      <c r="E1510" s="830">
        <v>42081</v>
      </c>
      <c r="F1510" s="831" t="s">
        <v>497</v>
      </c>
      <c r="G1510" s="832" t="s">
        <v>980</v>
      </c>
      <c r="H1510" s="833" t="s">
        <v>1259</v>
      </c>
      <c r="I1510" s="241">
        <v>120</v>
      </c>
      <c r="J1510" s="241">
        <v>40680</v>
      </c>
      <c r="K1510" s="834">
        <f t="shared" si="100"/>
        <v>4881600</v>
      </c>
      <c r="L1510" s="835" t="s">
        <v>162</v>
      </c>
      <c r="M1510" s="835" t="s">
        <v>417</v>
      </c>
      <c r="N1510" s="51" t="str">
        <f>IF(AND('331-CT'!$E$7=TH!H1510,OR(L1510="331",M1510="331")),"331",IF(AND(OR(L1510="131",M1510="131"),H1510='131-CT'!$E$7),"131",""))</f>
        <v/>
      </c>
      <c r="O1510" s="51" t="str">
        <f>IF(AND($B1510&gt;='111'!$N$11,$B1510&lt;='111'!$O$11,OR($L1510=$O$7,$M1510=$O$7)),"x","")</f>
        <v/>
      </c>
      <c r="P1510" s="51" t="str">
        <f>IF(AND($L1510=$O$7,$B1510&lt;'111'!$N$11),"x","")</f>
        <v/>
      </c>
      <c r="Q1510" s="51" t="str">
        <f>IF(AND($M1510=$O$7,$B1510&lt;'111'!$N$11),"x","")</f>
        <v/>
      </c>
      <c r="R1510" s="51" t="str">
        <f>IF(ISERROR(FIND('112'!$M$9,G1510,1)),"",IF((AND(FIND('112'!$M$9,G1510,1)&gt;=1,$B1510&gt;='112'!$N$8,$B1510&lt;='112'!$O$8,OR($L1510='112'!$I$6,$M1510='112'!$I$6))),"x",""))</f>
        <v/>
      </c>
      <c r="S1510" s="51" t="str">
        <f>IF(ISERROR(FIND('112'!$M$9,G1510,1)),"",IF((AND(LEFT(G1510,2)=LEFT('112'!$M$9,2),B1510&lt;'112'!$N$8,$L1510='112'!$I$6)),"x",""))</f>
        <v/>
      </c>
      <c r="T1510" s="51" t="str">
        <f>IF(ISERROR(FIND('112'!$M$9,G1510,1)),"",IF((AND(RIGHT(G1510,2)=RIGHT('112'!$M$9,2),B1510&lt;'112'!$N$8,$M1510='112'!$I$6)),"x",""))</f>
        <v/>
      </c>
      <c r="U1510" s="51" t="str">
        <f>IF(AND(L1510="154",'154'!$O$5&lt;=B1510,'154'!$P$5&gt;=B1510),"154",IF(AND(L1510="632",'632'!$L$5&lt;=B1510,'632'!$M$5&gt;=B1510),"632",IF(AND(L1510="642",'642'!$N$5&lt;=B1510,'642'!$O$5&gt;=B1510),"642",IF(AND(L1510="641",'641'!$N$5&lt;=B1510,'641'!$O$5&gt;=B1510),"641",""))))</f>
        <v/>
      </c>
      <c r="V1510" s="51" t="str">
        <f>IF(OR(TH!L1510=TH!$V$7,M1510=TH!$V$7),"x","")</f>
        <v/>
      </c>
      <c r="W1510" s="51" t="str">
        <f>IF(AND(B1510&gt;='IN-NX'!$P$3,B1510&lt;='IN-NX'!$Q$3,'IN-NX'!$D$7=D1510,OR(LEFT(L1510,2)="15",AND(LEFT(M1510,2)&lt;&gt;"15",LEFT(M1510,2)&lt;&gt;"33"))),"x","")</f>
        <v/>
      </c>
      <c r="X1510" s="51" t="str">
        <f>IF(AND(OR(LEFT(TH!L1510,2)="15",LEFT(TH!M1510,2)="15"),'152-CT'!$J$8=TH!F1510),"x","")</f>
        <v/>
      </c>
      <c r="Y1510" s="51" t="str">
        <f>IF(AND(OR(LEFT(TH!L1510,2)="15",LEFT(TH!M1510,2)="15"),TK!$E$7=TH!F1510),"x","")</f>
        <v/>
      </c>
      <c r="Z1510" s="51" t="str">
        <f>IF(AND(B1510&lt;=NKC!$N$8,B1510&gt;=NKC!$M$8),"x","")</f>
        <v/>
      </c>
      <c r="AA1510" s="803"/>
      <c r="AB1510" s="565"/>
    </row>
    <row r="1511" spans="1:31" ht="15.75" customHeight="1">
      <c r="A1511" s="804" t="str">
        <f>IF(B1511&lt;&gt;"",IF(AND(B1511&gt;=_TM1,B1511&lt;=_TM2,OR(TH!L1511="1111",TH!M1511="1111")),TH!D1511,""),"")</f>
        <v/>
      </c>
      <c r="B1511" s="36">
        <f t="shared" si="98"/>
        <v>3</v>
      </c>
      <c r="C1511" s="189">
        <f t="shared" si="99"/>
        <v>42093</v>
      </c>
      <c r="D1511" s="830" t="s">
        <v>1285</v>
      </c>
      <c r="E1511" s="830">
        <v>42093</v>
      </c>
      <c r="F1511" s="831" t="s">
        <v>497</v>
      </c>
      <c r="G1511" s="832" t="s">
        <v>983</v>
      </c>
      <c r="H1511" s="833" t="s">
        <v>1259</v>
      </c>
      <c r="I1511" s="241">
        <v>400</v>
      </c>
      <c r="J1511" s="241">
        <v>40680</v>
      </c>
      <c r="K1511" s="834">
        <f t="shared" si="100"/>
        <v>16272000</v>
      </c>
      <c r="L1511" s="835" t="s">
        <v>162</v>
      </c>
      <c r="M1511" s="835" t="s">
        <v>417</v>
      </c>
      <c r="N1511" s="51" t="str">
        <f>IF(AND('331-CT'!$E$7=TH!H1511,OR(L1511="331",M1511="331")),"331",IF(AND(OR(L1511="131",M1511="131"),H1511='131-CT'!$E$7),"131",""))</f>
        <v/>
      </c>
      <c r="O1511" s="51" t="str">
        <f>IF(AND($B1511&gt;='111'!$N$11,$B1511&lt;='111'!$O$11,OR($L1511=$O$7,$M1511=$O$7)),"x","")</f>
        <v/>
      </c>
      <c r="P1511" s="51" t="str">
        <f>IF(AND($L1511=$O$7,$B1511&lt;'111'!$N$11),"x","")</f>
        <v/>
      </c>
      <c r="Q1511" s="51" t="str">
        <f>IF(AND($M1511=$O$7,$B1511&lt;'111'!$N$11),"x","")</f>
        <v/>
      </c>
      <c r="R1511" s="51" t="str">
        <f>IF(ISERROR(FIND('112'!$M$9,G1511,1)),"",IF((AND(FIND('112'!$M$9,G1511,1)&gt;=1,$B1511&gt;='112'!$N$8,$B1511&lt;='112'!$O$8,OR($L1511='112'!$I$6,$M1511='112'!$I$6))),"x",""))</f>
        <v/>
      </c>
      <c r="S1511" s="51" t="str">
        <f>IF(ISERROR(FIND('112'!$M$9,G1511,1)),"",IF((AND(LEFT(G1511,2)=LEFT('112'!$M$9,2),B1511&lt;'112'!$N$8,$L1511='112'!$I$6)),"x",""))</f>
        <v/>
      </c>
      <c r="T1511" s="51" t="str">
        <f>IF(ISERROR(FIND('112'!$M$9,G1511,1)),"",IF((AND(RIGHT(G1511,2)=RIGHT('112'!$M$9,2),B1511&lt;'112'!$N$8,$M1511='112'!$I$6)),"x",""))</f>
        <v/>
      </c>
      <c r="U1511" s="51" t="str">
        <f>IF(AND(L1511="154",'154'!$O$5&lt;=B1511,'154'!$P$5&gt;=B1511),"154",IF(AND(L1511="632",'632'!$L$5&lt;=B1511,'632'!$M$5&gt;=B1511),"632",IF(AND(L1511="642",'642'!$N$5&lt;=B1511,'642'!$O$5&gt;=B1511),"642",IF(AND(L1511="641",'641'!$N$5&lt;=B1511,'641'!$O$5&gt;=B1511),"641",""))))</f>
        <v/>
      </c>
      <c r="V1511" s="51" t="str">
        <f>IF(OR(TH!L1511=TH!$V$7,M1511=TH!$V$7),"x","")</f>
        <v/>
      </c>
      <c r="W1511" s="51" t="str">
        <f>IF(AND(B1511&gt;='IN-NX'!$P$3,B1511&lt;='IN-NX'!$Q$3,'IN-NX'!$D$7=D1511,OR(LEFT(L1511,2)="15",AND(LEFT(M1511,2)&lt;&gt;"15",LEFT(M1511,2)&lt;&gt;"33"))),"x","")</f>
        <v/>
      </c>
      <c r="X1511" s="51" t="str">
        <f>IF(AND(OR(LEFT(TH!L1511,2)="15",LEFT(TH!M1511,2)="15"),'152-CT'!$J$8=TH!F1511),"x","")</f>
        <v/>
      </c>
      <c r="Y1511" s="51" t="str">
        <f>IF(AND(OR(LEFT(TH!L1511,2)="15",LEFT(TH!M1511,2)="15"),TK!$E$7=TH!F1511),"x","")</f>
        <v/>
      </c>
      <c r="Z1511" s="51" t="str">
        <f>IF(AND(B1511&lt;=NKC!$N$8,B1511&gt;=NKC!$M$8),"x","")</f>
        <v/>
      </c>
      <c r="AA1511" s="803"/>
      <c r="AB1511" s="565"/>
    </row>
    <row r="1512" spans="1:31" ht="15.75" customHeight="1">
      <c r="A1512" s="804" t="str">
        <f>IF(B1512&lt;&gt;"",IF(AND(B1512&gt;=_TM1,B1512&lt;=_TM2,OR(TH!L1512="1111",TH!M1512="1111")),TH!D1512,""),"")</f>
        <v/>
      </c>
      <c r="B1512" s="36">
        <f t="shared" si="98"/>
        <v>3</v>
      </c>
      <c r="C1512" s="189">
        <f t="shared" si="99"/>
        <v>42094</v>
      </c>
      <c r="D1512" s="830" t="s">
        <v>1285</v>
      </c>
      <c r="E1512" s="830">
        <v>42094</v>
      </c>
      <c r="F1512" s="831" t="s">
        <v>497</v>
      </c>
      <c r="G1512" s="832" t="s">
        <v>984</v>
      </c>
      <c r="H1512" s="833" t="s">
        <v>1259</v>
      </c>
      <c r="I1512" s="241">
        <v>378</v>
      </c>
      <c r="J1512" s="241">
        <v>40680</v>
      </c>
      <c r="K1512" s="834">
        <f t="shared" si="100"/>
        <v>15377040</v>
      </c>
      <c r="L1512" s="835" t="s">
        <v>162</v>
      </c>
      <c r="M1512" s="835" t="s">
        <v>417</v>
      </c>
      <c r="N1512" s="51" t="str">
        <f>IF(AND('331-CT'!$E$7=TH!H1512,OR(L1512="331",M1512="331")),"331",IF(AND(OR(L1512="131",M1512="131"),H1512='131-CT'!$E$7),"131",""))</f>
        <v/>
      </c>
      <c r="O1512" s="51" t="str">
        <f>IF(AND($B1512&gt;='111'!$N$11,$B1512&lt;='111'!$O$11,OR($L1512=$O$7,$M1512=$O$7)),"x","")</f>
        <v/>
      </c>
      <c r="P1512" s="51" t="str">
        <f>IF(AND($L1512=$O$7,$B1512&lt;'111'!$N$11),"x","")</f>
        <v/>
      </c>
      <c r="Q1512" s="51" t="str">
        <f>IF(AND($M1512=$O$7,$B1512&lt;'111'!$N$11),"x","")</f>
        <v/>
      </c>
      <c r="R1512" s="51" t="str">
        <f>IF(ISERROR(FIND('112'!$M$9,G1512,1)),"",IF((AND(FIND('112'!$M$9,G1512,1)&gt;=1,$B1512&gt;='112'!$N$8,$B1512&lt;='112'!$O$8,OR($L1512='112'!$I$6,$M1512='112'!$I$6))),"x",""))</f>
        <v/>
      </c>
      <c r="S1512" s="51" t="str">
        <f>IF(ISERROR(FIND('112'!$M$9,G1512,1)),"",IF((AND(LEFT(G1512,2)=LEFT('112'!$M$9,2),B1512&lt;'112'!$N$8,$L1512='112'!$I$6)),"x",""))</f>
        <v/>
      </c>
      <c r="T1512" s="51" t="str">
        <f>IF(ISERROR(FIND('112'!$M$9,G1512,1)),"",IF((AND(RIGHT(G1512,2)=RIGHT('112'!$M$9,2),B1512&lt;'112'!$N$8,$M1512='112'!$I$6)),"x",""))</f>
        <v/>
      </c>
      <c r="U1512" s="51" t="str">
        <f>IF(AND(L1512="154",'154'!$O$5&lt;=B1512,'154'!$P$5&gt;=B1512),"154",IF(AND(L1512="632",'632'!$L$5&lt;=B1512,'632'!$M$5&gt;=B1512),"632",IF(AND(L1512="642",'642'!$N$5&lt;=B1512,'642'!$O$5&gt;=B1512),"642",IF(AND(L1512="641",'641'!$N$5&lt;=B1512,'641'!$O$5&gt;=B1512),"641",""))))</f>
        <v/>
      </c>
      <c r="V1512" s="51" t="str">
        <f>IF(OR(TH!L1512=TH!$V$7,M1512=TH!$V$7),"x","")</f>
        <v/>
      </c>
      <c r="W1512" s="51" t="str">
        <f>IF(AND(B1512&gt;='IN-NX'!$P$3,B1512&lt;='IN-NX'!$Q$3,'IN-NX'!$D$7=D1512,OR(LEFT(L1512,2)="15",AND(LEFT(M1512,2)&lt;&gt;"15",LEFT(M1512,2)&lt;&gt;"33"))),"x","")</f>
        <v/>
      </c>
      <c r="X1512" s="51" t="str">
        <f>IF(AND(OR(LEFT(TH!L1512,2)="15",LEFT(TH!M1512,2)="15"),'152-CT'!$J$8=TH!F1512),"x","")</f>
        <v/>
      </c>
      <c r="Y1512" s="51" t="str">
        <f>IF(AND(OR(LEFT(TH!L1512,2)="15",LEFT(TH!M1512,2)="15"),TK!$E$7=TH!F1512),"x","")</f>
        <v/>
      </c>
      <c r="Z1512" s="51" t="str">
        <f>IF(AND(B1512&lt;=NKC!$N$8,B1512&gt;=NKC!$M$8),"x","")</f>
        <v/>
      </c>
      <c r="AA1512" s="803"/>
      <c r="AB1512" s="565"/>
    </row>
    <row r="1513" spans="1:31" ht="15.75" customHeight="1">
      <c r="A1513" s="804" t="str">
        <f>IF(B1513&lt;&gt;"",IF(AND(B1513&gt;=_TM1,B1513&lt;=_TM2,OR(TH!L1513="1111",TH!M1513="1111")),TH!D1513,""),"")</f>
        <v/>
      </c>
      <c r="B1513" s="36">
        <f t="shared" si="98"/>
        <v>4</v>
      </c>
      <c r="C1513" s="189">
        <f t="shared" si="99"/>
        <v>42097</v>
      </c>
      <c r="D1513" s="830" t="s">
        <v>1285</v>
      </c>
      <c r="E1513" s="830">
        <v>42097</v>
      </c>
      <c r="F1513" s="836" t="s">
        <v>500</v>
      </c>
      <c r="G1513" s="832" t="s">
        <v>1111</v>
      </c>
      <c r="H1513" s="833" t="s">
        <v>1259</v>
      </c>
      <c r="I1513" s="241">
        <v>700</v>
      </c>
      <c r="J1513" s="241">
        <v>2883</v>
      </c>
      <c r="K1513" s="834">
        <f t="shared" ref="K1513:K1529" si="101">ROUND(I1513*J1513,0)</f>
        <v>2018100</v>
      </c>
      <c r="L1513" s="835" t="s">
        <v>162</v>
      </c>
      <c r="M1513" s="835" t="s">
        <v>417</v>
      </c>
      <c r="N1513" s="51" t="str">
        <f>IF(AND('331-CT'!$E$7=TH!H1513,OR(L1513="331",M1513="331")),"331",IF(AND(OR(L1513="131",M1513="131"),H1513='131-CT'!$E$7),"131",""))</f>
        <v/>
      </c>
      <c r="O1513" s="51" t="str">
        <f>IF(AND($B1513&gt;='111'!$N$11,$B1513&lt;='111'!$O$11,OR($L1513=$O$7,$M1513=$O$7)),"x","")</f>
        <v/>
      </c>
      <c r="P1513" s="51" t="str">
        <f>IF(AND($L1513=$O$7,$B1513&lt;'111'!$N$11),"x","")</f>
        <v/>
      </c>
      <c r="Q1513" s="51" t="str">
        <f>IF(AND($M1513=$O$7,$B1513&lt;'111'!$N$11),"x","")</f>
        <v/>
      </c>
      <c r="R1513" s="51" t="str">
        <f>IF(ISERROR(FIND('112'!$M$9,G1513,1)),"",IF((AND(FIND('112'!$M$9,G1513,1)&gt;=1,$B1513&gt;='112'!$N$8,$B1513&lt;='112'!$O$8,OR($L1513='112'!$I$6,$M1513='112'!$I$6))),"x",""))</f>
        <v/>
      </c>
      <c r="S1513" s="51" t="str">
        <f>IF(ISERROR(FIND('112'!$M$9,G1513,1)),"",IF((AND(LEFT(G1513,2)=LEFT('112'!$M$9,2),B1513&lt;'112'!$N$8,$L1513='112'!$I$6)),"x",""))</f>
        <v/>
      </c>
      <c r="T1513" s="51" t="str">
        <f>IF(ISERROR(FIND('112'!$M$9,G1513,1)),"",IF((AND(RIGHT(G1513,2)=RIGHT('112'!$M$9,2),B1513&lt;'112'!$N$8,$M1513='112'!$I$6)),"x",""))</f>
        <v/>
      </c>
      <c r="U1513" s="51" t="str">
        <f>IF(AND(L1513="154",'154'!$O$5&lt;=B1513,'154'!$P$5&gt;=B1513),"154",IF(AND(L1513="632",'632'!$L$5&lt;=B1513,'632'!$M$5&gt;=B1513),"632",IF(AND(L1513="642",'642'!$N$5&lt;=B1513,'642'!$O$5&gt;=B1513),"642",IF(AND(L1513="641",'641'!$N$5&lt;=B1513,'641'!$O$5&gt;=B1513),"641",""))))</f>
        <v>632</v>
      </c>
      <c r="V1513" s="51" t="str">
        <f>IF(OR(TH!L1513=TH!$V$7,M1513=TH!$V$7),"x","")</f>
        <v/>
      </c>
      <c r="W1513" s="51" t="str">
        <f>IF(AND(B1513&gt;='IN-NX'!$P$3,B1513&lt;='IN-NX'!$Q$3,'IN-NX'!$D$7=D1513,OR(LEFT(L1513,2)="15",AND(LEFT(M1513,2)&lt;&gt;"15",LEFT(M1513,2)&lt;&gt;"33"))),"x","")</f>
        <v/>
      </c>
      <c r="X1513" s="51" t="str">
        <f>IF(AND(OR(LEFT(TH!L1513,2)="15",LEFT(TH!M1513,2)="15"),'152-CT'!$J$8=TH!F1513),"x","")</f>
        <v/>
      </c>
      <c r="Y1513" s="51" t="str">
        <f>IF(AND(OR(LEFT(TH!L1513,2)="15",LEFT(TH!M1513,2)="15"),TK!$E$7=TH!F1513),"x","")</f>
        <v/>
      </c>
      <c r="Z1513" s="51" t="str">
        <f>IF(AND(B1513&lt;=NKC!$N$8,B1513&gt;=NKC!$M$8),"x","")</f>
        <v/>
      </c>
      <c r="AA1513" s="803"/>
      <c r="AB1513" s="565"/>
    </row>
    <row r="1514" spans="1:31" ht="15.75" customHeight="1">
      <c r="A1514" s="804" t="str">
        <f>IF(B1514&lt;&gt;"",IF(AND(B1514&gt;=_TM1,B1514&lt;=_TM2,OR(TH!L1514="1111",TH!M1514="1111")),TH!D1514,""),"")</f>
        <v/>
      </c>
      <c r="B1514" s="36">
        <f t="shared" si="98"/>
        <v>4</v>
      </c>
      <c r="C1514" s="189">
        <f t="shared" si="99"/>
        <v>42097</v>
      </c>
      <c r="D1514" s="830" t="s">
        <v>1285</v>
      </c>
      <c r="E1514" s="830">
        <v>42097</v>
      </c>
      <c r="F1514" s="836" t="s">
        <v>503</v>
      </c>
      <c r="G1514" s="832" t="s">
        <v>1111</v>
      </c>
      <c r="H1514" s="833" t="s">
        <v>1259</v>
      </c>
      <c r="I1514" s="241">
        <v>700</v>
      </c>
      <c r="J1514" s="241">
        <v>2604</v>
      </c>
      <c r="K1514" s="834">
        <f t="shared" si="101"/>
        <v>1822800</v>
      </c>
      <c r="L1514" s="835" t="s">
        <v>162</v>
      </c>
      <c r="M1514" s="835" t="s">
        <v>417</v>
      </c>
      <c r="N1514" s="51" t="str">
        <f>IF(AND('331-CT'!$E$7=TH!H1514,OR(L1514="331",M1514="331")),"331",IF(AND(OR(L1514="131",M1514="131"),H1514='131-CT'!$E$7),"131",""))</f>
        <v/>
      </c>
      <c r="O1514" s="51" t="str">
        <f>IF(AND($B1514&gt;='111'!$N$11,$B1514&lt;='111'!$O$11,OR($L1514=$O$7,$M1514=$O$7)),"x","")</f>
        <v/>
      </c>
      <c r="P1514" s="51" t="str">
        <f>IF(AND($L1514=$O$7,$B1514&lt;'111'!$N$11),"x","")</f>
        <v/>
      </c>
      <c r="Q1514" s="51" t="str">
        <f>IF(AND($M1514=$O$7,$B1514&lt;'111'!$N$11),"x","")</f>
        <v/>
      </c>
      <c r="R1514" s="51" t="str">
        <f>IF(ISERROR(FIND('112'!$M$9,G1514,1)),"",IF((AND(FIND('112'!$M$9,G1514,1)&gt;=1,$B1514&gt;='112'!$N$8,$B1514&lt;='112'!$O$8,OR($L1514='112'!$I$6,$M1514='112'!$I$6))),"x",""))</f>
        <v/>
      </c>
      <c r="S1514" s="51" t="str">
        <f>IF(ISERROR(FIND('112'!$M$9,G1514,1)),"",IF((AND(LEFT(G1514,2)=LEFT('112'!$M$9,2),B1514&lt;'112'!$N$8,$L1514='112'!$I$6)),"x",""))</f>
        <v/>
      </c>
      <c r="T1514" s="51" t="str">
        <f>IF(ISERROR(FIND('112'!$M$9,G1514,1)),"",IF((AND(RIGHT(G1514,2)=RIGHT('112'!$M$9,2),B1514&lt;'112'!$N$8,$M1514='112'!$I$6)),"x",""))</f>
        <v/>
      </c>
      <c r="U1514" s="51" t="str">
        <f>IF(AND(L1514="154",'154'!$O$5&lt;=B1514,'154'!$P$5&gt;=B1514),"154",IF(AND(L1514="632",'632'!$L$5&lt;=B1514,'632'!$M$5&gt;=B1514),"632",IF(AND(L1514="642",'642'!$N$5&lt;=B1514,'642'!$O$5&gt;=B1514),"642",IF(AND(L1514="641",'641'!$N$5&lt;=B1514,'641'!$O$5&gt;=B1514),"641",""))))</f>
        <v>632</v>
      </c>
      <c r="V1514" s="51" t="str">
        <f>IF(OR(TH!L1514=TH!$V$7,M1514=TH!$V$7),"x","")</f>
        <v/>
      </c>
      <c r="W1514" s="51" t="str">
        <f>IF(AND(B1514&gt;='IN-NX'!$P$3,B1514&lt;='IN-NX'!$Q$3,'IN-NX'!$D$7=D1514,OR(LEFT(L1514,2)="15",AND(LEFT(M1514,2)&lt;&gt;"15",LEFT(M1514,2)&lt;&gt;"33"))),"x","")</f>
        <v/>
      </c>
      <c r="X1514" s="51" t="str">
        <f>IF(AND(OR(LEFT(TH!L1514,2)="15",LEFT(TH!M1514,2)="15"),'152-CT'!$J$8=TH!F1514),"x","")</f>
        <v/>
      </c>
      <c r="Y1514" s="51" t="str">
        <f>IF(AND(OR(LEFT(TH!L1514,2)="15",LEFT(TH!M1514,2)="15"),TK!$E$7=TH!F1514),"x","")</f>
        <v/>
      </c>
      <c r="Z1514" s="51" t="str">
        <f>IF(AND(B1514&lt;=NKC!$N$8,B1514&gt;=NKC!$M$8),"x","")</f>
        <v/>
      </c>
      <c r="AA1514" s="803"/>
      <c r="AB1514" s="565"/>
    </row>
    <row r="1515" spans="1:31" ht="15.75" customHeight="1">
      <c r="A1515" s="804" t="str">
        <f>IF(B1515&lt;&gt;"",IF(AND(B1515&gt;=_TM1,B1515&lt;=_TM2,OR(TH!L1515="1111",TH!M1515="1111")),TH!D1515,""),"")</f>
        <v/>
      </c>
      <c r="B1515" s="36">
        <f t="shared" si="98"/>
        <v>4</v>
      </c>
      <c r="C1515" s="189">
        <f t="shared" si="99"/>
        <v>42097</v>
      </c>
      <c r="D1515" s="830" t="s">
        <v>1285</v>
      </c>
      <c r="E1515" s="830">
        <v>42097</v>
      </c>
      <c r="F1515" s="831" t="s">
        <v>501</v>
      </c>
      <c r="G1515" s="832" t="s">
        <v>1111</v>
      </c>
      <c r="H1515" s="833" t="s">
        <v>1259</v>
      </c>
      <c r="I1515" s="241">
        <v>700</v>
      </c>
      <c r="J1515" s="241">
        <v>6324</v>
      </c>
      <c r="K1515" s="834">
        <f t="shared" si="101"/>
        <v>4426800</v>
      </c>
      <c r="L1515" s="835" t="s">
        <v>162</v>
      </c>
      <c r="M1515" s="835" t="s">
        <v>417</v>
      </c>
      <c r="N1515" s="51" t="str">
        <f>IF(AND('331-CT'!$E$7=TH!H1515,OR(L1515="331",M1515="331")),"331",IF(AND(OR(L1515="131",M1515="131"),H1515='131-CT'!$E$7),"131",""))</f>
        <v/>
      </c>
      <c r="O1515" s="51" t="str">
        <f>IF(AND($B1515&gt;='111'!$N$11,$B1515&lt;='111'!$O$11,OR($L1515=$O$7,$M1515=$O$7)),"x","")</f>
        <v/>
      </c>
      <c r="P1515" s="51" t="str">
        <f>IF(AND($L1515=$O$7,$B1515&lt;'111'!$N$11),"x","")</f>
        <v/>
      </c>
      <c r="Q1515" s="51" t="str">
        <f>IF(AND($M1515=$O$7,$B1515&lt;'111'!$N$11),"x","")</f>
        <v/>
      </c>
      <c r="R1515" s="51" t="str">
        <f>IF(ISERROR(FIND('112'!$M$9,G1515,1)),"",IF((AND(FIND('112'!$M$9,G1515,1)&gt;=1,$B1515&gt;='112'!$N$8,$B1515&lt;='112'!$O$8,OR($L1515='112'!$I$6,$M1515='112'!$I$6))),"x",""))</f>
        <v/>
      </c>
      <c r="S1515" s="51" t="str">
        <f>IF(ISERROR(FIND('112'!$M$9,G1515,1)),"",IF((AND(LEFT(G1515,2)=LEFT('112'!$M$9,2),B1515&lt;'112'!$N$8,$L1515='112'!$I$6)),"x",""))</f>
        <v/>
      </c>
      <c r="T1515" s="51" t="str">
        <f>IF(ISERROR(FIND('112'!$M$9,G1515,1)),"",IF((AND(RIGHT(G1515,2)=RIGHT('112'!$M$9,2),B1515&lt;'112'!$N$8,$M1515='112'!$I$6)),"x",""))</f>
        <v/>
      </c>
      <c r="U1515" s="51" t="str">
        <f>IF(AND(L1515="154",'154'!$O$5&lt;=B1515,'154'!$P$5&gt;=B1515),"154",IF(AND(L1515="632",'632'!$L$5&lt;=B1515,'632'!$M$5&gt;=B1515),"632",IF(AND(L1515="642",'642'!$N$5&lt;=B1515,'642'!$O$5&gt;=B1515),"642",IF(AND(L1515="641",'641'!$N$5&lt;=B1515,'641'!$O$5&gt;=B1515),"641",""))))</f>
        <v>632</v>
      </c>
      <c r="V1515" s="51" t="str">
        <f>IF(OR(TH!L1515=TH!$V$7,M1515=TH!$V$7),"x","")</f>
        <v/>
      </c>
      <c r="W1515" s="51" t="str">
        <f>IF(AND(B1515&gt;='IN-NX'!$P$3,B1515&lt;='IN-NX'!$Q$3,'IN-NX'!$D$7=D1515,OR(LEFT(L1515,2)="15",AND(LEFT(M1515,2)&lt;&gt;"15",LEFT(M1515,2)&lt;&gt;"33"))),"x","")</f>
        <v/>
      </c>
      <c r="X1515" s="51" t="str">
        <f>IF(AND(OR(LEFT(TH!L1515,2)="15",LEFT(TH!M1515,2)="15"),'152-CT'!$J$8=TH!F1515),"x","")</f>
        <v/>
      </c>
      <c r="Y1515" s="51" t="str">
        <f>IF(AND(OR(LEFT(TH!L1515,2)="15",LEFT(TH!M1515,2)="15"),TK!$E$7=TH!F1515),"x","")</f>
        <v/>
      </c>
      <c r="Z1515" s="51" t="str">
        <f>IF(AND(B1515&lt;=NKC!$N$8,B1515&gt;=NKC!$M$8),"x","")</f>
        <v/>
      </c>
      <c r="AA1515" s="803"/>
      <c r="AB1515" s="565"/>
    </row>
    <row r="1516" spans="1:31" ht="15.75" customHeight="1">
      <c r="A1516" s="804" t="str">
        <f>IF(B1516&lt;&gt;"",IF(AND(B1516&gt;=_TM1,B1516&lt;=_TM2,OR(TH!L1516="1111",TH!M1516="1111")),TH!D1516,""),"")</f>
        <v/>
      </c>
      <c r="B1516" s="36">
        <f t="shared" si="98"/>
        <v>4</v>
      </c>
      <c r="C1516" s="189">
        <f t="shared" si="99"/>
        <v>42097</v>
      </c>
      <c r="D1516" s="830" t="s">
        <v>1285</v>
      </c>
      <c r="E1516" s="830">
        <v>42097</v>
      </c>
      <c r="F1516" s="831" t="s">
        <v>504</v>
      </c>
      <c r="G1516" s="832" t="s">
        <v>1111</v>
      </c>
      <c r="H1516" s="833" t="s">
        <v>1259</v>
      </c>
      <c r="I1516" s="241">
        <v>700</v>
      </c>
      <c r="J1516" s="241">
        <v>9021</v>
      </c>
      <c r="K1516" s="834">
        <f t="shared" si="101"/>
        <v>6314700</v>
      </c>
      <c r="L1516" s="835" t="s">
        <v>162</v>
      </c>
      <c r="M1516" s="835" t="s">
        <v>417</v>
      </c>
      <c r="N1516" s="51" t="str">
        <f>IF(AND('331-CT'!$E$7=TH!H1516,OR(L1516="331",M1516="331")),"331",IF(AND(OR(L1516="131",M1516="131"),H1516='131-CT'!$E$7),"131",""))</f>
        <v/>
      </c>
      <c r="O1516" s="51" t="str">
        <f>IF(AND($B1516&gt;='111'!$N$11,$B1516&lt;='111'!$O$11,OR($L1516=$O$7,$M1516=$O$7)),"x","")</f>
        <v/>
      </c>
      <c r="P1516" s="51" t="str">
        <f>IF(AND($L1516=$O$7,$B1516&lt;'111'!$N$11),"x","")</f>
        <v/>
      </c>
      <c r="Q1516" s="51" t="str">
        <f>IF(AND($M1516=$O$7,$B1516&lt;'111'!$N$11),"x","")</f>
        <v/>
      </c>
      <c r="R1516" s="51" t="str">
        <f>IF(ISERROR(FIND('112'!$M$9,G1516,1)),"",IF((AND(FIND('112'!$M$9,G1516,1)&gt;=1,$B1516&gt;='112'!$N$8,$B1516&lt;='112'!$O$8,OR($L1516='112'!$I$6,$M1516='112'!$I$6))),"x",""))</f>
        <v/>
      </c>
      <c r="S1516" s="51" t="str">
        <f>IF(ISERROR(FIND('112'!$M$9,G1516,1)),"",IF((AND(LEFT(G1516,2)=LEFT('112'!$M$9,2),B1516&lt;'112'!$N$8,$L1516='112'!$I$6)),"x",""))</f>
        <v/>
      </c>
      <c r="T1516" s="51" t="str">
        <f>IF(ISERROR(FIND('112'!$M$9,G1516,1)),"",IF((AND(RIGHT(G1516,2)=RIGHT('112'!$M$9,2),B1516&lt;'112'!$N$8,$M1516='112'!$I$6)),"x",""))</f>
        <v/>
      </c>
      <c r="U1516" s="51" t="str">
        <f>IF(AND(L1516="154",'154'!$O$5&lt;=B1516,'154'!$P$5&gt;=B1516),"154",IF(AND(L1516="632",'632'!$L$5&lt;=B1516,'632'!$M$5&gt;=B1516),"632",IF(AND(L1516="642",'642'!$N$5&lt;=B1516,'642'!$O$5&gt;=B1516),"642",IF(AND(L1516="641",'641'!$N$5&lt;=B1516,'641'!$O$5&gt;=B1516),"641",""))))</f>
        <v>632</v>
      </c>
      <c r="V1516" s="51" t="str">
        <f>IF(OR(TH!L1516=TH!$V$7,M1516=TH!$V$7),"x","")</f>
        <v/>
      </c>
      <c r="W1516" s="51" t="str">
        <f>IF(AND(B1516&gt;='IN-NX'!$P$3,B1516&lt;='IN-NX'!$Q$3,'IN-NX'!$D$7=D1516,OR(LEFT(L1516,2)="15",AND(LEFT(M1516,2)&lt;&gt;"15",LEFT(M1516,2)&lt;&gt;"33"))),"x","")</f>
        <v/>
      </c>
      <c r="X1516" s="51" t="str">
        <f>IF(AND(OR(LEFT(TH!L1516,2)="15",LEFT(TH!M1516,2)="15"),'152-CT'!$J$8=TH!F1516),"x","")</f>
        <v/>
      </c>
      <c r="Y1516" s="51" t="str">
        <f>IF(AND(OR(LEFT(TH!L1516,2)="15",LEFT(TH!M1516,2)="15"),TK!$E$7=TH!F1516),"x","")</f>
        <v/>
      </c>
      <c r="Z1516" s="51" t="str">
        <f>IF(AND(B1516&lt;=NKC!$N$8,B1516&gt;=NKC!$M$8),"x","")</f>
        <v/>
      </c>
      <c r="AA1516" s="803"/>
      <c r="AB1516" s="565"/>
    </row>
    <row r="1517" spans="1:31" ht="15.75" customHeight="1">
      <c r="A1517" s="804" t="str">
        <f>IF(B1517&lt;&gt;"",IF(AND(B1517&gt;=_TM1,B1517&lt;=_TM2,OR(TH!L1517="1111",TH!M1517="1111")),TH!D1517,""),"")</f>
        <v/>
      </c>
      <c r="B1517" s="36">
        <f t="shared" si="98"/>
        <v>4</v>
      </c>
      <c r="C1517" s="189">
        <f t="shared" si="99"/>
        <v>42097</v>
      </c>
      <c r="D1517" s="830" t="s">
        <v>1285</v>
      </c>
      <c r="E1517" s="830">
        <v>42097</v>
      </c>
      <c r="F1517" s="836" t="s">
        <v>506</v>
      </c>
      <c r="G1517" s="832" t="s">
        <v>1111</v>
      </c>
      <c r="H1517" s="833" t="s">
        <v>1259</v>
      </c>
      <c r="I1517" s="241">
        <v>1000</v>
      </c>
      <c r="J1517" s="241">
        <v>4185</v>
      </c>
      <c r="K1517" s="834">
        <f t="shared" si="101"/>
        <v>4185000</v>
      </c>
      <c r="L1517" s="835" t="s">
        <v>162</v>
      </c>
      <c r="M1517" s="835" t="s">
        <v>417</v>
      </c>
      <c r="N1517" s="51" t="str">
        <f>IF(AND('331-CT'!$E$7=TH!H1517,OR(L1517="331",M1517="331")),"331",IF(AND(OR(L1517="131",M1517="131"),H1517='131-CT'!$E$7),"131",""))</f>
        <v/>
      </c>
      <c r="O1517" s="51" t="str">
        <f>IF(AND($B1517&gt;='111'!$N$11,$B1517&lt;='111'!$O$11,OR($L1517=$O$7,$M1517=$O$7)),"x","")</f>
        <v/>
      </c>
      <c r="P1517" s="51" t="str">
        <f>IF(AND($L1517=$O$7,$B1517&lt;'111'!$N$11),"x","")</f>
        <v/>
      </c>
      <c r="Q1517" s="51" t="str">
        <f>IF(AND($M1517=$O$7,$B1517&lt;'111'!$N$11),"x","")</f>
        <v/>
      </c>
      <c r="R1517" s="51" t="str">
        <f>IF(ISERROR(FIND('112'!$M$9,G1517,1)),"",IF((AND(FIND('112'!$M$9,G1517,1)&gt;=1,$B1517&gt;='112'!$N$8,$B1517&lt;='112'!$O$8,OR($L1517='112'!$I$6,$M1517='112'!$I$6))),"x",""))</f>
        <v/>
      </c>
      <c r="S1517" s="51" t="str">
        <f>IF(ISERROR(FIND('112'!$M$9,G1517,1)),"",IF((AND(LEFT(G1517,2)=LEFT('112'!$M$9,2),B1517&lt;'112'!$N$8,$L1517='112'!$I$6)),"x",""))</f>
        <v/>
      </c>
      <c r="T1517" s="51" t="str">
        <f>IF(ISERROR(FIND('112'!$M$9,G1517,1)),"",IF((AND(RIGHT(G1517,2)=RIGHT('112'!$M$9,2),B1517&lt;'112'!$N$8,$M1517='112'!$I$6)),"x",""))</f>
        <v/>
      </c>
      <c r="U1517" s="51" t="str">
        <f>IF(AND(L1517="154",'154'!$O$5&lt;=B1517,'154'!$P$5&gt;=B1517),"154",IF(AND(L1517="632",'632'!$L$5&lt;=B1517,'632'!$M$5&gt;=B1517),"632",IF(AND(L1517="642",'642'!$N$5&lt;=B1517,'642'!$O$5&gt;=B1517),"642",IF(AND(L1517="641",'641'!$N$5&lt;=B1517,'641'!$O$5&gt;=B1517),"641",""))))</f>
        <v>632</v>
      </c>
      <c r="V1517" s="51" t="str">
        <f>IF(OR(TH!L1517=TH!$V$7,M1517=TH!$V$7),"x","")</f>
        <v/>
      </c>
      <c r="W1517" s="51" t="str">
        <f>IF(AND(B1517&gt;='IN-NX'!$P$3,B1517&lt;='IN-NX'!$Q$3,'IN-NX'!$D$7=D1517,OR(LEFT(L1517,2)="15",AND(LEFT(M1517,2)&lt;&gt;"15",LEFT(M1517,2)&lt;&gt;"33"))),"x","")</f>
        <v/>
      </c>
      <c r="X1517" s="51" t="str">
        <f>IF(AND(OR(LEFT(TH!L1517,2)="15",LEFT(TH!M1517,2)="15"),'152-CT'!$J$8=TH!F1517),"x","")</f>
        <v/>
      </c>
      <c r="Y1517" s="51" t="str">
        <f>IF(AND(OR(LEFT(TH!L1517,2)="15",LEFT(TH!M1517,2)="15"),TK!$E$7=TH!F1517),"x","")</f>
        <v/>
      </c>
      <c r="Z1517" s="51" t="str">
        <f>IF(AND(B1517&lt;=NKC!$N$8,B1517&gt;=NKC!$M$8),"x","")</f>
        <v/>
      </c>
      <c r="AA1517" s="803"/>
      <c r="AB1517" s="565"/>
    </row>
    <row r="1518" spans="1:31" ht="15.75" customHeight="1">
      <c r="A1518" s="804" t="str">
        <f>IF(B1518&lt;&gt;"",IF(AND(B1518&gt;=_TM1,B1518&lt;=_TM2,OR(TH!L1518="1111",TH!M1518="1111")),TH!D1518,""),"")</f>
        <v/>
      </c>
      <c r="B1518" s="36">
        <f t="shared" si="98"/>
        <v>4</v>
      </c>
      <c r="C1518" s="189">
        <f t="shared" si="99"/>
        <v>42097</v>
      </c>
      <c r="D1518" s="830" t="s">
        <v>1285</v>
      </c>
      <c r="E1518" s="830">
        <v>42097</v>
      </c>
      <c r="F1518" s="836" t="s">
        <v>505</v>
      </c>
      <c r="G1518" s="832" t="s">
        <v>1111</v>
      </c>
      <c r="H1518" s="833" t="s">
        <v>1259</v>
      </c>
      <c r="I1518" s="241">
        <v>2000</v>
      </c>
      <c r="J1518" s="241">
        <v>1953</v>
      </c>
      <c r="K1518" s="834">
        <f t="shared" si="101"/>
        <v>3906000</v>
      </c>
      <c r="L1518" s="835" t="s">
        <v>162</v>
      </c>
      <c r="M1518" s="835" t="s">
        <v>417</v>
      </c>
      <c r="N1518" s="51" t="str">
        <f>IF(AND('331-CT'!$E$7=TH!H1518,OR(L1518="331",M1518="331")),"331",IF(AND(OR(L1518="131",M1518="131"),H1518='131-CT'!$E$7),"131",""))</f>
        <v/>
      </c>
      <c r="O1518" s="51" t="str">
        <f>IF(AND($B1518&gt;='111'!$N$11,$B1518&lt;='111'!$O$11,OR($L1518=$O$7,$M1518=$O$7)),"x","")</f>
        <v/>
      </c>
      <c r="P1518" s="51" t="str">
        <f>IF(AND($L1518=$O$7,$B1518&lt;'111'!$N$11),"x","")</f>
        <v/>
      </c>
      <c r="Q1518" s="51" t="str">
        <f>IF(AND($M1518=$O$7,$B1518&lt;'111'!$N$11),"x","")</f>
        <v/>
      </c>
      <c r="R1518" s="51" t="str">
        <f>IF(ISERROR(FIND('112'!$M$9,G1518,1)),"",IF((AND(FIND('112'!$M$9,G1518,1)&gt;=1,$B1518&gt;='112'!$N$8,$B1518&lt;='112'!$O$8,OR($L1518='112'!$I$6,$M1518='112'!$I$6))),"x",""))</f>
        <v/>
      </c>
      <c r="S1518" s="51" t="str">
        <f>IF(ISERROR(FIND('112'!$M$9,G1518,1)),"",IF((AND(LEFT(G1518,2)=LEFT('112'!$M$9,2),B1518&lt;'112'!$N$8,$L1518='112'!$I$6)),"x",""))</f>
        <v/>
      </c>
      <c r="T1518" s="51" t="str">
        <f>IF(ISERROR(FIND('112'!$M$9,G1518,1)),"",IF((AND(RIGHT(G1518,2)=RIGHT('112'!$M$9,2),B1518&lt;'112'!$N$8,$M1518='112'!$I$6)),"x",""))</f>
        <v/>
      </c>
      <c r="U1518" s="51" t="str">
        <f>IF(AND(L1518="154",'154'!$O$5&lt;=B1518,'154'!$P$5&gt;=B1518),"154",IF(AND(L1518="632",'632'!$L$5&lt;=B1518,'632'!$M$5&gt;=B1518),"632",IF(AND(L1518="642",'642'!$N$5&lt;=B1518,'642'!$O$5&gt;=B1518),"642",IF(AND(L1518="641",'641'!$N$5&lt;=B1518,'641'!$O$5&gt;=B1518),"641",""))))</f>
        <v>632</v>
      </c>
      <c r="V1518" s="51" t="str">
        <f>IF(OR(TH!L1518=TH!$V$7,M1518=TH!$V$7),"x","")</f>
        <v/>
      </c>
      <c r="W1518" s="51" t="str">
        <f>IF(AND(B1518&gt;='IN-NX'!$P$3,B1518&lt;='IN-NX'!$Q$3,'IN-NX'!$D$7=D1518,OR(LEFT(L1518,2)="15",AND(LEFT(M1518,2)&lt;&gt;"15",LEFT(M1518,2)&lt;&gt;"33"))),"x","")</f>
        <v/>
      </c>
      <c r="X1518" s="51" t="str">
        <f>IF(AND(OR(LEFT(TH!L1518,2)="15",LEFT(TH!M1518,2)="15"),'152-CT'!$J$8=TH!F1518),"x","")</f>
        <v/>
      </c>
      <c r="Y1518" s="51" t="str">
        <f>IF(AND(OR(LEFT(TH!L1518,2)="15",LEFT(TH!M1518,2)="15"),TK!$E$7=TH!F1518),"x","")</f>
        <v/>
      </c>
      <c r="Z1518" s="51" t="str">
        <f>IF(AND(B1518&lt;=NKC!$N$8,B1518&gt;=NKC!$M$8),"x","")</f>
        <v/>
      </c>
      <c r="AA1518" s="803"/>
      <c r="AB1518" s="565"/>
    </row>
    <row r="1519" spans="1:31" ht="15.75" customHeight="1">
      <c r="A1519" s="804" t="str">
        <f>IF(B1519&lt;&gt;"",IF(AND(B1519&gt;=_TM1,B1519&lt;=_TM2,OR(TH!L1519="1111",TH!M1519="1111")),TH!D1519,""),"")</f>
        <v/>
      </c>
      <c r="B1519" s="36">
        <f t="shared" si="98"/>
        <v>4</v>
      </c>
      <c r="C1519" s="189">
        <f t="shared" si="99"/>
        <v>42097</v>
      </c>
      <c r="D1519" s="830" t="s">
        <v>1285</v>
      </c>
      <c r="E1519" s="830">
        <v>42097</v>
      </c>
      <c r="F1519" s="836" t="s">
        <v>1187</v>
      </c>
      <c r="G1519" s="832" t="s">
        <v>1111</v>
      </c>
      <c r="H1519" s="833" t="s">
        <v>1259</v>
      </c>
      <c r="I1519" s="241">
        <v>6000</v>
      </c>
      <c r="J1519" s="241">
        <v>205</v>
      </c>
      <c r="K1519" s="834">
        <f t="shared" si="101"/>
        <v>1230000</v>
      </c>
      <c r="L1519" s="835" t="s">
        <v>162</v>
      </c>
      <c r="M1519" s="835" t="s">
        <v>417</v>
      </c>
      <c r="N1519" s="51" t="str">
        <f>IF(AND('331-CT'!$E$7=TH!H1519,OR(L1519="331",M1519="331")),"331",IF(AND(OR(L1519="131",M1519="131"),H1519='131-CT'!$E$7),"131",""))</f>
        <v/>
      </c>
      <c r="O1519" s="51" t="str">
        <f>IF(AND($B1519&gt;='111'!$N$11,$B1519&lt;='111'!$O$11,OR($L1519=$O$7,$M1519=$O$7)),"x","")</f>
        <v/>
      </c>
      <c r="P1519" s="51" t="str">
        <f>IF(AND($L1519=$O$7,$B1519&lt;'111'!$N$11),"x","")</f>
        <v/>
      </c>
      <c r="Q1519" s="51" t="str">
        <f>IF(AND($M1519=$O$7,$B1519&lt;'111'!$N$11),"x","")</f>
        <v/>
      </c>
      <c r="R1519" s="51" t="str">
        <f>IF(ISERROR(FIND('112'!$M$9,G1519,1)),"",IF((AND(FIND('112'!$M$9,G1519,1)&gt;=1,$B1519&gt;='112'!$N$8,$B1519&lt;='112'!$O$8,OR($L1519='112'!$I$6,$M1519='112'!$I$6))),"x",""))</f>
        <v/>
      </c>
      <c r="S1519" s="51" t="str">
        <f>IF(ISERROR(FIND('112'!$M$9,G1519,1)),"",IF((AND(LEFT(G1519,2)=LEFT('112'!$M$9,2),B1519&lt;'112'!$N$8,$L1519='112'!$I$6)),"x",""))</f>
        <v/>
      </c>
      <c r="T1519" s="51" t="str">
        <f>IF(ISERROR(FIND('112'!$M$9,G1519,1)),"",IF((AND(RIGHT(G1519,2)=RIGHT('112'!$M$9,2),B1519&lt;'112'!$N$8,$M1519='112'!$I$6)),"x",""))</f>
        <v/>
      </c>
      <c r="U1519" s="51" t="str">
        <f>IF(AND(L1519="154",'154'!$O$5&lt;=B1519,'154'!$P$5&gt;=B1519),"154",IF(AND(L1519="632",'632'!$L$5&lt;=B1519,'632'!$M$5&gt;=B1519),"632",IF(AND(L1519="642",'642'!$N$5&lt;=B1519,'642'!$O$5&gt;=B1519),"642",IF(AND(L1519="641",'641'!$N$5&lt;=B1519,'641'!$O$5&gt;=B1519),"641",""))))</f>
        <v>632</v>
      </c>
      <c r="V1519" s="51" t="str">
        <f>IF(OR(TH!L1519=TH!$V$7,M1519=TH!$V$7),"x","")</f>
        <v/>
      </c>
      <c r="W1519" s="51" t="str">
        <f>IF(AND(B1519&gt;='IN-NX'!$P$3,B1519&lt;='IN-NX'!$Q$3,'IN-NX'!$D$7=D1519,OR(LEFT(L1519,2)="15",AND(LEFT(M1519,2)&lt;&gt;"15",LEFT(M1519,2)&lt;&gt;"33"))),"x","")</f>
        <v/>
      </c>
      <c r="X1519" s="51" t="str">
        <f>IF(AND(OR(LEFT(TH!L1519,2)="15",LEFT(TH!M1519,2)="15"),'152-CT'!$J$8=TH!F1519),"x","")</f>
        <v/>
      </c>
      <c r="Y1519" s="51" t="str">
        <f>IF(AND(OR(LEFT(TH!L1519,2)="15",LEFT(TH!M1519,2)="15"),TK!$E$7=TH!F1519),"x","")</f>
        <v/>
      </c>
      <c r="Z1519" s="51" t="str">
        <f>IF(AND(B1519&lt;=NKC!$N$8,B1519&gt;=NKC!$M$8),"x","")</f>
        <v/>
      </c>
      <c r="AA1519" s="803"/>
      <c r="AB1519" s="565"/>
    </row>
    <row r="1520" spans="1:31" ht="15.75" customHeight="1">
      <c r="A1520" s="804" t="str">
        <f>IF(B1520&lt;&gt;"",IF(AND(B1520&gt;=_TM1,B1520&lt;=_TM2,OR(TH!L1520="1111",TH!M1520="1111")),TH!D1520,""),"")</f>
        <v/>
      </c>
      <c r="B1520" s="36">
        <f t="shared" si="98"/>
        <v>6</v>
      </c>
      <c r="C1520" s="189">
        <f t="shared" si="99"/>
        <v>42185</v>
      </c>
      <c r="D1520" s="830" t="s">
        <v>1285</v>
      </c>
      <c r="E1520" s="830">
        <v>42185</v>
      </c>
      <c r="F1520" s="836" t="s">
        <v>1139</v>
      </c>
      <c r="G1520" s="832" t="s">
        <v>998</v>
      </c>
      <c r="H1520" s="833" t="s">
        <v>1259</v>
      </c>
      <c r="I1520" s="241">
        <v>15</v>
      </c>
      <c r="J1520" s="241">
        <v>25000</v>
      </c>
      <c r="K1520" s="834">
        <f t="shared" si="101"/>
        <v>375000</v>
      </c>
      <c r="L1520" s="835" t="s">
        <v>162</v>
      </c>
      <c r="M1520" s="835" t="s">
        <v>417</v>
      </c>
      <c r="N1520" s="51" t="str">
        <f>IF(AND('331-CT'!$E$7=TH!H1520,OR(L1520="331",M1520="331")),"331",IF(AND(OR(L1520="131",M1520="131"),H1520='131-CT'!$E$7),"131",""))</f>
        <v/>
      </c>
      <c r="O1520" s="51" t="str">
        <f>IF(AND($B1520&gt;='111'!$N$11,$B1520&lt;='111'!$O$11,OR($L1520=$O$7,$M1520=$O$7)),"x","")</f>
        <v/>
      </c>
      <c r="P1520" s="51" t="str">
        <f>IF(AND($L1520=$O$7,$B1520&lt;'111'!$N$11),"x","")</f>
        <v/>
      </c>
      <c r="Q1520" s="51" t="str">
        <f>IF(AND($M1520=$O$7,$B1520&lt;'111'!$N$11),"x","")</f>
        <v/>
      </c>
      <c r="R1520" s="51" t="str">
        <f>IF(ISERROR(FIND('112'!$M$9,G1520,1)),"",IF((AND(FIND('112'!$M$9,G1520,1)&gt;=1,$B1520&gt;='112'!$N$8,$B1520&lt;='112'!$O$8,OR($L1520='112'!$I$6,$M1520='112'!$I$6))),"x",""))</f>
        <v/>
      </c>
      <c r="S1520" s="51" t="str">
        <f>IF(ISERROR(FIND('112'!$M$9,G1520,1)),"",IF((AND(LEFT(G1520,2)=LEFT('112'!$M$9,2),B1520&lt;'112'!$N$8,$L1520='112'!$I$6)),"x",""))</f>
        <v/>
      </c>
      <c r="T1520" s="51" t="str">
        <f>IF(ISERROR(FIND('112'!$M$9,G1520,1)),"",IF((AND(RIGHT(G1520,2)=RIGHT('112'!$M$9,2),B1520&lt;'112'!$N$8,$M1520='112'!$I$6)),"x",""))</f>
        <v/>
      </c>
      <c r="U1520" s="51" t="str">
        <f>IF(AND(L1520="154",'154'!$O$5&lt;=B1520,'154'!$P$5&gt;=B1520),"154",IF(AND(L1520="632",'632'!$L$5&lt;=B1520,'632'!$M$5&gt;=B1520),"632",IF(AND(L1520="642",'642'!$N$5&lt;=B1520,'642'!$O$5&gt;=B1520),"642",IF(AND(L1520="641",'641'!$N$5&lt;=B1520,'641'!$O$5&gt;=B1520),"641",""))))</f>
        <v>632</v>
      </c>
      <c r="V1520" s="51" t="str">
        <f>IF(OR(TH!L1520=TH!$V$7,M1520=TH!$V$7),"x","")</f>
        <v/>
      </c>
      <c r="W1520" s="51" t="str">
        <f>IF(AND(B1520&gt;='IN-NX'!$P$3,B1520&lt;='IN-NX'!$Q$3,'IN-NX'!$D$7=D1520,OR(LEFT(L1520,2)="15",AND(LEFT(M1520,2)&lt;&gt;"15",LEFT(M1520,2)&lt;&gt;"33"))),"x","")</f>
        <v/>
      </c>
      <c r="X1520" s="51" t="str">
        <f>IF(AND(OR(LEFT(TH!L1520,2)="15",LEFT(TH!M1520,2)="15"),'152-CT'!$J$8=TH!F1520),"x","")</f>
        <v/>
      </c>
      <c r="Y1520" s="51" t="str">
        <f>IF(AND(OR(LEFT(TH!L1520,2)="15",LEFT(TH!M1520,2)="15"),TK!$E$7=TH!F1520),"x","")</f>
        <v/>
      </c>
      <c r="Z1520" s="51" t="str">
        <f>IF(AND(B1520&lt;=NKC!$N$8,B1520&gt;=NKC!$M$8),"x","")</f>
        <v/>
      </c>
      <c r="AA1520" s="803"/>
      <c r="AB1520" s="565"/>
    </row>
    <row r="1521" spans="1:28" ht="15.75" customHeight="1">
      <c r="A1521" s="804" t="str">
        <f>IF(B1521&lt;&gt;"",IF(AND(B1521&gt;=_TM1,B1521&lt;=_TM2,OR(TH!L1521="1111",TH!M1521="1111")),TH!D1521,""),"")</f>
        <v/>
      </c>
      <c r="B1521" s="36">
        <f t="shared" si="98"/>
        <v>6</v>
      </c>
      <c r="C1521" s="189">
        <f t="shared" ref="C1521:C1571" si="102">E1521</f>
        <v>42185</v>
      </c>
      <c r="D1521" s="830" t="s">
        <v>1285</v>
      </c>
      <c r="E1521" s="830">
        <v>42185</v>
      </c>
      <c r="F1521" s="836" t="s">
        <v>1141</v>
      </c>
      <c r="G1521" s="832" t="s">
        <v>998</v>
      </c>
      <c r="H1521" s="833" t="s">
        <v>1259</v>
      </c>
      <c r="I1521" s="241">
        <v>22</v>
      </c>
      <c r="J1521" s="241">
        <v>34728</v>
      </c>
      <c r="K1521" s="834">
        <f t="shared" si="101"/>
        <v>764016</v>
      </c>
      <c r="L1521" s="835" t="s">
        <v>162</v>
      </c>
      <c r="M1521" s="835" t="s">
        <v>417</v>
      </c>
      <c r="N1521" s="51" t="str">
        <f>IF(AND('331-CT'!$E$7=TH!H1521,OR(L1521="331",M1521="331")),"331",IF(AND(OR(L1521="131",M1521="131"),H1521='131-CT'!$E$7),"131",""))</f>
        <v/>
      </c>
      <c r="O1521" s="51" t="str">
        <f>IF(AND($B1521&gt;='111'!$N$11,$B1521&lt;='111'!$O$11,OR($L1521=$O$7,$M1521=$O$7)),"x","")</f>
        <v/>
      </c>
      <c r="P1521" s="51" t="str">
        <f>IF(AND($L1521=$O$7,$B1521&lt;'111'!$N$11),"x","")</f>
        <v/>
      </c>
      <c r="Q1521" s="51" t="str">
        <f>IF(AND($M1521=$O$7,$B1521&lt;'111'!$N$11),"x","")</f>
        <v/>
      </c>
      <c r="R1521" s="51" t="str">
        <f>IF(ISERROR(FIND('112'!$M$9,G1521,1)),"",IF((AND(FIND('112'!$M$9,G1521,1)&gt;=1,$B1521&gt;='112'!$N$8,$B1521&lt;='112'!$O$8,OR($L1521='112'!$I$6,$M1521='112'!$I$6))),"x",""))</f>
        <v/>
      </c>
      <c r="S1521" s="51" t="str">
        <f>IF(ISERROR(FIND('112'!$M$9,G1521,1)),"",IF((AND(LEFT(G1521,2)=LEFT('112'!$M$9,2),B1521&lt;'112'!$N$8,$L1521='112'!$I$6)),"x",""))</f>
        <v/>
      </c>
      <c r="T1521" s="51" t="str">
        <f>IF(ISERROR(FIND('112'!$M$9,G1521,1)),"",IF((AND(RIGHT(G1521,2)=RIGHT('112'!$M$9,2),B1521&lt;'112'!$N$8,$M1521='112'!$I$6)),"x",""))</f>
        <v/>
      </c>
      <c r="U1521" s="51" t="str">
        <f>IF(AND(L1521="154",'154'!$O$5&lt;=B1521,'154'!$P$5&gt;=B1521),"154",IF(AND(L1521="632",'632'!$L$5&lt;=B1521,'632'!$M$5&gt;=B1521),"632",IF(AND(L1521="642",'642'!$N$5&lt;=B1521,'642'!$O$5&gt;=B1521),"642",IF(AND(L1521="641",'641'!$N$5&lt;=B1521,'641'!$O$5&gt;=B1521),"641",""))))</f>
        <v>632</v>
      </c>
      <c r="V1521" s="51" t="str">
        <f>IF(OR(TH!L1521=TH!$V$7,M1521=TH!$V$7),"x","")</f>
        <v/>
      </c>
      <c r="W1521" s="51" t="str">
        <f>IF(AND(B1521&gt;='IN-NX'!$P$3,B1521&lt;='IN-NX'!$Q$3,'IN-NX'!$D$7=D1521,OR(LEFT(L1521,2)="15",AND(LEFT(M1521,2)&lt;&gt;"15",LEFT(M1521,2)&lt;&gt;"33"))),"x","")</f>
        <v/>
      </c>
      <c r="X1521" s="51" t="str">
        <f>IF(AND(OR(LEFT(TH!L1521,2)="15",LEFT(TH!M1521,2)="15"),'152-CT'!$J$8=TH!F1521),"x","")</f>
        <v/>
      </c>
      <c r="Y1521" s="51" t="str">
        <f>IF(AND(OR(LEFT(TH!L1521,2)="15",LEFT(TH!M1521,2)="15"),TK!$E$7=TH!F1521),"x","")</f>
        <v/>
      </c>
      <c r="Z1521" s="51" t="str">
        <f>IF(AND(B1521&lt;=NKC!$N$8,B1521&gt;=NKC!$M$8),"x","")</f>
        <v/>
      </c>
      <c r="AA1521" s="803"/>
      <c r="AB1521" s="565"/>
    </row>
    <row r="1522" spans="1:28" ht="15.75" customHeight="1">
      <c r="A1522" s="804" t="str">
        <f>IF(B1522&lt;&gt;"",IF(AND(B1522&gt;=_TM1,B1522&lt;=_TM2,OR(TH!L1522="1111",TH!M1522="1111")),TH!D1522,""),"")</f>
        <v/>
      </c>
      <c r="B1522" s="36">
        <f t="shared" si="98"/>
        <v>6</v>
      </c>
      <c r="C1522" s="189">
        <f t="shared" si="102"/>
        <v>42185</v>
      </c>
      <c r="D1522" s="830" t="s">
        <v>1285</v>
      </c>
      <c r="E1522" s="830">
        <v>42185</v>
      </c>
      <c r="F1522" s="836" t="s">
        <v>1143</v>
      </c>
      <c r="G1522" s="832" t="s">
        <v>998</v>
      </c>
      <c r="H1522" s="833" t="s">
        <v>1259</v>
      </c>
      <c r="I1522" s="241">
        <v>45</v>
      </c>
      <c r="J1522" s="241">
        <v>19285.8</v>
      </c>
      <c r="K1522" s="834">
        <f t="shared" si="101"/>
        <v>867861</v>
      </c>
      <c r="L1522" s="835" t="s">
        <v>162</v>
      </c>
      <c r="M1522" s="835" t="s">
        <v>417</v>
      </c>
      <c r="N1522" s="51" t="str">
        <f>IF(AND('331-CT'!$E$7=TH!H1522,OR(L1522="331",M1522="331")),"331",IF(AND(OR(L1522="131",M1522="131"),H1522='131-CT'!$E$7),"131",""))</f>
        <v/>
      </c>
      <c r="O1522" s="51" t="str">
        <f>IF(AND($B1522&gt;='111'!$N$11,$B1522&lt;='111'!$O$11,OR($L1522=$O$7,$M1522=$O$7)),"x","")</f>
        <v/>
      </c>
      <c r="P1522" s="51" t="str">
        <f>IF(AND($L1522=$O$7,$B1522&lt;'111'!$N$11),"x","")</f>
        <v/>
      </c>
      <c r="Q1522" s="51" t="str">
        <f>IF(AND($M1522=$O$7,$B1522&lt;'111'!$N$11),"x","")</f>
        <v/>
      </c>
      <c r="R1522" s="51" t="str">
        <f>IF(ISERROR(FIND('112'!$M$9,G1522,1)),"",IF((AND(FIND('112'!$M$9,G1522,1)&gt;=1,$B1522&gt;='112'!$N$8,$B1522&lt;='112'!$O$8,OR($L1522='112'!$I$6,$M1522='112'!$I$6))),"x",""))</f>
        <v/>
      </c>
      <c r="S1522" s="51" t="str">
        <f>IF(ISERROR(FIND('112'!$M$9,G1522,1)),"",IF((AND(LEFT(G1522,2)=LEFT('112'!$M$9,2),B1522&lt;'112'!$N$8,$L1522='112'!$I$6)),"x",""))</f>
        <v/>
      </c>
      <c r="T1522" s="51" t="str">
        <f>IF(ISERROR(FIND('112'!$M$9,G1522,1)),"",IF((AND(RIGHT(G1522,2)=RIGHT('112'!$M$9,2),B1522&lt;'112'!$N$8,$M1522='112'!$I$6)),"x",""))</f>
        <v/>
      </c>
      <c r="U1522" s="51" t="str">
        <f>IF(AND(L1522="154",'154'!$O$5&lt;=B1522,'154'!$P$5&gt;=B1522),"154",IF(AND(L1522="632",'632'!$L$5&lt;=B1522,'632'!$M$5&gt;=B1522),"632",IF(AND(L1522="642",'642'!$N$5&lt;=B1522,'642'!$O$5&gt;=B1522),"642",IF(AND(L1522="641",'641'!$N$5&lt;=B1522,'641'!$O$5&gt;=B1522),"641",""))))</f>
        <v>632</v>
      </c>
      <c r="V1522" s="51" t="str">
        <f>IF(OR(TH!L1522=TH!$V$7,M1522=TH!$V$7),"x","")</f>
        <v/>
      </c>
      <c r="W1522" s="51" t="str">
        <f>IF(AND(B1522&gt;='IN-NX'!$P$3,B1522&lt;='IN-NX'!$Q$3,'IN-NX'!$D$7=D1522,OR(LEFT(L1522,2)="15",AND(LEFT(M1522,2)&lt;&gt;"15",LEFT(M1522,2)&lt;&gt;"33"))),"x","")</f>
        <v/>
      </c>
      <c r="X1522" s="51" t="str">
        <f>IF(AND(OR(LEFT(TH!L1522,2)="15",LEFT(TH!M1522,2)="15"),'152-CT'!$J$8=TH!F1522),"x","")</f>
        <v/>
      </c>
      <c r="Y1522" s="51" t="str">
        <f>IF(AND(OR(LEFT(TH!L1522,2)="15",LEFT(TH!M1522,2)="15"),TK!$E$7=TH!F1522),"x","")</f>
        <v/>
      </c>
      <c r="Z1522" s="51" t="str">
        <f>IF(AND(B1522&lt;=NKC!$N$8,B1522&gt;=NKC!$M$8),"x","")</f>
        <v/>
      </c>
      <c r="AA1522" s="803"/>
      <c r="AB1522" s="565"/>
    </row>
    <row r="1523" spans="1:28" ht="15.75" customHeight="1">
      <c r="A1523" s="804" t="str">
        <f>IF(B1523&lt;&gt;"",IF(AND(B1523&gt;=_TM1,B1523&lt;=_TM2,OR(TH!L1523="1111",TH!M1523="1111")),TH!D1523,""),"")</f>
        <v/>
      </c>
      <c r="B1523" s="36">
        <f t="shared" si="98"/>
        <v>6</v>
      </c>
      <c r="C1523" s="189">
        <f t="shared" si="102"/>
        <v>42185</v>
      </c>
      <c r="D1523" s="830" t="s">
        <v>1285</v>
      </c>
      <c r="E1523" s="830">
        <v>42185</v>
      </c>
      <c r="F1523" s="836" t="s">
        <v>1140</v>
      </c>
      <c r="G1523" s="832" t="s">
        <v>998</v>
      </c>
      <c r="H1523" s="833" t="s">
        <v>1259</v>
      </c>
      <c r="I1523" s="241">
        <v>30</v>
      </c>
      <c r="J1523" s="241">
        <v>28942</v>
      </c>
      <c r="K1523" s="834">
        <f t="shared" si="101"/>
        <v>868260</v>
      </c>
      <c r="L1523" s="835" t="s">
        <v>162</v>
      </c>
      <c r="M1523" s="835" t="s">
        <v>417</v>
      </c>
      <c r="N1523" s="51" t="str">
        <f>IF(AND('331-CT'!$E$7=TH!H1523,OR(L1523="331",M1523="331")),"331",IF(AND(OR(L1523="131",M1523="131"),H1523='131-CT'!$E$7),"131",""))</f>
        <v/>
      </c>
      <c r="O1523" s="51" t="str">
        <f>IF(AND($B1523&gt;='111'!$N$11,$B1523&lt;='111'!$O$11,OR($L1523=$O$7,$M1523=$O$7)),"x","")</f>
        <v/>
      </c>
      <c r="P1523" s="51" t="str">
        <f>IF(AND($L1523=$O$7,$B1523&lt;'111'!$N$11),"x","")</f>
        <v/>
      </c>
      <c r="Q1523" s="51" t="str">
        <f>IF(AND($M1523=$O$7,$B1523&lt;'111'!$N$11),"x","")</f>
        <v/>
      </c>
      <c r="R1523" s="51" t="str">
        <f>IF(ISERROR(FIND('112'!$M$9,G1523,1)),"",IF((AND(FIND('112'!$M$9,G1523,1)&gt;=1,$B1523&gt;='112'!$N$8,$B1523&lt;='112'!$O$8,OR($L1523='112'!$I$6,$M1523='112'!$I$6))),"x",""))</f>
        <v/>
      </c>
      <c r="S1523" s="51" t="str">
        <f>IF(ISERROR(FIND('112'!$M$9,G1523,1)),"",IF((AND(LEFT(G1523,2)=LEFT('112'!$M$9,2),B1523&lt;'112'!$N$8,$L1523='112'!$I$6)),"x",""))</f>
        <v/>
      </c>
      <c r="T1523" s="51" t="str">
        <f>IF(ISERROR(FIND('112'!$M$9,G1523,1)),"",IF((AND(RIGHT(G1523,2)=RIGHT('112'!$M$9,2),B1523&lt;'112'!$N$8,$M1523='112'!$I$6)),"x",""))</f>
        <v/>
      </c>
      <c r="U1523" s="51" t="str">
        <f>IF(AND(L1523="154",'154'!$O$5&lt;=B1523,'154'!$P$5&gt;=B1523),"154",IF(AND(L1523="632",'632'!$L$5&lt;=B1523,'632'!$M$5&gt;=B1523),"632",IF(AND(L1523="642",'642'!$N$5&lt;=B1523,'642'!$O$5&gt;=B1523),"642",IF(AND(L1523="641",'641'!$N$5&lt;=B1523,'641'!$O$5&gt;=B1523),"641",""))))</f>
        <v>632</v>
      </c>
      <c r="V1523" s="51" t="str">
        <f>IF(OR(TH!L1523=TH!$V$7,M1523=TH!$V$7),"x","")</f>
        <v/>
      </c>
      <c r="W1523" s="51" t="str">
        <f>IF(AND(B1523&gt;='IN-NX'!$P$3,B1523&lt;='IN-NX'!$Q$3,'IN-NX'!$D$7=D1523,OR(LEFT(L1523,2)="15",AND(LEFT(M1523,2)&lt;&gt;"15",LEFT(M1523,2)&lt;&gt;"33"))),"x","")</f>
        <v/>
      </c>
      <c r="X1523" s="51" t="str">
        <f>IF(AND(OR(LEFT(TH!L1523,2)="15",LEFT(TH!M1523,2)="15"),'152-CT'!$J$8=TH!F1523),"x","")</f>
        <v/>
      </c>
      <c r="Y1523" s="51" t="str">
        <f>IF(AND(OR(LEFT(TH!L1523,2)="15",LEFT(TH!M1523,2)="15"),TK!$E$7=TH!F1523),"x","")</f>
        <v/>
      </c>
      <c r="Z1523" s="51" t="str">
        <f>IF(AND(B1523&lt;=NKC!$N$8,B1523&gt;=NKC!$M$8),"x","")</f>
        <v/>
      </c>
      <c r="AA1523" s="803"/>
      <c r="AB1523" s="565"/>
    </row>
    <row r="1524" spans="1:28" ht="15.75" customHeight="1">
      <c r="A1524" s="804" t="str">
        <f>IF(B1524&lt;&gt;"",IF(AND(B1524&gt;=_TM1,B1524&lt;=_TM2,OR(TH!L1524="1111",TH!M1524="1111")),TH!D1524,""),"")</f>
        <v/>
      </c>
      <c r="B1524" s="36">
        <f t="shared" si="98"/>
        <v>6</v>
      </c>
      <c r="C1524" s="189">
        <f t="shared" si="102"/>
        <v>42185</v>
      </c>
      <c r="D1524" s="830" t="s">
        <v>1285</v>
      </c>
      <c r="E1524" s="830">
        <v>42185</v>
      </c>
      <c r="F1524" s="836" t="s">
        <v>1142</v>
      </c>
      <c r="G1524" s="832" t="s">
        <v>998</v>
      </c>
      <c r="H1524" s="833" t="s">
        <v>1259</v>
      </c>
      <c r="I1524" s="241">
        <v>217</v>
      </c>
      <c r="J1524" s="241">
        <v>13758.774193548386</v>
      </c>
      <c r="K1524" s="834">
        <f t="shared" si="101"/>
        <v>2985654</v>
      </c>
      <c r="L1524" s="835" t="s">
        <v>162</v>
      </c>
      <c r="M1524" s="835" t="s">
        <v>417</v>
      </c>
      <c r="N1524" s="51" t="str">
        <f>IF(AND('331-CT'!$E$7=TH!H1524,OR(L1524="331",M1524="331")),"331",IF(AND(OR(L1524="131",M1524="131"),H1524='131-CT'!$E$7),"131",""))</f>
        <v/>
      </c>
      <c r="O1524" s="51" t="str">
        <f>IF(AND($B1524&gt;='111'!$N$11,$B1524&lt;='111'!$O$11,OR($L1524=$O$7,$M1524=$O$7)),"x","")</f>
        <v/>
      </c>
      <c r="P1524" s="51" t="str">
        <f>IF(AND($L1524=$O$7,$B1524&lt;'111'!$N$11),"x","")</f>
        <v/>
      </c>
      <c r="Q1524" s="51" t="str">
        <f>IF(AND($M1524=$O$7,$B1524&lt;'111'!$N$11),"x","")</f>
        <v/>
      </c>
      <c r="R1524" s="51" t="str">
        <f>IF(ISERROR(FIND('112'!$M$9,G1524,1)),"",IF((AND(FIND('112'!$M$9,G1524,1)&gt;=1,$B1524&gt;='112'!$N$8,$B1524&lt;='112'!$O$8,OR($L1524='112'!$I$6,$M1524='112'!$I$6))),"x",""))</f>
        <v/>
      </c>
      <c r="S1524" s="51" t="str">
        <f>IF(ISERROR(FIND('112'!$M$9,G1524,1)),"",IF((AND(LEFT(G1524,2)=LEFT('112'!$M$9,2),B1524&lt;'112'!$N$8,$L1524='112'!$I$6)),"x",""))</f>
        <v/>
      </c>
      <c r="T1524" s="51" t="str">
        <f>IF(ISERROR(FIND('112'!$M$9,G1524,1)),"",IF((AND(RIGHT(G1524,2)=RIGHT('112'!$M$9,2),B1524&lt;'112'!$N$8,$M1524='112'!$I$6)),"x",""))</f>
        <v/>
      </c>
      <c r="U1524" s="51" t="str">
        <f>IF(AND(L1524="154",'154'!$O$5&lt;=B1524,'154'!$P$5&gt;=B1524),"154",IF(AND(L1524="632",'632'!$L$5&lt;=B1524,'632'!$M$5&gt;=B1524),"632",IF(AND(L1524="642",'642'!$N$5&lt;=B1524,'642'!$O$5&gt;=B1524),"642",IF(AND(L1524="641",'641'!$N$5&lt;=B1524,'641'!$O$5&gt;=B1524),"641",""))))</f>
        <v>632</v>
      </c>
      <c r="V1524" s="51" t="str">
        <f>IF(OR(TH!L1524=TH!$V$7,M1524=TH!$V$7),"x","")</f>
        <v/>
      </c>
      <c r="W1524" s="51" t="str">
        <f>IF(AND(B1524&gt;='IN-NX'!$P$3,B1524&lt;='IN-NX'!$Q$3,'IN-NX'!$D$7=D1524,OR(LEFT(L1524,2)="15",AND(LEFT(M1524,2)&lt;&gt;"15",LEFT(M1524,2)&lt;&gt;"33"))),"x","")</f>
        <v/>
      </c>
      <c r="X1524" s="51" t="str">
        <f>IF(AND(OR(LEFT(TH!L1524,2)="15",LEFT(TH!M1524,2)="15"),'152-CT'!$J$8=TH!F1524),"x","")</f>
        <v/>
      </c>
      <c r="Y1524" s="51" t="str">
        <f>IF(AND(OR(LEFT(TH!L1524,2)="15",LEFT(TH!M1524,2)="15"),TK!$E$7=TH!F1524),"x","")</f>
        <v/>
      </c>
      <c r="Z1524" s="51" t="str">
        <f>IF(AND(B1524&lt;=NKC!$N$8,B1524&gt;=NKC!$M$8),"x","")</f>
        <v/>
      </c>
      <c r="AA1524" s="803"/>
      <c r="AB1524" s="565"/>
    </row>
    <row r="1525" spans="1:28" ht="15.75" customHeight="1">
      <c r="A1525" s="804" t="str">
        <f>IF(B1525&lt;&gt;"",IF(AND(B1525&gt;=_TM1,B1525&lt;=_TM2,OR(TH!L1525="1111",TH!M1525="1111")),TH!D1525,""),"")</f>
        <v/>
      </c>
      <c r="B1525" s="36">
        <f t="shared" si="98"/>
        <v>8</v>
      </c>
      <c r="C1525" s="189">
        <f t="shared" si="102"/>
        <v>42226</v>
      </c>
      <c r="D1525" s="830" t="s">
        <v>1285</v>
      </c>
      <c r="E1525" s="830">
        <v>42226</v>
      </c>
      <c r="F1525" s="836" t="s">
        <v>623</v>
      </c>
      <c r="G1525" s="832" t="s">
        <v>1015</v>
      </c>
      <c r="H1525" s="833" t="s">
        <v>1259</v>
      </c>
      <c r="I1525" s="241">
        <v>500</v>
      </c>
      <c r="J1525" s="241">
        <v>30920.138888888891</v>
      </c>
      <c r="K1525" s="834">
        <f t="shared" si="101"/>
        <v>15460069</v>
      </c>
      <c r="L1525" s="835" t="s">
        <v>162</v>
      </c>
      <c r="M1525" s="835" t="s">
        <v>417</v>
      </c>
      <c r="N1525" s="51" t="str">
        <f>IF(AND('331-CT'!$E$7=TH!H1525,OR(L1525="331",M1525="331")),"331",IF(AND(OR(L1525="131",M1525="131"),H1525='131-CT'!$E$7),"131",""))</f>
        <v/>
      </c>
      <c r="O1525" s="51" t="str">
        <f>IF(AND($B1525&gt;='111'!$N$11,$B1525&lt;='111'!$O$11,OR($L1525=$O$7,$M1525=$O$7)),"x","")</f>
        <v/>
      </c>
      <c r="P1525" s="51" t="str">
        <f>IF(AND($L1525=$O$7,$B1525&lt;'111'!$N$11),"x","")</f>
        <v/>
      </c>
      <c r="Q1525" s="51" t="str">
        <f>IF(AND($M1525=$O$7,$B1525&lt;'111'!$N$11),"x","")</f>
        <v/>
      </c>
      <c r="R1525" s="51" t="str">
        <f>IF(ISERROR(FIND('112'!$M$9,G1525,1)),"",IF((AND(FIND('112'!$M$9,G1525,1)&gt;=1,$B1525&gt;='112'!$N$8,$B1525&lt;='112'!$O$8,OR($L1525='112'!$I$6,$M1525='112'!$I$6))),"x",""))</f>
        <v/>
      </c>
      <c r="S1525" s="51" t="str">
        <f>IF(ISERROR(FIND('112'!$M$9,G1525,1)),"",IF((AND(LEFT(G1525,2)=LEFT('112'!$M$9,2),B1525&lt;'112'!$N$8,$L1525='112'!$I$6)),"x",""))</f>
        <v/>
      </c>
      <c r="T1525" s="51" t="str">
        <f>IF(ISERROR(FIND('112'!$M$9,G1525,1)),"",IF((AND(RIGHT(G1525,2)=RIGHT('112'!$M$9,2),B1525&lt;'112'!$N$8,$M1525='112'!$I$6)),"x",""))</f>
        <v/>
      </c>
      <c r="U1525" s="51" t="str">
        <f>IF(AND(L1525="154",'154'!$O$5&lt;=B1525,'154'!$P$5&gt;=B1525),"154",IF(AND(L1525="632",'632'!$L$5&lt;=B1525,'632'!$M$5&gt;=B1525),"632",IF(AND(L1525="642",'642'!$N$5&lt;=B1525,'642'!$O$5&gt;=B1525),"642",IF(AND(L1525="641",'641'!$N$5&lt;=B1525,'641'!$O$5&gt;=B1525),"641",""))))</f>
        <v/>
      </c>
      <c r="V1525" s="51" t="str">
        <f>IF(OR(TH!L1525=TH!$V$7,M1525=TH!$V$7),"x","")</f>
        <v/>
      </c>
      <c r="W1525" s="51" t="str">
        <f>IF(AND(B1525&gt;='IN-NX'!$P$3,B1525&lt;='IN-NX'!$Q$3,'IN-NX'!$D$7=D1525,OR(LEFT(L1525,2)="15",AND(LEFT(M1525,2)&lt;&gt;"15",LEFT(M1525,2)&lt;&gt;"33"))),"x","")</f>
        <v/>
      </c>
      <c r="X1525" s="51" t="str">
        <f>IF(AND(OR(LEFT(TH!L1525,2)="15",LEFT(TH!M1525,2)="15"),'152-CT'!$J$8=TH!F1525),"x","")</f>
        <v/>
      </c>
      <c r="Y1525" s="51" t="str">
        <f>IF(AND(OR(LEFT(TH!L1525,2)="15",LEFT(TH!M1525,2)="15"),TK!$E$7=TH!F1525),"x","")</f>
        <v/>
      </c>
      <c r="Z1525" s="51" t="str">
        <f>IF(AND(B1525&lt;=NKC!$N$8,B1525&gt;=NKC!$M$8),"x","")</f>
        <v>x</v>
      </c>
      <c r="AA1525" s="803"/>
      <c r="AB1525" s="565"/>
    </row>
    <row r="1526" spans="1:28" ht="15.75" customHeight="1">
      <c r="A1526" s="804" t="str">
        <f>IF(B1526&lt;&gt;"",IF(AND(B1526&gt;=_TM1,B1526&lt;=_TM2,OR(TH!L1526="1111",TH!M1526="1111")),TH!D1526,""),"")</f>
        <v/>
      </c>
      <c r="B1526" s="36">
        <f t="shared" si="98"/>
        <v>8</v>
      </c>
      <c r="C1526" s="189">
        <f t="shared" si="102"/>
        <v>42228</v>
      </c>
      <c r="D1526" s="830" t="s">
        <v>1285</v>
      </c>
      <c r="E1526" s="830">
        <v>42228</v>
      </c>
      <c r="F1526" s="836" t="s">
        <v>624</v>
      </c>
      <c r="G1526" s="832" t="s">
        <v>1016</v>
      </c>
      <c r="H1526" s="833" t="s">
        <v>1259</v>
      </c>
      <c r="I1526" s="241">
        <v>500</v>
      </c>
      <c r="J1526" s="241">
        <v>31155</v>
      </c>
      <c r="K1526" s="834">
        <f t="shared" si="101"/>
        <v>15577500</v>
      </c>
      <c r="L1526" s="835" t="s">
        <v>162</v>
      </c>
      <c r="M1526" s="835" t="s">
        <v>417</v>
      </c>
      <c r="N1526" s="51" t="str">
        <f>IF(AND('331-CT'!$E$7=TH!H1526,OR(L1526="331",M1526="331")),"331",IF(AND(OR(L1526="131",M1526="131"),H1526='131-CT'!$E$7),"131",""))</f>
        <v/>
      </c>
      <c r="O1526" s="51" t="str">
        <f>IF(AND($B1526&gt;='111'!$N$11,$B1526&lt;='111'!$O$11,OR($L1526=$O$7,$M1526=$O$7)),"x","")</f>
        <v/>
      </c>
      <c r="P1526" s="51" t="str">
        <f>IF(AND($L1526=$O$7,$B1526&lt;'111'!$N$11),"x","")</f>
        <v/>
      </c>
      <c r="Q1526" s="51" t="str">
        <f>IF(AND($M1526=$O$7,$B1526&lt;'111'!$N$11),"x","")</f>
        <v/>
      </c>
      <c r="R1526" s="51" t="str">
        <f>IF(ISERROR(FIND('112'!$M$9,G1526,1)),"",IF((AND(FIND('112'!$M$9,G1526,1)&gt;=1,$B1526&gt;='112'!$N$8,$B1526&lt;='112'!$O$8,OR($L1526='112'!$I$6,$M1526='112'!$I$6))),"x",""))</f>
        <v/>
      </c>
      <c r="S1526" s="51" t="str">
        <f>IF(ISERROR(FIND('112'!$M$9,G1526,1)),"",IF((AND(LEFT(G1526,2)=LEFT('112'!$M$9,2),B1526&lt;'112'!$N$8,$L1526='112'!$I$6)),"x",""))</f>
        <v/>
      </c>
      <c r="T1526" s="51" t="str">
        <f>IF(ISERROR(FIND('112'!$M$9,G1526,1)),"",IF((AND(RIGHT(G1526,2)=RIGHT('112'!$M$9,2),B1526&lt;'112'!$N$8,$M1526='112'!$I$6)),"x",""))</f>
        <v/>
      </c>
      <c r="U1526" s="51" t="str">
        <f>IF(AND(L1526="154",'154'!$O$5&lt;=B1526,'154'!$P$5&gt;=B1526),"154",IF(AND(L1526="632",'632'!$L$5&lt;=B1526,'632'!$M$5&gt;=B1526),"632",IF(AND(L1526="642",'642'!$N$5&lt;=B1526,'642'!$O$5&gt;=B1526),"642",IF(AND(L1526="641",'641'!$N$5&lt;=B1526,'641'!$O$5&gt;=B1526),"641",""))))</f>
        <v/>
      </c>
      <c r="V1526" s="51" t="str">
        <f>IF(OR(TH!L1526=TH!$V$7,M1526=TH!$V$7),"x","")</f>
        <v/>
      </c>
      <c r="W1526" s="51" t="str">
        <f>IF(AND(B1526&gt;='IN-NX'!$P$3,B1526&lt;='IN-NX'!$Q$3,'IN-NX'!$D$7=D1526,OR(LEFT(L1526,2)="15",AND(LEFT(M1526,2)&lt;&gt;"15",LEFT(M1526,2)&lt;&gt;"33"))),"x","")</f>
        <v/>
      </c>
      <c r="X1526" s="51" t="str">
        <f>IF(AND(OR(LEFT(TH!L1526,2)="15",LEFT(TH!M1526,2)="15"),'152-CT'!$J$8=TH!F1526),"x","")</f>
        <v/>
      </c>
      <c r="Y1526" s="51" t="str">
        <f>IF(AND(OR(LEFT(TH!L1526,2)="15",LEFT(TH!M1526,2)="15"),TK!$E$7=TH!F1526),"x","")</f>
        <v/>
      </c>
      <c r="Z1526" s="51" t="str">
        <f>IF(AND(B1526&lt;=NKC!$N$8,B1526&gt;=NKC!$M$8),"x","")</f>
        <v>x</v>
      </c>
      <c r="AA1526" s="803"/>
      <c r="AB1526" s="565"/>
    </row>
    <row r="1527" spans="1:28" ht="15.75" customHeight="1">
      <c r="A1527" s="804" t="str">
        <f>IF(B1527&lt;&gt;"",IF(AND(B1527&gt;=_TM1,B1527&lt;=_TM2,OR(TH!L1527="1111",TH!M1527="1111")),TH!D1527,""),"")</f>
        <v/>
      </c>
      <c r="B1527" s="36">
        <f t="shared" si="98"/>
        <v>8</v>
      </c>
      <c r="C1527" s="189">
        <f t="shared" si="102"/>
        <v>42231</v>
      </c>
      <c r="D1527" s="830" t="s">
        <v>1285</v>
      </c>
      <c r="E1527" s="830">
        <v>42231</v>
      </c>
      <c r="F1527" s="836" t="s">
        <v>620</v>
      </c>
      <c r="G1527" s="832" t="s">
        <v>1017</v>
      </c>
      <c r="H1527" s="833" t="s">
        <v>1259</v>
      </c>
      <c r="I1527" s="241">
        <v>1000</v>
      </c>
      <c r="J1527" s="241">
        <v>14250</v>
      </c>
      <c r="K1527" s="834">
        <f t="shared" si="101"/>
        <v>14250000</v>
      </c>
      <c r="L1527" s="835" t="s">
        <v>162</v>
      </c>
      <c r="M1527" s="835" t="s">
        <v>417</v>
      </c>
      <c r="N1527" s="51" t="str">
        <f>IF(AND('331-CT'!$E$7=TH!H1527,OR(L1527="331",M1527="331")),"331",IF(AND(OR(L1527="131",M1527="131"),H1527='131-CT'!$E$7),"131",""))</f>
        <v/>
      </c>
      <c r="O1527" s="51" t="str">
        <f>IF(AND($B1527&gt;='111'!$N$11,$B1527&lt;='111'!$O$11,OR($L1527=$O$7,$M1527=$O$7)),"x","")</f>
        <v/>
      </c>
      <c r="P1527" s="51" t="str">
        <f>IF(AND($L1527=$O$7,$B1527&lt;'111'!$N$11),"x","")</f>
        <v/>
      </c>
      <c r="Q1527" s="51" t="str">
        <f>IF(AND($M1527=$O$7,$B1527&lt;'111'!$N$11),"x","")</f>
        <v/>
      </c>
      <c r="R1527" s="51" t="str">
        <f>IF(ISERROR(FIND('112'!$M$9,G1527,1)),"",IF((AND(FIND('112'!$M$9,G1527,1)&gt;=1,$B1527&gt;='112'!$N$8,$B1527&lt;='112'!$O$8,OR($L1527='112'!$I$6,$M1527='112'!$I$6))),"x",""))</f>
        <v/>
      </c>
      <c r="S1527" s="51" t="str">
        <f>IF(ISERROR(FIND('112'!$M$9,G1527,1)),"",IF((AND(LEFT(G1527,2)=LEFT('112'!$M$9,2),B1527&lt;'112'!$N$8,$L1527='112'!$I$6)),"x",""))</f>
        <v/>
      </c>
      <c r="T1527" s="51" t="str">
        <f>IF(ISERROR(FIND('112'!$M$9,G1527,1)),"",IF((AND(RIGHT(G1527,2)=RIGHT('112'!$M$9,2),B1527&lt;'112'!$N$8,$M1527='112'!$I$6)),"x",""))</f>
        <v/>
      </c>
      <c r="U1527" s="51" t="str">
        <f>IF(AND(L1527="154",'154'!$O$5&lt;=B1527,'154'!$P$5&gt;=B1527),"154",IF(AND(L1527="632",'632'!$L$5&lt;=B1527,'632'!$M$5&gt;=B1527),"632",IF(AND(L1527="642",'642'!$N$5&lt;=B1527,'642'!$O$5&gt;=B1527),"642",IF(AND(L1527="641",'641'!$N$5&lt;=B1527,'641'!$O$5&gt;=B1527),"641",""))))</f>
        <v/>
      </c>
      <c r="V1527" s="51" t="str">
        <f>IF(OR(TH!L1527=TH!$V$7,M1527=TH!$V$7),"x","")</f>
        <v/>
      </c>
      <c r="W1527" s="51" t="str">
        <f>IF(AND(B1527&gt;='IN-NX'!$P$3,B1527&lt;='IN-NX'!$Q$3,'IN-NX'!$D$7=D1527,OR(LEFT(L1527,2)="15",AND(LEFT(M1527,2)&lt;&gt;"15",LEFT(M1527,2)&lt;&gt;"33"))),"x","")</f>
        <v/>
      </c>
      <c r="X1527" s="51" t="str">
        <f>IF(AND(OR(LEFT(TH!L1527,2)="15",LEFT(TH!M1527,2)="15"),'152-CT'!$J$8=TH!F1527),"x","")</f>
        <v/>
      </c>
      <c r="Y1527" s="51" t="str">
        <f>IF(AND(OR(LEFT(TH!L1527,2)="15",LEFT(TH!M1527,2)="15"),TK!$E$7=TH!F1527),"x","")</f>
        <v/>
      </c>
      <c r="Z1527" s="51" t="str">
        <f>IF(AND(B1527&lt;=NKC!$N$8,B1527&gt;=NKC!$M$8),"x","")</f>
        <v>x</v>
      </c>
      <c r="AA1527" s="803"/>
      <c r="AB1527" s="565"/>
    </row>
    <row r="1528" spans="1:28" ht="15.75" customHeight="1">
      <c r="A1528" s="804" t="str">
        <f>IF(B1528&lt;&gt;"",IF(AND(B1528&gt;=_TM1,B1528&lt;=_TM2,OR(TH!L1528="1111",TH!M1528="1111")),TH!D1528,""),"")</f>
        <v/>
      </c>
      <c r="B1528" s="36">
        <f t="shared" si="98"/>
        <v>8</v>
      </c>
      <c r="C1528" s="189">
        <f t="shared" si="102"/>
        <v>42233</v>
      </c>
      <c r="D1528" s="830" t="s">
        <v>1285</v>
      </c>
      <c r="E1528" s="830">
        <v>42233</v>
      </c>
      <c r="F1528" s="836" t="s">
        <v>621</v>
      </c>
      <c r="G1528" s="832" t="s">
        <v>1018</v>
      </c>
      <c r="H1528" s="833" t="s">
        <v>1259</v>
      </c>
      <c r="I1528" s="241">
        <v>1000</v>
      </c>
      <c r="J1528" s="241">
        <v>15675</v>
      </c>
      <c r="K1528" s="834">
        <f t="shared" si="101"/>
        <v>15675000</v>
      </c>
      <c r="L1528" s="835" t="s">
        <v>162</v>
      </c>
      <c r="M1528" s="835" t="s">
        <v>417</v>
      </c>
      <c r="N1528" s="51" t="str">
        <f>IF(AND('331-CT'!$E$7=TH!H1528,OR(L1528="331",M1528="331")),"331",IF(AND(OR(L1528="131",M1528="131"),H1528='131-CT'!$E$7),"131",""))</f>
        <v/>
      </c>
      <c r="O1528" s="51" t="str">
        <f>IF(AND($B1528&gt;='111'!$N$11,$B1528&lt;='111'!$O$11,OR($L1528=$O$7,$M1528=$O$7)),"x","")</f>
        <v/>
      </c>
      <c r="P1528" s="51" t="str">
        <f>IF(AND($L1528=$O$7,$B1528&lt;'111'!$N$11),"x","")</f>
        <v/>
      </c>
      <c r="Q1528" s="51" t="str">
        <f>IF(AND($M1528=$O$7,$B1528&lt;'111'!$N$11),"x","")</f>
        <v/>
      </c>
      <c r="R1528" s="51" t="str">
        <f>IF(ISERROR(FIND('112'!$M$9,G1528,1)),"",IF((AND(FIND('112'!$M$9,G1528,1)&gt;=1,$B1528&gt;='112'!$N$8,$B1528&lt;='112'!$O$8,OR($L1528='112'!$I$6,$M1528='112'!$I$6))),"x",""))</f>
        <v/>
      </c>
      <c r="S1528" s="51" t="str">
        <f>IF(ISERROR(FIND('112'!$M$9,G1528,1)),"",IF((AND(LEFT(G1528,2)=LEFT('112'!$M$9,2),B1528&lt;'112'!$N$8,$L1528='112'!$I$6)),"x",""))</f>
        <v/>
      </c>
      <c r="T1528" s="51" t="str">
        <f>IF(ISERROR(FIND('112'!$M$9,G1528,1)),"",IF((AND(RIGHT(G1528,2)=RIGHT('112'!$M$9,2),B1528&lt;'112'!$N$8,$M1528='112'!$I$6)),"x",""))</f>
        <v/>
      </c>
      <c r="U1528" s="51" t="str">
        <f>IF(AND(L1528="154",'154'!$O$5&lt;=B1528,'154'!$P$5&gt;=B1528),"154",IF(AND(L1528="632",'632'!$L$5&lt;=B1528,'632'!$M$5&gt;=B1528),"632",IF(AND(L1528="642",'642'!$N$5&lt;=B1528,'642'!$O$5&gt;=B1528),"642",IF(AND(L1528="641",'641'!$N$5&lt;=B1528,'641'!$O$5&gt;=B1528),"641",""))))</f>
        <v/>
      </c>
      <c r="V1528" s="51" t="str">
        <f>IF(OR(TH!L1528=TH!$V$7,M1528=TH!$V$7),"x","")</f>
        <v/>
      </c>
      <c r="W1528" s="51" t="str">
        <f>IF(AND(B1528&gt;='IN-NX'!$P$3,B1528&lt;='IN-NX'!$Q$3,'IN-NX'!$D$7=D1528,OR(LEFT(L1528,2)="15",AND(LEFT(M1528,2)&lt;&gt;"15",LEFT(M1528,2)&lt;&gt;"33"))),"x","")</f>
        <v/>
      </c>
      <c r="X1528" s="51" t="str">
        <f>IF(AND(OR(LEFT(TH!L1528,2)="15",LEFT(TH!M1528,2)="15"),'152-CT'!$J$8=TH!F1528),"x","")</f>
        <v/>
      </c>
      <c r="Y1528" s="51" t="str">
        <f>IF(AND(OR(LEFT(TH!L1528,2)="15",LEFT(TH!M1528,2)="15"),TK!$E$7=TH!F1528),"x","")</f>
        <v/>
      </c>
      <c r="Z1528" s="51" t="str">
        <f>IF(AND(B1528&lt;=NKC!$N$8,B1528&gt;=NKC!$M$8),"x","")</f>
        <v>x</v>
      </c>
      <c r="AA1528" s="803"/>
      <c r="AB1528" s="565"/>
    </row>
    <row r="1529" spans="1:28" ht="15.75" customHeight="1">
      <c r="A1529" s="804" t="str">
        <f>IF(B1529&lt;&gt;"",IF(AND(B1529&gt;=_TM1,B1529&lt;=_TM2,OR(TH!L1529="1111",TH!M1529="1111")),TH!D1529,""),"")</f>
        <v/>
      </c>
      <c r="B1529" s="36">
        <f t="shared" si="98"/>
        <v>8</v>
      </c>
      <c r="C1529" s="189">
        <f t="shared" si="102"/>
        <v>42237</v>
      </c>
      <c r="D1529" s="830" t="s">
        <v>1285</v>
      </c>
      <c r="E1529" s="830">
        <v>42237</v>
      </c>
      <c r="F1529" s="836" t="s">
        <v>621</v>
      </c>
      <c r="G1529" s="832" t="s">
        <v>1020</v>
      </c>
      <c r="H1529" s="833" t="s">
        <v>1259</v>
      </c>
      <c r="I1529" s="241">
        <v>500</v>
      </c>
      <c r="J1529" s="241">
        <v>15675</v>
      </c>
      <c r="K1529" s="834">
        <f t="shared" si="101"/>
        <v>7837500</v>
      </c>
      <c r="L1529" s="835" t="s">
        <v>162</v>
      </c>
      <c r="M1529" s="835" t="s">
        <v>417</v>
      </c>
      <c r="N1529" s="51" t="str">
        <f>IF(AND('331-CT'!$E$7=TH!H1529,OR(L1529="331",M1529="331")),"331",IF(AND(OR(L1529="131",M1529="131"),H1529='131-CT'!$E$7),"131",""))</f>
        <v/>
      </c>
      <c r="O1529" s="51" t="str">
        <f>IF(AND($B1529&gt;='111'!$N$11,$B1529&lt;='111'!$O$11,OR($L1529=$O$7,$M1529=$O$7)),"x","")</f>
        <v/>
      </c>
      <c r="P1529" s="51" t="str">
        <f>IF(AND($L1529=$O$7,$B1529&lt;'111'!$N$11),"x","")</f>
        <v/>
      </c>
      <c r="Q1529" s="51" t="str">
        <f>IF(AND($M1529=$O$7,$B1529&lt;'111'!$N$11),"x","")</f>
        <v/>
      </c>
      <c r="R1529" s="51" t="str">
        <f>IF(ISERROR(FIND('112'!$M$9,G1529,1)),"",IF((AND(FIND('112'!$M$9,G1529,1)&gt;=1,$B1529&gt;='112'!$N$8,$B1529&lt;='112'!$O$8,OR($L1529='112'!$I$6,$M1529='112'!$I$6))),"x",""))</f>
        <v/>
      </c>
      <c r="S1529" s="51" t="str">
        <f>IF(ISERROR(FIND('112'!$M$9,G1529,1)),"",IF((AND(LEFT(G1529,2)=LEFT('112'!$M$9,2),B1529&lt;'112'!$N$8,$L1529='112'!$I$6)),"x",""))</f>
        <v/>
      </c>
      <c r="T1529" s="51" t="str">
        <f>IF(ISERROR(FIND('112'!$M$9,G1529,1)),"",IF((AND(RIGHT(G1529,2)=RIGHT('112'!$M$9,2),B1529&lt;'112'!$N$8,$M1529='112'!$I$6)),"x",""))</f>
        <v/>
      </c>
      <c r="U1529" s="51" t="str">
        <f>IF(AND(L1529="154",'154'!$O$5&lt;=B1529,'154'!$P$5&gt;=B1529),"154",IF(AND(L1529="632",'632'!$L$5&lt;=B1529,'632'!$M$5&gt;=B1529),"632",IF(AND(L1529="642",'642'!$N$5&lt;=B1529,'642'!$O$5&gt;=B1529),"642",IF(AND(L1529="641",'641'!$N$5&lt;=B1529,'641'!$O$5&gt;=B1529),"641",""))))</f>
        <v/>
      </c>
      <c r="V1529" s="51" t="str">
        <f>IF(OR(TH!L1529=TH!$V$7,M1529=TH!$V$7),"x","")</f>
        <v/>
      </c>
      <c r="W1529" s="51" t="str">
        <f>IF(AND(B1529&gt;='IN-NX'!$P$3,B1529&lt;='IN-NX'!$Q$3,'IN-NX'!$D$7=D1529,OR(LEFT(L1529,2)="15",AND(LEFT(M1529,2)&lt;&gt;"15",LEFT(M1529,2)&lt;&gt;"33"))),"x","")</f>
        <v/>
      </c>
      <c r="X1529" s="51" t="str">
        <f>IF(AND(OR(LEFT(TH!L1529,2)="15",LEFT(TH!M1529,2)="15"),'152-CT'!$J$8=TH!F1529),"x","")</f>
        <v/>
      </c>
      <c r="Y1529" s="51" t="str">
        <f>IF(AND(OR(LEFT(TH!L1529,2)="15",LEFT(TH!M1529,2)="15"),TK!$E$7=TH!F1529),"x","")</f>
        <v/>
      </c>
      <c r="Z1529" s="51" t="str">
        <f>IF(AND(B1529&lt;=NKC!$N$8,B1529&gt;=NKC!$M$8),"x","")</f>
        <v>x</v>
      </c>
      <c r="AA1529" s="803"/>
      <c r="AB1529" s="565"/>
    </row>
    <row r="1530" spans="1:28" ht="15.75" customHeight="1">
      <c r="A1530" s="804" t="str">
        <f>IF(B1530&lt;&gt;"",IF(AND(B1530&gt;=_TM1,B1530&lt;=_TM2,OR(TH!L1530="1111",TH!M1530="1111")),TH!D1530,""),"")</f>
        <v/>
      </c>
      <c r="B1530" s="36">
        <f t="shared" si="98"/>
        <v>8</v>
      </c>
      <c r="C1530" s="189">
        <f t="shared" si="102"/>
        <v>42240</v>
      </c>
      <c r="D1530" s="830" t="s">
        <v>1285</v>
      </c>
      <c r="E1530" s="830">
        <v>42240</v>
      </c>
      <c r="F1530" s="836" t="s">
        <v>1203</v>
      </c>
      <c r="G1530" s="832" t="s">
        <v>1022</v>
      </c>
      <c r="H1530" s="833" t="s">
        <v>1259</v>
      </c>
      <c r="I1530" s="241">
        <v>100</v>
      </c>
      <c r="J1530" s="241">
        <v>10930</v>
      </c>
      <c r="K1530" s="834">
        <f t="shared" ref="K1530:K1571" si="103">ROUND(I1530*J1530,0)</f>
        <v>1093000</v>
      </c>
      <c r="L1530" s="835" t="s">
        <v>162</v>
      </c>
      <c r="M1530" s="835" t="s">
        <v>417</v>
      </c>
      <c r="N1530" s="51" t="str">
        <f>IF(AND('331-CT'!$E$7=TH!H1530,OR(L1530="331",M1530="331")),"331",IF(AND(OR(L1530="131",M1530="131"),H1530='131-CT'!$E$7),"131",""))</f>
        <v/>
      </c>
      <c r="O1530" s="51" t="str">
        <f>IF(AND($B1530&gt;='111'!$N$11,$B1530&lt;='111'!$O$11,OR($L1530=$O$7,$M1530=$O$7)),"x","")</f>
        <v/>
      </c>
      <c r="P1530" s="51" t="str">
        <f>IF(AND($L1530=$O$7,$B1530&lt;'111'!$N$11),"x","")</f>
        <v/>
      </c>
      <c r="Q1530" s="51" t="str">
        <f>IF(AND($M1530=$O$7,$B1530&lt;'111'!$N$11),"x","")</f>
        <v/>
      </c>
      <c r="R1530" s="51" t="str">
        <f>IF(ISERROR(FIND('112'!$M$9,G1530,1)),"",IF((AND(FIND('112'!$M$9,G1530,1)&gt;=1,$B1530&gt;='112'!$N$8,$B1530&lt;='112'!$O$8,OR($L1530='112'!$I$6,$M1530='112'!$I$6))),"x",""))</f>
        <v/>
      </c>
      <c r="S1530" s="51" t="str">
        <f>IF(ISERROR(FIND('112'!$M$9,G1530,1)),"",IF((AND(LEFT(G1530,2)=LEFT('112'!$M$9,2),B1530&lt;'112'!$N$8,$L1530='112'!$I$6)),"x",""))</f>
        <v/>
      </c>
      <c r="T1530" s="51" t="str">
        <f>IF(ISERROR(FIND('112'!$M$9,G1530,1)),"",IF((AND(RIGHT(G1530,2)=RIGHT('112'!$M$9,2),B1530&lt;'112'!$N$8,$M1530='112'!$I$6)),"x",""))</f>
        <v/>
      </c>
      <c r="U1530" s="51" t="str">
        <f>IF(AND(L1530="154",'154'!$O$5&lt;=B1530,'154'!$P$5&gt;=B1530),"154",IF(AND(L1530="632",'632'!$L$5&lt;=B1530,'632'!$M$5&gt;=B1530),"632",IF(AND(L1530="642",'642'!$N$5&lt;=B1530,'642'!$O$5&gt;=B1530),"642",IF(AND(L1530="641",'641'!$N$5&lt;=B1530,'641'!$O$5&gt;=B1530),"641",""))))</f>
        <v/>
      </c>
      <c r="V1530" s="51" t="str">
        <f>IF(OR(TH!L1530=TH!$V$7,M1530=TH!$V$7),"x","")</f>
        <v/>
      </c>
      <c r="W1530" s="51" t="str">
        <f>IF(AND(B1530&gt;='IN-NX'!$P$3,B1530&lt;='IN-NX'!$Q$3,'IN-NX'!$D$7=D1530,OR(LEFT(L1530,2)="15",AND(LEFT(M1530,2)&lt;&gt;"15",LEFT(M1530,2)&lt;&gt;"33"))),"x","")</f>
        <v/>
      </c>
      <c r="X1530" s="51" t="str">
        <f>IF(AND(OR(LEFT(TH!L1530,2)="15",LEFT(TH!M1530,2)="15"),'152-CT'!$J$8=TH!F1530),"x","")</f>
        <v/>
      </c>
      <c r="Y1530" s="51" t="str">
        <f>IF(AND(OR(LEFT(TH!L1530,2)="15",LEFT(TH!M1530,2)="15"),TK!$E$7=TH!F1530),"x","")</f>
        <v/>
      </c>
      <c r="Z1530" s="51" t="str">
        <f>IF(AND(B1530&lt;=NKC!$N$8,B1530&gt;=NKC!$M$8),"x","")</f>
        <v>x</v>
      </c>
      <c r="AA1530" s="803"/>
      <c r="AB1530" s="565"/>
    </row>
    <row r="1531" spans="1:28" ht="15.75" customHeight="1">
      <c r="A1531" s="804" t="str">
        <f>IF(B1531&lt;&gt;"",IF(AND(B1531&gt;=_TM1,B1531&lt;=_TM2,OR(TH!L1531="1111",TH!M1531="1111")),TH!D1531,""),"")</f>
        <v/>
      </c>
      <c r="B1531" s="36">
        <f t="shared" si="98"/>
        <v>8</v>
      </c>
      <c r="C1531" s="189">
        <f t="shared" si="102"/>
        <v>42240</v>
      </c>
      <c r="D1531" s="830" t="s">
        <v>1285</v>
      </c>
      <c r="E1531" s="830">
        <v>42240</v>
      </c>
      <c r="F1531" s="836" t="s">
        <v>1204</v>
      </c>
      <c r="G1531" s="832" t="s">
        <v>1022</v>
      </c>
      <c r="H1531" s="833" t="s">
        <v>1259</v>
      </c>
      <c r="I1531" s="241">
        <v>500</v>
      </c>
      <c r="J1531" s="241">
        <v>16670</v>
      </c>
      <c r="K1531" s="834">
        <f t="shared" si="103"/>
        <v>8335000</v>
      </c>
      <c r="L1531" s="835" t="s">
        <v>162</v>
      </c>
      <c r="M1531" s="835" t="s">
        <v>417</v>
      </c>
      <c r="N1531" s="51" t="str">
        <f>IF(AND('331-CT'!$E$7=TH!H1531,OR(L1531="331",M1531="331")),"331",IF(AND(OR(L1531="131",M1531="131"),H1531='131-CT'!$E$7),"131",""))</f>
        <v/>
      </c>
      <c r="O1531" s="51" t="str">
        <f>IF(AND($B1531&gt;='111'!$N$11,$B1531&lt;='111'!$O$11,OR($L1531=$O$7,$M1531=$O$7)),"x","")</f>
        <v/>
      </c>
      <c r="P1531" s="51" t="str">
        <f>IF(AND($L1531=$O$7,$B1531&lt;'111'!$N$11),"x","")</f>
        <v/>
      </c>
      <c r="Q1531" s="51" t="str">
        <f>IF(AND($M1531=$O$7,$B1531&lt;'111'!$N$11),"x","")</f>
        <v/>
      </c>
      <c r="R1531" s="51" t="str">
        <f>IF(ISERROR(FIND('112'!$M$9,G1531,1)),"",IF((AND(FIND('112'!$M$9,G1531,1)&gt;=1,$B1531&gt;='112'!$N$8,$B1531&lt;='112'!$O$8,OR($L1531='112'!$I$6,$M1531='112'!$I$6))),"x",""))</f>
        <v/>
      </c>
      <c r="S1531" s="51" t="str">
        <f>IF(ISERROR(FIND('112'!$M$9,G1531,1)),"",IF((AND(LEFT(G1531,2)=LEFT('112'!$M$9,2),B1531&lt;'112'!$N$8,$L1531='112'!$I$6)),"x",""))</f>
        <v/>
      </c>
      <c r="T1531" s="51" t="str">
        <f>IF(ISERROR(FIND('112'!$M$9,G1531,1)),"",IF((AND(RIGHT(G1531,2)=RIGHT('112'!$M$9,2),B1531&lt;'112'!$N$8,$M1531='112'!$I$6)),"x",""))</f>
        <v/>
      </c>
      <c r="U1531" s="51" t="str">
        <f>IF(AND(L1531="154",'154'!$O$5&lt;=B1531,'154'!$P$5&gt;=B1531),"154",IF(AND(L1531="632",'632'!$L$5&lt;=B1531,'632'!$M$5&gt;=B1531),"632",IF(AND(L1531="642",'642'!$N$5&lt;=B1531,'642'!$O$5&gt;=B1531),"642",IF(AND(L1531="641",'641'!$N$5&lt;=B1531,'641'!$O$5&gt;=B1531),"641",""))))</f>
        <v/>
      </c>
      <c r="V1531" s="51" t="str">
        <f>IF(OR(TH!L1531=TH!$V$7,M1531=TH!$V$7),"x","")</f>
        <v/>
      </c>
      <c r="W1531" s="51" t="str">
        <f>IF(AND(B1531&gt;='IN-NX'!$P$3,B1531&lt;='IN-NX'!$Q$3,'IN-NX'!$D$7=D1531,OR(LEFT(L1531,2)="15",AND(LEFT(M1531,2)&lt;&gt;"15",LEFT(M1531,2)&lt;&gt;"33"))),"x","")</f>
        <v/>
      </c>
      <c r="X1531" s="51" t="str">
        <f>IF(AND(OR(LEFT(TH!L1531,2)="15",LEFT(TH!M1531,2)="15"),'152-CT'!$J$8=TH!F1531),"x","")</f>
        <v/>
      </c>
      <c r="Y1531" s="51" t="str">
        <f>IF(AND(OR(LEFT(TH!L1531,2)="15",LEFT(TH!M1531,2)="15"),TK!$E$7=TH!F1531),"x","")</f>
        <v/>
      </c>
      <c r="Z1531" s="51" t="str">
        <f>IF(AND(B1531&lt;=NKC!$N$8,B1531&gt;=NKC!$M$8),"x","")</f>
        <v>x</v>
      </c>
      <c r="AA1531" s="803"/>
      <c r="AB1531" s="565"/>
    </row>
    <row r="1532" spans="1:28" ht="15.75" customHeight="1">
      <c r="A1532" s="804" t="str">
        <f>IF(B1532&lt;&gt;"",IF(AND(B1532&gt;=_TM1,B1532&lt;=_TM2,OR(TH!L1532="1111",TH!M1532="1111")),TH!D1532,""),"")</f>
        <v/>
      </c>
      <c r="B1532" s="36">
        <f t="shared" si="98"/>
        <v>8</v>
      </c>
      <c r="C1532" s="189">
        <f t="shared" si="102"/>
        <v>42240</v>
      </c>
      <c r="D1532" s="830" t="s">
        <v>1285</v>
      </c>
      <c r="E1532" s="830">
        <v>42240</v>
      </c>
      <c r="F1532" s="836" t="s">
        <v>1205</v>
      </c>
      <c r="G1532" s="832" t="s">
        <v>1022</v>
      </c>
      <c r="H1532" s="833" t="s">
        <v>1259</v>
      </c>
      <c r="I1532" s="241">
        <v>100</v>
      </c>
      <c r="J1532" s="241">
        <v>19644</v>
      </c>
      <c r="K1532" s="834">
        <f t="shared" si="103"/>
        <v>1964400</v>
      </c>
      <c r="L1532" s="835" t="s">
        <v>162</v>
      </c>
      <c r="M1532" s="835" t="s">
        <v>417</v>
      </c>
      <c r="N1532" s="51" t="str">
        <f>IF(AND('331-CT'!$E$7=TH!H1532,OR(L1532="331",M1532="331")),"331",IF(AND(OR(L1532="131",M1532="131"),H1532='131-CT'!$E$7),"131",""))</f>
        <v/>
      </c>
      <c r="O1532" s="51" t="str">
        <f>IF(AND($B1532&gt;='111'!$N$11,$B1532&lt;='111'!$O$11,OR($L1532=$O$7,$M1532=$O$7)),"x","")</f>
        <v/>
      </c>
      <c r="P1532" s="51" t="str">
        <f>IF(AND($L1532=$O$7,$B1532&lt;'111'!$N$11),"x","")</f>
        <v/>
      </c>
      <c r="Q1532" s="51" t="str">
        <f>IF(AND($M1532=$O$7,$B1532&lt;'111'!$N$11),"x","")</f>
        <v/>
      </c>
      <c r="R1532" s="51" t="str">
        <f>IF(ISERROR(FIND('112'!$M$9,G1532,1)),"",IF((AND(FIND('112'!$M$9,G1532,1)&gt;=1,$B1532&gt;='112'!$N$8,$B1532&lt;='112'!$O$8,OR($L1532='112'!$I$6,$M1532='112'!$I$6))),"x",""))</f>
        <v/>
      </c>
      <c r="S1532" s="51" t="str">
        <f>IF(ISERROR(FIND('112'!$M$9,G1532,1)),"",IF((AND(LEFT(G1532,2)=LEFT('112'!$M$9,2),B1532&lt;'112'!$N$8,$L1532='112'!$I$6)),"x",""))</f>
        <v/>
      </c>
      <c r="T1532" s="51" t="str">
        <f>IF(ISERROR(FIND('112'!$M$9,G1532,1)),"",IF((AND(RIGHT(G1532,2)=RIGHT('112'!$M$9,2),B1532&lt;'112'!$N$8,$M1532='112'!$I$6)),"x",""))</f>
        <v/>
      </c>
      <c r="U1532" s="51" t="str">
        <f>IF(AND(L1532="154",'154'!$O$5&lt;=B1532,'154'!$P$5&gt;=B1532),"154",IF(AND(L1532="632",'632'!$L$5&lt;=B1532,'632'!$M$5&gt;=B1532),"632",IF(AND(L1532="642",'642'!$N$5&lt;=B1532,'642'!$O$5&gt;=B1532),"642",IF(AND(L1532="641",'641'!$N$5&lt;=B1532,'641'!$O$5&gt;=B1532),"641",""))))</f>
        <v/>
      </c>
      <c r="V1532" s="51" t="str">
        <f>IF(OR(TH!L1532=TH!$V$7,M1532=TH!$V$7),"x","")</f>
        <v/>
      </c>
      <c r="W1532" s="51" t="str">
        <f>IF(AND(B1532&gt;='IN-NX'!$P$3,B1532&lt;='IN-NX'!$Q$3,'IN-NX'!$D$7=D1532,OR(LEFT(L1532,2)="15",AND(LEFT(M1532,2)&lt;&gt;"15",LEFT(M1532,2)&lt;&gt;"33"))),"x","")</f>
        <v/>
      </c>
      <c r="X1532" s="51" t="str">
        <f>IF(AND(OR(LEFT(TH!L1532,2)="15",LEFT(TH!M1532,2)="15"),'152-CT'!$J$8=TH!F1532),"x","")</f>
        <v/>
      </c>
      <c r="Y1532" s="51" t="str">
        <f>IF(AND(OR(LEFT(TH!L1532,2)="15",LEFT(TH!M1532,2)="15"),TK!$E$7=TH!F1532),"x","")</f>
        <v/>
      </c>
      <c r="Z1532" s="51" t="str">
        <f>IF(AND(B1532&lt;=NKC!$N$8,B1532&gt;=NKC!$M$8),"x","")</f>
        <v>x</v>
      </c>
      <c r="AA1532" s="803"/>
      <c r="AB1532" s="565"/>
    </row>
    <row r="1533" spans="1:28" ht="15.75" customHeight="1">
      <c r="A1533" s="804" t="str">
        <f>IF(B1533&lt;&gt;"",IF(AND(B1533&gt;=_TM1,B1533&lt;=_TM2,OR(TH!L1533="1111",TH!M1533="1111")),TH!D1533,""),"")</f>
        <v/>
      </c>
      <c r="B1533" s="36">
        <f t="shared" si="98"/>
        <v>8</v>
      </c>
      <c r="C1533" s="189">
        <f t="shared" si="102"/>
        <v>42240</v>
      </c>
      <c r="D1533" s="830" t="s">
        <v>1285</v>
      </c>
      <c r="E1533" s="830">
        <v>42240</v>
      </c>
      <c r="F1533" s="836" t="s">
        <v>625</v>
      </c>
      <c r="G1533" s="832" t="s">
        <v>1022</v>
      </c>
      <c r="H1533" s="833" t="s">
        <v>1259</v>
      </c>
      <c r="I1533" s="241">
        <v>100</v>
      </c>
      <c r="J1533" s="241">
        <v>24700</v>
      </c>
      <c r="K1533" s="834">
        <f t="shared" si="103"/>
        <v>2470000</v>
      </c>
      <c r="L1533" s="835" t="s">
        <v>162</v>
      </c>
      <c r="M1533" s="835" t="s">
        <v>417</v>
      </c>
      <c r="N1533" s="51" t="str">
        <f>IF(AND('331-CT'!$E$7=TH!H1533,OR(L1533="331",M1533="331")),"331",IF(AND(OR(L1533="131",M1533="131"),H1533='131-CT'!$E$7),"131",""))</f>
        <v/>
      </c>
      <c r="O1533" s="51" t="str">
        <f>IF(AND($B1533&gt;='111'!$N$11,$B1533&lt;='111'!$O$11,OR($L1533=$O$7,$M1533=$O$7)),"x","")</f>
        <v/>
      </c>
      <c r="P1533" s="51" t="str">
        <f>IF(AND($L1533=$O$7,$B1533&lt;'111'!$N$11),"x","")</f>
        <v/>
      </c>
      <c r="Q1533" s="51" t="str">
        <f>IF(AND($M1533=$O$7,$B1533&lt;'111'!$N$11),"x","")</f>
        <v/>
      </c>
      <c r="R1533" s="51" t="str">
        <f>IF(ISERROR(FIND('112'!$M$9,G1533,1)),"",IF((AND(FIND('112'!$M$9,G1533,1)&gt;=1,$B1533&gt;='112'!$N$8,$B1533&lt;='112'!$O$8,OR($L1533='112'!$I$6,$M1533='112'!$I$6))),"x",""))</f>
        <v/>
      </c>
      <c r="S1533" s="51" t="str">
        <f>IF(ISERROR(FIND('112'!$M$9,G1533,1)),"",IF((AND(LEFT(G1533,2)=LEFT('112'!$M$9,2),B1533&lt;'112'!$N$8,$L1533='112'!$I$6)),"x",""))</f>
        <v/>
      </c>
      <c r="T1533" s="51" t="str">
        <f>IF(ISERROR(FIND('112'!$M$9,G1533,1)),"",IF((AND(RIGHT(G1533,2)=RIGHT('112'!$M$9,2),B1533&lt;'112'!$N$8,$M1533='112'!$I$6)),"x",""))</f>
        <v/>
      </c>
      <c r="U1533" s="51" t="str">
        <f>IF(AND(L1533="154",'154'!$O$5&lt;=B1533,'154'!$P$5&gt;=B1533),"154",IF(AND(L1533="632",'632'!$L$5&lt;=B1533,'632'!$M$5&gt;=B1533),"632",IF(AND(L1533="642",'642'!$N$5&lt;=B1533,'642'!$O$5&gt;=B1533),"642",IF(AND(L1533="641",'641'!$N$5&lt;=B1533,'641'!$O$5&gt;=B1533),"641",""))))</f>
        <v/>
      </c>
      <c r="V1533" s="51" t="str">
        <f>IF(OR(TH!L1533=TH!$V$7,M1533=TH!$V$7),"x","")</f>
        <v/>
      </c>
      <c r="W1533" s="51" t="str">
        <f>IF(AND(B1533&gt;='IN-NX'!$P$3,B1533&lt;='IN-NX'!$Q$3,'IN-NX'!$D$7=D1533,OR(LEFT(L1533,2)="15",AND(LEFT(M1533,2)&lt;&gt;"15",LEFT(M1533,2)&lt;&gt;"33"))),"x","")</f>
        <v/>
      </c>
      <c r="X1533" s="51" t="str">
        <f>IF(AND(OR(LEFT(TH!L1533,2)="15",LEFT(TH!M1533,2)="15"),'152-CT'!$J$8=TH!F1533),"x","")</f>
        <v/>
      </c>
      <c r="Y1533" s="51" t="str">
        <f>IF(AND(OR(LEFT(TH!L1533,2)="15",LEFT(TH!M1533,2)="15"),TK!$E$7=TH!F1533),"x","")</f>
        <v/>
      </c>
      <c r="Z1533" s="51" t="str">
        <f>IF(AND(B1533&lt;=NKC!$N$8,B1533&gt;=NKC!$M$8),"x","")</f>
        <v>x</v>
      </c>
      <c r="AA1533" s="803"/>
      <c r="AB1533" s="565"/>
    </row>
    <row r="1534" spans="1:28" ht="15.75" customHeight="1">
      <c r="A1534" s="804" t="str">
        <f>IF(B1534&lt;&gt;"",IF(AND(B1534&gt;=_TM1,B1534&lt;=_TM2,OR(TH!L1534="1111",TH!M1534="1111")),TH!D1534,""),"")</f>
        <v/>
      </c>
      <c r="B1534" s="36">
        <f t="shared" si="98"/>
        <v>9</v>
      </c>
      <c r="C1534" s="189">
        <f t="shared" si="102"/>
        <v>42248</v>
      </c>
      <c r="D1534" s="830" t="s">
        <v>1285</v>
      </c>
      <c r="E1534" s="830">
        <v>42248</v>
      </c>
      <c r="F1534" s="836" t="s">
        <v>692</v>
      </c>
      <c r="G1534" s="832" t="s">
        <v>1026</v>
      </c>
      <c r="H1534" s="833" t="s">
        <v>1259</v>
      </c>
      <c r="I1534" s="241">
        <v>100</v>
      </c>
      <c r="J1534" s="241">
        <v>12668</v>
      </c>
      <c r="K1534" s="834">
        <f t="shared" si="103"/>
        <v>1266800</v>
      </c>
      <c r="L1534" s="835" t="s">
        <v>162</v>
      </c>
      <c r="M1534" s="835" t="s">
        <v>417</v>
      </c>
      <c r="N1534" s="51" t="str">
        <f>IF(AND('331-CT'!$E$7=TH!H1534,OR(L1534="331",M1534="331")),"331",IF(AND(OR(L1534="131",M1534="131"),H1534='131-CT'!$E$7),"131",""))</f>
        <v/>
      </c>
      <c r="O1534" s="51" t="str">
        <f>IF(AND($B1534&gt;='111'!$N$11,$B1534&lt;='111'!$O$11,OR($L1534=$O$7,$M1534=$O$7)),"x","")</f>
        <v/>
      </c>
      <c r="P1534" s="51" t="str">
        <f>IF(AND($L1534=$O$7,$B1534&lt;'111'!$N$11),"x","")</f>
        <v/>
      </c>
      <c r="Q1534" s="51" t="str">
        <f>IF(AND($M1534=$O$7,$B1534&lt;'111'!$N$11),"x","")</f>
        <v/>
      </c>
      <c r="R1534" s="51" t="str">
        <f>IF(ISERROR(FIND('112'!$M$9,G1534,1)),"",IF((AND(FIND('112'!$M$9,G1534,1)&gt;=1,$B1534&gt;='112'!$N$8,$B1534&lt;='112'!$O$8,OR($L1534='112'!$I$6,$M1534='112'!$I$6))),"x",""))</f>
        <v/>
      </c>
      <c r="S1534" s="51" t="str">
        <f>IF(ISERROR(FIND('112'!$M$9,G1534,1)),"",IF((AND(LEFT(G1534,2)=LEFT('112'!$M$9,2),B1534&lt;'112'!$N$8,$L1534='112'!$I$6)),"x",""))</f>
        <v/>
      </c>
      <c r="T1534" s="51" t="str">
        <f>IF(ISERROR(FIND('112'!$M$9,G1534,1)),"",IF((AND(RIGHT(G1534,2)=RIGHT('112'!$M$9,2),B1534&lt;'112'!$N$8,$M1534='112'!$I$6)),"x",""))</f>
        <v/>
      </c>
      <c r="U1534" s="51" t="str">
        <f>IF(AND(L1534="154",'154'!$O$5&lt;=B1534,'154'!$P$5&gt;=B1534),"154",IF(AND(L1534="632",'632'!$L$5&lt;=B1534,'632'!$M$5&gt;=B1534),"632",IF(AND(L1534="642",'642'!$N$5&lt;=B1534,'642'!$O$5&gt;=B1534),"642",IF(AND(L1534="641",'641'!$N$5&lt;=B1534,'641'!$O$5&gt;=B1534),"641",""))))</f>
        <v/>
      </c>
      <c r="V1534" s="51" t="str">
        <f>IF(OR(TH!L1534=TH!$V$7,M1534=TH!$V$7),"x","")</f>
        <v/>
      </c>
      <c r="W1534" s="51" t="str">
        <f>IF(AND(B1534&gt;='IN-NX'!$P$3,B1534&lt;='IN-NX'!$Q$3,'IN-NX'!$D$7=D1534,OR(LEFT(L1534,2)="15",AND(LEFT(M1534,2)&lt;&gt;"15",LEFT(M1534,2)&lt;&gt;"33"))),"x","")</f>
        <v/>
      </c>
      <c r="X1534" s="51" t="str">
        <f>IF(AND(OR(LEFT(TH!L1534,2)="15",LEFT(TH!M1534,2)="15"),'152-CT'!$J$8=TH!F1534),"x","")</f>
        <v/>
      </c>
      <c r="Y1534" s="51" t="str">
        <f>IF(AND(OR(LEFT(TH!L1534,2)="15",LEFT(TH!M1534,2)="15"),TK!$E$7=TH!F1534),"x","")</f>
        <v/>
      </c>
      <c r="Z1534" s="51" t="str">
        <f>IF(AND(B1534&lt;=NKC!$N$8,B1534&gt;=NKC!$M$8),"x","")</f>
        <v>x</v>
      </c>
      <c r="AA1534" s="803"/>
      <c r="AB1534" s="565"/>
    </row>
    <row r="1535" spans="1:28" ht="15.75" customHeight="1">
      <c r="A1535" s="804" t="str">
        <f>IF(B1535&lt;&gt;"",IF(AND(B1535&gt;=_TM1,B1535&lt;=_TM2,OR(TH!L1535="1111",TH!M1535="1111")),TH!D1535,""),"")</f>
        <v/>
      </c>
      <c r="B1535" s="36">
        <f t="shared" si="98"/>
        <v>9</v>
      </c>
      <c r="C1535" s="189">
        <f t="shared" si="102"/>
        <v>42259</v>
      </c>
      <c r="D1535" s="830" t="s">
        <v>1285</v>
      </c>
      <c r="E1535" s="830">
        <v>42259</v>
      </c>
      <c r="F1535" s="836" t="s">
        <v>693</v>
      </c>
      <c r="G1535" s="832" t="s">
        <v>1028</v>
      </c>
      <c r="H1535" s="833" t="s">
        <v>1259</v>
      </c>
      <c r="I1535" s="241">
        <v>200</v>
      </c>
      <c r="J1535" s="241">
        <v>5760</v>
      </c>
      <c r="K1535" s="834">
        <f t="shared" si="103"/>
        <v>1152000</v>
      </c>
      <c r="L1535" s="835" t="s">
        <v>162</v>
      </c>
      <c r="M1535" s="835" t="s">
        <v>417</v>
      </c>
      <c r="N1535" s="51" t="str">
        <f>IF(AND('331-CT'!$E$7=TH!H1535,OR(L1535="331",M1535="331")),"331",IF(AND(OR(L1535="131",M1535="131"),H1535='131-CT'!$E$7),"131",""))</f>
        <v/>
      </c>
      <c r="O1535" s="51" t="str">
        <f>IF(AND($B1535&gt;='111'!$N$11,$B1535&lt;='111'!$O$11,OR($L1535=$O$7,$M1535=$O$7)),"x","")</f>
        <v/>
      </c>
      <c r="P1535" s="51" t="str">
        <f>IF(AND($L1535=$O$7,$B1535&lt;'111'!$N$11),"x","")</f>
        <v/>
      </c>
      <c r="Q1535" s="51" t="str">
        <f>IF(AND($M1535=$O$7,$B1535&lt;'111'!$N$11),"x","")</f>
        <v/>
      </c>
      <c r="R1535" s="51" t="str">
        <f>IF(ISERROR(FIND('112'!$M$9,G1535,1)),"",IF((AND(FIND('112'!$M$9,G1535,1)&gt;=1,$B1535&gt;='112'!$N$8,$B1535&lt;='112'!$O$8,OR($L1535='112'!$I$6,$M1535='112'!$I$6))),"x",""))</f>
        <v/>
      </c>
      <c r="S1535" s="51" t="str">
        <f>IF(ISERROR(FIND('112'!$M$9,G1535,1)),"",IF((AND(LEFT(G1535,2)=LEFT('112'!$M$9,2),B1535&lt;'112'!$N$8,$L1535='112'!$I$6)),"x",""))</f>
        <v/>
      </c>
      <c r="T1535" s="51" t="str">
        <f>IF(ISERROR(FIND('112'!$M$9,G1535,1)),"",IF((AND(RIGHT(G1535,2)=RIGHT('112'!$M$9,2),B1535&lt;'112'!$N$8,$M1535='112'!$I$6)),"x",""))</f>
        <v/>
      </c>
      <c r="U1535" s="51" t="str">
        <f>IF(AND(L1535="154",'154'!$O$5&lt;=B1535,'154'!$P$5&gt;=B1535),"154",IF(AND(L1535="632",'632'!$L$5&lt;=B1535,'632'!$M$5&gt;=B1535),"632",IF(AND(L1535="642",'642'!$N$5&lt;=B1535,'642'!$O$5&gt;=B1535),"642",IF(AND(L1535="641",'641'!$N$5&lt;=B1535,'641'!$O$5&gt;=B1535),"641",""))))</f>
        <v/>
      </c>
      <c r="V1535" s="51" t="str">
        <f>IF(OR(TH!L1535=TH!$V$7,M1535=TH!$V$7),"x","")</f>
        <v/>
      </c>
      <c r="W1535" s="51" t="str">
        <f>IF(AND(B1535&gt;='IN-NX'!$P$3,B1535&lt;='IN-NX'!$Q$3,'IN-NX'!$D$7=D1535,OR(LEFT(L1535,2)="15",AND(LEFT(M1535,2)&lt;&gt;"15",LEFT(M1535,2)&lt;&gt;"33"))),"x","")</f>
        <v/>
      </c>
      <c r="X1535" s="51" t="str">
        <f>IF(AND(OR(LEFT(TH!L1535,2)="15",LEFT(TH!M1535,2)="15"),'152-CT'!$J$8=TH!F1535),"x","")</f>
        <v/>
      </c>
      <c r="Y1535" s="51" t="str">
        <f>IF(AND(OR(LEFT(TH!L1535,2)="15",LEFT(TH!M1535,2)="15"),TK!$E$7=TH!F1535),"x","")</f>
        <v/>
      </c>
      <c r="Z1535" s="51" t="str">
        <f>IF(AND(B1535&lt;=NKC!$N$8,B1535&gt;=NKC!$M$8),"x","")</f>
        <v>x</v>
      </c>
      <c r="AA1535" s="803"/>
      <c r="AB1535" s="565"/>
    </row>
    <row r="1536" spans="1:28" ht="15.75" customHeight="1">
      <c r="A1536" s="804" t="str">
        <f>IF(B1536&lt;&gt;"",IF(AND(B1536&gt;=_TM1,B1536&lt;=_TM2,OR(TH!L1536="1111",TH!M1536="1111")),TH!D1536,""),"")</f>
        <v/>
      </c>
      <c r="B1536" s="36">
        <f t="shared" si="98"/>
        <v>9</v>
      </c>
      <c r="C1536" s="189">
        <f t="shared" si="102"/>
        <v>42259</v>
      </c>
      <c r="D1536" s="830" t="s">
        <v>1285</v>
      </c>
      <c r="E1536" s="830">
        <v>42259</v>
      </c>
      <c r="F1536" s="836" t="s">
        <v>620</v>
      </c>
      <c r="G1536" s="832" t="s">
        <v>1030</v>
      </c>
      <c r="H1536" s="833" t="s">
        <v>1259</v>
      </c>
      <c r="I1536" s="241">
        <v>400</v>
      </c>
      <c r="J1536" s="241">
        <v>14250</v>
      </c>
      <c r="K1536" s="834">
        <f t="shared" si="103"/>
        <v>5700000</v>
      </c>
      <c r="L1536" s="835" t="s">
        <v>162</v>
      </c>
      <c r="M1536" s="835" t="s">
        <v>417</v>
      </c>
      <c r="N1536" s="51" t="str">
        <f>IF(AND('331-CT'!$E$7=TH!H1536,OR(L1536="331",M1536="331")),"331",IF(AND(OR(L1536="131",M1536="131"),H1536='131-CT'!$E$7),"131",""))</f>
        <v/>
      </c>
      <c r="O1536" s="51" t="str">
        <f>IF(AND($B1536&gt;='111'!$N$11,$B1536&lt;='111'!$O$11,OR($L1536=$O$7,$M1536=$O$7)),"x","")</f>
        <v/>
      </c>
      <c r="P1536" s="51" t="str">
        <f>IF(AND($L1536=$O$7,$B1536&lt;'111'!$N$11),"x","")</f>
        <v/>
      </c>
      <c r="Q1536" s="51" t="str">
        <f>IF(AND($M1536=$O$7,$B1536&lt;'111'!$N$11),"x","")</f>
        <v/>
      </c>
      <c r="R1536" s="51" t="str">
        <f>IF(ISERROR(FIND('112'!$M$9,G1536,1)),"",IF((AND(FIND('112'!$M$9,G1536,1)&gt;=1,$B1536&gt;='112'!$N$8,$B1536&lt;='112'!$O$8,OR($L1536='112'!$I$6,$M1536='112'!$I$6))),"x",""))</f>
        <v/>
      </c>
      <c r="S1536" s="51" t="str">
        <f>IF(ISERROR(FIND('112'!$M$9,G1536,1)),"",IF((AND(LEFT(G1536,2)=LEFT('112'!$M$9,2),B1536&lt;'112'!$N$8,$L1536='112'!$I$6)),"x",""))</f>
        <v/>
      </c>
      <c r="T1536" s="51" t="str">
        <f>IF(ISERROR(FIND('112'!$M$9,G1536,1)),"",IF((AND(RIGHT(G1536,2)=RIGHT('112'!$M$9,2),B1536&lt;'112'!$N$8,$M1536='112'!$I$6)),"x",""))</f>
        <v/>
      </c>
      <c r="U1536" s="51" t="str">
        <f>IF(AND(L1536="154",'154'!$O$5&lt;=B1536,'154'!$P$5&gt;=B1536),"154",IF(AND(L1536="632",'632'!$L$5&lt;=B1536,'632'!$M$5&gt;=B1536),"632",IF(AND(L1536="642",'642'!$N$5&lt;=B1536,'642'!$O$5&gt;=B1536),"642",IF(AND(L1536="641",'641'!$N$5&lt;=B1536,'641'!$O$5&gt;=B1536),"641",""))))</f>
        <v/>
      </c>
      <c r="V1536" s="51" t="str">
        <f>IF(OR(TH!L1536=TH!$V$7,M1536=TH!$V$7),"x","")</f>
        <v/>
      </c>
      <c r="W1536" s="51" t="str">
        <f>IF(AND(B1536&gt;='IN-NX'!$P$3,B1536&lt;='IN-NX'!$Q$3,'IN-NX'!$D$7=D1536,OR(LEFT(L1536,2)="15",AND(LEFT(M1536,2)&lt;&gt;"15",LEFT(M1536,2)&lt;&gt;"33"))),"x","")</f>
        <v/>
      </c>
      <c r="X1536" s="51" t="str">
        <f>IF(AND(OR(LEFT(TH!L1536,2)="15",LEFT(TH!M1536,2)="15"),'152-CT'!$J$8=TH!F1536),"x","")</f>
        <v/>
      </c>
      <c r="Y1536" s="51" t="str">
        <f>IF(AND(OR(LEFT(TH!L1536,2)="15",LEFT(TH!M1536,2)="15"),TK!$E$7=TH!F1536),"x","")</f>
        <v/>
      </c>
      <c r="Z1536" s="51" t="str">
        <f>IF(AND(B1536&lt;=NKC!$N$8,B1536&gt;=NKC!$M$8),"x","")</f>
        <v>x</v>
      </c>
      <c r="AA1536" s="803"/>
      <c r="AB1536" s="565"/>
    </row>
    <row r="1537" spans="1:28" ht="15.75" customHeight="1">
      <c r="A1537" s="804" t="str">
        <f>IF(B1537&lt;&gt;"",IF(AND(B1537&gt;=_TM1,B1537&lt;=_TM2,OR(TH!L1537="1111",TH!M1537="1111")),TH!D1537,""),"")</f>
        <v/>
      </c>
      <c r="B1537" s="36">
        <f t="shared" si="98"/>
        <v>9</v>
      </c>
      <c r="C1537" s="189">
        <f t="shared" si="102"/>
        <v>42259</v>
      </c>
      <c r="D1537" s="830" t="s">
        <v>1285</v>
      </c>
      <c r="E1537" s="830">
        <v>42259</v>
      </c>
      <c r="F1537" s="836" t="s">
        <v>624</v>
      </c>
      <c r="G1537" s="832" t="s">
        <v>1030</v>
      </c>
      <c r="H1537" s="833" t="s">
        <v>1259</v>
      </c>
      <c r="I1537" s="241">
        <v>200</v>
      </c>
      <c r="J1537" s="241">
        <v>31155</v>
      </c>
      <c r="K1537" s="834">
        <f t="shared" si="103"/>
        <v>6231000</v>
      </c>
      <c r="L1537" s="835" t="s">
        <v>162</v>
      </c>
      <c r="M1537" s="835" t="s">
        <v>417</v>
      </c>
      <c r="N1537" s="51" t="str">
        <f>IF(AND('331-CT'!$E$7=TH!H1537,OR(L1537="331",M1537="331")),"331",IF(AND(OR(L1537="131",M1537="131"),H1537='131-CT'!$E$7),"131",""))</f>
        <v/>
      </c>
      <c r="O1537" s="51" t="str">
        <f>IF(AND($B1537&gt;='111'!$N$11,$B1537&lt;='111'!$O$11,OR($L1537=$O$7,$M1537=$O$7)),"x","")</f>
        <v/>
      </c>
      <c r="P1537" s="51" t="str">
        <f>IF(AND($L1537=$O$7,$B1537&lt;'111'!$N$11),"x","")</f>
        <v/>
      </c>
      <c r="Q1537" s="51" t="str">
        <f>IF(AND($M1537=$O$7,$B1537&lt;'111'!$N$11),"x","")</f>
        <v/>
      </c>
      <c r="R1537" s="51" t="str">
        <f>IF(ISERROR(FIND('112'!$M$9,G1537,1)),"",IF((AND(FIND('112'!$M$9,G1537,1)&gt;=1,$B1537&gt;='112'!$N$8,$B1537&lt;='112'!$O$8,OR($L1537='112'!$I$6,$M1537='112'!$I$6))),"x",""))</f>
        <v/>
      </c>
      <c r="S1537" s="51" t="str">
        <f>IF(ISERROR(FIND('112'!$M$9,G1537,1)),"",IF((AND(LEFT(G1537,2)=LEFT('112'!$M$9,2),B1537&lt;'112'!$N$8,$L1537='112'!$I$6)),"x",""))</f>
        <v/>
      </c>
      <c r="T1537" s="51" t="str">
        <f>IF(ISERROR(FIND('112'!$M$9,G1537,1)),"",IF((AND(RIGHT(G1537,2)=RIGHT('112'!$M$9,2),B1537&lt;'112'!$N$8,$M1537='112'!$I$6)),"x",""))</f>
        <v/>
      </c>
      <c r="U1537" s="51" t="str">
        <f>IF(AND(L1537="154",'154'!$O$5&lt;=B1537,'154'!$P$5&gt;=B1537),"154",IF(AND(L1537="632",'632'!$L$5&lt;=B1537,'632'!$M$5&gt;=B1537),"632",IF(AND(L1537="642",'642'!$N$5&lt;=B1537,'642'!$O$5&gt;=B1537),"642",IF(AND(L1537="641",'641'!$N$5&lt;=B1537,'641'!$O$5&gt;=B1537),"641",""))))</f>
        <v/>
      </c>
      <c r="V1537" s="51" t="str">
        <f>IF(OR(TH!L1537=TH!$V$7,M1537=TH!$V$7),"x","")</f>
        <v/>
      </c>
      <c r="W1537" s="51" t="str">
        <f>IF(AND(B1537&gt;='IN-NX'!$P$3,B1537&lt;='IN-NX'!$Q$3,'IN-NX'!$D$7=D1537,OR(LEFT(L1537,2)="15",AND(LEFT(M1537,2)&lt;&gt;"15",LEFT(M1537,2)&lt;&gt;"33"))),"x","")</f>
        <v/>
      </c>
      <c r="X1537" s="51" t="str">
        <f>IF(AND(OR(LEFT(TH!L1537,2)="15",LEFT(TH!M1537,2)="15"),'152-CT'!$J$8=TH!F1537),"x","")</f>
        <v/>
      </c>
      <c r="Y1537" s="51" t="str">
        <f>IF(AND(OR(LEFT(TH!L1537,2)="15",LEFT(TH!M1537,2)="15"),TK!$E$7=TH!F1537),"x","")</f>
        <v/>
      </c>
      <c r="Z1537" s="51" t="str">
        <f>IF(AND(B1537&lt;=NKC!$N$8,B1537&gt;=NKC!$M$8),"x","")</f>
        <v>x</v>
      </c>
      <c r="AA1537" s="803"/>
      <c r="AB1537" s="565"/>
    </row>
    <row r="1538" spans="1:28" ht="15.75" customHeight="1">
      <c r="A1538" s="804" t="str">
        <f>IF(B1538&lt;&gt;"",IF(AND(B1538&gt;=_TM1,B1538&lt;=_TM2,OR(TH!L1538="1111",TH!M1538="1111")),TH!D1538,""),"")</f>
        <v/>
      </c>
      <c r="B1538" s="36">
        <f t="shared" ref="B1538:B1571" si="104">IF(C1538&lt;&gt;"",MONTH(C1538),"")</f>
        <v>9</v>
      </c>
      <c r="C1538" s="189">
        <f t="shared" si="102"/>
        <v>42261</v>
      </c>
      <c r="D1538" s="830" t="s">
        <v>1285</v>
      </c>
      <c r="E1538" s="830">
        <v>42261</v>
      </c>
      <c r="F1538" s="836" t="s">
        <v>692</v>
      </c>
      <c r="G1538" s="832" t="s">
        <v>1031</v>
      </c>
      <c r="H1538" s="833" t="s">
        <v>1259</v>
      </c>
      <c r="I1538" s="241">
        <v>100</v>
      </c>
      <c r="J1538" s="241">
        <v>12668</v>
      </c>
      <c r="K1538" s="834">
        <f t="shared" si="103"/>
        <v>1266800</v>
      </c>
      <c r="L1538" s="835" t="s">
        <v>162</v>
      </c>
      <c r="M1538" s="835" t="s">
        <v>417</v>
      </c>
      <c r="N1538" s="51" t="str">
        <f>IF(AND('331-CT'!$E$7=TH!H1538,OR(L1538="331",M1538="331")),"331",IF(AND(OR(L1538="131",M1538="131"),H1538='131-CT'!$E$7),"131",""))</f>
        <v/>
      </c>
      <c r="O1538" s="51" t="str">
        <f>IF(AND($B1538&gt;='111'!$N$11,$B1538&lt;='111'!$O$11,OR($L1538=$O$7,$M1538=$O$7)),"x","")</f>
        <v/>
      </c>
      <c r="P1538" s="51" t="str">
        <f>IF(AND($L1538=$O$7,$B1538&lt;'111'!$N$11),"x","")</f>
        <v/>
      </c>
      <c r="Q1538" s="51" t="str">
        <f>IF(AND($M1538=$O$7,$B1538&lt;'111'!$N$11),"x","")</f>
        <v/>
      </c>
      <c r="R1538" s="51" t="str">
        <f>IF(ISERROR(FIND('112'!$M$9,G1538,1)),"",IF((AND(FIND('112'!$M$9,G1538,1)&gt;=1,$B1538&gt;='112'!$N$8,$B1538&lt;='112'!$O$8,OR($L1538='112'!$I$6,$M1538='112'!$I$6))),"x",""))</f>
        <v/>
      </c>
      <c r="S1538" s="51" t="str">
        <f>IF(ISERROR(FIND('112'!$M$9,G1538,1)),"",IF((AND(LEFT(G1538,2)=LEFT('112'!$M$9,2),B1538&lt;'112'!$N$8,$L1538='112'!$I$6)),"x",""))</f>
        <v/>
      </c>
      <c r="T1538" s="51" t="str">
        <f>IF(ISERROR(FIND('112'!$M$9,G1538,1)),"",IF((AND(RIGHT(G1538,2)=RIGHT('112'!$M$9,2),B1538&lt;'112'!$N$8,$M1538='112'!$I$6)),"x",""))</f>
        <v/>
      </c>
      <c r="U1538" s="51" t="str">
        <f>IF(AND(L1538="154",'154'!$O$5&lt;=B1538,'154'!$P$5&gt;=B1538),"154",IF(AND(L1538="632",'632'!$L$5&lt;=B1538,'632'!$M$5&gt;=B1538),"632",IF(AND(L1538="642",'642'!$N$5&lt;=B1538,'642'!$O$5&gt;=B1538),"642",IF(AND(L1538="641",'641'!$N$5&lt;=B1538,'641'!$O$5&gt;=B1538),"641",""))))</f>
        <v/>
      </c>
      <c r="V1538" s="51" t="str">
        <f>IF(OR(TH!L1538=TH!$V$7,M1538=TH!$V$7),"x","")</f>
        <v/>
      </c>
      <c r="W1538" s="51" t="str">
        <f>IF(AND(B1538&gt;='IN-NX'!$P$3,B1538&lt;='IN-NX'!$Q$3,'IN-NX'!$D$7=D1538,OR(LEFT(L1538,2)="15",AND(LEFT(M1538,2)&lt;&gt;"15",LEFT(M1538,2)&lt;&gt;"33"))),"x","")</f>
        <v/>
      </c>
      <c r="X1538" s="51" t="str">
        <f>IF(AND(OR(LEFT(TH!L1538,2)="15",LEFT(TH!M1538,2)="15"),'152-CT'!$J$8=TH!F1538),"x","")</f>
        <v/>
      </c>
      <c r="Y1538" s="51" t="str">
        <f>IF(AND(OR(LEFT(TH!L1538,2)="15",LEFT(TH!M1538,2)="15"),TK!$E$7=TH!F1538),"x","")</f>
        <v/>
      </c>
      <c r="Z1538" s="51" t="str">
        <f>IF(AND(B1538&lt;=NKC!$N$8,B1538&gt;=NKC!$M$8),"x","")</f>
        <v>x</v>
      </c>
      <c r="AA1538" s="803"/>
      <c r="AB1538" s="565"/>
    </row>
    <row r="1539" spans="1:28" ht="15.75" customHeight="1">
      <c r="A1539" s="804" t="str">
        <f>IF(B1539&lt;&gt;"",IF(AND(B1539&gt;=_TM1,B1539&lt;=_TM2,OR(TH!L1539="1111",TH!M1539="1111")),TH!D1539,""),"")</f>
        <v/>
      </c>
      <c r="B1539" s="36">
        <f t="shared" si="104"/>
        <v>9</v>
      </c>
      <c r="C1539" s="189">
        <f t="shared" si="102"/>
        <v>42262</v>
      </c>
      <c r="D1539" s="830" t="s">
        <v>1285</v>
      </c>
      <c r="E1539" s="830">
        <v>42262</v>
      </c>
      <c r="F1539" s="836" t="s">
        <v>694</v>
      </c>
      <c r="G1539" s="832" t="s">
        <v>1032</v>
      </c>
      <c r="H1539" s="833" t="s">
        <v>1259</v>
      </c>
      <c r="I1539" s="241">
        <v>106</v>
      </c>
      <c r="J1539" s="241">
        <v>86178</v>
      </c>
      <c r="K1539" s="834">
        <f t="shared" si="103"/>
        <v>9134868</v>
      </c>
      <c r="L1539" s="835" t="s">
        <v>162</v>
      </c>
      <c r="M1539" s="835" t="s">
        <v>417</v>
      </c>
      <c r="N1539" s="51" t="str">
        <f>IF(AND('331-CT'!$E$7=TH!H1539,OR(L1539="331",M1539="331")),"331",IF(AND(OR(L1539="131",M1539="131"),H1539='131-CT'!$E$7),"131",""))</f>
        <v/>
      </c>
      <c r="O1539" s="51" t="str">
        <f>IF(AND($B1539&gt;='111'!$N$11,$B1539&lt;='111'!$O$11,OR($L1539=$O$7,$M1539=$O$7)),"x","")</f>
        <v/>
      </c>
      <c r="P1539" s="51" t="str">
        <f>IF(AND($L1539=$O$7,$B1539&lt;'111'!$N$11),"x","")</f>
        <v/>
      </c>
      <c r="Q1539" s="51" t="str">
        <f>IF(AND($M1539=$O$7,$B1539&lt;'111'!$N$11),"x","")</f>
        <v/>
      </c>
      <c r="R1539" s="51" t="str">
        <f>IF(ISERROR(FIND('112'!$M$9,G1539,1)),"",IF((AND(FIND('112'!$M$9,G1539,1)&gt;=1,$B1539&gt;='112'!$N$8,$B1539&lt;='112'!$O$8,OR($L1539='112'!$I$6,$M1539='112'!$I$6))),"x",""))</f>
        <v/>
      </c>
      <c r="S1539" s="51" t="str">
        <f>IF(ISERROR(FIND('112'!$M$9,G1539,1)),"",IF((AND(LEFT(G1539,2)=LEFT('112'!$M$9,2),B1539&lt;'112'!$N$8,$L1539='112'!$I$6)),"x",""))</f>
        <v/>
      </c>
      <c r="T1539" s="51" t="str">
        <f>IF(ISERROR(FIND('112'!$M$9,G1539,1)),"",IF((AND(RIGHT(G1539,2)=RIGHT('112'!$M$9,2),B1539&lt;'112'!$N$8,$M1539='112'!$I$6)),"x",""))</f>
        <v/>
      </c>
      <c r="U1539" s="51" t="str">
        <f>IF(AND(L1539="154",'154'!$O$5&lt;=B1539,'154'!$P$5&gt;=B1539),"154",IF(AND(L1539="632",'632'!$L$5&lt;=B1539,'632'!$M$5&gt;=B1539),"632",IF(AND(L1539="642",'642'!$N$5&lt;=B1539,'642'!$O$5&gt;=B1539),"642",IF(AND(L1539="641",'641'!$N$5&lt;=B1539,'641'!$O$5&gt;=B1539),"641",""))))</f>
        <v/>
      </c>
      <c r="V1539" s="51" t="str">
        <f>IF(OR(TH!L1539=TH!$V$7,M1539=TH!$V$7),"x","")</f>
        <v/>
      </c>
      <c r="W1539" s="51" t="str">
        <f>IF(AND(B1539&gt;='IN-NX'!$P$3,B1539&lt;='IN-NX'!$Q$3,'IN-NX'!$D$7=D1539,OR(LEFT(L1539,2)="15",AND(LEFT(M1539,2)&lt;&gt;"15",LEFT(M1539,2)&lt;&gt;"33"))),"x","")</f>
        <v/>
      </c>
      <c r="X1539" s="51" t="str">
        <f>IF(AND(OR(LEFT(TH!L1539,2)="15",LEFT(TH!M1539,2)="15"),'152-CT'!$J$8=TH!F1539),"x","")</f>
        <v/>
      </c>
      <c r="Y1539" s="51" t="str">
        <f>IF(AND(OR(LEFT(TH!L1539,2)="15",LEFT(TH!M1539,2)="15"),TK!$E$7=TH!F1539),"x","")</f>
        <v/>
      </c>
      <c r="Z1539" s="51" t="str">
        <f>IF(AND(B1539&lt;=NKC!$N$8,B1539&gt;=NKC!$M$8),"x","")</f>
        <v>x</v>
      </c>
      <c r="AA1539" s="803"/>
      <c r="AB1539" s="565"/>
    </row>
    <row r="1540" spans="1:28" ht="15.75" customHeight="1">
      <c r="A1540" s="804" t="str">
        <f>IF(B1540&lt;&gt;"",IF(AND(B1540&gt;=_TM1,B1540&lt;=_TM2,OR(TH!L1540="1111",TH!M1540="1111")),TH!D1540,""),"")</f>
        <v/>
      </c>
      <c r="B1540" s="36">
        <f t="shared" si="104"/>
        <v>9</v>
      </c>
      <c r="C1540" s="189">
        <f t="shared" si="102"/>
        <v>42262</v>
      </c>
      <c r="D1540" s="830" t="s">
        <v>1285</v>
      </c>
      <c r="E1540" s="830">
        <v>42262</v>
      </c>
      <c r="F1540" s="836" t="s">
        <v>1208</v>
      </c>
      <c r="G1540" s="832" t="s">
        <v>1032</v>
      </c>
      <c r="H1540" s="833" t="s">
        <v>1259</v>
      </c>
      <c r="I1540" s="241">
        <v>640</v>
      </c>
      <c r="J1540" s="241">
        <v>576</v>
      </c>
      <c r="K1540" s="834">
        <f t="shared" si="103"/>
        <v>368640</v>
      </c>
      <c r="L1540" s="835" t="s">
        <v>162</v>
      </c>
      <c r="M1540" s="835" t="s">
        <v>417</v>
      </c>
      <c r="N1540" s="51" t="str">
        <f>IF(AND('331-CT'!$E$7=TH!H1540,OR(L1540="331",M1540="331")),"331",IF(AND(OR(L1540="131",M1540="131"),H1540='131-CT'!$E$7),"131",""))</f>
        <v/>
      </c>
      <c r="O1540" s="51" t="str">
        <f>IF(AND($B1540&gt;='111'!$N$11,$B1540&lt;='111'!$O$11,OR($L1540=$O$7,$M1540=$O$7)),"x","")</f>
        <v/>
      </c>
      <c r="P1540" s="51" t="str">
        <f>IF(AND($L1540=$O$7,$B1540&lt;'111'!$N$11),"x","")</f>
        <v/>
      </c>
      <c r="Q1540" s="51" t="str">
        <f>IF(AND($M1540=$O$7,$B1540&lt;'111'!$N$11),"x","")</f>
        <v/>
      </c>
      <c r="R1540" s="51" t="str">
        <f>IF(ISERROR(FIND('112'!$M$9,G1540,1)),"",IF((AND(FIND('112'!$M$9,G1540,1)&gt;=1,$B1540&gt;='112'!$N$8,$B1540&lt;='112'!$O$8,OR($L1540='112'!$I$6,$M1540='112'!$I$6))),"x",""))</f>
        <v/>
      </c>
      <c r="S1540" s="51" t="str">
        <f>IF(ISERROR(FIND('112'!$M$9,G1540,1)),"",IF((AND(LEFT(G1540,2)=LEFT('112'!$M$9,2),B1540&lt;'112'!$N$8,$L1540='112'!$I$6)),"x",""))</f>
        <v/>
      </c>
      <c r="T1540" s="51" t="str">
        <f>IF(ISERROR(FIND('112'!$M$9,G1540,1)),"",IF((AND(RIGHT(G1540,2)=RIGHT('112'!$M$9,2),B1540&lt;'112'!$N$8,$M1540='112'!$I$6)),"x",""))</f>
        <v/>
      </c>
      <c r="U1540" s="51" t="str">
        <f>IF(AND(L1540="154",'154'!$O$5&lt;=B1540,'154'!$P$5&gt;=B1540),"154",IF(AND(L1540="632",'632'!$L$5&lt;=B1540,'632'!$M$5&gt;=B1540),"632",IF(AND(L1540="642",'642'!$N$5&lt;=B1540,'642'!$O$5&gt;=B1540),"642",IF(AND(L1540="641",'641'!$N$5&lt;=B1540,'641'!$O$5&gt;=B1540),"641",""))))</f>
        <v/>
      </c>
      <c r="V1540" s="51" t="str">
        <f>IF(OR(TH!L1540=TH!$V$7,M1540=TH!$V$7),"x","")</f>
        <v/>
      </c>
      <c r="W1540" s="51" t="str">
        <f>IF(AND(B1540&gt;='IN-NX'!$P$3,B1540&lt;='IN-NX'!$Q$3,'IN-NX'!$D$7=D1540,OR(LEFT(L1540,2)="15",AND(LEFT(M1540,2)&lt;&gt;"15",LEFT(M1540,2)&lt;&gt;"33"))),"x","")</f>
        <v/>
      </c>
      <c r="X1540" s="51" t="str">
        <f>IF(AND(OR(LEFT(TH!L1540,2)="15",LEFT(TH!M1540,2)="15"),'152-CT'!$J$8=TH!F1540),"x","")</f>
        <v/>
      </c>
      <c r="Y1540" s="51" t="str">
        <f>IF(AND(OR(LEFT(TH!L1540,2)="15",LEFT(TH!M1540,2)="15"),TK!$E$7=TH!F1540),"x","")</f>
        <v/>
      </c>
      <c r="Z1540" s="51" t="str">
        <f>IF(AND(B1540&lt;=NKC!$N$8,B1540&gt;=NKC!$M$8),"x","")</f>
        <v>x</v>
      </c>
      <c r="AA1540" s="803"/>
      <c r="AB1540" s="565"/>
    </row>
    <row r="1541" spans="1:28" ht="15.75" customHeight="1">
      <c r="A1541" s="804" t="str">
        <f>IF(B1541&lt;&gt;"",IF(AND(B1541&gt;=_TM1,B1541&lt;=_TM2,OR(TH!L1541="1111",TH!M1541="1111")),TH!D1541,""),"")</f>
        <v/>
      </c>
      <c r="B1541" s="36">
        <f t="shared" si="104"/>
        <v>9</v>
      </c>
      <c r="C1541" s="189">
        <f t="shared" si="102"/>
        <v>42262</v>
      </c>
      <c r="D1541" s="830" t="s">
        <v>1285</v>
      </c>
      <c r="E1541" s="830">
        <v>42262</v>
      </c>
      <c r="F1541" s="836" t="s">
        <v>695</v>
      </c>
      <c r="G1541" s="832" t="s">
        <v>1032</v>
      </c>
      <c r="H1541" s="833" t="s">
        <v>1259</v>
      </c>
      <c r="I1541" s="241">
        <v>101</v>
      </c>
      <c r="J1541" s="241">
        <v>122700</v>
      </c>
      <c r="K1541" s="834">
        <f t="shared" si="103"/>
        <v>12392700</v>
      </c>
      <c r="L1541" s="835" t="s">
        <v>162</v>
      </c>
      <c r="M1541" s="835" t="s">
        <v>417</v>
      </c>
      <c r="N1541" s="51" t="str">
        <f>IF(AND('331-CT'!$E$7=TH!H1541,OR(L1541="331",M1541="331")),"331",IF(AND(OR(L1541="131",M1541="131"),H1541='131-CT'!$E$7),"131",""))</f>
        <v/>
      </c>
      <c r="O1541" s="51" t="str">
        <f>IF(AND($B1541&gt;='111'!$N$11,$B1541&lt;='111'!$O$11,OR($L1541=$O$7,$M1541=$O$7)),"x","")</f>
        <v/>
      </c>
      <c r="P1541" s="51" t="str">
        <f>IF(AND($L1541=$O$7,$B1541&lt;'111'!$N$11),"x","")</f>
        <v/>
      </c>
      <c r="Q1541" s="51" t="str">
        <f>IF(AND($M1541=$O$7,$B1541&lt;'111'!$N$11),"x","")</f>
        <v/>
      </c>
      <c r="R1541" s="51" t="str">
        <f>IF(ISERROR(FIND('112'!$M$9,G1541,1)),"",IF((AND(FIND('112'!$M$9,G1541,1)&gt;=1,$B1541&gt;='112'!$N$8,$B1541&lt;='112'!$O$8,OR($L1541='112'!$I$6,$M1541='112'!$I$6))),"x",""))</f>
        <v/>
      </c>
      <c r="S1541" s="51" t="str">
        <f>IF(ISERROR(FIND('112'!$M$9,G1541,1)),"",IF((AND(LEFT(G1541,2)=LEFT('112'!$M$9,2),B1541&lt;'112'!$N$8,$L1541='112'!$I$6)),"x",""))</f>
        <v/>
      </c>
      <c r="T1541" s="51" t="str">
        <f>IF(ISERROR(FIND('112'!$M$9,G1541,1)),"",IF((AND(RIGHT(G1541,2)=RIGHT('112'!$M$9,2),B1541&lt;'112'!$N$8,$M1541='112'!$I$6)),"x",""))</f>
        <v/>
      </c>
      <c r="U1541" s="51" t="str">
        <f>IF(AND(L1541="154",'154'!$O$5&lt;=B1541,'154'!$P$5&gt;=B1541),"154",IF(AND(L1541="632",'632'!$L$5&lt;=B1541,'632'!$M$5&gt;=B1541),"632",IF(AND(L1541="642",'642'!$N$5&lt;=B1541,'642'!$O$5&gt;=B1541),"642",IF(AND(L1541="641",'641'!$N$5&lt;=B1541,'641'!$O$5&gt;=B1541),"641",""))))</f>
        <v/>
      </c>
      <c r="V1541" s="51" t="str">
        <f>IF(OR(TH!L1541=TH!$V$7,M1541=TH!$V$7),"x","")</f>
        <v/>
      </c>
      <c r="W1541" s="51" t="str">
        <f>IF(AND(B1541&gt;='IN-NX'!$P$3,B1541&lt;='IN-NX'!$Q$3,'IN-NX'!$D$7=D1541,OR(LEFT(L1541,2)="15",AND(LEFT(M1541,2)&lt;&gt;"15",LEFT(M1541,2)&lt;&gt;"33"))),"x","")</f>
        <v/>
      </c>
      <c r="X1541" s="51" t="str">
        <f>IF(AND(OR(LEFT(TH!L1541,2)="15",LEFT(TH!M1541,2)="15"),'152-CT'!$J$8=TH!F1541),"x","")</f>
        <v/>
      </c>
      <c r="Y1541" s="51" t="str">
        <f>IF(AND(OR(LEFT(TH!L1541,2)="15",LEFT(TH!M1541,2)="15"),TK!$E$7=TH!F1541),"x","")</f>
        <v/>
      </c>
      <c r="Z1541" s="51" t="str">
        <f>IF(AND(B1541&lt;=NKC!$N$8,B1541&gt;=NKC!$M$8),"x","")</f>
        <v>x</v>
      </c>
      <c r="AA1541" s="803"/>
      <c r="AB1541" s="565"/>
    </row>
    <row r="1542" spans="1:28" ht="15.75" customHeight="1">
      <c r="A1542" s="804" t="str">
        <f>IF(B1542&lt;&gt;"",IF(AND(B1542&gt;=_TM1,B1542&lt;=_TM2,OR(TH!L1542="1111",TH!M1542="1111")),TH!D1542,""),"")</f>
        <v/>
      </c>
      <c r="B1542" s="36">
        <f t="shared" si="104"/>
        <v>9</v>
      </c>
      <c r="C1542" s="189">
        <f t="shared" si="102"/>
        <v>42262</v>
      </c>
      <c r="D1542" s="830" t="s">
        <v>1285</v>
      </c>
      <c r="E1542" s="830">
        <v>42262</v>
      </c>
      <c r="F1542" s="836" t="s">
        <v>696</v>
      </c>
      <c r="G1542" s="832" t="s">
        <v>1032</v>
      </c>
      <c r="H1542" s="833" t="s">
        <v>1259</v>
      </c>
      <c r="I1542" s="241">
        <v>151</v>
      </c>
      <c r="J1542" s="241">
        <v>25056</v>
      </c>
      <c r="K1542" s="834">
        <f t="shared" si="103"/>
        <v>3783456</v>
      </c>
      <c r="L1542" s="835" t="s">
        <v>162</v>
      </c>
      <c r="M1542" s="835" t="s">
        <v>417</v>
      </c>
      <c r="N1542" s="51" t="str">
        <f>IF(AND('331-CT'!$E$7=TH!H1542,OR(L1542="331",M1542="331")),"331",IF(AND(OR(L1542="131",M1542="131"),H1542='131-CT'!$E$7),"131",""))</f>
        <v/>
      </c>
      <c r="O1542" s="51" t="str">
        <f>IF(AND($B1542&gt;='111'!$N$11,$B1542&lt;='111'!$O$11,OR($L1542=$O$7,$M1542=$O$7)),"x","")</f>
        <v/>
      </c>
      <c r="P1542" s="51" t="str">
        <f>IF(AND($L1542=$O$7,$B1542&lt;'111'!$N$11),"x","")</f>
        <v/>
      </c>
      <c r="Q1542" s="51" t="str">
        <f>IF(AND($M1542=$O$7,$B1542&lt;'111'!$N$11),"x","")</f>
        <v/>
      </c>
      <c r="R1542" s="51" t="str">
        <f>IF(ISERROR(FIND('112'!$M$9,G1542,1)),"",IF((AND(FIND('112'!$M$9,G1542,1)&gt;=1,$B1542&gt;='112'!$N$8,$B1542&lt;='112'!$O$8,OR($L1542='112'!$I$6,$M1542='112'!$I$6))),"x",""))</f>
        <v/>
      </c>
      <c r="S1542" s="51" t="str">
        <f>IF(ISERROR(FIND('112'!$M$9,G1542,1)),"",IF((AND(LEFT(G1542,2)=LEFT('112'!$M$9,2),B1542&lt;'112'!$N$8,$L1542='112'!$I$6)),"x",""))</f>
        <v/>
      </c>
      <c r="T1542" s="51" t="str">
        <f>IF(ISERROR(FIND('112'!$M$9,G1542,1)),"",IF((AND(RIGHT(G1542,2)=RIGHT('112'!$M$9,2),B1542&lt;'112'!$N$8,$M1542='112'!$I$6)),"x",""))</f>
        <v/>
      </c>
      <c r="U1542" s="51" t="str">
        <f>IF(AND(L1542="154",'154'!$O$5&lt;=B1542,'154'!$P$5&gt;=B1542),"154",IF(AND(L1542="632",'632'!$L$5&lt;=B1542,'632'!$M$5&gt;=B1542),"632",IF(AND(L1542="642",'642'!$N$5&lt;=B1542,'642'!$O$5&gt;=B1542),"642",IF(AND(L1542="641",'641'!$N$5&lt;=B1542,'641'!$O$5&gt;=B1542),"641",""))))</f>
        <v/>
      </c>
      <c r="V1542" s="51" t="str">
        <f>IF(OR(TH!L1542=TH!$V$7,M1542=TH!$V$7),"x","")</f>
        <v/>
      </c>
      <c r="W1542" s="51" t="str">
        <f>IF(AND(B1542&gt;='IN-NX'!$P$3,B1542&lt;='IN-NX'!$Q$3,'IN-NX'!$D$7=D1542,OR(LEFT(L1542,2)="15",AND(LEFT(M1542,2)&lt;&gt;"15",LEFT(M1542,2)&lt;&gt;"33"))),"x","")</f>
        <v/>
      </c>
      <c r="X1542" s="51" t="str">
        <f>IF(AND(OR(LEFT(TH!L1542,2)="15",LEFT(TH!M1542,2)="15"),'152-CT'!$J$8=TH!F1542),"x","")</f>
        <v/>
      </c>
      <c r="Y1542" s="51" t="str">
        <f>IF(AND(OR(LEFT(TH!L1542,2)="15",LEFT(TH!M1542,2)="15"),TK!$E$7=TH!F1542),"x","")</f>
        <v/>
      </c>
      <c r="Z1542" s="51" t="str">
        <f>IF(AND(B1542&lt;=NKC!$N$8,B1542&gt;=NKC!$M$8),"x","")</f>
        <v>x</v>
      </c>
      <c r="AA1542" s="803"/>
      <c r="AB1542" s="565"/>
    </row>
    <row r="1543" spans="1:28" ht="15.75" customHeight="1">
      <c r="A1543" s="804" t="str">
        <f>IF(B1543&lt;&gt;"",IF(AND(B1543&gt;=_TM1,B1543&lt;=_TM2,OR(TH!L1543="1111",TH!M1543="1111")),TH!D1543,""),"")</f>
        <v/>
      </c>
      <c r="B1543" s="36">
        <f t="shared" si="104"/>
        <v>9</v>
      </c>
      <c r="C1543" s="189">
        <f t="shared" si="102"/>
        <v>42262</v>
      </c>
      <c r="D1543" s="830" t="s">
        <v>1285</v>
      </c>
      <c r="E1543" s="830">
        <v>42262</v>
      </c>
      <c r="F1543" s="836" t="s">
        <v>1208</v>
      </c>
      <c r="G1543" s="832" t="s">
        <v>1032</v>
      </c>
      <c r="H1543" s="833" t="s">
        <v>1259</v>
      </c>
      <c r="I1543" s="241">
        <v>908</v>
      </c>
      <c r="J1543" s="241">
        <v>576</v>
      </c>
      <c r="K1543" s="834">
        <f t="shared" si="103"/>
        <v>523008</v>
      </c>
      <c r="L1543" s="835" t="s">
        <v>162</v>
      </c>
      <c r="M1543" s="835" t="s">
        <v>417</v>
      </c>
      <c r="N1543" s="51" t="str">
        <f>IF(AND('331-CT'!$E$7=TH!H1543,OR(L1543="331",M1543="331")),"331",IF(AND(OR(L1543="131",M1543="131"),H1543='131-CT'!$E$7),"131",""))</f>
        <v/>
      </c>
      <c r="O1543" s="51" t="str">
        <f>IF(AND($B1543&gt;='111'!$N$11,$B1543&lt;='111'!$O$11,OR($L1543=$O$7,$M1543=$O$7)),"x","")</f>
        <v/>
      </c>
      <c r="P1543" s="51" t="str">
        <f>IF(AND($L1543=$O$7,$B1543&lt;'111'!$N$11),"x","")</f>
        <v/>
      </c>
      <c r="Q1543" s="51" t="str">
        <f>IF(AND($M1543=$O$7,$B1543&lt;'111'!$N$11),"x","")</f>
        <v/>
      </c>
      <c r="R1543" s="51" t="str">
        <f>IF(ISERROR(FIND('112'!$M$9,G1543,1)),"",IF((AND(FIND('112'!$M$9,G1543,1)&gt;=1,$B1543&gt;='112'!$N$8,$B1543&lt;='112'!$O$8,OR($L1543='112'!$I$6,$M1543='112'!$I$6))),"x",""))</f>
        <v/>
      </c>
      <c r="S1543" s="51" t="str">
        <f>IF(ISERROR(FIND('112'!$M$9,G1543,1)),"",IF((AND(LEFT(G1543,2)=LEFT('112'!$M$9,2),B1543&lt;'112'!$N$8,$L1543='112'!$I$6)),"x",""))</f>
        <v/>
      </c>
      <c r="T1543" s="51" t="str">
        <f>IF(ISERROR(FIND('112'!$M$9,G1543,1)),"",IF((AND(RIGHT(G1543,2)=RIGHT('112'!$M$9,2),B1543&lt;'112'!$N$8,$M1543='112'!$I$6)),"x",""))</f>
        <v/>
      </c>
      <c r="U1543" s="51" t="str">
        <f>IF(AND(L1543="154",'154'!$O$5&lt;=B1543,'154'!$P$5&gt;=B1543),"154",IF(AND(L1543="632",'632'!$L$5&lt;=B1543,'632'!$M$5&gt;=B1543),"632",IF(AND(L1543="642",'642'!$N$5&lt;=B1543,'642'!$O$5&gt;=B1543),"642",IF(AND(L1543="641",'641'!$N$5&lt;=B1543,'641'!$O$5&gt;=B1543),"641",""))))</f>
        <v/>
      </c>
      <c r="V1543" s="51" t="str">
        <f>IF(OR(TH!L1543=TH!$V$7,M1543=TH!$V$7),"x","")</f>
        <v/>
      </c>
      <c r="W1543" s="51" t="str">
        <f>IF(AND(B1543&gt;='IN-NX'!$P$3,B1543&lt;='IN-NX'!$Q$3,'IN-NX'!$D$7=D1543,OR(LEFT(L1543,2)="15",AND(LEFT(M1543,2)&lt;&gt;"15",LEFT(M1543,2)&lt;&gt;"33"))),"x","")</f>
        <v/>
      </c>
      <c r="X1543" s="51" t="str">
        <f>IF(AND(OR(LEFT(TH!L1543,2)="15",LEFT(TH!M1543,2)="15"),'152-CT'!$J$8=TH!F1543),"x","")</f>
        <v/>
      </c>
      <c r="Y1543" s="51" t="str">
        <f>IF(AND(OR(LEFT(TH!L1543,2)="15",LEFT(TH!M1543,2)="15"),TK!$E$7=TH!F1543),"x","")</f>
        <v/>
      </c>
      <c r="Z1543" s="51" t="str">
        <f>IF(AND(B1543&lt;=NKC!$N$8,B1543&gt;=NKC!$M$8),"x","")</f>
        <v>x</v>
      </c>
      <c r="AA1543" s="803"/>
      <c r="AB1543" s="565"/>
    </row>
    <row r="1544" spans="1:28" ht="15.75" customHeight="1">
      <c r="A1544" s="804" t="str">
        <f>IF(B1544&lt;&gt;"",IF(AND(B1544&gt;=_TM1,B1544&lt;=_TM2,OR(TH!L1544="1111",TH!M1544="1111")),TH!D1544,""),"")</f>
        <v/>
      </c>
      <c r="B1544" s="36">
        <f t="shared" si="104"/>
        <v>9</v>
      </c>
      <c r="C1544" s="189">
        <f t="shared" si="102"/>
        <v>42262</v>
      </c>
      <c r="D1544" s="830" t="s">
        <v>1285</v>
      </c>
      <c r="E1544" s="830">
        <v>42262</v>
      </c>
      <c r="F1544" s="836" t="s">
        <v>624</v>
      </c>
      <c r="G1544" s="832" t="s">
        <v>1033</v>
      </c>
      <c r="H1544" s="833" t="s">
        <v>1259</v>
      </c>
      <c r="I1544" s="241">
        <v>200</v>
      </c>
      <c r="J1544" s="241">
        <v>31155</v>
      </c>
      <c r="K1544" s="834">
        <f t="shared" si="103"/>
        <v>6231000</v>
      </c>
      <c r="L1544" s="835" t="s">
        <v>162</v>
      </c>
      <c r="M1544" s="835" t="s">
        <v>417</v>
      </c>
      <c r="N1544" s="51" t="str">
        <f>IF(AND('331-CT'!$E$7=TH!H1544,OR(L1544="331",M1544="331")),"331",IF(AND(OR(L1544="131",M1544="131"),H1544='131-CT'!$E$7),"131",""))</f>
        <v/>
      </c>
      <c r="O1544" s="51" t="str">
        <f>IF(AND($B1544&gt;='111'!$N$11,$B1544&lt;='111'!$O$11,OR($L1544=$O$7,$M1544=$O$7)),"x","")</f>
        <v/>
      </c>
      <c r="P1544" s="51" t="str">
        <f>IF(AND($L1544=$O$7,$B1544&lt;'111'!$N$11),"x","")</f>
        <v/>
      </c>
      <c r="Q1544" s="51" t="str">
        <f>IF(AND($M1544=$O$7,$B1544&lt;'111'!$N$11),"x","")</f>
        <v/>
      </c>
      <c r="R1544" s="51" t="str">
        <f>IF(ISERROR(FIND('112'!$M$9,G1544,1)),"",IF((AND(FIND('112'!$M$9,G1544,1)&gt;=1,$B1544&gt;='112'!$N$8,$B1544&lt;='112'!$O$8,OR($L1544='112'!$I$6,$M1544='112'!$I$6))),"x",""))</f>
        <v/>
      </c>
      <c r="S1544" s="51" t="str">
        <f>IF(ISERROR(FIND('112'!$M$9,G1544,1)),"",IF((AND(LEFT(G1544,2)=LEFT('112'!$M$9,2),B1544&lt;'112'!$N$8,$L1544='112'!$I$6)),"x",""))</f>
        <v/>
      </c>
      <c r="T1544" s="51" t="str">
        <f>IF(ISERROR(FIND('112'!$M$9,G1544,1)),"",IF((AND(RIGHT(G1544,2)=RIGHT('112'!$M$9,2),B1544&lt;'112'!$N$8,$M1544='112'!$I$6)),"x",""))</f>
        <v/>
      </c>
      <c r="U1544" s="51" t="str">
        <f>IF(AND(L1544="154",'154'!$O$5&lt;=B1544,'154'!$P$5&gt;=B1544),"154",IF(AND(L1544="632",'632'!$L$5&lt;=B1544,'632'!$M$5&gt;=B1544),"632",IF(AND(L1544="642",'642'!$N$5&lt;=B1544,'642'!$O$5&gt;=B1544),"642",IF(AND(L1544="641",'641'!$N$5&lt;=B1544,'641'!$O$5&gt;=B1544),"641",""))))</f>
        <v/>
      </c>
      <c r="V1544" s="51" t="str">
        <f>IF(OR(TH!L1544=TH!$V$7,M1544=TH!$V$7),"x","")</f>
        <v/>
      </c>
      <c r="W1544" s="51" t="str">
        <f>IF(AND(B1544&gt;='IN-NX'!$P$3,B1544&lt;='IN-NX'!$Q$3,'IN-NX'!$D$7=D1544,OR(LEFT(L1544,2)="15",AND(LEFT(M1544,2)&lt;&gt;"15",LEFT(M1544,2)&lt;&gt;"33"))),"x","")</f>
        <v/>
      </c>
      <c r="X1544" s="51" t="str">
        <f>IF(AND(OR(LEFT(TH!L1544,2)="15",LEFT(TH!M1544,2)="15"),'152-CT'!$J$8=TH!F1544),"x","")</f>
        <v/>
      </c>
      <c r="Y1544" s="51" t="str">
        <f>IF(AND(OR(LEFT(TH!L1544,2)="15",LEFT(TH!M1544,2)="15"),TK!$E$7=TH!F1544),"x","")</f>
        <v/>
      </c>
      <c r="Z1544" s="51" t="str">
        <f>IF(AND(B1544&lt;=NKC!$N$8,B1544&gt;=NKC!$M$8),"x","")</f>
        <v>x</v>
      </c>
      <c r="AA1544" s="803"/>
      <c r="AB1544" s="565"/>
    </row>
    <row r="1545" spans="1:28" ht="15.75" customHeight="1">
      <c r="A1545" s="804" t="str">
        <f>IF(B1545&lt;&gt;"",IF(AND(B1545&gt;=_TM1,B1545&lt;=_TM2,OR(TH!L1545="1111",TH!M1545="1111")),TH!D1545,""),"")</f>
        <v/>
      </c>
      <c r="B1545" s="36">
        <f t="shared" si="104"/>
        <v>9</v>
      </c>
      <c r="C1545" s="189">
        <f t="shared" si="102"/>
        <v>42262</v>
      </c>
      <c r="D1545" s="830" t="s">
        <v>1285</v>
      </c>
      <c r="E1545" s="830">
        <v>42262</v>
      </c>
      <c r="F1545" s="836" t="s">
        <v>623</v>
      </c>
      <c r="G1545" s="832" t="s">
        <v>1033</v>
      </c>
      <c r="H1545" s="833" t="s">
        <v>1259</v>
      </c>
      <c r="I1545" s="241">
        <v>350</v>
      </c>
      <c r="J1545" s="241">
        <v>30920.138888888891</v>
      </c>
      <c r="K1545" s="834">
        <f t="shared" si="103"/>
        <v>10822049</v>
      </c>
      <c r="L1545" s="835" t="s">
        <v>162</v>
      </c>
      <c r="M1545" s="835" t="s">
        <v>417</v>
      </c>
      <c r="N1545" s="51" t="str">
        <f>IF(AND('331-CT'!$E$7=TH!H1545,OR(L1545="331",M1545="331")),"331",IF(AND(OR(L1545="131",M1545="131"),H1545='131-CT'!$E$7),"131",""))</f>
        <v/>
      </c>
      <c r="O1545" s="51" t="str">
        <f>IF(AND($B1545&gt;='111'!$N$11,$B1545&lt;='111'!$O$11,OR($L1545=$O$7,$M1545=$O$7)),"x","")</f>
        <v/>
      </c>
      <c r="P1545" s="51" t="str">
        <f>IF(AND($L1545=$O$7,$B1545&lt;'111'!$N$11),"x","")</f>
        <v/>
      </c>
      <c r="Q1545" s="51" t="str">
        <f>IF(AND($M1545=$O$7,$B1545&lt;'111'!$N$11),"x","")</f>
        <v/>
      </c>
      <c r="R1545" s="51" t="str">
        <f>IF(ISERROR(FIND('112'!$M$9,G1545,1)),"",IF((AND(FIND('112'!$M$9,G1545,1)&gt;=1,$B1545&gt;='112'!$N$8,$B1545&lt;='112'!$O$8,OR($L1545='112'!$I$6,$M1545='112'!$I$6))),"x",""))</f>
        <v/>
      </c>
      <c r="S1545" s="51" t="str">
        <f>IF(ISERROR(FIND('112'!$M$9,G1545,1)),"",IF((AND(LEFT(G1545,2)=LEFT('112'!$M$9,2),B1545&lt;'112'!$N$8,$L1545='112'!$I$6)),"x",""))</f>
        <v/>
      </c>
      <c r="T1545" s="51" t="str">
        <f>IF(ISERROR(FIND('112'!$M$9,G1545,1)),"",IF((AND(RIGHT(G1545,2)=RIGHT('112'!$M$9,2),B1545&lt;'112'!$N$8,$M1545='112'!$I$6)),"x",""))</f>
        <v/>
      </c>
      <c r="U1545" s="51" t="str">
        <f>IF(AND(L1545="154",'154'!$O$5&lt;=B1545,'154'!$P$5&gt;=B1545),"154",IF(AND(L1545="632",'632'!$L$5&lt;=B1545,'632'!$M$5&gt;=B1545),"632",IF(AND(L1545="642",'642'!$N$5&lt;=B1545,'642'!$O$5&gt;=B1545),"642",IF(AND(L1545="641",'641'!$N$5&lt;=B1545,'641'!$O$5&gt;=B1545),"641",""))))</f>
        <v/>
      </c>
      <c r="V1545" s="51" t="str">
        <f>IF(OR(TH!L1545=TH!$V$7,M1545=TH!$V$7),"x","")</f>
        <v/>
      </c>
      <c r="W1545" s="51" t="str">
        <f>IF(AND(B1545&gt;='IN-NX'!$P$3,B1545&lt;='IN-NX'!$Q$3,'IN-NX'!$D$7=D1545,OR(LEFT(L1545,2)="15",AND(LEFT(M1545,2)&lt;&gt;"15",LEFT(M1545,2)&lt;&gt;"33"))),"x","")</f>
        <v/>
      </c>
      <c r="X1545" s="51" t="str">
        <f>IF(AND(OR(LEFT(TH!L1545,2)="15",LEFT(TH!M1545,2)="15"),'152-CT'!$J$8=TH!F1545),"x","")</f>
        <v/>
      </c>
      <c r="Y1545" s="51" t="str">
        <f>IF(AND(OR(LEFT(TH!L1545,2)="15",LEFT(TH!M1545,2)="15"),TK!$E$7=TH!F1545),"x","")</f>
        <v/>
      </c>
      <c r="Z1545" s="51" t="str">
        <f>IF(AND(B1545&lt;=NKC!$N$8,B1545&gt;=NKC!$M$8),"x","")</f>
        <v>x</v>
      </c>
      <c r="AA1545" s="803"/>
      <c r="AB1545" s="565"/>
    </row>
    <row r="1546" spans="1:28" ht="15.75" customHeight="1">
      <c r="A1546" s="804" t="str">
        <f>IF(B1546&lt;&gt;"",IF(AND(B1546&gt;=_TM1,B1546&lt;=_TM2,OR(TH!L1546="1111",TH!M1546="1111")),TH!D1546,""),"")</f>
        <v/>
      </c>
      <c r="B1546" s="36">
        <f t="shared" si="104"/>
        <v>9</v>
      </c>
      <c r="C1546" s="189">
        <f t="shared" si="102"/>
        <v>42265</v>
      </c>
      <c r="D1546" s="830" t="s">
        <v>1285</v>
      </c>
      <c r="E1546" s="830">
        <v>42265</v>
      </c>
      <c r="F1546" s="836" t="s">
        <v>697</v>
      </c>
      <c r="G1546" s="832" t="s">
        <v>1037</v>
      </c>
      <c r="H1546" s="833" t="s">
        <v>1259</v>
      </c>
      <c r="I1546" s="241">
        <v>1500</v>
      </c>
      <c r="J1546" s="241">
        <v>21600</v>
      </c>
      <c r="K1546" s="834">
        <f t="shared" si="103"/>
        <v>32400000</v>
      </c>
      <c r="L1546" s="835" t="s">
        <v>162</v>
      </c>
      <c r="M1546" s="835" t="s">
        <v>417</v>
      </c>
      <c r="N1546" s="51" t="str">
        <f>IF(AND('331-CT'!$E$7=TH!H1546,OR(L1546="331",M1546="331")),"331",IF(AND(OR(L1546="131",M1546="131"),H1546='131-CT'!$E$7),"131",""))</f>
        <v/>
      </c>
      <c r="O1546" s="51" t="str">
        <f>IF(AND($B1546&gt;='111'!$N$11,$B1546&lt;='111'!$O$11,OR($L1546=$O$7,$M1546=$O$7)),"x","")</f>
        <v/>
      </c>
      <c r="P1546" s="51" t="str">
        <f>IF(AND($L1546=$O$7,$B1546&lt;'111'!$N$11),"x","")</f>
        <v/>
      </c>
      <c r="Q1546" s="51" t="str">
        <f>IF(AND($M1546=$O$7,$B1546&lt;'111'!$N$11),"x","")</f>
        <v/>
      </c>
      <c r="R1546" s="51" t="str">
        <f>IF(ISERROR(FIND('112'!$M$9,G1546,1)),"",IF((AND(FIND('112'!$M$9,G1546,1)&gt;=1,$B1546&gt;='112'!$N$8,$B1546&lt;='112'!$O$8,OR($L1546='112'!$I$6,$M1546='112'!$I$6))),"x",""))</f>
        <v/>
      </c>
      <c r="S1546" s="51" t="str">
        <f>IF(ISERROR(FIND('112'!$M$9,G1546,1)),"",IF((AND(LEFT(G1546,2)=LEFT('112'!$M$9,2),B1546&lt;'112'!$N$8,$L1546='112'!$I$6)),"x",""))</f>
        <v/>
      </c>
      <c r="T1546" s="51" t="str">
        <f>IF(ISERROR(FIND('112'!$M$9,G1546,1)),"",IF((AND(RIGHT(G1546,2)=RIGHT('112'!$M$9,2),B1546&lt;'112'!$N$8,$M1546='112'!$I$6)),"x",""))</f>
        <v/>
      </c>
      <c r="U1546" s="51" t="str">
        <f>IF(AND(L1546="154",'154'!$O$5&lt;=B1546,'154'!$P$5&gt;=B1546),"154",IF(AND(L1546="632",'632'!$L$5&lt;=B1546,'632'!$M$5&gt;=B1546),"632",IF(AND(L1546="642",'642'!$N$5&lt;=B1546,'642'!$O$5&gt;=B1546),"642",IF(AND(L1546="641",'641'!$N$5&lt;=B1546,'641'!$O$5&gt;=B1546),"641",""))))</f>
        <v/>
      </c>
      <c r="V1546" s="51" t="str">
        <f>IF(OR(TH!L1546=TH!$V$7,M1546=TH!$V$7),"x","")</f>
        <v/>
      </c>
      <c r="W1546" s="51" t="str">
        <f>IF(AND(B1546&gt;='IN-NX'!$P$3,B1546&lt;='IN-NX'!$Q$3,'IN-NX'!$D$7=D1546,OR(LEFT(L1546,2)="15",AND(LEFT(M1546,2)&lt;&gt;"15",LEFT(M1546,2)&lt;&gt;"33"))),"x","")</f>
        <v/>
      </c>
      <c r="X1546" s="51" t="str">
        <f>IF(AND(OR(LEFT(TH!L1546,2)="15",LEFT(TH!M1546,2)="15"),'152-CT'!$J$8=TH!F1546),"x","")</f>
        <v/>
      </c>
      <c r="Y1546" s="51" t="str">
        <f>IF(AND(OR(LEFT(TH!L1546,2)="15",LEFT(TH!M1546,2)="15"),TK!$E$7=TH!F1546),"x","")</f>
        <v/>
      </c>
      <c r="Z1546" s="51" t="str">
        <f>IF(AND(B1546&lt;=NKC!$N$8,B1546&gt;=NKC!$M$8),"x","")</f>
        <v>x</v>
      </c>
      <c r="AA1546" s="803"/>
      <c r="AB1546" s="565"/>
    </row>
    <row r="1547" spans="1:28" ht="15.75" customHeight="1">
      <c r="A1547" s="804" t="str">
        <f>IF(B1547&lt;&gt;"",IF(AND(B1547&gt;=_TM1,B1547&lt;=_TM2,OR(TH!L1547="1111",TH!M1547="1111")),TH!D1547,""),"")</f>
        <v/>
      </c>
      <c r="B1547" s="36">
        <f t="shared" si="104"/>
        <v>9</v>
      </c>
      <c r="C1547" s="189">
        <f t="shared" si="102"/>
        <v>42266</v>
      </c>
      <c r="D1547" s="830" t="s">
        <v>1285</v>
      </c>
      <c r="E1547" s="830">
        <v>42266</v>
      </c>
      <c r="F1547" s="836" t="s">
        <v>698</v>
      </c>
      <c r="G1547" s="832" t="s">
        <v>1038</v>
      </c>
      <c r="H1547" s="833" t="s">
        <v>1259</v>
      </c>
      <c r="I1547" s="241">
        <v>100</v>
      </c>
      <c r="J1547" s="241">
        <v>91123</v>
      </c>
      <c r="K1547" s="834">
        <f t="shared" si="103"/>
        <v>9112300</v>
      </c>
      <c r="L1547" s="835" t="s">
        <v>162</v>
      </c>
      <c r="M1547" s="835" t="s">
        <v>417</v>
      </c>
      <c r="N1547" s="51" t="str">
        <f>IF(AND('331-CT'!$E$7=TH!H1547,OR(L1547="331",M1547="331")),"331",IF(AND(OR(L1547="131",M1547="131"),H1547='131-CT'!$E$7),"131",""))</f>
        <v/>
      </c>
      <c r="O1547" s="51" t="str">
        <f>IF(AND($B1547&gt;='111'!$N$11,$B1547&lt;='111'!$O$11,OR($L1547=$O$7,$M1547=$O$7)),"x","")</f>
        <v/>
      </c>
      <c r="P1547" s="51" t="str">
        <f>IF(AND($L1547=$O$7,$B1547&lt;'111'!$N$11),"x","")</f>
        <v/>
      </c>
      <c r="Q1547" s="51" t="str">
        <f>IF(AND($M1547=$O$7,$B1547&lt;'111'!$N$11),"x","")</f>
        <v/>
      </c>
      <c r="R1547" s="51" t="str">
        <f>IF(ISERROR(FIND('112'!$M$9,G1547,1)),"",IF((AND(FIND('112'!$M$9,G1547,1)&gt;=1,$B1547&gt;='112'!$N$8,$B1547&lt;='112'!$O$8,OR($L1547='112'!$I$6,$M1547='112'!$I$6))),"x",""))</f>
        <v/>
      </c>
      <c r="S1547" s="51" t="str">
        <f>IF(ISERROR(FIND('112'!$M$9,G1547,1)),"",IF((AND(LEFT(G1547,2)=LEFT('112'!$M$9,2),B1547&lt;'112'!$N$8,$L1547='112'!$I$6)),"x",""))</f>
        <v/>
      </c>
      <c r="T1547" s="51" t="str">
        <f>IF(ISERROR(FIND('112'!$M$9,G1547,1)),"",IF((AND(RIGHT(G1547,2)=RIGHT('112'!$M$9,2),B1547&lt;'112'!$N$8,$M1547='112'!$I$6)),"x",""))</f>
        <v/>
      </c>
      <c r="U1547" s="51" t="str">
        <f>IF(AND(L1547="154",'154'!$O$5&lt;=B1547,'154'!$P$5&gt;=B1547),"154",IF(AND(L1547="632",'632'!$L$5&lt;=B1547,'632'!$M$5&gt;=B1547),"632",IF(AND(L1547="642",'642'!$N$5&lt;=B1547,'642'!$O$5&gt;=B1547),"642",IF(AND(L1547="641",'641'!$N$5&lt;=B1547,'641'!$O$5&gt;=B1547),"641",""))))</f>
        <v/>
      </c>
      <c r="V1547" s="51" t="str">
        <f>IF(OR(TH!L1547=TH!$V$7,M1547=TH!$V$7),"x","")</f>
        <v/>
      </c>
      <c r="W1547" s="51" t="str">
        <f>IF(AND(B1547&gt;='IN-NX'!$P$3,B1547&lt;='IN-NX'!$Q$3,'IN-NX'!$D$7=D1547,OR(LEFT(L1547,2)="15",AND(LEFT(M1547,2)&lt;&gt;"15",LEFT(M1547,2)&lt;&gt;"33"))),"x","")</f>
        <v/>
      </c>
      <c r="X1547" s="51" t="str">
        <f>IF(AND(OR(LEFT(TH!L1547,2)="15",LEFT(TH!M1547,2)="15"),'152-CT'!$J$8=TH!F1547),"x","")</f>
        <v/>
      </c>
      <c r="Y1547" s="51" t="str">
        <f>IF(AND(OR(LEFT(TH!L1547,2)="15",LEFT(TH!M1547,2)="15"),TK!$E$7=TH!F1547),"x","")</f>
        <v/>
      </c>
      <c r="Z1547" s="51" t="str">
        <f>IF(AND(B1547&lt;=NKC!$N$8,B1547&gt;=NKC!$M$8),"x","")</f>
        <v>x</v>
      </c>
      <c r="AA1547" s="803"/>
      <c r="AB1547" s="565"/>
    </row>
    <row r="1548" spans="1:28" ht="15.75" customHeight="1">
      <c r="A1548" s="804" t="str">
        <f>IF(B1548&lt;&gt;"",IF(AND(B1548&gt;=_TM1,B1548&lt;=_TM2,OR(TH!L1548="1111",TH!M1548="1111")),TH!D1548,""),"")</f>
        <v/>
      </c>
      <c r="B1548" s="36">
        <f t="shared" si="104"/>
        <v>9</v>
      </c>
      <c r="C1548" s="189">
        <f t="shared" si="102"/>
        <v>42266</v>
      </c>
      <c r="D1548" s="830" t="s">
        <v>1285</v>
      </c>
      <c r="E1548" s="830">
        <v>42266</v>
      </c>
      <c r="F1548" s="836" t="s">
        <v>699</v>
      </c>
      <c r="G1548" s="832" t="s">
        <v>1038</v>
      </c>
      <c r="H1548" s="833" t="s">
        <v>1259</v>
      </c>
      <c r="I1548" s="241">
        <v>100</v>
      </c>
      <c r="J1548" s="241">
        <v>51293</v>
      </c>
      <c r="K1548" s="834">
        <f t="shared" si="103"/>
        <v>5129300</v>
      </c>
      <c r="L1548" s="835" t="s">
        <v>162</v>
      </c>
      <c r="M1548" s="835" t="s">
        <v>417</v>
      </c>
      <c r="N1548" s="51" t="str">
        <f>IF(AND('331-CT'!$E$7=TH!H1548,OR(L1548="331",M1548="331")),"331",IF(AND(OR(L1548="131",M1548="131"),H1548='131-CT'!$E$7),"131",""))</f>
        <v/>
      </c>
      <c r="O1548" s="51" t="str">
        <f>IF(AND($B1548&gt;='111'!$N$11,$B1548&lt;='111'!$O$11,OR($L1548=$O$7,$M1548=$O$7)),"x","")</f>
        <v/>
      </c>
      <c r="P1548" s="51" t="str">
        <f>IF(AND($L1548=$O$7,$B1548&lt;'111'!$N$11),"x","")</f>
        <v/>
      </c>
      <c r="Q1548" s="51" t="str">
        <f>IF(AND($M1548=$O$7,$B1548&lt;'111'!$N$11),"x","")</f>
        <v/>
      </c>
      <c r="R1548" s="51" t="str">
        <f>IF(ISERROR(FIND('112'!$M$9,G1548,1)),"",IF((AND(FIND('112'!$M$9,G1548,1)&gt;=1,$B1548&gt;='112'!$N$8,$B1548&lt;='112'!$O$8,OR($L1548='112'!$I$6,$M1548='112'!$I$6))),"x",""))</f>
        <v/>
      </c>
      <c r="S1548" s="51" t="str">
        <f>IF(ISERROR(FIND('112'!$M$9,G1548,1)),"",IF((AND(LEFT(G1548,2)=LEFT('112'!$M$9,2),B1548&lt;'112'!$N$8,$L1548='112'!$I$6)),"x",""))</f>
        <v/>
      </c>
      <c r="T1548" s="51" t="str">
        <f>IF(ISERROR(FIND('112'!$M$9,G1548,1)),"",IF((AND(RIGHT(G1548,2)=RIGHT('112'!$M$9,2),B1548&lt;'112'!$N$8,$M1548='112'!$I$6)),"x",""))</f>
        <v/>
      </c>
      <c r="U1548" s="51" t="str">
        <f>IF(AND(L1548="154",'154'!$O$5&lt;=B1548,'154'!$P$5&gt;=B1548),"154",IF(AND(L1548="632",'632'!$L$5&lt;=B1548,'632'!$M$5&gt;=B1548),"632",IF(AND(L1548="642",'642'!$N$5&lt;=B1548,'642'!$O$5&gt;=B1548),"642",IF(AND(L1548="641",'641'!$N$5&lt;=B1548,'641'!$O$5&gt;=B1548),"641",""))))</f>
        <v/>
      </c>
      <c r="V1548" s="51" t="str">
        <f>IF(OR(TH!L1548=TH!$V$7,M1548=TH!$V$7),"x","")</f>
        <v/>
      </c>
      <c r="W1548" s="51" t="str">
        <f>IF(AND(B1548&gt;='IN-NX'!$P$3,B1548&lt;='IN-NX'!$Q$3,'IN-NX'!$D$7=D1548,OR(LEFT(L1548,2)="15",AND(LEFT(M1548,2)&lt;&gt;"15",LEFT(M1548,2)&lt;&gt;"33"))),"x","")</f>
        <v/>
      </c>
      <c r="X1548" s="51" t="str">
        <f>IF(AND(OR(LEFT(TH!L1548,2)="15",LEFT(TH!M1548,2)="15"),'152-CT'!$J$8=TH!F1548),"x","")</f>
        <v/>
      </c>
      <c r="Y1548" s="51" t="str">
        <f>IF(AND(OR(LEFT(TH!L1548,2)="15",LEFT(TH!M1548,2)="15"),TK!$E$7=TH!F1548),"x","")</f>
        <v/>
      </c>
      <c r="Z1548" s="51" t="str">
        <f>IF(AND(B1548&lt;=NKC!$N$8,B1548&gt;=NKC!$M$8),"x","")</f>
        <v>x</v>
      </c>
      <c r="AA1548" s="803"/>
      <c r="AB1548" s="565"/>
    </row>
    <row r="1549" spans="1:28" ht="15.75" customHeight="1">
      <c r="A1549" s="804" t="str">
        <f>IF(B1549&lt;&gt;"",IF(AND(B1549&gt;=_TM1,B1549&lt;=_TM2,OR(TH!L1549="1111",TH!M1549="1111")),TH!D1549,""),"")</f>
        <v/>
      </c>
      <c r="B1549" s="36">
        <f t="shared" si="104"/>
        <v>9</v>
      </c>
      <c r="C1549" s="189">
        <f t="shared" si="102"/>
        <v>42266</v>
      </c>
      <c r="D1549" s="830" t="s">
        <v>1285</v>
      </c>
      <c r="E1549" s="830">
        <v>42266</v>
      </c>
      <c r="F1549" s="836" t="s">
        <v>1208</v>
      </c>
      <c r="G1549" s="832" t="s">
        <v>1038</v>
      </c>
      <c r="H1549" s="833" t="s">
        <v>1259</v>
      </c>
      <c r="I1549" s="241">
        <v>320</v>
      </c>
      <c r="J1549" s="241">
        <v>576</v>
      </c>
      <c r="K1549" s="834">
        <f t="shared" si="103"/>
        <v>184320</v>
      </c>
      <c r="L1549" s="835" t="s">
        <v>162</v>
      </c>
      <c r="M1549" s="835" t="s">
        <v>417</v>
      </c>
      <c r="N1549" s="51" t="str">
        <f>IF(AND('331-CT'!$E$7=TH!H1549,OR(L1549="331",M1549="331")),"331",IF(AND(OR(L1549="131",M1549="131"),H1549='131-CT'!$E$7),"131",""))</f>
        <v/>
      </c>
      <c r="O1549" s="51" t="str">
        <f>IF(AND($B1549&gt;='111'!$N$11,$B1549&lt;='111'!$O$11,OR($L1549=$O$7,$M1549=$O$7)),"x","")</f>
        <v/>
      </c>
      <c r="P1549" s="51" t="str">
        <f>IF(AND($L1549=$O$7,$B1549&lt;'111'!$N$11),"x","")</f>
        <v/>
      </c>
      <c r="Q1549" s="51" t="str">
        <f>IF(AND($M1549=$O$7,$B1549&lt;'111'!$N$11),"x","")</f>
        <v/>
      </c>
      <c r="R1549" s="51" t="str">
        <f>IF(ISERROR(FIND('112'!$M$9,G1549,1)),"",IF((AND(FIND('112'!$M$9,G1549,1)&gt;=1,$B1549&gt;='112'!$N$8,$B1549&lt;='112'!$O$8,OR($L1549='112'!$I$6,$M1549='112'!$I$6))),"x",""))</f>
        <v/>
      </c>
      <c r="S1549" s="51" t="str">
        <f>IF(ISERROR(FIND('112'!$M$9,G1549,1)),"",IF((AND(LEFT(G1549,2)=LEFT('112'!$M$9,2),B1549&lt;'112'!$N$8,$L1549='112'!$I$6)),"x",""))</f>
        <v/>
      </c>
      <c r="T1549" s="51" t="str">
        <f>IF(ISERROR(FIND('112'!$M$9,G1549,1)),"",IF((AND(RIGHT(G1549,2)=RIGHT('112'!$M$9,2),B1549&lt;'112'!$N$8,$M1549='112'!$I$6)),"x",""))</f>
        <v/>
      </c>
      <c r="U1549" s="51" t="str">
        <f>IF(AND(L1549="154",'154'!$O$5&lt;=B1549,'154'!$P$5&gt;=B1549),"154",IF(AND(L1549="632",'632'!$L$5&lt;=B1549,'632'!$M$5&gt;=B1549),"632",IF(AND(L1549="642",'642'!$N$5&lt;=B1549,'642'!$O$5&gt;=B1549),"642",IF(AND(L1549="641",'641'!$N$5&lt;=B1549,'641'!$O$5&gt;=B1549),"641",""))))</f>
        <v/>
      </c>
      <c r="V1549" s="51" t="str">
        <f>IF(OR(TH!L1549=TH!$V$7,M1549=TH!$V$7),"x","")</f>
        <v/>
      </c>
      <c r="W1549" s="51" t="str">
        <f>IF(AND(B1549&gt;='IN-NX'!$P$3,B1549&lt;='IN-NX'!$Q$3,'IN-NX'!$D$7=D1549,OR(LEFT(L1549,2)="15",AND(LEFT(M1549,2)&lt;&gt;"15",LEFT(M1549,2)&lt;&gt;"33"))),"x","")</f>
        <v/>
      </c>
      <c r="X1549" s="51" t="str">
        <f>IF(AND(OR(LEFT(TH!L1549,2)="15",LEFT(TH!M1549,2)="15"),'152-CT'!$J$8=TH!F1549),"x","")</f>
        <v/>
      </c>
      <c r="Y1549" s="51" t="str">
        <f>IF(AND(OR(LEFT(TH!L1549,2)="15",LEFT(TH!M1549,2)="15"),TK!$E$7=TH!F1549),"x","")</f>
        <v/>
      </c>
      <c r="Z1549" s="51" t="str">
        <f>IF(AND(B1549&lt;=NKC!$N$8,B1549&gt;=NKC!$M$8),"x","")</f>
        <v>x</v>
      </c>
      <c r="AA1549" s="803"/>
      <c r="AB1549" s="565"/>
    </row>
    <row r="1550" spans="1:28" ht="15.75" customHeight="1">
      <c r="A1550" s="804" t="str">
        <f>IF(B1550&lt;&gt;"",IF(AND(B1550&gt;=_TM1,B1550&lt;=_TM2,OR(TH!L1550="1111",TH!M1550="1111")),TH!D1550,""),"")</f>
        <v/>
      </c>
      <c r="B1550" s="36">
        <f t="shared" si="104"/>
        <v>9</v>
      </c>
      <c r="C1550" s="189">
        <f t="shared" si="102"/>
        <v>42266</v>
      </c>
      <c r="D1550" s="830" t="s">
        <v>1285</v>
      </c>
      <c r="E1550" s="830">
        <v>42266</v>
      </c>
      <c r="F1550" s="836" t="s">
        <v>1207</v>
      </c>
      <c r="G1550" s="832" t="s">
        <v>1038</v>
      </c>
      <c r="H1550" s="833" t="s">
        <v>1259</v>
      </c>
      <c r="I1550" s="241">
        <v>177</v>
      </c>
      <c r="J1550" s="241">
        <v>1152</v>
      </c>
      <c r="K1550" s="834">
        <f t="shared" si="103"/>
        <v>203904</v>
      </c>
      <c r="L1550" s="835" t="s">
        <v>162</v>
      </c>
      <c r="M1550" s="835" t="s">
        <v>417</v>
      </c>
      <c r="N1550" s="51" t="str">
        <f>IF(AND('331-CT'!$E$7=TH!H1550,OR(L1550="331",M1550="331")),"331",IF(AND(OR(L1550="131",M1550="131"),H1550='131-CT'!$E$7),"131",""))</f>
        <v/>
      </c>
      <c r="O1550" s="51" t="str">
        <f>IF(AND($B1550&gt;='111'!$N$11,$B1550&lt;='111'!$O$11,OR($L1550=$O$7,$M1550=$O$7)),"x","")</f>
        <v/>
      </c>
      <c r="P1550" s="51" t="str">
        <f>IF(AND($L1550=$O$7,$B1550&lt;'111'!$N$11),"x","")</f>
        <v/>
      </c>
      <c r="Q1550" s="51" t="str">
        <f>IF(AND($M1550=$O$7,$B1550&lt;'111'!$N$11),"x","")</f>
        <v/>
      </c>
      <c r="R1550" s="51" t="str">
        <f>IF(ISERROR(FIND('112'!$M$9,G1550,1)),"",IF((AND(FIND('112'!$M$9,G1550,1)&gt;=1,$B1550&gt;='112'!$N$8,$B1550&lt;='112'!$O$8,OR($L1550='112'!$I$6,$M1550='112'!$I$6))),"x",""))</f>
        <v/>
      </c>
      <c r="S1550" s="51" t="str">
        <f>IF(ISERROR(FIND('112'!$M$9,G1550,1)),"",IF((AND(LEFT(G1550,2)=LEFT('112'!$M$9,2),B1550&lt;'112'!$N$8,$L1550='112'!$I$6)),"x",""))</f>
        <v/>
      </c>
      <c r="T1550" s="51" t="str">
        <f>IF(ISERROR(FIND('112'!$M$9,G1550,1)),"",IF((AND(RIGHT(G1550,2)=RIGHT('112'!$M$9,2),B1550&lt;'112'!$N$8,$M1550='112'!$I$6)),"x",""))</f>
        <v/>
      </c>
      <c r="U1550" s="51" t="str">
        <f>IF(AND(L1550="154",'154'!$O$5&lt;=B1550,'154'!$P$5&gt;=B1550),"154",IF(AND(L1550="632",'632'!$L$5&lt;=B1550,'632'!$M$5&gt;=B1550),"632",IF(AND(L1550="642",'642'!$N$5&lt;=B1550,'642'!$O$5&gt;=B1550),"642",IF(AND(L1550="641",'641'!$N$5&lt;=B1550,'641'!$O$5&gt;=B1550),"641",""))))</f>
        <v/>
      </c>
      <c r="V1550" s="51" t="str">
        <f>IF(OR(TH!L1550=TH!$V$7,M1550=TH!$V$7),"x","")</f>
        <v/>
      </c>
      <c r="W1550" s="51" t="str">
        <f>IF(AND(B1550&gt;='IN-NX'!$P$3,B1550&lt;='IN-NX'!$Q$3,'IN-NX'!$D$7=D1550,OR(LEFT(L1550,2)="15",AND(LEFT(M1550,2)&lt;&gt;"15",LEFT(M1550,2)&lt;&gt;"33"))),"x","")</f>
        <v/>
      </c>
      <c r="X1550" s="51" t="str">
        <f>IF(AND(OR(LEFT(TH!L1550,2)="15",LEFT(TH!M1550,2)="15"),'152-CT'!$J$8=TH!F1550),"x","")</f>
        <v/>
      </c>
      <c r="Y1550" s="51" t="str">
        <f>IF(AND(OR(LEFT(TH!L1550,2)="15",LEFT(TH!M1550,2)="15"),TK!$E$7=TH!F1550),"x","")</f>
        <v/>
      </c>
      <c r="Z1550" s="51" t="str">
        <f>IF(AND(B1550&lt;=NKC!$N$8,B1550&gt;=NKC!$M$8),"x","")</f>
        <v>x</v>
      </c>
      <c r="AA1550" s="803"/>
      <c r="AB1550" s="565"/>
    </row>
    <row r="1551" spans="1:28" ht="15.75" customHeight="1">
      <c r="A1551" s="804" t="str">
        <f>IF(B1551&lt;&gt;"",IF(AND(B1551&gt;=_TM1,B1551&lt;=_TM2,OR(TH!L1551="1111",TH!M1551="1111")),TH!D1551,""),"")</f>
        <v/>
      </c>
      <c r="B1551" s="36">
        <f t="shared" si="104"/>
        <v>9</v>
      </c>
      <c r="C1551" s="189">
        <f t="shared" si="102"/>
        <v>42266</v>
      </c>
      <c r="D1551" s="830" t="s">
        <v>1285</v>
      </c>
      <c r="E1551" s="830">
        <v>42266</v>
      </c>
      <c r="F1551" s="836" t="s">
        <v>1144</v>
      </c>
      <c r="G1551" s="832" t="s">
        <v>1038</v>
      </c>
      <c r="H1551" s="833" t="s">
        <v>1259</v>
      </c>
      <c r="I1551" s="241">
        <v>160</v>
      </c>
      <c r="J1551" s="241">
        <v>5760</v>
      </c>
      <c r="K1551" s="834">
        <f t="shared" si="103"/>
        <v>921600</v>
      </c>
      <c r="L1551" s="835" t="s">
        <v>162</v>
      </c>
      <c r="M1551" s="835" t="s">
        <v>417</v>
      </c>
      <c r="N1551" s="51" t="str">
        <f>IF(AND('331-CT'!$E$7=TH!H1551,OR(L1551="331",M1551="331")),"331",IF(AND(OR(L1551="131",M1551="131"),H1551='131-CT'!$E$7),"131",""))</f>
        <v/>
      </c>
      <c r="O1551" s="51" t="str">
        <f>IF(AND($B1551&gt;='111'!$N$11,$B1551&lt;='111'!$O$11,OR($L1551=$O$7,$M1551=$O$7)),"x","")</f>
        <v/>
      </c>
      <c r="P1551" s="51" t="str">
        <f>IF(AND($L1551=$O$7,$B1551&lt;'111'!$N$11),"x","")</f>
        <v/>
      </c>
      <c r="Q1551" s="51" t="str">
        <f>IF(AND($M1551=$O$7,$B1551&lt;'111'!$N$11),"x","")</f>
        <v/>
      </c>
      <c r="R1551" s="51" t="str">
        <f>IF(ISERROR(FIND('112'!$M$9,G1551,1)),"",IF((AND(FIND('112'!$M$9,G1551,1)&gt;=1,$B1551&gt;='112'!$N$8,$B1551&lt;='112'!$O$8,OR($L1551='112'!$I$6,$M1551='112'!$I$6))),"x",""))</f>
        <v/>
      </c>
      <c r="S1551" s="51" t="str">
        <f>IF(ISERROR(FIND('112'!$M$9,G1551,1)),"",IF((AND(LEFT(G1551,2)=LEFT('112'!$M$9,2),B1551&lt;'112'!$N$8,$L1551='112'!$I$6)),"x",""))</f>
        <v/>
      </c>
      <c r="T1551" s="51" t="str">
        <f>IF(ISERROR(FIND('112'!$M$9,G1551,1)),"",IF((AND(RIGHT(G1551,2)=RIGHT('112'!$M$9,2),B1551&lt;'112'!$N$8,$M1551='112'!$I$6)),"x",""))</f>
        <v/>
      </c>
      <c r="U1551" s="51" t="str">
        <f>IF(AND(L1551="154",'154'!$O$5&lt;=B1551,'154'!$P$5&gt;=B1551),"154",IF(AND(L1551="632",'632'!$L$5&lt;=B1551,'632'!$M$5&gt;=B1551),"632",IF(AND(L1551="642",'642'!$N$5&lt;=B1551,'642'!$O$5&gt;=B1551),"642",IF(AND(L1551="641",'641'!$N$5&lt;=B1551,'641'!$O$5&gt;=B1551),"641",""))))</f>
        <v/>
      </c>
      <c r="V1551" s="51" t="str">
        <f>IF(OR(TH!L1551=TH!$V$7,M1551=TH!$V$7),"x","")</f>
        <v/>
      </c>
      <c r="W1551" s="51" t="str">
        <f>IF(AND(B1551&gt;='IN-NX'!$P$3,B1551&lt;='IN-NX'!$Q$3,'IN-NX'!$D$7=D1551,OR(LEFT(L1551,2)="15",AND(LEFT(M1551,2)&lt;&gt;"15",LEFT(M1551,2)&lt;&gt;"33"))),"x","")</f>
        <v/>
      </c>
      <c r="X1551" s="51" t="str">
        <f>IF(AND(OR(LEFT(TH!L1551,2)="15",LEFT(TH!M1551,2)="15"),'152-CT'!$J$8=TH!F1551),"x","")</f>
        <v/>
      </c>
      <c r="Y1551" s="51" t="str">
        <f>IF(AND(OR(LEFT(TH!L1551,2)="15",LEFT(TH!M1551,2)="15"),TK!$E$7=TH!F1551),"x","")</f>
        <v/>
      </c>
      <c r="Z1551" s="51" t="str">
        <f>IF(AND(B1551&lt;=NKC!$N$8,B1551&gt;=NKC!$M$8),"x","")</f>
        <v>x</v>
      </c>
      <c r="AA1551" s="803"/>
      <c r="AB1551" s="565"/>
    </row>
    <row r="1552" spans="1:28" ht="15.75" customHeight="1">
      <c r="A1552" s="804" t="str">
        <f>IF(B1552&lt;&gt;"",IF(AND(B1552&gt;=_TM1,B1552&lt;=_TM2,OR(TH!L1552="1111",TH!M1552="1111")),TH!D1552,""),"")</f>
        <v/>
      </c>
      <c r="B1552" s="36">
        <f t="shared" si="104"/>
        <v>9</v>
      </c>
      <c r="C1552" s="189">
        <f t="shared" si="102"/>
        <v>42266</v>
      </c>
      <c r="D1552" s="830" t="s">
        <v>1285</v>
      </c>
      <c r="E1552" s="830">
        <v>42266</v>
      </c>
      <c r="F1552" s="836" t="s">
        <v>620</v>
      </c>
      <c r="G1552" s="832" t="s">
        <v>1039</v>
      </c>
      <c r="H1552" s="833" t="s">
        <v>1259</v>
      </c>
      <c r="I1552" s="241">
        <v>800</v>
      </c>
      <c r="J1552" s="241">
        <v>14250</v>
      </c>
      <c r="K1552" s="834">
        <f t="shared" si="103"/>
        <v>11400000</v>
      </c>
      <c r="L1552" s="835" t="s">
        <v>162</v>
      </c>
      <c r="M1552" s="835" t="s">
        <v>417</v>
      </c>
      <c r="N1552" s="51" t="str">
        <f>IF(AND('331-CT'!$E$7=TH!H1552,OR(L1552="331",M1552="331")),"331",IF(AND(OR(L1552="131",M1552="131"),H1552='131-CT'!$E$7),"131",""))</f>
        <v/>
      </c>
      <c r="O1552" s="51" t="str">
        <f>IF(AND($B1552&gt;='111'!$N$11,$B1552&lt;='111'!$O$11,OR($L1552=$O$7,$M1552=$O$7)),"x","")</f>
        <v/>
      </c>
      <c r="P1552" s="51" t="str">
        <f>IF(AND($L1552=$O$7,$B1552&lt;'111'!$N$11),"x","")</f>
        <v/>
      </c>
      <c r="Q1552" s="51" t="str">
        <f>IF(AND($M1552=$O$7,$B1552&lt;'111'!$N$11),"x","")</f>
        <v/>
      </c>
      <c r="R1552" s="51" t="str">
        <f>IF(ISERROR(FIND('112'!$M$9,G1552,1)),"",IF((AND(FIND('112'!$M$9,G1552,1)&gt;=1,$B1552&gt;='112'!$N$8,$B1552&lt;='112'!$O$8,OR($L1552='112'!$I$6,$M1552='112'!$I$6))),"x",""))</f>
        <v/>
      </c>
      <c r="S1552" s="51" t="str">
        <f>IF(ISERROR(FIND('112'!$M$9,G1552,1)),"",IF((AND(LEFT(G1552,2)=LEFT('112'!$M$9,2),B1552&lt;'112'!$N$8,$L1552='112'!$I$6)),"x",""))</f>
        <v/>
      </c>
      <c r="T1552" s="51" t="str">
        <f>IF(ISERROR(FIND('112'!$M$9,G1552,1)),"",IF((AND(RIGHT(G1552,2)=RIGHT('112'!$M$9,2),B1552&lt;'112'!$N$8,$M1552='112'!$I$6)),"x",""))</f>
        <v/>
      </c>
      <c r="U1552" s="51" t="str">
        <f>IF(AND(L1552="154",'154'!$O$5&lt;=B1552,'154'!$P$5&gt;=B1552),"154",IF(AND(L1552="632",'632'!$L$5&lt;=B1552,'632'!$M$5&gt;=B1552),"632",IF(AND(L1552="642",'642'!$N$5&lt;=B1552,'642'!$O$5&gt;=B1552),"642",IF(AND(L1552="641",'641'!$N$5&lt;=B1552,'641'!$O$5&gt;=B1552),"641",""))))</f>
        <v/>
      </c>
      <c r="V1552" s="51" t="str">
        <f>IF(OR(TH!L1552=TH!$V$7,M1552=TH!$V$7),"x","")</f>
        <v/>
      </c>
      <c r="W1552" s="51" t="str">
        <f>IF(AND(B1552&gt;='IN-NX'!$P$3,B1552&lt;='IN-NX'!$Q$3,'IN-NX'!$D$7=D1552,OR(LEFT(L1552,2)="15",AND(LEFT(M1552,2)&lt;&gt;"15",LEFT(M1552,2)&lt;&gt;"33"))),"x","")</f>
        <v/>
      </c>
      <c r="X1552" s="51" t="str">
        <f>IF(AND(OR(LEFT(TH!L1552,2)="15",LEFT(TH!M1552,2)="15"),'152-CT'!$J$8=TH!F1552),"x","")</f>
        <v/>
      </c>
      <c r="Y1552" s="51" t="str">
        <f>IF(AND(OR(LEFT(TH!L1552,2)="15",LEFT(TH!M1552,2)="15"),TK!$E$7=TH!F1552),"x","")</f>
        <v/>
      </c>
      <c r="Z1552" s="51" t="str">
        <f>IF(AND(B1552&lt;=NKC!$N$8,B1552&gt;=NKC!$M$8),"x","")</f>
        <v>x</v>
      </c>
      <c r="AA1552" s="803"/>
      <c r="AB1552" s="565"/>
    </row>
    <row r="1553" spans="1:28" ht="15.75" customHeight="1">
      <c r="A1553" s="804" t="str">
        <f>IF(B1553&lt;&gt;"",IF(AND(B1553&gt;=_TM1,B1553&lt;=_TM2,OR(TH!L1553="1111",TH!M1553="1111")),TH!D1553,""),"")</f>
        <v/>
      </c>
      <c r="B1553" s="36">
        <f t="shared" si="104"/>
        <v>9</v>
      </c>
      <c r="C1553" s="189">
        <f t="shared" si="102"/>
        <v>42267</v>
      </c>
      <c r="D1553" s="830" t="s">
        <v>1285</v>
      </c>
      <c r="E1553" s="830">
        <v>42267</v>
      </c>
      <c r="F1553" s="836" t="s">
        <v>711</v>
      </c>
      <c r="G1553" s="832" t="s">
        <v>1040</v>
      </c>
      <c r="H1553" s="833" t="s">
        <v>1259</v>
      </c>
      <c r="I1553" s="241">
        <v>200</v>
      </c>
      <c r="J1553" s="241">
        <v>6720</v>
      </c>
      <c r="K1553" s="834">
        <f t="shared" si="103"/>
        <v>1344000</v>
      </c>
      <c r="L1553" s="835" t="s">
        <v>162</v>
      </c>
      <c r="M1553" s="835" t="s">
        <v>417</v>
      </c>
      <c r="N1553" s="51" t="str">
        <f>IF(AND('331-CT'!$E$7=TH!H1553,OR(L1553="331",M1553="331")),"331",IF(AND(OR(L1553="131",M1553="131"),H1553='131-CT'!$E$7),"131",""))</f>
        <v/>
      </c>
      <c r="O1553" s="51" t="str">
        <f>IF(AND($B1553&gt;='111'!$N$11,$B1553&lt;='111'!$O$11,OR($L1553=$O$7,$M1553=$O$7)),"x","")</f>
        <v/>
      </c>
      <c r="P1553" s="51" t="str">
        <f>IF(AND($L1553=$O$7,$B1553&lt;'111'!$N$11),"x","")</f>
        <v/>
      </c>
      <c r="Q1553" s="51" t="str">
        <f>IF(AND($M1553=$O$7,$B1553&lt;'111'!$N$11),"x","")</f>
        <v/>
      </c>
      <c r="R1553" s="51" t="str">
        <f>IF(ISERROR(FIND('112'!$M$9,G1553,1)),"",IF((AND(FIND('112'!$M$9,G1553,1)&gt;=1,$B1553&gt;='112'!$N$8,$B1553&lt;='112'!$O$8,OR($L1553='112'!$I$6,$M1553='112'!$I$6))),"x",""))</f>
        <v/>
      </c>
      <c r="S1553" s="51" t="str">
        <f>IF(ISERROR(FIND('112'!$M$9,G1553,1)),"",IF((AND(LEFT(G1553,2)=LEFT('112'!$M$9,2),B1553&lt;'112'!$N$8,$L1553='112'!$I$6)),"x",""))</f>
        <v/>
      </c>
      <c r="T1553" s="51" t="str">
        <f>IF(ISERROR(FIND('112'!$M$9,G1553,1)),"",IF((AND(RIGHT(G1553,2)=RIGHT('112'!$M$9,2),B1553&lt;'112'!$N$8,$M1553='112'!$I$6)),"x",""))</f>
        <v/>
      </c>
      <c r="U1553" s="51" t="str">
        <f>IF(AND(L1553="154",'154'!$O$5&lt;=B1553,'154'!$P$5&gt;=B1553),"154",IF(AND(L1553="632",'632'!$L$5&lt;=B1553,'632'!$M$5&gt;=B1553),"632",IF(AND(L1553="642",'642'!$N$5&lt;=B1553,'642'!$O$5&gt;=B1553),"642",IF(AND(L1553="641",'641'!$N$5&lt;=B1553,'641'!$O$5&gt;=B1553),"641",""))))</f>
        <v/>
      </c>
      <c r="V1553" s="51" t="str">
        <f>IF(OR(TH!L1553=TH!$V$7,M1553=TH!$V$7),"x","")</f>
        <v/>
      </c>
      <c r="W1553" s="51" t="str">
        <f>IF(AND(B1553&gt;='IN-NX'!$P$3,B1553&lt;='IN-NX'!$Q$3,'IN-NX'!$D$7=D1553,OR(LEFT(L1553,2)="15",AND(LEFT(M1553,2)&lt;&gt;"15",LEFT(M1553,2)&lt;&gt;"33"))),"x","")</f>
        <v/>
      </c>
      <c r="X1553" s="51" t="str">
        <f>IF(AND(OR(LEFT(TH!L1553,2)="15",LEFT(TH!M1553,2)="15"),'152-CT'!$J$8=TH!F1553),"x","")</f>
        <v/>
      </c>
      <c r="Y1553" s="51" t="str">
        <f>IF(AND(OR(LEFT(TH!L1553,2)="15",LEFT(TH!M1553,2)="15"),TK!$E$7=TH!F1553),"x","")</f>
        <v/>
      </c>
      <c r="Z1553" s="51" t="str">
        <f>IF(AND(B1553&lt;=NKC!$N$8,B1553&gt;=NKC!$M$8),"x","")</f>
        <v>x</v>
      </c>
      <c r="AA1553" s="803"/>
      <c r="AB1553" s="565"/>
    </row>
    <row r="1554" spans="1:28" ht="15.75" customHeight="1">
      <c r="A1554" s="804" t="str">
        <f>IF(B1554&lt;&gt;"",IF(AND(B1554&gt;=_TM1,B1554&lt;=_TM2,OR(TH!L1554="1111",TH!M1554="1111")),TH!D1554,""),"")</f>
        <v/>
      </c>
      <c r="B1554" s="36">
        <f t="shared" si="104"/>
        <v>9</v>
      </c>
      <c r="C1554" s="189">
        <f t="shared" si="102"/>
        <v>42267</v>
      </c>
      <c r="D1554" s="830" t="s">
        <v>1285</v>
      </c>
      <c r="E1554" s="830">
        <v>42267</v>
      </c>
      <c r="F1554" s="836" t="s">
        <v>701</v>
      </c>
      <c r="G1554" s="832" t="s">
        <v>1041</v>
      </c>
      <c r="H1554" s="833" t="s">
        <v>1259</v>
      </c>
      <c r="I1554" s="241">
        <v>150</v>
      </c>
      <c r="J1554" s="241">
        <v>285200</v>
      </c>
      <c r="K1554" s="834">
        <f t="shared" si="103"/>
        <v>42780000</v>
      </c>
      <c r="L1554" s="835" t="s">
        <v>162</v>
      </c>
      <c r="M1554" s="835" t="s">
        <v>417</v>
      </c>
      <c r="N1554" s="51" t="str">
        <f>IF(AND('331-CT'!$E$7=TH!H1554,OR(L1554="331",M1554="331")),"331",IF(AND(OR(L1554="131",M1554="131"),H1554='131-CT'!$E$7),"131",""))</f>
        <v/>
      </c>
      <c r="O1554" s="51" t="str">
        <f>IF(AND($B1554&gt;='111'!$N$11,$B1554&lt;='111'!$O$11,OR($L1554=$O$7,$M1554=$O$7)),"x","")</f>
        <v/>
      </c>
      <c r="P1554" s="51" t="str">
        <f>IF(AND($L1554=$O$7,$B1554&lt;'111'!$N$11),"x","")</f>
        <v/>
      </c>
      <c r="Q1554" s="51" t="str">
        <f>IF(AND($M1554=$O$7,$B1554&lt;'111'!$N$11),"x","")</f>
        <v/>
      </c>
      <c r="R1554" s="51" t="str">
        <f>IF(ISERROR(FIND('112'!$M$9,G1554,1)),"",IF((AND(FIND('112'!$M$9,G1554,1)&gt;=1,$B1554&gt;='112'!$N$8,$B1554&lt;='112'!$O$8,OR($L1554='112'!$I$6,$M1554='112'!$I$6))),"x",""))</f>
        <v/>
      </c>
      <c r="S1554" s="51" t="str">
        <f>IF(ISERROR(FIND('112'!$M$9,G1554,1)),"",IF((AND(LEFT(G1554,2)=LEFT('112'!$M$9,2),B1554&lt;'112'!$N$8,$L1554='112'!$I$6)),"x",""))</f>
        <v/>
      </c>
      <c r="T1554" s="51" t="str">
        <f>IF(ISERROR(FIND('112'!$M$9,G1554,1)),"",IF((AND(RIGHT(G1554,2)=RIGHT('112'!$M$9,2),B1554&lt;'112'!$N$8,$M1554='112'!$I$6)),"x",""))</f>
        <v/>
      </c>
      <c r="U1554" s="51" t="str">
        <f>IF(AND(L1554="154",'154'!$O$5&lt;=B1554,'154'!$P$5&gt;=B1554),"154",IF(AND(L1554="632",'632'!$L$5&lt;=B1554,'632'!$M$5&gt;=B1554),"632",IF(AND(L1554="642",'642'!$N$5&lt;=B1554,'642'!$O$5&gt;=B1554),"642",IF(AND(L1554="641",'641'!$N$5&lt;=B1554,'641'!$O$5&gt;=B1554),"641",""))))</f>
        <v/>
      </c>
      <c r="V1554" s="51" t="str">
        <f>IF(OR(TH!L1554=TH!$V$7,M1554=TH!$V$7),"x","")</f>
        <v/>
      </c>
      <c r="W1554" s="51" t="str">
        <f>IF(AND(B1554&gt;='IN-NX'!$P$3,B1554&lt;='IN-NX'!$Q$3,'IN-NX'!$D$7=D1554,OR(LEFT(L1554,2)="15",AND(LEFT(M1554,2)&lt;&gt;"15",LEFT(M1554,2)&lt;&gt;"33"))),"x","")</f>
        <v/>
      </c>
      <c r="X1554" s="51" t="str">
        <f>IF(AND(OR(LEFT(TH!L1554,2)="15",LEFT(TH!M1554,2)="15"),'152-CT'!$J$8=TH!F1554),"x","")</f>
        <v/>
      </c>
      <c r="Y1554" s="51" t="str">
        <f>IF(AND(OR(LEFT(TH!L1554,2)="15",LEFT(TH!M1554,2)="15"),TK!$E$7=TH!F1554),"x","")</f>
        <v/>
      </c>
      <c r="Z1554" s="51" t="str">
        <f>IF(AND(B1554&lt;=NKC!$N$8,B1554&gt;=NKC!$M$8),"x","")</f>
        <v>x</v>
      </c>
      <c r="AA1554" s="803"/>
      <c r="AB1554" s="565"/>
    </row>
    <row r="1555" spans="1:28" ht="15.75" customHeight="1">
      <c r="A1555" s="804" t="str">
        <f>IF(B1555&lt;&gt;"",IF(AND(B1555&gt;=_TM1,B1555&lt;=_TM2,OR(TH!L1555="1111",TH!M1555="1111")),TH!D1555,""),"")</f>
        <v/>
      </c>
      <c r="B1555" s="36">
        <f t="shared" si="104"/>
        <v>9</v>
      </c>
      <c r="C1555" s="189">
        <f t="shared" si="102"/>
        <v>42267</v>
      </c>
      <c r="D1555" s="830" t="s">
        <v>1285</v>
      </c>
      <c r="E1555" s="830">
        <v>42267</v>
      </c>
      <c r="F1555" s="836" t="s">
        <v>709</v>
      </c>
      <c r="G1555" s="832" t="s">
        <v>1041</v>
      </c>
      <c r="H1555" s="833" t="s">
        <v>1259</v>
      </c>
      <c r="I1555" s="241">
        <v>20</v>
      </c>
      <c r="J1555" s="241">
        <v>16560</v>
      </c>
      <c r="K1555" s="834">
        <f t="shared" si="103"/>
        <v>331200</v>
      </c>
      <c r="L1555" s="835" t="s">
        <v>162</v>
      </c>
      <c r="M1555" s="835" t="s">
        <v>417</v>
      </c>
      <c r="N1555" s="51" t="str">
        <f>IF(AND('331-CT'!$E$7=TH!H1555,OR(L1555="331",M1555="331")),"331",IF(AND(OR(L1555="131",M1555="131"),H1555='131-CT'!$E$7),"131",""))</f>
        <v/>
      </c>
      <c r="O1555" s="51" t="str">
        <f>IF(AND($B1555&gt;='111'!$N$11,$B1555&lt;='111'!$O$11,OR($L1555=$O$7,$M1555=$O$7)),"x","")</f>
        <v/>
      </c>
      <c r="P1555" s="51" t="str">
        <f>IF(AND($L1555=$O$7,$B1555&lt;'111'!$N$11),"x","")</f>
        <v/>
      </c>
      <c r="Q1555" s="51" t="str">
        <f>IF(AND($M1555=$O$7,$B1555&lt;'111'!$N$11),"x","")</f>
        <v/>
      </c>
      <c r="R1555" s="51" t="str">
        <f>IF(ISERROR(FIND('112'!$M$9,G1555,1)),"",IF((AND(FIND('112'!$M$9,G1555,1)&gt;=1,$B1555&gt;='112'!$N$8,$B1555&lt;='112'!$O$8,OR($L1555='112'!$I$6,$M1555='112'!$I$6))),"x",""))</f>
        <v/>
      </c>
      <c r="S1555" s="51" t="str">
        <f>IF(ISERROR(FIND('112'!$M$9,G1555,1)),"",IF((AND(LEFT(G1555,2)=LEFT('112'!$M$9,2),B1555&lt;'112'!$N$8,$L1555='112'!$I$6)),"x",""))</f>
        <v/>
      </c>
      <c r="T1555" s="51" t="str">
        <f>IF(ISERROR(FIND('112'!$M$9,G1555,1)),"",IF((AND(RIGHT(G1555,2)=RIGHT('112'!$M$9,2),B1555&lt;'112'!$N$8,$M1555='112'!$I$6)),"x",""))</f>
        <v/>
      </c>
      <c r="U1555" s="51" t="str">
        <f>IF(AND(L1555="154",'154'!$O$5&lt;=B1555,'154'!$P$5&gt;=B1555),"154",IF(AND(L1555="632",'632'!$L$5&lt;=B1555,'632'!$M$5&gt;=B1555),"632",IF(AND(L1555="642",'642'!$N$5&lt;=B1555,'642'!$O$5&gt;=B1555),"642",IF(AND(L1555="641",'641'!$N$5&lt;=B1555,'641'!$O$5&gt;=B1555),"641",""))))</f>
        <v/>
      </c>
      <c r="V1555" s="51" t="str">
        <f>IF(OR(TH!L1555=TH!$V$7,M1555=TH!$V$7),"x","")</f>
        <v/>
      </c>
      <c r="W1555" s="51" t="str">
        <f>IF(AND(B1555&gt;='IN-NX'!$P$3,B1555&lt;='IN-NX'!$Q$3,'IN-NX'!$D$7=D1555,OR(LEFT(L1555,2)="15",AND(LEFT(M1555,2)&lt;&gt;"15",LEFT(M1555,2)&lt;&gt;"33"))),"x","")</f>
        <v/>
      </c>
      <c r="X1555" s="51" t="str">
        <f>IF(AND(OR(LEFT(TH!L1555,2)="15",LEFT(TH!M1555,2)="15"),'152-CT'!$J$8=TH!F1555),"x","")</f>
        <v/>
      </c>
      <c r="Y1555" s="51" t="str">
        <f>IF(AND(OR(LEFT(TH!L1555,2)="15",LEFT(TH!M1555,2)="15"),TK!$E$7=TH!F1555),"x","")</f>
        <v/>
      </c>
      <c r="Z1555" s="51" t="str">
        <f>IF(AND(B1555&lt;=NKC!$N$8,B1555&gt;=NKC!$M$8),"x","")</f>
        <v>x</v>
      </c>
      <c r="AA1555" s="803"/>
      <c r="AB1555" s="565"/>
    </row>
    <row r="1556" spans="1:28" ht="15.75" customHeight="1">
      <c r="A1556" s="804" t="str">
        <f>IF(B1556&lt;&gt;"",IF(AND(B1556&gt;=_TM1,B1556&lt;=_TM2,OR(TH!L1556="1111",TH!M1556="1111")),TH!D1556,""),"")</f>
        <v/>
      </c>
      <c r="B1556" s="36">
        <f t="shared" si="104"/>
        <v>9</v>
      </c>
      <c r="C1556" s="189">
        <f t="shared" si="102"/>
        <v>42268</v>
      </c>
      <c r="D1556" s="830" t="s">
        <v>1285</v>
      </c>
      <c r="E1556" s="830">
        <v>42268</v>
      </c>
      <c r="F1556" s="836" t="s">
        <v>621</v>
      </c>
      <c r="G1556" s="832" t="s">
        <v>1043</v>
      </c>
      <c r="H1556" s="833" t="s">
        <v>1259</v>
      </c>
      <c r="I1556" s="241">
        <v>1000</v>
      </c>
      <c r="J1556" s="241">
        <v>15675</v>
      </c>
      <c r="K1556" s="834">
        <f t="shared" si="103"/>
        <v>15675000</v>
      </c>
      <c r="L1556" s="835" t="s">
        <v>162</v>
      </c>
      <c r="M1556" s="835" t="s">
        <v>417</v>
      </c>
      <c r="N1556" s="51" t="str">
        <f>IF(AND('331-CT'!$E$7=TH!H1556,OR(L1556="331",M1556="331")),"331",IF(AND(OR(L1556="131",M1556="131"),H1556='131-CT'!$E$7),"131",""))</f>
        <v/>
      </c>
      <c r="O1556" s="51" t="str">
        <f>IF(AND($B1556&gt;='111'!$N$11,$B1556&lt;='111'!$O$11,OR($L1556=$O$7,$M1556=$O$7)),"x","")</f>
        <v/>
      </c>
      <c r="P1556" s="51" t="str">
        <f>IF(AND($L1556=$O$7,$B1556&lt;'111'!$N$11),"x","")</f>
        <v/>
      </c>
      <c r="Q1556" s="51" t="str">
        <f>IF(AND($M1556=$O$7,$B1556&lt;'111'!$N$11),"x","")</f>
        <v/>
      </c>
      <c r="R1556" s="51" t="str">
        <f>IF(ISERROR(FIND('112'!$M$9,G1556,1)),"",IF((AND(FIND('112'!$M$9,G1556,1)&gt;=1,$B1556&gt;='112'!$N$8,$B1556&lt;='112'!$O$8,OR($L1556='112'!$I$6,$M1556='112'!$I$6))),"x",""))</f>
        <v/>
      </c>
      <c r="S1556" s="51" t="str">
        <f>IF(ISERROR(FIND('112'!$M$9,G1556,1)),"",IF((AND(LEFT(G1556,2)=LEFT('112'!$M$9,2),B1556&lt;'112'!$N$8,$L1556='112'!$I$6)),"x",""))</f>
        <v/>
      </c>
      <c r="T1556" s="51" t="str">
        <f>IF(ISERROR(FIND('112'!$M$9,G1556,1)),"",IF((AND(RIGHT(G1556,2)=RIGHT('112'!$M$9,2),B1556&lt;'112'!$N$8,$M1556='112'!$I$6)),"x",""))</f>
        <v/>
      </c>
      <c r="U1556" s="51" t="str">
        <f>IF(AND(L1556="154",'154'!$O$5&lt;=B1556,'154'!$P$5&gt;=B1556),"154",IF(AND(L1556="632",'632'!$L$5&lt;=B1556,'632'!$M$5&gt;=B1556),"632",IF(AND(L1556="642",'642'!$N$5&lt;=B1556,'642'!$O$5&gt;=B1556),"642",IF(AND(L1556="641",'641'!$N$5&lt;=B1556,'641'!$O$5&gt;=B1556),"641",""))))</f>
        <v/>
      </c>
      <c r="V1556" s="51" t="str">
        <f>IF(OR(TH!L1556=TH!$V$7,M1556=TH!$V$7),"x","")</f>
        <v/>
      </c>
      <c r="W1556" s="51" t="str">
        <f>IF(AND(B1556&gt;='IN-NX'!$P$3,B1556&lt;='IN-NX'!$Q$3,'IN-NX'!$D$7=D1556,OR(LEFT(L1556,2)="15",AND(LEFT(M1556,2)&lt;&gt;"15",LEFT(M1556,2)&lt;&gt;"33"))),"x","")</f>
        <v/>
      </c>
      <c r="X1556" s="51" t="str">
        <f>IF(AND(OR(LEFT(TH!L1556,2)="15",LEFT(TH!M1556,2)="15"),'152-CT'!$J$8=TH!F1556),"x","")</f>
        <v/>
      </c>
      <c r="Y1556" s="51" t="str">
        <f>IF(AND(OR(LEFT(TH!L1556,2)="15",LEFT(TH!M1556,2)="15"),TK!$E$7=TH!F1556),"x","")</f>
        <v/>
      </c>
      <c r="Z1556" s="51" t="str">
        <f>IF(AND(B1556&lt;=NKC!$N$8,B1556&gt;=NKC!$M$8),"x","")</f>
        <v>x</v>
      </c>
      <c r="AA1556" s="803"/>
      <c r="AB1556" s="565"/>
    </row>
    <row r="1557" spans="1:28" ht="15.75" customHeight="1">
      <c r="A1557" s="804" t="str">
        <f>IF(B1557&lt;&gt;"",IF(AND(B1557&gt;=_TM1,B1557&lt;=_TM2,OR(TH!L1557="1111",TH!M1557="1111")),TH!D1557,""),"")</f>
        <v/>
      </c>
      <c r="B1557" s="36">
        <f t="shared" si="104"/>
        <v>9</v>
      </c>
      <c r="C1557" s="189">
        <f t="shared" si="102"/>
        <v>42269</v>
      </c>
      <c r="D1557" s="830" t="s">
        <v>1285</v>
      </c>
      <c r="E1557" s="830">
        <v>42269</v>
      </c>
      <c r="F1557" s="836" t="s">
        <v>712</v>
      </c>
      <c r="G1557" s="832" t="s">
        <v>1044</v>
      </c>
      <c r="H1557" s="833" t="s">
        <v>1259</v>
      </c>
      <c r="I1557" s="241">
        <v>350</v>
      </c>
      <c r="J1557" s="241">
        <v>30835</v>
      </c>
      <c r="K1557" s="834">
        <f t="shared" si="103"/>
        <v>10792250</v>
      </c>
      <c r="L1557" s="835" t="s">
        <v>162</v>
      </c>
      <c r="M1557" s="835" t="s">
        <v>417</v>
      </c>
      <c r="N1557" s="51" t="str">
        <f>IF(AND('331-CT'!$E$7=TH!H1557,OR(L1557="331",M1557="331")),"331",IF(AND(OR(L1557="131",M1557="131"),H1557='131-CT'!$E$7),"131",""))</f>
        <v/>
      </c>
      <c r="O1557" s="51" t="str">
        <f>IF(AND($B1557&gt;='111'!$N$11,$B1557&lt;='111'!$O$11,OR($L1557=$O$7,$M1557=$O$7)),"x","")</f>
        <v/>
      </c>
      <c r="P1557" s="51" t="str">
        <f>IF(AND($L1557=$O$7,$B1557&lt;'111'!$N$11),"x","")</f>
        <v/>
      </c>
      <c r="Q1557" s="51" t="str">
        <f>IF(AND($M1557=$O$7,$B1557&lt;'111'!$N$11),"x","")</f>
        <v/>
      </c>
      <c r="R1557" s="51" t="str">
        <f>IF(ISERROR(FIND('112'!$M$9,G1557,1)),"",IF((AND(FIND('112'!$M$9,G1557,1)&gt;=1,$B1557&gt;='112'!$N$8,$B1557&lt;='112'!$O$8,OR($L1557='112'!$I$6,$M1557='112'!$I$6))),"x",""))</f>
        <v/>
      </c>
      <c r="S1557" s="51" t="str">
        <f>IF(ISERROR(FIND('112'!$M$9,G1557,1)),"",IF((AND(LEFT(G1557,2)=LEFT('112'!$M$9,2),B1557&lt;'112'!$N$8,$L1557='112'!$I$6)),"x",""))</f>
        <v/>
      </c>
      <c r="T1557" s="51" t="str">
        <f>IF(ISERROR(FIND('112'!$M$9,G1557,1)),"",IF((AND(RIGHT(G1557,2)=RIGHT('112'!$M$9,2),B1557&lt;'112'!$N$8,$M1557='112'!$I$6)),"x",""))</f>
        <v/>
      </c>
      <c r="U1557" s="51" t="str">
        <f>IF(AND(L1557="154",'154'!$O$5&lt;=B1557,'154'!$P$5&gt;=B1557),"154",IF(AND(L1557="632",'632'!$L$5&lt;=B1557,'632'!$M$5&gt;=B1557),"632",IF(AND(L1557="642",'642'!$N$5&lt;=B1557,'642'!$O$5&gt;=B1557),"642",IF(AND(L1557="641",'641'!$N$5&lt;=B1557,'641'!$O$5&gt;=B1557),"641",""))))</f>
        <v/>
      </c>
      <c r="V1557" s="51" t="str">
        <f>IF(OR(TH!L1557=TH!$V$7,M1557=TH!$V$7),"x","")</f>
        <v/>
      </c>
      <c r="W1557" s="51" t="str">
        <f>IF(AND(B1557&gt;='IN-NX'!$P$3,B1557&lt;='IN-NX'!$Q$3,'IN-NX'!$D$7=D1557,OR(LEFT(L1557,2)="15",AND(LEFT(M1557,2)&lt;&gt;"15",LEFT(M1557,2)&lt;&gt;"33"))),"x","")</f>
        <v/>
      </c>
      <c r="X1557" s="51" t="str">
        <f>IF(AND(OR(LEFT(TH!L1557,2)="15",LEFT(TH!M1557,2)="15"),'152-CT'!$J$8=TH!F1557),"x","")</f>
        <v/>
      </c>
      <c r="Y1557" s="51" t="str">
        <f>IF(AND(OR(LEFT(TH!L1557,2)="15",LEFT(TH!M1557,2)="15"),TK!$E$7=TH!F1557),"x","")</f>
        <v/>
      </c>
      <c r="Z1557" s="51" t="str">
        <f>IF(AND(B1557&lt;=NKC!$N$8,B1557&gt;=NKC!$M$8),"x","")</f>
        <v>x</v>
      </c>
      <c r="AA1557" s="803"/>
      <c r="AB1557" s="565"/>
    </row>
    <row r="1558" spans="1:28" ht="15.75" customHeight="1">
      <c r="A1558" s="804" t="str">
        <f>IF(B1558&lt;&gt;"",IF(AND(B1558&gt;=_TM1,B1558&lt;=_TM2,OR(TH!L1558="1111",TH!M1558="1111")),TH!D1558,""),"")</f>
        <v/>
      </c>
      <c r="B1558" s="36">
        <f t="shared" si="104"/>
        <v>9</v>
      </c>
      <c r="C1558" s="189">
        <f t="shared" si="102"/>
        <v>42269</v>
      </c>
      <c r="D1558" s="830" t="s">
        <v>1285</v>
      </c>
      <c r="E1558" s="830">
        <v>42269</v>
      </c>
      <c r="F1558" s="836" t="s">
        <v>1260</v>
      </c>
      <c r="G1558" s="832" t="s">
        <v>1044</v>
      </c>
      <c r="H1558" s="833" t="s">
        <v>1259</v>
      </c>
      <c r="I1558" s="241">
        <v>1000</v>
      </c>
      <c r="J1558" s="241">
        <v>6045</v>
      </c>
      <c r="K1558" s="834">
        <f t="shared" si="103"/>
        <v>6045000</v>
      </c>
      <c r="L1558" s="835" t="s">
        <v>162</v>
      </c>
      <c r="M1558" s="835" t="s">
        <v>417</v>
      </c>
      <c r="N1558" s="51" t="str">
        <f>IF(AND('331-CT'!$E$7=TH!H1558,OR(L1558="331",M1558="331")),"331",IF(AND(OR(L1558="131",M1558="131"),H1558='131-CT'!$E$7),"131",""))</f>
        <v/>
      </c>
      <c r="O1558" s="51" t="str">
        <f>IF(AND($B1558&gt;='111'!$N$11,$B1558&lt;='111'!$O$11,OR($L1558=$O$7,$M1558=$O$7)),"x","")</f>
        <v/>
      </c>
      <c r="P1558" s="51" t="str">
        <f>IF(AND($L1558=$O$7,$B1558&lt;'111'!$N$11),"x","")</f>
        <v/>
      </c>
      <c r="Q1558" s="51" t="str">
        <f>IF(AND($M1558=$O$7,$B1558&lt;'111'!$N$11),"x","")</f>
        <v/>
      </c>
      <c r="R1558" s="51" t="str">
        <f>IF(ISERROR(FIND('112'!$M$9,G1558,1)),"",IF((AND(FIND('112'!$M$9,G1558,1)&gt;=1,$B1558&gt;='112'!$N$8,$B1558&lt;='112'!$O$8,OR($L1558='112'!$I$6,$M1558='112'!$I$6))),"x",""))</f>
        <v/>
      </c>
      <c r="S1558" s="51" t="str">
        <f>IF(ISERROR(FIND('112'!$M$9,G1558,1)),"",IF((AND(LEFT(G1558,2)=LEFT('112'!$M$9,2),B1558&lt;'112'!$N$8,$L1558='112'!$I$6)),"x",""))</f>
        <v/>
      </c>
      <c r="T1558" s="51" t="str">
        <f>IF(ISERROR(FIND('112'!$M$9,G1558,1)),"",IF((AND(RIGHT(G1558,2)=RIGHT('112'!$M$9,2),B1558&lt;'112'!$N$8,$M1558='112'!$I$6)),"x",""))</f>
        <v/>
      </c>
      <c r="U1558" s="51" t="str">
        <f>IF(AND(L1558="154",'154'!$O$5&lt;=B1558,'154'!$P$5&gt;=B1558),"154",IF(AND(L1558="632",'632'!$L$5&lt;=B1558,'632'!$M$5&gt;=B1558),"632",IF(AND(L1558="642",'642'!$N$5&lt;=B1558,'642'!$O$5&gt;=B1558),"642",IF(AND(L1558="641",'641'!$N$5&lt;=B1558,'641'!$O$5&gt;=B1558),"641",""))))</f>
        <v/>
      </c>
      <c r="V1558" s="51" t="str">
        <f>IF(OR(TH!L1558=TH!$V$7,M1558=TH!$V$7),"x","")</f>
        <v/>
      </c>
      <c r="W1558" s="51" t="str">
        <f>IF(AND(B1558&gt;='IN-NX'!$P$3,B1558&lt;='IN-NX'!$Q$3,'IN-NX'!$D$7=D1558,OR(LEFT(L1558,2)="15",AND(LEFT(M1558,2)&lt;&gt;"15",LEFT(M1558,2)&lt;&gt;"33"))),"x","")</f>
        <v/>
      </c>
      <c r="X1558" s="51" t="str">
        <f>IF(AND(OR(LEFT(TH!L1558,2)="15",LEFT(TH!M1558,2)="15"),'152-CT'!$J$8=TH!F1558),"x","")</f>
        <v/>
      </c>
      <c r="Y1558" s="51" t="str">
        <f>IF(AND(OR(LEFT(TH!L1558,2)="15",LEFT(TH!M1558,2)="15"),TK!$E$7=TH!F1558),"x","")</f>
        <v/>
      </c>
      <c r="Z1558" s="51" t="str">
        <f>IF(AND(B1558&lt;=NKC!$N$8,B1558&gt;=NKC!$M$8),"x","")</f>
        <v>x</v>
      </c>
      <c r="AA1558" s="803"/>
      <c r="AB1558" s="565"/>
    </row>
    <row r="1559" spans="1:28" ht="15.75" customHeight="1">
      <c r="A1559" s="804" t="str">
        <f>IF(B1559&lt;&gt;"",IF(AND(B1559&gt;=_TM1,B1559&lt;=_TM2,OR(TH!L1559="1111",TH!M1559="1111")),TH!D1559,""),"")</f>
        <v/>
      </c>
      <c r="B1559" s="36">
        <f t="shared" si="104"/>
        <v>9</v>
      </c>
      <c r="C1559" s="189">
        <f t="shared" si="102"/>
        <v>42271</v>
      </c>
      <c r="D1559" s="830" t="s">
        <v>1285</v>
      </c>
      <c r="E1559" s="830">
        <v>42271</v>
      </c>
      <c r="F1559" s="836" t="s">
        <v>713</v>
      </c>
      <c r="G1559" s="832" t="s">
        <v>1047</v>
      </c>
      <c r="H1559" s="833" t="s">
        <v>1259</v>
      </c>
      <c r="I1559" s="241">
        <v>430</v>
      </c>
      <c r="J1559" s="241">
        <v>14400</v>
      </c>
      <c r="K1559" s="834">
        <f t="shared" si="103"/>
        <v>6192000</v>
      </c>
      <c r="L1559" s="835" t="s">
        <v>162</v>
      </c>
      <c r="M1559" s="835" t="s">
        <v>417</v>
      </c>
      <c r="N1559" s="51" t="str">
        <f>IF(AND('331-CT'!$E$7=TH!H1559,OR(L1559="331",M1559="331")),"331",IF(AND(OR(L1559="131",M1559="131"),H1559='131-CT'!$E$7),"131",""))</f>
        <v/>
      </c>
      <c r="O1559" s="51" t="str">
        <f>IF(AND($B1559&gt;='111'!$N$11,$B1559&lt;='111'!$O$11,OR($L1559=$O$7,$M1559=$O$7)),"x","")</f>
        <v/>
      </c>
      <c r="P1559" s="51" t="str">
        <f>IF(AND($L1559=$O$7,$B1559&lt;'111'!$N$11),"x","")</f>
        <v/>
      </c>
      <c r="Q1559" s="51" t="str">
        <f>IF(AND($M1559=$O$7,$B1559&lt;'111'!$N$11),"x","")</f>
        <v/>
      </c>
      <c r="R1559" s="51" t="str">
        <f>IF(ISERROR(FIND('112'!$M$9,G1559,1)),"",IF((AND(FIND('112'!$M$9,G1559,1)&gt;=1,$B1559&gt;='112'!$N$8,$B1559&lt;='112'!$O$8,OR($L1559='112'!$I$6,$M1559='112'!$I$6))),"x",""))</f>
        <v/>
      </c>
      <c r="S1559" s="51" t="str">
        <f>IF(ISERROR(FIND('112'!$M$9,G1559,1)),"",IF((AND(LEFT(G1559,2)=LEFT('112'!$M$9,2),B1559&lt;'112'!$N$8,$L1559='112'!$I$6)),"x",""))</f>
        <v/>
      </c>
      <c r="T1559" s="51" t="str">
        <f>IF(ISERROR(FIND('112'!$M$9,G1559,1)),"",IF((AND(RIGHT(G1559,2)=RIGHT('112'!$M$9,2),B1559&lt;'112'!$N$8,$M1559='112'!$I$6)),"x",""))</f>
        <v/>
      </c>
      <c r="U1559" s="51" t="str">
        <f>IF(AND(L1559="154",'154'!$O$5&lt;=B1559,'154'!$P$5&gt;=B1559),"154",IF(AND(L1559="632",'632'!$L$5&lt;=B1559,'632'!$M$5&gt;=B1559),"632",IF(AND(L1559="642",'642'!$N$5&lt;=B1559,'642'!$O$5&gt;=B1559),"642",IF(AND(L1559="641",'641'!$N$5&lt;=B1559,'641'!$O$5&gt;=B1559),"641",""))))</f>
        <v/>
      </c>
      <c r="V1559" s="51" t="str">
        <f>IF(OR(TH!L1559=TH!$V$7,M1559=TH!$V$7),"x","")</f>
        <v/>
      </c>
      <c r="W1559" s="51" t="str">
        <f>IF(AND(B1559&gt;='IN-NX'!$P$3,B1559&lt;='IN-NX'!$Q$3,'IN-NX'!$D$7=D1559,OR(LEFT(L1559,2)="15",AND(LEFT(M1559,2)&lt;&gt;"15",LEFT(M1559,2)&lt;&gt;"33"))),"x","")</f>
        <v/>
      </c>
      <c r="X1559" s="51" t="str">
        <f>IF(AND(OR(LEFT(TH!L1559,2)="15",LEFT(TH!M1559,2)="15"),'152-CT'!$J$8=TH!F1559),"x","")</f>
        <v/>
      </c>
      <c r="Y1559" s="51" t="str">
        <f>IF(AND(OR(LEFT(TH!L1559,2)="15",LEFT(TH!M1559,2)="15"),TK!$E$7=TH!F1559),"x","")</f>
        <v/>
      </c>
      <c r="Z1559" s="51" t="str">
        <f>IF(AND(B1559&lt;=NKC!$N$8,B1559&gt;=NKC!$M$8),"x","")</f>
        <v>x</v>
      </c>
      <c r="AA1559" s="803"/>
      <c r="AB1559" s="565"/>
    </row>
    <row r="1560" spans="1:28" ht="15.75" customHeight="1">
      <c r="A1560" s="804" t="str">
        <f>IF(B1560&lt;&gt;"",IF(AND(B1560&gt;=_TM1,B1560&lt;=_TM2,OR(TH!L1560="1111",TH!M1560="1111")),TH!D1560,""),"")</f>
        <v/>
      </c>
      <c r="B1560" s="36">
        <f t="shared" si="104"/>
        <v>9</v>
      </c>
      <c r="C1560" s="189">
        <f t="shared" si="102"/>
        <v>42271</v>
      </c>
      <c r="D1560" s="830" t="s">
        <v>1285</v>
      </c>
      <c r="E1560" s="830">
        <v>42271</v>
      </c>
      <c r="F1560" s="836" t="s">
        <v>713</v>
      </c>
      <c r="G1560" s="832" t="s">
        <v>1047</v>
      </c>
      <c r="H1560" s="833" t="s">
        <v>1259</v>
      </c>
      <c r="I1560" s="241">
        <v>396</v>
      </c>
      <c r="J1560" s="241">
        <v>14400</v>
      </c>
      <c r="K1560" s="834">
        <f t="shared" si="103"/>
        <v>5702400</v>
      </c>
      <c r="L1560" s="835" t="s">
        <v>162</v>
      </c>
      <c r="M1560" s="835" t="s">
        <v>417</v>
      </c>
      <c r="N1560" s="51" t="str">
        <f>IF(AND('331-CT'!$E$7=TH!H1560,OR(L1560="331",M1560="331")),"331",IF(AND(OR(L1560="131",M1560="131"),H1560='131-CT'!$E$7),"131",""))</f>
        <v/>
      </c>
      <c r="O1560" s="51" t="str">
        <f>IF(AND($B1560&gt;='111'!$N$11,$B1560&lt;='111'!$O$11,OR($L1560=$O$7,$M1560=$O$7)),"x","")</f>
        <v/>
      </c>
      <c r="P1560" s="51" t="str">
        <f>IF(AND($L1560=$O$7,$B1560&lt;'111'!$N$11),"x","")</f>
        <v/>
      </c>
      <c r="Q1560" s="51" t="str">
        <f>IF(AND($M1560=$O$7,$B1560&lt;'111'!$N$11),"x","")</f>
        <v/>
      </c>
      <c r="R1560" s="51" t="str">
        <f>IF(ISERROR(FIND('112'!$M$9,G1560,1)),"",IF((AND(FIND('112'!$M$9,G1560,1)&gt;=1,$B1560&gt;='112'!$N$8,$B1560&lt;='112'!$O$8,OR($L1560='112'!$I$6,$M1560='112'!$I$6))),"x",""))</f>
        <v/>
      </c>
      <c r="S1560" s="51" t="str">
        <f>IF(ISERROR(FIND('112'!$M$9,G1560,1)),"",IF((AND(LEFT(G1560,2)=LEFT('112'!$M$9,2),B1560&lt;'112'!$N$8,$L1560='112'!$I$6)),"x",""))</f>
        <v/>
      </c>
      <c r="T1560" s="51" t="str">
        <f>IF(ISERROR(FIND('112'!$M$9,G1560,1)),"",IF((AND(RIGHT(G1560,2)=RIGHT('112'!$M$9,2),B1560&lt;'112'!$N$8,$M1560='112'!$I$6)),"x",""))</f>
        <v/>
      </c>
      <c r="U1560" s="51" t="str">
        <f>IF(AND(L1560="154",'154'!$O$5&lt;=B1560,'154'!$P$5&gt;=B1560),"154",IF(AND(L1560="632",'632'!$L$5&lt;=B1560,'632'!$M$5&gt;=B1560),"632",IF(AND(L1560="642",'642'!$N$5&lt;=B1560,'642'!$O$5&gt;=B1560),"642",IF(AND(L1560="641",'641'!$N$5&lt;=B1560,'641'!$O$5&gt;=B1560),"641",""))))</f>
        <v/>
      </c>
      <c r="V1560" s="51" t="str">
        <f>IF(OR(TH!L1560=TH!$V$7,M1560=TH!$V$7),"x","")</f>
        <v/>
      </c>
      <c r="W1560" s="51" t="str">
        <f>IF(AND(B1560&gt;='IN-NX'!$P$3,B1560&lt;='IN-NX'!$Q$3,'IN-NX'!$D$7=D1560,OR(LEFT(L1560,2)="15",AND(LEFT(M1560,2)&lt;&gt;"15",LEFT(M1560,2)&lt;&gt;"33"))),"x","")</f>
        <v/>
      </c>
      <c r="X1560" s="51" t="str">
        <f>IF(AND(OR(LEFT(TH!L1560,2)="15",LEFT(TH!M1560,2)="15"),'152-CT'!$J$8=TH!F1560),"x","")</f>
        <v/>
      </c>
      <c r="Y1560" s="51" t="str">
        <f>IF(AND(OR(LEFT(TH!L1560,2)="15",LEFT(TH!M1560,2)="15"),TK!$E$7=TH!F1560),"x","")</f>
        <v/>
      </c>
      <c r="Z1560" s="51" t="str">
        <f>IF(AND(B1560&lt;=NKC!$N$8,B1560&gt;=NKC!$M$8),"x","")</f>
        <v>x</v>
      </c>
      <c r="AA1560" s="803"/>
      <c r="AB1560" s="565"/>
    </row>
    <row r="1561" spans="1:28" ht="15.75" customHeight="1">
      <c r="A1561" s="804" t="str">
        <f>IF(B1561&lt;&gt;"",IF(AND(B1561&gt;=_TM1,B1561&lt;=_TM2,OR(TH!L1561="1111",TH!M1561="1111")),TH!D1561,""),"")</f>
        <v/>
      </c>
      <c r="B1561" s="36">
        <f t="shared" si="104"/>
        <v>9</v>
      </c>
      <c r="C1561" s="189">
        <f t="shared" si="102"/>
        <v>42272</v>
      </c>
      <c r="D1561" s="830" t="s">
        <v>1285</v>
      </c>
      <c r="E1561" s="830">
        <v>42272</v>
      </c>
      <c r="F1561" s="836" t="s">
        <v>623</v>
      </c>
      <c r="G1561" s="832" t="s">
        <v>1048</v>
      </c>
      <c r="H1561" s="833" t="s">
        <v>1259</v>
      </c>
      <c r="I1561" s="241">
        <v>300</v>
      </c>
      <c r="J1561" s="241">
        <v>30920.138888888891</v>
      </c>
      <c r="K1561" s="834">
        <f t="shared" si="103"/>
        <v>9276042</v>
      </c>
      <c r="L1561" s="835" t="s">
        <v>162</v>
      </c>
      <c r="M1561" s="835" t="s">
        <v>417</v>
      </c>
      <c r="N1561" s="51" t="str">
        <f>IF(AND('331-CT'!$E$7=TH!H1561,OR(L1561="331",M1561="331")),"331",IF(AND(OR(L1561="131",M1561="131"),H1561='131-CT'!$E$7),"131",""))</f>
        <v/>
      </c>
      <c r="O1561" s="51" t="str">
        <f>IF(AND($B1561&gt;='111'!$N$11,$B1561&lt;='111'!$O$11,OR($L1561=$O$7,$M1561=$O$7)),"x","")</f>
        <v/>
      </c>
      <c r="P1561" s="51" t="str">
        <f>IF(AND($L1561=$O$7,$B1561&lt;'111'!$N$11),"x","")</f>
        <v/>
      </c>
      <c r="Q1561" s="51" t="str">
        <f>IF(AND($M1561=$O$7,$B1561&lt;'111'!$N$11),"x","")</f>
        <v/>
      </c>
      <c r="R1561" s="51" t="str">
        <f>IF(ISERROR(FIND('112'!$M$9,G1561,1)),"",IF((AND(FIND('112'!$M$9,G1561,1)&gt;=1,$B1561&gt;='112'!$N$8,$B1561&lt;='112'!$O$8,OR($L1561='112'!$I$6,$M1561='112'!$I$6))),"x",""))</f>
        <v/>
      </c>
      <c r="S1561" s="51" t="str">
        <f>IF(ISERROR(FIND('112'!$M$9,G1561,1)),"",IF((AND(LEFT(G1561,2)=LEFT('112'!$M$9,2),B1561&lt;'112'!$N$8,$L1561='112'!$I$6)),"x",""))</f>
        <v/>
      </c>
      <c r="T1561" s="51" t="str">
        <f>IF(ISERROR(FIND('112'!$M$9,G1561,1)),"",IF((AND(RIGHT(G1561,2)=RIGHT('112'!$M$9,2),B1561&lt;'112'!$N$8,$M1561='112'!$I$6)),"x",""))</f>
        <v/>
      </c>
      <c r="U1561" s="51" t="str">
        <f>IF(AND(L1561="154",'154'!$O$5&lt;=B1561,'154'!$P$5&gt;=B1561),"154",IF(AND(L1561="632",'632'!$L$5&lt;=B1561,'632'!$M$5&gt;=B1561),"632",IF(AND(L1561="642",'642'!$N$5&lt;=B1561,'642'!$O$5&gt;=B1561),"642",IF(AND(L1561="641",'641'!$N$5&lt;=B1561,'641'!$O$5&gt;=B1561),"641",""))))</f>
        <v/>
      </c>
      <c r="V1561" s="51" t="str">
        <f>IF(OR(TH!L1561=TH!$V$7,M1561=TH!$V$7),"x","")</f>
        <v/>
      </c>
      <c r="W1561" s="51" t="str">
        <f>IF(AND(B1561&gt;='IN-NX'!$P$3,B1561&lt;='IN-NX'!$Q$3,'IN-NX'!$D$7=D1561,OR(LEFT(L1561,2)="15",AND(LEFT(M1561,2)&lt;&gt;"15",LEFT(M1561,2)&lt;&gt;"33"))),"x","")</f>
        <v/>
      </c>
      <c r="X1561" s="51" t="str">
        <f>IF(AND(OR(LEFT(TH!L1561,2)="15",LEFT(TH!M1561,2)="15"),'152-CT'!$J$8=TH!F1561),"x","")</f>
        <v/>
      </c>
      <c r="Y1561" s="51" t="str">
        <f>IF(AND(OR(LEFT(TH!L1561,2)="15",LEFT(TH!M1561,2)="15"),TK!$E$7=TH!F1561),"x","")</f>
        <v/>
      </c>
      <c r="Z1561" s="51" t="str">
        <f>IF(AND(B1561&lt;=NKC!$N$8,B1561&gt;=NKC!$M$8),"x","")</f>
        <v>x</v>
      </c>
      <c r="AA1561" s="803"/>
      <c r="AB1561" s="565"/>
    </row>
    <row r="1562" spans="1:28" ht="15.75" customHeight="1">
      <c r="A1562" s="804" t="str">
        <f>IF(B1562&lt;&gt;"",IF(AND(B1562&gt;=_TM1,B1562&lt;=_TM2,OR(TH!L1562="1111",TH!M1562="1111")),TH!D1562,""),"")</f>
        <v/>
      </c>
      <c r="B1562" s="36">
        <f t="shared" si="104"/>
        <v>9</v>
      </c>
      <c r="C1562" s="189">
        <f t="shared" si="102"/>
        <v>42272</v>
      </c>
      <c r="D1562" s="830" t="s">
        <v>1285</v>
      </c>
      <c r="E1562" s="830">
        <v>42272</v>
      </c>
      <c r="F1562" s="836" t="s">
        <v>624</v>
      </c>
      <c r="G1562" s="832" t="s">
        <v>1048</v>
      </c>
      <c r="H1562" s="833" t="s">
        <v>1259</v>
      </c>
      <c r="I1562" s="241">
        <v>250</v>
      </c>
      <c r="J1562" s="241">
        <v>31155</v>
      </c>
      <c r="K1562" s="834">
        <f t="shared" si="103"/>
        <v>7788750</v>
      </c>
      <c r="L1562" s="835" t="s">
        <v>162</v>
      </c>
      <c r="M1562" s="835" t="s">
        <v>417</v>
      </c>
      <c r="N1562" s="51" t="str">
        <f>IF(AND('331-CT'!$E$7=TH!H1562,OR(L1562="331",M1562="331")),"331",IF(AND(OR(L1562="131",M1562="131"),H1562='131-CT'!$E$7),"131",""))</f>
        <v/>
      </c>
      <c r="O1562" s="51" t="str">
        <f>IF(AND($B1562&gt;='111'!$N$11,$B1562&lt;='111'!$O$11,OR($L1562=$O$7,$M1562=$O$7)),"x","")</f>
        <v/>
      </c>
      <c r="P1562" s="51" t="str">
        <f>IF(AND($L1562=$O$7,$B1562&lt;'111'!$N$11),"x","")</f>
        <v/>
      </c>
      <c r="Q1562" s="51" t="str">
        <f>IF(AND($M1562=$O$7,$B1562&lt;'111'!$N$11),"x","")</f>
        <v/>
      </c>
      <c r="R1562" s="51" t="str">
        <f>IF(ISERROR(FIND('112'!$M$9,G1562,1)),"",IF((AND(FIND('112'!$M$9,G1562,1)&gt;=1,$B1562&gt;='112'!$N$8,$B1562&lt;='112'!$O$8,OR($L1562='112'!$I$6,$M1562='112'!$I$6))),"x",""))</f>
        <v/>
      </c>
      <c r="S1562" s="51" t="str">
        <f>IF(ISERROR(FIND('112'!$M$9,G1562,1)),"",IF((AND(LEFT(G1562,2)=LEFT('112'!$M$9,2),B1562&lt;'112'!$N$8,$L1562='112'!$I$6)),"x",""))</f>
        <v/>
      </c>
      <c r="T1562" s="51" t="str">
        <f>IF(ISERROR(FIND('112'!$M$9,G1562,1)),"",IF((AND(RIGHT(G1562,2)=RIGHT('112'!$M$9,2),B1562&lt;'112'!$N$8,$M1562='112'!$I$6)),"x",""))</f>
        <v/>
      </c>
      <c r="U1562" s="51" t="str">
        <f>IF(AND(L1562="154",'154'!$O$5&lt;=B1562,'154'!$P$5&gt;=B1562),"154",IF(AND(L1562="632",'632'!$L$5&lt;=B1562,'632'!$M$5&gt;=B1562),"632",IF(AND(L1562="642",'642'!$N$5&lt;=B1562,'642'!$O$5&gt;=B1562),"642",IF(AND(L1562="641",'641'!$N$5&lt;=B1562,'641'!$O$5&gt;=B1562),"641",""))))</f>
        <v/>
      </c>
      <c r="V1562" s="51" t="str">
        <f>IF(OR(TH!L1562=TH!$V$7,M1562=TH!$V$7),"x","")</f>
        <v/>
      </c>
      <c r="W1562" s="51" t="str">
        <f>IF(AND(B1562&gt;='IN-NX'!$P$3,B1562&lt;='IN-NX'!$Q$3,'IN-NX'!$D$7=D1562,OR(LEFT(L1562,2)="15",AND(LEFT(M1562,2)&lt;&gt;"15",LEFT(M1562,2)&lt;&gt;"33"))),"x","")</f>
        <v/>
      </c>
      <c r="X1562" s="51" t="str">
        <f>IF(AND(OR(LEFT(TH!L1562,2)="15",LEFT(TH!M1562,2)="15"),'152-CT'!$J$8=TH!F1562),"x","")</f>
        <v/>
      </c>
      <c r="Y1562" s="51" t="str">
        <f>IF(AND(OR(LEFT(TH!L1562,2)="15",LEFT(TH!M1562,2)="15"),TK!$E$7=TH!F1562),"x","")</f>
        <v/>
      </c>
      <c r="Z1562" s="51" t="str">
        <f>IF(AND(B1562&lt;=NKC!$N$8,B1562&gt;=NKC!$M$8),"x","")</f>
        <v>x</v>
      </c>
      <c r="AA1562" s="803"/>
      <c r="AB1562" s="565"/>
    </row>
    <row r="1563" spans="1:28" ht="15.75" customHeight="1">
      <c r="A1563" s="804" t="str">
        <f>IF(B1563&lt;&gt;"",IF(AND(B1563&gt;=_TM1,B1563&lt;=_TM2,OR(TH!L1563="1111",TH!M1563="1111")),TH!D1563,""),"")</f>
        <v/>
      </c>
      <c r="B1563" s="36">
        <f t="shared" si="104"/>
        <v>9</v>
      </c>
      <c r="C1563" s="189">
        <f t="shared" si="102"/>
        <v>42273</v>
      </c>
      <c r="D1563" s="830" t="s">
        <v>1285</v>
      </c>
      <c r="E1563" s="830">
        <v>42273</v>
      </c>
      <c r="F1563" s="836" t="s">
        <v>714</v>
      </c>
      <c r="G1563" s="832" t="s">
        <v>1049</v>
      </c>
      <c r="H1563" s="833" t="s">
        <v>1259</v>
      </c>
      <c r="I1563" s="241">
        <v>100</v>
      </c>
      <c r="J1563" s="241">
        <v>24000</v>
      </c>
      <c r="K1563" s="834">
        <f t="shared" si="103"/>
        <v>2400000</v>
      </c>
      <c r="L1563" s="835" t="s">
        <v>162</v>
      </c>
      <c r="M1563" s="835" t="s">
        <v>417</v>
      </c>
      <c r="N1563" s="51" t="str">
        <f>IF(AND('331-CT'!$E$7=TH!H1563,OR(L1563="331",M1563="331")),"331",IF(AND(OR(L1563="131",M1563="131"),H1563='131-CT'!$E$7),"131",""))</f>
        <v/>
      </c>
      <c r="O1563" s="51" t="str">
        <f>IF(AND($B1563&gt;='111'!$N$11,$B1563&lt;='111'!$O$11,OR($L1563=$O$7,$M1563=$O$7)),"x","")</f>
        <v/>
      </c>
      <c r="P1563" s="51" t="str">
        <f>IF(AND($L1563=$O$7,$B1563&lt;'111'!$N$11),"x","")</f>
        <v/>
      </c>
      <c r="Q1563" s="51" t="str">
        <f>IF(AND($M1563=$O$7,$B1563&lt;'111'!$N$11),"x","")</f>
        <v/>
      </c>
      <c r="R1563" s="51" t="str">
        <f>IF(ISERROR(FIND('112'!$M$9,G1563,1)),"",IF((AND(FIND('112'!$M$9,G1563,1)&gt;=1,$B1563&gt;='112'!$N$8,$B1563&lt;='112'!$O$8,OR($L1563='112'!$I$6,$M1563='112'!$I$6))),"x",""))</f>
        <v/>
      </c>
      <c r="S1563" s="51" t="str">
        <f>IF(ISERROR(FIND('112'!$M$9,G1563,1)),"",IF((AND(LEFT(G1563,2)=LEFT('112'!$M$9,2),B1563&lt;'112'!$N$8,$L1563='112'!$I$6)),"x",""))</f>
        <v/>
      </c>
      <c r="T1563" s="51" t="str">
        <f>IF(ISERROR(FIND('112'!$M$9,G1563,1)),"",IF((AND(RIGHT(G1563,2)=RIGHT('112'!$M$9,2),B1563&lt;'112'!$N$8,$M1563='112'!$I$6)),"x",""))</f>
        <v/>
      </c>
      <c r="U1563" s="51" t="str">
        <f>IF(AND(L1563="154",'154'!$O$5&lt;=B1563,'154'!$P$5&gt;=B1563),"154",IF(AND(L1563="632",'632'!$L$5&lt;=B1563,'632'!$M$5&gt;=B1563),"632",IF(AND(L1563="642",'642'!$N$5&lt;=B1563,'642'!$O$5&gt;=B1563),"642",IF(AND(L1563="641",'641'!$N$5&lt;=B1563,'641'!$O$5&gt;=B1563),"641",""))))</f>
        <v/>
      </c>
      <c r="V1563" s="51" t="str">
        <f>IF(OR(TH!L1563=TH!$V$7,M1563=TH!$V$7),"x","")</f>
        <v/>
      </c>
      <c r="W1563" s="51" t="str">
        <f>IF(AND(B1563&gt;='IN-NX'!$P$3,B1563&lt;='IN-NX'!$Q$3,'IN-NX'!$D$7=D1563,OR(LEFT(L1563,2)="15",AND(LEFT(M1563,2)&lt;&gt;"15",LEFT(M1563,2)&lt;&gt;"33"))),"x","")</f>
        <v/>
      </c>
      <c r="X1563" s="51" t="str">
        <f>IF(AND(OR(LEFT(TH!L1563,2)="15",LEFT(TH!M1563,2)="15"),'152-CT'!$J$8=TH!F1563),"x","")</f>
        <v/>
      </c>
      <c r="Y1563" s="51" t="str">
        <f>IF(AND(OR(LEFT(TH!L1563,2)="15",LEFT(TH!M1563,2)="15"),TK!$E$7=TH!F1563),"x","")</f>
        <v/>
      </c>
      <c r="Z1563" s="51" t="str">
        <f>IF(AND(B1563&lt;=NKC!$N$8,B1563&gt;=NKC!$M$8),"x","")</f>
        <v>x</v>
      </c>
      <c r="AA1563" s="803"/>
      <c r="AB1563" s="565"/>
    </row>
    <row r="1564" spans="1:28" ht="15.75" customHeight="1">
      <c r="A1564" s="804" t="str">
        <f>IF(B1564&lt;&gt;"",IF(AND(B1564&gt;=_TM1,B1564&lt;=_TM2,OR(TH!L1564="1111",TH!M1564="1111")),TH!D1564,""),"")</f>
        <v/>
      </c>
      <c r="B1564" s="36">
        <f t="shared" si="104"/>
        <v>9</v>
      </c>
      <c r="C1564" s="189">
        <f t="shared" si="102"/>
        <v>42273</v>
      </c>
      <c r="D1564" s="830" t="s">
        <v>1285</v>
      </c>
      <c r="E1564" s="830">
        <v>42273</v>
      </c>
      <c r="F1564" s="836" t="s">
        <v>715</v>
      </c>
      <c r="G1564" s="832" t="s">
        <v>1049</v>
      </c>
      <c r="H1564" s="833" t="s">
        <v>1259</v>
      </c>
      <c r="I1564" s="241">
        <v>280</v>
      </c>
      <c r="J1564" s="241">
        <v>20544</v>
      </c>
      <c r="K1564" s="834">
        <f t="shared" si="103"/>
        <v>5752320</v>
      </c>
      <c r="L1564" s="835" t="s">
        <v>162</v>
      </c>
      <c r="M1564" s="835" t="s">
        <v>417</v>
      </c>
      <c r="N1564" s="51" t="str">
        <f>IF(AND('331-CT'!$E$7=TH!H1564,OR(L1564="331",M1564="331")),"331",IF(AND(OR(L1564="131",M1564="131"),H1564='131-CT'!$E$7),"131",""))</f>
        <v/>
      </c>
      <c r="O1564" s="51" t="str">
        <f>IF(AND($B1564&gt;='111'!$N$11,$B1564&lt;='111'!$O$11,OR($L1564=$O$7,$M1564=$O$7)),"x","")</f>
        <v/>
      </c>
      <c r="P1564" s="51" t="str">
        <f>IF(AND($L1564=$O$7,$B1564&lt;'111'!$N$11),"x","")</f>
        <v/>
      </c>
      <c r="Q1564" s="51" t="str">
        <f>IF(AND($M1564=$O$7,$B1564&lt;'111'!$N$11),"x","")</f>
        <v/>
      </c>
      <c r="R1564" s="51" t="str">
        <f>IF(ISERROR(FIND('112'!$M$9,G1564,1)),"",IF((AND(FIND('112'!$M$9,G1564,1)&gt;=1,$B1564&gt;='112'!$N$8,$B1564&lt;='112'!$O$8,OR($L1564='112'!$I$6,$M1564='112'!$I$6))),"x",""))</f>
        <v/>
      </c>
      <c r="S1564" s="51" t="str">
        <f>IF(ISERROR(FIND('112'!$M$9,G1564,1)),"",IF((AND(LEFT(G1564,2)=LEFT('112'!$M$9,2),B1564&lt;'112'!$N$8,$L1564='112'!$I$6)),"x",""))</f>
        <v/>
      </c>
      <c r="T1564" s="51" t="str">
        <f>IF(ISERROR(FIND('112'!$M$9,G1564,1)),"",IF((AND(RIGHT(G1564,2)=RIGHT('112'!$M$9,2),B1564&lt;'112'!$N$8,$M1564='112'!$I$6)),"x",""))</f>
        <v/>
      </c>
      <c r="U1564" s="51" t="str">
        <f>IF(AND(L1564="154",'154'!$O$5&lt;=B1564,'154'!$P$5&gt;=B1564),"154",IF(AND(L1564="632",'632'!$L$5&lt;=B1564,'632'!$M$5&gt;=B1564),"632",IF(AND(L1564="642",'642'!$N$5&lt;=B1564,'642'!$O$5&gt;=B1564),"642",IF(AND(L1564="641",'641'!$N$5&lt;=B1564,'641'!$O$5&gt;=B1564),"641",""))))</f>
        <v/>
      </c>
      <c r="V1564" s="51" t="str">
        <f>IF(OR(TH!L1564=TH!$V$7,M1564=TH!$V$7),"x","")</f>
        <v/>
      </c>
      <c r="W1564" s="51" t="str">
        <f>IF(AND(B1564&gt;='IN-NX'!$P$3,B1564&lt;='IN-NX'!$Q$3,'IN-NX'!$D$7=D1564,OR(LEFT(L1564,2)="15",AND(LEFT(M1564,2)&lt;&gt;"15",LEFT(M1564,2)&lt;&gt;"33"))),"x","")</f>
        <v/>
      </c>
      <c r="X1564" s="51" t="str">
        <f>IF(AND(OR(LEFT(TH!L1564,2)="15",LEFT(TH!M1564,2)="15"),'152-CT'!$J$8=TH!F1564),"x","")</f>
        <v/>
      </c>
      <c r="Y1564" s="51" t="str">
        <f>IF(AND(OR(LEFT(TH!L1564,2)="15",LEFT(TH!M1564,2)="15"),TK!$E$7=TH!F1564),"x","")</f>
        <v/>
      </c>
      <c r="Z1564" s="51" t="str">
        <f>IF(AND(B1564&lt;=NKC!$N$8,B1564&gt;=NKC!$M$8),"x","")</f>
        <v>x</v>
      </c>
      <c r="AA1564" s="803"/>
      <c r="AB1564" s="565"/>
    </row>
    <row r="1565" spans="1:28" ht="15.75" customHeight="1">
      <c r="A1565" s="804" t="str">
        <f>IF(B1565&lt;&gt;"",IF(AND(B1565&gt;=_TM1,B1565&lt;=_TM2,OR(TH!L1565="1111",TH!M1565="1111")),TH!D1565,""),"")</f>
        <v/>
      </c>
      <c r="B1565" s="36">
        <f t="shared" si="104"/>
        <v>9</v>
      </c>
      <c r="C1565" s="189">
        <f t="shared" si="102"/>
        <v>42274</v>
      </c>
      <c r="D1565" s="830" t="s">
        <v>1285</v>
      </c>
      <c r="E1565" s="830">
        <v>42274</v>
      </c>
      <c r="F1565" s="836" t="s">
        <v>716</v>
      </c>
      <c r="G1565" s="832" t="s">
        <v>1050</v>
      </c>
      <c r="H1565" s="833" t="s">
        <v>1259</v>
      </c>
      <c r="I1565" s="241">
        <v>225</v>
      </c>
      <c r="J1565" s="241">
        <v>15148</v>
      </c>
      <c r="K1565" s="834">
        <f t="shared" si="103"/>
        <v>3408300</v>
      </c>
      <c r="L1565" s="835" t="s">
        <v>162</v>
      </c>
      <c r="M1565" s="835" t="s">
        <v>417</v>
      </c>
      <c r="N1565" s="51" t="str">
        <f>IF(AND('331-CT'!$E$7=TH!H1565,OR(L1565="331",M1565="331")),"331",IF(AND(OR(L1565="131",M1565="131"),H1565='131-CT'!$E$7),"131",""))</f>
        <v/>
      </c>
      <c r="O1565" s="51" t="str">
        <f>IF(AND($B1565&gt;='111'!$N$11,$B1565&lt;='111'!$O$11,OR($L1565=$O$7,$M1565=$O$7)),"x","")</f>
        <v/>
      </c>
      <c r="P1565" s="51" t="str">
        <f>IF(AND($L1565=$O$7,$B1565&lt;'111'!$N$11),"x","")</f>
        <v/>
      </c>
      <c r="Q1565" s="51" t="str">
        <f>IF(AND($M1565=$O$7,$B1565&lt;'111'!$N$11),"x","")</f>
        <v/>
      </c>
      <c r="R1565" s="51" t="str">
        <f>IF(ISERROR(FIND('112'!$M$9,G1565,1)),"",IF((AND(FIND('112'!$M$9,G1565,1)&gt;=1,$B1565&gt;='112'!$N$8,$B1565&lt;='112'!$O$8,OR($L1565='112'!$I$6,$M1565='112'!$I$6))),"x",""))</f>
        <v/>
      </c>
      <c r="S1565" s="51" t="str">
        <f>IF(ISERROR(FIND('112'!$M$9,G1565,1)),"",IF((AND(LEFT(G1565,2)=LEFT('112'!$M$9,2),B1565&lt;'112'!$N$8,$L1565='112'!$I$6)),"x",""))</f>
        <v/>
      </c>
      <c r="T1565" s="51" t="str">
        <f>IF(ISERROR(FIND('112'!$M$9,G1565,1)),"",IF((AND(RIGHT(G1565,2)=RIGHT('112'!$M$9,2),B1565&lt;'112'!$N$8,$M1565='112'!$I$6)),"x",""))</f>
        <v/>
      </c>
      <c r="U1565" s="51" t="str">
        <f>IF(AND(L1565="154",'154'!$O$5&lt;=B1565,'154'!$P$5&gt;=B1565),"154",IF(AND(L1565="632",'632'!$L$5&lt;=B1565,'632'!$M$5&gt;=B1565),"632",IF(AND(L1565="642",'642'!$N$5&lt;=B1565,'642'!$O$5&gt;=B1565),"642",IF(AND(L1565="641",'641'!$N$5&lt;=B1565,'641'!$O$5&gt;=B1565),"641",""))))</f>
        <v/>
      </c>
      <c r="V1565" s="51" t="str">
        <f>IF(OR(TH!L1565=TH!$V$7,M1565=TH!$V$7),"x","")</f>
        <v/>
      </c>
      <c r="W1565" s="51" t="str">
        <f>IF(AND(B1565&gt;='IN-NX'!$P$3,B1565&lt;='IN-NX'!$Q$3,'IN-NX'!$D$7=D1565,OR(LEFT(L1565,2)="15",AND(LEFT(M1565,2)&lt;&gt;"15",LEFT(M1565,2)&lt;&gt;"33"))),"x","")</f>
        <v/>
      </c>
      <c r="X1565" s="51" t="str">
        <f>IF(AND(OR(LEFT(TH!L1565,2)="15",LEFT(TH!M1565,2)="15"),'152-CT'!$J$8=TH!F1565),"x","")</f>
        <v/>
      </c>
      <c r="Y1565" s="51" t="str">
        <f>IF(AND(OR(LEFT(TH!L1565,2)="15",LEFT(TH!M1565,2)="15"),TK!$E$7=TH!F1565),"x","")</f>
        <v/>
      </c>
      <c r="Z1565" s="51" t="str">
        <f>IF(AND(B1565&lt;=NKC!$N$8,B1565&gt;=NKC!$M$8),"x","")</f>
        <v>x</v>
      </c>
      <c r="AA1565" s="803"/>
      <c r="AB1565" s="565"/>
    </row>
    <row r="1566" spans="1:28" ht="15.75" customHeight="1">
      <c r="A1566" s="804" t="str">
        <f>IF(B1566&lt;&gt;"",IF(AND(B1566&gt;=_TM1,B1566&lt;=_TM2,OR(TH!L1566="1111",TH!M1566="1111")),TH!D1566,""),"")</f>
        <v/>
      </c>
      <c r="B1566" s="36">
        <f t="shared" si="104"/>
        <v>9</v>
      </c>
      <c r="C1566" s="189">
        <f t="shared" si="102"/>
        <v>42275</v>
      </c>
      <c r="D1566" s="830" t="s">
        <v>1285</v>
      </c>
      <c r="E1566" s="830">
        <v>42275</v>
      </c>
      <c r="F1566" s="836" t="s">
        <v>621</v>
      </c>
      <c r="G1566" s="832" t="s">
        <v>1052</v>
      </c>
      <c r="H1566" s="833" t="s">
        <v>1259</v>
      </c>
      <c r="I1566" s="241">
        <v>700</v>
      </c>
      <c r="J1566" s="241">
        <v>15675</v>
      </c>
      <c r="K1566" s="834">
        <f t="shared" si="103"/>
        <v>10972500</v>
      </c>
      <c r="L1566" s="835" t="s">
        <v>162</v>
      </c>
      <c r="M1566" s="835" t="s">
        <v>417</v>
      </c>
      <c r="N1566" s="51" t="str">
        <f>IF(AND('331-CT'!$E$7=TH!H1566,OR(L1566="331",M1566="331")),"331",IF(AND(OR(L1566="131",M1566="131"),H1566='131-CT'!$E$7),"131",""))</f>
        <v/>
      </c>
      <c r="O1566" s="51" t="str">
        <f>IF(AND($B1566&gt;='111'!$N$11,$B1566&lt;='111'!$O$11,OR($L1566=$O$7,$M1566=$O$7)),"x","")</f>
        <v/>
      </c>
      <c r="P1566" s="51" t="str">
        <f>IF(AND($L1566=$O$7,$B1566&lt;'111'!$N$11),"x","")</f>
        <v/>
      </c>
      <c r="Q1566" s="51" t="str">
        <f>IF(AND($M1566=$O$7,$B1566&lt;'111'!$N$11),"x","")</f>
        <v/>
      </c>
      <c r="R1566" s="51" t="str">
        <f>IF(ISERROR(FIND('112'!$M$9,G1566,1)),"",IF((AND(FIND('112'!$M$9,G1566,1)&gt;=1,$B1566&gt;='112'!$N$8,$B1566&lt;='112'!$O$8,OR($L1566='112'!$I$6,$M1566='112'!$I$6))),"x",""))</f>
        <v/>
      </c>
      <c r="S1566" s="51" t="str">
        <f>IF(ISERROR(FIND('112'!$M$9,G1566,1)),"",IF((AND(LEFT(G1566,2)=LEFT('112'!$M$9,2),B1566&lt;'112'!$N$8,$L1566='112'!$I$6)),"x",""))</f>
        <v/>
      </c>
      <c r="T1566" s="51" t="str">
        <f>IF(ISERROR(FIND('112'!$M$9,G1566,1)),"",IF((AND(RIGHT(G1566,2)=RIGHT('112'!$M$9,2),B1566&lt;'112'!$N$8,$M1566='112'!$I$6)),"x",""))</f>
        <v/>
      </c>
      <c r="U1566" s="51" t="str">
        <f>IF(AND(L1566="154",'154'!$O$5&lt;=B1566,'154'!$P$5&gt;=B1566),"154",IF(AND(L1566="632",'632'!$L$5&lt;=B1566,'632'!$M$5&gt;=B1566),"632",IF(AND(L1566="642",'642'!$N$5&lt;=B1566,'642'!$O$5&gt;=B1566),"642",IF(AND(L1566="641",'641'!$N$5&lt;=B1566,'641'!$O$5&gt;=B1566),"641",""))))</f>
        <v/>
      </c>
      <c r="V1566" s="51" t="str">
        <f>IF(OR(TH!L1566=TH!$V$7,M1566=TH!$V$7),"x","")</f>
        <v/>
      </c>
      <c r="W1566" s="51" t="str">
        <f>IF(AND(B1566&gt;='IN-NX'!$P$3,B1566&lt;='IN-NX'!$Q$3,'IN-NX'!$D$7=D1566,OR(LEFT(L1566,2)="15",AND(LEFT(M1566,2)&lt;&gt;"15",LEFT(M1566,2)&lt;&gt;"33"))),"x","")</f>
        <v/>
      </c>
      <c r="X1566" s="51" t="str">
        <f>IF(AND(OR(LEFT(TH!L1566,2)="15",LEFT(TH!M1566,2)="15"),'152-CT'!$J$8=TH!F1566),"x","")</f>
        <v/>
      </c>
      <c r="Y1566" s="51" t="str">
        <f>IF(AND(OR(LEFT(TH!L1566,2)="15",LEFT(TH!M1566,2)="15"),TK!$E$7=TH!F1566),"x","")</f>
        <v/>
      </c>
      <c r="Z1566" s="51" t="str">
        <f>IF(AND(B1566&lt;=NKC!$N$8,B1566&gt;=NKC!$M$8),"x","")</f>
        <v>x</v>
      </c>
      <c r="AA1566" s="803"/>
      <c r="AB1566" s="565"/>
    </row>
    <row r="1567" spans="1:28" ht="15.75" customHeight="1">
      <c r="A1567" s="804" t="str">
        <f>IF(B1567&lt;&gt;"",IF(AND(B1567&gt;=_TM1,B1567&lt;=_TM2,OR(TH!L1567="1111",TH!M1567="1111")),TH!D1567,""),"")</f>
        <v/>
      </c>
      <c r="B1567" s="36">
        <f t="shared" si="104"/>
        <v>9</v>
      </c>
      <c r="C1567" s="189">
        <f t="shared" si="102"/>
        <v>42276</v>
      </c>
      <c r="D1567" s="830" t="s">
        <v>1285</v>
      </c>
      <c r="E1567" s="830">
        <v>42276</v>
      </c>
      <c r="F1567" s="836" t="s">
        <v>717</v>
      </c>
      <c r="G1567" s="832" t="s">
        <v>924</v>
      </c>
      <c r="H1567" s="833" t="s">
        <v>1259</v>
      </c>
      <c r="I1567" s="241">
        <v>30</v>
      </c>
      <c r="J1567" s="241">
        <v>52550</v>
      </c>
      <c r="K1567" s="834">
        <f t="shared" si="103"/>
        <v>1576500</v>
      </c>
      <c r="L1567" s="835" t="s">
        <v>162</v>
      </c>
      <c r="M1567" s="835" t="s">
        <v>417</v>
      </c>
      <c r="N1567" s="51" t="str">
        <f>IF(AND('331-CT'!$E$7=TH!H1567,OR(L1567="331",M1567="331")),"331",IF(AND(OR(L1567="131",M1567="131"),H1567='131-CT'!$E$7),"131",""))</f>
        <v/>
      </c>
      <c r="O1567" s="51" t="str">
        <f>IF(AND($B1567&gt;='111'!$N$11,$B1567&lt;='111'!$O$11,OR($L1567=$O$7,$M1567=$O$7)),"x","")</f>
        <v/>
      </c>
      <c r="P1567" s="51" t="str">
        <f>IF(AND($L1567=$O$7,$B1567&lt;'111'!$N$11),"x","")</f>
        <v/>
      </c>
      <c r="Q1567" s="51" t="str">
        <f>IF(AND($M1567=$O$7,$B1567&lt;'111'!$N$11),"x","")</f>
        <v/>
      </c>
      <c r="R1567" s="51" t="str">
        <f>IF(ISERROR(FIND('112'!$M$9,G1567,1)),"",IF((AND(FIND('112'!$M$9,G1567,1)&gt;=1,$B1567&gt;='112'!$N$8,$B1567&lt;='112'!$O$8,OR($L1567='112'!$I$6,$M1567='112'!$I$6))),"x",""))</f>
        <v/>
      </c>
      <c r="S1567" s="51" t="str">
        <f>IF(ISERROR(FIND('112'!$M$9,G1567,1)),"",IF((AND(LEFT(G1567,2)=LEFT('112'!$M$9,2),B1567&lt;'112'!$N$8,$L1567='112'!$I$6)),"x",""))</f>
        <v/>
      </c>
      <c r="T1567" s="51" t="str">
        <f>IF(ISERROR(FIND('112'!$M$9,G1567,1)),"",IF((AND(RIGHT(G1567,2)=RIGHT('112'!$M$9,2),B1567&lt;'112'!$N$8,$M1567='112'!$I$6)),"x",""))</f>
        <v/>
      </c>
      <c r="U1567" s="51" t="str">
        <f>IF(AND(L1567="154",'154'!$O$5&lt;=B1567,'154'!$P$5&gt;=B1567),"154",IF(AND(L1567="632",'632'!$L$5&lt;=B1567,'632'!$M$5&gt;=B1567),"632",IF(AND(L1567="642",'642'!$N$5&lt;=B1567,'642'!$O$5&gt;=B1567),"642",IF(AND(L1567="641",'641'!$N$5&lt;=B1567,'641'!$O$5&gt;=B1567),"641",""))))</f>
        <v/>
      </c>
      <c r="V1567" s="51" t="str">
        <f>IF(OR(TH!L1567=TH!$V$7,M1567=TH!$V$7),"x","")</f>
        <v/>
      </c>
      <c r="W1567" s="51" t="str">
        <f>IF(AND(B1567&gt;='IN-NX'!$P$3,B1567&lt;='IN-NX'!$Q$3,'IN-NX'!$D$7=D1567,OR(LEFT(L1567,2)="15",AND(LEFT(M1567,2)&lt;&gt;"15",LEFT(M1567,2)&lt;&gt;"33"))),"x","")</f>
        <v/>
      </c>
      <c r="X1567" s="51" t="str">
        <f>IF(AND(OR(LEFT(TH!L1567,2)="15",LEFT(TH!M1567,2)="15"),'152-CT'!$J$8=TH!F1567),"x","")</f>
        <v/>
      </c>
      <c r="Y1567" s="51" t="str">
        <f>IF(AND(OR(LEFT(TH!L1567,2)="15",LEFT(TH!M1567,2)="15"),TK!$E$7=TH!F1567),"x","")</f>
        <v/>
      </c>
      <c r="Z1567" s="51" t="str">
        <f>IF(AND(B1567&lt;=NKC!$N$8,B1567&gt;=NKC!$M$8),"x","")</f>
        <v>x</v>
      </c>
      <c r="AA1567" s="803"/>
      <c r="AB1567" s="565"/>
    </row>
    <row r="1568" spans="1:28" ht="15.75" customHeight="1">
      <c r="A1568" s="804" t="str">
        <f>IF(B1568&lt;&gt;"",IF(AND(B1568&gt;=_TM1,B1568&lt;=_TM2,OR(TH!L1568="1111",TH!M1568="1111")),TH!D1568,""),"")</f>
        <v/>
      </c>
      <c r="B1568" s="36">
        <f t="shared" si="104"/>
        <v>9</v>
      </c>
      <c r="C1568" s="189">
        <f t="shared" si="102"/>
        <v>42276</v>
      </c>
      <c r="D1568" s="830" t="s">
        <v>1285</v>
      </c>
      <c r="E1568" s="830">
        <v>42276</v>
      </c>
      <c r="F1568" s="836" t="s">
        <v>718</v>
      </c>
      <c r="G1568" s="832" t="s">
        <v>924</v>
      </c>
      <c r="H1568" s="833" t="s">
        <v>1259</v>
      </c>
      <c r="I1568" s="241">
        <v>33</v>
      </c>
      <c r="J1568" s="241">
        <v>28671</v>
      </c>
      <c r="K1568" s="834">
        <f t="shared" si="103"/>
        <v>946143</v>
      </c>
      <c r="L1568" s="835" t="s">
        <v>162</v>
      </c>
      <c r="M1568" s="835" t="s">
        <v>417</v>
      </c>
      <c r="N1568" s="51" t="str">
        <f>IF(AND('331-CT'!$E$7=TH!H1568,OR(L1568="331",M1568="331")),"331",IF(AND(OR(L1568="131",M1568="131"),H1568='131-CT'!$E$7),"131",""))</f>
        <v/>
      </c>
      <c r="O1568" s="51" t="str">
        <f>IF(AND($B1568&gt;='111'!$N$11,$B1568&lt;='111'!$O$11,OR($L1568=$O$7,$M1568=$O$7)),"x","")</f>
        <v/>
      </c>
      <c r="P1568" s="51" t="str">
        <f>IF(AND($L1568=$O$7,$B1568&lt;'111'!$N$11),"x","")</f>
        <v/>
      </c>
      <c r="Q1568" s="51" t="str">
        <f>IF(AND($M1568=$O$7,$B1568&lt;'111'!$N$11),"x","")</f>
        <v/>
      </c>
      <c r="R1568" s="51" t="str">
        <f>IF(ISERROR(FIND('112'!$M$9,G1568,1)),"",IF((AND(FIND('112'!$M$9,G1568,1)&gt;=1,$B1568&gt;='112'!$N$8,$B1568&lt;='112'!$O$8,OR($L1568='112'!$I$6,$M1568='112'!$I$6))),"x",""))</f>
        <v/>
      </c>
      <c r="S1568" s="51" t="str">
        <f>IF(ISERROR(FIND('112'!$M$9,G1568,1)),"",IF((AND(LEFT(G1568,2)=LEFT('112'!$M$9,2),B1568&lt;'112'!$N$8,$L1568='112'!$I$6)),"x",""))</f>
        <v/>
      </c>
      <c r="T1568" s="51" t="str">
        <f>IF(ISERROR(FIND('112'!$M$9,G1568,1)),"",IF((AND(RIGHT(G1568,2)=RIGHT('112'!$M$9,2),B1568&lt;'112'!$N$8,$M1568='112'!$I$6)),"x",""))</f>
        <v/>
      </c>
      <c r="U1568" s="51" t="str">
        <f>IF(AND(L1568="154",'154'!$O$5&lt;=B1568,'154'!$P$5&gt;=B1568),"154",IF(AND(L1568="632",'632'!$L$5&lt;=B1568,'632'!$M$5&gt;=B1568),"632",IF(AND(L1568="642",'642'!$N$5&lt;=B1568,'642'!$O$5&gt;=B1568),"642",IF(AND(L1568="641",'641'!$N$5&lt;=B1568,'641'!$O$5&gt;=B1568),"641",""))))</f>
        <v/>
      </c>
      <c r="V1568" s="51" t="str">
        <f>IF(OR(TH!L1568=TH!$V$7,M1568=TH!$V$7),"x","")</f>
        <v/>
      </c>
      <c r="W1568" s="51" t="str">
        <f>IF(AND(B1568&gt;='IN-NX'!$P$3,B1568&lt;='IN-NX'!$Q$3,'IN-NX'!$D$7=D1568,OR(LEFT(L1568,2)="15",AND(LEFT(M1568,2)&lt;&gt;"15",LEFT(M1568,2)&lt;&gt;"33"))),"x","")</f>
        <v/>
      </c>
      <c r="X1568" s="51" t="str">
        <f>IF(AND(OR(LEFT(TH!L1568,2)="15",LEFT(TH!M1568,2)="15"),'152-CT'!$J$8=TH!F1568),"x","")</f>
        <v/>
      </c>
      <c r="Y1568" s="51" t="str">
        <f>IF(AND(OR(LEFT(TH!L1568,2)="15",LEFT(TH!M1568,2)="15"),TK!$E$7=TH!F1568),"x","")</f>
        <v/>
      </c>
      <c r="Z1568" s="51" t="str">
        <f>IF(AND(B1568&lt;=NKC!$N$8,B1568&gt;=NKC!$M$8),"x","")</f>
        <v>x</v>
      </c>
      <c r="AA1568" s="803"/>
      <c r="AB1568" s="565"/>
    </row>
    <row r="1569" spans="1:28" ht="15.75" customHeight="1">
      <c r="A1569" s="804" t="str">
        <f>IF(B1569&lt;&gt;"",IF(AND(B1569&gt;=_TM1,B1569&lt;=_TM2,OR(TH!L1569="1111",TH!M1569="1111")),TH!D1569,""),"")</f>
        <v/>
      </c>
      <c r="B1569" s="36">
        <f t="shared" si="104"/>
        <v>9</v>
      </c>
      <c r="C1569" s="189">
        <f t="shared" si="102"/>
        <v>42276</v>
      </c>
      <c r="D1569" s="830" t="s">
        <v>1285</v>
      </c>
      <c r="E1569" s="830">
        <v>42276</v>
      </c>
      <c r="F1569" s="836" t="s">
        <v>719</v>
      </c>
      <c r="G1569" s="832" t="s">
        <v>924</v>
      </c>
      <c r="H1569" s="833" t="s">
        <v>1259</v>
      </c>
      <c r="I1569" s="241">
        <v>33</v>
      </c>
      <c r="J1569" s="241">
        <v>37036</v>
      </c>
      <c r="K1569" s="834">
        <f t="shared" si="103"/>
        <v>1222188</v>
      </c>
      <c r="L1569" s="835" t="s">
        <v>162</v>
      </c>
      <c r="M1569" s="835" t="s">
        <v>417</v>
      </c>
      <c r="N1569" s="51" t="str">
        <f>IF(AND('331-CT'!$E$7=TH!H1569,OR(L1569="331",M1569="331")),"331",IF(AND(OR(L1569="131",M1569="131"),H1569='131-CT'!$E$7),"131",""))</f>
        <v/>
      </c>
      <c r="O1569" s="51" t="str">
        <f>IF(AND($B1569&gt;='111'!$N$11,$B1569&lt;='111'!$O$11,OR($L1569=$O$7,$M1569=$O$7)),"x","")</f>
        <v/>
      </c>
      <c r="P1569" s="51" t="str">
        <f>IF(AND($L1569=$O$7,$B1569&lt;'111'!$N$11),"x","")</f>
        <v/>
      </c>
      <c r="Q1569" s="51" t="str">
        <f>IF(AND($M1569=$O$7,$B1569&lt;'111'!$N$11),"x","")</f>
        <v/>
      </c>
      <c r="R1569" s="51" t="str">
        <f>IF(ISERROR(FIND('112'!$M$9,G1569,1)),"",IF((AND(FIND('112'!$M$9,G1569,1)&gt;=1,$B1569&gt;='112'!$N$8,$B1569&lt;='112'!$O$8,OR($L1569='112'!$I$6,$M1569='112'!$I$6))),"x",""))</f>
        <v/>
      </c>
      <c r="S1569" s="51" t="str">
        <f>IF(ISERROR(FIND('112'!$M$9,G1569,1)),"",IF((AND(LEFT(G1569,2)=LEFT('112'!$M$9,2),B1569&lt;'112'!$N$8,$L1569='112'!$I$6)),"x",""))</f>
        <v/>
      </c>
      <c r="T1569" s="51" t="str">
        <f>IF(ISERROR(FIND('112'!$M$9,G1569,1)),"",IF((AND(RIGHT(G1569,2)=RIGHT('112'!$M$9,2),B1569&lt;'112'!$N$8,$M1569='112'!$I$6)),"x",""))</f>
        <v/>
      </c>
      <c r="U1569" s="51" t="str">
        <f>IF(AND(L1569="154",'154'!$O$5&lt;=B1569,'154'!$P$5&gt;=B1569),"154",IF(AND(L1569="632",'632'!$L$5&lt;=B1569,'632'!$M$5&gt;=B1569),"632",IF(AND(L1569="642",'642'!$N$5&lt;=B1569,'642'!$O$5&gt;=B1569),"642",IF(AND(L1569="641",'641'!$N$5&lt;=B1569,'641'!$O$5&gt;=B1569),"641",""))))</f>
        <v/>
      </c>
      <c r="V1569" s="51" t="str">
        <f>IF(OR(TH!L1569=TH!$V$7,M1569=TH!$V$7),"x","")</f>
        <v/>
      </c>
      <c r="W1569" s="51" t="str">
        <f>IF(AND(B1569&gt;='IN-NX'!$P$3,B1569&lt;='IN-NX'!$Q$3,'IN-NX'!$D$7=D1569,OR(LEFT(L1569,2)="15",AND(LEFT(M1569,2)&lt;&gt;"15",LEFT(M1569,2)&lt;&gt;"33"))),"x","")</f>
        <v/>
      </c>
      <c r="X1569" s="51" t="str">
        <f>IF(AND(OR(LEFT(TH!L1569,2)="15",LEFT(TH!M1569,2)="15"),'152-CT'!$J$8=TH!F1569),"x","")</f>
        <v/>
      </c>
      <c r="Y1569" s="51" t="str">
        <f>IF(AND(OR(LEFT(TH!L1569,2)="15",LEFT(TH!M1569,2)="15"),TK!$E$7=TH!F1569),"x","")</f>
        <v/>
      </c>
      <c r="Z1569" s="51" t="str">
        <f>IF(AND(B1569&lt;=NKC!$N$8,B1569&gt;=NKC!$M$8),"x","")</f>
        <v>x</v>
      </c>
      <c r="AA1569" s="803"/>
      <c r="AB1569" s="565"/>
    </row>
    <row r="1570" spans="1:28" ht="15.75" customHeight="1">
      <c r="A1570" s="804" t="str">
        <f>IF(B1570&lt;&gt;"",IF(AND(B1570&gt;=_TM1,B1570&lt;=_TM2,OR(TH!L1570="1111",TH!M1570="1111")),TH!D1570,""),"")</f>
        <v/>
      </c>
      <c r="B1570" s="36">
        <f t="shared" si="104"/>
        <v>9</v>
      </c>
      <c r="C1570" s="189">
        <f t="shared" si="102"/>
        <v>42276</v>
      </c>
      <c r="D1570" s="830" t="s">
        <v>1285</v>
      </c>
      <c r="E1570" s="830">
        <v>42276</v>
      </c>
      <c r="F1570" s="836" t="s">
        <v>720</v>
      </c>
      <c r="G1570" s="832" t="s">
        <v>924</v>
      </c>
      <c r="H1570" s="833" t="s">
        <v>1259</v>
      </c>
      <c r="I1570" s="241">
        <v>33</v>
      </c>
      <c r="J1570" s="241">
        <v>39953</v>
      </c>
      <c r="K1570" s="834">
        <f t="shared" si="103"/>
        <v>1318449</v>
      </c>
      <c r="L1570" s="835" t="s">
        <v>162</v>
      </c>
      <c r="M1570" s="835" t="s">
        <v>417</v>
      </c>
      <c r="N1570" s="51" t="str">
        <f>IF(AND('331-CT'!$E$7=TH!H1570,OR(L1570="331",M1570="331")),"331",IF(AND(OR(L1570="131",M1570="131"),H1570='131-CT'!$E$7),"131",""))</f>
        <v/>
      </c>
      <c r="O1570" s="51" t="str">
        <f>IF(AND($B1570&gt;='111'!$N$11,$B1570&lt;='111'!$O$11,OR($L1570=$O$7,$M1570=$O$7)),"x","")</f>
        <v/>
      </c>
      <c r="P1570" s="51" t="str">
        <f>IF(AND($L1570=$O$7,$B1570&lt;'111'!$N$11),"x","")</f>
        <v/>
      </c>
      <c r="Q1570" s="51" t="str">
        <f>IF(AND($M1570=$O$7,$B1570&lt;'111'!$N$11),"x","")</f>
        <v/>
      </c>
      <c r="R1570" s="51" t="str">
        <f>IF(ISERROR(FIND('112'!$M$9,G1570,1)),"",IF((AND(FIND('112'!$M$9,G1570,1)&gt;=1,$B1570&gt;='112'!$N$8,$B1570&lt;='112'!$O$8,OR($L1570='112'!$I$6,$M1570='112'!$I$6))),"x",""))</f>
        <v/>
      </c>
      <c r="S1570" s="51" t="str">
        <f>IF(ISERROR(FIND('112'!$M$9,G1570,1)),"",IF((AND(LEFT(G1570,2)=LEFT('112'!$M$9,2),B1570&lt;'112'!$N$8,$L1570='112'!$I$6)),"x",""))</f>
        <v/>
      </c>
      <c r="T1570" s="51" t="str">
        <f>IF(ISERROR(FIND('112'!$M$9,G1570,1)),"",IF((AND(RIGHT(G1570,2)=RIGHT('112'!$M$9,2),B1570&lt;'112'!$N$8,$M1570='112'!$I$6)),"x",""))</f>
        <v/>
      </c>
      <c r="U1570" s="51" t="str">
        <f>IF(AND(L1570="154",'154'!$O$5&lt;=B1570,'154'!$P$5&gt;=B1570),"154",IF(AND(L1570="632",'632'!$L$5&lt;=B1570,'632'!$M$5&gt;=B1570),"632",IF(AND(L1570="642",'642'!$N$5&lt;=B1570,'642'!$O$5&gt;=B1570),"642",IF(AND(L1570="641",'641'!$N$5&lt;=B1570,'641'!$O$5&gt;=B1570),"641",""))))</f>
        <v/>
      </c>
      <c r="V1570" s="51" t="str">
        <f>IF(OR(TH!L1570=TH!$V$7,M1570=TH!$V$7),"x","")</f>
        <v/>
      </c>
      <c r="W1570" s="51" t="str">
        <f>IF(AND(B1570&gt;='IN-NX'!$P$3,B1570&lt;='IN-NX'!$Q$3,'IN-NX'!$D$7=D1570,OR(LEFT(L1570,2)="15",AND(LEFT(M1570,2)&lt;&gt;"15",LEFT(M1570,2)&lt;&gt;"33"))),"x","")</f>
        <v/>
      </c>
      <c r="X1570" s="51" t="str">
        <f>IF(AND(OR(LEFT(TH!L1570,2)="15",LEFT(TH!M1570,2)="15"),'152-CT'!$J$8=TH!F1570),"x","")</f>
        <v/>
      </c>
      <c r="Y1570" s="51" t="str">
        <f>IF(AND(OR(LEFT(TH!L1570,2)="15",LEFT(TH!M1570,2)="15"),TK!$E$7=TH!F1570),"x","")</f>
        <v/>
      </c>
      <c r="Z1570" s="51" t="str">
        <f>IF(AND(B1570&lt;=NKC!$N$8,B1570&gt;=NKC!$M$8),"x","")</f>
        <v>x</v>
      </c>
      <c r="AA1570" s="803"/>
      <c r="AB1570" s="565"/>
    </row>
    <row r="1571" spans="1:28" ht="15.75" customHeight="1">
      <c r="A1571" s="804" t="str">
        <f>IF(B1571&lt;&gt;"",IF(AND(B1571&gt;=_TM1,B1571&lt;=_TM2,OR(TH!L1571="1111",TH!M1571="1111")),TH!D1571,""),"")</f>
        <v/>
      </c>
      <c r="B1571" s="36">
        <f t="shared" si="104"/>
        <v>9</v>
      </c>
      <c r="C1571" s="189">
        <f t="shared" si="102"/>
        <v>42276</v>
      </c>
      <c r="D1571" s="830" t="s">
        <v>1285</v>
      </c>
      <c r="E1571" s="830">
        <v>42276</v>
      </c>
      <c r="F1571" s="836" t="s">
        <v>721</v>
      </c>
      <c r="G1571" s="832" t="s">
        <v>924</v>
      </c>
      <c r="H1571" s="833" t="s">
        <v>1259</v>
      </c>
      <c r="I1571" s="241">
        <v>33</v>
      </c>
      <c r="J1571" s="241">
        <v>49959</v>
      </c>
      <c r="K1571" s="834">
        <f t="shared" si="103"/>
        <v>1648647</v>
      </c>
      <c r="L1571" s="835" t="s">
        <v>162</v>
      </c>
      <c r="M1571" s="835" t="s">
        <v>417</v>
      </c>
      <c r="N1571" s="51" t="str">
        <f>IF(AND('331-CT'!$E$7=TH!H1571,OR(L1571="331",M1571="331")),"331",IF(AND(OR(L1571="131",M1571="131"),H1571='131-CT'!$E$7),"131",""))</f>
        <v/>
      </c>
      <c r="O1571" s="51" t="str">
        <f>IF(AND($B1571&gt;='111'!$N$11,$B1571&lt;='111'!$O$11,OR($L1571=$O$7,$M1571=$O$7)),"x","")</f>
        <v/>
      </c>
      <c r="P1571" s="51" t="str">
        <f>IF(AND($L1571=$O$7,$B1571&lt;'111'!$N$11),"x","")</f>
        <v/>
      </c>
      <c r="Q1571" s="51" t="str">
        <f>IF(AND($M1571=$O$7,$B1571&lt;'111'!$N$11),"x","")</f>
        <v/>
      </c>
      <c r="R1571" s="51" t="str">
        <f>IF(ISERROR(FIND('112'!$M$9,G1571,1)),"",IF((AND(FIND('112'!$M$9,G1571,1)&gt;=1,$B1571&gt;='112'!$N$8,$B1571&lt;='112'!$O$8,OR($L1571='112'!$I$6,$M1571='112'!$I$6))),"x",""))</f>
        <v/>
      </c>
      <c r="S1571" s="51" t="str">
        <f>IF(ISERROR(FIND('112'!$M$9,G1571,1)),"",IF((AND(LEFT(G1571,2)=LEFT('112'!$M$9,2),B1571&lt;'112'!$N$8,$L1571='112'!$I$6)),"x",""))</f>
        <v/>
      </c>
      <c r="T1571" s="51" t="str">
        <f>IF(ISERROR(FIND('112'!$M$9,G1571,1)),"",IF((AND(RIGHT(G1571,2)=RIGHT('112'!$M$9,2),B1571&lt;'112'!$N$8,$M1571='112'!$I$6)),"x",""))</f>
        <v/>
      </c>
      <c r="U1571" s="51" t="str">
        <f>IF(AND(L1571="154",'154'!$O$5&lt;=B1571,'154'!$P$5&gt;=B1571),"154",IF(AND(L1571="632",'632'!$L$5&lt;=B1571,'632'!$M$5&gt;=B1571),"632",IF(AND(L1571="642",'642'!$N$5&lt;=B1571,'642'!$O$5&gt;=B1571),"642",IF(AND(L1571="641",'641'!$N$5&lt;=B1571,'641'!$O$5&gt;=B1571),"641",""))))</f>
        <v/>
      </c>
      <c r="V1571" s="51" t="str">
        <f>IF(OR(TH!L1571=TH!$V$7,M1571=TH!$V$7),"x","")</f>
        <v/>
      </c>
      <c r="W1571" s="51" t="str">
        <f>IF(AND(B1571&gt;='IN-NX'!$P$3,B1571&lt;='IN-NX'!$Q$3,'IN-NX'!$D$7=D1571,OR(LEFT(L1571,2)="15",AND(LEFT(M1571,2)&lt;&gt;"15",LEFT(M1571,2)&lt;&gt;"33"))),"x","")</f>
        <v/>
      </c>
      <c r="X1571" s="51" t="str">
        <f>IF(AND(OR(LEFT(TH!L1571,2)="15",LEFT(TH!M1571,2)="15"),'152-CT'!$J$8=TH!F1571),"x","")</f>
        <v/>
      </c>
      <c r="Y1571" s="51" t="str">
        <f>IF(AND(OR(LEFT(TH!L1571,2)="15",LEFT(TH!M1571,2)="15"),TK!$E$7=TH!F1571),"x","")</f>
        <v/>
      </c>
      <c r="Z1571" s="51" t="str">
        <f>IF(AND(B1571&lt;=NKC!$N$8,B1571&gt;=NKC!$M$8),"x","")</f>
        <v>x</v>
      </c>
      <c r="AA1571" s="803"/>
      <c r="AB1571" s="565"/>
    </row>
    <row r="1572" spans="1:28" ht="15.75" customHeight="1">
      <c r="A1572" s="804" t="str">
        <f>IF(B1572&lt;&gt;"",IF(AND(B1572&gt;=_TM1,B1572&lt;=_TM2,OR(TH!L1572="1111",TH!M1572="1111")),TH!D1572,""),"")</f>
        <v/>
      </c>
      <c r="B1572" s="36">
        <f t="shared" ref="B1572:B1604" si="105">IF(C1572&lt;&gt;"",MONTH(C1572),"")</f>
        <v>10</v>
      </c>
      <c r="C1572" s="189">
        <f t="shared" ref="C1572:C1608" si="106">E1572</f>
        <v>42283</v>
      </c>
      <c r="D1572" s="830" t="s">
        <v>1285</v>
      </c>
      <c r="E1572" s="830">
        <v>42283</v>
      </c>
      <c r="F1572" s="836" t="s">
        <v>750</v>
      </c>
      <c r="G1572" s="832" t="s">
        <v>1055</v>
      </c>
      <c r="H1572" s="833" t="s">
        <v>1259</v>
      </c>
      <c r="I1572" s="241">
        <v>45</v>
      </c>
      <c r="J1572" s="241">
        <v>384000</v>
      </c>
      <c r="K1572" s="834">
        <f t="shared" ref="K1572:K1610" si="107">ROUND(I1572*J1572,0)</f>
        <v>17280000</v>
      </c>
      <c r="L1572" s="835" t="s">
        <v>162</v>
      </c>
      <c r="M1572" s="835" t="s">
        <v>417</v>
      </c>
      <c r="N1572" s="51" t="str">
        <f>IF(AND('331-CT'!$E$7=TH!H1572,OR(L1572="331",M1572="331")),"331",IF(AND(OR(L1572="131",M1572="131"),H1572='131-CT'!$E$7),"131",""))</f>
        <v/>
      </c>
      <c r="O1572" s="51" t="str">
        <f>IF(AND($B1572&gt;='111'!$N$11,$B1572&lt;='111'!$O$11,OR($L1572=$O$7,$M1572=$O$7)),"x","")</f>
        <v/>
      </c>
      <c r="P1572" s="51" t="str">
        <f>IF(AND($L1572=$O$7,$B1572&lt;'111'!$N$11),"x","")</f>
        <v/>
      </c>
      <c r="Q1572" s="51" t="str">
        <f>IF(AND($M1572=$O$7,$B1572&lt;'111'!$N$11),"x","")</f>
        <v/>
      </c>
      <c r="R1572" s="51" t="str">
        <f>IF(ISERROR(FIND('112'!$M$9,G1572,1)),"",IF((AND(FIND('112'!$M$9,G1572,1)&gt;=1,$B1572&gt;='112'!$N$8,$B1572&lt;='112'!$O$8,OR($L1572='112'!$I$6,$M1572='112'!$I$6))),"x",""))</f>
        <v/>
      </c>
      <c r="S1572" s="51" t="str">
        <f>IF(ISERROR(FIND('112'!$M$9,G1572,1)),"",IF((AND(LEFT(G1572,2)=LEFT('112'!$M$9,2),B1572&lt;'112'!$N$8,$L1572='112'!$I$6)),"x",""))</f>
        <v/>
      </c>
      <c r="T1572" s="51" t="str">
        <f>IF(ISERROR(FIND('112'!$M$9,G1572,1)),"",IF((AND(RIGHT(G1572,2)=RIGHT('112'!$M$9,2),B1572&lt;'112'!$N$8,$M1572='112'!$I$6)),"x",""))</f>
        <v/>
      </c>
      <c r="U1572" s="51" t="str">
        <f>IF(AND(L1572="154",'154'!$O$5&lt;=B1572,'154'!$P$5&gt;=B1572),"154",IF(AND(L1572="632",'632'!$L$5&lt;=B1572,'632'!$M$5&gt;=B1572),"632",IF(AND(L1572="642",'642'!$N$5&lt;=B1572,'642'!$O$5&gt;=B1572),"642",IF(AND(L1572="641",'641'!$N$5&lt;=B1572,'641'!$O$5&gt;=B1572),"641",""))))</f>
        <v/>
      </c>
      <c r="V1572" s="51" t="str">
        <f>IF(OR(TH!L1572=TH!$V$7,M1572=TH!$V$7),"x","")</f>
        <v/>
      </c>
      <c r="W1572" s="51" t="str">
        <f>IF(AND(B1572&gt;='IN-NX'!$P$3,B1572&lt;='IN-NX'!$Q$3,'IN-NX'!$D$7=D1572,OR(LEFT(L1572,2)="15",AND(LEFT(M1572,2)&lt;&gt;"15",LEFT(M1572,2)&lt;&gt;"33"))),"x","")</f>
        <v/>
      </c>
      <c r="X1572" s="51" t="str">
        <f>IF(AND(OR(LEFT(TH!L1572,2)="15",LEFT(TH!M1572,2)="15"),'152-CT'!$J$8=TH!F1572),"x","")</f>
        <v/>
      </c>
      <c r="Y1572" s="51" t="str">
        <f>IF(AND(OR(LEFT(TH!L1572,2)="15",LEFT(TH!M1572,2)="15"),TK!$E$7=TH!F1572),"x","")</f>
        <v/>
      </c>
      <c r="Z1572" s="51" t="str">
        <f>IF(AND(B1572&lt;=NKC!$N$8,B1572&gt;=NKC!$M$8),"x","")</f>
        <v/>
      </c>
      <c r="AA1572" s="803"/>
    </row>
    <row r="1573" spans="1:28" ht="15.75" customHeight="1">
      <c r="A1573" s="804" t="str">
        <f>IF(B1573&lt;&gt;"",IF(AND(B1573&gt;=_TM1,B1573&lt;=_TM2,OR(TH!L1573="1111",TH!M1573="1111")),TH!D1573,""),"")</f>
        <v/>
      </c>
      <c r="B1573" s="36">
        <f t="shared" si="105"/>
        <v>10</v>
      </c>
      <c r="C1573" s="189">
        <f t="shared" si="106"/>
        <v>42284</v>
      </c>
      <c r="D1573" s="830" t="s">
        <v>1285</v>
      </c>
      <c r="E1573" s="830">
        <v>42284</v>
      </c>
      <c r="F1573" s="836" t="s">
        <v>751</v>
      </c>
      <c r="G1573" s="832" t="s">
        <v>1059</v>
      </c>
      <c r="H1573" s="833" t="s">
        <v>1259</v>
      </c>
      <c r="I1573" s="241">
        <v>22</v>
      </c>
      <c r="J1573" s="241">
        <v>84883</v>
      </c>
      <c r="K1573" s="834">
        <f t="shared" si="107"/>
        <v>1867426</v>
      </c>
      <c r="L1573" s="835" t="s">
        <v>162</v>
      </c>
      <c r="M1573" s="835" t="s">
        <v>417</v>
      </c>
      <c r="N1573" s="51" t="str">
        <f>IF(AND('331-CT'!$E$7=TH!H1573,OR(L1573="331",M1573="331")),"331",IF(AND(OR(L1573="131",M1573="131"),H1573='131-CT'!$E$7),"131",""))</f>
        <v/>
      </c>
      <c r="O1573" s="51" t="str">
        <f>IF(AND($B1573&gt;='111'!$N$11,$B1573&lt;='111'!$O$11,OR($L1573=$O$7,$M1573=$O$7)),"x","")</f>
        <v/>
      </c>
      <c r="P1573" s="51" t="str">
        <f>IF(AND($L1573=$O$7,$B1573&lt;'111'!$N$11),"x","")</f>
        <v/>
      </c>
      <c r="Q1573" s="51" t="str">
        <f>IF(AND($M1573=$O$7,$B1573&lt;'111'!$N$11),"x","")</f>
        <v/>
      </c>
      <c r="R1573" s="51" t="str">
        <f>IF(ISERROR(FIND('112'!$M$9,G1573,1)),"",IF((AND(FIND('112'!$M$9,G1573,1)&gt;=1,$B1573&gt;='112'!$N$8,$B1573&lt;='112'!$O$8,OR($L1573='112'!$I$6,$M1573='112'!$I$6))),"x",""))</f>
        <v/>
      </c>
      <c r="S1573" s="51" t="str">
        <f>IF(ISERROR(FIND('112'!$M$9,G1573,1)),"",IF((AND(LEFT(G1573,2)=LEFT('112'!$M$9,2),B1573&lt;'112'!$N$8,$L1573='112'!$I$6)),"x",""))</f>
        <v/>
      </c>
      <c r="T1573" s="51" t="str">
        <f>IF(ISERROR(FIND('112'!$M$9,G1573,1)),"",IF((AND(RIGHT(G1573,2)=RIGHT('112'!$M$9,2),B1573&lt;'112'!$N$8,$M1573='112'!$I$6)),"x",""))</f>
        <v/>
      </c>
      <c r="U1573" s="51" t="str">
        <f>IF(AND(L1573="154",'154'!$O$5&lt;=B1573,'154'!$P$5&gt;=B1573),"154",IF(AND(L1573="632",'632'!$L$5&lt;=B1573,'632'!$M$5&gt;=B1573),"632",IF(AND(L1573="642",'642'!$N$5&lt;=B1573,'642'!$O$5&gt;=B1573),"642",IF(AND(L1573="641",'641'!$N$5&lt;=B1573,'641'!$O$5&gt;=B1573),"641",""))))</f>
        <v/>
      </c>
      <c r="V1573" s="51" t="str">
        <f>IF(OR(TH!L1573=TH!$V$7,M1573=TH!$V$7),"x","")</f>
        <v/>
      </c>
      <c r="W1573" s="51" t="str">
        <f>IF(AND(B1573&gt;='IN-NX'!$P$3,B1573&lt;='IN-NX'!$Q$3,'IN-NX'!$D$7=D1573,OR(LEFT(L1573,2)="15",AND(LEFT(M1573,2)&lt;&gt;"15",LEFT(M1573,2)&lt;&gt;"33"))),"x","")</f>
        <v/>
      </c>
      <c r="X1573" s="51" t="str">
        <f>IF(AND(OR(LEFT(TH!L1573,2)="15",LEFT(TH!M1573,2)="15"),'152-CT'!$J$8=TH!F1573),"x","")</f>
        <v/>
      </c>
      <c r="Y1573" s="51" t="str">
        <f>IF(AND(OR(LEFT(TH!L1573,2)="15",LEFT(TH!M1573,2)="15"),TK!$E$7=TH!F1573),"x","")</f>
        <v/>
      </c>
      <c r="Z1573" s="51" t="str">
        <f>IF(AND(B1573&lt;=NKC!$N$8,B1573&gt;=NKC!$M$8),"x","")</f>
        <v/>
      </c>
      <c r="AA1573" s="803"/>
    </row>
    <row r="1574" spans="1:28" ht="15.75" customHeight="1">
      <c r="A1574" s="804" t="str">
        <f>IF(B1574&lt;&gt;"",IF(AND(B1574&gt;=_TM1,B1574&lt;=_TM2,OR(TH!L1574="1111",TH!M1574="1111")),TH!D1574,""),"")</f>
        <v/>
      </c>
      <c r="B1574" s="36">
        <f t="shared" si="105"/>
        <v>10</v>
      </c>
      <c r="C1574" s="189">
        <f t="shared" si="106"/>
        <v>42284</v>
      </c>
      <c r="D1574" s="830" t="s">
        <v>1285</v>
      </c>
      <c r="E1574" s="830">
        <v>42284</v>
      </c>
      <c r="F1574" s="836" t="s">
        <v>752</v>
      </c>
      <c r="G1574" s="832" t="s">
        <v>1059</v>
      </c>
      <c r="H1574" s="833" t="s">
        <v>1259</v>
      </c>
      <c r="I1574" s="241">
        <v>40</v>
      </c>
      <c r="J1574" s="241">
        <v>48309</v>
      </c>
      <c r="K1574" s="834">
        <f t="shared" si="107"/>
        <v>1932360</v>
      </c>
      <c r="L1574" s="835" t="s">
        <v>162</v>
      </c>
      <c r="M1574" s="835" t="s">
        <v>417</v>
      </c>
      <c r="N1574" s="51" t="str">
        <f>IF(AND('331-CT'!$E$7=TH!H1574,OR(L1574="331",M1574="331")),"331",IF(AND(OR(L1574="131",M1574="131"),H1574='131-CT'!$E$7),"131",""))</f>
        <v/>
      </c>
      <c r="O1574" s="51" t="str">
        <f>IF(AND($B1574&gt;='111'!$N$11,$B1574&lt;='111'!$O$11,OR($L1574=$O$7,$M1574=$O$7)),"x","")</f>
        <v/>
      </c>
      <c r="P1574" s="51" t="str">
        <f>IF(AND($L1574=$O$7,$B1574&lt;'111'!$N$11),"x","")</f>
        <v/>
      </c>
      <c r="Q1574" s="51" t="str">
        <f>IF(AND($M1574=$O$7,$B1574&lt;'111'!$N$11),"x","")</f>
        <v/>
      </c>
      <c r="R1574" s="51" t="str">
        <f>IF(ISERROR(FIND('112'!$M$9,G1574,1)),"",IF((AND(FIND('112'!$M$9,G1574,1)&gt;=1,$B1574&gt;='112'!$N$8,$B1574&lt;='112'!$O$8,OR($L1574='112'!$I$6,$M1574='112'!$I$6))),"x",""))</f>
        <v/>
      </c>
      <c r="S1574" s="51" t="str">
        <f>IF(ISERROR(FIND('112'!$M$9,G1574,1)),"",IF((AND(LEFT(G1574,2)=LEFT('112'!$M$9,2),B1574&lt;'112'!$N$8,$L1574='112'!$I$6)),"x",""))</f>
        <v/>
      </c>
      <c r="T1574" s="51" t="str">
        <f>IF(ISERROR(FIND('112'!$M$9,G1574,1)),"",IF((AND(RIGHT(G1574,2)=RIGHT('112'!$M$9,2),B1574&lt;'112'!$N$8,$M1574='112'!$I$6)),"x",""))</f>
        <v/>
      </c>
      <c r="U1574" s="51" t="str">
        <f>IF(AND(L1574="154",'154'!$O$5&lt;=B1574,'154'!$P$5&gt;=B1574),"154",IF(AND(L1574="632",'632'!$L$5&lt;=B1574,'632'!$M$5&gt;=B1574),"632",IF(AND(L1574="642",'642'!$N$5&lt;=B1574,'642'!$O$5&gt;=B1574),"642",IF(AND(L1574="641",'641'!$N$5&lt;=B1574,'641'!$O$5&gt;=B1574),"641",""))))</f>
        <v/>
      </c>
      <c r="V1574" s="51" t="str">
        <f>IF(OR(TH!L1574=TH!$V$7,M1574=TH!$V$7),"x","")</f>
        <v/>
      </c>
      <c r="W1574" s="51" t="str">
        <f>IF(AND(B1574&gt;='IN-NX'!$P$3,B1574&lt;='IN-NX'!$Q$3,'IN-NX'!$D$7=D1574,OR(LEFT(L1574,2)="15",AND(LEFT(M1574,2)&lt;&gt;"15",LEFT(M1574,2)&lt;&gt;"33"))),"x","")</f>
        <v/>
      </c>
      <c r="X1574" s="51" t="str">
        <f>IF(AND(OR(LEFT(TH!L1574,2)="15",LEFT(TH!M1574,2)="15"),'152-CT'!$J$8=TH!F1574),"x","")</f>
        <v/>
      </c>
      <c r="Y1574" s="51" t="str">
        <f>IF(AND(OR(LEFT(TH!L1574,2)="15",LEFT(TH!M1574,2)="15"),TK!$E$7=TH!F1574),"x","")</f>
        <v/>
      </c>
      <c r="Z1574" s="51" t="str">
        <f>IF(AND(B1574&lt;=NKC!$N$8,B1574&gt;=NKC!$M$8),"x","")</f>
        <v/>
      </c>
      <c r="AA1574" s="803"/>
    </row>
    <row r="1575" spans="1:28" ht="15.75" customHeight="1">
      <c r="A1575" s="804" t="str">
        <f>IF(B1575&lt;&gt;"",IF(AND(B1575&gt;=_TM1,B1575&lt;=_TM2,OR(TH!L1575="1111",TH!M1575="1111")),TH!D1575,""),"")</f>
        <v/>
      </c>
      <c r="B1575" s="36">
        <f t="shared" si="105"/>
        <v>10</v>
      </c>
      <c r="C1575" s="189">
        <f t="shared" si="106"/>
        <v>42284</v>
      </c>
      <c r="D1575" s="830" t="s">
        <v>1285</v>
      </c>
      <c r="E1575" s="830">
        <v>42284</v>
      </c>
      <c r="F1575" s="836" t="s">
        <v>1208</v>
      </c>
      <c r="G1575" s="832" t="s">
        <v>1059</v>
      </c>
      <c r="H1575" s="833" t="s">
        <v>1259</v>
      </c>
      <c r="I1575" s="241">
        <v>44</v>
      </c>
      <c r="J1575" s="241">
        <v>576</v>
      </c>
      <c r="K1575" s="834">
        <f t="shared" si="107"/>
        <v>25344</v>
      </c>
      <c r="L1575" s="835" t="s">
        <v>162</v>
      </c>
      <c r="M1575" s="835" t="s">
        <v>417</v>
      </c>
      <c r="N1575" s="51" t="str">
        <f>IF(AND('331-CT'!$E$7=TH!H1575,OR(L1575="331",M1575="331")),"331",IF(AND(OR(L1575="131",M1575="131"),H1575='131-CT'!$E$7),"131",""))</f>
        <v/>
      </c>
      <c r="O1575" s="51" t="str">
        <f>IF(AND($B1575&gt;='111'!$N$11,$B1575&lt;='111'!$O$11,OR($L1575=$O$7,$M1575=$O$7)),"x","")</f>
        <v/>
      </c>
      <c r="P1575" s="51" t="str">
        <f>IF(AND($L1575=$O$7,$B1575&lt;'111'!$N$11),"x","")</f>
        <v/>
      </c>
      <c r="Q1575" s="51" t="str">
        <f>IF(AND($M1575=$O$7,$B1575&lt;'111'!$N$11),"x","")</f>
        <v/>
      </c>
      <c r="R1575" s="51" t="str">
        <f>IF(ISERROR(FIND('112'!$M$9,G1575,1)),"",IF((AND(FIND('112'!$M$9,G1575,1)&gt;=1,$B1575&gt;='112'!$N$8,$B1575&lt;='112'!$O$8,OR($L1575='112'!$I$6,$M1575='112'!$I$6))),"x",""))</f>
        <v/>
      </c>
      <c r="S1575" s="51" t="str">
        <f>IF(ISERROR(FIND('112'!$M$9,G1575,1)),"",IF((AND(LEFT(G1575,2)=LEFT('112'!$M$9,2),B1575&lt;'112'!$N$8,$L1575='112'!$I$6)),"x",""))</f>
        <v/>
      </c>
      <c r="T1575" s="51" t="str">
        <f>IF(ISERROR(FIND('112'!$M$9,G1575,1)),"",IF((AND(RIGHT(G1575,2)=RIGHT('112'!$M$9,2),B1575&lt;'112'!$N$8,$M1575='112'!$I$6)),"x",""))</f>
        <v/>
      </c>
      <c r="U1575" s="51" t="str">
        <f>IF(AND(L1575="154",'154'!$O$5&lt;=B1575,'154'!$P$5&gt;=B1575),"154",IF(AND(L1575="632",'632'!$L$5&lt;=B1575,'632'!$M$5&gt;=B1575),"632",IF(AND(L1575="642",'642'!$N$5&lt;=B1575,'642'!$O$5&gt;=B1575),"642",IF(AND(L1575="641",'641'!$N$5&lt;=B1575,'641'!$O$5&gt;=B1575),"641",""))))</f>
        <v/>
      </c>
      <c r="V1575" s="51" t="str">
        <f>IF(OR(TH!L1575=TH!$V$7,M1575=TH!$V$7),"x","")</f>
        <v/>
      </c>
      <c r="W1575" s="51" t="str">
        <f>IF(AND(B1575&gt;='IN-NX'!$P$3,B1575&lt;='IN-NX'!$Q$3,'IN-NX'!$D$7=D1575,OR(LEFT(L1575,2)="15",AND(LEFT(M1575,2)&lt;&gt;"15",LEFT(M1575,2)&lt;&gt;"33"))),"x","")</f>
        <v/>
      </c>
      <c r="X1575" s="51" t="str">
        <f>IF(AND(OR(LEFT(TH!L1575,2)="15",LEFT(TH!M1575,2)="15"),'152-CT'!$J$8=TH!F1575),"x","")</f>
        <v/>
      </c>
      <c r="Y1575" s="51" t="str">
        <f>IF(AND(OR(LEFT(TH!L1575,2)="15",LEFT(TH!M1575,2)="15"),TK!$E$7=TH!F1575),"x","")</f>
        <v/>
      </c>
      <c r="Z1575" s="51" t="str">
        <f>IF(AND(B1575&lt;=NKC!$N$8,B1575&gt;=NKC!$M$8),"x","")</f>
        <v/>
      </c>
      <c r="AA1575" s="803"/>
    </row>
    <row r="1576" spans="1:28" ht="15.75" customHeight="1">
      <c r="A1576" s="804" t="str">
        <f>IF(B1576&lt;&gt;"",IF(AND(B1576&gt;=_TM1,B1576&lt;=_TM2,OR(TH!L1576="1111",TH!M1576="1111")),TH!D1576,""),"")</f>
        <v/>
      </c>
      <c r="B1576" s="36">
        <f t="shared" si="105"/>
        <v>10</v>
      </c>
      <c r="C1576" s="189">
        <f t="shared" si="106"/>
        <v>42284</v>
      </c>
      <c r="D1576" s="830" t="s">
        <v>1285</v>
      </c>
      <c r="E1576" s="830">
        <v>42284</v>
      </c>
      <c r="F1576" s="836" t="s">
        <v>1207</v>
      </c>
      <c r="G1576" s="832" t="s">
        <v>1059</v>
      </c>
      <c r="H1576" s="833" t="s">
        <v>1259</v>
      </c>
      <c r="I1576" s="241">
        <v>22</v>
      </c>
      <c r="J1576" s="241">
        <v>1152</v>
      </c>
      <c r="K1576" s="834">
        <f t="shared" si="107"/>
        <v>25344</v>
      </c>
      <c r="L1576" s="835" t="s">
        <v>162</v>
      </c>
      <c r="M1576" s="835" t="s">
        <v>417</v>
      </c>
      <c r="N1576" s="51" t="str">
        <f>IF(AND('331-CT'!$E$7=TH!H1576,OR(L1576="331",M1576="331")),"331",IF(AND(OR(L1576="131",M1576="131"),H1576='131-CT'!$E$7),"131",""))</f>
        <v/>
      </c>
      <c r="O1576" s="51" t="str">
        <f>IF(AND($B1576&gt;='111'!$N$11,$B1576&lt;='111'!$O$11,OR($L1576=$O$7,$M1576=$O$7)),"x","")</f>
        <v/>
      </c>
      <c r="P1576" s="51" t="str">
        <f>IF(AND($L1576=$O$7,$B1576&lt;'111'!$N$11),"x","")</f>
        <v/>
      </c>
      <c r="Q1576" s="51" t="str">
        <f>IF(AND($M1576=$O$7,$B1576&lt;'111'!$N$11),"x","")</f>
        <v/>
      </c>
      <c r="R1576" s="51" t="str">
        <f>IF(ISERROR(FIND('112'!$M$9,G1576,1)),"",IF((AND(FIND('112'!$M$9,G1576,1)&gt;=1,$B1576&gt;='112'!$N$8,$B1576&lt;='112'!$O$8,OR($L1576='112'!$I$6,$M1576='112'!$I$6))),"x",""))</f>
        <v/>
      </c>
      <c r="S1576" s="51" t="str">
        <f>IF(ISERROR(FIND('112'!$M$9,G1576,1)),"",IF((AND(LEFT(G1576,2)=LEFT('112'!$M$9,2),B1576&lt;'112'!$N$8,$L1576='112'!$I$6)),"x",""))</f>
        <v/>
      </c>
      <c r="T1576" s="51" t="str">
        <f>IF(ISERROR(FIND('112'!$M$9,G1576,1)),"",IF((AND(RIGHT(G1576,2)=RIGHT('112'!$M$9,2),B1576&lt;'112'!$N$8,$M1576='112'!$I$6)),"x",""))</f>
        <v/>
      </c>
      <c r="U1576" s="51" t="str">
        <f>IF(AND(L1576="154",'154'!$O$5&lt;=B1576,'154'!$P$5&gt;=B1576),"154",IF(AND(L1576="632",'632'!$L$5&lt;=B1576,'632'!$M$5&gt;=B1576),"632",IF(AND(L1576="642",'642'!$N$5&lt;=B1576,'642'!$O$5&gt;=B1576),"642",IF(AND(L1576="641",'641'!$N$5&lt;=B1576,'641'!$O$5&gt;=B1576),"641",""))))</f>
        <v/>
      </c>
      <c r="V1576" s="51" t="str">
        <f>IF(OR(TH!L1576=TH!$V$7,M1576=TH!$V$7),"x","")</f>
        <v/>
      </c>
      <c r="W1576" s="51" t="str">
        <f>IF(AND(B1576&gt;='IN-NX'!$P$3,B1576&lt;='IN-NX'!$Q$3,'IN-NX'!$D$7=D1576,OR(LEFT(L1576,2)="15",AND(LEFT(M1576,2)&lt;&gt;"15",LEFT(M1576,2)&lt;&gt;"33"))),"x","")</f>
        <v/>
      </c>
      <c r="X1576" s="51" t="str">
        <f>IF(AND(OR(LEFT(TH!L1576,2)="15",LEFT(TH!M1576,2)="15"),'152-CT'!$J$8=TH!F1576),"x","")</f>
        <v/>
      </c>
      <c r="Y1576" s="51" t="str">
        <f>IF(AND(OR(LEFT(TH!L1576,2)="15",LEFT(TH!M1576,2)="15"),TK!$E$7=TH!F1576),"x","")</f>
        <v/>
      </c>
      <c r="Z1576" s="51" t="str">
        <f>IF(AND(B1576&lt;=NKC!$N$8,B1576&gt;=NKC!$M$8),"x","")</f>
        <v/>
      </c>
      <c r="AA1576" s="803"/>
    </row>
    <row r="1577" spans="1:28" ht="15.75" customHeight="1">
      <c r="A1577" s="804" t="str">
        <f>IF(B1577&lt;&gt;"",IF(AND(B1577&gt;=_TM1,B1577&lt;=_TM2,OR(TH!L1577="1111",TH!M1577="1111")),TH!D1577,""),"")</f>
        <v/>
      </c>
      <c r="B1577" s="36">
        <f t="shared" si="105"/>
        <v>10</v>
      </c>
      <c r="C1577" s="189">
        <f t="shared" si="106"/>
        <v>42284</v>
      </c>
      <c r="D1577" s="830" t="s">
        <v>1285</v>
      </c>
      <c r="E1577" s="830">
        <v>42284</v>
      </c>
      <c r="F1577" s="836" t="s">
        <v>1144</v>
      </c>
      <c r="G1577" s="832" t="s">
        <v>1059</v>
      </c>
      <c r="H1577" s="833" t="s">
        <v>1259</v>
      </c>
      <c r="I1577" s="241">
        <v>22</v>
      </c>
      <c r="J1577" s="241">
        <v>5700</v>
      </c>
      <c r="K1577" s="834">
        <f t="shared" si="107"/>
        <v>125400</v>
      </c>
      <c r="L1577" s="835" t="s">
        <v>162</v>
      </c>
      <c r="M1577" s="835" t="s">
        <v>417</v>
      </c>
      <c r="N1577" s="51" t="str">
        <f>IF(AND('331-CT'!$E$7=TH!H1577,OR(L1577="331",M1577="331")),"331",IF(AND(OR(L1577="131",M1577="131"),H1577='131-CT'!$E$7),"131",""))</f>
        <v/>
      </c>
      <c r="O1577" s="51" t="str">
        <f>IF(AND($B1577&gt;='111'!$N$11,$B1577&lt;='111'!$O$11,OR($L1577=$O$7,$M1577=$O$7)),"x","")</f>
        <v/>
      </c>
      <c r="P1577" s="51" t="str">
        <f>IF(AND($L1577=$O$7,$B1577&lt;'111'!$N$11),"x","")</f>
        <v/>
      </c>
      <c r="Q1577" s="51" t="str">
        <f>IF(AND($M1577=$O$7,$B1577&lt;'111'!$N$11),"x","")</f>
        <v/>
      </c>
      <c r="R1577" s="51" t="str">
        <f>IF(ISERROR(FIND('112'!$M$9,G1577,1)),"",IF((AND(FIND('112'!$M$9,G1577,1)&gt;=1,$B1577&gt;='112'!$N$8,$B1577&lt;='112'!$O$8,OR($L1577='112'!$I$6,$M1577='112'!$I$6))),"x",""))</f>
        <v/>
      </c>
      <c r="S1577" s="51" t="str">
        <f>IF(ISERROR(FIND('112'!$M$9,G1577,1)),"",IF((AND(LEFT(G1577,2)=LEFT('112'!$M$9,2),B1577&lt;'112'!$N$8,$L1577='112'!$I$6)),"x",""))</f>
        <v/>
      </c>
      <c r="T1577" s="51" t="str">
        <f>IF(ISERROR(FIND('112'!$M$9,G1577,1)),"",IF((AND(RIGHT(G1577,2)=RIGHT('112'!$M$9,2),B1577&lt;'112'!$N$8,$M1577='112'!$I$6)),"x",""))</f>
        <v/>
      </c>
      <c r="U1577" s="51" t="str">
        <f>IF(AND(L1577="154",'154'!$O$5&lt;=B1577,'154'!$P$5&gt;=B1577),"154",IF(AND(L1577="632",'632'!$L$5&lt;=B1577,'632'!$M$5&gt;=B1577),"632",IF(AND(L1577="642",'642'!$N$5&lt;=B1577,'642'!$O$5&gt;=B1577),"642",IF(AND(L1577="641",'641'!$N$5&lt;=B1577,'641'!$O$5&gt;=B1577),"641",""))))</f>
        <v/>
      </c>
      <c r="V1577" s="51" t="str">
        <f>IF(OR(TH!L1577=TH!$V$7,M1577=TH!$V$7),"x","")</f>
        <v/>
      </c>
      <c r="W1577" s="51" t="str">
        <f>IF(AND(B1577&gt;='IN-NX'!$P$3,B1577&lt;='IN-NX'!$Q$3,'IN-NX'!$D$7=D1577,OR(LEFT(L1577,2)="15",AND(LEFT(M1577,2)&lt;&gt;"15",LEFT(M1577,2)&lt;&gt;"33"))),"x","")</f>
        <v/>
      </c>
      <c r="X1577" s="51" t="str">
        <f>IF(AND(OR(LEFT(TH!L1577,2)="15",LEFT(TH!M1577,2)="15"),'152-CT'!$J$8=TH!F1577),"x","")</f>
        <v/>
      </c>
      <c r="Y1577" s="51" t="str">
        <f>IF(AND(OR(LEFT(TH!L1577,2)="15",LEFT(TH!M1577,2)="15"),TK!$E$7=TH!F1577),"x","")</f>
        <v/>
      </c>
      <c r="Z1577" s="51" t="str">
        <f>IF(AND(B1577&lt;=NKC!$N$8,B1577&gt;=NKC!$M$8),"x","")</f>
        <v/>
      </c>
      <c r="AA1577" s="803"/>
    </row>
    <row r="1578" spans="1:28" ht="15.75" customHeight="1">
      <c r="A1578" s="804" t="str">
        <f>IF(B1578&lt;&gt;"",IF(AND(B1578&gt;=_TM1,B1578&lt;=_TM2,OR(TH!L1578="1111",TH!M1578="1111")),TH!D1578,""),"")</f>
        <v/>
      </c>
      <c r="B1578" s="36">
        <f t="shared" si="105"/>
        <v>10</v>
      </c>
      <c r="C1578" s="189">
        <f t="shared" si="106"/>
        <v>42289</v>
      </c>
      <c r="D1578" s="830" t="s">
        <v>1285</v>
      </c>
      <c r="E1578" s="830">
        <v>42289</v>
      </c>
      <c r="F1578" s="836" t="s">
        <v>753</v>
      </c>
      <c r="G1578" s="832" t="s">
        <v>1066</v>
      </c>
      <c r="H1578" s="833" t="s">
        <v>1259</v>
      </c>
      <c r="I1578" s="241">
        <v>122</v>
      </c>
      <c r="J1578" s="241">
        <v>12336</v>
      </c>
      <c r="K1578" s="834">
        <f t="shared" si="107"/>
        <v>1504992</v>
      </c>
      <c r="L1578" s="835" t="s">
        <v>162</v>
      </c>
      <c r="M1578" s="835" t="s">
        <v>417</v>
      </c>
      <c r="N1578" s="51" t="str">
        <f>IF(AND('331-CT'!$E$7=TH!H1578,OR(L1578="331",M1578="331")),"331",IF(AND(OR(L1578="131",M1578="131"),H1578='131-CT'!$E$7),"131",""))</f>
        <v/>
      </c>
      <c r="O1578" s="51" t="str">
        <f>IF(AND($B1578&gt;='111'!$N$11,$B1578&lt;='111'!$O$11,OR($L1578=$O$7,$M1578=$O$7)),"x","")</f>
        <v/>
      </c>
      <c r="P1578" s="51" t="str">
        <f>IF(AND($L1578=$O$7,$B1578&lt;'111'!$N$11),"x","")</f>
        <v/>
      </c>
      <c r="Q1578" s="51" t="str">
        <f>IF(AND($M1578=$O$7,$B1578&lt;'111'!$N$11),"x","")</f>
        <v/>
      </c>
      <c r="R1578" s="51" t="str">
        <f>IF(ISERROR(FIND('112'!$M$9,G1578,1)),"",IF((AND(FIND('112'!$M$9,G1578,1)&gt;=1,$B1578&gt;='112'!$N$8,$B1578&lt;='112'!$O$8,OR($L1578='112'!$I$6,$M1578='112'!$I$6))),"x",""))</f>
        <v/>
      </c>
      <c r="S1578" s="51" t="str">
        <f>IF(ISERROR(FIND('112'!$M$9,G1578,1)),"",IF((AND(LEFT(G1578,2)=LEFT('112'!$M$9,2),B1578&lt;'112'!$N$8,$L1578='112'!$I$6)),"x",""))</f>
        <v/>
      </c>
      <c r="T1578" s="51" t="str">
        <f>IF(ISERROR(FIND('112'!$M$9,G1578,1)),"",IF((AND(RIGHT(G1578,2)=RIGHT('112'!$M$9,2),B1578&lt;'112'!$N$8,$M1578='112'!$I$6)),"x",""))</f>
        <v/>
      </c>
      <c r="U1578" s="51" t="str">
        <f>IF(AND(L1578="154",'154'!$O$5&lt;=B1578,'154'!$P$5&gt;=B1578),"154",IF(AND(L1578="632",'632'!$L$5&lt;=B1578,'632'!$M$5&gt;=B1578),"632",IF(AND(L1578="642",'642'!$N$5&lt;=B1578,'642'!$O$5&gt;=B1578),"642",IF(AND(L1578="641",'641'!$N$5&lt;=B1578,'641'!$O$5&gt;=B1578),"641",""))))</f>
        <v/>
      </c>
      <c r="V1578" s="51" t="str">
        <f>IF(OR(TH!L1578=TH!$V$7,M1578=TH!$V$7),"x","")</f>
        <v/>
      </c>
      <c r="W1578" s="51" t="str">
        <f>IF(AND(B1578&gt;='IN-NX'!$P$3,B1578&lt;='IN-NX'!$Q$3,'IN-NX'!$D$7=D1578,OR(LEFT(L1578,2)="15",AND(LEFT(M1578,2)&lt;&gt;"15",LEFT(M1578,2)&lt;&gt;"33"))),"x","")</f>
        <v/>
      </c>
      <c r="X1578" s="51" t="str">
        <f>IF(AND(OR(LEFT(TH!L1578,2)="15",LEFT(TH!M1578,2)="15"),'152-CT'!$J$8=TH!F1578),"x","")</f>
        <v/>
      </c>
      <c r="Y1578" s="51" t="str">
        <f>IF(AND(OR(LEFT(TH!L1578,2)="15",LEFT(TH!M1578,2)="15"),TK!$E$7=TH!F1578),"x","")</f>
        <v/>
      </c>
      <c r="Z1578" s="51" t="str">
        <f>IF(AND(B1578&lt;=NKC!$N$8,B1578&gt;=NKC!$M$8),"x","")</f>
        <v/>
      </c>
      <c r="AA1578" s="803"/>
    </row>
    <row r="1579" spans="1:28" ht="15.75" customHeight="1">
      <c r="A1579" s="804" t="str">
        <f>IF(B1579&lt;&gt;"",IF(AND(B1579&gt;=_TM1,B1579&lt;=_TM2,OR(TH!L1579="1111",TH!M1579="1111")),TH!D1579,""),"")</f>
        <v/>
      </c>
      <c r="B1579" s="36">
        <f t="shared" si="105"/>
        <v>10</v>
      </c>
      <c r="C1579" s="189">
        <f t="shared" si="106"/>
        <v>42289</v>
      </c>
      <c r="D1579" s="830" t="s">
        <v>1285</v>
      </c>
      <c r="E1579" s="830">
        <v>42289</v>
      </c>
      <c r="F1579" s="836" t="s">
        <v>754</v>
      </c>
      <c r="G1579" s="832" t="s">
        <v>1066</v>
      </c>
      <c r="H1579" s="833" t="s">
        <v>1259</v>
      </c>
      <c r="I1579" s="241">
        <v>122</v>
      </c>
      <c r="J1579" s="241">
        <v>17741</v>
      </c>
      <c r="K1579" s="834">
        <f t="shared" si="107"/>
        <v>2164402</v>
      </c>
      <c r="L1579" s="835" t="s">
        <v>162</v>
      </c>
      <c r="M1579" s="835" t="s">
        <v>417</v>
      </c>
      <c r="N1579" s="51" t="str">
        <f>IF(AND('331-CT'!$E$7=TH!H1579,OR(L1579="331",M1579="331")),"331",IF(AND(OR(L1579="131",M1579="131"),H1579='131-CT'!$E$7),"131",""))</f>
        <v/>
      </c>
      <c r="O1579" s="51" t="str">
        <f>IF(AND($B1579&gt;='111'!$N$11,$B1579&lt;='111'!$O$11,OR($L1579=$O$7,$M1579=$O$7)),"x","")</f>
        <v/>
      </c>
      <c r="P1579" s="51" t="str">
        <f>IF(AND($L1579=$O$7,$B1579&lt;'111'!$N$11),"x","")</f>
        <v/>
      </c>
      <c r="Q1579" s="51" t="str">
        <f>IF(AND($M1579=$O$7,$B1579&lt;'111'!$N$11),"x","")</f>
        <v/>
      </c>
      <c r="R1579" s="51" t="str">
        <f>IF(ISERROR(FIND('112'!$M$9,G1579,1)),"",IF((AND(FIND('112'!$M$9,G1579,1)&gt;=1,$B1579&gt;='112'!$N$8,$B1579&lt;='112'!$O$8,OR($L1579='112'!$I$6,$M1579='112'!$I$6))),"x",""))</f>
        <v/>
      </c>
      <c r="S1579" s="51" t="str">
        <f>IF(ISERROR(FIND('112'!$M$9,G1579,1)),"",IF((AND(LEFT(G1579,2)=LEFT('112'!$M$9,2),B1579&lt;'112'!$N$8,$L1579='112'!$I$6)),"x",""))</f>
        <v/>
      </c>
      <c r="T1579" s="51" t="str">
        <f>IF(ISERROR(FIND('112'!$M$9,G1579,1)),"",IF((AND(RIGHT(G1579,2)=RIGHT('112'!$M$9,2),B1579&lt;'112'!$N$8,$M1579='112'!$I$6)),"x",""))</f>
        <v/>
      </c>
      <c r="U1579" s="51" t="str">
        <f>IF(AND(L1579="154",'154'!$O$5&lt;=B1579,'154'!$P$5&gt;=B1579),"154",IF(AND(L1579="632",'632'!$L$5&lt;=B1579,'632'!$M$5&gt;=B1579),"632",IF(AND(L1579="642",'642'!$N$5&lt;=B1579,'642'!$O$5&gt;=B1579),"642",IF(AND(L1579="641",'641'!$N$5&lt;=B1579,'641'!$O$5&gt;=B1579),"641",""))))</f>
        <v/>
      </c>
      <c r="V1579" s="51" t="str">
        <f>IF(OR(TH!L1579=TH!$V$7,M1579=TH!$V$7),"x","")</f>
        <v/>
      </c>
      <c r="W1579" s="51" t="str">
        <f>IF(AND(B1579&gt;='IN-NX'!$P$3,B1579&lt;='IN-NX'!$Q$3,'IN-NX'!$D$7=D1579,OR(LEFT(L1579,2)="15",AND(LEFT(M1579,2)&lt;&gt;"15",LEFT(M1579,2)&lt;&gt;"33"))),"x","")</f>
        <v/>
      </c>
      <c r="X1579" s="51" t="str">
        <f>IF(AND(OR(LEFT(TH!L1579,2)="15",LEFT(TH!M1579,2)="15"),'152-CT'!$J$8=TH!F1579),"x","")</f>
        <v/>
      </c>
      <c r="Y1579" s="51" t="str">
        <f>IF(AND(OR(LEFT(TH!L1579,2)="15",LEFT(TH!M1579,2)="15"),TK!$E$7=TH!F1579),"x","")</f>
        <v/>
      </c>
      <c r="Z1579" s="51" t="str">
        <f>IF(AND(B1579&lt;=NKC!$N$8,B1579&gt;=NKC!$M$8),"x","")</f>
        <v/>
      </c>
      <c r="AA1579" s="803"/>
    </row>
    <row r="1580" spans="1:28" ht="15.75" customHeight="1">
      <c r="A1580" s="804" t="str">
        <f>IF(B1580&lt;&gt;"",IF(AND(B1580&gt;=_TM1,B1580&lt;=_TM2,OR(TH!L1580="1111",TH!M1580="1111")),TH!D1580,""),"")</f>
        <v/>
      </c>
      <c r="B1580" s="36">
        <f t="shared" si="105"/>
        <v>10</v>
      </c>
      <c r="C1580" s="189">
        <f t="shared" si="106"/>
        <v>42289</v>
      </c>
      <c r="D1580" s="830" t="s">
        <v>1285</v>
      </c>
      <c r="E1580" s="830">
        <v>42289</v>
      </c>
      <c r="F1580" s="836" t="s">
        <v>755</v>
      </c>
      <c r="G1580" s="832" t="s">
        <v>1066</v>
      </c>
      <c r="H1580" s="833" t="s">
        <v>1259</v>
      </c>
      <c r="I1580" s="241">
        <v>122</v>
      </c>
      <c r="J1580" s="241">
        <v>22358</v>
      </c>
      <c r="K1580" s="834">
        <f t="shared" si="107"/>
        <v>2727676</v>
      </c>
      <c r="L1580" s="835" t="s">
        <v>162</v>
      </c>
      <c r="M1580" s="835" t="s">
        <v>417</v>
      </c>
      <c r="N1580" s="51" t="str">
        <f>IF(AND('331-CT'!$E$7=TH!H1580,OR(L1580="331",M1580="331")),"331",IF(AND(OR(L1580="131",M1580="131"),H1580='131-CT'!$E$7),"131",""))</f>
        <v/>
      </c>
      <c r="O1580" s="51" t="str">
        <f>IF(AND($B1580&gt;='111'!$N$11,$B1580&lt;='111'!$O$11,OR($L1580=$O$7,$M1580=$O$7)),"x","")</f>
        <v/>
      </c>
      <c r="P1580" s="51" t="str">
        <f>IF(AND($L1580=$O$7,$B1580&lt;'111'!$N$11),"x","")</f>
        <v/>
      </c>
      <c r="Q1580" s="51" t="str">
        <f>IF(AND($M1580=$O$7,$B1580&lt;'111'!$N$11),"x","")</f>
        <v/>
      </c>
      <c r="R1580" s="51" t="str">
        <f>IF(ISERROR(FIND('112'!$M$9,G1580,1)),"",IF((AND(FIND('112'!$M$9,G1580,1)&gt;=1,$B1580&gt;='112'!$N$8,$B1580&lt;='112'!$O$8,OR($L1580='112'!$I$6,$M1580='112'!$I$6))),"x",""))</f>
        <v/>
      </c>
      <c r="S1580" s="51" t="str">
        <f>IF(ISERROR(FIND('112'!$M$9,G1580,1)),"",IF((AND(LEFT(G1580,2)=LEFT('112'!$M$9,2),B1580&lt;'112'!$N$8,$L1580='112'!$I$6)),"x",""))</f>
        <v/>
      </c>
      <c r="T1580" s="51" t="str">
        <f>IF(ISERROR(FIND('112'!$M$9,G1580,1)),"",IF((AND(RIGHT(G1580,2)=RIGHT('112'!$M$9,2),B1580&lt;'112'!$N$8,$M1580='112'!$I$6)),"x",""))</f>
        <v/>
      </c>
      <c r="U1580" s="51" t="str">
        <f>IF(AND(L1580="154",'154'!$O$5&lt;=B1580,'154'!$P$5&gt;=B1580),"154",IF(AND(L1580="632",'632'!$L$5&lt;=B1580,'632'!$M$5&gt;=B1580),"632",IF(AND(L1580="642",'642'!$N$5&lt;=B1580,'642'!$O$5&gt;=B1580),"642",IF(AND(L1580="641",'641'!$N$5&lt;=B1580,'641'!$O$5&gt;=B1580),"641",""))))</f>
        <v/>
      </c>
      <c r="V1580" s="51" t="str">
        <f>IF(OR(TH!L1580=TH!$V$7,M1580=TH!$V$7),"x","")</f>
        <v/>
      </c>
      <c r="W1580" s="51" t="str">
        <f>IF(AND(B1580&gt;='IN-NX'!$P$3,B1580&lt;='IN-NX'!$Q$3,'IN-NX'!$D$7=D1580,OR(LEFT(L1580,2)="15",AND(LEFT(M1580,2)&lt;&gt;"15",LEFT(M1580,2)&lt;&gt;"33"))),"x","")</f>
        <v/>
      </c>
      <c r="X1580" s="51" t="str">
        <f>IF(AND(OR(LEFT(TH!L1580,2)="15",LEFT(TH!M1580,2)="15"),'152-CT'!$J$8=TH!F1580),"x","")</f>
        <v/>
      </c>
      <c r="Y1580" s="51" t="str">
        <f>IF(AND(OR(LEFT(TH!L1580,2)="15",LEFT(TH!M1580,2)="15"),TK!$E$7=TH!F1580),"x","")</f>
        <v/>
      </c>
      <c r="Z1580" s="51" t="str">
        <f>IF(AND(B1580&lt;=NKC!$N$8,B1580&gt;=NKC!$M$8),"x","")</f>
        <v/>
      </c>
      <c r="AA1580" s="803"/>
    </row>
    <row r="1581" spans="1:28" ht="15.75" customHeight="1">
      <c r="A1581" s="804" t="str">
        <f>IF(B1581&lt;&gt;"",IF(AND(B1581&gt;=_TM1,B1581&lt;=_TM2,OR(TH!L1581="1111",TH!M1581="1111")),TH!D1581,""),"")</f>
        <v/>
      </c>
      <c r="B1581" s="36">
        <f t="shared" si="105"/>
        <v>10</v>
      </c>
      <c r="C1581" s="189">
        <f t="shared" si="106"/>
        <v>42290</v>
      </c>
      <c r="D1581" s="830" t="s">
        <v>1285</v>
      </c>
      <c r="E1581" s="830">
        <v>42290</v>
      </c>
      <c r="F1581" s="836" t="s">
        <v>620</v>
      </c>
      <c r="G1581" s="832" t="s">
        <v>1069</v>
      </c>
      <c r="H1581" s="833" t="s">
        <v>1259</v>
      </c>
      <c r="I1581" s="241">
        <v>156</v>
      </c>
      <c r="J1581" s="241">
        <v>10080</v>
      </c>
      <c r="K1581" s="834">
        <f t="shared" si="107"/>
        <v>1572480</v>
      </c>
      <c r="L1581" s="835" t="s">
        <v>162</v>
      </c>
      <c r="M1581" s="835" t="s">
        <v>417</v>
      </c>
      <c r="N1581" s="51" t="str">
        <f>IF(AND('331-CT'!$E$7=TH!H1581,OR(L1581="331",M1581="331")),"331",IF(AND(OR(L1581="131",M1581="131"),H1581='131-CT'!$E$7),"131",""))</f>
        <v/>
      </c>
      <c r="O1581" s="51" t="str">
        <f>IF(AND($B1581&gt;='111'!$N$11,$B1581&lt;='111'!$O$11,OR($L1581=$O$7,$M1581=$O$7)),"x","")</f>
        <v/>
      </c>
      <c r="P1581" s="51" t="str">
        <f>IF(AND($L1581=$O$7,$B1581&lt;'111'!$N$11),"x","")</f>
        <v/>
      </c>
      <c r="Q1581" s="51" t="str">
        <f>IF(AND($M1581=$O$7,$B1581&lt;'111'!$N$11),"x","")</f>
        <v/>
      </c>
      <c r="R1581" s="51" t="str">
        <f>IF(ISERROR(FIND('112'!$M$9,G1581,1)),"",IF((AND(FIND('112'!$M$9,G1581,1)&gt;=1,$B1581&gt;='112'!$N$8,$B1581&lt;='112'!$O$8,OR($L1581='112'!$I$6,$M1581='112'!$I$6))),"x",""))</f>
        <v/>
      </c>
      <c r="S1581" s="51" t="str">
        <f>IF(ISERROR(FIND('112'!$M$9,G1581,1)),"",IF((AND(LEFT(G1581,2)=LEFT('112'!$M$9,2),B1581&lt;'112'!$N$8,$L1581='112'!$I$6)),"x",""))</f>
        <v/>
      </c>
      <c r="T1581" s="51" t="str">
        <f>IF(ISERROR(FIND('112'!$M$9,G1581,1)),"",IF((AND(RIGHT(G1581,2)=RIGHT('112'!$M$9,2),B1581&lt;'112'!$N$8,$M1581='112'!$I$6)),"x",""))</f>
        <v/>
      </c>
      <c r="U1581" s="51" t="str">
        <f>IF(AND(L1581="154",'154'!$O$5&lt;=B1581,'154'!$P$5&gt;=B1581),"154",IF(AND(L1581="632",'632'!$L$5&lt;=B1581,'632'!$M$5&gt;=B1581),"632",IF(AND(L1581="642",'642'!$N$5&lt;=B1581,'642'!$O$5&gt;=B1581),"642",IF(AND(L1581="641",'641'!$N$5&lt;=B1581,'641'!$O$5&gt;=B1581),"641",""))))</f>
        <v/>
      </c>
      <c r="V1581" s="51" t="str">
        <f>IF(OR(TH!L1581=TH!$V$7,M1581=TH!$V$7),"x","")</f>
        <v/>
      </c>
      <c r="W1581" s="51" t="str">
        <f>IF(AND(B1581&gt;='IN-NX'!$P$3,B1581&lt;='IN-NX'!$Q$3,'IN-NX'!$D$7=D1581,OR(LEFT(L1581,2)="15",AND(LEFT(M1581,2)&lt;&gt;"15",LEFT(M1581,2)&lt;&gt;"33"))),"x","")</f>
        <v/>
      </c>
      <c r="X1581" s="51" t="str">
        <f>IF(AND(OR(LEFT(TH!L1581,2)="15",LEFT(TH!M1581,2)="15"),'152-CT'!$J$8=TH!F1581),"x","")</f>
        <v/>
      </c>
      <c r="Y1581" s="51" t="str">
        <f>IF(AND(OR(LEFT(TH!L1581,2)="15",LEFT(TH!M1581,2)="15"),TK!$E$7=TH!F1581),"x","")</f>
        <v/>
      </c>
      <c r="Z1581" s="51" t="str">
        <f>IF(AND(B1581&lt;=NKC!$N$8,B1581&gt;=NKC!$M$8),"x","")</f>
        <v/>
      </c>
      <c r="AA1581" s="803"/>
    </row>
    <row r="1582" spans="1:28" ht="15.75" customHeight="1">
      <c r="A1582" s="804" t="str">
        <f>IF(B1582&lt;&gt;"",IF(AND(B1582&gt;=_TM1,B1582&lt;=_TM2,OR(TH!L1582="1111",TH!M1582="1111")),TH!D1582,""),"")</f>
        <v/>
      </c>
      <c r="B1582" s="36">
        <f t="shared" si="105"/>
        <v>10</v>
      </c>
      <c r="C1582" s="189">
        <f t="shared" si="106"/>
        <v>42292</v>
      </c>
      <c r="D1582" s="830" t="s">
        <v>1285</v>
      </c>
      <c r="E1582" s="830">
        <v>42292</v>
      </c>
      <c r="F1582" s="836" t="s">
        <v>623</v>
      </c>
      <c r="G1582" s="832" t="s">
        <v>1071</v>
      </c>
      <c r="H1582" s="833" t="s">
        <v>1259</v>
      </c>
      <c r="I1582" s="241">
        <v>650</v>
      </c>
      <c r="J1582" s="241">
        <v>30920.138461538463</v>
      </c>
      <c r="K1582" s="834">
        <f t="shared" si="107"/>
        <v>20098090</v>
      </c>
      <c r="L1582" s="835" t="s">
        <v>162</v>
      </c>
      <c r="M1582" s="835" t="s">
        <v>417</v>
      </c>
      <c r="N1582" s="51" t="str">
        <f>IF(AND('331-CT'!$E$7=TH!H1582,OR(L1582="331",M1582="331")),"331",IF(AND(OR(L1582="131",M1582="131"),H1582='131-CT'!$E$7),"131",""))</f>
        <v/>
      </c>
      <c r="O1582" s="51" t="str">
        <f>IF(AND($B1582&gt;='111'!$N$11,$B1582&lt;='111'!$O$11,OR($L1582=$O$7,$M1582=$O$7)),"x","")</f>
        <v/>
      </c>
      <c r="P1582" s="51" t="str">
        <f>IF(AND($L1582=$O$7,$B1582&lt;'111'!$N$11),"x","")</f>
        <v/>
      </c>
      <c r="Q1582" s="51" t="str">
        <f>IF(AND($M1582=$O$7,$B1582&lt;'111'!$N$11),"x","")</f>
        <v/>
      </c>
      <c r="R1582" s="51" t="str">
        <f>IF(ISERROR(FIND('112'!$M$9,G1582,1)),"",IF((AND(FIND('112'!$M$9,G1582,1)&gt;=1,$B1582&gt;='112'!$N$8,$B1582&lt;='112'!$O$8,OR($L1582='112'!$I$6,$M1582='112'!$I$6))),"x",""))</f>
        <v/>
      </c>
      <c r="S1582" s="51" t="str">
        <f>IF(ISERROR(FIND('112'!$M$9,G1582,1)),"",IF((AND(LEFT(G1582,2)=LEFT('112'!$M$9,2),B1582&lt;'112'!$N$8,$L1582='112'!$I$6)),"x",""))</f>
        <v/>
      </c>
      <c r="T1582" s="51" t="str">
        <f>IF(ISERROR(FIND('112'!$M$9,G1582,1)),"",IF((AND(RIGHT(G1582,2)=RIGHT('112'!$M$9,2),B1582&lt;'112'!$N$8,$M1582='112'!$I$6)),"x",""))</f>
        <v/>
      </c>
      <c r="U1582" s="51" t="str">
        <f>IF(AND(L1582="154",'154'!$O$5&lt;=B1582,'154'!$P$5&gt;=B1582),"154",IF(AND(L1582="632",'632'!$L$5&lt;=B1582,'632'!$M$5&gt;=B1582),"632",IF(AND(L1582="642",'642'!$N$5&lt;=B1582,'642'!$O$5&gt;=B1582),"642",IF(AND(L1582="641",'641'!$N$5&lt;=B1582,'641'!$O$5&gt;=B1582),"641",""))))</f>
        <v/>
      </c>
      <c r="V1582" s="51" t="str">
        <f>IF(OR(TH!L1582=TH!$V$7,M1582=TH!$V$7),"x","")</f>
        <v/>
      </c>
      <c r="W1582" s="51" t="str">
        <f>IF(AND(B1582&gt;='IN-NX'!$P$3,B1582&lt;='IN-NX'!$Q$3,'IN-NX'!$D$7=D1582,OR(LEFT(L1582,2)="15",AND(LEFT(M1582,2)&lt;&gt;"15",LEFT(M1582,2)&lt;&gt;"33"))),"x","")</f>
        <v/>
      </c>
      <c r="X1582" s="51" t="str">
        <f>IF(AND(OR(LEFT(TH!L1582,2)="15",LEFT(TH!M1582,2)="15"),'152-CT'!$J$8=TH!F1582),"x","")</f>
        <v/>
      </c>
      <c r="Y1582" s="51" t="str">
        <f>IF(AND(OR(LEFT(TH!L1582,2)="15",LEFT(TH!M1582,2)="15"),TK!$E$7=TH!F1582),"x","")</f>
        <v/>
      </c>
      <c r="Z1582" s="51" t="str">
        <f>IF(AND(B1582&lt;=NKC!$N$8,B1582&gt;=NKC!$M$8),"x","")</f>
        <v/>
      </c>
      <c r="AA1582" s="803"/>
    </row>
    <row r="1583" spans="1:28" ht="15.75" customHeight="1">
      <c r="A1583" s="804" t="str">
        <f>IF(B1583&lt;&gt;"",IF(AND(B1583&gt;=_TM1,B1583&lt;=_TM2,OR(TH!L1583="1111",TH!M1583="1111")),TH!D1583,""),"")</f>
        <v/>
      </c>
      <c r="B1583" s="36">
        <f t="shared" si="105"/>
        <v>10</v>
      </c>
      <c r="C1583" s="189">
        <f t="shared" si="106"/>
        <v>42292</v>
      </c>
      <c r="D1583" s="830" t="s">
        <v>1285</v>
      </c>
      <c r="E1583" s="830">
        <v>42292</v>
      </c>
      <c r="F1583" s="836" t="s">
        <v>624</v>
      </c>
      <c r="G1583" s="832" t="s">
        <v>1071</v>
      </c>
      <c r="H1583" s="833" t="s">
        <v>1259</v>
      </c>
      <c r="I1583" s="241">
        <v>650</v>
      </c>
      <c r="J1583" s="241">
        <v>30700</v>
      </c>
      <c r="K1583" s="834">
        <f t="shared" si="107"/>
        <v>19955000</v>
      </c>
      <c r="L1583" s="835" t="s">
        <v>162</v>
      </c>
      <c r="M1583" s="835" t="s">
        <v>417</v>
      </c>
      <c r="N1583" s="51" t="str">
        <f>IF(AND('331-CT'!$E$7=TH!H1583,OR(L1583="331",M1583="331")),"331",IF(AND(OR(L1583="131",M1583="131"),H1583='131-CT'!$E$7),"131",""))</f>
        <v/>
      </c>
      <c r="O1583" s="51" t="str">
        <f>IF(AND($B1583&gt;='111'!$N$11,$B1583&lt;='111'!$O$11,OR($L1583=$O$7,$M1583=$O$7)),"x","")</f>
        <v/>
      </c>
      <c r="P1583" s="51" t="str">
        <f>IF(AND($L1583=$O$7,$B1583&lt;'111'!$N$11),"x","")</f>
        <v/>
      </c>
      <c r="Q1583" s="51" t="str">
        <f>IF(AND($M1583=$O$7,$B1583&lt;'111'!$N$11),"x","")</f>
        <v/>
      </c>
      <c r="R1583" s="51" t="str">
        <f>IF(ISERROR(FIND('112'!$M$9,G1583,1)),"",IF((AND(FIND('112'!$M$9,G1583,1)&gt;=1,$B1583&gt;='112'!$N$8,$B1583&lt;='112'!$O$8,OR($L1583='112'!$I$6,$M1583='112'!$I$6))),"x",""))</f>
        <v/>
      </c>
      <c r="S1583" s="51" t="str">
        <f>IF(ISERROR(FIND('112'!$M$9,G1583,1)),"",IF((AND(LEFT(G1583,2)=LEFT('112'!$M$9,2),B1583&lt;'112'!$N$8,$L1583='112'!$I$6)),"x",""))</f>
        <v/>
      </c>
      <c r="T1583" s="51" t="str">
        <f>IF(ISERROR(FIND('112'!$M$9,G1583,1)),"",IF((AND(RIGHT(G1583,2)=RIGHT('112'!$M$9,2),B1583&lt;'112'!$N$8,$M1583='112'!$I$6)),"x",""))</f>
        <v/>
      </c>
      <c r="U1583" s="51" t="str">
        <f>IF(AND(L1583="154",'154'!$O$5&lt;=B1583,'154'!$P$5&gt;=B1583),"154",IF(AND(L1583="632",'632'!$L$5&lt;=B1583,'632'!$M$5&gt;=B1583),"632",IF(AND(L1583="642",'642'!$N$5&lt;=B1583,'642'!$O$5&gt;=B1583),"642",IF(AND(L1583="641",'641'!$N$5&lt;=B1583,'641'!$O$5&gt;=B1583),"641",""))))</f>
        <v/>
      </c>
      <c r="V1583" s="51" t="str">
        <f>IF(OR(TH!L1583=TH!$V$7,M1583=TH!$V$7),"x","")</f>
        <v/>
      </c>
      <c r="W1583" s="51" t="str">
        <f>IF(AND(B1583&gt;='IN-NX'!$P$3,B1583&lt;='IN-NX'!$Q$3,'IN-NX'!$D$7=D1583,OR(LEFT(L1583,2)="15",AND(LEFT(M1583,2)&lt;&gt;"15",LEFT(M1583,2)&lt;&gt;"33"))),"x","")</f>
        <v/>
      </c>
      <c r="X1583" s="51" t="str">
        <f>IF(AND(OR(LEFT(TH!L1583,2)="15",LEFT(TH!M1583,2)="15"),'152-CT'!$J$8=TH!F1583),"x","")</f>
        <v/>
      </c>
      <c r="Y1583" s="51" t="str">
        <f>IF(AND(OR(LEFT(TH!L1583,2)="15",LEFT(TH!M1583,2)="15"),TK!$E$7=TH!F1583),"x","")</f>
        <v/>
      </c>
      <c r="Z1583" s="51" t="str">
        <f>IF(AND(B1583&lt;=NKC!$N$8,B1583&gt;=NKC!$M$8),"x","")</f>
        <v/>
      </c>
      <c r="AA1583" s="803"/>
    </row>
    <row r="1584" spans="1:28" ht="15.75" customHeight="1">
      <c r="A1584" s="804" t="str">
        <f>IF(B1584&lt;&gt;"",IF(AND(B1584&gt;=_TM1,B1584&lt;=_TM2,OR(TH!L1584="1111",TH!M1584="1111")),TH!D1584,""),"")</f>
        <v/>
      </c>
      <c r="B1584" s="36">
        <f t="shared" si="105"/>
        <v>10</v>
      </c>
      <c r="C1584" s="189">
        <f t="shared" si="106"/>
        <v>42292</v>
      </c>
      <c r="D1584" s="830" t="s">
        <v>1285</v>
      </c>
      <c r="E1584" s="830">
        <v>42292</v>
      </c>
      <c r="F1584" s="836" t="s">
        <v>620</v>
      </c>
      <c r="G1584" s="832" t="s">
        <v>1071</v>
      </c>
      <c r="H1584" s="833" t="s">
        <v>1259</v>
      </c>
      <c r="I1584" s="241">
        <v>2100</v>
      </c>
      <c r="J1584" s="241">
        <v>14000</v>
      </c>
      <c r="K1584" s="834">
        <f t="shared" si="107"/>
        <v>29400000</v>
      </c>
      <c r="L1584" s="835" t="s">
        <v>162</v>
      </c>
      <c r="M1584" s="835" t="s">
        <v>417</v>
      </c>
      <c r="N1584" s="51" t="str">
        <f>IF(AND('331-CT'!$E$7=TH!H1584,OR(L1584="331",M1584="331")),"331",IF(AND(OR(L1584="131",M1584="131"),H1584='131-CT'!$E$7),"131",""))</f>
        <v/>
      </c>
      <c r="O1584" s="51" t="str">
        <f>IF(AND($B1584&gt;='111'!$N$11,$B1584&lt;='111'!$O$11,OR($L1584=$O$7,$M1584=$O$7)),"x","")</f>
        <v/>
      </c>
      <c r="P1584" s="51" t="str">
        <f>IF(AND($L1584=$O$7,$B1584&lt;'111'!$N$11),"x","")</f>
        <v/>
      </c>
      <c r="Q1584" s="51" t="str">
        <f>IF(AND($M1584=$O$7,$B1584&lt;'111'!$N$11),"x","")</f>
        <v/>
      </c>
      <c r="R1584" s="51" t="str">
        <f>IF(ISERROR(FIND('112'!$M$9,G1584,1)),"",IF((AND(FIND('112'!$M$9,G1584,1)&gt;=1,$B1584&gt;='112'!$N$8,$B1584&lt;='112'!$O$8,OR($L1584='112'!$I$6,$M1584='112'!$I$6))),"x",""))</f>
        <v/>
      </c>
      <c r="S1584" s="51" t="str">
        <f>IF(ISERROR(FIND('112'!$M$9,G1584,1)),"",IF((AND(LEFT(G1584,2)=LEFT('112'!$M$9,2),B1584&lt;'112'!$N$8,$L1584='112'!$I$6)),"x",""))</f>
        <v/>
      </c>
      <c r="T1584" s="51" t="str">
        <f>IF(ISERROR(FIND('112'!$M$9,G1584,1)),"",IF((AND(RIGHT(G1584,2)=RIGHT('112'!$M$9,2),B1584&lt;'112'!$N$8,$M1584='112'!$I$6)),"x",""))</f>
        <v/>
      </c>
      <c r="U1584" s="51" t="str">
        <f>IF(AND(L1584="154",'154'!$O$5&lt;=B1584,'154'!$P$5&gt;=B1584),"154",IF(AND(L1584="632",'632'!$L$5&lt;=B1584,'632'!$M$5&gt;=B1584),"632",IF(AND(L1584="642",'642'!$N$5&lt;=B1584,'642'!$O$5&gt;=B1584),"642",IF(AND(L1584="641",'641'!$N$5&lt;=B1584,'641'!$O$5&gt;=B1584),"641",""))))</f>
        <v/>
      </c>
      <c r="V1584" s="51" t="str">
        <f>IF(OR(TH!L1584=TH!$V$7,M1584=TH!$V$7),"x","")</f>
        <v/>
      </c>
      <c r="W1584" s="51" t="str">
        <f>IF(AND(B1584&gt;='IN-NX'!$P$3,B1584&lt;='IN-NX'!$Q$3,'IN-NX'!$D$7=D1584,OR(LEFT(L1584,2)="15",AND(LEFT(M1584,2)&lt;&gt;"15",LEFT(M1584,2)&lt;&gt;"33"))),"x","")</f>
        <v/>
      </c>
      <c r="X1584" s="51" t="str">
        <f>IF(AND(OR(LEFT(TH!L1584,2)="15",LEFT(TH!M1584,2)="15"),'152-CT'!$J$8=TH!F1584),"x","")</f>
        <v/>
      </c>
      <c r="Y1584" s="51" t="str">
        <f>IF(AND(OR(LEFT(TH!L1584,2)="15",LEFT(TH!M1584,2)="15"),TK!$E$7=TH!F1584),"x","")</f>
        <v/>
      </c>
      <c r="Z1584" s="51" t="str">
        <f>IF(AND(B1584&lt;=NKC!$N$8,B1584&gt;=NKC!$M$8),"x","")</f>
        <v/>
      </c>
      <c r="AA1584" s="803"/>
    </row>
    <row r="1585" spans="1:27" ht="15.75" customHeight="1">
      <c r="A1585" s="804" t="str">
        <f>IF(B1585&lt;&gt;"",IF(AND(B1585&gt;=_TM1,B1585&lt;=_TM2,OR(TH!L1585="1111",TH!M1585="1111")),TH!D1585,""),"")</f>
        <v/>
      </c>
      <c r="B1585" s="36">
        <f t="shared" si="105"/>
        <v>10</v>
      </c>
      <c r="C1585" s="189">
        <f t="shared" si="106"/>
        <v>42292</v>
      </c>
      <c r="D1585" s="830" t="s">
        <v>1285</v>
      </c>
      <c r="E1585" s="830">
        <v>42292</v>
      </c>
      <c r="F1585" s="836" t="s">
        <v>621</v>
      </c>
      <c r="G1585" s="832" t="s">
        <v>1071</v>
      </c>
      <c r="H1585" s="833" t="s">
        <v>1259</v>
      </c>
      <c r="I1585" s="241">
        <v>228</v>
      </c>
      <c r="J1585" s="241">
        <v>15511.404</v>
      </c>
      <c r="K1585" s="834">
        <f t="shared" si="107"/>
        <v>3536600</v>
      </c>
      <c r="L1585" s="835" t="s">
        <v>162</v>
      </c>
      <c r="M1585" s="835" t="s">
        <v>417</v>
      </c>
      <c r="N1585" s="51" t="str">
        <f>IF(AND('331-CT'!$E$7=TH!H1585,OR(L1585="331",M1585="331")),"331",IF(AND(OR(L1585="131",M1585="131"),H1585='131-CT'!$E$7),"131",""))</f>
        <v/>
      </c>
      <c r="O1585" s="51" t="str">
        <f>IF(AND($B1585&gt;='111'!$N$11,$B1585&lt;='111'!$O$11,OR($L1585=$O$7,$M1585=$O$7)),"x","")</f>
        <v/>
      </c>
      <c r="P1585" s="51" t="str">
        <f>IF(AND($L1585=$O$7,$B1585&lt;'111'!$N$11),"x","")</f>
        <v/>
      </c>
      <c r="Q1585" s="51" t="str">
        <f>IF(AND($M1585=$O$7,$B1585&lt;'111'!$N$11),"x","")</f>
        <v/>
      </c>
      <c r="R1585" s="51" t="str">
        <f>IF(ISERROR(FIND('112'!$M$9,G1585,1)),"",IF((AND(FIND('112'!$M$9,G1585,1)&gt;=1,$B1585&gt;='112'!$N$8,$B1585&lt;='112'!$O$8,OR($L1585='112'!$I$6,$M1585='112'!$I$6))),"x",""))</f>
        <v/>
      </c>
      <c r="S1585" s="51" t="str">
        <f>IF(ISERROR(FIND('112'!$M$9,G1585,1)),"",IF((AND(LEFT(G1585,2)=LEFT('112'!$M$9,2),B1585&lt;'112'!$N$8,$L1585='112'!$I$6)),"x",""))</f>
        <v/>
      </c>
      <c r="T1585" s="51" t="str">
        <f>IF(ISERROR(FIND('112'!$M$9,G1585,1)),"",IF((AND(RIGHT(G1585,2)=RIGHT('112'!$M$9,2),B1585&lt;'112'!$N$8,$M1585='112'!$I$6)),"x",""))</f>
        <v/>
      </c>
      <c r="U1585" s="51" t="str">
        <f>IF(AND(L1585="154",'154'!$O$5&lt;=B1585,'154'!$P$5&gt;=B1585),"154",IF(AND(L1585="632",'632'!$L$5&lt;=B1585,'632'!$M$5&gt;=B1585),"632",IF(AND(L1585="642",'642'!$N$5&lt;=B1585,'642'!$O$5&gt;=B1585),"642",IF(AND(L1585="641",'641'!$N$5&lt;=B1585,'641'!$O$5&gt;=B1585),"641",""))))</f>
        <v/>
      </c>
      <c r="V1585" s="51" t="str">
        <f>IF(OR(TH!L1585=TH!$V$7,M1585=TH!$V$7),"x","")</f>
        <v/>
      </c>
      <c r="W1585" s="51" t="str">
        <f>IF(AND(B1585&gt;='IN-NX'!$P$3,B1585&lt;='IN-NX'!$Q$3,'IN-NX'!$D$7=D1585,OR(LEFT(L1585,2)="15",AND(LEFT(M1585,2)&lt;&gt;"15",LEFT(M1585,2)&lt;&gt;"33"))),"x","")</f>
        <v/>
      </c>
      <c r="X1585" s="51" t="str">
        <f>IF(AND(OR(LEFT(TH!L1585,2)="15",LEFT(TH!M1585,2)="15"),'152-CT'!$J$8=TH!F1585),"x","")</f>
        <v/>
      </c>
      <c r="Y1585" s="51" t="str">
        <f>IF(AND(OR(LEFT(TH!L1585,2)="15",LEFT(TH!M1585,2)="15"),TK!$E$7=TH!F1585),"x","")</f>
        <v/>
      </c>
      <c r="Z1585" s="51" t="str">
        <f>IF(AND(B1585&lt;=NKC!$N$8,B1585&gt;=NKC!$M$8),"x","")</f>
        <v/>
      </c>
      <c r="AA1585" s="803"/>
    </row>
    <row r="1586" spans="1:27" ht="15.75" customHeight="1">
      <c r="A1586" s="804" t="str">
        <f>IF(B1586&lt;&gt;"",IF(AND(B1586&gt;=_TM1,B1586&lt;=_TM2,OR(TH!L1586="1111",TH!M1586="1111")),TH!D1586,""),"")</f>
        <v/>
      </c>
      <c r="B1586" s="36">
        <f t="shared" si="105"/>
        <v>10</v>
      </c>
      <c r="C1586" s="189">
        <f t="shared" si="106"/>
        <v>42292</v>
      </c>
      <c r="D1586" s="830" t="s">
        <v>1285</v>
      </c>
      <c r="E1586" s="830">
        <v>42292</v>
      </c>
      <c r="F1586" s="836" t="s">
        <v>621</v>
      </c>
      <c r="G1586" s="832" t="s">
        <v>1071</v>
      </c>
      <c r="H1586" s="833" t="s">
        <v>1259</v>
      </c>
      <c r="I1586" s="241">
        <v>2295</v>
      </c>
      <c r="J1586" s="241">
        <v>14517.559912854031</v>
      </c>
      <c r="K1586" s="834">
        <f t="shared" si="107"/>
        <v>33317800</v>
      </c>
      <c r="L1586" s="835" t="s">
        <v>162</v>
      </c>
      <c r="M1586" s="835" t="s">
        <v>417</v>
      </c>
      <c r="N1586" s="51" t="str">
        <f>IF(AND('331-CT'!$E$7=TH!H1586,OR(L1586="331",M1586="331")),"331",IF(AND(OR(L1586="131",M1586="131"),H1586='131-CT'!$E$7),"131",""))</f>
        <v/>
      </c>
      <c r="O1586" s="51" t="str">
        <f>IF(AND($B1586&gt;='111'!$N$11,$B1586&lt;='111'!$O$11,OR($L1586=$O$7,$M1586=$O$7)),"x","")</f>
        <v/>
      </c>
      <c r="P1586" s="51" t="str">
        <f>IF(AND($L1586=$O$7,$B1586&lt;'111'!$N$11),"x","")</f>
        <v/>
      </c>
      <c r="Q1586" s="51" t="str">
        <f>IF(AND($M1586=$O$7,$B1586&lt;'111'!$N$11),"x","")</f>
        <v/>
      </c>
      <c r="R1586" s="51" t="str">
        <f>IF(ISERROR(FIND('112'!$M$9,G1586,1)),"",IF((AND(FIND('112'!$M$9,G1586,1)&gt;=1,$B1586&gt;='112'!$N$8,$B1586&lt;='112'!$O$8,OR($L1586='112'!$I$6,$M1586='112'!$I$6))),"x",""))</f>
        <v/>
      </c>
      <c r="S1586" s="51" t="str">
        <f>IF(ISERROR(FIND('112'!$M$9,G1586,1)),"",IF((AND(LEFT(G1586,2)=LEFT('112'!$M$9,2),B1586&lt;'112'!$N$8,$L1586='112'!$I$6)),"x",""))</f>
        <v/>
      </c>
      <c r="T1586" s="51" t="str">
        <f>IF(ISERROR(FIND('112'!$M$9,G1586,1)),"",IF((AND(RIGHT(G1586,2)=RIGHT('112'!$M$9,2),B1586&lt;'112'!$N$8,$M1586='112'!$I$6)),"x",""))</f>
        <v/>
      </c>
      <c r="U1586" s="51" t="str">
        <f>IF(AND(L1586="154",'154'!$O$5&lt;=B1586,'154'!$P$5&gt;=B1586),"154",IF(AND(L1586="632",'632'!$L$5&lt;=B1586,'632'!$M$5&gt;=B1586),"632",IF(AND(L1586="642",'642'!$N$5&lt;=B1586,'642'!$O$5&gt;=B1586),"642",IF(AND(L1586="641",'641'!$N$5&lt;=B1586,'641'!$O$5&gt;=B1586),"641",""))))</f>
        <v/>
      </c>
      <c r="V1586" s="51" t="str">
        <f>IF(OR(TH!L1586=TH!$V$7,M1586=TH!$V$7),"x","")</f>
        <v/>
      </c>
      <c r="W1586" s="51" t="str">
        <f>IF(AND(B1586&gt;='IN-NX'!$P$3,B1586&lt;='IN-NX'!$Q$3,'IN-NX'!$D$7=D1586,OR(LEFT(L1586,2)="15",AND(LEFT(M1586,2)&lt;&gt;"15",LEFT(M1586,2)&lt;&gt;"33"))),"x","")</f>
        <v/>
      </c>
      <c r="X1586" s="51" t="str">
        <f>IF(AND(OR(LEFT(TH!L1586,2)="15",LEFT(TH!M1586,2)="15"),'152-CT'!$J$8=TH!F1586),"x","")</f>
        <v/>
      </c>
      <c r="Y1586" s="51" t="str">
        <f>IF(AND(OR(LEFT(TH!L1586,2)="15",LEFT(TH!M1586,2)="15"),TK!$E$7=TH!F1586),"x","")</f>
        <v/>
      </c>
      <c r="Z1586" s="51" t="str">
        <f>IF(AND(B1586&lt;=NKC!$N$8,B1586&gt;=NKC!$M$8),"x","")</f>
        <v/>
      </c>
      <c r="AA1586" s="803"/>
    </row>
    <row r="1587" spans="1:27" ht="15.75" customHeight="1">
      <c r="A1587" s="804" t="str">
        <f>IF(B1587&lt;&gt;"",IF(AND(B1587&gt;=_TM1,B1587&lt;=_TM2,OR(TH!L1587="1111",TH!M1587="1111")),TH!D1587,""),"")</f>
        <v/>
      </c>
      <c r="B1587" s="36">
        <f t="shared" si="105"/>
        <v>10</v>
      </c>
      <c r="C1587" s="189">
        <f t="shared" si="106"/>
        <v>42299</v>
      </c>
      <c r="D1587" s="830" t="s">
        <v>1285</v>
      </c>
      <c r="E1587" s="830">
        <v>42299</v>
      </c>
      <c r="F1587" s="836" t="s">
        <v>757</v>
      </c>
      <c r="G1587" s="832" t="s">
        <v>1072</v>
      </c>
      <c r="H1587" s="833" t="s">
        <v>1259</v>
      </c>
      <c r="I1587" s="241">
        <v>500</v>
      </c>
      <c r="J1587" s="241">
        <v>16800</v>
      </c>
      <c r="K1587" s="834">
        <f t="shared" si="107"/>
        <v>8400000</v>
      </c>
      <c r="L1587" s="835" t="s">
        <v>162</v>
      </c>
      <c r="M1587" s="835" t="s">
        <v>417</v>
      </c>
      <c r="N1587" s="51" t="str">
        <f>IF(AND('331-CT'!$E$7=TH!H1587,OR(L1587="331",M1587="331")),"331",IF(AND(OR(L1587="131",M1587="131"),H1587='131-CT'!$E$7),"131",""))</f>
        <v/>
      </c>
      <c r="O1587" s="51" t="str">
        <f>IF(AND($B1587&gt;='111'!$N$11,$B1587&lt;='111'!$O$11,OR($L1587=$O$7,$M1587=$O$7)),"x","")</f>
        <v/>
      </c>
      <c r="P1587" s="51" t="str">
        <f>IF(AND($L1587=$O$7,$B1587&lt;'111'!$N$11),"x","")</f>
        <v/>
      </c>
      <c r="Q1587" s="51" t="str">
        <f>IF(AND($M1587=$O$7,$B1587&lt;'111'!$N$11),"x","")</f>
        <v/>
      </c>
      <c r="R1587" s="51" t="str">
        <f>IF(ISERROR(FIND('112'!$M$9,G1587,1)),"",IF((AND(FIND('112'!$M$9,G1587,1)&gt;=1,$B1587&gt;='112'!$N$8,$B1587&lt;='112'!$O$8,OR($L1587='112'!$I$6,$M1587='112'!$I$6))),"x",""))</f>
        <v/>
      </c>
      <c r="S1587" s="51" t="str">
        <f>IF(ISERROR(FIND('112'!$M$9,G1587,1)),"",IF((AND(LEFT(G1587,2)=LEFT('112'!$M$9,2),B1587&lt;'112'!$N$8,$L1587='112'!$I$6)),"x",""))</f>
        <v/>
      </c>
      <c r="T1587" s="51" t="str">
        <f>IF(ISERROR(FIND('112'!$M$9,G1587,1)),"",IF((AND(RIGHT(G1587,2)=RIGHT('112'!$M$9,2),B1587&lt;'112'!$N$8,$M1587='112'!$I$6)),"x",""))</f>
        <v/>
      </c>
      <c r="U1587" s="51" t="str">
        <f>IF(AND(L1587="154",'154'!$O$5&lt;=B1587,'154'!$P$5&gt;=B1587),"154",IF(AND(L1587="632",'632'!$L$5&lt;=B1587,'632'!$M$5&gt;=B1587),"632",IF(AND(L1587="642",'642'!$N$5&lt;=B1587,'642'!$O$5&gt;=B1587),"642",IF(AND(L1587="641",'641'!$N$5&lt;=B1587,'641'!$O$5&gt;=B1587),"641",""))))</f>
        <v/>
      </c>
      <c r="V1587" s="51" t="str">
        <f>IF(OR(TH!L1587=TH!$V$7,M1587=TH!$V$7),"x","")</f>
        <v/>
      </c>
      <c r="W1587" s="51" t="str">
        <f>IF(AND(B1587&gt;='IN-NX'!$P$3,B1587&lt;='IN-NX'!$Q$3,'IN-NX'!$D$7=D1587,OR(LEFT(L1587,2)="15",AND(LEFT(M1587,2)&lt;&gt;"15",LEFT(M1587,2)&lt;&gt;"33"))),"x","")</f>
        <v/>
      </c>
      <c r="X1587" s="51" t="str">
        <f>IF(AND(OR(LEFT(TH!L1587,2)="15",LEFT(TH!M1587,2)="15"),'152-CT'!$J$8=TH!F1587),"x","")</f>
        <v/>
      </c>
      <c r="Y1587" s="51" t="str">
        <f>IF(AND(OR(LEFT(TH!L1587,2)="15",LEFT(TH!M1587,2)="15"),TK!$E$7=TH!F1587),"x","")</f>
        <v/>
      </c>
      <c r="Z1587" s="51" t="str">
        <f>IF(AND(B1587&lt;=NKC!$N$8,B1587&gt;=NKC!$M$8),"x","")</f>
        <v/>
      </c>
      <c r="AA1587" s="803"/>
    </row>
    <row r="1588" spans="1:27" ht="15.75" customHeight="1">
      <c r="A1588" s="804" t="str">
        <f>IF(B1588&lt;&gt;"",IF(AND(B1588&gt;=_TM1,B1588&lt;=_TM2,OR(TH!L1588="1111",TH!M1588="1111")),TH!D1588,""),"")</f>
        <v/>
      </c>
      <c r="B1588" s="36">
        <f t="shared" si="105"/>
        <v>10</v>
      </c>
      <c r="C1588" s="189">
        <f t="shared" si="106"/>
        <v>42300</v>
      </c>
      <c r="D1588" s="830" t="s">
        <v>1285</v>
      </c>
      <c r="E1588" s="830">
        <v>42300</v>
      </c>
      <c r="F1588" s="836" t="s">
        <v>758</v>
      </c>
      <c r="G1588" s="832" t="s">
        <v>1074</v>
      </c>
      <c r="H1588" s="833" t="s">
        <v>1259</v>
      </c>
      <c r="I1588" s="241">
        <v>40</v>
      </c>
      <c r="J1588" s="241">
        <v>17626</v>
      </c>
      <c r="K1588" s="834">
        <f t="shared" si="107"/>
        <v>705040</v>
      </c>
      <c r="L1588" s="835" t="s">
        <v>162</v>
      </c>
      <c r="M1588" s="835" t="s">
        <v>417</v>
      </c>
      <c r="N1588" s="51" t="str">
        <f>IF(AND('331-CT'!$E$7=TH!H1588,OR(L1588="331",M1588="331")),"331",IF(AND(OR(L1588="131",M1588="131"),H1588='131-CT'!$E$7),"131",""))</f>
        <v/>
      </c>
      <c r="O1588" s="51" t="str">
        <f>IF(AND($B1588&gt;='111'!$N$11,$B1588&lt;='111'!$O$11,OR($L1588=$O$7,$M1588=$O$7)),"x","")</f>
        <v/>
      </c>
      <c r="P1588" s="51" t="str">
        <f>IF(AND($L1588=$O$7,$B1588&lt;'111'!$N$11),"x","")</f>
        <v/>
      </c>
      <c r="Q1588" s="51" t="str">
        <f>IF(AND($M1588=$O$7,$B1588&lt;'111'!$N$11),"x","")</f>
        <v/>
      </c>
      <c r="R1588" s="51" t="str">
        <f>IF(ISERROR(FIND('112'!$M$9,G1588,1)),"",IF((AND(FIND('112'!$M$9,G1588,1)&gt;=1,$B1588&gt;='112'!$N$8,$B1588&lt;='112'!$O$8,OR($L1588='112'!$I$6,$M1588='112'!$I$6))),"x",""))</f>
        <v/>
      </c>
      <c r="S1588" s="51" t="str">
        <f>IF(ISERROR(FIND('112'!$M$9,G1588,1)),"",IF((AND(LEFT(G1588,2)=LEFT('112'!$M$9,2),B1588&lt;'112'!$N$8,$L1588='112'!$I$6)),"x",""))</f>
        <v/>
      </c>
      <c r="T1588" s="51" t="str">
        <f>IF(ISERROR(FIND('112'!$M$9,G1588,1)),"",IF((AND(RIGHT(G1588,2)=RIGHT('112'!$M$9,2),B1588&lt;'112'!$N$8,$M1588='112'!$I$6)),"x",""))</f>
        <v/>
      </c>
      <c r="U1588" s="51" t="str">
        <f>IF(AND(L1588="154",'154'!$O$5&lt;=B1588,'154'!$P$5&gt;=B1588),"154",IF(AND(L1588="632",'632'!$L$5&lt;=B1588,'632'!$M$5&gt;=B1588),"632",IF(AND(L1588="642",'642'!$N$5&lt;=B1588,'642'!$O$5&gt;=B1588),"642",IF(AND(L1588="641",'641'!$N$5&lt;=B1588,'641'!$O$5&gt;=B1588),"641",""))))</f>
        <v/>
      </c>
      <c r="V1588" s="51" t="str">
        <f>IF(OR(TH!L1588=TH!$V$7,M1588=TH!$V$7),"x","")</f>
        <v/>
      </c>
      <c r="W1588" s="51" t="str">
        <f>IF(AND(B1588&gt;='IN-NX'!$P$3,B1588&lt;='IN-NX'!$Q$3,'IN-NX'!$D$7=D1588,OR(LEFT(L1588,2)="15",AND(LEFT(M1588,2)&lt;&gt;"15",LEFT(M1588,2)&lt;&gt;"33"))),"x","")</f>
        <v/>
      </c>
      <c r="X1588" s="51" t="str">
        <f>IF(AND(OR(LEFT(TH!L1588,2)="15",LEFT(TH!M1588,2)="15"),'152-CT'!$J$8=TH!F1588),"x","")</f>
        <v/>
      </c>
      <c r="Y1588" s="51" t="str">
        <f>IF(AND(OR(LEFT(TH!L1588,2)="15",LEFT(TH!M1588,2)="15"),TK!$E$7=TH!F1588),"x","")</f>
        <v/>
      </c>
      <c r="Z1588" s="51" t="str">
        <f>IF(AND(B1588&lt;=NKC!$N$8,B1588&gt;=NKC!$M$8),"x","")</f>
        <v/>
      </c>
      <c r="AA1588" s="803"/>
    </row>
    <row r="1589" spans="1:27" ht="15.75" customHeight="1">
      <c r="A1589" s="804" t="str">
        <f>IF(B1589&lt;&gt;"",IF(AND(B1589&gt;=_TM1,B1589&lt;=_TM2,OR(TH!L1589="1111",TH!M1589="1111")),TH!D1589,""),"")</f>
        <v/>
      </c>
      <c r="B1589" s="36">
        <f t="shared" si="105"/>
        <v>10</v>
      </c>
      <c r="C1589" s="189">
        <f t="shared" si="106"/>
        <v>42300</v>
      </c>
      <c r="D1589" s="830" t="s">
        <v>1285</v>
      </c>
      <c r="E1589" s="830">
        <v>42300</v>
      </c>
      <c r="F1589" s="836" t="s">
        <v>759</v>
      </c>
      <c r="G1589" s="832" t="s">
        <v>1074</v>
      </c>
      <c r="H1589" s="833" t="s">
        <v>1259</v>
      </c>
      <c r="I1589" s="241">
        <v>200</v>
      </c>
      <c r="J1589" s="241">
        <v>2389</v>
      </c>
      <c r="K1589" s="834">
        <f t="shared" si="107"/>
        <v>477800</v>
      </c>
      <c r="L1589" s="835" t="s">
        <v>162</v>
      </c>
      <c r="M1589" s="835" t="s">
        <v>417</v>
      </c>
      <c r="N1589" s="51" t="str">
        <f>IF(AND('331-CT'!$E$7=TH!H1589,OR(L1589="331",M1589="331")),"331",IF(AND(OR(L1589="131",M1589="131"),H1589='131-CT'!$E$7),"131",""))</f>
        <v/>
      </c>
      <c r="O1589" s="51" t="str">
        <f>IF(AND($B1589&gt;='111'!$N$11,$B1589&lt;='111'!$O$11,OR($L1589=$O$7,$M1589=$O$7)),"x","")</f>
        <v/>
      </c>
      <c r="P1589" s="51" t="str">
        <f>IF(AND($L1589=$O$7,$B1589&lt;'111'!$N$11),"x","")</f>
        <v/>
      </c>
      <c r="Q1589" s="51" t="str">
        <f>IF(AND($M1589=$O$7,$B1589&lt;'111'!$N$11),"x","")</f>
        <v/>
      </c>
      <c r="R1589" s="51" t="str">
        <f>IF(ISERROR(FIND('112'!$M$9,G1589,1)),"",IF((AND(FIND('112'!$M$9,G1589,1)&gt;=1,$B1589&gt;='112'!$N$8,$B1589&lt;='112'!$O$8,OR($L1589='112'!$I$6,$M1589='112'!$I$6))),"x",""))</f>
        <v/>
      </c>
      <c r="S1589" s="51" t="str">
        <f>IF(ISERROR(FIND('112'!$M$9,G1589,1)),"",IF((AND(LEFT(G1589,2)=LEFT('112'!$M$9,2),B1589&lt;'112'!$N$8,$L1589='112'!$I$6)),"x",""))</f>
        <v/>
      </c>
      <c r="T1589" s="51" t="str">
        <f>IF(ISERROR(FIND('112'!$M$9,G1589,1)),"",IF((AND(RIGHT(G1589,2)=RIGHT('112'!$M$9,2),B1589&lt;'112'!$N$8,$M1589='112'!$I$6)),"x",""))</f>
        <v/>
      </c>
      <c r="U1589" s="51" t="str">
        <f>IF(AND(L1589="154",'154'!$O$5&lt;=B1589,'154'!$P$5&gt;=B1589),"154",IF(AND(L1589="632",'632'!$L$5&lt;=B1589,'632'!$M$5&gt;=B1589),"632",IF(AND(L1589="642",'642'!$N$5&lt;=B1589,'642'!$O$5&gt;=B1589),"642",IF(AND(L1589="641",'641'!$N$5&lt;=B1589,'641'!$O$5&gt;=B1589),"641",""))))</f>
        <v/>
      </c>
      <c r="V1589" s="51" t="str">
        <f>IF(OR(TH!L1589=TH!$V$7,M1589=TH!$V$7),"x","")</f>
        <v/>
      </c>
      <c r="W1589" s="51" t="str">
        <f>IF(AND(B1589&gt;='IN-NX'!$P$3,B1589&lt;='IN-NX'!$Q$3,'IN-NX'!$D$7=D1589,OR(LEFT(L1589,2)="15",AND(LEFT(M1589,2)&lt;&gt;"15",LEFT(M1589,2)&lt;&gt;"33"))),"x","")</f>
        <v/>
      </c>
      <c r="X1589" s="51" t="str">
        <f>IF(AND(OR(LEFT(TH!L1589,2)="15",LEFT(TH!M1589,2)="15"),'152-CT'!$J$8=TH!F1589),"x","")</f>
        <v/>
      </c>
      <c r="Y1589" s="51" t="str">
        <f>IF(AND(OR(LEFT(TH!L1589,2)="15",LEFT(TH!M1589,2)="15"),TK!$E$7=TH!F1589),"x","")</f>
        <v/>
      </c>
      <c r="Z1589" s="51" t="str">
        <f>IF(AND(B1589&lt;=NKC!$N$8,B1589&gt;=NKC!$M$8),"x","")</f>
        <v/>
      </c>
      <c r="AA1589" s="803"/>
    </row>
    <row r="1590" spans="1:27" ht="15.75" customHeight="1">
      <c r="A1590" s="804" t="str">
        <f>IF(B1590&lt;&gt;"",IF(AND(B1590&gt;=_TM1,B1590&lt;=_TM2,OR(TH!L1590="1111",TH!M1590="1111")),TH!D1590,""),"")</f>
        <v/>
      </c>
      <c r="B1590" s="36">
        <f t="shared" si="105"/>
        <v>10</v>
      </c>
      <c r="C1590" s="189">
        <f t="shared" si="106"/>
        <v>42301</v>
      </c>
      <c r="D1590" s="830" t="s">
        <v>1285</v>
      </c>
      <c r="E1590" s="830">
        <v>42301</v>
      </c>
      <c r="F1590" s="836" t="s">
        <v>620</v>
      </c>
      <c r="G1590" s="832" t="s">
        <v>1076</v>
      </c>
      <c r="H1590" s="833" t="s">
        <v>1259</v>
      </c>
      <c r="I1590" s="241">
        <v>1000</v>
      </c>
      <c r="J1590" s="241">
        <v>10080</v>
      </c>
      <c r="K1590" s="834">
        <f t="shared" si="107"/>
        <v>10080000</v>
      </c>
      <c r="L1590" s="835" t="s">
        <v>162</v>
      </c>
      <c r="M1590" s="835" t="s">
        <v>417</v>
      </c>
      <c r="N1590" s="51" t="str">
        <f>IF(AND('331-CT'!$E$7=TH!H1590,OR(L1590="331",M1590="331")),"331",IF(AND(OR(L1590="131",M1590="131"),H1590='131-CT'!$E$7),"131",""))</f>
        <v/>
      </c>
      <c r="O1590" s="51" t="str">
        <f>IF(AND($B1590&gt;='111'!$N$11,$B1590&lt;='111'!$O$11,OR($L1590=$O$7,$M1590=$O$7)),"x","")</f>
        <v/>
      </c>
      <c r="P1590" s="51" t="str">
        <f>IF(AND($L1590=$O$7,$B1590&lt;'111'!$N$11),"x","")</f>
        <v/>
      </c>
      <c r="Q1590" s="51" t="str">
        <f>IF(AND($M1590=$O$7,$B1590&lt;'111'!$N$11),"x","")</f>
        <v/>
      </c>
      <c r="R1590" s="51" t="str">
        <f>IF(ISERROR(FIND('112'!$M$9,G1590,1)),"",IF((AND(FIND('112'!$M$9,G1590,1)&gt;=1,$B1590&gt;='112'!$N$8,$B1590&lt;='112'!$O$8,OR($L1590='112'!$I$6,$M1590='112'!$I$6))),"x",""))</f>
        <v/>
      </c>
      <c r="S1590" s="51" t="str">
        <f>IF(ISERROR(FIND('112'!$M$9,G1590,1)),"",IF((AND(LEFT(G1590,2)=LEFT('112'!$M$9,2),B1590&lt;'112'!$N$8,$L1590='112'!$I$6)),"x",""))</f>
        <v/>
      </c>
      <c r="T1590" s="51" t="str">
        <f>IF(ISERROR(FIND('112'!$M$9,G1590,1)),"",IF((AND(RIGHT(G1590,2)=RIGHT('112'!$M$9,2),B1590&lt;'112'!$N$8,$M1590='112'!$I$6)),"x",""))</f>
        <v/>
      </c>
      <c r="U1590" s="51" t="str">
        <f>IF(AND(L1590="154",'154'!$O$5&lt;=B1590,'154'!$P$5&gt;=B1590),"154",IF(AND(L1590="632",'632'!$L$5&lt;=B1590,'632'!$M$5&gt;=B1590),"632",IF(AND(L1590="642",'642'!$N$5&lt;=B1590,'642'!$O$5&gt;=B1590),"642",IF(AND(L1590="641",'641'!$N$5&lt;=B1590,'641'!$O$5&gt;=B1590),"641",""))))</f>
        <v/>
      </c>
      <c r="V1590" s="51" t="str">
        <f>IF(OR(TH!L1590=TH!$V$7,M1590=TH!$V$7),"x","")</f>
        <v/>
      </c>
      <c r="W1590" s="51" t="str">
        <f>IF(AND(B1590&gt;='IN-NX'!$P$3,B1590&lt;='IN-NX'!$Q$3,'IN-NX'!$D$7=D1590,OR(LEFT(L1590,2)="15",AND(LEFT(M1590,2)&lt;&gt;"15",LEFT(M1590,2)&lt;&gt;"33"))),"x","")</f>
        <v/>
      </c>
      <c r="X1590" s="51" t="str">
        <f>IF(AND(OR(LEFT(TH!L1590,2)="15",LEFT(TH!M1590,2)="15"),'152-CT'!$J$8=TH!F1590),"x","")</f>
        <v/>
      </c>
      <c r="Y1590" s="51" t="str">
        <f>IF(AND(OR(LEFT(TH!L1590,2)="15",LEFT(TH!M1590,2)="15"),TK!$E$7=TH!F1590),"x","")</f>
        <v/>
      </c>
      <c r="Z1590" s="51" t="str">
        <f>IF(AND(B1590&lt;=NKC!$N$8,B1590&gt;=NKC!$M$8),"x","")</f>
        <v/>
      </c>
      <c r="AA1590" s="803"/>
    </row>
    <row r="1591" spans="1:27" ht="15.75" customHeight="1">
      <c r="A1591" s="804" t="str">
        <f>IF(B1591&lt;&gt;"",IF(AND(B1591&gt;=_TM1,B1591&lt;=_TM2,OR(TH!L1591="1111",TH!M1591="1111")),TH!D1591,""),"")</f>
        <v/>
      </c>
      <c r="B1591" s="36">
        <f t="shared" si="105"/>
        <v>10</v>
      </c>
      <c r="C1591" s="189">
        <f t="shared" si="106"/>
        <v>42301</v>
      </c>
      <c r="D1591" s="830" t="s">
        <v>1285</v>
      </c>
      <c r="E1591" s="830">
        <v>42301</v>
      </c>
      <c r="F1591" s="836" t="s">
        <v>621</v>
      </c>
      <c r="G1591" s="832" t="s">
        <v>1077</v>
      </c>
      <c r="H1591" s="833" t="s">
        <v>1259</v>
      </c>
      <c r="I1591" s="241">
        <v>1000</v>
      </c>
      <c r="J1591" s="241">
        <v>12048</v>
      </c>
      <c r="K1591" s="834">
        <f t="shared" si="107"/>
        <v>12048000</v>
      </c>
      <c r="L1591" s="835" t="s">
        <v>162</v>
      </c>
      <c r="M1591" s="835" t="s">
        <v>417</v>
      </c>
      <c r="N1591" s="51" t="str">
        <f>IF(AND('331-CT'!$E$7=TH!H1591,OR(L1591="331",M1591="331")),"331",IF(AND(OR(L1591="131",M1591="131"),H1591='131-CT'!$E$7),"131",""))</f>
        <v/>
      </c>
      <c r="O1591" s="51" t="str">
        <f>IF(AND($B1591&gt;='111'!$N$11,$B1591&lt;='111'!$O$11,OR($L1591=$O$7,$M1591=$O$7)),"x","")</f>
        <v/>
      </c>
      <c r="P1591" s="51" t="str">
        <f>IF(AND($L1591=$O$7,$B1591&lt;'111'!$N$11),"x","")</f>
        <v/>
      </c>
      <c r="Q1591" s="51" t="str">
        <f>IF(AND($M1591=$O$7,$B1591&lt;'111'!$N$11),"x","")</f>
        <v/>
      </c>
      <c r="R1591" s="51" t="str">
        <f>IF(ISERROR(FIND('112'!$M$9,G1591,1)),"",IF((AND(FIND('112'!$M$9,G1591,1)&gt;=1,$B1591&gt;='112'!$N$8,$B1591&lt;='112'!$O$8,OR($L1591='112'!$I$6,$M1591='112'!$I$6))),"x",""))</f>
        <v/>
      </c>
      <c r="S1591" s="51" t="str">
        <f>IF(ISERROR(FIND('112'!$M$9,G1591,1)),"",IF((AND(LEFT(G1591,2)=LEFT('112'!$M$9,2),B1591&lt;'112'!$N$8,$L1591='112'!$I$6)),"x",""))</f>
        <v/>
      </c>
      <c r="T1591" s="51" t="str">
        <f>IF(ISERROR(FIND('112'!$M$9,G1591,1)),"",IF((AND(RIGHT(G1591,2)=RIGHT('112'!$M$9,2),B1591&lt;'112'!$N$8,$M1591='112'!$I$6)),"x",""))</f>
        <v/>
      </c>
      <c r="U1591" s="51" t="str">
        <f>IF(AND(L1591="154",'154'!$O$5&lt;=B1591,'154'!$P$5&gt;=B1591),"154",IF(AND(L1591="632",'632'!$L$5&lt;=B1591,'632'!$M$5&gt;=B1591),"632",IF(AND(L1591="642",'642'!$N$5&lt;=B1591,'642'!$O$5&gt;=B1591),"642",IF(AND(L1591="641",'641'!$N$5&lt;=B1591,'641'!$O$5&gt;=B1591),"641",""))))</f>
        <v/>
      </c>
      <c r="V1591" s="51" t="str">
        <f>IF(OR(TH!L1591=TH!$V$7,M1591=TH!$V$7),"x","")</f>
        <v/>
      </c>
      <c r="W1591" s="51" t="str">
        <f>IF(AND(B1591&gt;='IN-NX'!$P$3,B1591&lt;='IN-NX'!$Q$3,'IN-NX'!$D$7=D1591,OR(LEFT(L1591,2)="15",AND(LEFT(M1591,2)&lt;&gt;"15",LEFT(M1591,2)&lt;&gt;"33"))),"x","")</f>
        <v/>
      </c>
      <c r="X1591" s="51" t="str">
        <f>IF(AND(OR(LEFT(TH!L1591,2)="15",LEFT(TH!M1591,2)="15"),'152-CT'!$J$8=TH!F1591),"x","")</f>
        <v/>
      </c>
      <c r="Y1591" s="51" t="str">
        <f>IF(AND(OR(LEFT(TH!L1591,2)="15",LEFT(TH!M1591,2)="15"),TK!$E$7=TH!F1591),"x","")</f>
        <v/>
      </c>
      <c r="Z1591" s="51" t="str">
        <f>IF(AND(B1591&lt;=NKC!$N$8,B1591&gt;=NKC!$M$8),"x","")</f>
        <v/>
      </c>
      <c r="AA1591" s="803"/>
    </row>
    <row r="1592" spans="1:27" ht="15.75" customHeight="1">
      <c r="A1592" s="804" t="str">
        <f>IF(B1592&lt;&gt;"",IF(AND(B1592&gt;=_TM1,B1592&lt;=_TM2,OR(TH!L1592="1111",TH!M1592="1111")),TH!D1592,""),"")</f>
        <v/>
      </c>
      <c r="B1592" s="36">
        <f t="shared" si="105"/>
        <v>10</v>
      </c>
      <c r="C1592" s="189">
        <f t="shared" si="106"/>
        <v>42305</v>
      </c>
      <c r="D1592" s="830" t="s">
        <v>1285</v>
      </c>
      <c r="E1592" s="830">
        <v>42305</v>
      </c>
      <c r="F1592" s="836" t="s">
        <v>760</v>
      </c>
      <c r="G1592" s="832" t="s">
        <v>632</v>
      </c>
      <c r="H1592" s="833" t="s">
        <v>1259</v>
      </c>
      <c r="I1592" s="241">
        <v>25</v>
      </c>
      <c r="J1592" s="241">
        <v>11405</v>
      </c>
      <c r="K1592" s="834">
        <f t="shared" si="107"/>
        <v>285125</v>
      </c>
      <c r="L1592" s="835" t="s">
        <v>162</v>
      </c>
      <c r="M1592" s="835" t="s">
        <v>417</v>
      </c>
      <c r="N1592" s="51" t="str">
        <f>IF(AND('331-CT'!$E$7=TH!H1592,OR(L1592="331",M1592="331")),"331",IF(AND(OR(L1592="131",M1592="131"),H1592='131-CT'!$E$7),"131",""))</f>
        <v/>
      </c>
      <c r="O1592" s="51" t="str">
        <f>IF(AND($B1592&gt;='111'!$N$11,$B1592&lt;='111'!$O$11,OR($L1592=$O$7,$M1592=$O$7)),"x","")</f>
        <v/>
      </c>
      <c r="P1592" s="51" t="str">
        <f>IF(AND($L1592=$O$7,$B1592&lt;'111'!$N$11),"x","")</f>
        <v/>
      </c>
      <c r="Q1592" s="51" t="str">
        <f>IF(AND($M1592=$O$7,$B1592&lt;'111'!$N$11),"x","")</f>
        <v/>
      </c>
      <c r="R1592" s="51" t="str">
        <f>IF(ISERROR(FIND('112'!$M$9,G1592,1)),"",IF((AND(FIND('112'!$M$9,G1592,1)&gt;=1,$B1592&gt;='112'!$N$8,$B1592&lt;='112'!$O$8,OR($L1592='112'!$I$6,$M1592='112'!$I$6))),"x",""))</f>
        <v/>
      </c>
      <c r="S1592" s="51" t="str">
        <f>IF(ISERROR(FIND('112'!$M$9,G1592,1)),"",IF((AND(LEFT(G1592,2)=LEFT('112'!$M$9,2),B1592&lt;'112'!$N$8,$L1592='112'!$I$6)),"x",""))</f>
        <v/>
      </c>
      <c r="T1592" s="51" t="str">
        <f>IF(ISERROR(FIND('112'!$M$9,G1592,1)),"",IF((AND(RIGHT(G1592,2)=RIGHT('112'!$M$9,2),B1592&lt;'112'!$N$8,$M1592='112'!$I$6)),"x",""))</f>
        <v/>
      </c>
      <c r="U1592" s="51" t="str">
        <f>IF(AND(L1592="154",'154'!$O$5&lt;=B1592,'154'!$P$5&gt;=B1592),"154",IF(AND(L1592="632",'632'!$L$5&lt;=B1592,'632'!$M$5&gt;=B1592),"632",IF(AND(L1592="642",'642'!$N$5&lt;=B1592,'642'!$O$5&gt;=B1592),"642",IF(AND(L1592="641",'641'!$N$5&lt;=B1592,'641'!$O$5&gt;=B1592),"641",""))))</f>
        <v/>
      </c>
      <c r="V1592" s="51" t="str">
        <f>IF(OR(TH!L1592=TH!$V$7,M1592=TH!$V$7),"x","")</f>
        <v/>
      </c>
      <c r="W1592" s="51" t="str">
        <f>IF(AND(B1592&gt;='IN-NX'!$P$3,B1592&lt;='IN-NX'!$Q$3,'IN-NX'!$D$7=D1592,OR(LEFT(L1592,2)="15",AND(LEFT(M1592,2)&lt;&gt;"15",LEFT(M1592,2)&lt;&gt;"33"))),"x","")</f>
        <v/>
      </c>
      <c r="X1592" s="51" t="str">
        <f>IF(AND(OR(LEFT(TH!L1592,2)="15",LEFT(TH!M1592,2)="15"),'152-CT'!$J$8=TH!F1592),"x","")</f>
        <v/>
      </c>
      <c r="Y1592" s="51" t="str">
        <f>IF(AND(OR(LEFT(TH!L1592,2)="15",LEFT(TH!M1592,2)="15"),TK!$E$7=TH!F1592),"x","")</f>
        <v/>
      </c>
      <c r="Z1592" s="51" t="str">
        <f>IF(AND(B1592&lt;=NKC!$N$8,B1592&gt;=NKC!$M$8),"x","")</f>
        <v/>
      </c>
      <c r="AA1592" s="803"/>
    </row>
    <row r="1593" spans="1:27" ht="15.75" customHeight="1">
      <c r="A1593" s="804" t="str">
        <f>IF(B1593&lt;&gt;"",IF(AND(B1593&gt;=_TM1,B1593&lt;=_TM2,OR(TH!L1593="1111",TH!M1593="1111")),TH!D1593,""),"")</f>
        <v/>
      </c>
      <c r="B1593" s="36">
        <f t="shared" si="105"/>
        <v>10</v>
      </c>
      <c r="C1593" s="189">
        <f t="shared" si="106"/>
        <v>42305</v>
      </c>
      <c r="D1593" s="830" t="s">
        <v>1285</v>
      </c>
      <c r="E1593" s="830">
        <v>42305</v>
      </c>
      <c r="F1593" s="836" t="s">
        <v>763</v>
      </c>
      <c r="G1593" s="832" t="s">
        <v>632</v>
      </c>
      <c r="H1593" s="833" t="s">
        <v>1259</v>
      </c>
      <c r="I1593" s="241">
        <v>50</v>
      </c>
      <c r="J1593" s="241">
        <v>22429</v>
      </c>
      <c r="K1593" s="834">
        <f t="shared" si="107"/>
        <v>1121450</v>
      </c>
      <c r="L1593" s="835" t="s">
        <v>162</v>
      </c>
      <c r="M1593" s="835" t="s">
        <v>417</v>
      </c>
      <c r="N1593" s="51" t="str">
        <f>IF(AND('331-CT'!$E$7=TH!H1593,OR(L1593="331",M1593="331")),"331",IF(AND(OR(L1593="131",M1593="131"),H1593='131-CT'!$E$7),"131",""))</f>
        <v/>
      </c>
      <c r="O1593" s="51" t="str">
        <f>IF(AND($B1593&gt;='111'!$N$11,$B1593&lt;='111'!$O$11,OR($L1593=$O$7,$M1593=$O$7)),"x","")</f>
        <v/>
      </c>
      <c r="P1593" s="51" t="str">
        <f>IF(AND($L1593=$O$7,$B1593&lt;'111'!$N$11),"x","")</f>
        <v/>
      </c>
      <c r="Q1593" s="51" t="str">
        <f>IF(AND($M1593=$O$7,$B1593&lt;'111'!$N$11),"x","")</f>
        <v/>
      </c>
      <c r="R1593" s="51" t="str">
        <f>IF(ISERROR(FIND('112'!$M$9,G1593,1)),"",IF((AND(FIND('112'!$M$9,G1593,1)&gt;=1,$B1593&gt;='112'!$N$8,$B1593&lt;='112'!$O$8,OR($L1593='112'!$I$6,$M1593='112'!$I$6))),"x",""))</f>
        <v/>
      </c>
      <c r="S1593" s="51" t="str">
        <f>IF(ISERROR(FIND('112'!$M$9,G1593,1)),"",IF((AND(LEFT(G1593,2)=LEFT('112'!$M$9,2),B1593&lt;'112'!$N$8,$L1593='112'!$I$6)),"x",""))</f>
        <v/>
      </c>
      <c r="T1593" s="51" t="str">
        <f>IF(ISERROR(FIND('112'!$M$9,G1593,1)),"",IF((AND(RIGHT(G1593,2)=RIGHT('112'!$M$9,2),B1593&lt;'112'!$N$8,$M1593='112'!$I$6)),"x",""))</f>
        <v/>
      </c>
      <c r="U1593" s="51" t="str">
        <f>IF(AND(L1593="154",'154'!$O$5&lt;=B1593,'154'!$P$5&gt;=B1593),"154",IF(AND(L1593="632",'632'!$L$5&lt;=B1593,'632'!$M$5&gt;=B1593),"632",IF(AND(L1593="642",'642'!$N$5&lt;=B1593,'642'!$O$5&gt;=B1593),"642",IF(AND(L1593="641",'641'!$N$5&lt;=B1593,'641'!$O$5&gt;=B1593),"641",""))))</f>
        <v/>
      </c>
      <c r="V1593" s="51" t="str">
        <f>IF(OR(TH!L1593=TH!$V$7,M1593=TH!$V$7),"x","")</f>
        <v/>
      </c>
      <c r="W1593" s="51" t="str">
        <f>IF(AND(B1593&gt;='IN-NX'!$P$3,B1593&lt;='IN-NX'!$Q$3,'IN-NX'!$D$7=D1593,OR(LEFT(L1593,2)="15",AND(LEFT(M1593,2)&lt;&gt;"15",LEFT(M1593,2)&lt;&gt;"33"))),"x","")</f>
        <v/>
      </c>
      <c r="X1593" s="51" t="str">
        <f>IF(AND(OR(LEFT(TH!L1593,2)="15",LEFT(TH!M1593,2)="15"),'152-CT'!$J$8=TH!F1593),"x","")</f>
        <v/>
      </c>
      <c r="Y1593" s="51" t="str">
        <f>IF(AND(OR(LEFT(TH!L1593,2)="15",LEFT(TH!M1593,2)="15"),TK!$E$7=TH!F1593),"x","")</f>
        <v/>
      </c>
      <c r="Z1593" s="51" t="str">
        <f>IF(AND(B1593&lt;=NKC!$N$8,B1593&gt;=NKC!$M$8),"x","")</f>
        <v/>
      </c>
      <c r="AA1593" s="803"/>
    </row>
    <row r="1594" spans="1:27" ht="15.75" customHeight="1">
      <c r="A1594" s="804" t="str">
        <f>IF(B1594&lt;&gt;"",IF(AND(B1594&gt;=_TM1,B1594&lt;=_TM2,OR(TH!L1594="1111",TH!M1594="1111")),TH!D1594,""),"")</f>
        <v/>
      </c>
      <c r="B1594" s="36">
        <f t="shared" si="105"/>
        <v>10</v>
      </c>
      <c r="C1594" s="189">
        <f t="shared" si="106"/>
        <v>42305</v>
      </c>
      <c r="D1594" s="830" t="s">
        <v>1285</v>
      </c>
      <c r="E1594" s="830">
        <v>42305</v>
      </c>
      <c r="F1594" s="836" t="s">
        <v>761</v>
      </c>
      <c r="G1594" s="832" t="s">
        <v>632</v>
      </c>
      <c r="H1594" s="833" t="s">
        <v>1259</v>
      </c>
      <c r="I1594" s="241">
        <v>25</v>
      </c>
      <c r="J1594" s="241">
        <v>21023</v>
      </c>
      <c r="K1594" s="834">
        <f t="shared" si="107"/>
        <v>525575</v>
      </c>
      <c r="L1594" s="835" t="s">
        <v>162</v>
      </c>
      <c r="M1594" s="835" t="s">
        <v>417</v>
      </c>
      <c r="N1594" s="51" t="str">
        <f>IF(AND('331-CT'!$E$7=TH!H1594,OR(L1594="331",M1594="331")),"331",IF(AND(OR(L1594="131",M1594="131"),H1594='131-CT'!$E$7),"131",""))</f>
        <v/>
      </c>
      <c r="O1594" s="51" t="str">
        <f>IF(AND($B1594&gt;='111'!$N$11,$B1594&lt;='111'!$O$11,OR($L1594=$O$7,$M1594=$O$7)),"x","")</f>
        <v/>
      </c>
      <c r="P1594" s="51" t="str">
        <f>IF(AND($L1594=$O$7,$B1594&lt;'111'!$N$11),"x","")</f>
        <v/>
      </c>
      <c r="Q1594" s="51" t="str">
        <f>IF(AND($M1594=$O$7,$B1594&lt;'111'!$N$11),"x","")</f>
        <v/>
      </c>
      <c r="R1594" s="51" t="str">
        <f>IF(ISERROR(FIND('112'!$M$9,G1594,1)),"",IF((AND(FIND('112'!$M$9,G1594,1)&gt;=1,$B1594&gt;='112'!$N$8,$B1594&lt;='112'!$O$8,OR($L1594='112'!$I$6,$M1594='112'!$I$6))),"x",""))</f>
        <v/>
      </c>
      <c r="S1594" s="51" t="str">
        <f>IF(ISERROR(FIND('112'!$M$9,G1594,1)),"",IF((AND(LEFT(G1594,2)=LEFT('112'!$M$9,2),B1594&lt;'112'!$N$8,$L1594='112'!$I$6)),"x",""))</f>
        <v/>
      </c>
      <c r="T1594" s="51" t="str">
        <f>IF(ISERROR(FIND('112'!$M$9,G1594,1)),"",IF((AND(RIGHT(G1594,2)=RIGHT('112'!$M$9,2),B1594&lt;'112'!$N$8,$M1594='112'!$I$6)),"x",""))</f>
        <v/>
      </c>
      <c r="U1594" s="51" t="str">
        <f>IF(AND(L1594="154",'154'!$O$5&lt;=B1594,'154'!$P$5&gt;=B1594),"154",IF(AND(L1594="632",'632'!$L$5&lt;=B1594,'632'!$M$5&gt;=B1594),"632",IF(AND(L1594="642",'642'!$N$5&lt;=B1594,'642'!$O$5&gt;=B1594),"642",IF(AND(L1594="641",'641'!$N$5&lt;=B1594,'641'!$O$5&gt;=B1594),"641",""))))</f>
        <v/>
      </c>
      <c r="V1594" s="51" t="str">
        <f>IF(OR(TH!L1594=TH!$V$7,M1594=TH!$V$7),"x","")</f>
        <v/>
      </c>
      <c r="W1594" s="51" t="str">
        <f>IF(AND(B1594&gt;='IN-NX'!$P$3,B1594&lt;='IN-NX'!$Q$3,'IN-NX'!$D$7=D1594,OR(LEFT(L1594,2)="15",AND(LEFT(M1594,2)&lt;&gt;"15",LEFT(M1594,2)&lt;&gt;"33"))),"x","")</f>
        <v/>
      </c>
      <c r="X1594" s="51" t="str">
        <f>IF(AND(OR(LEFT(TH!L1594,2)="15",LEFT(TH!M1594,2)="15"),'152-CT'!$J$8=TH!F1594),"x","")</f>
        <v/>
      </c>
      <c r="Y1594" s="51" t="str">
        <f>IF(AND(OR(LEFT(TH!L1594,2)="15",LEFT(TH!M1594,2)="15"),TK!$E$7=TH!F1594),"x","")</f>
        <v/>
      </c>
      <c r="Z1594" s="51" t="str">
        <f>IF(AND(B1594&lt;=NKC!$N$8,B1594&gt;=NKC!$M$8),"x","")</f>
        <v/>
      </c>
      <c r="AA1594" s="803"/>
    </row>
    <row r="1595" spans="1:27" ht="15.75" customHeight="1">
      <c r="A1595" s="804" t="str">
        <f>IF(B1595&lt;&gt;"",IF(AND(B1595&gt;=_TM1,B1595&lt;=_TM2,OR(TH!L1595="1111",TH!M1595="1111")),TH!D1595,""),"")</f>
        <v/>
      </c>
      <c r="B1595" s="36">
        <f t="shared" si="105"/>
        <v>10</v>
      </c>
      <c r="C1595" s="189">
        <f t="shared" si="106"/>
        <v>42305</v>
      </c>
      <c r="D1595" s="830" t="s">
        <v>1285</v>
      </c>
      <c r="E1595" s="830">
        <v>42305</v>
      </c>
      <c r="F1595" s="836" t="s">
        <v>762</v>
      </c>
      <c r="G1595" s="832" t="s">
        <v>632</v>
      </c>
      <c r="H1595" s="833" t="s">
        <v>1259</v>
      </c>
      <c r="I1595" s="241">
        <v>25</v>
      </c>
      <c r="J1595" s="241">
        <v>24748</v>
      </c>
      <c r="K1595" s="834">
        <f t="shared" si="107"/>
        <v>618700</v>
      </c>
      <c r="L1595" s="835" t="s">
        <v>162</v>
      </c>
      <c r="M1595" s="835" t="s">
        <v>417</v>
      </c>
      <c r="N1595" s="51" t="str">
        <f>IF(AND('331-CT'!$E$7=TH!H1595,OR(L1595="331",M1595="331")),"331",IF(AND(OR(L1595="131",M1595="131"),H1595='131-CT'!$E$7),"131",""))</f>
        <v/>
      </c>
      <c r="O1595" s="51" t="str">
        <f>IF(AND($B1595&gt;='111'!$N$11,$B1595&lt;='111'!$O$11,OR($L1595=$O$7,$M1595=$O$7)),"x","")</f>
        <v/>
      </c>
      <c r="P1595" s="51" t="str">
        <f>IF(AND($L1595=$O$7,$B1595&lt;'111'!$N$11),"x","")</f>
        <v/>
      </c>
      <c r="Q1595" s="51" t="str">
        <f>IF(AND($M1595=$O$7,$B1595&lt;'111'!$N$11),"x","")</f>
        <v/>
      </c>
      <c r="R1595" s="51" t="str">
        <f>IF(ISERROR(FIND('112'!$M$9,G1595,1)),"",IF((AND(FIND('112'!$M$9,G1595,1)&gt;=1,$B1595&gt;='112'!$N$8,$B1595&lt;='112'!$O$8,OR($L1595='112'!$I$6,$M1595='112'!$I$6))),"x",""))</f>
        <v/>
      </c>
      <c r="S1595" s="51" t="str">
        <f>IF(ISERROR(FIND('112'!$M$9,G1595,1)),"",IF((AND(LEFT(G1595,2)=LEFT('112'!$M$9,2),B1595&lt;'112'!$N$8,$L1595='112'!$I$6)),"x",""))</f>
        <v/>
      </c>
      <c r="T1595" s="51" t="str">
        <f>IF(ISERROR(FIND('112'!$M$9,G1595,1)),"",IF((AND(RIGHT(G1595,2)=RIGHT('112'!$M$9,2),B1595&lt;'112'!$N$8,$M1595='112'!$I$6)),"x",""))</f>
        <v/>
      </c>
      <c r="U1595" s="51" t="str">
        <f>IF(AND(L1595="154",'154'!$O$5&lt;=B1595,'154'!$P$5&gt;=B1595),"154",IF(AND(L1595="632",'632'!$L$5&lt;=B1595,'632'!$M$5&gt;=B1595),"632",IF(AND(L1595="642",'642'!$N$5&lt;=B1595,'642'!$O$5&gt;=B1595),"642",IF(AND(L1595="641",'641'!$N$5&lt;=B1595,'641'!$O$5&gt;=B1595),"641",""))))</f>
        <v/>
      </c>
      <c r="V1595" s="51" t="str">
        <f>IF(OR(TH!L1595=TH!$V$7,M1595=TH!$V$7),"x","")</f>
        <v/>
      </c>
      <c r="W1595" s="51" t="str">
        <f>IF(AND(B1595&gt;='IN-NX'!$P$3,B1595&lt;='IN-NX'!$Q$3,'IN-NX'!$D$7=D1595,OR(LEFT(L1595,2)="15",AND(LEFT(M1595,2)&lt;&gt;"15",LEFT(M1595,2)&lt;&gt;"33"))),"x","")</f>
        <v/>
      </c>
      <c r="X1595" s="51" t="str">
        <f>IF(AND(OR(LEFT(TH!L1595,2)="15",LEFT(TH!M1595,2)="15"),'152-CT'!$J$8=TH!F1595),"x","")</f>
        <v/>
      </c>
      <c r="Y1595" s="51" t="str">
        <f>IF(AND(OR(LEFT(TH!L1595,2)="15",LEFT(TH!M1595,2)="15"),TK!$E$7=TH!F1595),"x","")</f>
        <v/>
      </c>
      <c r="Z1595" s="51" t="str">
        <f>IF(AND(B1595&lt;=NKC!$N$8,B1595&gt;=NKC!$M$8),"x","")</f>
        <v/>
      </c>
      <c r="AA1595" s="803"/>
    </row>
    <row r="1596" spans="1:27" ht="15.75" customHeight="1">
      <c r="A1596" s="804" t="str">
        <f>IF(B1596&lt;&gt;"",IF(AND(B1596&gt;=_TM1,B1596&lt;=_TM2,OR(TH!L1596="1111",TH!M1596="1111")),TH!D1596,""),"")</f>
        <v/>
      </c>
      <c r="B1596" s="36">
        <f t="shared" si="105"/>
        <v>10</v>
      </c>
      <c r="C1596" s="189">
        <f t="shared" si="106"/>
        <v>42305</v>
      </c>
      <c r="D1596" s="830" t="s">
        <v>1285</v>
      </c>
      <c r="E1596" s="830">
        <v>42305</v>
      </c>
      <c r="F1596" s="836" t="s">
        <v>1238</v>
      </c>
      <c r="G1596" s="832" t="s">
        <v>632</v>
      </c>
      <c r="H1596" s="833" t="s">
        <v>1259</v>
      </c>
      <c r="I1596" s="241">
        <v>95</v>
      </c>
      <c r="J1596" s="241">
        <v>11046</v>
      </c>
      <c r="K1596" s="834">
        <f t="shared" si="107"/>
        <v>1049370</v>
      </c>
      <c r="L1596" s="835" t="s">
        <v>162</v>
      </c>
      <c r="M1596" s="835" t="s">
        <v>417</v>
      </c>
      <c r="N1596" s="51" t="str">
        <f>IF(AND('331-CT'!$E$7=TH!H1596,OR(L1596="331",M1596="331")),"331",IF(AND(OR(L1596="131",M1596="131"),H1596='131-CT'!$E$7),"131",""))</f>
        <v/>
      </c>
      <c r="O1596" s="51" t="str">
        <f>IF(AND($B1596&gt;='111'!$N$11,$B1596&lt;='111'!$O$11,OR($L1596=$O$7,$M1596=$O$7)),"x","")</f>
        <v/>
      </c>
      <c r="P1596" s="51" t="str">
        <f>IF(AND($L1596=$O$7,$B1596&lt;'111'!$N$11),"x","")</f>
        <v/>
      </c>
      <c r="Q1596" s="51" t="str">
        <f>IF(AND($M1596=$O$7,$B1596&lt;'111'!$N$11),"x","")</f>
        <v/>
      </c>
      <c r="R1596" s="51" t="str">
        <f>IF(ISERROR(FIND('112'!$M$9,G1596,1)),"",IF((AND(FIND('112'!$M$9,G1596,1)&gt;=1,$B1596&gt;='112'!$N$8,$B1596&lt;='112'!$O$8,OR($L1596='112'!$I$6,$M1596='112'!$I$6))),"x",""))</f>
        <v/>
      </c>
      <c r="S1596" s="51" t="str">
        <f>IF(ISERROR(FIND('112'!$M$9,G1596,1)),"",IF((AND(LEFT(G1596,2)=LEFT('112'!$M$9,2),B1596&lt;'112'!$N$8,$L1596='112'!$I$6)),"x",""))</f>
        <v/>
      </c>
      <c r="T1596" s="51" t="str">
        <f>IF(ISERROR(FIND('112'!$M$9,G1596,1)),"",IF((AND(RIGHT(G1596,2)=RIGHT('112'!$M$9,2),B1596&lt;'112'!$N$8,$M1596='112'!$I$6)),"x",""))</f>
        <v/>
      </c>
      <c r="U1596" s="51" t="str">
        <f>IF(AND(L1596="154",'154'!$O$5&lt;=B1596,'154'!$P$5&gt;=B1596),"154",IF(AND(L1596="632",'632'!$L$5&lt;=B1596,'632'!$M$5&gt;=B1596),"632",IF(AND(L1596="642",'642'!$N$5&lt;=B1596,'642'!$O$5&gt;=B1596),"642",IF(AND(L1596="641",'641'!$N$5&lt;=B1596,'641'!$O$5&gt;=B1596),"641",""))))</f>
        <v/>
      </c>
      <c r="V1596" s="51" t="str">
        <f>IF(OR(TH!L1596=TH!$V$7,M1596=TH!$V$7),"x","")</f>
        <v/>
      </c>
      <c r="W1596" s="51" t="str">
        <f>IF(AND(B1596&gt;='IN-NX'!$P$3,B1596&lt;='IN-NX'!$Q$3,'IN-NX'!$D$7=D1596,OR(LEFT(L1596,2)="15",AND(LEFT(M1596,2)&lt;&gt;"15",LEFT(M1596,2)&lt;&gt;"33"))),"x","")</f>
        <v/>
      </c>
      <c r="X1596" s="51" t="str">
        <f>IF(AND(OR(LEFT(TH!L1596,2)="15",LEFT(TH!M1596,2)="15"),'152-CT'!$J$8=TH!F1596),"x","")</f>
        <v>x</v>
      </c>
      <c r="Y1596" s="51" t="str">
        <f>IF(AND(OR(LEFT(TH!L1596,2)="15",LEFT(TH!M1596,2)="15"),TK!$E$7=TH!F1596),"x","")</f>
        <v/>
      </c>
      <c r="Z1596" s="51" t="str">
        <f>IF(AND(B1596&lt;=NKC!$N$8,B1596&gt;=NKC!$M$8),"x","")</f>
        <v/>
      </c>
      <c r="AA1596" s="803"/>
    </row>
    <row r="1597" spans="1:27" ht="15.75" customHeight="1">
      <c r="A1597" s="804" t="str">
        <f>IF(B1597&lt;&gt;"",IF(AND(B1597&gt;=_TM1,B1597&lt;=_TM2,OR(TH!L1597="1111",TH!M1597="1111")),TH!D1597,""),"")</f>
        <v/>
      </c>
      <c r="B1597" s="36">
        <f t="shared" si="105"/>
        <v>10</v>
      </c>
      <c r="C1597" s="189">
        <f t="shared" si="106"/>
        <v>42305</v>
      </c>
      <c r="D1597" s="830" t="s">
        <v>1285</v>
      </c>
      <c r="E1597" s="830">
        <v>42305</v>
      </c>
      <c r="F1597" s="836" t="s">
        <v>768</v>
      </c>
      <c r="G1597" s="832" t="s">
        <v>632</v>
      </c>
      <c r="H1597" s="833" t="s">
        <v>1259</v>
      </c>
      <c r="I1597" s="241">
        <v>36</v>
      </c>
      <c r="J1597" s="241">
        <v>5957</v>
      </c>
      <c r="K1597" s="834">
        <f t="shared" si="107"/>
        <v>214452</v>
      </c>
      <c r="L1597" s="835" t="s">
        <v>162</v>
      </c>
      <c r="M1597" s="835" t="s">
        <v>417</v>
      </c>
      <c r="N1597" s="51" t="str">
        <f>IF(AND('331-CT'!$E$7=TH!H1597,OR(L1597="331",M1597="331")),"331",IF(AND(OR(L1597="131",M1597="131"),H1597='131-CT'!$E$7),"131",""))</f>
        <v/>
      </c>
      <c r="O1597" s="51" t="str">
        <f>IF(AND($B1597&gt;='111'!$N$11,$B1597&lt;='111'!$O$11,OR($L1597=$O$7,$M1597=$O$7)),"x","")</f>
        <v/>
      </c>
      <c r="P1597" s="51" t="str">
        <f>IF(AND($L1597=$O$7,$B1597&lt;'111'!$N$11),"x","")</f>
        <v/>
      </c>
      <c r="Q1597" s="51" t="str">
        <f>IF(AND($M1597=$O$7,$B1597&lt;'111'!$N$11),"x","")</f>
        <v/>
      </c>
      <c r="R1597" s="51" t="str">
        <f>IF(ISERROR(FIND('112'!$M$9,G1597,1)),"",IF((AND(FIND('112'!$M$9,G1597,1)&gt;=1,$B1597&gt;='112'!$N$8,$B1597&lt;='112'!$O$8,OR($L1597='112'!$I$6,$M1597='112'!$I$6))),"x",""))</f>
        <v/>
      </c>
      <c r="S1597" s="51" t="str">
        <f>IF(ISERROR(FIND('112'!$M$9,G1597,1)),"",IF((AND(LEFT(G1597,2)=LEFT('112'!$M$9,2),B1597&lt;'112'!$N$8,$L1597='112'!$I$6)),"x",""))</f>
        <v/>
      </c>
      <c r="T1597" s="51" t="str">
        <f>IF(ISERROR(FIND('112'!$M$9,G1597,1)),"",IF((AND(RIGHT(G1597,2)=RIGHT('112'!$M$9,2),B1597&lt;'112'!$N$8,$M1597='112'!$I$6)),"x",""))</f>
        <v/>
      </c>
      <c r="U1597" s="51" t="str">
        <f>IF(AND(L1597="154",'154'!$O$5&lt;=B1597,'154'!$P$5&gt;=B1597),"154",IF(AND(L1597="632",'632'!$L$5&lt;=B1597,'632'!$M$5&gt;=B1597),"632",IF(AND(L1597="642",'642'!$N$5&lt;=B1597,'642'!$O$5&gt;=B1597),"642",IF(AND(L1597="641",'641'!$N$5&lt;=B1597,'641'!$O$5&gt;=B1597),"641",""))))</f>
        <v/>
      </c>
      <c r="V1597" s="51" t="str">
        <f>IF(OR(TH!L1597=TH!$V$7,M1597=TH!$V$7),"x","")</f>
        <v/>
      </c>
      <c r="W1597" s="51" t="str">
        <f>IF(AND(B1597&gt;='IN-NX'!$P$3,B1597&lt;='IN-NX'!$Q$3,'IN-NX'!$D$7=D1597,OR(LEFT(L1597,2)="15",AND(LEFT(M1597,2)&lt;&gt;"15",LEFT(M1597,2)&lt;&gt;"33"))),"x","")</f>
        <v/>
      </c>
      <c r="X1597" s="51" t="str">
        <f>IF(AND(OR(LEFT(TH!L1597,2)="15",LEFT(TH!M1597,2)="15"),'152-CT'!$J$8=TH!F1597),"x","")</f>
        <v/>
      </c>
      <c r="Y1597" s="51" t="str">
        <f>IF(AND(OR(LEFT(TH!L1597,2)="15",LEFT(TH!M1597,2)="15"),TK!$E$7=TH!F1597),"x","")</f>
        <v/>
      </c>
      <c r="Z1597" s="51" t="str">
        <f>IF(AND(B1597&lt;=NKC!$N$8,B1597&gt;=NKC!$M$8),"x","")</f>
        <v/>
      </c>
      <c r="AA1597" s="803"/>
    </row>
    <row r="1598" spans="1:27" ht="15.75" customHeight="1">
      <c r="A1598" s="804" t="str">
        <f>IF(B1598&lt;&gt;"",IF(AND(B1598&gt;=_TM1,B1598&lt;=_TM2,OR(TH!L1598="1111",TH!M1598="1111")),TH!D1598,""),"")</f>
        <v/>
      </c>
      <c r="B1598" s="36">
        <f t="shared" si="105"/>
        <v>10</v>
      </c>
      <c r="C1598" s="189">
        <f t="shared" si="106"/>
        <v>42305</v>
      </c>
      <c r="D1598" s="830" t="s">
        <v>1285</v>
      </c>
      <c r="E1598" s="830">
        <v>42305</v>
      </c>
      <c r="F1598" s="836" t="s">
        <v>767</v>
      </c>
      <c r="G1598" s="832" t="s">
        <v>632</v>
      </c>
      <c r="H1598" s="833" t="s">
        <v>1259</v>
      </c>
      <c r="I1598" s="241">
        <v>246</v>
      </c>
      <c r="J1598" s="241">
        <v>8453</v>
      </c>
      <c r="K1598" s="834">
        <f t="shared" si="107"/>
        <v>2079438</v>
      </c>
      <c r="L1598" s="835" t="s">
        <v>162</v>
      </c>
      <c r="M1598" s="835" t="s">
        <v>417</v>
      </c>
      <c r="N1598" s="51" t="str">
        <f>IF(AND('331-CT'!$E$7=TH!H1598,OR(L1598="331",M1598="331")),"331",IF(AND(OR(L1598="131",M1598="131"),H1598='131-CT'!$E$7),"131",""))</f>
        <v/>
      </c>
      <c r="O1598" s="51" t="str">
        <f>IF(AND($B1598&gt;='111'!$N$11,$B1598&lt;='111'!$O$11,OR($L1598=$O$7,$M1598=$O$7)),"x","")</f>
        <v/>
      </c>
      <c r="P1598" s="51" t="str">
        <f>IF(AND($L1598=$O$7,$B1598&lt;'111'!$N$11),"x","")</f>
        <v/>
      </c>
      <c r="Q1598" s="51" t="str">
        <f>IF(AND($M1598=$O$7,$B1598&lt;'111'!$N$11),"x","")</f>
        <v/>
      </c>
      <c r="R1598" s="51" t="str">
        <f>IF(ISERROR(FIND('112'!$M$9,G1598,1)),"",IF((AND(FIND('112'!$M$9,G1598,1)&gt;=1,$B1598&gt;='112'!$N$8,$B1598&lt;='112'!$O$8,OR($L1598='112'!$I$6,$M1598='112'!$I$6))),"x",""))</f>
        <v/>
      </c>
      <c r="S1598" s="51" t="str">
        <f>IF(ISERROR(FIND('112'!$M$9,G1598,1)),"",IF((AND(LEFT(G1598,2)=LEFT('112'!$M$9,2),B1598&lt;'112'!$N$8,$L1598='112'!$I$6)),"x",""))</f>
        <v/>
      </c>
      <c r="T1598" s="51" t="str">
        <f>IF(ISERROR(FIND('112'!$M$9,G1598,1)),"",IF((AND(RIGHT(G1598,2)=RIGHT('112'!$M$9,2),B1598&lt;'112'!$N$8,$M1598='112'!$I$6)),"x",""))</f>
        <v/>
      </c>
      <c r="U1598" s="51" t="str">
        <f>IF(AND(L1598="154",'154'!$O$5&lt;=B1598,'154'!$P$5&gt;=B1598),"154",IF(AND(L1598="632",'632'!$L$5&lt;=B1598,'632'!$M$5&gt;=B1598),"632",IF(AND(L1598="642",'642'!$N$5&lt;=B1598,'642'!$O$5&gt;=B1598),"642",IF(AND(L1598="641",'641'!$N$5&lt;=B1598,'641'!$O$5&gt;=B1598),"641",""))))</f>
        <v/>
      </c>
      <c r="V1598" s="51" t="str">
        <f>IF(OR(TH!L1598=TH!$V$7,M1598=TH!$V$7),"x","")</f>
        <v/>
      </c>
      <c r="W1598" s="51" t="str">
        <f>IF(AND(B1598&gt;='IN-NX'!$P$3,B1598&lt;='IN-NX'!$Q$3,'IN-NX'!$D$7=D1598,OR(LEFT(L1598,2)="15",AND(LEFT(M1598,2)&lt;&gt;"15",LEFT(M1598,2)&lt;&gt;"33"))),"x","")</f>
        <v/>
      </c>
      <c r="X1598" s="51" t="str">
        <f>IF(AND(OR(LEFT(TH!L1598,2)="15",LEFT(TH!M1598,2)="15"),'152-CT'!$J$8=TH!F1598),"x","")</f>
        <v/>
      </c>
      <c r="Y1598" s="51" t="str">
        <f>IF(AND(OR(LEFT(TH!L1598,2)="15",LEFT(TH!M1598,2)="15"),TK!$E$7=TH!F1598),"x","")</f>
        <v/>
      </c>
      <c r="Z1598" s="51" t="str">
        <f>IF(AND(B1598&lt;=NKC!$N$8,B1598&gt;=NKC!$M$8),"x","")</f>
        <v/>
      </c>
      <c r="AA1598" s="803"/>
    </row>
    <row r="1599" spans="1:27" ht="15.75" customHeight="1">
      <c r="A1599" s="804" t="str">
        <f>IF(B1599&lt;&gt;"",IF(AND(B1599&gt;=_TM1,B1599&lt;=_TM2,OR(TH!L1599="1111",TH!M1599="1111")),TH!D1599,""),"")</f>
        <v/>
      </c>
      <c r="B1599" s="36">
        <f t="shared" si="105"/>
        <v>10</v>
      </c>
      <c r="C1599" s="189">
        <f t="shared" si="106"/>
        <v>42305</v>
      </c>
      <c r="D1599" s="830" t="s">
        <v>1285</v>
      </c>
      <c r="E1599" s="830">
        <v>42305</v>
      </c>
      <c r="F1599" s="836" t="s">
        <v>773</v>
      </c>
      <c r="G1599" s="832" t="s">
        <v>632</v>
      </c>
      <c r="H1599" s="833" t="s">
        <v>1259</v>
      </c>
      <c r="I1599" s="241">
        <v>56</v>
      </c>
      <c r="J1599" s="241">
        <v>9322</v>
      </c>
      <c r="K1599" s="834">
        <f t="shared" si="107"/>
        <v>522032</v>
      </c>
      <c r="L1599" s="835" t="s">
        <v>162</v>
      </c>
      <c r="M1599" s="835" t="s">
        <v>417</v>
      </c>
      <c r="N1599" s="51" t="str">
        <f>IF(AND('331-CT'!$E$7=TH!H1599,OR(L1599="331",M1599="331")),"331",IF(AND(OR(L1599="131",M1599="131"),H1599='131-CT'!$E$7),"131",""))</f>
        <v/>
      </c>
      <c r="O1599" s="51" t="str">
        <f>IF(AND($B1599&gt;='111'!$N$11,$B1599&lt;='111'!$O$11,OR($L1599=$O$7,$M1599=$O$7)),"x","")</f>
        <v/>
      </c>
      <c r="P1599" s="51" t="str">
        <f>IF(AND($L1599=$O$7,$B1599&lt;'111'!$N$11),"x","")</f>
        <v/>
      </c>
      <c r="Q1599" s="51" t="str">
        <f>IF(AND($M1599=$O$7,$B1599&lt;'111'!$N$11),"x","")</f>
        <v/>
      </c>
      <c r="R1599" s="51" t="str">
        <f>IF(ISERROR(FIND('112'!$M$9,G1599,1)),"",IF((AND(FIND('112'!$M$9,G1599,1)&gt;=1,$B1599&gt;='112'!$N$8,$B1599&lt;='112'!$O$8,OR($L1599='112'!$I$6,$M1599='112'!$I$6))),"x",""))</f>
        <v/>
      </c>
      <c r="S1599" s="51" t="str">
        <f>IF(ISERROR(FIND('112'!$M$9,G1599,1)),"",IF((AND(LEFT(G1599,2)=LEFT('112'!$M$9,2),B1599&lt;'112'!$N$8,$L1599='112'!$I$6)),"x",""))</f>
        <v/>
      </c>
      <c r="T1599" s="51" t="str">
        <f>IF(ISERROR(FIND('112'!$M$9,G1599,1)),"",IF((AND(RIGHT(G1599,2)=RIGHT('112'!$M$9,2),B1599&lt;'112'!$N$8,$M1599='112'!$I$6)),"x",""))</f>
        <v/>
      </c>
      <c r="U1599" s="51" t="str">
        <f>IF(AND(L1599="154",'154'!$O$5&lt;=B1599,'154'!$P$5&gt;=B1599),"154",IF(AND(L1599="632",'632'!$L$5&lt;=B1599,'632'!$M$5&gt;=B1599),"632",IF(AND(L1599="642",'642'!$N$5&lt;=B1599,'642'!$O$5&gt;=B1599),"642",IF(AND(L1599="641",'641'!$N$5&lt;=B1599,'641'!$O$5&gt;=B1599),"641",""))))</f>
        <v/>
      </c>
      <c r="V1599" s="51" t="str">
        <f>IF(OR(TH!L1599=TH!$V$7,M1599=TH!$V$7),"x","")</f>
        <v/>
      </c>
      <c r="W1599" s="51" t="str">
        <f>IF(AND(B1599&gt;='IN-NX'!$P$3,B1599&lt;='IN-NX'!$Q$3,'IN-NX'!$D$7=D1599,OR(LEFT(L1599,2)="15",AND(LEFT(M1599,2)&lt;&gt;"15",LEFT(M1599,2)&lt;&gt;"33"))),"x","")</f>
        <v/>
      </c>
      <c r="X1599" s="51" t="str">
        <f>IF(AND(OR(LEFT(TH!L1599,2)="15",LEFT(TH!M1599,2)="15"),'152-CT'!$J$8=TH!F1599),"x","")</f>
        <v/>
      </c>
      <c r="Y1599" s="51" t="str">
        <f>IF(AND(OR(LEFT(TH!L1599,2)="15",LEFT(TH!M1599,2)="15"),TK!$E$7=TH!F1599),"x","")</f>
        <v/>
      </c>
      <c r="Z1599" s="51" t="str">
        <f>IF(AND(B1599&lt;=NKC!$N$8,B1599&gt;=NKC!$M$8),"x","")</f>
        <v/>
      </c>
      <c r="AA1599" s="803"/>
    </row>
    <row r="1600" spans="1:27" ht="15.75" customHeight="1">
      <c r="A1600" s="804" t="str">
        <f>IF(B1600&lt;&gt;"",IF(AND(B1600&gt;=_TM1,B1600&lt;=_TM2,OR(TH!L1600="1111",TH!M1600="1111")),TH!D1600,""),"")</f>
        <v/>
      </c>
      <c r="B1600" s="36">
        <f t="shared" si="105"/>
        <v>10</v>
      </c>
      <c r="C1600" s="189">
        <f t="shared" si="106"/>
        <v>42305</v>
      </c>
      <c r="D1600" s="830" t="s">
        <v>1285</v>
      </c>
      <c r="E1600" s="830">
        <v>42305</v>
      </c>
      <c r="F1600" s="836" t="s">
        <v>772</v>
      </c>
      <c r="G1600" s="832" t="s">
        <v>632</v>
      </c>
      <c r="H1600" s="833" t="s">
        <v>1259</v>
      </c>
      <c r="I1600" s="241">
        <v>305</v>
      </c>
      <c r="J1600" s="241">
        <v>11155</v>
      </c>
      <c r="K1600" s="834">
        <f t="shared" si="107"/>
        <v>3402275</v>
      </c>
      <c r="L1600" s="835" t="s">
        <v>162</v>
      </c>
      <c r="M1600" s="835" t="s">
        <v>417</v>
      </c>
      <c r="N1600" s="51" t="str">
        <f>IF(AND('331-CT'!$E$7=TH!H1600,OR(L1600="331",M1600="331")),"331",IF(AND(OR(L1600="131",M1600="131"),H1600='131-CT'!$E$7),"131",""))</f>
        <v/>
      </c>
      <c r="O1600" s="51" t="str">
        <f>IF(AND($B1600&gt;='111'!$N$11,$B1600&lt;='111'!$O$11,OR($L1600=$O$7,$M1600=$O$7)),"x","")</f>
        <v/>
      </c>
      <c r="P1600" s="51" t="str">
        <f>IF(AND($L1600=$O$7,$B1600&lt;'111'!$N$11),"x","")</f>
        <v/>
      </c>
      <c r="Q1600" s="51" t="str">
        <f>IF(AND($M1600=$O$7,$B1600&lt;'111'!$N$11),"x","")</f>
        <v/>
      </c>
      <c r="R1600" s="51" t="str">
        <f>IF(ISERROR(FIND('112'!$M$9,G1600,1)),"",IF((AND(FIND('112'!$M$9,G1600,1)&gt;=1,$B1600&gt;='112'!$N$8,$B1600&lt;='112'!$O$8,OR($L1600='112'!$I$6,$M1600='112'!$I$6))),"x",""))</f>
        <v/>
      </c>
      <c r="S1600" s="51" t="str">
        <f>IF(ISERROR(FIND('112'!$M$9,G1600,1)),"",IF((AND(LEFT(G1600,2)=LEFT('112'!$M$9,2),B1600&lt;'112'!$N$8,$L1600='112'!$I$6)),"x",""))</f>
        <v/>
      </c>
      <c r="T1600" s="51" t="str">
        <f>IF(ISERROR(FIND('112'!$M$9,G1600,1)),"",IF((AND(RIGHT(G1600,2)=RIGHT('112'!$M$9,2),B1600&lt;'112'!$N$8,$M1600='112'!$I$6)),"x",""))</f>
        <v/>
      </c>
      <c r="U1600" s="51" t="str">
        <f>IF(AND(L1600="154",'154'!$O$5&lt;=B1600,'154'!$P$5&gt;=B1600),"154",IF(AND(L1600="632",'632'!$L$5&lt;=B1600,'632'!$M$5&gt;=B1600),"632",IF(AND(L1600="642",'642'!$N$5&lt;=B1600,'642'!$O$5&gt;=B1600),"642",IF(AND(L1600="641",'641'!$N$5&lt;=B1600,'641'!$O$5&gt;=B1600),"641",""))))</f>
        <v/>
      </c>
      <c r="V1600" s="51" t="str">
        <f>IF(OR(TH!L1600=TH!$V$7,M1600=TH!$V$7),"x","")</f>
        <v/>
      </c>
      <c r="W1600" s="51" t="str">
        <f>IF(AND(B1600&gt;='IN-NX'!$P$3,B1600&lt;='IN-NX'!$Q$3,'IN-NX'!$D$7=D1600,OR(LEFT(L1600,2)="15",AND(LEFT(M1600,2)&lt;&gt;"15",LEFT(M1600,2)&lt;&gt;"33"))),"x","")</f>
        <v/>
      </c>
      <c r="X1600" s="51" t="str">
        <f>IF(AND(OR(LEFT(TH!L1600,2)="15",LEFT(TH!M1600,2)="15"),'152-CT'!$J$8=TH!F1600),"x","")</f>
        <v/>
      </c>
      <c r="Y1600" s="51" t="str">
        <f>IF(AND(OR(LEFT(TH!L1600,2)="15",LEFT(TH!M1600,2)="15"),TK!$E$7=TH!F1600),"x","")</f>
        <v/>
      </c>
      <c r="Z1600" s="51" t="str">
        <f>IF(AND(B1600&lt;=NKC!$N$8,B1600&gt;=NKC!$M$8),"x","")</f>
        <v/>
      </c>
      <c r="AA1600" s="803"/>
    </row>
    <row r="1601" spans="1:27" ht="15.75" customHeight="1">
      <c r="A1601" s="804" t="str">
        <f>IF(B1601&lt;&gt;"",IF(AND(B1601&gt;=_TM1,B1601&lt;=_TM2,OR(TH!L1601="1111",TH!M1601="1111")),TH!D1601,""),"")</f>
        <v/>
      </c>
      <c r="B1601" s="36">
        <f t="shared" si="105"/>
        <v>10</v>
      </c>
      <c r="C1601" s="189">
        <f t="shared" si="106"/>
        <v>42305</v>
      </c>
      <c r="D1601" s="830" t="s">
        <v>1285</v>
      </c>
      <c r="E1601" s="830">
        <v>42305</v>
      </c>
      <c r="F1601" s="836" t="s">
        <v>769</v>
      </c>
      <c r="G1601" s="832" t="s">
        <v>1080</v>
      </c>
      <c r="H1601" s="833" t="s">
        <v>1259</v>
      </c>
      <c r="I1601" s="241">
        <v>1000</v>
      </c>
      <c r="J1601" s="241">
        <v>912</v>
      </c>
      <c r="K1601" s="834">
        <f t="shared" si="107"/>
        <v>912000</v>
      </c>
      <c r="L1601" s="835" t="s">
        <v>162</v>
      </c>
      <c r="M1601" s="835" t="s">
        <v>417</v>
      </c>
      <c r="N1601" s="51" t="str">
        <f>IF(AND('331-CT'!$E$7=TH!H1601,OR(L1601="331",M1601="331")),"331",IF(AND(OR(L1601="131",M1601="131"),H1601='131-CT'!$E$7),"131",""))</f>
        <v/>
      </c>
      <c r="O1601" s="51" t="str">
        <f>IF(AND($B1601&gt;='111'!$N$11,$B1601&lt;='111'!$O$11,OR($L1601=$O$7,$M1601=$O$7)),"x","")</f>
        <v/>
      </c>
      <c r="P1601" s="51" t="str">
        <f>IF(AND($L1601=$O$7,$B1601&lt;'111'!$N$11),"x","")</f>
        <v/>
      </c>
      <c r="Q1601" s="51" t="str">
        <f>IF(AND($M1601=$O$7,$B1601&lt;'111'!$N$11),"x","")</f>
        <v/>
      </c>
      <c r="R1601" s="51" t="str">
        <f>IF(ISERROR(FIND('112'!$M$9,G1601,1)),"",IF((AND(FIND('112'!$M$9,G1601,1)&gt;=1,$B1601&gt;='112'!$N$8,$B1601&lt;='112'!$O$8,OR($L1601='112'!$I$6,$M1601='112'!$I$6))),"x",""))</f>
        <v/>
      </c>
      <c r="S1601" s="51" t="str">
        <f>IF(ISERROR(FIND('112'!$M$9,G1601,1)),"",IF((AND(LEFT(G1601,2)=LEFT('112'!$M$9,2),B1601&lt;'112'!$N$8,$L1601='112'!$I$6)),"x",""))</f>
        <v/>
      </c>
      <c r="T1601" s="51" t="str">
        <f>IF(ISERROR(FIND('112'!$M$9,G1601,1)),"",IF((AND(RIGHT(G1601,2)=RIGHT('112'!$M$9,2),B1601&lt;'112'!$N$8,$M1601='112'!$I$6)),"x",""))</f>
        <v/>
      </c>
      <c r="U1601" s="51" t="str">
        <f>IF(AND(L1601="154",'154'!$O$5&lt;=B1601,'154'!$P$5&gt;=B1601),"154",IF(AND(L1601="632",'632'!$L$5&lt;=B1601,'632'!$M$5&gt;=B1601),"632",IF(AND(L1601="642",'642'!$N$5&lt;=B1601,'642'!$O$5&gt;=B1601),"642",IF(AND(L1601="641",'641'!$N$5&lt;=B1601,'641'!$O$5&gt;=B1601),"641",""))))</f>
        <v/>
      </c>
      <c r="V1601" s="51" t="str">
        <f>IF(OR(TH!L1601=TH!$V$7,M1601=TH!$V$7),"x","")</f>
        <v/>
      </c>
      <c r="W1601" s="51" t="str">
        <f>IF(AND(B1601&gt;='IN-NX'!$P$3,B1601&lt;='IN-NX'!$Q$3,'IN-NX'!$D$7=D1601,OR(LEFT(L1601,2)="15",AND(LEFT(M1601,2)&lt;&gt;"15",LEFT(M1601,2)&lt;&gt;"33"))),"x","")</f>
        <v/>
      </c>
      <c r="X1601" s="51" t="str">
        <f>IF(AND(OR(LEFT(TH!L1601,2)="15",LEFT(TH!M1601,2)="15"),'152-CT'!$J$8=TH!F1601),"x","")</f>
        <v/>
      </c>
      <c r="Y1601" s="51" t="str">
        <f>IF(AND(OR(LEFT(TH!L1601,2)="15",LEFT(TH!M1601,2)="15"),TK!$E$7=TH!F1601),"x","")</f>
        <v/>
      </c>
      <c r="Z1601" s="51" t="str">
        <f>IF(AND(B1601&lt;=NKC!$N$8,B1601&gt;=NKC!$M$8),"x","")</f>
        <v/>
      </c>
      <c r="AA1601" s="803"/>
    </row>
    <row r="1602" spans="1:27" ht="15.75" customHeight="1">
      <c r="A1602" s="804" t="str">
        <f>IF(B1602&lt;&gt;"",IF(AND(B1602&gt;=_TM1,B1602&lt;=_TM2,OR(TH!L1602="1111",TH!M1602="1111")),TH!D1602,""),"")</f>
        <v/>
      </c>
      <c r="B1602" s="36">
        <f t="shared" si="105"/>
        <v>10</v>
      </c>
      <c r="C1602" s="189">
        <f t="shared" si="106"/>
        <v>42305</v>
      </c>
      <c r="D1602" s="830" t="s">
        <v>1285</v>
      </c>
      <c r="E1602" s="830">
        <v>42305</v>
      </c>
      <c r="F1602" s="836" t="s">
        <v>772</v>
      </c>
      <c r="G1602" s="832" t="s">
        <v>1080</v>
      </c>
      <c r="H1602" s="833" t="s">
        <v>1259</v>
      </c>
      <c r="I1602" s="241">
        <v>45</v>
      </c>
      <c r="J1602" s="241">
        <v>11155</v>
      </c>
      <c r="K1602" s="834">
        <f t="shared" si="107"/>
        <v>501975</v>
      </c>
      <c r="L1602" s="835" t="s">
        <v>162</v>
      </c>
      <c r="M1602" s="835" t="s">
        <v>417</v>
      </c>
      <c r="N1602" s="51" t="str">
        <f>IF(AND('331-CT'!$E$7=TH!H1602,OR(L1602="331",M1602="331")),"331",IF(AND(OR(L1602="131",M1602="131"),H1602='131-CT'!$E$7),"131",""))</f>
        <v/>
      </c>
      <c r="O1602" s="51" t="str">
        <f>IF(AND($B1602&gt;='111'!$N$11,$B1602&lt;='111'!$O$11,OR($L1602=$O$7,$M1602=$O$7)),"x","")</f>
        <v/>
      </c>
      <c r="P1602" s="51" t="str">
        <f>IF(AND($L1602=$O$7,$B1602&lt;'111'!$N$11),"x","")</f>
        <v/>
      </c>
      <c r="Q1602" s="51" t="str">
        <f>IF(AND($M1602=$O$7,$B1602&lt;'111'!$N$11),"x","")</f>
        <v/>
      </c>
      <c r="R1602" s="51" t="str">
        <f>IF(ISERROR(FIND('112'!$M$9,G1602,1)),"",IF((AND(FIND('112'!$M$9,G1602,1)&gt;=1,$B1602&gt;='112'!$N$8,$B1602&lt;='112'!$O$8,OR($L1602='112'!$I$6,$M1602='112'!$I$6))),"x",""))</f>
        <v/>
      </c>
      <c r="S1602" s="51" t="str">
        <f>IF(ISERROR(FIND('112'!$M$9,G1602,1)),"",IF((AND(LEFT(G1602,2)=LEFT('112'!$M$9,2),B1602&lt;'112'!$N$8,$L1602='112'!$I$6)),"x",""))</f>
        <v/>
      </c>
      <c r="T1602" s="51" t="str">
        <f>IF(ISERROR(FIND('112'!$M$9,G1602,1)),"",IF((AND(RIGHT(G1602,2)=RIGHT('112'!$M$9,2),B1602&lt;'112'!$N$8,$M1602='112'!$I$6)),"x",""))</f>
        <v/>
      </c>
      <c r="U1602" s="51" t="str">
        <f>IF(AND(L1602="154",'154'!$O$5&lt;=B1602,'154'!$P$5&gt;=B1602),"154",IF(AND(L1602="632",'632'!$L$5&lt;=B1602,'632'!$M$5&gt;=B1602),"632",IF(AND(L1602="642",'642'!$N$5&lt;=B1602,'642'!$O$5&gt;=B1602),"642",IF(AND(L1602="641",'641'!$N$5&lt;=B1602,'641'!$O$5&gt;=B1602),"641",""))))</f>
        <v/>
      </c>
      <c r="V1602" s="51" t="str">
        <f>IF(OR(TH!L1602=TH!$V$7,M1602=TH!$V$7),"x","")</f>
        <v/>
      </c>
      <c r="W1602" s="51" t="str">
        <f>IF(AND(B1602&gt;='IN-NX'!$P$3,B1602&lt;='IN-NX'!$Q$3,'IN-NX'!$D$7=D1602,OR(LEFT(L1602,2)="15",AND(LEFT(M1602,2)&lt;&gt;"15",LEFT(M1602,2)&lt;&gt;"33"))),"x","")</f>
        <v/>
      </c>
      <c r="X1602" s="51" t="str">
        <f>IF(AND(OR(LEFT(TH!L1602,2)="15",LEFT(TH!M1602,2)="15"),'152-CT'!$J$8=TH!F1602),"x","")</f>
        <v/>
      </c>
      <c r="Y1602" s="51" t="str">
        <f>IF(AND(OR(LEFT(TH!L1602,2)="15",LEFT(TH!M1602,2)="15"),TK!$E$7=TH!F1602),"x","")</f>
        <v/>
      </c>
      <c r="Z1602" s="51" t="str">
        <f>IF(AND(B1602&lt;=NKC!$N$8,B1602&gt;=NKC!$M$8),"x","")</f>
        <v/>
      </c>
      <c r="AA1602" s="803"/>
    </row>
    <row r="1603" spans="1:27" ht="15.75" customHeight="1">
      <c r="A1603" s="804" t="str">
        <f>IF(B1603&lt;&gt;"",IF(AND(B1603&gt;=_TM1,B1603&lt;=_TM2,OR(TH!L1603="1111",TH!M1603="1111")),TH!D1603,""),"")</f>
        <v/>
      </c>
      <c r="B1603" s="36">
        <f t="shared" si="105"/>
        <v>10</v>
      </c>
      <c r="C1603" s="189">
        <f t="shared" si="106"/>
        <v>42305</v>
      </c>
      <c r="D1603" s="830" t="s">
        <v>1285</v>
      </c>
      <c r="E1603" s="830">
        <v>42305</v>
      </c>
      <c r="F1603" s="836" t="s">
        <v>1141</v>
      </c>
      <c r="G1603" s="832" t="s">
        <v>1080</v>
      </c>
      <c r="H1603" s="833" t="s">
        <v>1259</v>
      </c>
      <c r="I1603" s="241">
        <v>13</v>
      </c>
      <c r="J1603" s="241">
        <v>34728</v>
      </c>
      <c r="K1603" s="834">
        <f t="shared" si="107"/>
        <v>451464</v>
      </c>
      <c r="L1603" s="835" t="s">
        <v>162</v>
      </c>
      <c r="M1603" s="835" t="s">
        <v>417</v>
      </c>
      <c r="N1603" s="51" t="str">
        <f>IF(AND('331-CT'!$E$7=TH!H1603,OR(L1603="331",M1603="331")),"331",IF(AND(OR(L1603="131",M1603="131"),H1603='131-CT'!$E$7),"131",""))</f>
        <v/>
      </c>
      <c r="O1603" s="51" t="str">
        <f>IF(AND($B1603&gt;='111'!$N$11,$B1603&lt;='111'!$O$11,OR($L1603=$O$7,$M1603=$O$7)),"x","")</f>
        <v/>
      </c>
      <c r="P1603" s="51" t="str">
        <f>IF(AND($L1603=$O$7,$B1603&lt;'111'!$N$11),"x","")</f>
        <v/>
      </c>
      <c r="Q1603" s="51" t="str">
        <f>IF(AND($M1603=$O$7,$B1603&lt;'111'!$N$11),"x","")</f>
        <v/>
      </c>
      <c r="R1603" s="51" t="str">
        <f>IF(ISERROR(FIND('112'!$M$9,G1603,1)),"",IF((AND(FIND('112'!$M$9,G1603,1)&gt;=1,$B1603&gt;='112'!$N$8,$B1603&lt;='112'!$O$8,OR($L1603='112'!$I$6,$M1603='112'!$I$6))),"x",""))</f>
        <v/>
      </c>
      <c r="S1603" s="51" t="str">
        <f>IF(ISERROR(FIND('112'!$M$9,G1603,1)),"",IF((AND(LEFT(G1603,2)=LEFT('112'!$M$9,2),B1603&lt;'112'!$N$8,$L1603='112'!$I$6)),"x",""))</f>
        <v/>
      </c>
      <c r="T1603" s="51" t="str">
        <f>IF(ISERROR(FIND('112'!$M$9,G1603,1)),"",IF((AND(RIGHT(G1603,2)=RIGHT('112'!$M$9,2),B1603&lt;'112'!$N$8,$M1603='112'!$I$6)),"x",""))</f>
        <v/>
      </c>
      <c r="U1603" s="51" t="str">
        <f>IF(AND(L1603="154",'154'!$O$5&lt;=B1603,'154'!$P$5&gt;=B1603),"154",IF(AND(L1603="632",'632'!$L$5&lt;=B1603,'632'!$M$5&gt;=B1603),"632",IF(AND(L1603="642",'642'!$N$5&lt;=B1603,'642'!$O$5&gt;=B1603),"642",IF(AND(L1603="641",'641'!$N$5&lt;=B1603,'641'!$O$5&gt;=B1603),"641",""))))</f>
        <v/>
      </c>
      <c r="V1603" s="51" t="str">
        <f>IF(OR(TH!L1603=TH!$V$7,M1603=TH!$V$7),"x","")</f>
        <v/>
      </c>
      <c r="W1603" s="51" t="str">
        <f>IF(AND(B1603&gt;='IN-NX'!$P$3,B1603&lt;='IN-NX'!$Q$3,'IN-NX'!$D$7=D1603,OR(LEFT(L1603,2)="15",AND(LEFT(M1603,2)&lt;&gt;"15",LEFT(M1603,2)&lt;&gt;"33"))),"x","")</f>
        <v/>
      </c>
      <c r="X1603" s="51" t="str">
        <f>IF(AND(OR(LEFT(TH!L1603,2)="15",LEFT(TH!M1603,2)="15"),'152-CT'!$J$8=TH!F1603),"x","")</f>
        <v/>
      </c>
      <c r="Y1603" s="51" t="str">
        <f>IF(AND(OR(LEFT(TH!L1603,2)="15",LEFT(TH!M1603,2)="15"),TK!$E$7=TH!F1603),"x","")</f>
        <v/>
      </c>
      <c r="Z1603" s="51" t="str">
        <f>IF(AND(B1603&lt;=NKC!$N$8,B1603&gt;=NKC!$M$8),"x","")</f>
        <v/>
      </c>
      <c r="AA1603" s="803"/>
    </row>
    <row r="1604" spans="1:27" ht="15.75" customHeight="1">
      <c r="A1604" s="804" t="str">
        <f>IF(B1604&lt;&gt;"",IF(AND(B1604&gt;=_TM1,B1604&lt;=_TM2,OR(TH!L1604="1111",TH!M1604="1111")),TH!D1604,""),"")</f>
        <v/>
      </c>
      <c r="B1604" s="36">
        <f t="shared" si="105"/>
        <v>10</v>
      </c>
      <c r="C1604" s="189">
        <f t="shared" si="106"/>
        <v>42305</v>
      </c>
      <c r="D1604" s="830" t="s">
        <v>1285</v>
      </c>
      <c r="E1604" s="830">
        <v>42305</v>
      </c>
      <c r="F1604" s="836" t="s">
        <v>776</v>
      </c>
      <c r="G1604" s="832" t="s">
        <v>1080</v>
      </c>
      <c r="H1604" s="833" t="s">
        <v>1259</v>
      </c>
      <c r="I1604" s="241">
        <v>172</v>
      </c>
      <c r="J1604" s="241">
        <v>12668</v>
      </c>
      <c r="K1604" s="834">
        <f t="shared" si="107"/>
        <v>2178896</v>
      </c>
      <c r="L1604" s="835" t="s">
        <v>162</v>
      </c>
      <c r="M1604" s="835" t="s">
        <v>417</v>
      </c>
      <c r="N1604" s="51" t="str">
        <f>IF(AND('331-CT'!$E$7=TH!H1604,OR(L1604="331",M1604="331")),"331",IF(AND(OR(L1604="131",M1604="131"),H1604='131-CT'!$E$7),"131",""))</f>
        <v/>
      </c>
      <c r="O1604" s="51" t="str">
        <f>IF(AND($B1604&gt;='111'!$N$11,$B1604&lt;='111'!$O$11,OR($L1604=$O$7,$M1604=$O$7)),"x","")</f>
        <v/>
      </c>
      <c r="P1604" s="51" t="str">
        <f>IF(AND($L1604=$O$7,$B1604&lt;'111'!$N$11),"x","")</f>
        <v/>
      </c>
      <c r="Q1604" s="51" t="str">
        <f>IF(AND($M1604=$O$7,$B1604&lt;'111'!$N$11),"x","")</f>
        <v/>
      </c>
      <c r="R1604" s="51" t="str">
        <f>IF(ISERROR(FIND('112'!$M$9,G1604,1)),"",IF((AND(FIND('112'!$M$9,G1604,1)&gt;=1,$B1604&gt;='112'!$N$8,$B1604&lt;='112'!$O$8,OR($L1604='112'!$I$6,$M1604='112'!$I$6))),"x",""))</f>
        <v/>
      </c>
      <c r="S1604" s="51" t="str">
        <f>IF(ISERROR(FIND('112'!$M$9,G1604,1)),"",IF((AND(LEFT(G1604,2)=LEFT('112'!$M$9,2),B1604&lt;'112'!$N$8,$L1604='112'!$I$6)),"x",""))</f>
        <v/>
      </c>
      <c r="T1604" s="51" t="str">
        <f>IF(ISERROR(FIND('112'!$M$9,G1604,1)),"",IF((AND(RIGHT(G1604,2)=RIGHT('112'!$M$9,2),B1604&lt;'112'!$N$8,$M1604='112'!$I$6)),"x",""))</f>
        <v/>
      </c>
      <c r="U1604" s="51" t="str">
        <f>IF(AND(L1604="154",'154'!$O$5&lt;=B1604,'154'!$P$5&gt;=B1604),"154",IF(AND(L1604="632",'632'!$L$5&lt;=B1604,'632'!$M$5&gt;=B1604),"632",IF(AND(L1604="642",'642'!$N$5&lt;=B1604,'642'!$O$5&gt;=B1604),"642",IF(AND(L1604="641",'641'!$N$5&lt;=B1604,'641'!$O$5&gt;=B1604),"641",""))))</f>
        <v/>
      </c>
      <c r="V1604" s="51" t="str">
        <f>IF(OR(TH!L1604=TH!$V$7,M1604=TH!$V$7),"x","")</f>
        <v/>
      </c>
      <c r="W1604" s="51" t="str">
        <f>IF(AND(B1604&gt;='IN-NX'!$P$3,B1604&lt;='IN-NX'!$Q$3,'IN-NX'!$D$7=D1604,OR(LEFT(L1604,2)="15",AND(LEFT(M1604,2)&lt;&gt;"15",LEFT(M1604,2)&lt;&gt;"33"))),"x","")</f>
        <v/>
      </c>
      <c r="X1604" s="51" t="str">
        <f>IF(AND(OR(LEFT(TH!L1604,2)="15",LEFT(TH!M1604,2)="15"),'152-CT'!$J$8=TH!F1604),"x","")</f>
        <v/>
      </c>
      <c r="Y1604" s="51" t="str">
        <f>IF(AND(OR(LEFT(TH!L1604,2)="15",LEFT(TH!M1604,2)="15"),TK!$E$7=TH!F1604),"x","")</f>
        <v/>
      </c>
      <c r="Z1604" s="51" t="str">
        <f>IF(AND(B1604&lt;=NKC!$N$8,B1604&gt;=NKC!$M$8),"x","")</f>
        <v/>
      </c>
      <c r="AA1604" s="803"/>
    </row>
    <row r="1605" spans="1:27" ht="15.75" customHeight="1">
      <c r="A1605" s="804" t="str">
        <f>IF(B1605&lt;&gt;"",IF(AND(B1605&gt;=_TM1,B1605&lt;=_TM2,OR(TH!L1605="1111",TH!M1605="1111")),TH!D1605,""),"")</f>
        <v/>
      </c>
      <c r="B1605" s="36">
        <f t="shared" ref="B1605:B1667" si="108">IF(C1605&lt;&gt;"",MONTH(C1605),"")</f>
        <v>10</v>
      </c>
      <c r="C1605" s="189">
        <f t="shared" si="106"/>
        <v>42305</v>
      </c>
      <c r="D1605" s="830" t="s">
        <v>1285</v>
      </c>
      <c r="E1605" s="830">
        <v>42305</v>
      </c>
      <c r="F1605" s="836" t="s">
        <v>770</v>
      </c>
      <c r="G1605" s="832" t="s">
        <v>1080</v>
      </c>
      <c r="H1605" s="833" t="s">
        <v>1259</v>
      </c>
      <c r="I1605" s="241">
        <v>120</v>
      </c>
      <c r="J1605" s="241">
        <v>12758</v>
      </c>
      <c r="K1605" s="834">
        <f t="shared" si="107"/>
        <v>1530960</v>
      </c>
      <c r="L1605" s="835" t="s">
        <v>162</v>
      </c>
      <c r="M1605" s="835" t="s">
        <v>417</v>
      </c>
      <c r="N1605" s="51" t="str">
        <f>IF(AND('331-CT'!$E$7=TH!H1605,OR(L1605="331",M1605="331")),"331",IF(AND(OR(L1605="131",M1605="131"),H1605='131-CT'!$E$7),"131",""))</f>
        <v/>
      </c>
      <c r="O1605" s="51" t="str">
        <f>IF(AND($B1605&gt;='111'!$N$11,$B1605&lt;='111'!$O$11,OR($L1605=$O$7,$M1605=$O$7)),"x","")</f>
        <v/>
      </c>
      <c r="P1605" s="51" t="str">
        <f>IF(AND($L1605=$O$7,$B1605&lt;'111'!$N$11),"x","")</f>
        <v/>
      </c>
      <c r="Q1605" s="51" t="str">
        <f>IF(AND($M1605=$O$7,$B1605&lt;'111'!$N$11),"x","")</f>
        <v/>
      </c>
      <c r="R1605" s="51" t="str">
        <f>IF(ISERROR(FIND('112'!$M$9,G1605,1)),"",IF((AND(FIND('112'!$M$9,G1605,1)&gt;=1,$B1605&gt;='112'!$N$8,$B1605&lt;='112'!$O$8,OR($L1605='112'!$I$6,$M1605='112'!$I$6))),"x",""))</f>
        <v/>
      </c>
      <c r="S1605" s="51" t="str">
        <f>IF(ISERROR(FIND('112'!$M$9,G1605,1)),"",IF((AND(LEFT(G1605,2)=LEFT('112'!$M$9,2),B1605&lt;'112'!$N$8,$L1605='112'!$I$6)),"x",""))</f>
        <v/>
      </c>
      <c r="T1605" s="51" t="str">
        <f>IF(ISERROR(FIND('112'!$M$9,G1605,1)),"",IF((AND(RIGHT(G1605,2)=RIGHT('112'!$M$9,2),B1605&lt;'112'!$N$8,$M1605='112'!$I$6)),"x",""))</f>
        <v/>
      </c>
      <c r="U1605" s="51" t="str">
        <f>IF(AND(L1605="154",'154'!$O$5&lt;=B1605,'154'!$P$5&gt;=B1605),"154",IF(AND(L1605="632",'632'!$L$5&lt;=B1605,'632'!$M$5&gt;=B1605),"632",IF(AND(L1605="642",'642'!$N$5&lt;=B1605,'642'!$O$5&gt;=B1605),"642",IF(AND(L1605="641",'641'!$N$5&lt;=B1605,'641'!$O$5&gt;=B1605),"641",""))))</f>
        <v/>
      </c>
      <c r="V1605" s="51" t="str">
        <f>IF(OR(TH!L1605=TH!$V$7,M1605=TH!$V$7),"x","")</f>
        <v/>
      </c>
      <c r="W1605" s="51" t="str">
        <f>IF(AND(B1605&gt;='IN-NX'!$P$3,B1605&lt;='IN-NX'!$Q$3,'IN-NX'!$D$7=D1605,OR(LEFT(L1605,2)="15",AND(LEFT(M1605,2)&lt;&gt;"15",LEFT(M1605,2)&lt;&gt;"33"))),"x","")</f>
        <v/>
      </c>
      <c r="X1605" s="51" t="str">
        <f>IF(AND(OR(LEFT(TH!L1605,2)="15",LEFT(TH!M1605,2)="15"),'152-CT'!$J$8=TH!F1605),"x","")</f>
        <v/>
      </c>
      <c r="Y1605" s="51" t="str">
        <f>IF(AND(OR(LEFT(TH!L1605,2)="15",LEFT(TH!M1605,2)="15"),TK!$E$7=TH!F1605),"x","")</f>
        <v/>
      </c>
      <c r="Z1605" s="51" t="str">
        <f>IF(AND(B1605&lt;=NKC!$N$8,B1605&gt;=NKC!$M$8),"x","")</f>
        <v/>
      </c>
      <c r="AA1605" s="803"/>
    </row>
    <row r="1606" spans="1:27" ht="15.75" customHeight="1">
      <c r="A1606" s="804" t="str">
        <f>IF(B1606&lt;&gt;"",IF(AND(B1606&gt;=_TM1,B1606&lt;=_TM2,OR(TH!L1606="1111",TH!M1606="1111")),TH!D1606,""),"")</f>
        <v/>
      </c>
      <c r="B1606" s="36">
        <f t="shared" si="108"/>
        <v>10</v>
      </c>
      <c r="C1606" s="189">
        <f t="shared" si="106"/>
        <v>42305</v>
      </c>
      <c r="D1606" s="830" t="s">
        <v>1285</v>
      </c>
      <c r="E1606" s="830">
        <v>42305</v>
      </c>
      <c r="F1606" s="836" t="s">
        <v>775</v>
      </c>
      <c r="G1606" s="832" t="s">
        <v>1080</v>
      </c>
      <c r="H1606" s="833" t="s">
        <v>1259</v>
      </c>
      <c r="I1606" s="241">
        <v>42</v>
      </c>
      <c r="J1606" s="241">
        <v>10238</v>
      </c>
      <c r="K1606" s="834">
        <f t="shared" si="107"/>
        <v>429996</v>
      </c>
      <c r="L1606" s="835" t="s">
        <v>162</v>
      </c>
      <c r="M1606" s="835" t="s">
        <v>417</v>
      </c>
      <c r="N1606" s="51" t="str">
        <f>IF(AND('331-CT'!$E$7=TH!H1606,OR(L1606="331",M1606="331")),"331",IF(AND(OR(L1606="131",M1606="131"),H1606='131-CT'!$E$7),"131",""))</f>
        <v/>
      </c>
      <c r="O1606" s="51" t="str">
        <f>IF(AND($B1606&gt;='111'!$N$11,$B1606&lt;='111'!$O$11,OR($L1606=$O$7,$M1606=$O$7)),"x","")</f>
        <v/>
      </c>
      <c r="P1606" s="51" t="str">
        <f>IF(AND($L1606=$O$7,$B1606&lt;'111'!$N$11),"x","")</f>
        <v/>
      </c>
      <c r="Q1606" s="51" t="str">
        <f>IF(AND($M1606=$O$7,$B1606&lt;'111'!$N$11),"x","")</f>
        <v/>
      </c>
      <c r="R1606" s="51" t="str">
        <f>IF(ISERROR(FIND('112'!$M$9,G1606,1)),"",IF((AND(FIND('112'!$M$9,G1606,1)&gt;=1,$B1606&gt;='112'!$N$8,$B1606&lt;='112'!$O$8,OR($L1606='112'!$I$6,$M1606='112'!$I$6))),"x",""))</f>
        <v/>
      </c>
      <c r="S1606" s="51" t="str">
        <f>IF(ISERROR(FIND('112'!$M$9,G1606,1)),"",IF((AND(LEFT(G1606,2)=LEFT('112'!$M$9,2),B1606&lt;'112'!$N$8,$L1606='112'!$I$6)),"x",""))</f>
        <v/>
      </c>
      <c r="T1606" s="51" t="str">
        <f>IF(ISERROR(FIND('112'!$M$9,G1606,1)),"",IF((AND(RIGHT(G1606,2)=RIGHT('112'!$M$9,2),B1606&lt;'112'!$N$8,$M1606='112'!$I$6)),"x",""))</f>
        <v/>
      </c>
      <c r="U1606" s="51" t="str">
        <f>IF(AND(L1606="154",'154'!$O$5&lt;=B1606,'154'!$P$5&gt;=B1606),"154",IF(AND(L1606="632",'632'!$L$5&lt;=B1606,'632'!$M$5&gt;=B1606),"632",IF(AND(L1606="642",'642'!$N$5&lt;=B1606,'642'!$O$5&gt;=B1606),"642",IF(AND(L1606="641",'641'!$N$5&lt;=B1606,'641'!$O$5&gt;=B1606),"641",""))))</f>
        <v/>
      </c>
      <c r="V1606" s="51" t="str">
        <f>IF(OR(TH!L1606=TH!$V$7,M1606=TH!$V$7),"x","")</f>
        <v/>
      </c>
      <c r="W1606" s="51" t="str">
        <f>IF(AND(B1606&gt;='IN-NX'!$P$3,B1606&lt;='IN-NX'!$Q$3,'IN-NX'!$D$7=D1606,OR(LEFT(L1606,2)="15",AND(LEFT(M1606,2)&lt;&gt;"15",LEFT(M1606,2)&lt;&gt;"33"))),"x","")</f>
        <v/>
      </c>
      <c r="X1606" s="51" t="str">
        <f>IF(AND(OR(LEFT(TH!L1606,2)="15",LEFT(TH!M1606,2)="15"),'152-CT'!$J$8=TH!F1606),"x","")</f>
        <v/>
      </c>
      <c r="Y1606" s="51" t="str">
        <f>IF(AND(OR(LEFT(TH!L1606,2)="15",LEFT(TH!M1606,2)="15"),TK!$E$7=TH!F1606),"x","")</f>
        <v/>
      </c>
      <c r="Z1606" s="51" t="str">
        <f>IF(AND(B1606&lt;=NKC!$N$8,B1606&gt;=NKC!$M$8),"x","")</f>
        <v/>
      </c>
      <c r="AA1606" s="803"/>
    </row>
    <row r="1607" spans="1:27" ht="15.75" customHeight="1">
      <c r="A1607" s="804" t="str">
        <f>IF(B1607&lt;&gt;"",IF(AND(B1607&gt;=_TM1,B1607&lt;=_TM2,OR(TH!L1607="1111",TH!M1607="1111")),TH!D1607,""),"")</f>
        <v/>
      </c>
      <c r="B1607" s="36">
        <f t="shared" si="108"/>
        <v>10</v>
      </c>
      <c r="C1607" s="189">
        <f t="shared" si="106"/>
        <v>42305</v>
      </c>
      <c r="D1607" s="830" t="s">
        <v>1285</v>
      </c>
      <c r="E1607" s="830">
        <v>42305</v>
      </c>
      <c r="F1607" s="836" t="s">
        <v>774</v>
      </c>
      <c r="G1607" s="832" t="s">
        <v>1080</v>
      </c>
      <c r="H1607" s="833" t="s">
        <v>1259</v>
      </c>
      <c r="I1607" s="241">
        <v>342</v>
      </c>
      <c r="J1607" s="241">
        <v>12250</v>
      </c>
      <c r="K1607" s="834">
        <f t="shared" si="107"/>
        <v>4189500</v>
      </c>
      <c r="L1607" s="835" t="s">
        <v>162</v>
      </c>
      <c r="M1607" s="835" t="s">
        <v>417</v>
      </c>
      <c r="N1607" s="51" t="str">
        <f>IF(AND('331-CT'!$E$7=TH!H1607,OR(L1607="331",M1607="331")),"331",IF(AND(OR(L1607="131",M1607="131"),H1607='131-CT'!$E$7),"131",""))</f>
        <v/>
      </c>
      <c r="O1607" s="51" t="str">
        <f>IF(AND($B1607&gt;='111'!$N$11,$B1607&lt;='111'!$O$11,OR($L1607=$O$7,$M1607=$O$7)),"x","")</f>
        <v/>
      </c>
      <c r="P1607" s="51" t="str">
        <f>IF(AND($L1607=$O$7,$B1607&lt;'111'!$N$11),"x","")</f>
        <v/>
      </c>
      <c r="Q1607" s="51" t="str">
        <f>IF(AND($M1607=$O$7,$B1607&lt;'111'!$N$11),"x","")</f>
        <v/>
      </c>
      <c r="R1607" s="51" t="str">
        <f>IF(ISERROR(FIND('112'!$M$9,G1607,1)),"",IF((AND(FIND('112'!$M$9,G1607,1)&gt;=1,$B1607&gt;='112'!$N$8,$B1607&lt;='112'!$O$8,OR($L1607='112'!$I$6,$M1607='112'!$I$6))),"x",""))</f>
        <v/>
      </c>
      <c r="S1607" s="51" t="str">
        <f>IF(ISERROR(FIND('112'!$M$9,G1607,1)),"",IF((AND(LEFT(G1607,2)=LEFT('112'!$M$9,2),B1607&lt;'112'!$N$8,$L1607='112'!$I$6)),"x",""))</f>
        <v/>
      </c>
      <c r="T1607" s="51" t="str">
        <f>IF(ISERROR(FIND('112'!$M$9,G1607,1)),"",IF((AND(RIGHT(G1607,2)=RIGHT('112'!$M$9,2),B1607&lt;'112'!$N$8,$M1607='112'!$I$6)),"x",""))</f>
        <v/>
      </c>
      <c r="U1607" s="51" t="str">
        <f>IF(AND(L1607="154",'154'!$O$5&lt;=B1607,'154'!$P$5&gt;=B1607),"154",IF(AND(L1607="632",'632'!$L$5&lt;=B1607,'632'!$M$5&gt;=B1607),"632",IF(AND(L1607="642",'642'!$N$5&lt;=B1607,'642'!$O$5&gt;=B1607),"642",IF(AND(L1607="641",'641'!$N$5&lt;=B1607,'641'!$O$5&gt;=B1607),"641",""))))</f>
        <v/>
      </c>
      <c r="V1607" s="51" t="str">
        <f>IF(OR(TH!L1607=TH!$V$7,M1607=TH!$V$7),"x","")</f>
        <v/>
      </c>
      <c r="W1607" s="51" t="str">
        <f>IF(AND(B1607&gt;='IN-NX'!$P$3,B1607&lt;='IN-NX'!$Q$3,'IN-NX'!$D$7=D1607,OR(LEFT(L1607,2)="15",AND(LEFT(M1607,2)&lt;&gt;"15",LEFT(M1607,2)&lt;&gt;"33"))),"x","")</f>
        <v/>
      </c>
      <c r="X1607" s="51" t="str">
        <f>IF(AND(OR(LEFT(TH!L1607,2)="15",LEFT(TH!M1607,2)="15"),'152-CT'!$J$8=TH!F1607),"x","")</f>
        <v/>
      </c>
      <c r="Y1607" s="51" t="str">
        <f>IF(AND(OR(LEFT(TH!L1607,2)="15",LEFT(TH!M1607,2)="15"),TK!$E$7=TH!F1607),"x","")</f>
        <v/>
      </c>
      <c r="Z1607" s="51" t="str">
        <f>IF(AND(B1607&lt;=NKC!$N$8,B1607&gt;=NKC!$M$8),"x","")</f>
        <v/>
      </c>
      <c r="AA1607" s="803"/>
    </row>
    <row r="1608" spans="1:27" ht="15.75" customHeight="1">
      <c r="A1608" s="804" t="str">
        <f>IF(B1608&lt;&gt;"",IF(AND(B1608&gt;=_TM1,B1608&lt;=_TM2,OR(TH!L1608="1111",TH!M1608="1111")),TH!D1608,""),"")</f>
        <v/>
      </c>
      <c r="B1608" s="36">
        <f t="shared" si="108"/>
        <v>10</v>
      </c>
      <c r="C1608" s="189">
        <f t="shared" si="106"/>
        <v>42305</v>
      </c>
      <c r="D1608" s="830" t="s">
        <v>1285</v>
      </c>
      <c r="E1608" s="830">
        <v>42305</v>
      </c>
      <c r="F1608" s="836" t="s">
        <v>766</v>
      </c>
      <c r="G1608" s="832" t="s">
        <v>1080</v>
      </c>
      <c r="H1608" s="833" t="s">
        <v>1259</v>
      </c>
      <c r="I1608" s="241">
        <v>8</v>
      </c>
      <c r="J1608" s="241">
        <v>7786</v>
      </c>
      <c r="K1608" s="834">
        <f t="shared" si="107"/>
        <v>62288</v>
      </c>
      <c r="L1608" s="835" t="s">
        <v>162</v>
      </c>
      <c r="M1608" s="835" t="s">
        <v>417</v>
      </c>
      <c r="N1608" s="51" t="str">
        <f>IF(AND('331-CT'!$E$7=TH!H1608,OR(L1608="331",M1608="331")),"331",IF(AND(OR(L1608="131",M1608="131"),H1608='131-CT'!$E$7),"131",""))</f>
        <v/>
      </c>
      <c r="O1608" s="51" t="str">
        <f>IF(AND($B1608&gt;='111'!$N$11,$B1608&lt;='111'!$O$11,OR($L1608=$O$7,$M1608=$O$7)),"x","")</f>
        <v/>
      </c>
      <c r="P1608" s="51" t="str">
        <f>IF(AND($L1608=$O$7,$B1608&lt;'111'!$N$11),"x","")</f>
        <v/>
      </c>
      <c r="Q1608" s="51" t="str">
        <f>IF(AND($M1608=$O$7,$B1608&lt;'111'!$N$11),"x","")</f>
        <v/>
      </c>
      <c r="R1608" s="51" t="str">
        <f>IF(ISERROR(FIND('112'!$M$9,G1608,1)),"",IF((AND(FIND('112'!$M$9,G1608,1)&gt;=1,$B1608&gt;='112'!$N$8,$B1608&lt;='112'!$O$8,OR($L1608='112'!$I$6,$M1608='112'!$I$6))),"x",""))</f>
        <v/>
      </c>
      <c r="S1608" s="51" t="str">
        <f>IF(ISERROR(FIND('112'!$M$9,G1608,1)),"",IF((AND(LEFT(G1608,2)=LEFT('112'!$M$9,2),B1608&lt;'112'!$N$8,$L1608='112'!$I$6)),"x",""))</f>
        <v/>
      </c>
      <c r="T1608" s="51" t="str">
        <f>IF(ISERROR(FIND('112'!$M$9,G1608,1)),"",IF((AND(RIGHT(G1608,2)=RIGHT('112'!$M$9,2),B1608&lt;'112'!$N$8,$M1608='112'!$I$6)),"x",""))</f>
        <v/>
      </c>
      <c r="U1608" s="51" t="str">
        <f>IF(AND(L1608="154",'154'!$O$5&lt;=B1608,'154'!$P$5&gt;=B1608),"154",IF(AND(L1608="632",'632'!$L$5&lt;=B1608,'632'!$M$5&gt;=B1608),"632",IF(AND(L1608="642",'642'!$N$5&lt;=B1608,'642'!$O$5&gt;=B1608),"642",IF(AND(L1608="641",'641'!$N$5&lt;=B1608,'641'!$O$5&gt;=B1608),"641",""))))</f>
        <v/>
      </c>
      <c r="V1608" s="51" t="str">
        <f>IF(OR(TH!L1608=TH!$V$7,M1608=TH!$V$7),"x","")</f>
        <v/>
      </c>
      <c r="W1608" s="51" t="str">
        <f>IF(AND(B1608&gt;='IN-NX'!$P$3,B1608&lt;='IN-NX'!$Q$3,'IN-NX'!$D$7=D1608,OR(LEFT(L1608,2)="15",AND(LEFT(M1608,2)&lt;&gt;"15",LEFT(M1608,2)&lt;&gt;"33"))),"x","")</f>
        <v/>
      </c>
      <c r="X1608" s="51" t="str">
        <f>IF(AND(OR(LEFT(TH!L1608,2)="15",LEFT(TH!M1608,2)="15"),'152-CT'!$J$8=TH!F1608),"x","")</f>
        <v/>
      </c>
      <c r="Y1608" s="51" t="str">
        <f>IF(AND(OR(LEFT(TH!L1608,2)="15",LEFT(TH!M1608,2)="15"),TK!$E$7=TH!F1608),"x","")</f>
        <v/>
      </c>
      <c r="Z1608" s="51" t="str">
        <f>IF(AND(B1608&lt;=NKC!$N$8,B1608&gt;=NKC!$M$8),"x","")</f>
        <v/>
      </c>
      <c r="AA1608" s="803"/>
    </row>
    <row r="1609" spans="1:27" ht="15.75" customHeight="1">
      <c r="A1609" s="804" t="str">
        <f>IF(B1609&lt;&gt;"",IF(AND(B1609&gt;=_TM1,B1609&lt;=_TM2,OR(TH!L1609="1111",TH!M1609="1111")),TH!D1609,""),"")</f>
        <v/>
      </c>
      <c r="B1609" s="36">
        <f t="shared" si="108"/>
        <v>10</v>
      </c>
      <c r="C1609" s="189">
        <f t="shared" ref="C1609:C1671" si="109">E1609</f>
        <v>42305</v>
      </c>
      <c r="D1609" s="830" t="s">
        <v>1285</v>
      </c>
      <c r="E1609" s="830">
        <v>42305</v>
      </c>
      <c r="F1609" s="836" t="s">
        <v>765</v>
      </c>
      <c r="G1609" s="832" t="s">
        <v>1080</v>
      </c>
      <c r="H1609" s="833" t="s">
        <v>1259</v>
      </c>
      <c r="I1609" s="241">
        <v>50</v>
      </c>
      <c r="J1609" s="241">
        <v>9830</v>
      </c>
      <c r="K1609" s="834">
        <f t="shared" si="107"/>
        <v>491500</v>
      </c>
      <c r="L1609" s="835" t="s">
        <v>162</v>
      </c>
      <c r="M1609" s="835" t="s">
        <v>417</v>
      </c>
      <c r="N1609" s="51" t="str">
        <f>IF(AND('331-CT'!$E$7=TH!H1609,OR(L1609="331",M1609="331")),"331",IF(AND(OR(L1609="131",M1609="131"),H1609='131-CT'!$E$7),"131",""))</f>
        <v/>
      </c>
      <c r="O1609" s="51" t="str">
        <f>IF(AND($B1609&gt;='111'!$N$11,$B1609&lt;='111'!$O$11,OR($L1609=$O$7,$M1609=$O$7)),"x","")</f>
        <v/>
      </c>
      <c r="P1609" s="51" t="str">
        <f>IF(AND($L1609=$O$7,$B1609&lt;'111'!$N$11),"x","")</f>
        <v/>
      </c>
      <c r="Q1609" s="51" t="str">
        <f>IF(AND($M1609=$O$7,$B1609&lt;'111'!$N$11),"x","")</f>
        <v/>
      </c>
      <c r="R1609" s="51" t="str">
        <f>IF(ISERROR(FIND('112'!$M$9,G1609,1)),"",IF((AND(FIND('112'!$M$9,G1609,1)&gt;=1,$B1609&gt;='112'!$N$8,$B1609&lt;='112'!$O$8,OR($L1609='112'!$I$6,$M1609='112'!$I$6))),"x",""))</f>
        <v/>
      </c>
      <c r="S1609" s="51" t="str">
        <f>IF(ISERROR(FIND('112'!$M$9,G1609,1)),"",IF((AND(LEFT(G1609,2)=LEFT('112'!$M$9,2),B1609&lt;'112'!$N$8,$L1609='112'!$I$6)),"x",""))</f>
        <v/>
      </c>
      <c r="T1609" s="51" t="str">
        <f>IF(ISERROR(FIND('112'!$M$9,G1609,1)),"",IF((AND(RIGHT(G1609,2)=RIGHT('112'!$M$9,2),B1609&lt;'112'!$N$8,$M1609='112'!$I$6)),"x",""))</f>
        <v/>
      </c>
      <c r="U1609" s="51" t="str">
        <f>IF(AND(L1609="154",'154'!$O$5&lt;=B1609,'154'!$P$5&gt;=B1609),"154",IF(AND(L1609="632",'632'!$L$5&lt;=B1609,'632'!$M$5&gt;=B1609),"632",IF(AND(L1609="642",'642'!$N$5&lt;=B1609,'642'!$O$5&gt;=B1609),"642",IF(AND(L1609="641",'641'!$N$5&lt;=B1609,'641'!$O$5&gt;=B1609),"641",""))))</f>
        <v/>
      </c>
      <c r="V1609" s="51" t="str">
        <f>IF(OR(TH!L1609=TH!$V$7,M1609=TH!$V$7),"x","")</f>
        <v/>
      </c>
      <c r="W1609" s="51" t="str">
        <f>IF(AND(B1609&gt;='IN-NX'!$P$3,B1609&lt;='IN-NX'!$Q$3,'IN-NX'!$D$7=D1609,OR(LEFT(L1609,2)="15",AND(LEFT(M1609,2)&lt;&gt;"15",LEFT(M1609,2)&lt;&gt;"33"))),"x","")</f>
        <v/>
      </c>
      <c r="X1609" s="51" t="str">
        <f>IF(AND(OR(LEFT(TH!L1609,2)="15",LEFT(TH!M1609,2)="15"),'152-CT'!$J$8=TH!F1609),"x","")</f>
        <v/>
      </c>
      <c r="Y1609" s="51" t="str">
        <f>IF(AND(OR(LEFT(TH!L1609,2)="15",LEFT(TH!M1609,2)="15"),TK!$E$7=TH!F1609),"x","")</f>
        <v/>
      </c>
      <c r="Z1609" s="51" t="str">
        <f>IF(AND(B1609&lt;=NKC!$N$8,B1609&gt;=NKC!$M$8),"x","")</f>
        <v/>
      </c>
      <c r="AA1609" s="803"/>
    </row>
    <row r="1610" spans="1:27" ht="15.75" customHeight="1">
      <c r="A1610" s="804" t="str">
        <f>IF(B1610&lt;&gt;"",IF(AND(B1610&gt;=_TM1,B1610&lt;=_TM2,OR(TH!L1610="1111",TH!M1610="1111")),TH!D1610,""),"")</f>
        <v/>
      </c>
      <c r="B1610" s="36">
        <f t="shared" si="108"/>
        <v>10</v>
      </c>
      <c r="C1610" s="189">
        <f t="shared" si="109"/>
        <v>42305</v>
      </c>
      <c r="D1610" s="830" t="s">
        <v>1285</v>
      </c>
      <c r="E1610" s="830">
        <v>42305</v>
      </c>
      <c r="F1610" s="836" t="s">
        <v>764</v>
      </c>
      <c r="G1610" s="832" t="s">
        <v>1080</v>
      </c>
      <c r="H1610" s="833" t="s">
        <v>1259</v>
      </c>
      <c r="I1610" s="241">
        <v>112</v>
      </c>
      <c r="J1610" s="241">
        <v>12845</v>
      </c>
      <c r="K1610" s="834">
        <f t="shared" si="107"/>
        <v>1438640</v>
      </c>
      <c r="L1610" s="835" t="s">
        <v>162</v>
      </c>
      <c r="M1610" s="835" t="s">
        <v>417</v>
      </c>
      <c r="N1610" s="51" t="str">
        <f>IF(AND('331-CT'!$E$7=TH!H1610,OR(L1610="331",M1610="331")),"331",IF(AND(OR(L1610="131",M1610="131"),H1610='131-CT'!$E$7),"131",""))</f>
        <v/>
      </c>
      <c r="O1610" s="51" t="str">
        <f>IF(AND($B1610&gt;='111'!$N$11,$B1610&lt;='111'!$O$11,OR($L1610=$O$7,$M1610=$O$7)),"x","")</f>
        <v/>
      </c>
      <c r="P1610" s="51" t="str">
        <f>IF(AND($L1610=$O$7,$B1610&lt;'111'!$N$11),"x","")</f>
        <v/>
      </c>
      <c r="Q1610" s="51" t="str">
        <f>IF(AND($M1610=$O$7,$B1610&lt;'111'!$N$11),"x","")</f>
        <v/>
      </c>
      <c r="R1610" s="51" t="str">
        <f>IF(ISERROR(FIND('112'!$M$9,G1610,1)),"",IF((AND(FIND('112'!$M$9,G1610,1)&gt;=1,$B1610&gt;='112'!$N$8,$B1610&lt;='112'!$O$8,OR($L1610='112'!$I$6,$M1610='112'!$I$6))),"x",""))</f>
        <v/>
      </c>
      <c r="S1610" s="51" t="str">
        <f>IF(ISERROR(FIND('112'!$M$9,G1610,1)),"",IF((AND(LEFT(G1610,2)=LEFT('112'!$M$9,2),B1610&lt;'112'!$N$8,$L1610='112'!$I$6)),"x",""))</f>
        <v/>
      </c>
      <c r="T1610" s="51" t="str">
        <f>IF(ISERROR(FIND('112'!$M$9,G1610,1)),"",IF((AND(RIGHT(G1610,2)=RIGHT('112'!$M$9,2),B1610&lt;'112'!$N$8,$M1610='112'!$I$6)),"x",""))</f>
        <v/>
      </c>
      <c r="U1610" s="51" t="str">
        <f>IF(AND(L1610="154",'154'!$O$5&lt;=B1610,'154'!$P$5&gt;=B1610),"154",IF(AND(L1610="632",'632'!$L$5&lt;=B1610,'632'!$M$5&gt;=B1610),"632",IF(AND(L1610="642",'642'!$N$5&lt;=B1610,'642'!$O$5&gt;=B1610),"642",IF(AND(L1610="641",'641'!$N$5&lt;=B1610,'641'!$O$5&gt;=B1610),"641",""))))</f>
        <v/>
      </c>
      <c r="V1610" s="51" t="str">
        <f>IF(OR(TH!L1610=TH!$V$7,M1610=TH!$V$7),"x","")</f>
        <v/>
      </c>
      <c r="W1610" s="51" t="str">
        <f>IF(AND(B1610&gt;='IN-NX'!$P$3,B1610&lt;='IN-NX'!$Q$3,'IN-NX'!$D$7=D1610,OR(LEFT(L1610,2)="15",AND(LEFT(M1610,2)&lt;&gt;"15",LEFT(M1610,2)&lt;&gt;"33"))),"x","")</f>
        <v/>
      </c>
      <c r="X1610" s="51" t="str">
        <f>IF(AND(OR(LEFT(TH!L1610,2)="15",LEFT(TH!M1610,2)="15"),'152-CT'!$J$8=TH!F1610),"x","")</f>
        <v/>
      </c>
      <c r="Y1610" s="51" t="str">
        <f>IF(AND(OR(LEFT(TH!L1610,2)="15",LEFT(TH!M1610,2)="15"),TK!$E$7=TH!F1610),"x","")</f>
        <v/>
      </c>
      <c r="Z1610" s="51" t="str">
        <f>IF(AND(B1610&lt;=NKC!$N$8,B1610&gt;=NKC!$M$8),"x","")</f>
        <v/>
      </c>
      <c r="AA1610" s="803"/>
    </row>
    <row r="1611" spans="1:27" ht="15.75" customHeight="1">
      <c r="A1611" s="804" t="str">
        <f>IF(B1611&lt;&gt;"",IF(AND(B1611&gt;=_TM1,B1611&lt;=_TM2,OR(TH!L1611="1111",TH!M1611="1111")),TH!D1611,""),"")</f>
        <v/>
      </c>
      <c r="B1611" s="36">
        <f t="shared" si="108"/>
        <v>10</v>
      </c>
      <c r="C1611" s="189">
        <f t="shared" si="109"/>
        <v>42308</v>
      </c>
      <c r="D1611" s="830" t="s">
        <v>1285</v>
      </c>
      <c r="E1611" s="842">
        <v>42308</v>
      </c>
      <c r="F1611" s="836" t="s">
        <v>1234</v>
      </c>
      <c r="G1611" s="810" t="s">
        <v>661</v>
      </c>
      <c r="H1611" s="833" t="s">
        <v>1259</v>
      </c>
      <c r="I1611" s="241">
        <v>3504</v>
      </c>
      <c r="J1611" s="241">
        <v>1045</v>
      </c>
      <c r="K1611" s="834">
        <f t="shared" ref="K1611:K1645" si="110">ROUND(I1611*J1611,0)</f>
        <v>3661680</v>
      </c>
      <c r="L1611" s="835" t="s">
        <v>162</v>
      </c>
      <c r="M1611" s="835" t="s">
        <v>417</v>
      </c>
      <c r="N1611" s="51" t="str">
        <f>IF(AND('331-CT'!$E$7=TH!H1611,OR(L1611="331",M1611="331")),"331",IF(AND(OR(L1611="131",M1611="131"),H1611='131-CT'!$E$7),"131",""))</f>
        <v/>
      </c>
      <c r="O1611" s="51" t="str">
        <f>IF(AND($B1611&gt;='111'!$N$11,$B1611&lt;='111'!$O$11,OR($L1611=$O$7,$M1611=$O$7)),"x","")</f>
        <v/>
      </c>
      <c r="P1611" s="51" t="str">
        <f>IF(AND($L1611=$O$7,$B1611&lt;'111'!$N$11),"x","")</f>
        <v/>
      </c>
      <c r="Q1611" s="51" t="str">
        <f>IF(AND($M1611=$O$7,$B1611&lt;'111'!$N$11),"x","")</f>
        <v/>
      </c>
      <c r="R1611" s="51" t="str">
        <f>IF(ISERROR(FIND('112'!$M$9,G1611,1)),"",IF((AND(FIND('112'!$M$9,G1611,1)&gt;=1,$B1611&gt;='112'!$N$8,$B1611&lt;='112'!$O$8,OR($L1611='112'!$I$6,$M1611='112'!$I$6))),"x",""))</f>
        <v/>
      </c>
      <c r="S1611" s="51" t="str">
        <f>IF(ISERROR(FIND('112'!$M$9,G1611,1)),"",IF((AND(LEFT(G1611,2)=LEFT('112'!$M$9,2),B1611&lt;'112'!$N$8,$L1611='112'!$I$6)),"x",""))</f>
        <v/>
      </c>
      <c r="T1611" s="51" t="str">
        <f>IF(ISERROR(FIND('112'!$M$9,G1611,1)),"",IF((AND(RIGHT(G1611,2)=RIGHT('112'!$M$9,2),B1611&lt;'112'!$N$8,$M1611='112'!$I$6)),"x",""))</f>
        <v/>
      </c>
      <c r="U1611" s="51" t="str">
        <f>IF(AND(L1611="154",'154'!$O$5&lt;=B1611,'154'!$P$5&gt;=B1611),"154",IF(AND(L1611="632",'632'!$L$5&lt;=B1611,'632'!$M$5&gt;=B1611),"632",IF(AND(L1611="642",'642'!$N$5&lt;=B1611,'642'!$O$5&gt;=B1611),"642",IF(AND(L1611="641",'641'!$N$5&lt;=B1611,'641'!$O$5&gt;=B1611),"641",""))))</f>
        <v/>
      </c>
      <c r="V1611" s="51" t="str">
        <f>IF(OR(TH!L1611=TH!$V$7,M1611=TH!$V$7),"x","")</f>
        <v/>
      </c>
      <c r="W1611" s="51" t="str">
        <f>IF(AND(B1611&gt;='IN-NX'!$P$3,B1611&lt;='IN-NX'!$Q$3,'IN-NX'!$D$7=D1611,OR(LEFT(L1611,2)="15",AND(LEFT(M1611,2)&lt;&gt;"15",LEFT(M1611,2)&lt;&gt;"33"))),"x","")</f>
        <v/>
      </c>
      <c r="X1611" s="51" t="str">
        <f>IF(AND(OR(LEFT(TH!L1611,2)="15",LEFT(TH!M1611,2)="15"),'152-CT'!$J$8=TH!F1611),"x","")</f>
        <v/>
      </c>
      <c r="Y1611" s="51" t="str">
        <f>IF(AND(OR(LEFT(TH!L1611,2)="15",LEFT(TH!M1611,2)="15"),TK!$E$7=TH!F1611),"x","")</f>
        <v/>
      </c>
      <c r="Z1611" s="51" t="str">
        <f>IF(AND(B1611&lt;=NKC!$N$8,B1611&gt;=NKC!$M$8),"x","")</f>
        <v/>
      </c>
      <c r="AA1611" s="803"/>
    </row>
    <row r="1612" spans="1:27" ht="15.75" customHeight="1">
      <c r="A1612" s="804" t="str">
        <f>IF(B1612&lt;&gt;"",IF(AND(B1612&gt;=_TM1,B1612&lt;=_TM2,OR(TH!L1612="1111",TH!M1612="1111")),TH!D1612,""),"")</f>
        <v/>
      </c>
      <c r="B1612" s="36">
        <f t="shared" si="108"/>
        <v>11</v>
      </c>
      <c r="C1612" s="189">
        <f t="shared" si="109"/>
        <v>42324</v>
      </c>
      <c r="D1612" s="830" t="s">
        <v>1285</v>
      </c>
      <c r="E1612" s="842">
        <v>42324</v>
      </c>
      <c r="F1612" s="843" t="s">
        <v>894</v>
      </c>
      <c r="G1612" s="810" t="s">
        <v>1091</v>
      </c>
      <c r="H1612" s="833" t="s">
        <v>1259</v>
      </c>
      <c r="I1612" s="241">
        <v>107</v>
      </c>
      <c r="J1612" s="241">
        <v>7709</v>
      </c>
      <c r="K1612" s="834">
        <f t="shared" si="110"/>
        <v>824863</v>
      </c>
      <c r="L1612" s="835" t="s">
        <v>162</v>
      </c>
      <c r="M1612" s="835" t="s">
        <v>417</v>
      </c>
      <c r="N1612" s="51" t="str">
        <f>IF(AND('331-CT'!$E$7=TH!H1612,OR(L1612="331",M1612="331")),"331",IF(AND(OR(L1612="131",M1612="131"),H1612='131-CT'!$E$7),"131",""))</f>
        <v/>
      </c>
      <c r="O1612" s="51" t="str">
        <f>IF(AND($B1612&gt;='111'!$N$11,$B1612&lt;='111'!$O$11,OR($L1612=$O$7,$M1612=$O$7)),"x","")</f>
        <v/>
      </c>
      <c r="P1612" s="51" t="str">
        <f>IF(AND($L1612=$O$7,$B1612&lt;'111'!$N$11),"x","")</f>
        <v/>
      </c>
      <c r="Q1612" s="51" t="str">
        <f>IF(AND($M1612=$O$7,$B1612&lt;'111'!$N$11),"x","")</f>
        <v/>
      </c>
      <c r="R1612" s="51" t="str">
        <f>IF(ISERROR(FIND('112'!$M$9,G1612,1)),"",IF((AND(FIND('112'!$M$9,G1612,1)&gt;=1,$B1612&gt;='112'!$N$8,$B1612&lt;='112'!$O$8,OR($L1612='112'!$I$6,$M1612='112'!$I$6))),"x",""))</f>
        <v/>
      </c>
      <c r="S1612" s="51" t="str">
        <f>IF(ISERROR(FIND('112'!$M$9,G1612,1)),"",IF((AND(LEFT(G1612,2)=LEFT('112'!$M$9,2),B1612&lt;'112'!$N$8,$L1612='112'!$I$6)),"x",""))</f>
        <v/>
      </c>
      <c r="T1612" s="51" t="str">
        <f>IF(ISERROR(FIND('112'!$M$9,G1612,1)),"",IF((AND(RIGHT(G1612,2)=RIGHT('112'!$M$9,2),B1612&lt;'112'!$N$8,$M1612='112'!$I$6)),"x",""))</f>
        <v/>
      </c>
      <c r="U1612" s="51" t="str">
        <f>IF(AND(L1612="154",'154'!$O$5&lt;=B1612,'154'!$P$5&gt;=B1612),"154",IF(AND(L1612="632",'632'!$L$5&lt;=B1612,'632'!$M$5&gt;=B1612),"632",IF(AND(L1612="642",'642'!$N$5&lt;=B1612,'642'!$O$5&gt;=B1612),"642",IF(AND(L1612="641",'641'!$N$5&lt;=B1612,'641'!$O$5&gt;=B1612),"641",""))))</f>
        <v/>
      </c>
      <c r="V1612" s="51" t="str">
        <f>IF(OR(TH!L1612=TH!$V$7,M1612=TH!$V$7),"x","")</f>
        <v/>
      </c>
      <c r="W1612" s="51" t="str">
        <f>IF(AND(B1612&gt;='IN-NX'!$P$3,B1612&lt;='IN-NX'!$Q$3,'IN-NX'!$D$7=D1612,OR(LEFT(L1612,2)="15",AND(LEFT(M1612,2)&lt;&gt;"15",LEFT(M1612,2)&lt;&gt;"33"))),"x","")</f>
        <v/>
      </c>
      <c r="X1612" s="51" t="str">
        <f>IF(AND(OR(LEFT(TH!L1612,2)="15",LEFT(TH!M1612,2)="15"),'152-CT'!$J$8=TH!F1612),"x","")</f>
        <v/>
      </c>
      <c r="Y1612" s="51" t="str">
        <f>IF(AND(OR(LEFT(TH!L1612,2)="15",LEFT(TH!M1612,2)="15"),TK!$E$7=TH!F1612),"x","")</f>
        <v/>
      </c>
      <c r="Z1612" s="51" t="str">
        <f>IF(AND(B1612&lt;=NKC!$N$8,B1612&gt;=NKC!$M$8),"x","")</f>
        <v/>
      </c>
      <c r="AA1612" s="803"/>
    </row>
    <row r="1613" spans="1:27" ht="15.75" customHeight="1">
      <c r="A1613" s="804" t="str">
        <f>IF(B1613&lt;&gt;"",IF(AND(B1613&gt;=_TM1,B1613&lt;=_TM2,OR(TH!L1613="1111",TH!M1613="1111")),TH!D1613,""),"")</f>
        <v/>
      </c>
      <c r="B1613" s="36">
        <f t="shared" si="108"/>
        <v>11</v>
      </c>
      <c r="C1613" s="189">
        <f t="shared" si="109"/>
        <v>42324</v>
      </c>
      <c r="D1613" s="830" t="s">
        <v>1285</v>
      </c>
      <c r="E1613" s="842">
        <v>42324</v>
      </c>
      <c r="F1613" s="48" t="s">
        <v>895</v>
      </c>
      <c r="G1613" s="810" t="s">
        <v>1091</v>
      </c>
      <c r="H1613" s="833" t="s">
        <v>1259</v>
      </c>
      <c r="I1613" s="241">
        <v>106</v>
      </c>
      <c r="J1613" s="241">
        <v>9571</v>
      </c>
      <c r="K1613" s="834">
        <f t="shared" si="110"/>
        <v>1014526</v>
      </c>
      <c r="L1613" s="835" t="s">
        <v>162</v>
      </c>
      <c r="M1613" s="835" t="s">
        <v>417</v>
      </c>
      <c r="N1613" s="51" t="str">
        <f>IF(AND('331-CT'!$E$7=TH!H1613,OR(L1613="331",M1613="331")),"331",IF(AND(OR(L1613="131",M1613="131"),H1613='131-CT'!$E$7),"131",""))</f>
        <v/>
      </c>
      <c r="O1613" s="51" t="str">
        <f>IF(AND($B1613&gt;='111'!$N$11,$B1613&lt;='111'!$O$11,OR($L1613=$O$7,$M1613=$O$7)),"x","")</f>
        <v/>
      </c>
      <c r="P1613" s="51" t="str">
        <f>IF(AND($L1613=$O$7,$B1613&lt;'111'!$N$11),"x","")</f>
        <v/>
      </c>
      <c r="Q1613" s="51" t="str">
        <f>IF(AND($M1613=$O$7,$B1613&lt;'111'!$N$11),"x","")</f>
        <v/>
      </c>
      <c r="R1613" s="51" t="str">
        <f>IF(ISERROR(FIND('112'!$M$9,G1613,1)),"",IF((AND(FIND('112'!$M$9,G1613,1)&gt;=1,$B1613&gt;='112'!$N$8,$B1613&lt;='112'!$O$8,OR($L1613='112'!$I$6,$M1613='112'!$I$6))),"x",""))</f>
        <v/>
      </c>
      <c r="S1613" s="51" t="str">
        <f>IF(ISERROR(FIND('112'!$M$9,G1613,1)),"",IF((AND(LEFT(G1613,2)=LEFT('112'!$M$9,2),B1613&lt;'112'!$N$8,$L1613='112'!$I$6)),"x",""))</f>
        <v/>
      </c>
      <c r="T1613" s="51" t="str">
        <f>IF(ISERROR(FIND('112'!$M$9,G1613,1)),"",IF((AND(RIGHT(G1613,2)=RIGHT('112'!$M$9,2),B1613&lt;'112'!$N$8,$M1613='112'!$I$6)),"x",""))</f>
        <v/>
      </c>
      <c r="U1613" s="51" t="str">
        <f>IF(AND(L1613="154",'154'!$O$5&lt;=B1613,'154'!$P$5&gt;=B1613),"154",IF(AND(L1613="632",'632'!$L$5&lt;=B1613,'632'!$M$5&gt;=B1613),"632",IF(AND(L1613="642",'642'!$N$5&lt;=B1613,'642'!$O$5&gt;=B1613),"642",IF(AND(L1613="641",'641'!$N$5&lt;=B1613,'641'!$O$5&gt;=B1613),"641",""))))</f>
        <v/>
      </c>
      <c r="V1613" s="51" t="str">
        <f>IF(OR(TH!L1613=TH!$V$7,M1613=TH!$V$7),"x","")</f>
        <v/>
      </c>
      <c r="W1613" s="51" t="str">
        <f>IF(AND(B1613&gt;='IN-NX'!$P$3,B1613&lt;='IN-NX'!$Q$3,'IN-NX'!$D$7=D1613,OR(LEFT(L1613,2)="15",AND(LEFT(M1613,2)&lt;&gt;"15",LEFT(M1613,2)&lt;&gt;"33"))),"x","")</f>
        <v/>
      </c>
      <c r="X1613" s="51" t="str">
        <f>IF(AND(OR(LEFT(TH!L1613,2)="15",LEFT(TH!M1613,2)="15"),'152-CT'!$J$8=TH!F1613),"x","")</f>
        <v/>
      </c>
      <c r="Y1613" s="51" t="str">
        <f>IF(AND(OR(LEFT(TH!L1613,2)="15",LEFT(TH!M1613,2)="15"),TK!$E$7=TH!F1613),"x","")</f>
        <v/>
      </c>
      <c r="Z1613" s="51" t="str">
        <f>IF(AND(B1613&lt;=NKC!$N$8,B1613&gt;=NKC!$M$8),"x","")</f>
        <v/>
      </c>
      <c r="AA1613" s="803"/>
    </row>
    <row r="1614" spans="1:27" ht="15.75" customHeight="1">
      <c r="A1614" s="804" t="str">
        <f>IF(B1614&lt;&gt;"",IF(AND(B1614&gt;=_TM1,B1614&lt;=_TM2,OR(TH!L1614="1111",TH!M1614="1111")),TH!D1614,""),"")</f>
        <v/>
      </c>
      <c r="B1614" s="36">
        <f t="shared" si="108"/>
        <v>11</v>
      </c>
      <c r="C1614" s="189">
        <f t="shared" si="109"/>
        <v>42324</v>
      </c>
      <c r="D1614" s="830" t="s">
        <v>1285</v>
      </c>
      <c r="E1614" s="842">
        <v>42324</v>
      </c>
      <c r="F1614" s="836" t="s">
        <v>896</v>
      </c>
      <c r="G1614" s="810" t="s">
        <v>1091</v>
      </c>
      <c r="H1614" s="833" t="s">
        <v>1259</v>
      </c>
      <c r="I1614" s="844">
        <v>110</v>
      </c>
      <c r="J1614" s="241">
        <v>7680</v>
      </c>
      <c r="K1614" s="834">
        <f t="shared" si="110"/>
        <v>844800</v>
      </c>
      <c r="L1614" s="835" t="s">
        <v>162</v>
      </c>
      <c r="M1614" s="835" t="s">
        <v>417</v>
      </c>
      <c r="N1614" s="51" t="str">
        <f>IF(AND('331-CT'!$E$7=TH!H1614,OR(L1614="331",M1614="331")),"331",IF(AND(OR(L1614="131",M1614="131"),H1614='131-CT'!$E$7),"131",""))</f>
        <v/>
      </c>
      <c r="O1614" s="51" t="str">
        <f>IF(AND($B1614&gt;='111'!$N$11,$B1614&lt;='111'!$O$11,OR($L1614=$O$7,$M1614=$O$7)),"x","")</f>
        <v/>
      </c>
      <c r="P1614" s="51" t="str">
        <f>IF(AND($L1614=$O$7,$B1614&lt;'111'!$N$11),"x","")</f>
        <v/>
      </c>
      <c r="Q1614" s="51" t="str">
        <f>IF(AND($M1614=$O$7,$B1614&lt;'111'!$N$11),"x","")</f>
        <v/>
      </c>
      <c r="R1614" s="51" t="str">
        <f>IF(ISERROR(FIND('112'!$M$9,G1614,1)),"",IF((AND(FIND('112'!$M$9,G1614,1)&gt;=1,$B1614&gt;='112'!$N$8,$B1614&lt;='112'!$O$8,OR($L1614='112'!$I$6,$M1614='112'!$I$6))),"x",""))</f>
        <v/>
      </c>
      <c r="S1614" s="51" t="str">
        <f>IF(ISERROR(FIND('112'!$M$9,G1614,1)),"",IF((AND(LEFT(G1614,2)=LEFT('112'!$M$9,2),B1614&lt;'112'!$N$8,$L1614='112'!$I$6)),"x",""))</f>
        <v/>
      </c>
      <c r="T1614" s="51" t="str">
        <f>IF(ISERROR(FIND('112'!$M$9,G1614,1)),"",IF((AND(RIGHT(G1614,2)=RIGHT('112'!$M$9,2),B1614&lt;'112'!$N$8,$M1614='112'!$I$6)),"x",""))</f>
        <v/>
      </c>
      <c r="U1614" s="51" t="str">
        <f>IF(AND(L1614="154",'154'!$O$5&lt;=B1614,'154'!$P$5&gt;=B1614),"154",IF(AND(L1614="632",'632'!$L$5&lt;=B1614,'632'!$M$5&gt;=B1614),"632",IF(AND(L1614="642",'642'!$N$5&lt;=B1614,'642'!$O$5&gt;=B1614),"642",IF(AND(L1614="641",'641'!$N$5&lt;=B1614,'641'!$O$5&gt;=B1614),"641",""))))</f>
        <v/>
      </c>
      <c r="V1614" s="51" t="str">
        <f>IF(OR(TH!L1614=TH!$V$7,M1614=TH!$V$7),"x","")</f>
        <v/>
      </c>
      <c r="W1614" s="51" t="str">
        <f>IF(AND(B1614&gt;='IN-NX'!$P$3,B1614&lt;='IN-NX'!$Q$3,'IN-NX'!$D$7=D1614,OR(LEFT(L1614,2)="15",AND(LEFT(M1614,2)&lt;&gt;"15",LEFT(M1614,2)&lt;&gt;"33"))),"x","")</f>
        <v/>
      </c>
      <c r="X1614" s="51" t="str">
        <f>IF(AND(OR(LEFT(TH!L1614,2)="15",LEFT(TH!M1614,2)="15"),'152-CT'!$J$8=TH!F1614),"x","")</f>
        <v/>
      </c>
      <c r="Y1614" s="51" t="str">
        <f>IF(AND(OR(LEFT(TH!L1614,2)="15",LEFT(TH!M1614,2)="15"),TK!$E$7=TH!F1614),"x","")</f>
        <v/>
      </c>
      <c r="Z1614" s="51" t="str">
        <f>IF(AND(B1614&lt;=NKC!$N$8,B1614&gt;=NKC!$M$8),"x","")</f>
        <v/>
      </c>
      <c r="AA1614" s="803"/>
    </row>
    <row r="1615" spans="1:27" ht="15.75" customHeight="1">
      <c r="A1615" s="804" t="str">
        <f>IF(B1615&lt;&gt;"",IF(AND(B1615&gt;=_TM1,B1615&lt;=_TM2,OR(TH!L1615="1111",TH!M1615="1111")),TH!D1615,""),"")</f>
        <v/>
      </c>
      <c r="B1615" s="36">
        <f t="shared" si="108"/>
        <v>11</v>
      </c>
      <c r="C1615" s="189">
        <f t="shared" si="109"/>
        <v>42327</v>
      </c>
      <c r="D1615" s="830" t="s">
        <v>1285</v>
      </c>
      <c r="E1615" s="842">
        <v>42327</v>
      </c>
      <c r="F1615" s="48" t="s">
        <v>844</v>
      </c>
      <c r="G1615" s="810" t="s">
        <v>1093</v>
      </c>
      <c r="H1615" s="833" t="s">
        <v>1259</v>
      </c>
      <c r="I1615" s="844">
        <v>144</v>
      </c>
      <c r="J1615" s="241">
        <v>43915</v>
      </c>
      <c r="K1615" s="834">
        <f t="shared" si="110"/>
        <v>6323760</v>
      </c>
      <c r="L1615" s="835" t="s">
        <v>162</v>
      </c>
      <c r="M1615" s="835" t="s">
        <v>417</v>
      </c>
      <c r="N1615" s="51" t="str">
        <f>IF(AND('331-CT'!$E$7=TH!H1615,OR(L1615="331",M1615="331")),"331",IF(AND(OR(L1615="131",M1615="131"),H1615='131-CT'!$E$7),"131",""))</f>
        <v/>
      </c>
      <c r="O1615" s="51" t="str">
        <f>IF(AND($B1615&gt;='111'!$N$11,$B1615&lt;='111'!$O$11,OR($L1615=$O$7,$M1615=$O$7)),"x","")</f>
        <v/>
      </c>
      <c r="P1615" s="51" t="str">
        <f>IF(AND($L1615=$O$7,$B1615&lt;'111'!$N$11),"x","")</f>
        <v/>
      </c>
      <c r="Q1615" s="51" t="str">
        <f>IF(AND($M1615=$O$7,$B1615&lt;'111'!$N$11),"x","")</f>
        <v/>
      </c>
      <c r="R1615" s="51" t="str">
        <f>IF(ISERROR(FIND('112'!$M$9,G1615,1)),"",IF((AND(FIND('112'!$M$9,G1615,1)&gt;=1,$B1615&gt;='112'!$N$8,$B1615&lt;='112'!$O$8,OR($L1615='112'!$I$6,$M1615='112'!$I$6))),"x",""))</f>
        <v/>
      </c>
      <c r="S1615" s="51" t="str">
        <f>IF(ISERROR(FIND('112'!$M$9,G1615,1)),"",IF((AND(LEFT(G1615,2)=LEFT('112'!$M$9,2),B1615&lt;'112'!$N$8,$L1615='112'!$I$6)),"x",""))</f>
        <v/>
      </c>
      <c r="T1615" s="51" t="str">
        <f>IF(ISERROR(FIND('112'!$M$9,G1615,1)),"",IF((AND(RIGHT(G1615,2)=RIGHT('112'!$M$9,2),B1615&lt;'112'!$N$8,$M1615='112'!$I$6)),"x",""))</f>
        <v/>
      </c>
      <c r="U1615" s="51" t="str">
        <f>IF(AND(L1615="154",'154'!$O$5&lt;=B1615,'154'!$P$5&gt;=B1615),"154",IF(AND(L1615="632",'632'!$L$5&lt;=B1615,'632'!$M$5&gt;=B1615),"632",IF(AND(L1615="642",'642'!$N$5&lt;=B1615,'642'!$O$5&gt;=B1615),"642",IF(AND(L1615="641",'641'!$N$5&lt;=B1615,'641'!$O$5&gt;=B1615),"641",""))))</f>
        <v/>
      </c>
      <c r="V1615" s="51" t="str">
        <f>IF(OR(TH!L1615=TH!$V$7,M1615=TH!$V$7),"x","")</f>
        <v/>
      </c>
      <c r="W1615" s="51" t="str">
        <f>IF(AND(B1615&gt;='IN-NX'!$P$3,B1615&lt;='IN-NX'!$Q$3,'IN-NX'!$D$7=D1615,OR(LEFT(L1615,2)="15",AND(LEFT(M1615,2)&lt;&gt;"15",LEFT(M1615,2)&lt;&gt;"33"))),"x","")</f>
        <v/>
      </c>
      <c r="X1615" s="51" t="str">
        <f>IF(AND(OR(LEFT(TH!L1615,2)="15",LEFT(TH!M1615,2)="15"),'152-CT'!$J$8=TH!F1615),"x","")</f>
        <v/>
      </c>
      <c r="Y1615" s="51" t="str">
        <f>IF(AND(OR(LEFT(TH!L1615,2)="15",LEFT(TH!M1615,2)="15"),TK!$E$7=TH!F1615),"x","")</f>
        <v/>
      </c>
      <c r="Z1615" s="51" t="str">
        <f>IF(AND(B1615&lt;=NKC!$N$8,B1615&gt;=NKC!$M$8),"x","")</f>
        <v/>
      </c>
      <c r="AA1615" s="803"/>
    </row>
    <row r="1616" spans="1:27" ht="15.75" customHeight="1">
      <c r="A1616" s="804" t="str">
        <f>IF(B1616&lt;&gt;"",IF(AND(B1616&gt;=_TM1,B1616&lt;=_TM2,OR(TH!L1616="1111",TH!M1616="1111")),TH!D1616,""),"")</f>
        <v/>
      </c>
      <c r="B1616" s="36">
        <f t="shared" si="108"/>
        <v>11</v>
      </c>
      <c r="C1616" s="189">
        <f t="shared" si="109"/>
        <v>42328</v>
      </c>
      <c r="D1616" s="830" t="s">
        <v>1285</v>
      </c>
      <c r="E1616" s="842">
        <v>42328</v>
      </c>
      <c r="F1616" s="836" t="s">
        <v>477</v>
      </c>
      <c r="G1616" s="810" t="s">
        <v>1094</v>
      </c>
      <c r="H1616" s="833" t="s">
        <v>1259</v>
      </c>
      <c r="I1616" s="241">
        <v>1000</v>
      </c>
      <c r="J1616" s="241">
        <v>10282.541666666666</v>
      </c>
      <c r="K1616" s="834">
        <f t="shared" si="110"/>
        <v>10282542</v>
      </c>
      <c r="L1616" s="835" t="s">
        <v>162</v>
      </c>
      <c r="M1616" s="835" t="s">
        <v>417</v>
      </c>
      <c r="N1616" s="51" t="str">
        <f>IF(AND('331-CT'!$E$7=TH!H1616,OR(L1616="331",M1616="331")),"331",IF(AND(OR(L1616="131",M1616="131"),H1616='131-CT'!$E$7),"131",""))</f>
        <v/>
      </c>
      <c r="O1616" s="51" t="str">
        <f>IF(AND($B1616&gt;='111'!$N$11,$B1616&lt;='111'!$O$11,OR($L1616=$O$7,$M1616=$O$7)),"x","")</f>
        <v/>
      </c>
      <c r="P1616" s="51" t="str">
        <f>IF(AND($L1616=$O$7,$B1616&lt;'111'!$N$11),"x","")</f>
        <v/>
      </c>
      <c r="Q1616" s="51" t="str">
        <f>IF(AND($M1616=$O$7,$B1616&lt;'111'!$N$11),"x","")</f>
        <v/>
      </c>
      <c r="R1616" s="51" t="str">
        <f>IF(ISERROR(FIND('112'!$M$9,G1616,1)),"",IF((AND(FIND('112'!$M$9,G1616,1)&gt;=1,$B1616&gt;='112'!$N$8,$B1616&lt;='112'!$O$8,OR($L1616='112'!$I$6,$M1616='112'!$I$6))),"x",""))</f>
        <v/>
      </c>
      <c r="S1616" s="51" t="str">
        <f>IF(ISERROR(FIND('112'!$M$9,G1616,1)),"",IF((AND(LEFT(G1616,2)=LEFT('112'!$M$9,2),B1616&lt;'112'!$N$8,$L1616='112'!$I$6)),"x",""))</f>
        <v/>
      </c>
      <c r="T1616" s="51" t="str">
        <f>IF(ISERROR(FIND('112'!$M$9,G1616,1)),"",IF((AND(RIGHT(G1616,2)=RIGHT('112'!$M$9,2),B1616&lt;'112'!$N$8,$M1616='112'!$I$6)),"x",""))</f>
        <v/>
      </c>
      <c r="U1616" s="51" t="str">
        <f>IF(AND(L1616="154",'154'!$O$5&lt;=B1616,'154'!$P$5&gt;=B1616),"154",IF(AND(L1616="632",'632'!$L$5&lt;=B1616,'632'!$M$5&gt;=B1616),"632",IF(AND(L1616="642",'642'!$N$5&lt;=B1616,'642'!$O$5&gt;=B1616),"642",IF(AND(L1616="641",'641'!$N$5&lt;=B1616,'641'!$O$5&gt;=B1616),"641",""))))</f>
        <v/>
      </c>
      <c r="V1616" s="51" t="str">
        <f>IF(OR(TH!L1616=TH!$V$7,M1616=TH!$V$7),"x","")</f>
        <v/>
      </c>
      <c r="W1616" s="51" t="str">
        <f>IF(AND(B1616&gt;='IN-NX'!$P$3,B1616&lt;='IN-NX'!$Q$3,'IN-NX'!$D$7=D1616,OR(LEFT(L1616,2)="15",AND(LEFT(M1616,2)&lt;&gt;"15",LEFT(M1616,2)&lt;&gt;"33"))),"x","")</f>
        <v/>
      </c>
      <c r="X1616" s="51" t="str">
        <f>IF(AND(OR(LEFT(TH!L1616,2)="15",LEFT(TH!M1616,2)="15"),'152-CT'!$J$8=TH!F1616),"x","")</f>
        <v/>
      </c>
      <c r="Y1616" s="51" t="str">
        <f>IF(AND(OR(LEFT(TH!L1616,2)="15",LEFT(TH!M1616,2)="15"),TK!$E$7=TH!F1616),"x","")</f>
        <v/>
      </c>
      <c r="Z1616" s="51" t="str">
        <f>IF(AND(B1616&lt;=NKC!$N$8,B1616&gt;=NKC!$M$8),"x","")</f>
        <v/>
      </c>
      <c r="AA1616" s="803"/>
    </row>
    <row r="1617" spans="1:27" ht="15.75" customHeight="1">
      <c r="A1617" s="804" t="str">
        <f>IF(B1617&lt;&gt;"",IF(AND(B1617&gt;=_TM1,B1617&lt;=_TM2,OR(TH!L1617="1111",TH!M1617="1111")),TH!D1617,""),"")</f>
        <v/>
      </c>
      <c r="B1617" s="36">
        <f t="shared" si="108"/>
        <v>11</v>
      </c>
      <c r="C1617" s="189">
        <f t="shared" si="109"/>
        <v>42328</v>
      </c>
      <c r="D1617" s="830" t="s">
        <v>1285</v>
      </c>
      <c r="E1617" s="842">
        <v>42328</v>
      </c>
      <c r="F1617" s="836" t="s">
        <v>845</v>
      </c>
      <c r="G1617" s="810" t="s">
        <v>1095</v>
      </c>
      <c r="H1617" s="833" t="s">
        <v>1259</v>
      </c>
      <c r="I1617" s="241">
        <v>500</v>
      </c>
      <c r="J1617" s="241">
        <v>16800</v>
      </c>
      <c r="K1617" s="834">
        <f t="shared" si="110"/>
        <v>8400000</v>
      </c>
      <c r="L1617" s="835" t="s">
        <v>162</v>
      </c>
      <c r="M1617" s="835" t="s">
        <v>417</v>
      </c>
      <c r="N1617" s="51" t="str">
        <f>IF(AND('331-CT'!$E$7=TH!H1617,OR(L1617="331",M1617="331")),"331",IF(AND(OR(L1617="131",M1617="131"),H1617='131-CT'!$E$7),"131",""))</f>
        <v/>
      </c>
      <c r="O1617" s="51" t="str">
        <f>IF(AND($B1617&gt;='111'!$N$11,$B1617&lt;='111'!$O$11,OR($L1617=$O$7,$M1617=$O$7)),"x","")</f>
        <v/>
      </c>
      <c r="P1617" s="51" t="str">
        <f>IF(AND($L1617=$O$7,$B1617&lt;'111'!$N$11),"x","")</f>
        <v/>
      </c>
      <c r="Q1617" s="51" t="str">
        <f>IF(AND($M1617=$O$7,$B1617&lt;'111'!$N$11),"x","")</f>
        <v/>
      </c>
      <c r="R1617" s="51" t="str">
        <f>IF(ISERROR(FIND('112'!$M$9,G1617,1)),"",IF((AND(FIND('112'!$M$9,G1617,1)&gt;=1,$B1617&gt;='112'!$N$8,$B1617&lt;='112'!$O$8,OR($L1617='112'!$I$6,$M1617='112'!$I$6))),"x",""))</f>
        <v/>
      </c>
      <c r="S1617" s="51" t="str">
        <f>IF(ISERROR(FIND('112'!$M$9,G1617,1)),"",IF((AND(LEFT(G1617,2)=LEFT('112'!$M$9,2),B1617&lt;'112'!$N$8,$L1617='112'!$I$6)),"x",""))</f>
        <v/>
      </c>
      <c r="T1617" s="51" t="str">
        <f>IF(ISERROR(FIND('112'!$M$9,G1617,1)),"",IF((AND(RIGHT(G1617,2)=RIGHT('112'!$M$9,2),B1617&lt;'112'!$N$8,$M1617='112'!$I$6)),"x",""))</f>
        <v/>
      </c>
      <c r="U1617" s="51" t="str">
        <f>IF(AND(L1617="154",'154'!$O$5&lt;=B1617,'154'!$P$5&gt;=B1617),"154",IF(AND(L1617="632",'632'!$L$5&lt;=B1617,'632'!$M$5&gt;=B1617),"632",IF(AND(L1617="642",'642'!$N$5&lt;=B1617,'642'!$O$5&gt;=B1617),"642",IF(AND(L1617="641",'641'!$N$5&lt;=B1617,'641'!$O$5&gt;=B1617),"641",""))))</f>
        <v/>
      </c>
      <c r="V1617" s="51" t="str">
        <f>IF(OR(TH!L1617=TH!$V$7,M1617=TH!$V$7),"x","")</f>
        <v/>
      </c>
      <c r="W1617" s="51" t="str">
        <f>IF(AND(B1617&gt;='IN-NX'!$P$3,B1617&lt;='IN-NX'!$Q$3,'IN-NX'!$D$7=D1617,OR(LEFT(L1617,2)="15",AND(LEFT(M1617,2)&lt;&gt;"15",LEFT(M1617,2)&lt;&gt;"33"))),"x","")</f>
        <v/>
      </c>
      <c r="X1617" s="51" t="str">
        <f>IF(AND(OR(LEFT(TH!L1617,2)="15",LEFT(TH!M1617,2)="15"),'152-CT'!$J$8=TH!F1617),"x","")</f>
        <v/>
      </c>
      <c r="Y1617" s="51" t="str">
        <f>IF(AND(OR(LEFT(TH!L1617,2)="15",LEFT(TH!M1617,2)="15"),TK!$E$7=TH!F1617),"x","")</f>
        <v/>
      </c>
      <c r="Z1617" s="51" t="str">
        <f>IF(AND(B1617&lt;=NKC!$N$8,B1617&gt;=NKC!$M$8),"x","")</f>
        <v/>
      </c>
      <c r="AA1617" s="803"/>
    </row>
    <row r="1618" spans="1:27" ht="15.75" customHeight="1">
      <c r="A1618" s="804" t="str">
        <f>IF(B1618&lt;&gt;"",IF(AND(B1618&gt;=_TM1,B1618&lt;=_TM2,OR(TH!L1618="1111",TH!M1618="1111")),TH!D1618,""),"")</f>
        <v/>
      </c>
      <c r="B1618" s="36">
        <f t="shared" si="108"/>
        <v>11</v>
      </c>
      <c r="C1618" s="189">
        <f t="shared" si="109"/>
        <v>42329</v>
      </c>
      <c r="D1618" s="830" t="s">
        <v>1285</v>
      </c>
      <c r="E1618" s="845">
        <v>42329</v>
      </c>
      <c r="F1618" s="836" t="s">
        <v>1238</v>
      </c>
      <c r="G1618" s="846" t="s">
        <v>1097</v>
      </c>
      <c r="H1618" s="833" t="s">
        <v>1259</v>
      </c>
      <c r="I1618" s="241">
        <v>1000</v>
      </c>
      <c r="J1618" s="241">
        <v>8771</v>
      </c>
      <c r="K1618" s="834">
        <f t="shared" si="110"/>
        <v>8771000</v>
      </c>
      <c r="L1618" s="835" t="s">
        <v>162</v>
      </c>
      <c r="M1618" s="835" t="s">
        <v>417</v>
      </c>
      <c r="N1618" s="51" t="str">
        <f>IF(AND('331-CT'!$E$7=TH!H1618,OR(L1618="331",M1618="331")),"331",IF(AND(OR(L1618="131",M1618="131"),H1618='131-CT'!$E$7),"131",""))</f>
        <v/>
      </c>
      <c r="O1618" s="51" t="str">
        <f>IF(AND($B1618&gt;='111'!$N$11,$B1618&lt;='111'!$O$11,OR($L1618=$O$7,$M1618=$O$7)),"x","")</f>
        <v/>
      </c>
      <c r="P1618" s="51" t="str">
        <f>IF(AND($L1618=$O$7,$B1618&lt;'111'!$N$11),"x","")</f>
        <v/>
      </c>
      <c r="Q1618" s="51" t="str">
        <f>IF(AND($M1618=$O$7,$B1618&lt;'111'!$N$11),"x","")</f>
        <v/>
      </c>
      <c r="R1618" s="51" t="str">
        <f>IF(ISERROR(FIND('112'!$M$9,G1618,1)),"",IF((AND(FIND('112'!$M$9,G1618,1)&gt;=1,$B1618&gt;='112'!$N$8,$B1618&lt;='112'!$O$8,OR($L1618='112'!$I$6,$M1618='112'!$I$6))),"x",""))</f>
        <v/>
      </c>
      <c r="S1618" s="51" t="str">
        <f>IF(ISERROR(FIND('112'!$M$9,G1618,1)),"",IF((AND(LEFT(G1618,2)=LEFT('112'!$M$9,2),B1618&lt;'112'!$N$8,$L1618='112'!$I$6)),"x",""))</f>
        <v/>
      </c>
      <c r="T1618" s="51" t="str">
        <f>IF(ISERROR(FIND('112'!$M$9,G1618,1)),"",IF((AND(RIGHT(G1618,2)=RIGHT('112'!$M$9,2),B1618&lt;'112'!$N$8,$M1618='112'!$I$6)),"x",""))</f>
        <v/>
      </c>
      <c r="U1618" s="51" t="str">
        <f>IF(AND(L1618="154",'154'!$O$5&lt;=B1618,'154'!$P$5&gt;=B1618),"154",IF(AND(L1618="632",'632'!$L$5&lt;=B1618,'632'!$M$5&gt;=B1618),"632",IF(AND(L1618="642",'642'!$N$5&lt;=B1618,'642'!$O$5&gt;=B1618),"642",IF(AND(L1618="641",'641'!$N$5&lt;=B1618,'641'!$O$5&gt;=B1618),"641",""))))</f>
        <v/>
      </c>
      <c r="V1618" s="51" t="str">
        <f>IF(OR(TH!L1618=TH!$V$7,M1618=TH!$V$7),"x","")</f>
        <v/>
      </c>
      <c r="W1618" s="51" t="str">
        <f>IF(AND(B1618&gt;='IN-NX'!$P$3,B1618&lt;='IN-NX'!$Q$3,'IN-NX'!$D$7=D1618,OR(LEFT(L1618,2)="15",AND(LEFT(M1618,2)&lt;&gt;"15",LEFT(M1618,2)&lt;&gt;"33"))),"x","")</f>
        <v/>
      </c>
      <c r="X1618" s="51" t="str">
        <f>IF(AND(OR(LEFT(TH!L1618,2)="15",LEFT(TH!M1618,2)="15"),'152-CT'!$J$8=TH!F1618),"x","")</f>
        <v>x</v>
      </c>
      <c r="Y1618" s="51" t="str">
        <f>IF(AND(OR(LEFT(TH!L1618,2)="15",LEFT(TH!M1618,2)="15"),TK!$E$7=TH!F1618),"x","")</f>
        <v/>
      </c>
      <c r="Z1618" s="51" t="str">
        <f>IF(AND(B1618&lt;=NKC!$N$8,B1618&gt;=NKC!$M$8),"x","")</f>
        <v/>
      </c>
      <c r="AA1618" s="803"/>
    </row>
    <row r="1619" spans="1:27" ht="15.75" customHeight="1">
      <c r="A1619" s="804" t="str">
        <f>IF(B1619&lt;&gt;"",IF(AND(B1619&gt;=_TM1,B1619&lt;=_TM2,OR(TH!L1619="1111",TH!M1619="1111")),TH!D1619,""),"")</f>
        <v/>
      </c>
      <c r="B1619" s="36">
        <f t="shared" si="108"/>
        <v>11</v>
      </c>
      <c r="C1619" s="189">
        <f t="shared" si="109"/>
        <v>42335</v>
      </c>
      <c r="D1619" s="830" t="s">
        <v>1285</v>
      </c>
      <c r="E1619" s="842">
        <v>42335</v>
      </c>
      <c r="F1619" s="48" t="s">
        <v>1234</v>
      </c>
      <c r="G1619" s="810" t="s">
        <v>1099</v>
      </c>
      <c r="H1619" s="833" t="s">
        <v>1259</v>
      </c>
      <c r="I1619" s="241">
        <v>3119</v>
      </c>
      <c r="J1619" s="241">
        <v>1045</v>
      </c>
      <c r="K1619" s="834">
        <f t="shared" si="110"/>
        <v>3259355</v>
      </c>
      <c r="L1619" s="835" t="s">
        <v>162</v>
      </c>
      <c r="M1619" s="835" t="s">
        <v>417</v>
      </c>
      <c r="N1619" s="51" t="str">
        <f>IF(AND('331-CT'!$E$7=TH!H1619,OR(L1619="331",M1619="331")),"331",IF(AND(OR(L1619="131",M1619="131"),H1619='131-CT'!$E$7),"131",""))</f>
        <v/>
      </c>
      <c r="O1619" s="51" t="str">
        <f>IF(AND($B1619&gt;='111'!$N$11,$B1619&lt;='111'!$O$11,OR($L1619=$O$7,$M1619=$O$7)),"x","")</f>
        <v/>
      </c>
      <c r="P1619" s="51" t="str">
        <f>IF(AND($L1619=$O$7,$B1619&lt;'111'!$N$11),"x","")</f>
        <v/>
      </c>
      <c r="Q1619" s="51" t="str">
        <f>IF(AND($M1619=$O$7,$B1619&lt;'111'!$N$11),"x","")</f>
        <v/>
      </c>
      <c r="R1619" s="51" t="str">
        <f>IF(ISERROR(FIND('112'!$M$9,G1619,1)),"",IF((AND(FIND('112'!$M$9,G1619,1)&gt;=1,$B1619&gt;='112'!$N$8,$B1619&lt;='112'!$O$8,OR($L1619='112'!$I$6,$M1619='112'!$I$6))),"x",""))</f>
        <v/>
      </c>
      <c r="S1619" s="51" t="str">
        <f>IF(ISERROR(FIND('112'!$M$9,G1619,1)),"",IF((AND(LEFT(G1619,2)=LEFT('112'!$M$9,2),B1619&lt;'112'!$N$8,$L1619='112'!$I$6)),"x",""))</f>
        <v/>
      </c>
      <c r="T1619" s="51" t="str">
        <f>IF(ISERROR(FIND('112'!$M$9,G1619,1)),"",IF((AND(RIGHT(G1619,2)=RIGHT('112'!$M$9,2),B1619&lt;'112'!$N$8,$M1619='112'!$I$6)),"x",""))</f>
        <v/>
      </c>
      <c r="U1619" s="51" t="str">
        <f>IF(AND(L1619="154",'154'!$O$5&lt;=B1619,'154'!$P$5&gt;=B1619),"154",IF(AND(L1619="632",'632'!$L$5&lt;=B1619,'632'!$M$5&gt;=B1619),"632",IF(AND(L1619="642",'642'!$N$5&lt;=B1619,'642'!$O$5&gt;=B1619),"642",IF(AND(L1619="641",'641'!$N$5&lt;=B1619,'641'!$O$5&gt;=B1619),"641",""))))</f>
        <v/>
      </c>
      <c r="V1619" s="51" t="str">
        <f>IF(OR(TH!L1619=TH!$V$7,M1619=TH!$V$7),"x","")</f>
        <v/>
      </c>
      <c r="W1619" s="51" t="str">
        <f>IF(AND(B1619&gt;='IN-NX'!$P$3,B1619&lt;='IN-NX'!$Q$3,'IN-NX'!$D$7=D1619,OR(LEFT(L1619,2)="15",AND(LEFT(M1619,2)&lt;&gt;"15",LEFT(M1619,2)&lt;&gt;"33"))),"x","")</f>
        <v/>
      </c>
      <c r="X1619" s="51" t="str">
        <f>IF(AND(OR(LEFT(TH!L1619,2)="15",LEFT(TH!M1619,2)="15"),'152-CT'!$J$8=TH!F1619),"x","")</f>
        <v/>
      </c>
      <c r="Y1619" s="51" t="str">
        <f>IF(AND(OR(LEFT(TH!L1619,2)="15",LEFT(TH!M1619,2)="15"),TK!$E$7=TH!F1619),"x","")</f>
        <v/>
      </c>
      <c r="Z1619" s="51" t="str">
        <f>IF(AND(B1619&lt;=NKC!$N$8,B1619&gt;=NKC!$M$8),"x","")</f>
        <v/>
      </c>
      <c r="AA1619" s="803"/>
    </row>
    <row r="1620" spans="1:27" ht="15.75" customHeight="1">
      <c r="A1620" s="804" t="str">
        <f>IF(B1620&lt;&gt;"",IF(AND(B1620&gt;=_TM1,B1620&lt;=_TM2,OR(TH!L1620="1111",TH!M1620="1111")),TH!D1620,""),"")</f>
        <v/>
      </c>
      <c r="B1620" s="36">
        <f t="shared" si="108"/>
        <v>11</v>
      </c>
      <c r="C1620" s="189">
        <f t="shared" si="109"/>
        <v>42337</v>
      </c>
      <c r="D1620" s="830" t="s">
        <v>1285</v>
      </c>
      <c r="E1620" s="842">
        <v>42337</v>
      </c>
      <c r="F1620" s="836" t="s">
        <v>1141</v>
      </c>
      <c r="G1620" s="810" t="s">
        <v>475</v>
      </c>
      <c r="H1620" s="833" t="s">
        <v>1259</v>
      </c>
      <c r="I1620" s="241">
        <v>417</v>
      </c>
      <c r="J1620" s="241">
        <v>34728</v>
      </c>
      <c r="K1620" s="834">
        <f t="shared" si="110"/>
        <v>14481576</v>
      </c>
      <c r="L1620" s="835" t="s">
        <v>162</v>
      </c>
      <c r="M1620" s="835" t="s">
        <v>417</v>
      </c>
      <c r="N1620" s="51" t="str">
        <f>IF(AND('331-CT'!$E$7=TH!H1620,OR(L1620="331",M1620="331")),"331",IF(AND(OR(L1620="131",M1620="131"),H1620='131-CT'!$E$7),"131",""))</f>
        <v/>
      </c>
      <c r="O1620" s="51" t="str">
        <f>IF(AND($B1620&gt;='111'!$N$11,$B1620&lt;='111'!$O$11,OR($L1620=$O$7,$M1620=$O$7)),"x","")</f>
        <v/>
      </c>
      <c r="P1620" s="51" t="str">
        <f>IF(AND($L1620=$O$7,$B1620&lt;'111'!$N$11),"x","")</f>
        <v/>
      </c>
      <c r="Q1620" s="51" t="str">
        <f>IF(AND($M1620=$O$7,$B1620&lt;'111'!$N$11),"x","")</f>
        <v/>
      </c>
      <c r="R1620" s="51" t="str">
        <f>IF(ISERROR(FIND('112'!$M$9,G1620,1)),"",IF((AND(FIND('112'!$M$9,G1620,1)&gt;=1,$B1620&gt;='112'!$N$8,$B1620&lt;='112'!$O$8,OR($L1620='112'!$I$6,$M1620='112'!$I$6))),"x",""))</f>
        <v/>
      </c>
      <c r="S1620" s="51" t="str">
        <f>IF(ISERROR(FIND('112'!$M$9,G1620,1)),"",IF((AND(LEFT(G1620,2)=LEFT('112'!$M$9,2),B1620&lt;'112'!$N$8,$L1620='112'!$I$6)),"x",""))</f>
        <v/>
      </c>
      <c r="T1620" s="51" t="str">
        <f>IF(ISERROR(FIND('112'!$M$9,G1620,1)),"",IF((AND(RIGHT(G1620,2)=RIGHT('112'!$M$9,2),B1620&lt;'112'!$N$8,$M1620='112'!$I$6)),"x",""))</f>
        <v/>
      </c>
      <c r="U1620" s="51" t="str">
        <f>IF(AND(L1620="154",'154'!$O$5&lt;=B1620,'154'!$P$5&gt;=B1620),"154",IF(AND(L1620="632",'632'!$L$5&lt;=B1620,'632'!$M$5&gt;=B1620),"632",IF(AND(L1620="642",'642'!$N$5&lt;=B1620,'642'!$O$5&gt;=B1620),"642",IF(AND(L1620="641",'641'!$N$5&lt;=B1620,'641'!$O$5&gt;=B1620),"641",""))))</f>
        <v/>
      </c>
      <c r="V1620" s="51" t="str">
        <f>IF(OR(TH!L1620=TH!$V$7,M1620=TH!$V$7),"x","")</f>
        <v/>
      </c>
      <c r="W1620" s="51" t="str">
        <f>IF(AND(B1620&gt;='IN-NX'!$P$3,B1620&lt;='IN-NX'!$Q$3,'IN-NX'!$D$7=D1620,OR(LEFT(L1620,2)="15",AND(LEFT(M1620,2)&lt;&gt;"15",LEFT(M1620,2)&lt;&gt;"33"))),"x","")</f>
        <v/>
      </c>
      <c r="X1620" s="51" t="str">
        <f>IF(AND(OR(LEFT(TH!L1620,2)="15",LEFT(TH!M1620,2)="15"),'152-CT'!$J$8=TH!F1620),"x","")</f>
        <v/>
      </c>
      <c r="Y1620" s="51" t="str">
        <f>IF(AND(OR(LEFT(TH!L1620,2)="15",LEFT(TH!M1620,2)="15"),TK!$E$7=TH!F1620),"x","")</f>
        <v/>
      </c>
      <c r="Z1620" s="51" t="str">
        <f>IF(AND(B1620&lt;=NKC!$N$8,B1620&gt;=NKC!$M$8),"x","")</f>
        <v/>
      </c>
      <c r="AA1620" s="803"/>
    </row>
    <row r="1621" spans="1:27" ht="15.75" customHeight="1">
      <c r="A1621" s="804" t="str">
        <f>IF(B1621&lt;&gt;"",IF(AND(B1621&gt;=_TM1,B1621&lt;=_TM2,OR(TH!L1621="1111",TH!M1621="1111")),TH!D1621,""),"")</f>
        <v/>
      </c>
      <c r="B1621" s="36">
        <f t="shared" si="108"/>
        <v>11</v>
      </c>
      <c r="C1621" s="189">
        <f t="shared" si="109"/>
        <v>42337</v>
      </c>
      <c r="D1621" s="830" t="s">
        <v>1285</v>
      </c>
      <c r="E1621" s="842">
        <v>42337</v>
      </c>
      <c r="F1621" s="836" t="s">
        <v>771</v>
      </c>
      <c r="G1621" s="810" t="s">
        <v>475</v>
      </c>
      <c r="H1621" s="833" t="s">
        <v>1259</v>
      </c>
      <c r="I1621" s="241">
        <v>24</v>
      </c>
      <c r="J1621" s="241">
        <v>10819</v>
      </c>
      <c r="K1621" s="834">
        <f t="shared" si="110"/>
        <v>259656</v>
      </c>
      <c r="L1621" s="835" t="s">
        <v>162</v>
      </c>
      <c r="M1621" s="835" t="s">
        <v>417</v>
      </c>
      <c r="N1621" s="51" t="str">
        <f>IF(AND('331-CT'!$E$7=TH!H1621,OR(L1621="331",M1621="331")),"331",IF(AND(OR(L1621="131",M1621="131"),H1621='131-CT'!$E$7),"131",""))</f>
        <v/>
      </c>
      <c r="O1621" s="51" t="str">
        <f>IF(AND($B1621&gt;='111'!$N$11,$B1621&lt;='111'!$O$11,OR($L1621=$O$7,$M1621=$O$7)),"x","")</f>
        <v/>
      </c>
      <c r="P1621" s="51" t="str">
        <f>IF(AND($L1621=$O$7,$B1621&lt;'111'!$N$11),"x","")</f>
        <v/>
      </c>
      <c r="Q1621" s="51" t="str">
        <f>IF(AND($M1621=$O$7,$B1621&lt;'111'!$N$11),"x","")</f>
        <v/>
      </c>
      <c r="R1621" s="51" t="str">
        <f>IF(ISERROR(FIND('112'!$M$9,G1621,1)),"",IF((AND(FIND('112'!$M$9,G1621,1)&gt;=1,$B1621&gt;='112'!$N$8,$B1621&lt;='112'!$O$8,OR($L1621='112'!$I$6,$M1621='112'!$I$6))),"x",""))</f>
        <v/>
      </c>
      <c r="S1621" s="51" t="str">
        <f>IF(ISERROR(FIND('112'!$M$9,G1621,1)),"",IF((AND(LEFT(G1621,2)=LEFT('112'!$M$9,2),B1621&lt;'112'!$N$8,$L1621='112'!$I$6)),"x",""))</f>
        <v/>
      </c>
      <c r="T1621" s="51" t="str">
        <f>IF(ISERROR(FIND('112'!$M$9,G1621,1)),"",IF((AND(RIGHT(G1621,2)=RIGHT('112'!$M$9,2),B1621&lt;'112'!$N$8,$M1621='112'!$I$6)),"x",""))</f>
        <v/>
      </c>
      <c r="U1621" s="51" t="str">
        <f>IF(AND(L1621="154",'154'!$O$5&lt;=B1621,'154'!$P$5&gt;=B1621),"154",IF(AND(L1621="632",'632'!$L$5&lt;=B1621,'632'!$M$5&gt;=B1621),"632",IF(AND(L1621="642",'642'!$N$5&lt;=B1621,'642'!$O$5&gt;=B1621),"642",IF(AND(L1621="641",'641'!$N$5&lt;=B1621,'641'!$O$5&gt;=B1621),"641",""))))</f>
        <v/>
      </c>
      <c r="V1621" s="51" t="str">
        <f>IF(OR(TH!L1621=TH!$V$7,M1621=TH!$V$7),"x","")</f>
        <v/>
      </c>
      <c r="W1621" s="51" t="str">
        <f>IF(AND(B1621&gt;='IN-NX'!$P$3,B1621&lt;='IN-NX'!$Q$3,'IN-NX'!$D$7=D1621,OR(LEFT(L1621,2)="15",AND(LEFT(M1621,2)&lt;&gt;"15",LEFT(M1621,2)&lt;&gt;"33"))),"x","")</f>
        <v/>
      </c>
      <c r="X1621" s="51" t="str">
        <f>IF(AND(OR(LEFT(TH!L1621,2)="15",LEFT(TH!M1621,2)="15"),'152-CT'!$J$8=TH!F1621),"x","")</f>
        <v/>
      </c>
      <c r="Y1621" s="51" t="str">
        <f>IF(AND(OR(LEFT(TH!L1621,2)="15",LEFT(TH!M1621,2)="15"),TK!$E$7=TH!F1621),"x","")</f>
        <v/>
      </c>
      <c r="Z1621" s="51" t="str">
        <f>IF(AND(B1621&lt;=NKC!$N$8,B1621&gt;=NKC!$M$8),"x","")</f>
        <v/>
      </c>
      <c r="AA1621" s="803"/>
    </row>
    <row r="1622" spans="1:27" ht="15.75" customHeight="1">
      <c r="A1622" s="804" t="str">
        <f>IF(B1622&lt;&gt;"",IF(AND(B1622&gt;=_TM1,B1622&lt;=_TM2,OR(TH!L1622="1111",TH!M1622="1111")),TH!D1622,""),"")</f>
        <v/>
      </c>
      <c r="B1622" s="36">
        <f t="shared" si="108"/>
        <v>11</v>
      </c>
      <c r="C1622" s="189">
        <f t="shared" si="109"/>
        <v>42337</v>
      </c>
      <c r="D1622" s="830" t="s">
        <v>1285</v>
      </c>
      <c r="E1622" s="842">
        <v>42337</v>
      </c>
      <c r="F1622" s="836" t="s">
        <v>692</v>
      </c>
      <c r="G1622" s="810" t="s">
        <v>475</v>
      </c>
      <c r="H1622" s="833" t="s">
        <v>1259</v>
      </c>
      <c r="I1622" s="241">
        <v>200</v>
      </c>
      <c r="J1622" s="241">
        <v>20736</v>
      </c>
      <c r="K1622" s="834">
        <f t="shared" si="110"/>
        <v>4147200</v>
      </c>
      <c r="L1622" s="835" t="s">
        <v>162</v>
      </c>
      <c r="M1622" s="835" t="s">
        <v>417</v>
      </c>
      <c r="N1622" s="51" t="str">
        <f>IF(AND('331-CT'!$E$7=TH!H1622,OR(L1622="331",M1622="331")),"331",IF(AND(OR(L1622="131",M1622="131"),H1622='131-CT'!$E$7),"131",""))</f>
        <v/>
      </c>
      <c r="O1622" s="51" t="str">
        <f>IF(AND($B1622&gt;='111'!$N$11,$B1622&lt;='111'!$O$11,OR($L1622=$O$7,$M1622=$O$7)),"x","")</f>
        <v/>
      </c>
      <c r="P1622" s="51" t="str">
        <f>IF(AND($L1622=$O$7,$B1622&lt;'111'!$N$11),"x","")</f>
        <v/>
      </c>
      <c r="Q1622" s="51" t="str">
        <f>IF(AND($M1622=$O$7,$B1622&lt;'111'!$N$11),"x","")</f>
        <v/>
      </c>
      <c r="R1622" s="51" t="str">
        <f>IF(ISERROR(FIND('112'!$M$9,G1622,1)),"",IF((AND(FIND('112'!$M$9,G1622,1)&gt;=1,$B1622&gt;='112'!$N$8,$B1622&lt;='112'!$O$8,OR($L1622='112'!$I$6,$M1622='112'!$I$6))),"x",""))</f>
        <v/>
      </c>
      <c r="S1622" s="51" t="str">
        <f>IF(ISERROR(FIND('112'!$M$9,G1622,1)),"",IF((AND(LEFT(G1622,2)=LEFT('112'!$M$9,2),B1622&lt;'112'!$N$8,$L1622='112'!$I$6)),"x",""))</f>
        <v/>
      </c>
      <c r="T1622" s="51" t="str">
        <f>IF(ISERROR(FIND('112'!$M$9,G1622,1)),"",IF((AND(RIGHT(G1622,2)=RIGHT('112'!$M$9,2),B1622&lt;'112'!$N$8,$M1622='112'!$I$6)),"x",""))</f>
        <v/>
      </c>
      <c r="U1622" s="51" t="str">
        <f>IF(AND(L1622="154",'154'!$O$5&lt;=B1622,'154'!$P$5&gt;=B1622),"154",IF(AND(L1622="632",'632'!$L$5&lt;=B1622,'632'!$M$5&gt;=B1622),"632",IF(AND(L1622="642",'642'!$N$5&lt;=B1622,'642'!$O$5&gt;=B1622),"642",IF(AND(L1622="641",'641'!$N$5&lt;=B1622,'641'!$O$5&gt;=B1622),"641",""))))</f>
        <v/>
      </c>
      <c r="V1622" s="51" t="str">
        <f>IF(OR(TH!L1622=TH!$V$7,M1622=TH!$V$7),"x","")</f>
        <v/>
      </c>
      <c r="W1622" s="51" t="str">
        <f>IF(AND(B1622&gt;='IN-NX'!$P$3,B1622&lt;='IN-NX'!$Q$3,'IN-NX'!$D$7=D1622,OR(LEFT(L1622,2)="15",AND(LEFT(M1622,2)&lt;&gt;"15",LEFT(M1622,2)&lt;&gt;"33"))),"x","")</f>
        <v/>
      </c>
      <c r="X1622" s="51" t="str">
        <f>IF(AND(OR(LEFT(TH!L1622,2)="15",LEFT(TH!M1622,2)="15"),'152-CT'!$J$8=TH!F1622),"x","")</f>
        <v/>
      </c>
      <c r="Y1622" s="51" t="str">
        <f>IF(AND(OR(LEFT(TH!L1622,2)="15",LEFT(TH!M1622,2)="15"),TK!$E$7=TH!F1622),"x","")</f>
        <v/>
      </c>
      <c r="Z1622" s="51" t="str">
        <f>IF(AND(B1622&lt;=NKC!$N$8,B1622&gt;=NKC!$M$8),"x","")</f>
        <v/>
      </c>
      <c r="AA1622" s="803"/>
    </row>
    <row r="1623" spans="1:27" ht="15.75" customHeight="1">
      <c r="A1623" s="804" t="str">
        <f>IF(B1623&lt;&gt;"",IF(AND(B1623&gt;=_TM1,B1623&lt;=_TM2,OR(TH!L1623="1111",TH!M1623="1111")),TH!D1623,""),"")</f>
        <v/>
      </c>
      <c r="B1623" s="36">
        <f t="shared" si="108"/>
        <v>11</v>
      </c>
      <c r="C1623" s="189">
        <f t="shared" si="109"/>
        <v>42337</v>
      </c>
      <c r="D1623" s="830" t="s">
        <v>1285</v>
      </c>
      <c r="E1623" s="842">
        <v>42337</v>
      </c>
      <c r="F1623" s="836" t="s">
        <v>1143</v>
      </c>
      <c r="G1623" s="810" t="s">
        <v>475</v>
      </c>
      <c r="H1623" s="833" t="s">
        <v>1259</v>
      </c>
      <c r="I1623" s="241">
        <v>655</v>
      </c>
      <c r="J1623" s="241">
        <v>19285.8</v>
      </c>
      <c r="K1623" s="834">
        <f t="shared" si="110"/>
        <v>12632199</v>
      </c>
      <c r="L1623" s="835" t="s">
        <v>162</v>
      </c>
      <c r="M1623" s="835" t="s">
        <v>417</v>
      </c>
      <c r="N1623" s="51" t="str">
        <f>IF(AND('331-CT'!$E$7=TH!H1623,OR(L1623="331",M1623="331")),"331",IF(AND(OR(L1623="131",M1623="131"),H1623='131-CT'!$E$7),"131",""))</f>
        <v/>
      </c>
      <c r="O1623" s="51" t="str">
        <f>IF(AND($B1623&gt;='111'!$N$11,$B1623&lt;='111'!$O$11,OR($L1623=$O$7,$M1623=$O$7)),"x","")</f>
        <v/>
      </c>
      <c r="P1623" s="51" t="str">
        <f>IF(AND($L1623=$O$7,$B1623&lt;'111'!$N$11),"x","")</f>
        <v/>
      </c>
      <c r="Q1623" s="51" t="str">
        <f>IF(AND($M1623=$O$7,$B1623&lt;'111'!$N$11),"x","")</f>
        <v/>
      </c>
      <c r="R1623" s="51" t="str">
        <f>IF(ISERROR(FIND('112'!$M$9,G1623,1)),"",IF((AND(FIND('112'!$M$9,G1623,1)&gt;=1,$B1623&gt;='112'!$N$8,$B1623&lt;='112'!$O$8,OR($L1623='112'!$I$6,$M1623='112'!$I$6))),"x",""))</f>
        <v/>
      </c>
      <c r="S1623" s="51" t="str">
        <f>IF(ISERROR(FIND('112'!$M$9,G1623,1)),"",IF((AND(LEFT(G1623,2)=LEFT('112'!$M$9,2),B1623&lt;'112'!$N$8,$L1623='112'!$I$6)),"x",""))</f>
        <v/>
      </c>
      <c r="T1623" s="51" t="str">
        <f>IF(ISERROR(FIND('112'!$M$9,G1623,1)),"",IF((AND(RIGHT(G1623,2)=RIGHT('112'!$M$9,2),B1623&lt;'112'!$N$8,$M1623='112'!$I$6)),"x",""))</f>
        <v/>
      </c>
      <c r="U1623" s="51" t="str">
        <f>IF(AND(L1623="154",'154'!$O$5&lt;=B1623,'154'!$P$5&gt;=B1623),"154",IF(AND(L1623="632",'632'!$L$5&lt;=B1623,'632'!$M$5&gt;=B1623),"632",IF(AND(L1623="642",'642'!$N$5&lt;=B1623,'642'!$O$5&gt;=B1623),"642",IF(AND(L1623="641",'641'!$N$5&lt;=B1623,'641'!$O$5&gt;=B1623),"641",""))))</f>
        <v/>
      </c>
      <c r="V1623" s="51" t="str">
        <f>IF(OR(TH!L1623=TH!$V$7,M1623=TH!$V$7),"x","")</f>
        <v/>
      </c>
      <c r="W1623" s="51" t="str">
        <f>IF(AND(B1623&gt;='IN-NX'!$P$3,B1623&lt;='IN-NX'!$Q$3,'IN-NX'!$D$7=D1623,OR(LEFT(L1623,2)="15",AND(LEFT(M1623,2)&lt;&gt;"15",LEFT(M1623,2)&lt;&gt;"33"))),"x","")</f>
        <v/>
      </c>
      <c r="X1623" s="51" t="str">
        <f>IF(AND(OR(LEFT(TH!L1623,2)="15",LEFT(TH!M1623,2)="15"),'152-CT'!$J$8=TH!F1623),"x","")</f>
        <v/>
      </c>
      <c r="Y1623" s="51" t="str">
        <f>IF(AND(OR(LEFT(TH!L1623,2)="15",LEFT(TH!M1623,2)="15"),TK!$E$7=TH!F1623),"x","")</f>
        <v/>
      </c>
      <c r="Z1623" s="51" t="str">
        <f>IF(AND(B1623&lt;=NKC!$N$8,B1623&gt;=NKC!$M$8),"x","")</f>
        <v/>
      </c>
      <c r="AA1623" s="803"/>
    </row>
    <row r="1624" spans="1:27" ht="15.75" customHeight="1">
      <c r="A1624" s="804" t="str">
        <f>IF(B1624&lt;&gt;"",IF(AND(B1624&gt;=_TM1,B1624&lt;=_TM2,OR(TH!L1624="1111",TH!M1624="1111")),TH!D1624,""),"")</f>
        <v/>
      </c>
      <c r="B1624" s="36">
        <f t="shared" si="108"/>
        <v>11</v>
      </c>
      <c r="C1624" s="189">
        <f t="shared" si="109"/>
        <v>42337</v>
      </c>
      <c r="D1624" s="830" t="s">
        <v>1285</v>
      </c>
      <c r="E1624" s="842">
        <v>42337</v>
      </c>
      <c r="F1624" s="836" t="s">
        <v>1238</v>
      </c>
      <c r="G1624" s="810" t="s">
        <v>475</v>
      </c>
      <c r="H1624" s="833" t="s">
        <v>1259</v>
      </c>
      <c r="I1624" s="241">
        <v>1905</v>
      </c>
      <c r="J1624" s="241">
        <v>11046</v>
      </c>
      <c r="K1624" s="834">
        <f t="shared" si="110"/>
        <v>21042630</v>
      </c>
      <c r="L1624" s="835" t="s">
        <v>162</v>
      </c>
      <c r="M1624" s="835" t="s">
        <v>417</v>
      </c>
      <c r="N1624" s="51" t="str">
        <f>IF(AND('331-CT'!$E$7=TH!H1624,OR(L1624="331",M1624="331")),"331",IF(AND(OR(L1624="131",M1624="131"),H1624='131-CT'!$E$7),"131",""))</f>
        <v/>
      </c>
      <c r="O1624" s="51" t="str">
        <f>IF(AND($B1624&gt;='111'!$N$11,$B1624&lt;='111'!$O$11,OR($L1624=$O$7,$M1624=$O$7)),"x","")</f>
        <v/>
      </c>
      <c r="P1624" s="51" t="str">
        <f>IF(AND($L1624=$O$7,$B1624&lt;'111'!$N$11),"x","")</f>
        <v/>
      </c>
      <c r="Q1624" s="51" t="str">
        <f>IF(AND($M1624=$O$7,$B1624&lt;'111'!$N$11),"x","")</f>
        <v/>
      </c>
      <c r="R1624" s="51" t="str">
        <f>IF(ISERROR(FIND('112'!$M$9,G1624,1)),"",IF((AND(FIND('112'!$M$9,G1624,1)&gt;=1,$B1624&gt;='112'!$N$8,$B1624&lt;='112'!$O$8,OR($L1624='112'!$I$6,$M1624='112'!$I$6))),"x",""))</f>
        <v/>
      </c>
      <c r="S1624" s="51" t="str">
        <f>IF(ISERROR(FIND('112'!$M$9,G1624,1)),"",IF((AND(LEFT(G1624,2)=LEFT('112'!$M$9,2),B1624&lt;'112'!$N$8,$L1624='112'!$I$6)),"x",""))</f>
        <v/>
      </c>
      <c r="T1624" s="51" t="str">
        <f>IF(ISERROR(FIND('112'!$M$9,G1624,1)),"",IF((AND(RIGHT(G1624,2)=RIGHT('112'!$M$9,2),B1624&lt;'112'!$N$8,$M1624='112'!$I$6)),"x",""))</f>
        <v/>
      </c>
      <c r="U1624" s="51" t="str">
        <f>IF(AND(L1624="154",'154'!$O$5&lt;=B1624,'154'!$P$5&gt;=B1624),"154",IF(AND(L1624="632",'632'!$L$5&lt;=B1624,'632'!$M$5&gt;=B1624),"632",IF(AND(L1624="642",'642'!$N$5&lt;=B1624,'642'!$O$5&gt;=B1624),"642",IF(AND(L1624="641",'641'!$N$5&lt;=B1624,'641'!$O$5&gt;=B1624),"641",""))))</f>
        <v/>
      </c>
      <c r="V1624" s="51" t="str">
        <f>IF(OR(TH!L1624=TH!$V$7,M1624=TH!$V$7),"x","")</f>
        <v/>
      </c>
      <c r="W1624" s="51" t="str">
        <f>IF(AND(B1624&gt;='IN-NX'!$P$3,B1624&lt;='IN-NX'!$Q$3,'IN-NX'!$D$7=D1624,OR(LEFT(L1624,2)="15",AND(LEFT(M1624,2)&lt;&gt;"15",LEFT(M1624,2)&lt;&gt;"33"))),"x","")</f>
        <v/>
      </c>
      <c r="X1624" s="51" t="str">
        <f>IF(AND(OR(LEFT(TH!L1624,2)="15",LEFT(TH!M1624,2)="15"),'152-CT'!$J$8=TH!F1624),"x","")</f>
        <v>x</v>
      </c>
      <c r="Y1624" s="51" t="str">
        <f>IF(AND(OR(LEFT(TH!L1624,2)="15",LEFT(TH!M1624,2)="15"),TK!$E$7=TH!F1624),"x","")</f>
        <v/>
      </c>
      <c r="Z1624" s="51" t="str">
        <f>IF(AND(B1624&lt;=NKC!$N$8,B1624&gt;=NKC!$M$8),"x","")</f>
        <v/>
      </c>
      <c r="AA1624" s="803"/>
    </row>
    <row r="1625" spans="1:27" ht="15.75" customHeight="1">
      <c r="A1625" s="804" t="str">
        <f>IF(B1625&lt;&gt;"",IF(AND(B1625&gt;=_TM1,B1625&lt;=_TM2,OR(TH!L1625="1111",TH!M1625="1111")),TH!D1625,""),"")</f>
        <v/>
      </c>
      <c r="B1625" s="36">
        <f t="shared" si="108"/>
        <v>11</v>
      </c>
      <c r="C1625" s="189">
        <f t="shared" si="109"/>
        <v>42337</v>
      </c>
      <c r="D1625" s="830" t="s">
        <v>1285</v>
      </c>
      <c r="E1625" s="842">
        <v>42337</v>
      </c>
      <c r="F1625" s="836" t="s">
        <v>1238</v>
      </c>
      <c r="G1625" s="810" t="s">
        <v>475</v>
      </c>
      <c r="H1625" s="833" t="s">
        <v>1259</v>
      </c>
      <c r="I1625" s="241">
        <v>2000</v>
      </c>
      <c r="J1625" s="241">
        <v>8771</v>
      </c>
      <c r="K1625" s="834">
        <f t="shared" si="110"/>
        <v>17542000</v>
      </c>
      <c r="L1625" s="835" t="s">
        <v>162</v>
      </c>
      <c r="M1625" s="835" t="s">
        <v>417</v>
      </c>
      <c r="N1625" s="51" t="str">
        <f>IF(AND('331-CT'!$E$7=TH!H1625,OR(L1625="331",M1625="331")),"331",IF(AND(OR(L1625="131",M1625="131"),H1625='131-CT'!$E$7),"131",""))</f>
        <v/>
      </c>
      <c r="O1625" s="51" t="str">
        <f>IF(AND($B1625&gt;='111'!$N$11,$B1625&lt;='111'!$O$11,OR($L1625=$O$7,$M1625=$O$7)),"x","")</f>
        <v/>
      </c>
      <c r="P1625" s="51" t="str">
        <f>IF(AND($L1625=$O$7,$B1625&lt;'111'!$N$11),"x","")</f>
        <v/>
      </c>
      <c r="Q1625" s="51" t="str">
        <f>IF(AND($M1625=$O$7,$B1625&lt;'111'!$N$11),"x","")</f>
        <v/>
      </c>
      <c r="R1625" s="51" t="str">
        <f>IF(ISERROR(FIND('112'!$M$9,G1625,1)),"",IF((AND(FIND('112'!$M$9,G1625,1)&gt;=1,$B1625&gt;='112'!$N$8,$B1625&lt;='112'!$O$8,OR($L1625='112'!$I$6,$M1625='112'!$I$6))),"x",""))</f>
        <v/>
      </c>
      <c r="S1625" s="51" t="str">
        <f>IF(ISERROR(FIND('112'!$M$9,G1625,1)),"",IF((AND(LEFT(G1625,2)=LEFT('112'!$M$9,2),B1625&lt;'112'!$N$8,$L1625='112'!$I$6)),"x",""))</f>
        <v/>
      </c>
      <c r="T1625" s="51" t="str">
        <f>IF(ISERROR(FIND('112'!$M$9,G1625,1)),"",IF((AND(RIGHT(G1625,2)=RIGHT('112'!$M$9,2),B1625&lt;'112'!$N$8,$M1625='112'!$I$6)),"x",""))</f>
        <v/>
      </c>
      <c r="U1625" s="51" t="str">
        <f>IF(AND(L1625="154",'154'!$O$5&lt;=B1625,'154'!$P$5&gt;=B1625),"154",IF(AND(L1625="632",'632'!$L$5&lt;=B1625,'632'!$M$5&gt;=B1625),"632",IF(AND(L1625="642",'642'!$N$5&lt;=B1625,'642'!$O$5&gt;=B1625),"642",IF(AND(L1625="641",'641'!$N$5&lt;=B1625,'641'!$O$5&gt;=B1625),"641",""))))</f>
        <v/>
      </c>
      <c r="V1625" s="51" t="str">
        <f>IF(OR(TH!L1625=TH!$V$7,M1625=TH!$V$7),"x","")</f>
        <v/>
      </c>
      <c r="W1625" s="51" t="str">
        <f>IF(AND(B1625&gt;='IN-NX'!$P$3,B1625&lt;='IN-NX'!$Q$3,'IN-NX'!$D$7=D1625,OR(LEFT(L1625,2)="15",AND(LEFT(M1625,2)&lt;&gt;"15",LEFT(M1625,2)&lt;&gt;"33"))),"x","")</f>
        <v/>
      </c>
      <c r="X1625" s="51" t="str">
        <f>IF(AND(OR(LEFT(TH!L1625,2)="15",LEFT(TH!M1625,2)="15"),'152-CT'!$J$8=TH!F1625),"x","")</f>
        <v>x</v>
      </c>
      <c r="Y1625" s="51" t="str">
        <f>IF(AND(OR(LEFT(TH!L1625,2)="15",LEFT(TH!M1625,2)="15"),TK!$E$7=TH!F1625),"x","")</f>
        <v/>
      </c>
      <c r="Z1625" s="51" t="str">
        <f>IF(AND(B1625&lt;=NKC!$N$8,B1625&gt;=NKC!$M$8),"x","")</f>
        <v/>
      </c>
      <c r="AA1625" s="803"/>
    </row>
    <row r="1626" spans="1:27" ht="15.75" customHeight="1">
      <c r="A1626" s="804" t="str">
        <f>IF(B1626&lt;&gt;"",IF(AND(B1626&gt;=_TM1,B1626&lt;=_TM2,OR(TH!L1626="1111",TH!M1626="1111")),TH!D1626,""),"")</f>
        <v/>
      </c>
      <c r="B1626" s="36">
        <f t="shared" si="108"/>
        <v>11</v>
      </c>
      <c r="C1626" s="189">
        <f t="shared" si="109"/>
        <v>42337</v>
      </c>
      <c r="D1626" s="830" t="s">
        <v>1285</v>
      </c>
      <c r="E1626" s="842">
        <v>42337</v>
      </c>
      <c r="F1626" s="836" t="s">
        <v>623</v>
      </c>
      <c r="G1626" s="810" t="s">
        <v>1101</v>
      </c>
      <c r="H1626" s="833" t="s">
        <v>1259</v>
      </c>
      <c r="I1626" s="241">
        <v>850</v>
      </c>
      <c r="J1626" s="241">
        <v>31200</v>
      </c>
      <c r="K1626" s="834">
        <f t="shared" si="110"/>
        <v>26520000</v>
      </c>
      <c r="L1626" s="835" t="s">
        <v>162</v>
      </c>
      <c r="M1626" s="835" t="s">
        <v>417</v>
      </c>
      <c r="N1626" s="51" t="str">
        <f>IF(AND('331-CT'!$E$7=TH!H1626,OR(L1626="331",M1626="331")),"331",IF(AND(OR(L1626="131",M1626="131"),H1626='131-CT'!$E$7),"131",""))</f>
        <v/>
      </c>
      <c r="O1626" s="51" t="str">
        <f>IF(AND($B1626&gt;='111'!$N$11,$B1626&lt;='111'!$O$11,OR($L1626=$O$7,$M1626=$O$7)),"x","")</f>
        <v/>
      </c>
      <c r="P1626" s="51" t="str">
        <f>IF(AND($L1626=$O$7,$B1626&lt;'111'!$N$11),"x","")</f>
        <v/>
      </c>
      <c r="Q1626" s="51" t="str">
        <f>IF(AND($M1626=$O$7,$B1626&lt;'111'!$N$11),"x","")</f>
        <v/>
      </c>
      <c r="R1626" s="51" t="str">
        <f>IF(ISERROR(FIND('112'!$M$9,G1626,1)),"",IF((AND(FIND('112'!$M$9,G1626,1)&gt;=1,$B1626&gt;='112'!$N$8,$B1626&lt;='112'!$O$8,OR($L1626='112'!$I$6,$M1626='112'!$I$6))),"x",""))</f>
        <v/>
      </c>
      <c r="S1626" s="51" t="str">
        <f>IF(ISERROR(FIND('112'!$M$9,G1626,1)),"",IF((AND(LEFT(G1626,2)=LEFT('112'!$M$9,2),B1626&lt;'112'!$N$8,$L1626='112'!$I$6)),"x",""))</f>
        <v/>
      </c>
      <c r="T1626" s="51" t="str">
        <f>IF(ISERROR(FIND('112'!$M$9,G1626,1)),"",IF((AND(RIGHT(G1626,2)=RIGHT('112'!$M$9,2),B1626&lt;'112'!$N$8,$M1626='112'!$I$6)),"x",""))</f>
        <v/>
      </c>
      <c r="U1626" s="51" t="str">
        <f>IF(AND(L1626="154",'154'!$O$5&lt;=B1626,'154'!$P$5&gt;=B1626),"154",IF(AND(L1626="632",'632'!$L$5&lt;=B1626,'632'!$M$5&gt;=B1626),"632",IF(AND(L1626="642",'642'!$N$5&lt;=B1626,'642'!$O$5&gt;=B1626),"642",IF(AND(L1626="641",'641'!$N$5&lt;=B1626,'641'!$O$5&gt;=B1626),"641",""))))</f>
        <v/>
      </c>
      <c r="V1626" s="51" t="str">
        <f>IF(OR(TH!L1626=TH!$V$7,M1626=TH!$V$7),"x","")</f>
        <v/>
      </c>
      <c r="W1626" s="51" t="str">
        <f>IF(AND(B1626&gt;='IN-NX'!$P$3,B1626&lt;='IN-NX'!$Q$3,'IN-NX'!$D$7=D1626,OR(LEFT(L1626,2)="15",AND(LEFT(M1626,2)&lt;&gt;"15",LEFT(M1626,2)&lt;&gt;"33"))),"x","")</f>
        <v/>
      </c>
      <c r="X1626" s="51" t="str">
        <f>IF(AND(OR(LEFT(TH!L1626,2)="15",LEFT(TH!M1626,2)="15"),'152-CT'!$J$8=TH!F1626),"x","")</f>
        <v/>
      </c>
      <c r="Y1626" s="51" t="str">
        <f>IF(AND(OR(LEFT(TH!L1626,2)="15",LEFT(TH!M1626,2)="15"),TK!$E$7=TH!F1626),"x","")</f>
        <v/>
      </c>
      <c r="Z1626" s="51" t="str">
        <f>IF(AND(B1626&lt;=NKC!$N$8,B1626&gt;=NKC!$M$8),"x","")</f>
        <v/>
      </c>
      <c r="AA1626" s="803"/>
    </row>
    <row r="1627" spans="1:27" ht="15.75" customHeight="1">
      <c r="A1627" s="804" t="str">
        <f>IF(B1627&lt;&gt;"",IF(AND(B1627&gt;=_TM1,B1627&lt;=_TM2,OR(TH!L1627="1111",TH!M1627="1111")),TH!D1627,""),"")</f>
        <v/>
      </c>
      <c r="B1627" s="36">
        <f t="shared" si="108"/>
        <v>11</v>
      </c>
      <c r="C1627" s="189">
        <f t="shared" si="109"/>
        <v>42337</v>
      </c>
      <c r="D1627" s="830" t="s">
        <v>1285</v>
      </c>
      <c r="E1627" s="842">
        <v>42337</v>
      </c>
      <c r="F1627" s="836" t="s">
        <v>624</v>
      </c>
      <c r="G1627" s="810" t="s">
        <v>1101</v>
      </c>
      <c r="H1627" s="833" t="s">
        <v>1259</v>
      </c>
      <c r="I1627" s="241">
        <v>850</v>
      </c>
      <c r="J1627" s="241">
        <v>30432</v>
      </c>
      <c r="K1627" s="834">
        <f t="shared" si="110"/>
        <v>25867200</v>
      </c>
      <c r="L1627" s="835" t="s">
        <v>162</v>
      </c>
      <c r="M1627" s="835" t="s">
        <v>417</v>
      </c>
      <c r="N1627" s="51" t="str">
        <f>IF(AND('331-CT'!$E$7=TH!H1627,OR(L1627="331",M1627="331")),"331",IF(AND(OR(L1627="131",M1627="131"),H1627='131-CT'!$E$7),"131",""))</f>
        <v/>
      </c>
      <c r="O1627" s="51" t="str">
        <f>IF(AND($B1627&gt;='111'!$N$11,$B1627&lt;='111'!$O$11,OR($L1627=$O$7,$M1627=$O$7)),"x","")</f>
        <v/>
      </c>
      <c r="P1627" s="51" t="str">
        <f>IF(AND($L1627=$O$7,$B1627&lt;'111'!$N$11),"x","")</f>
        <v/>
      </c>
      <c r="Q1627" s="51" t="str">
        <f>IF(AND($M1627=$O$7,$B1627&lt;'111'!$N$11),"x","")</f>
        <v/>
      </c>
      <c r="R1627" s="51" t="str">
        <f>IF(ISERROR(FIND('112'!$M$9,G1627,1)),"",IF((AND(FIND('112'!$M$9,G1627,1)&gt;=1,$B1627&gt;='112'!$N$8,$B1627&lt;='112'!$O$8,OR($L1627='112'!$I$6,$M1627='112'!$I$6))),"x",""))</f>
        <v/>
      </c>
      <c r="S1627" s="51" t="str">
        <f>IF(ISERROR(FIND('112'!$M$9,G1627,1)),"",IF((AND(LEFT(G1627,2)=LEFT('112'!$M$9,2),B1627&lt;'112'!$N$8,$L1627='112'!$I$6)),"x",""))</f>
        <v/>
      </c>
      <c r="T1627" s="51" t="str">
        <f>IF(ISERROR(FIND('112'!$M$9,G1627,1)),"",IF((AND(RIGHT(G1627,2)=RIGHT('112'!$M$9,2),B1627&lt;'112'!$N$8,$M1627='112'!$I$6)),"x",""))</f>
        <v/>
      </c>
      <c r="U1627" s="51" t="str">
        <f>IF(AND(L1627="154",'154'!$O$5&lt;=B1627,'154'!$P$5&gt;=B1627),"154",IF(AND(L1627="632",'632'!$L$5&lt;=B1627,'632'!$M$5&gt;=B1627),"632",IF(AND(L1627="642",'642'!$N$5&lt;=B1627,'642'!$O$5&gt;=B1627),"642",IF(AND(L1627="641",'641'!$N$5&lt;=B1627,'641'!$O$5&gt;=B1627),"641",""))))</f>
        <v/>
      </c>
      <c r="V1627" s="51" t="str">
        <f>IF(OR(TH!L1627=TH!$V$7,M1627=TH!$V$7),"x","")</f>
        <v/>
      </c>
      <c r="W1627" s="51" t="str">
        <f>IF(AND(B1627&gt;='IN-NX'!$P$3,B1627&lt;='IN-NX'!$Q$3,'IN-NX'!$D$7=D1627,OR(LEFT(L1627,2)="15",AND(LEFT(M1627,2)&lt;&gt;"15",LEFT(M1627,2)&lt;&gt;"33"))),"x","")</f>
        <v/>
      </c>
      <c r="X1627" s="51" t="str">
        <f>IF(AND(OR(LEFT(TH!L1627,2)="15",LEFT(TH!M1627,2)="15"),'152-CT'!$J$8=TH!F1627),"x","")</f>
        <v/>
      </c>
      <c r="Y1627" s="51" t="str">
        <f>IF(AND(OR(LEFT(TH!L1627,2)="15",LEFT(TH!M1627,2)="15"),TK!$E$7=TH!F1627),"x","")</f>
        <v/>
      </c>
      <c r="Z1627" s="51" t="str">
        <f>IF(AND(B1627&lt;=NKC!$N$8,B1627&gt;=NKC!$M$8),"x","")</f>
        <v/>
      </c>
      <c r="AA1627" s="803"/>
    </row>
    <row r="1628" spans="1:27" ht="15.75" customHeight="1">
      <c r="A1628" s="804" t="str">
        <f>IF(B1628&lt;&gt;"",IF(AND(B1628&gt;=_TM1,B1628&lt;=_TM2,OR(TH!L1628="1111",TH!M1628="1111")),TH!D1628,""),"")</f>
        <v/>
      </c>
      <c r="B1628" s="36">
        <f t="shared" si="108"/>
        <v>11</v>
      </c>
      <c r="C1628" s="189">
        <f t="shared" si="109"/>
        <v>42337</v>
      </c>
      <c r="D1628" s="830" t="s">
        <v>1285</v>
      </c>
      <c r="E1628" s="842">
        <v>42337</v>
      </c>
      <c r="F1628" s="836" t="s">
        <v>620</v>
      </c>
      <c r="G1628" s="810" t="s">
        <v>1101</v>
      </c>
      <c r="H1628" s="833" t="s">
        <v>1259</v>
      </c>
      <c r="I1628" s="241">
        <v>2500</v>
      </c>
      <c r="J1628" s="241">
        <v>14400</v>
      </c>
      <c r="K1628" s="834">
        <f t="shared" si="110"/>
        <v>36000000</v>
      </c>
      <c r="L1628" s="835" t="s">
        <v>162</v>
      </c>
      <c r="M1628" s="835" t="s">
        <v>417</v>
      </c>
      <c r="N1628" s="51" t="str">
        <f>IF(AND('331-CT'!$E$7=TH!H1628,OR(L1628="331",M1628="331")),"331",IF(AND(OR(L1628="131",M1628="131"),H1628='131-CT'!$E$7),"131",""))</f>
        <v/>
      </c>
      <c r="O1628" s="51" t="str">
        <f>IF(AND($B1628&gt;='111'!$N$11,$B1628&lt;='111'!$O$11,OR($L1628=$O$7,$M1628=$O$7)),"x","")</f>
        <v/>
      </c>
      <c r="P1628" s="51" t="str">
        <f>IF(AND($L1628=$O$7,$B1628&lt;'111'!$N$11),"x","")</f>
        <v/>
      </c>
      <c r="Q1628" s="51" t="str">
        <f>IF(AND($M1628=$O$7,$B1628&lt;'111'!$N$11),"x","")</f>
        <v/>
      </c>
      <c r="R1628" s="51" t="str">
        <f>IF(ISERROR(FIND('112'!$M$9,G1628,1)),"",IF((AND(FIND('112'!$M$9,G1628,1)&gt;=1,$B1628&gt;='112'!$N$8,$B1628&lt;='112'!$O$8,OR($L1628='112'!$I$6,$M1628='112'!$I$6))),"x",""))</f>
        <v/>
      </c>
      <c r="S1628" s="51" t="str">
        <f>IF(ISERROR(FIND('112'!$M$9,G1628,1)),"",IF((AND(LEFT(G1628,2)=LEFT('112'!$M$9,2),B1628&lt;'112'!$N$8,$L1628='112'!$I$6)),"x",""))</f>
        <v/>
      </c>
      <c r="T1628" s="51" t="str">
        <f>IF(ISERROR(FIND('112'!$M$9,G1628,1)),"",IF((AND(RIGHT(G1628,2)=RIGHT('112'!$M$9,2),B1628&lt;'112'!$N$8,$M1628='112'!$I$6)),"x",""))</f>
        <v/>
      </c>
      <c r="U1628" s="51" t="str">
        <f>IF(AND(L1628="154",'154'!$O$5&lt;=B1628,'154'!$P$5&gt;=B1628),"154",IF(AND(L1628="632",'632'!$L$5&lt;=B1628,'632'!$M$5&gt;=B1628),"632",IF(AND(L1628="642",'642'!$N$5&lt;=B1628,'642'!$O$5&gt;=B1628),"642",IF(AND(L1628="641",'641'!$N$5&lt;=B1628,'641'!$O$5&gt;=B1628),"641",""))))</f>
        <v/>
      </c>
      <c r="V1628" s="51" t="str">
        <f>IF(OR(TH!L1628=TH!$V$7,M1628=TH!$V$7),"x","")</f>
        <v/>
      </c>
      <c r="W1628" s="51" t="str">
        <f>IF(AND(B1628&gt;='IN-NX'!$P$3,B1628&lt;='IN-NX'!$Q$3,'IN-NX'!$D$7=D1628,OR(LEFT(L1628,2)="15",AND(LEFT(M1628,2)&lt;&gt;"15",LEFT(M1628,2)&lt;&gt;"33"))),"x","")</f>
        <v/>
      </c>
      <c r="X1628" s="51" t="str">
        <f>IF(AND(OR(LEFT(TH!L1628,2)="15",LEFT(TH!M1628,2)="15"),'152-CT'!$J$8=TH!F1628),"x","")</f>
        <v/>
      </c>
      <c r="Y1628" s="51" t="str">
        <f>IF(AND(OR(LEFT(TH!L1628,2)="15",LEFT(TH!M1628,2)="15"),TK!$E$7=TH!F1628),"x","")</f>
        <v/>
      </c>
      <c r="Z1628" s="51" t="str">
        <f>IF(AND(B1628&lt;=NKC!$N$8,B1628&gt;=NKC!$M$8),"x","")</f>
        <v/>
      </c>
      <c r="AA1628" s="803"/>
    </row>
    <row r="1629" spans="1:27" ht="15.75" customHeight="1">
      <c r="A1629" s="804" t="str">
        <f>IF(B1629&lt;&gt;"",IF(AND(B1629&gt;=_TM1,B1629&lt;=_TM2,OR(TH!L1629="1111",TH!M1629="1111")),TH!D1629,""),"")</f>
        <v/>
      </c>
      <c r="B1629" s="36">
        <f t="shared" si="108"/>
        <v>11</v>
      </c>
      <c r="C1629" s="189">
        <f t="shared" si="109"/>
        <v>42337</v>
      </c>
      <c r="D1629" s="830" t="s">
        <v>1285</v>
      </c>
      <c r="E1629" s="845">
        <v>42337</v>
      </c>
      <c r="F1629" s="836" t="s">
        <v>621</v>
      </c>
      <c r="G1629" s="846" t="s">
        <v>1101</v>
      </c>
      <c r="H1629" s="833" t="s">
        <v>1259</v>
      </c>
      <c r="I1629" s="241">
        <v>3000</v>
      </c>
      <c r="J1629" s="241">
        <v>15840</v>
      </c>
      <c r="K1629" s="834">
        <f t="shared" si="110"/>
        <v>47520000</v>
      </c>
      <c r="L1629" s="835" t="s">
        <v>162</v>
      </c>
      <c r="M1629" s="835" t="s">
        <v>417</v>
      </c>
      <c r="N1629" s="51" t="str">
        <f>IF(AND('331-CT'!$E$7=TH!H1629,OR(L1629="331",M1629="331")),"331",IF(AND(OR(L1629="131",M1629="131"),H1629='131-CT'!$E$7),"131",""))</f>
        <v/>
      </c>
      <c r="O1629" s="51" t="str">
        <f>IF(AND($B1629&gt;='111'!$N$11,$B1629&lt;='111'!$O$11,OR($L1629=$O$7,$M1629=$O$7)),"x","")</f>
        <v/>
      </c>
      <c r="P1629" s="51" t="str">
        <f>IF(AND($L1629=$O$7,$B1629&lt;'111'!$N$11),"x","")</f>
        <v/>
      </c>
      <c r="Q1629" s="51" t="str">
        <f>IF(AND($M1629=$O$7,$B1629&lt;'111'!$N$11),"x","")</f>
        <v/>
      </c>
      <c r="R1629" s="51" t="str">
        <f>IF(ISERROR(FIND('112'!$M$9,G1629,1)),"",IF((AND(FIND('112'!$M$9,G1629,1)&gt;=1,$B1629&gt;='112'!$N$8,$B1629&lt;='112'!$O$8,OR($L1629='112'!$I$6,$M1629='112'!$I$6))),"x",""))</f>
        <v/>
      </c>
      <c r="S1629" s="51" t="str">
        <f>IF(ISERROR(FIND('112'!$M$9,G1629,1)),"",IF((AND(LEFT(G1629,2)=LEFT('112'!$M$9,2),B1629&lt;'112'!$N$8,$L1629='112'!$I$6)),"x",""))</f>
        <v/>
      </c>
      <c r="T1629" s="51" t="str">
        <f>IF(ISERROR(FIND('112'!$M$9,G1629,1)),"",IF((AND(RIGHT(G1629,2)=RIGHT('112'!$M$9,2),B1629&lt;'112'!$N$8,$M1629='112'!$I$6)),"x",""))</f>
        <v/>
      </c>
      <c r="U1629" s="51" t="str">
        <f>IF(AND(L1629="154",'154'!$O$5&lt;=B1629,'154'!$P$5&gt;=B1629),"154",IF(AND(L1629="632",'632'!$L$5&lt;=B1629,'632'!$M$5&gt;=B1629),"632",IF(AND(L1629="642",'642'!$N$5&lt;=B1629,'642'!$O$5&gt;=B1629),"642",IF(AND(L1629="641",'641'!$N$5&lt;=B1629,'641'!$O$5&gt;=B1629),"641",""))))</f>
        <v/>
      </c>
      <c r="V1629" s="51" t="str">
        <f>IF(OR(TH!L1629=TH!$V$7,M1629=TH!$V$7),"x","")</f>
        <v/>
      </c>
      <c r="W1629" s="51" t="str">
        <f>IF(AND(B1629&gt;='IN-NX'!$P$3,B1629&lt;='IN-NX'!$Q$3,'IN-NX'!$D$7=D1629,OR(LEFT(L1629,2)="15",AND(LEFT(M1629,2)&lt;&gt;"15",LEFT(M1629,2)&lt;&gt;"33"))),"x","")</f>
        <v/>
      </c>
      <c r="X1629" s="51" t="str">
        <f>IF(AND(OR(LEFT(TH!L1629,2)="15",LEFT(TH!M1629,2)="15"),'152-CT'!$J$8=TH!F1629),"x","")</f>
        <v/>
      </c>
      <c r="Y1629" s="51" t="str">
        <f>IF(AND(OR(LEFT(TH!L1629,2)="15",LEFT(TH!M1629,2)="15"),TK!$E$7=TH!F1629),"x","")</f>
        <v/>
      </c>
      <c r="Z1629" s="51" t="str">
        <f>IF(AND(B1629&lt;=NKC!$N$8,B1629&gt;=NKC!$M$8),"x","")</f>
        <v/>
      </c>
      <c r="AA1629" s="803"/>
    </row>
    <row r="1630" spans="1:27" ht="15.75" customHeight="1">
      <c r="A1630" s="804" t="str">
        <f>IF(B1630&lt;&gt;"",IF(AND(B1630&gt;=_TM1,B1630&lt;=_TM2,OR(TH!L1630="1111",TH!M1630="1111")),TH!D1630,""),"")</f>
        <v/>
      </c>
      <c r="B1630" s="36">
        <f t="shared" si="108"/>
        <v>12</v>
      </c>
      <c r="C1630" s="189">
        <f t="shared" si="109"/>
        <v>42341</v>
      </c>
      <c r="D1630" s="830" t="s">
        <v>1285</v>
      </c>
      <c r="E1630" s="830">
        <v>42341</v>
      </c>
      <c r="F1630" s="831" t="s">
        <v>1258</v>
      </c>
      <c r="G1630" s="832" t="s">
        <v>1102</v>
      </c>
      <c r="H1630" s="833" t="s">
        <v>1259</v>
      </c>
      <c r="I1630" s="241">
        <v>166</v>
      </c>
      <c r="J1630" s="241">
        <v>35064</v>
      </c>
      <c r="K1630" s="834">
        <f t="shared" si="110"/>
        <v>5820624</v>
      </c>
      <c r="L1630" s="835" t="s">
        <v>162</v>
      </c>
      <c r="M1630" s="835" t="s">
        <v>417</v>
      </c>
      <c r="N1630" s="51" t="str">
        <f>IF(AND('331-CT'!$E$7=TH!H1630,OR(L1630="331",M1630="331")),"331",IF(AND(OR(L1630="131",M1630="131"),H1630='131-CT'!$E$7),"131",""))</f>
        <v/>
      </c>
      <c r="O1630" s="51" t="str">
        <f>IF(AND($B1630&gt;='111'!$N$11,$B1630&lt;='111'!$O$11,OR($L1630=$O$7,$M1630=$O$7)),"x","")</f>
        <v/>
      </c>
      <c r="P1630" s="51" t="str">
        <f>IF(AND($L1630=$O$7,$B1630&lt;'111'!$N$11),"x","")</f>
        <v/>
      </c>
      <c r="Q1630" s="51" t="str">
        <f>IF(AND($M1630=$O$7,$B1630&lt;'111'!$N$11),"x","")</f>
        <v/>
      </c>
      <c r="R1630" s="51" t="str">
        <f>IF(ISERROR(FIND('112'!$M$9,G1630,1)),"",IF((AND(FIND('112'!$M$9,G1630,1)&gt;=1,$B1630&gt;='112'!$N$8,$B1630&lt;='112'!$O$8,OR($L1630='112'!$I$6,$M1630='112'!$I$6))),"x",""))</f>
        <v/>
      </c>
      <c r="S1630" s="51" t="str">
        <f>IF(ISERROR(FIND('112'!$M$9,G1630,1)),"",IF((AND(LEFT(G1630,2)=LEFT('112'!$M$9,2),B1630&lt;'112'!$N$8,$L1630='112'!$I$6)),"x",""))</f>
        <v/>
      </c>
      <c r="T1630" s="51" t="str">
        <f>IF(ISERROR(FIND('112'!$M$9,G1630,1)),"",IF((AND(RIGHT(G1630,2)=RIGHT('112'!$M$9,2),B1630&lt;'112'!$N$8,$M1630='112'!$I$6)),"x",""))</f>
        <v/>
      </c>
      <c r="U1630" s="51" t="str">
        <f>IF(AND(L1630="154",'154'!$O$5&lt;=B1630,'154'!$P$5&gt;=B1630),"154",IF(AND(L1630="632",'632'!$L$5&lt;=B1630,'632'!$M$5&gt;=B1630),"632",IF(AND(L1630="642",'642'!$N$5&lt;=B1630,'642'!$O$5&gt;=B1630),"642",IF(AND(L1630="641",'641'!$N$5&lt;=B1630,'641'!$O$5&gt;=B1630),"641",""))))</f>
        <v/>
      </c>
      <c r="V1630" s="51" t="str">
        <f>IF(OR(TH!L1630=TH!$V$7,M1630=TH!$V$7),"x","")</f>
        <v/>
      </c>
      <c r="W1630" s="51" t="str">
        <f>IF(AND(B1630&gt;='IN-NX'!$P$3,B1630&lt;='IN-NX'!$Q$3,'IN-NX'!$D$7=D1630,OR(LEFT(L1630,2)="15",AND(LEFT(M1630,2)&lt;&gt;"15",LEFT(M1630,2)&lt;&gt;"33"))),"x","")</f>
        <v/>
      </c>
      <c r="X1630" s="51" t="str">
        <f>IF(AND(OR(LEFT(TH!L1630,2)="15",LEFT(TH!M1630,2)="15"),'152-CT'!$J$8=TH!F1630),"x","")</f>
        <v/>
      </c>
      <c r="Y1630" s="51" t="str">
        <f>IF(AND(OR(LEFT(TH!L1630,2)="15",LEFT(TH!M1630,2)="15"),TK!$E$7=TH!F1630),"x","")</f>
        <v/>
      </c>
      <c r="Z1630" s="51" t="str">
        <f>IF(AND(B1630&lt;=NKC!$N$8,B1630&gt;=NKC!$M$8),"x","")</f>
        <v/>
      </c>
      <c r="AA1630" s="803"/>
    </row>
    <row r="1631" spans="1:27" ht="15.75" customHeight="1">
      <c r="A1631" s="804" t="str">
        <f>IF(B1631&lt;&gt;"",IF(AND(B1631&gt;=_TM1,B1631&lt;=_TM2,OR(TH!L1631="1111",TH!M1631="1111")),TH!D1631,""),"")</f>
        <v/>
      </c>
      <c r="B1631" s="36">
        <f t="shared" si="108"/>
        <v>12</v>
      </c>
      <c r="C1631" s="189">
        <f t="shared" si="109"/>
        <v>42342</v>
      </c>
      <c r="D1631" s="830" t="s">
        <v>1285</v>
      </c>
      <c r="E1631" s="830">
        <v>42342</v>
      </c>
      <c r="F1631" s="831" t="s">
        <v>1238</v>
      </c>
      <c r="G1631" s="832" t="s">
        <v>1103</v>
      </c>
      <c r="H1631" s="833" t="s">
        <v>1259</v>
      </c>
      <c r="I1631" s="241">
        <v>996</v>
      </c>
      <c r="J1631" s="241">
        <v>8771</v>
      </c>
      <c r="K1631" s="834">
        <f t="shared" si="110"/>
        <v>8735916</v>
      </c>
      <c r="L1631" s="835" t="s">
        <v>162</v>
      </c>
      <c r="M1631" s="835" t="s">
        <v>417</v>
      </c>
      <c r="N1631" s="51" t="str">
        <f>IF(AND('331-CT'!$E$7=TH!H1631,OR(L1631="331",M1631="331")),"331",IF(AND(OR(L1631="131",M1631="131"),H1631='131-CT'!$E$7),"131",""))</f>
        <v/>
      </c>
      <c r="O1631" s="51" t="str">
        <f>IF(AND($B1631&gt;='111'!$N$11,$B1631&lt;='111'!$O$11,OR($L1631=$O$7,$M1631=$O$7)),"x","")</f>
        <v/>
      </c>
      <c r="P1631" s="51" t="str">
        <f>IF(AND($L1631=$O$7,$B1631&lt;'111'!$N$11),"x","")</f>
        <v/>
      </c>
      <c r="Q1631" s="51" t="str">
        <f>IF(AND($M1631=$O$7,$B1631&lt;'111'!$N$11),"x","")</f>
        <v/>
      </c>
      <c r="R1631" s="51" t="str">
        <f>IF(ISERROR(FIND('112'!$M$9,G1631,1)),"",IF((AND(FIND('112'!$M$9,G1631,1)&gt;=1,$B1631&gt;='112'!$N$8,$B1631&lt;='112'!$O$8,OR($L1631='112'!$I$6,$M1631='112'!$I$6))),"x",""))</f>
        <v/>
      </c>
      <c r="S1631" s="51" t="str">
        <f>IF(ISERROR(FIND('112'!$M$9,G1631,1)),"",IF((AND(LEFT(G1631,2)=LEFT('112'!$M$9,2),B1631&lt;'112'!$N$8,$L1631='112'!$I$6)),"x",""))</f>
        <v/>
      </c>
      <c r="T1631" s="51" t="str">
        <f>IF(ISERROR(FIND('112'!$M$9,G1631,1)),"",IF((AND(RIGHT(G1631,2)=RIGHT('112'!$M$9,2),B1631&lt;'112'!$N$8,$M1631='112'!$I$6)),"x",""))</f>
        <v/>
      </c>
      <c r="U1631" s="51" t="str">
        <f>IF(AND(L1631="154",'154'!$O$5&lt;=B1631,'154'!$P$5&gt;=B1631),"154",IF(AND(L1631="632",'632'!$L$5&lt;=B1631,'632'!$M$5&gt;=B1631),"632",IF(AND(L1631="642",'642'!$N$5&lt;=B1631,'642'!$O$5&gt;=B1631),"642",IF(AND(L1631="641",'641'!$N$5&lt;=B1631,'641'!$O$5&gt;=B1631),"641",""))))</f>
        <v/>
      </c>
      <c r="V1631" s="51" t="str">
        <f>IF(OR(TH!L1631=TH!$V$7,M1631=TH!$V$7),"x","")</f>
        <v/>
      </c>
      <c r="W1631" s="51" t="str">
        <f>IF(AND(B1631&gt;='IN-NX'!$P$3,B1631&lt;='IN-NX'!$Q$3,'IN-NX'!$D$7=D1631,OR(LEFT(L1631,2)="15",AND(LEFT(M1631,2)&lt;&gt;"15",LEFT(M1631,2)&lt;&gt;"33"))),"x","")</f>
        <v/>
      </c>
      <c r="X1631" s="51" t="str">
        <f>IF(AND(OR(LEFT(TH!L1631,2)="15",LEFT(TH!M1631,2)="15"),'152-CT'!$J$8=TH!F1631),"x","")</f>
        <v>x</v>
      </c>
      <c r="Y1631" s="51" t="str">
        <f>IF(AND(OR(LEFT(TH!L1631,2)="15",LEFT(TH!M1631,2)="15"),TK!$E$7=TH!F1631),"x","")</f>
        <v/>
      </c>
      <c r="Z1631" s="51" t="str">
        <f>IF(AND(B1631&lt;=NKC!$N$8,B1631&gt;=NKC!$M$8),"x","")</f>
        <v/>
      </c>
      <c r="AA1631" s="803"/>
    </row>
    <row r="1632" spans="1:27" ht="15.75" customHeight="1">
      <c r="A1632" s="804" t="str">
        <f>IF(B1632&lt;&gt;"",IF(AND(B1632&gt;=_TM1,B1632&lt;=_TM2,OR(TH!L1632="1111",TH!M1632="1111")),TH!D1632,""),"")</f>
        <v/>
      </c>
      <c r="B1632" s="36">
        <f t="shared" si="108"/>
        <v>12</v>
      </c>
      <c r="C1632" s="189">
        <f t="shared" si="109"/>
        <v>42345</v>
      </c>
      <c r="D1632" s="830" t="s">
        <v>1285</v>
      </c>
      <c r="E1632" s="830">
        <v>42345</v>
      </c>
      <c r="F1632" s="831" t="s">
        <v>894</v>
      </c>
      <c r="G1632" s="832" t="s">
        <v>691</v>
      </c>
      <c r="H1632" s="833" t="s">
        <v>1259</v>
      </c>
      <c r="I1632" s="241">
        <v>200</v>
      </c>
      <c r="J1632" s="241">
        <v>8351</v>
      </c>
      <c r="K1632" s="834">
        <f t="shared" si="110"/>
        <v>1670200</v>
      </c>
      <c r="L1632" s="835" t="s">
        <v>162</v>
      </c>
      <c r="M1632" s="835" t="s">
        <v>417</v>
      </c>
      <c r="N1632" s="51" t="str">
        <f>IF(AND('331-CT'!$E$7=TH!H1632,OR(L1632="331",M1632="331")),"331",IF(AND(OR(L1632="131",M1632="131"),H1632='131-CT'!$E$7),"131",""))</f>
        <v/>
      </c>
      <c r="O1632" s="51" t="str">
        <f>IF(AND($B1632&gt;='111'!$N$11,$B1632&lt;='111'!$O$11,OR($L1632=$O$7,$M1632=$O$7)),"x","")</f>
        <v/>
      </c>
      <c r="P1632" s="51" t="str">
        <f>IF(AND($L1632=$O$7,$B1632&lt;'111'!$N$11),"x","")</f>
        <v/>
      </c>
      <c r="Q1632" s="51" t="str">
        <f>IF(AND($M1632=$O$7,$B1632&lt;'111'!$N$11),"x","")</f>
        <v/>
      </c>
      <c r="R1632" s="51" t="str">
        <f>IF(ISERROR(FIND('112'!$M$9,G1632,1)),"",IF((AND(FIND('112'!$M$9,G1632,1)&gt;=1,$B1632&gt;='112'!$N$8,$B1632&lt;='112'!$O$8,OR($L1632='112'!$I$6,$M1632='112'!$I$6))),"x",""))</f>
        <v/>
      </c>
      <c r="S1632" s="51" t="str">
        <f>IF(ISERROR(FIND('112'!$M$9,G1632,1)),"",IF((AND(LEFT(G1632,2)=LEFT('112'!$M$9,2),B1632&lt;'112'!$N$8,$L1632='112'!$I$6)),"x",""))</f>
        <v/>
      </c>
      <c r="T1632" s="51" t="str">
        <f>IF(ISERROR(FIND('112'!$M$9,G1632,1)),"",IF((AND(RIGHT(G1632,2)=RIGHT('112'!$M$9,2),B1632&lt;'112'!$N$8,$M1632='112'!$I$6)),"x",""))</f>
        <v/>
      </c>
      <c r="U1632" s="51" t="str">
        <f>IF(AND(L1632="154",'154'!$O$5&lt;=B1632,'154'!$P$5&gt;=B1632),"154",IF(AND(L1632="632",'632'!$L$5&lt;=B1632,'632'!$M$5&gt;=B1632),"632",IF(AND(L1632="642",'642'!$N$5&lt;=B1632,'642'!$O$5&gt;=B1632),"642",IF(AND(L1632="641",'641'!$N$5&lt;=B1632,'641'!$O$5&gt;=B1632),"641",""))))</f>
        <v/>
      </c>
      <c r="V1632" s="51" t="str">
        <f>IF(OR(TH!L1632=TH!$V$7,M1632=TH!$V$7),"x","")</f>
        <v/>
      </c>
      <c r="W1632" s="51" t="str">
        <f>IF(AND(B1632&gt;='IN-NX'!$P$3,B1632&lt;='IN-NX'!$Q$3,'IN-NX'!$D$7=D1632,OR(LEFT(L1632,2)="15",AND(LEFT(M1632,2)&lt;&gt;"15",LEFT(M1632,2)&lt;&gt;"33"))),"x","")</f>
        <v/>
      </c>
      <c r="X1632" s="51" t="str">
        <f>IF(AND(OR(LEFT(TH!L1632,2)="15",LEFT(TH!M1632,2)="15"),'152-CT'!$J$8=TH!F1632),"x","")</f>
        <v/>
      </c>
      <c r="Y1632" s="51" t="str">
        <f>IF(AND(OR(LEFT(TH!L1632,2)="15",LEFT(TH!M1632,2)="15"),TK!$E$7=TH!F1632),"x","")</f>
        <v/>
      </c>
      <c r="Z1632" s="51" t="str">
        <f>IF(AND(B1632&lt;=NKC!$N$8,B1632&gt;=NKC!$M$8),"x","")</f>
        <v/>
      </c>
      <c r="AA1632" s="803"/>
    </row>
    <row r="1633" spans="1:27" ht="15.75" customHeight="1">
      <c r="A1633" s="804" t="str">
        <f>IF(B1633&lt;&gt;"",IF(AND(B1633&gt;=_TM1,B1633&lt;=_TM2,OR(TH!L1633="1111",TH!M1633="1111")),TH!D1633,""),"")</f>
        <v/>
      </c>
      <c r="B1633" s="36">
        <f t="shared" si="108"/>
        <v>12</v>
      </c>
      <c r="C1633" s="189">
        <f t="shared" si="109"/>
        <v>42350</v>
      </c>
      <c r="D1633" s="830" t="s">
        <v>1285</v>
      </c>
      <c r="E1633" s="830">
        <v>42350</v>
      </c>
      <c r="F1633" s="831" t="s">
        <v>712</v>
      </c>
      <c r="G1633" s="832" t="s">
        <v>1104</v>
      </c>
      <c r="H1633" s="833" t="s">
        <v>1259</v>
      </c>
      <c r="I1633" s="241">
        <v>75</v>
      </c>
      <c r="J1633" s="241">
        <v>22680</v>
      </c>
      <c r="K1633" s="834">
        <f t="shared" si="110"/>
        <v>1701000</v>
      </c>
      <c r="L1633" s="835" t="s">
        <v>162</v>
      </c>
      <c r="M1633" s="835" t="s">
        <v>417</v>
      </c>
      <c r="N1633" s="51" t="str">
        <f>IF(AND('331-CT'!$E$7=TH!H1633,OR(L1633="331",M1633="331")),"331",IF(AND(OR(L1633="131",M1633="131"),H1633='131-CT'!$E$7),"131",""))</f>
        <v/>
      </c>
      <c r="O1633" s="51" t="str">
        <f>IF(AND($B1633&gt;='111'!$N$11,$B1633&lt;='111'!$O$11,OR($L1633=$O$7,$M1633=$O$7)),"x","")</f>
        <v/>
      </c>
      <c r="P1633" s="51" t="str">
        <f>IF(AND($L1633=$O$7,$B1633&lt;'111'!$N$11),"x","")</f>
        <v/>
      </c>
      <c r="Q1633" s="51" t="str">
        <f>IF(AND($M1633=$O$7,$B1633&lt;'111'!$N$11),"x","")</f>
        <v/>
      </c>
      <c r="R1633" s="51" t="str">
        <f>IF(ISERROR(FIND('112'!$M$9,G1633,1)),"",IF((AND(FIND('112'!$M$9,G1633,1)&gt;=1,$B1633&gt;='112'!$N$8,$B1633&lt;='112'!$O$8,OR($L1633='112'!$I$6,$M1633='112'!$I$6))),"x",""))</f>
        <v/>
      </c>
      <c r="S1633" s="51" t="str">
        <f>IF(ISERROR(FIND('112'!$M$9,G1633,1)),"",IF((AND(LEFT(G1633,2)=LEFT('112'!$M$9,2),B1633&lt;'112'!$N$8,$L1633='112'!$I$6)),"x",""))</f>
        <v/>
      </c>
      <c r="T1633" s="51" t="str">
        <f>IF(ISERROR(FIND('112'!$M$9,G1633,1)),"",IF((AND(RIGHT(G1633,2)=RIGHT('112'!$M$9,2),B1633&lt;'112'!$N$8,$M1633='112'!$I$6)),"x",""))</f>
        <v/>
      </c>
      <c r="U1633" s="51" t="str">
        <f>IF(AND(L1633="154",'154'!$O$5&lt;=B1633,'154'!$P$5&gt;=B1633),"154",IF(AND(L1633="632",'632'!$L$5&lt;=B1633,'632'!$M$5&gt;=B1633),"632",IF(AND(L1633="642",'642'!$N$5&lt;=B1633,'642'!$O$5&gt;=B1633),"642",IF(AND(L1633="641",'641'!$N$5&lt;=B1633,'641'!$O$5&gt;=B1633),"641",""))))</f>
        <v/>
      </c>
      <c r="V1633" s="51" t="str">
        <f>IF(OR(TH!L1633=TH!$V$7,M1633=TH!$V$7),"x","")</f>
        <v/>
      </c>
      <c r="W1633" s="51" t="str">
        <f>IF(AND(B1633&gt;='IN-NX'!$P$3,B1633&lt;='IN-NX'!$Q$3,'IN-NX'!$D$7=D1633,OR(LEFT(L1633,2)="15",AND(LEFT(M1633,2)&lt;&gt;"15",LEFT(M1633,2)&lt;&gt;"33"))),"x","")</f>
        <v/>
      </c>
      <c r="X1633" s="51" t="str">
        <f>IF(AND(OR(LEFT(TH!L1633,2)="15",LEFT(TH!M1633,2)="15"),'152-CT'!$J$8=TH!F1633),"x","")</f>
        <v/>
      </c>
      <c r="Y1633" s="51" t="str">
        <f>IF(AND(OR(LEFT(TH!L1633,2)="15",LEFT(TH!M1633,2)="15"),TK!$E$7=TH!F1633),"x","")</f>
        <v/>
      </c>
      <c r="Z1633" s="51" t="str">
        <f>IF(AND(B1633&lt;=NKC!$N$8,B1633&gt;=NKC!$M$8),"x","")</f>
        <v/>
      </c>
      <c r="AA1633" s="803"/>
    </row>
    <row r="1634" spans="1:27" ht="15.75" customHeight="1">
      <c r="A1634" s="804" t="str">
        <f>IF(B1634&lt;&gt;"",IF(AND(B1634&gt;=_TM1,B1634&lt;=_TM2,OR(TH!L1634="1111",TH!M1634="1111")),TH!D1634,""),"")</f>
        <v/>
      </c>
      <c r="B1634" s="36">
        <f t="shared" si="108"/>
        <v>12</v>
      </c>
      <c r="C1634" s="189">
        <f t="shared" si="109"/>
        <v>42350</v>
      </c>
      <c r="D1634" s="830" t="s">
        <v>1285</v>
      </c>
      <c r="E1634" s="830">
        <v>42350</v>
      </c>
      <c r="F1634" s="831" t="s">
        <v>1206</v>
      </c>
      <c r="G1634" s="832" t="s">
        <v>1104</v>
      </c>
      <c r="H1634" s="833" t="s">
        <v>1259</v>
      </c>
      <c r="I1634" s="241">
        <v>300</v>
      </c>
      <c r="J1634" s="241">
        <v>5996</v>
      </c>
      <c r="K1634" s="834">
        <f t="shared" si="110"/>
        <v>1798800</v>
      </c>
      <c r="L1634" s="835" t="s">
        <v>162</v>
      </c>
      <c r="M1634" s="835" t="s">
        <v>417</v>
      </c>
      <c r="N1634" s="51" t="str">
        <f>IF(AND('331-CT'!$E$7=TH!H1634,OR(L1634="331",M1634="331")),"331",IF(AND(OR(L1634="131",M1634="131"),H1634='131-CT'!$E$7),"131",""))</f>
        <v/>
      </c>
      <c r="O1634" s="51" t="str">
        <f>IF(AND($B1634&gt;='111'!$N$11,$B1634&lt;='111'!$O$11,OR($L1634=$O$7,$M1634=$O$7)),"x","")</f>
        <v/>
      </c>
      <c r="P1634" s="51" t="str">
        <f>IF(AND($L1634=$O$7,$B1634&lt;'111'!$N$11),"x","")</f>
        <v/>
      </c>
      <c r="Q1634" s="51" t="str">
        <f>IF(AND($M1634=$O$7,$B1634&lt;'111'!$N$11),"x","")</f>
        <v/>
      </c>
      <c r="R1634" s="51" t="str">
        <f>IF(ISERROR(FIND('112'!$M$9,G1634,1)),"",IF((AND(FIND('112'!$M$9,G1634,1)&gt;=1,$B1634&gt;='112'!$N$8,$B1634&lt;='112'!$O$8,OR($L1634='112'!$I$6,$M1634='112'!$I$6))),"x",""))</f>
        <v/>
      </c>
      <c r="S1634" s="51" t="str">
        <f>IF(ISERROR(FIND('112'!$M$9,G1634,1)),"",IF((AND(LEFT(G1634,2)=LEFT('112'!$M$9,2),B1634&lt;'112'!$N$8,$L1634='112'!$I$6)),"x",""))</f>
        <v/>
      </c>
      <c r="T1634" s="51" t="str">
        <f>IF(ISERROR(FIND('112'!$M$9,G1634,1)),"",IF((AND(RIGHT(G1634,2)=RIGHT('112'!$M$9,2),B1634&lt;'112'!$N$8,$M1634='112'!$I$6)),"x",""))</f>
        <v/>
      </c>
      <c r="U1634" s="51" t="str">
        <f>IF(AND(L1634="154",'154'!$O$5&lt;=B1634,'154'!$P$5&gt;=B1634),"154",IF(AND(L1634="632",'632'!$L$5&lt;=B1634,'632'!$M$5&gt;=B1634),"632",IF(AND(L1634="642",'642'!$N$5&lt;=B1634,'642'!$O$5&gt;=B1634),"642",IF(AND(L1634="641",'641'!$N$5&lt;=B1634,'641'!$O$5&gt;=B1634),"641",""))))</f>
        <v/>
      </c>
      <c r="V1634" s="51" t="str">
        <f>IF(OR(TH!L1634=TH!$V$7,M1634=TH!$V$7),"x","")</f>
        <v/>
      </c>
      <c r="W1634" s="51" t="str">
        <f>IF(AND(B1634&gt;='IN-NX'!$P$3,B1634&lt;='IN-NX'!$Q$3,'IN-NX'!$D$7=D1634,OR(LEFT(L1634,2)="15",AND(LEFT(M1634,2)&lt;&gt;"15",LEFT(M1634,2)&lt;&gt;"33"))),"x","")</f>
        <v/>
      </c>
      <c r="X1634" s="51" t="str">
        <f>IF(AND(OR(LEFT(TH!L1634,2)="15",LEFT(TH!M1634,2)="15"),'152-CT'!$J$8=TH!F1634),"x","")</f>
        <v/>
      </c>
      <c r="Y1634" s="51" t="str">
        <f>IF(AND(OR(LEFT(TH!L1634,2)="15",LEFT(TH!M1634,2)="15"),TK!$E$7=TH!F1634),"x","")</f>
        <v/>
      </c>
      <c r="Z1634" s="51" t="str">
        <f>IF(AND(B1634&lt;=NKC!$N$8,B1634&gt;=NKC!$M$8),"x","")</f>
        <v/>
      </c>
      <c r="AA1634" s="803"/>
    </row>
    <row r="1635" spans="1:27" ht="15.75" customHeight="1">
      <c r="A1635" s="804" t="str">
        <f>IF(B1635&lt;&gt;"",IF(AND(B1635&gt;=_TM1,B1635&lt;=_TM2,OR(TH!L1635="1111",TH!M1635="1111")),TH!D1635,""),"")</f>
        <v/>
      </c>
      <c r="B1635" s="36">
        <f t="shared" si="108"/>
        <v>12</v>
      </c>
      <c r="C1635" s="189">
        <f t="shared" si="109"/>
        <v>42352</v>
      </c>
      <c r="D1635" s="830" t="s">
        <v>1285</v>
      </c>
      <c r="E1635" s="47">
        <v>42352</v>
      </c>
      <c r="F1635" s="48" t="s">
        <v>623</v>
      </c>
      <c r="G1635" s="810" t="s">
        <v>480</v>
      </c>
      <c r="H1635" s="833" t="s">
        <v>1259</v>
      </c>
      <c r="I1635" s="241">
        <v>850</v>
      </c>
      <c r="J1635" s="241">
        <v>30875</v>
      </c>
      <c r="K1635" s="834">
        <f t="shared" si="110"/>
        <v>26243750</v>
      </c>
      <c r="L1635" s="835" t="s">
        <v>162</v>
      </c>
      <c r="M1635" s="835" t="s">
        <v>417</v>
      </c>
      <c r="N1635" s="51" t="str">
        <f>IF(AND('331-CT'!$E$7=TH!H1635,OR(L1635="331",M1635="331")),"331",IF(AND(OR(L1635="131",M1635="131"),H1635='131-CT'!$E$7),"131",""))</f>
        <v/>
      </c>
      <c r="O1635" s="51" t="str">
        <f>IF(AND($B1635&gt;='111'!$N$11,$B1635&lt;='111'!$O$11,OR($L1635=$O$7,$M1635=$O$7)),"x","")</f>
        <v/>
      </c>
      <c r="P1635" s="51" t="str">
        <f>IF(AND($L1635=$O$7,$B1635&lt;'111'!$N$11),"x","")</f>
        <v/>
      </c>
      <c r="Q1635" s="51" t="str">
        <f>IF(AND($M1635=$O$7,$B1635&lt;'111'!$N$11),"x","")</f>
        <v/>
      </c>
      <c r="R1635" s="51" t="str">
        <f>IF(ISERROR(FIND('112'!$M$9,G1635,1)),"",IF((AND(FIND('112'!$M$9,G1635,1)&gt;=1,$B1635&gt;='112'!$N$8,$B1635&lt;='112'!$O$8,OR($L1635='112'!$I$6,$M1635='112'!$I$6))),"x",""))</f>
        <v/>
      </c>
      <c r="S1635" s="51" t="str">
        <f>IF(ISERROR(FIND('112'!$M$9,G1635,1)),"",IF((AND(LEFT(G1635,2)=LEFT('112'!$M$9,2),B1635&lt;'112'!$N$8,$L1635='112'!$I$6)),"x",""))</f>
        <v/>
      </c>
      <c r="T1635" s="51" t="str">
        <f>IF(ISERROR(FIND('112'!$M$9,G1635,1)),"",IF((AND(RIGHT(G1635,2)=RIGHT('112'!$M$9,2),B1635&lt;'112'!$N$8,$M1635='112'!$I$6)),"x",""))</f>
        <v/>
      </c>
      <c r="U1635" s="51" t="str">
        <f>IF(AND(L1635="154",'154'!$O$5&lt;=B1635,'154'!$P$5&gt;=B1635),"154",IF(AND(L1635="632",'632'!$L$5&lt;=B1635,'632'!$M$5&gt;=B1635),"632",IF(AND(L1635="642",'642'!$N$5&lt;=B1635,'642'!$O$5&gt;=B1635),"642",IF(AND(L1635="641",'641'!$N$5&lt;=B1635,'641'!$O$5&gt;=B1635),"641",""))))</f>
        <v/>
      </c>
      <c r="V1635" s="51" t="str">
        <f>IF(OR(TH!L1635=TH!$V$7,M1635=TH!$V$7),"x","")</f>
        <v/>
      </c>
      <c r="W1635" s="51" t="str">
        <f>IF(AND(B1635&gt;='IN-NX'!$P$3,B1635&lt;='IN-NX'!$Q$3,'IN-NX'!$D$7=D1635,OR(LEFT(L1635,2)="15",AND(LEFT(M1635,2)&lt;&gt;"15",LEFT(M1635,2)&lt;&gt;"33"))),"x","")</f>
        <v/>
      </c>
      <c r="X1635" s="51" t="str">
        <f>IF(AND(OR(LEFT(TH!L1635,2)="15",LEFT(TH!M1635,2)="15"),'152-CT'!$J$8=TH!F1635),"x","")</f>
        <v/>
      </c>
      <c r="Y1635" s="51" t="str">
        <f>IF(AND(OR(LEFT(TH!L1635,2)="15",LEFT(TH!M1635,2)="15"),TK!$E$7=TH!F1635),"x","")</f>
        <v/>
      </c>
      <c r="Z1635" s="51" t="str">
        <f>IF(AND(B1635&lt;=NKC!$N$8,B1635&gt;=NKC!$M$8),"x","")</f>
        <v/>
      </c>
      <c r="AA1635" s="803"/>
    </row>
    <row r="1636" spans="1:27" ht="15.75" customHeight="1">
      <c r="A1636" s="804" t="str">
        <f>IF(B1636&lt;&gt;"",IF(AND(B1636&gt;=_TM1,B1636&lt;=_TM2,OR(TH!L1636="1111",TH!M1636="1111")),TH!D1636,""),"")</f>
        <v/>
      </c>
      <c r="B1636" s="36">
        <f t="shared" si="108"/>
        <v>12</v>
      </c>
      <c r="C1636" s="189">
        <f t="shared" si="109"/>
        <v>42352</v>
      </c>
      <c r="D1636" s="830" t="s">
        <v>1285</v>
      </c>
      <c r="E1636" s="47">
        <v>42352</v>
      </c>
      <c r="F1636" s="48" t="s">
        <v>624</v>
      </c>
      <c r="G1636" s="810" t="s">
        <v>480</v>
      </c>
      <c r="H1636" s="833" t="s">
        <v>1259</v>
      </c>
      <c r="I1636" s="241">
        <v>850</v>
      </c>
      <c r="J1636" s="241">
        <v>30893.489361702126</v>
      </c>
      <c r="K1636" s="834">
        <f t="shared" si="110"/>
        <v>26259466</v>
      </c>
      <c r="L1636" s="835" t="s">
        <v>162</v>
      </c>
      <c r="M1636" s="835" t="s">
        <v>417</v>
      </c>
      <c r="N1636" s="51" t="str">
        <f>IF(AND('331-CT'!$E$7=TH!H1636,OR(L1636="331",M1636="331")),"331",IF(AND(OR(L1636="131",M1636="131"),H1636='131-CT'!$E$7),"131",""))</f>
        <v/>
      </c>
      <c r="O1636" s="51" t="str">
        <f>IF(AND($B1636&gt;='111'!$N$11,$B1636&lt;='111'!$O$11,OR($L1636=$O$7,$M1636=$O$7)),"x","")</f>
        <v/>
      </c>
      <c r="P1636" s="51" t="str">
        <f>IF(AND($L1636=$O$7,$B1636&lt;'111'!$N$11),"x","")</f>
        <v/>
      </c>
      <c r="Q1636" s="51" t="str">
        <f>IF(AND($M1636=$O$7,$B1636&lt;'111'!$N$11),"x","")</f>
        <v/>
      </c>
      <c r="R1636" s="51" t="str">
        <f>IF(ISERROR(FIND('112'!$M$9,G1636,1)),"",IF((AND(FIND('112'!$M$9,G1636,1)&gt;=1,$B1636&gt;='112'!$N$8,$B1636&lt;='112'!$O$8,OR($L1636='112'!$I$6,$M1636='112'!$I$6))),"x",""))</f>
        <v/>
      </c>
      <c r="S1636" s="51" t="str">
        <f>IF(ISERROR(FIND('112'!$M$9,G1636,1)),"",IF((AND(LEFT(G1636,2)=LEFT('112'!$M$9,2),B1636&lt;'112'!$N$8,$L1636='112'!$I$6)),"x",""))</f>
        <v/>
      </c>
      <c r="T1636" s="51" t="str">
        <f>IF(ISERROR(FIND('112'!$M$9,G1636,1)),"",IF((AND(RIGHT(G1636,2)=RIGHT('112'!$M$9,2),B1636&lt;'112'!$N$8,$M1636='112'!$I$6)),"x",""))</f>
        <v/>
      </c>
      <c r="U1636" s="51" t="str">
        <f>IF(AND(L1636="154",'154'!$O$5&lt;=B1636,'154'!$P$5&gt;=B1636),"154",IF(AND(L1636="632",'632'!$L$5&lt;=B1636,'632'!$M$5&gt;=B1636),"632",IF(AND(L1636="642",'642'!$N$5&lt;=B1636,'642'!$O$5&gt;=B1636),"642",IF(AND(L1636="641",'641'!$N$5&lt;=B1636,'641'!$O$5&gt;=B1636),"641",""))))</f>
        <v/>
      </c>
      <c r="V1636" s="51" t="str">
        <f>IF(OR(TH!L1636=TH!$V$7,M1636=TH!$V$7),"x","")</f>
        <v/>
      </c>
      <c r="W1636" s="51" t="str">
        <f>IF(AND(B1636&gt;='IN-NX'!$P$3,B1636&lt;='IN-NX'!$Q$3,'IN-NX'!$D$7=D1636,OR(LEFT(L1636,2)="15",AND(LEFT(M1636,2)&lt;&gt;"15",LEFT(M1636,2)&lt;&gt;"33"))),"x","")</f>
        <v/>
      </c>
      <c r="X1636" s="51" t="str">
        <f>IF(AND(OR(LEFT(TH!L1636,2)="15",LEFT(TH!M1636,2)="15"),'152-CT'!$J$8=TH!F1636),"x","")</f>
        <v/>
      </c>
      <c r="Y1636" s="51" t="str">
        <f>IF(AND(OR(LEFT(TH!L1636,2)="15",LEFT(TH!M1636,2)="15"),TK!$E$7=TH!F1636),"x","")</f>
        <v/>
      </c>
      <c r="Z1636" s="51" t="str">
        <f>IF(AND(B1636&lt;=NKC!$N$8,B1636&gt;=NKC!$M$8),"x","")</f>
        <v/>
      </c>
      <c r="AA1636" s="803"/>
    </row>
    <row r="1637" spans="1:27" ht="15.75" customHeight="1">
      <c r="A1637" s="804" t="str">
        <f>IF(B1637&lt;&gt;"",IF(AND(B1637&gt;=_TM1,B1637&lt;=_TM2,OR(TH!L1637="1111",TH!M1637="1111")),TH!D1637,""),"")</f>
        <v/>
      </c>
      <c r="B1637" s="36">
        <f t="shared" si="108"/>
        <v>12</v>
      </c>
      <c r="C1637" s="189">
        <f t="shared" si="109"/>
        <v>42352</v>
      </c>
      <c r="D1637" s="830" t="s">
        <v>1285</v>
      </c>
      <c r="E1637" s="845">
        <v>42352</v>
      </c>
      <c r="F1637" s="836" t="s">
        <v>620</v>
      </c>
      <c r="G1637" s="846" t="s">
        <v>480</v>
      </c>
      <c r="H1637" s="833" t="s">
        <v>1259</v>
      </c>
      <c r="I1637" s="241">
        <v>4100</v>
      </c>
      <c r="J1637" s="241">
        <v>14250</v>
      </c>
      <c r="K1637" s="834">
        <f t="shared" si="110"/>
        <v>58425000</v>
      </c>
      <c r="L1637" s="835" t="s">
        <v>162</v>
      </c>
      <c r="M1637" s="835" t="s">
        <v>417</v>
      </c>
      <c r="N1637" s="51" t="str">
        <f>IF(AND('331-CT'!$E$7=TH!H1637,OR(L1637="331",M1637="331")),"331",IF(AND(OR(L1637="131",M1637="131"),H1637='131-CT'!$E$7),"131",""))</f>
        <v/>
      </c>
      <c r="O1637" s="51" t="str">
        <f>IF(AND($B1637&gt;='111'!$N$11,$B1637&lt;='111'!$O$11,OR($L1637=$O$7,$M1637=$O$7)),"x","")</f>
        <v/>
      </c>
      <c r="P1637" s="51" t="str">
        <f>IF(AND($L1637=$O$7,$B1637&lt;'111'!$N$11),"x","")</f>
        <v/>
      </c>
      <c r="Q1637" s="51" t="str">
        <f>IF(AND($M1637=$O$7,$B1637&lt;'111'!$N$11),"x","")</f>
        <v/>
      </c>
      <c r="R1637" s="51" t="str">
        <f>IF(ISERROR(FIND('112'!$M$9,G1637,1)),"",IF((AND(FIND('112'!$M$9,G1637,1)&gt;=1,$B1637&gt;='112'!$N$8,$B1637&lt;='112'!$O$8,OR($L1637='112'!$I$6,$M1637='112'!$I$6))),"x",""))</f>
        <v/>
      </c>
      <c r="S1637" s="51" t="str">
        <f>IF(ISERROR(FIND('112'!$M$9,G1637,1)),"",IF((AND(LEFT(G1637,2)=LEFT('112'!$M$9,2),B1637&lt;'112'!$N$8,$L1637='112'!$I$6)),"x",""))</f>
        <v/>
      </c>
      <c r="T1637" s="51" t="str">
        <f>IF(ISERROR(FIND('112'!$M$9,G1637,1)),"",IF((AND(RIGHT(G1637,2)=RIGHT('112'!$M$9,2),B1637&lt;'112'!$N$8,$M1637='112'!$I$6)),"x",""))</f>
        <v/>
      </c>
      <c r="U1637" s="51" t="str">
        <f>IF(AND(L1637="154",'154'!$O$5&lt;=B1637,'154'!$P$5&gt;=B1637),"154",IF(AND(L1637="632",'632'!$L$5&lt;=B1637,'632'!$M$5&gt;=B1637),"632",IF(AND(L1637="642",'642'!$N$5&lt;=B1637,'642'!$O$5&gt;=B1637),"642",IF(AND(L1637="641",'641'!$N$5&lt;=B1637,'641'!$O$5&gt;=B1637),"641",""))))</f>
        <v/>
      </c>
      <c r="V1637" s="51" t="str">
        <f>IF(OR(TH!L1637=TH!$V$7,M1637=TH!$V$7),"x","")</f>
        <v/>
      </c>
      <c r="W1637" s="51" t="str">
        <f>IF(AND(B1637&gt;='IN-NX'!$P$3,B1637&lt;='IN-NX'!$Q$3,'IN-NX'!$D$7=D1637,OR(LEFT(L1637,2)="15",AND(LEFT(M1637,2)&lt;&gt;"15",LEFT(M1637,2)&lt;&gt;"33"))),"x","")</f>
        <v/>
      </c>
      <c r="X1637" s="51" t="str">
        <f>IF(AND(OR(LEFT(TH!L1637,2)="15",LEFT(TH!M1637,2)="15"),'152-CT'!$J$8=TH!F1637),"x","")</f>
        <v/>
      </c>
      <c r="Y1637" s="51" t="str">
        <f>IF(AND(OR(LEFT(TH!L1637,2)="15",LEFT(TH!M1637,2)="15"),TK!$E$7=TH!F1637),"x","")</f>
        <v/>
      </c>
      <c r="Z1637" s="51" t="str">
        <f>IF(AND(B1637&lt;=NKC!$N$8,B1637&gt;=NKC!$M$8),"x","")</f>
        <v/>
      </c>
      <c r="AA1637" s="803"/>
    </row>
    <row r="1638" spans="1:27" ht="15.75" customHeight="1">
      <c r="A1638" s="804" t="str">
        <f>IF(B1638&lt;&gt;"",IF(AND(B1638&gt;=_TM1,B1638&lt;=_TM2,OR(TH!L1638="1111",TH!M1638="1111")),TH!D1638,""),"")</f>
        <v/>
      </c>
      <c r="B1638" s="36">
        <f t="shared" si="108"/>
        <v>12</v>
      </c>
      <c r="C1638" s="189">
        <f t="shared" si="109"/>
        <v>42352</v>
      </c>
      <c r="D1638" s="830" t="s">
        <v>1285</v>
      </c>
      <c r="E1638" s="845">
        <v>42352</v>
      </c>
      <c r="F1638" s="836" t="s">
        <v>621</v>
      </c>
      <c r="G1638" s="846" t="s">
        <v>480</v>
      </c>
      <c r="H1638" s="833" t="s">
        <v>1259</v>
      </c>
      <c r="I1638" s="241">
        <v>3000</v>
      </c>
      <c r="J1638" s="241">
        <v>15675</v>
      </c>
      <c r="K1638" s="834">
        <f t="shared" si="110"/>
        <v>47025000</v>
      </c>
      <c r="L1638" s="835" t="s">
        <v>162</v>
      </c>
      <c r="M1638" s="835" t="s">
        <v>417</v>
      </c>
      <c r="N1638" s="51" t="str">
        <f>IF(AND('331-CT'!$E$7=TH!H1638,OR(L1638="331",M1638="331")),"331",IF(AND(OR(L1638="131",M1638="131"),H1638='131-CT'!$E$7),"131",""))</f>
        <v/>
      </c>
      <c r="O1638" s="51" t="str">
        <f>IF(AND($B1638&gt;='111'!$N$11,$B1638&lt;='111'!$O$11,OR($L1638=$O$7,$M1638=$O$7)),"x","")</f>
        <v/>
      </c>
      <c r="P1638" s="51" t="str">
        <f>IF(AND($L1638=$O$7,$B1638&lt;'111'!$N$11),"x","")</f>
        <v/>
      </c>
      <c r="Q1638" s="51" t="str">
        <f>IF(AND($M1638=$O$7,$B1638&lt;'111'!$N$11),"x","")</f>
        <v/>
      </c>
      <c r="R1638" s="51" t="str">
        <f>IF(ISERROR(FIND('112'!$M$9,G1638,1)),"",IF((AND(FIND('112'!$M$9,G1638,1)&gt;=1,$B1638&gt;='112'!$N$8,$B1638&lt;='112'!$O$8,OR($L1638='112'!$I$6,$M1638='112'!$I$6))),"x",""))</f>
        <v/>
      </c>
      <c r="S1638" s="51" t="str">
        <f>IF(ISERROR(FIND('112'!$M$9,G1638,1)),"",IF((AND(LEFT(G1638,2)=LEFT('112'!$M$9,2),B1638&lt;'112'!$N$8,$L1638='112'!$I$6)),"x",""))</f>
        <v/>
      </c>
      <c r="T1638" s="51" t="str">
        <f>IF(ISERROR(FIND('112'!$M$9,G1638,1)),"",IF((AND(RIGHT(G1638,2)=RIGHT('112'!$M$9,2),B1638&lt;'112'!$N$8,$M1638='112'!$I$6)),"x",""))</f>
        <v/>
      </c>
      <c r="U1638" s="51" t="str">
        <f>IF(AND(L1638="154",'154'!$O$5&lt;=B1638,'154'!$P$5&gt;=B1638),"154",IF(AND(L1638="632",'632'!$L$5&lt;=B1638,'632'!$M$5&gt;=B1638),"632",IF(AND(L1638="642",'642'!$N$5&lt;=B1638,'642'!$O$5&gt;=B1638),"642",IF(AND(L1638="641",'641'!$N$5&lt;=B1638,'641'!$O$5&gt;=B1638),"641",""))))</f>
        <v/>
      </c>
      <c r="V1638" s="51" t="str">
        <f>IF(OR(TH!L1638=TH!$V$7,M1638=TH!$V$7),"x","")</f>
        <v/>
      </c>
      <c r="W1638" s="51" t="str">
        <f>IF(AND(B1638&gt;='IN-NX'!$P$3,B1638&lt;='IN-NX'!$Q$3,'IN-NX'!$D$7=D1638,OR(LEFT(L1638,2)="15",AND(LEFT(M1638,2)&lt;&gt;"15",LEFT(M1638,2)&lt;&gt;"33"))),"x","")</f>
        <v/>
      </c>
      <c r="X1638" s="51" t="str">
        <f>IF(AND(OR(LEFT(TH!L1638,2)="15",LEFT(TH!M1638,2)="15"),'152-CT'!$J$8=TH!F1638),"x","")</f>
        <v/>
      </c>
      <c r="Y1638" s="51" t="str">
        <f>IF(AND(OR(LEFT(TH!L1638,2)="15",LEFT(TH!M1638,2)="15"),TK!$E$7=TH!F1638),"x","")</f>
        <v/>
      </c>
      <c r="Z1638" s="51" t="str">
        <f>IF(AND(B1638&lt;=NKC!$N$8,B1638&gt;=NKC!$M$8),"x","")</f>
        <v/>
      </c>
      <c r="AA1638" s="803"/>
    </row>
    <row r="1639" spans="1:27" ht="15.75" customHeight="1">
      <c r="A1639" s="804" t="str">
        <f>IF(B1639&lt;&gt;"",IF(AND(B1639&gt;=_TM1,B1639&lt;=_TM2,OR(TH!L1639="1111",TH!M1639="1111")),TH!D1639,""),"")</f>
        <v/>
      </c>
      <c r="B1639" s="36">
        <f t="shared" si="108"/>
        <v>12</v>
      </c>
      <c r="C1639" s="189">
        <f t="shared" si="109"/>
        <v>42353</v>
      </c>
      <c r="D1639" s="830" t="s">
        <v>1285</v>
      </c>
      <c r="E1639" s="845">
        <v>42353</v>
      </c>
      <c r="F1639" s="836" t="s">
        <v>1237</v>
      </c>
      <c r="G1639" s="846" t="s">
        <v>741</v>
      </c>
      <c r="H1639" s="833" t="s">
        <v>1259</v>
      </c>
      <c r="I1639" s="241">
        <v>330</v>
      </c>
      <c r="J1639" s="241">
        <v>8552</v>
      </c>
      <c r="K1639" s="834">
        <f t="shared" si="110"/>
        <v>2822160</v>
      </c>
      <c r="L1639" s="835" t="s">
        <v>162</v>
      </c>
      <c r="M1639" s="835" t="s">
        <v>417</v>
      </c>
      <c r="N1639" s="51" t="str">
        <f>IF(AND('331-CT'!$E$7=TH!H1639,OR(L1639="331",M1639="331")),"331",IF(AND(OR(L1639="131",M1639="131"),H1639='131-CT'!$E$7),"131",""))</f>
        <v/>
      </c>
      <c r="O1639" s="51" t="str">
        <f>IF(AND($B1639&gt;='111'!$N$11,$B1639&lt;='111'!$O$11,OR($L1639=$O$7,$M1639=$O$7)),"x","")</f>
        <v/>
      </c>
      <c r="P1639" s="51" t="str">
        <f>IF(AND($L1639=$O$7,$B1639&lt;'111'!$N$11),"x","")</f>
        <v/>
      </c>
      <c r="Q1639" s="51" t="str">
        <f>IF(AND($M1639=$O$7,$B1639&lt;'111'!$N$11),"x","")</f>
        <v/>
      </c>
      <c r="R1639" s="51" t="str">
        <f>IF(ISERROR(FIND('112'!$M$9,G1639,1)),"",IF((AND(FIND('112'!$M$9,G1639,1)&gt;=1,$B1639&gt;='112'!$N$8,$B1639&lt;='112'!$O$8,OR($L1639='112'!$I$6,$M1639='112'!$I$6))),"x",""))</f>
        <v/>
      </c>
      <c r="S1639" s="51" t="str">
        <f>IF(ISERROR(FIND('112'!$M$9,G1639,1)),"",IF((AND(LEFT(G1639,2)=LEFT('112'!$M$9,2),B1639&lt;'112'!$N$8,$L1639='112'!$I$6)),"x",""))</f>
        <v/>
      </c>
      <c r="T1639" s="51" t="str">
        <f>IF(ISERROR(FIND('112'!$M$9,G1639,1)),"",IF((AND(RIGHT(G1639,2)=RIGHT('112'!$M$9,2),B1639&lt;'112'!$N$8,$M1639='112'!$I$6)),"x",""))</f>
        <v/>
      </c>
      <c r="U1639" s="51" t="str">
        <f>IF(AND(L1639="154",'154'!$O$5&lt;=B1639,'154'!$P$5&gt;=B1639),"154",IF(AND(L1639="632",'632'!$L$5&lt;=B1639,'632'!$M$5&gt;=B1639),"632",IF(AND(L1639="642",'642'!$N$5&lt;=B1639,'642'!$O$5&gt;=B1639),"642",IF(AND(L1639="641",'641'!$N$5&lt;=B1639,'641'!$O$5&gt;=B1639),"641",""))))</f>
        <v/>
      </c>
      <c r="V1639" s="51" t="str">
        <f>IF(OR(TH!L1639=TH!$V$7,M1639=TH!$V$7),"x","")</f>
        <v/>
      </c>
      <c r="W1639" s="51" t="str">
        <f>IF(AND(B1639&gt;='IN-NX'!$P$3,B1639&lt;='IN-NX'!$Q$3,'IN-NX'!$D$7=D1639,OR(LEFT(L1639,2)="15",AND(LEFT(M1639,2)&lt;&gt;"15",LEFT(M1639,2)&lt;&gt;"33"))),"x","")</f>
        <v/>
      </c>
      <c r="X1639" s="51" t="str">
        <f>IF(AND(OR(LEFT(TH!L1639,2)="15",LEFT(TH!M1639,2)="15"),'152-CT'!$J$8=TH!F1639),"x","")</f>
        <v/>
      </c>
      <c r="Y1639" s="51" t="str">
        <f>IF(AND(OR(LEFT(TH!L1639,2)="15",LEFT(TH!M1639,2)="15"),TK!$E$7=TH!F1639),"x","")</f>
        <v/>
      </c>
      <c r="Z1639" s="51" t="str">
        <f>IF(AND(B1639&lt;=NKC!$N$8,B1639&gt;=NKC!$M$8),"x","")</f>
        <v/>
      </c>
      <c r="AA1639" s="803"/>
    </row>
    <row r="1640" spans="1:27" ht="15.75" customHeight="1">
      <c r="A1640" s="804" t="str">
        <f>IF(B1640&lt;&gt;"",IF(AND(B1640&gt;=_TM1,B1640&lt;=_TM2,OR(TH!L1640="1111",TH!M1640="1111")),TH!D1640,""),"")</f>
        <v/>
      </c>
      <c r="B1640" s="36">
        <f t="shared" si="108"/>
        <v>12</v>
      </c>
      <c r="C1640" s="189">
        <f t="shared" si="109"/>
        <v>42353</v>
      </c>
      <c r="D1640" s="830" t="s">
        <v>1285</v>
      </c>
      <c r="E1640" s="845">
        <v>42353</v>
      </c>
      <c r="F1640" s="836" t="s">
        <v>906</v>
      </c>
      <c r="G1640" s="846" t="s">
        <v>1105</v>
      </c>
      <c r="H1640" s="833" t="s">
        <v>1259</v>
      </c>
      <c r="I1640" s="241">
        <v>490</v>
      </c>
      <c r="J1640" s="241">
        <v>15600</v>
      </c>
      <c r="K1640" s="834">
        <f t="shared" si="110"/>
        <v>7644000</v>
      </c>
      <c r="L1640" s="835" t="s">
        <v>162</v>
      </c>
      <c r="M1640" s="835" t="s">
        <v>417</v>
      </c>
      <c r="N1640" s="51" t="str">
        <f>IF(AND('331-CT'!$E$7=TH!H1640,OR(L1640="331",M1640="331")),"331",IF(AND(OR(L1640="131",M1640="131"),H1640='131-CT'!$E$7),"131",""))</f>
        <v/>
      </c>
      <c r="O1640" s="51" t="str">
        <f>IF(AND($B1640&gt;='111'!$N$11,$B1640&lt;='111'!$O$11,OR($L1640=$O$7,$M1640=$O$7)),"x","")</f>
        <v/>
      </c>
      <c r="P1640" s="51" t="str">
        <f>IF(AND($L1640=$O$7,$B1640&lt;'111'!$N$11),"x","")</f>
        <v/>
      </c>
      <c r="Q1640" s="51" t="str">
        <f>IF(AND($M1640=$O$7,$B1640&lt;'111'!$N$11),"x","")</f>
        <v/>
      </c>
      <c r="R1640" s="51" t="str">
        <f>IF(ISERROR(FIND('112'!$M$9,G1640,1)),"",IF((AND(FIND('112'!$M$9,G1640,1)&gt;=1,$B1640&gt;='112'!$N$8,$B1640&lt;='112'!$O$8,OR($L1640='112'!$I$6,$M1640='112'!$I$6))),"x",""))</f>
        <v/>
      </c>
      <c r="S1640" s="51" t="str">
        <f>IF(ISERROR(FIND('112'!$M$9,G1640,1)),"",IF((AND(LEFT(G1640,2)=LEFT('112'!$M$9,2),B1640&lt;'112'!$N$8,$L1640='112'!$I$6)),"x",""))</f>
        <v/>
      </c>
      <c r="T1640" s="51" t="str">
        <f>IF(ISERROR(FIND('112'!$M$9,G1640,1)),"",IF((AND(RIGHT(G1640,2)=RIGHT('112'!$M$9,2),B1640&lt;'112'!$N$8,$M1640='112'!$I$6)),"x",""))</f>
        <v/>
      </c>
      <c r="U1640" s="51" t="str">
        <f>IF(AND(L1640="154",'154'!$O$5&lt;=B1640,'154'!$P$5&gt;=B1640),"154",IF(AND(L1640="632",'632'!$L$5&lt;=B1640,'632'!$M$5&gt;=B1640),"632",IF(AND(L1640="642",'642'!$N$5&lt;=B1640,'642'!$O$5&gt;=B1640),"642",IF(AND(L1640="641",'641'!$N$5&lt;=B1640,'641'!$O$5&gt;=B1640),"641",""))))</f>
        <v/>
      </c>
      <c r="V1640" s="51" t="str">
        <f>IF(OR(TH!L1640=TH!$V$7,M1640=TH!$V$7),"x","")</f>
        <v/>
      </c>
      <c r="W1640" s="51" t="str">
        <f>IF(AND(B1640&gt;='IN-NX'!$P$3,B1640&lt;='IN-NX'!$Q$3,'IN-NX'!$D$7=D1640,OR(LEFT(L1640,2)="15",AND(LEFT(M1640,2)&lt;&gt;"15",LEFT(M1640,2)&lt;&gt;"33"))),"x","")</f>
        <v/>
      </c>
      <c r="X1640" s="51" t="str">
        <f>IF(AND(OR(LEFT(TH!L1640,2)="15",LEFT(TH!M1640,2)="15"),'152-CT'!$J$8=TH!F1640),"x","")</f>
        <v/>
      </c>
      <c r="Y1640" s="51" t="str">
        <f>IF(AND(OR(LEFT(TH!L1640,2)="15",LEFT(TH!M1640,2)="15"),TK!$E$7=TH!F1640),"x","")</f>
        <v/>
      </c>
      <c r="Z1640" s="51" t="str">
        <f>IF(AND(B1640&lt;=NKC!$N$8,B1640&gt;=NKC!$M$8),"x","")</f>
        <v/>
      </c>
      <c r="AA1640" s="803"/>
    </row>
    <row r="1641" spans="1:27" ht="15.75" customHeight="1">
      <c r="A1641" s="804" t="str">
        <f>IF(B1641&lt;&gt;"",IF(AND(B1641&gt;=_TM1,B1641&lt;=_TM2,OR(TH!L1641="1111",TH!M1641="1111")),TH!D1641,""),"")</f>
        <v/>
      </c>
      <c r="B1641" s="36">
        <f t="shared" si="108"/>
        <v>12</v>
      </c>
      <c r="C1641" s="189">
        <f t="shared" si="109"/>
        <v>42353</v>
      </c>
      <c r="D1641" s="830" t="s">
        <v>1285</v>
      </c>
      <c r="E1641" s="845">
        <v>42353</v>
      </c>
      <c r="F1641" s="836" t="s">
        <v>907</v>
      </c>
      <c r="G1641" s="846" t="s">
        <v>1105</v>
      </c>
      <c r="H1641" s="833" t="s">
        <v>1259</v>
      </c>
      <c r="I1641" s="241">
        <v>248</v>
      </c>
      <c r="J1641" s="241">
        <v>16667</v>
      </c>
      <c r="K1641" s="834">
        <f t="shared" si="110"/>
        <v>4133416</v>
      </c>
      <c r="L1641" s="835" t="s">
        <v>162</v>
      </c>
      <c r="M1641" s="835" t="s">
        <v>417</v>
      </c>
      <c r="N1641" s="51" t="str">
        <f>IF(AND('331-CT'!$E$7=TH!H1641,OR(L1641="331",M1641="331")),"331",IF(AND(OR(L1641="131",M1641="131"),H1641='131-CT'!$E$7),"131",""))</f>
        <v/>
      </c>
      <c r="O1641" s="51" t="str">
        <f>IF(AND($B1641&gt;='111'!$N$11,$B1641&lt;='111'!$O$11,OR($L1641=$O$7,$M1641=$O$7)),"x","")</f>
        <v/>
      </c>
      <c r="P1641" s="51" t="str">
        <f>IF(AND($L1641=$O$7,$B1641&lt;'111'!$N$11),"x","")</f>
        <v/>
      </c>
      <c r="Q1641" s="51" t="str">
        <f>IF(AND($M1641=$O$7,$B1641&lt;'111'!$N$11),"x","")</f>
        <v/>
      </c>
      <c r="R1641" s="51" t="str">
        <f>IF(ISERROR(FIND('112'!$M$9,G1641,1)),"",IF((AND(FIND('112'!$M$9,G1641,1)&gt;=1,$B1641&gt;='112'!$N$8,$B1641&lt;='112'!$O$8,OR($L1641='112'!$I$6,$M1641='112'!$I$6))),"x",""))</f>
        <v/>
      </c>
      <c r="S1641" s="51" t="str">
        <f>IF(ISERROR(FIND('112'!$M$9,G1641,1)),"",IF((AND(LEFT(G1641,2)=LEFT('112'!$M$9,2),B1641&lt;'112'!$N$8,$L1641='112'!$I$6)),"x",""))</f>
        <v/>
      </c>
      <c r="T1641" s="51" t="str">
        <f>IF(ISERROR(FIND('112'!$M$9,G1641,1)),"",IF((AND(RIGHT(G1641,2)=RIGHT('112'!$M$9,2),B1641&lt;'112'!$N$8,$M1641='112'!$I$6)),"x",""))</f>
        <v/>
      </c>
      <c r="U1641" s="51" t="str">
        <f>IF(AND(L1641="154",'154'!$O$5&lt;=B1641,'154'!$P$5&gt;=B1641),"154",IF(AND(L1641="632",'632'!$L$5&lt;=B1641,'632'!$M$5&gt;=B1641),"632",IF(AND(L1641="642",'642'!$N$5&lt;=B1641,'642'!$O$5&gt;=B1641),"642",IF(AND(L1641="641",'641'!$N$5&lt;=B1641,'641'!$O$5&gt;=B1641),"641",""))))</f>
        <v/>
      </c>
      <c r="V1641" s="51" t="str">
        <f>IF(OR(TH!L1641=TH!$V$7,M1641=TH!$V$7),"x","")</f>
        <v/>
      </c>
      <c r="W1641" s="51" t="str">
        <f>IF(AND(B1641&gt;='IN-NX'!$P$3,B1641&lt;='IN-NX'!$Q$3,'IN-NX'!$D$7=D1641,OR(LEFT(L1641,2)="15",AND(LEFT(M1641,2)&lt;&gt;"15",LEFT(M1641,2)&lt;&gt;"33"))),"x","")</f>
        <v/>
      </c>
      <c r="X1641" s="51" t="str">
        <f>IF(AND(OR(LEFT(TH!L1641,2)="15",LEFT(TH!M1641,2)="15"),'152-CT'!$J$8=TH!F1641),"x","")</f>
        <v/>
      </c>
      <c r="Y1641" s="51" t="str">
        <f>IF(AND(OR(LEFT(TH!L1641,2)="15",LEFT(TH!M1641,2)="15"),TK!$E$7=TH!F1641),"x","")</f>
        <v/>
      </c>
      <c r="Z1641" s="51" t="str">
        <f>IF(AND(B1641&lt;=NKC!$N$8,B1641&gt;=NKC!$M$8),"x","")</f>
        <v/>
      </c>
      <c r="AA1641" s="803"/>
    </row>
    <row r="1642" spans="1:27" ht="15.75" customHeight="1">
      <c r="A1642" s="804" t="str">
        <f>IF(B1642&lt;&gt;"",IF(AND(B1642&gt;=_TM1,B1642&lt;=_TM2,OR(TH!L1642="1111",TH!M1642="1111")),TH!D1642,""),"")</f>
        <v/>
      </c>
      <c r="B1642" s="36">
        <f t="shared" si="108"/>
        <v>12</v>
      </c>
      <c r="C1642" s="189">
        <f t="shared" si="109"/>
        <v>42353</v>
      </c>
      <c r="D1642" s="830" t="s">
        <v>1285</v>
      </c>
      <c r="E1642" s="845">
        <v>42353</v>
      </c>
      <c r="F1642" s="836" t="s">
        <v>1236</v>
      </c>
      <c r="G1642" s="846" t="s">
        <v>1105</v>
      </c>
      <c r="H1642" s="833" t="s">
        <v>1259</v>
      </c>
      <c r="I1642" s="241">
        <v>123</v>
      </c>
      <c r="J1642" s="241">
        <v>11695</v>
      </c>
      <c r="K1642" s="834">
        <f t="shared" si="110"/>
        <v>1438485</v>
      </c>
      <c r="L1642" s="835" t="s">
        <v>162</v>
      </c>
      <c r="M1642" s="835" t="s">
        <v>417</v>
      </c>
      <c r="N1642" s="51" t="str">
        <f>IF(AND('331-CT'!$E$7=TH!H1642,OR(L1642="331",M1642="331")),"331",IF(AND(OR(L1642="131",M1642="131"),H1642='131-CT'!$E$7),"131",""))</f>
        <v/>
      </c>
      <c r="O1642" s="51" t="str">
        <f>IF(AND($B1642&gt;='111'!$N$11,$B1642&lt;='111'!$O$11,OR($L1642=$O$7,$M1642=$O$7)),"x","")</f>
        <v/>
      </c>
      <c r="P1642" s="51" t="str">
        <f>IF(AND($L1642=$O$7,$B1642&lt;'111'!$N$11),"x","")</f>
        <v/>
      </c>
      <c r="Q1642" s="51" t="str">
        <f>IF(AND($M1642=$O$7,$B1642&lt;'111'!$N$11),"x","")</f>
        <v/>
      </c>
      <c r="R1642" s="51" t="str">
        <f>IF(ISERROR(FIND('112'!$M$9,G1642,1)),"",IF((AND(FIND('112'!$M$9,G1642,1)&gt;=1,$B1642&gt;='112'!$N$8,$B1642&lt;='112'!$O$8,OR($L1642='112'!$I$6,$M1642='112'!$I$6))),"x",""))</f>
        <v/>
      </c>
      <c r="S1642" s="51" t="str">
        <f>IF(ISERROR(FIND('112'!$M$9,G1642,1)),"",IF((AND(LEFT(G1642,2)=LEFT('112'!$M$9,2),B1642&lt;'112'!$N$8,$L1642='112'!$I$6)),"x",""))</f>
        <v/>
      </c>
      <c r="T1642" s="51" t="str">
        <f>IF(ISERROR(FIND('112'!$M$9,G1642,1)),"",IF((AND(RIGHT(G1642,2)=RIGHT('112'!$M$9,2),B1642&lt;'112'!$N$8,$M1642='112'!$I$6)),"x",""))</f>
        <v/>
      </c>
      <c r="U1642" s="51" t="str">
        <f>IF(AND(L1642="154",'154'!$O$5&lt;=B1642,'154'!$P$5&gt;=B1642),"154",IF(AND(L1642="632",'632'!$L$5&lt;=B1642,'632'!$M$5&gt;=B1642),"632",IF(AND(L1642="642",'642'!$N$5&lt;=B1642,'642'!$O$5&gt;=B1642),"642",IF(AND(L1642="641",'641'!$N$5&lt;=B1642,'641'!$O$5&gt;=B1642),"641",""))))</f>
        <v/>
      </c>
      <c r="V1642" s="51" t="str">
        <f>IF(OR(TH!L1642=TH!$V$7,M1642=TH!$V$7),"x","")</f>
        <v/>
      </c>
      <c r="W1642" s="51" t="str">
        <f>IF(AND(B1642&gt;='IN-NX'!$P$3,B1642&lt;='IN-NX'!$Q$3,'IN-NX'!$D$7=D1642,OR(LEFT(L1642,2)="15",AND(LEFT(M1642,2)&lt;&gt;"15",LEFT(M1642,2)&lt;&gt;"33"))),"x","")</f>
        <v/>
      </c>
      <c r="X1642" s="51" t="str">
        <f>IF(AND(OR(LEFT(TH!L1642,2)="15",LEFT(TH!M1642,2)="15"),'152-CT'!$J$8=TH!F1642),"x","")</f>
        <v/>
      </c>
      <c r="Y1642" s="51" t="str">
        <f>IF(AND(OR(LEFT(TH!L1642,2)="15",LEFT(TH!M1642,2)="15"),TK!$E$7=TH!F1642),"x","")</f>
        <v/>
      </c>
      <c r="Z1642" s="51" t="str">
        <f>IF(AND(B1642&lt;=NKC!$N$8,B1642&gt;=NKC!$M$8),"x","")</f>
        <v/>
      </c>
      <c r="AA1642" s="803"/>
    </row>
    <row r="1643" spans="1:27" ht="15.75" customHeight="1">
      <c r="A1643" s="804" t="str">
        <f>IF(B1643&lt;&gt;"",IF(AND(B1643&gt;=_TM1,B1643&lt;=_TM2,OR(TH!L1643="1111",TH!M1643="1111")),TH!D1643,""),"")</f>
        <v/>
      </c>
      <c r="B1643" s="36">
        <f t="shared" si="108"/>
        <v>12</v>
      </c>
      <c r="C1643" s="189">
        <f t="shared" si="109"/>
        <v>42353</v>
      </c>
      <c r="D1643" s="830" t="s">
        <v>1285</v>
      </c>
      <c r="E1643" s="845">
        <v>42353</v>
      </c>
      <c r="F1643" s="836" t="s">
        <v>908</v>
      </c>
      <c r="G1643" s="846" t="s">
        <v>1105</v>
      </c>
      <c r="H1643" s="833" t="s">
        <v>1259</v>
      </c>
      <c r="I1643" s="241">
        <v>248</v>
      </c>
      <c r="J1643" s="241">
        <v>11440</v>
      </c>
      <c r="K1643" s="834">
        <f t="shared" si="110"/>
        <v>2837120</v>
      </c>
      <c r="L1643" s="835" t="s">
        <v>162</v>
      </c>
      <c r="M1643" s="835" t="s">
        <v>417</v>
      </c>
      <c r="N1643" s="51" t="str">
        <f>IF(AND('331-CT'!$E$7=TH!H1643,OR(L1643="331",M1643="331")),"331",IF(AND(OR(L1643="131",M1643="131"),H1643='131-CT'!$E$7),"131",""))</f>
        <v/>
      </c>
      <c r="O1643" s="51" t="str">
        <f>IF(AND($B1643&gt;='111'!$N$11,$B1643&lt;='111'!$O$11,OR($L1643=$O$7,$M1643=$O$7)),"x","")</f>
        <v/>
      </c>
      <c r="P1643" s="51" t="str">
        <f>IF(AND($L1643=$O$7,$B1643&lt;'111'!$N$11),"x","")</f>
        <v/>
      </c>
      <c r="Q1643" s="51" t="str">
        <f>IF(AND($M1643=$O$7,$B1643&lt;'111'!$N$11),"x","")</f>
        <v/>
      </c>
      <c r="R1643" s="51" t="str">
        <f>IF(ISERROR(FIND('112'!$M$9,G1643,1)),"",IF((AND(FIND('112'!$M$9,G1643,1)&gt;=1,$B1643&gt;='112'!$N$8,$B1643&lt;='112'!$O$8,OR($L1643='112'!$I$6,$M1643='112'!$I$6))),"x",""))</f>
        <v/>
      </c>
      <c r="S1643" s="51" t="str">
        <f>IF(ISERROR(FIND('112'!$M$9,G1643,1)),"",IF((AND(LEFT(G1643,2)=LEFT('112'!$M$9,2),B1643&lt;'112'!$N$8,$L1643='112'!$I$6)),"x",""))</f>
        <v/>
      </c>
      <c r="T1643" s="51" t="str">
        <f>IF(ISERROR(FIND('112'!$M$9,G1643,1)),"",IF((AND(RIGHT(G1643,2)=RIGHT('112'!$M$9,2),B1643&lt;'112'!$N$8,$M1643='112'!$I$6)),"x",""))</f>
        <v/>
      </c>
      <c r="U1643" s="51" t="str">
        <f>IF(AND(L1643="154",'154'!$O$5&lt;=B1643,'154'!$P$5&gt;=B1643),"154",IF(AND(L1643="632",'632'!$L$5&lt;=B1643,'632'!$M$5&gt;=B1643),"632",IF(AND(L1643="642",'642'!$N$5&lt;=B1643,'642'!$O$5&gt;=B1643),"642",IF(AND(L1643="641",'641'!$N$5&lt;=B1643,'641'!$O$5&gt;=B1643),"641",""))))</f>
        <v/>
      </c>
      <c r="V1643" s="51" t="str">
        <f>IF(OR(TH!L1643=TH!$V$7,M1643=TH!$V$7),"x","")</f>
        <v/>
      </c>
      <c r="W1643" s="51" t="str">
        <f>IF(AND(B1643&gt;='IN-NX'!$P$3,B1643&lt;='IN-NX'!$Q$3,'IN-NX'!$D$7=D1643,OR(LEFT(L1643,2)="15",AND(LEFT(M1643,2)&lt;&gt;"15",LEFT(M1643,2)&lt;&gt;"33"))),"x","")</f>
        <v/>
      </c>
      <c r="X1643" s="51" t="str">
        <f>IF(AND(OR(LEFT(TH!L1643,2)="15",LEFT(TH!M1643,2)="15"),'152-CT'!$J$8=TH!F1643),"x","")</f>
        <v/>
      </c>
      <c r="Y1643" s="51" t="str">
        <f>IF(AND(OR(LEFT(TH!L1643,2)="15",LEFT(TH!M1643,2)="15"),TK!$E$7=TH!F1643),"x","")</f>
        <v/>
      </c>
      <c r="Z1643" s="51" t="str">
        <f>IF(AND(B1643&lt;=NKC!$N$8,B1643&gt;=NKC!$M$8),"x","")</f>
        <v/>
      </c>
      <c r="AA1643" s="803"/>
    </row>
    <row r="1644" spans="1:27" ht="15.75" customHeight="1">
      <c r="A1644" s="804" t="str">
        <f>IF(B1644&lt;&gt;"",IF(AND(B1644&gt;=_TM1,B1644&lt;=_TM2,OR(TH!L1644="1111",TH!M1644="1111")),TH!D1644,""),"")</f>
        <v/>
      </c>
      <c r="B1644" s="36">
        <f t="shared" si="108"/>
        <v>12</v>
      </c>
      <c r="C1644" s="189">
        <f t="shared" si="109"/>
        <v>42359</v>
      </c>
      <c r="D1644" s="830" t="s">
        <v>1285</v>
      </c>
      <c r="E1644" s="830">
        <v>42359</v>
      </c>
      <c r="F1644" s="831" t="s">
        <v>1238</v>
      </c>
      <c r="G1644" s="832" t="s">
        <v>1107</v>
      </c>
      <c r="H1644" s="833" t="s">
        <v>1259</v>
      </c>
      <c r="I1644" s="241">
        <v>1000</v>
      </c>
      <c r="J1644" s="241">
        <v>8771</v>
      </c>
      <c r="K1644" s="834">
        <f t="shared" si="110"/>
        <v>8771000</v>
      </c>
      <c r="L1644" s="835" t="s">
        <v>162</v>
      </c>
      <c r="M1644" s="835" t="s">
        <v>417</v>
      </c>
      <c r="N1644" s="51" t="str">
        <f>IF(AND('331-CT'!$E$7=TH!H1644,OR(L1644="331",M1644="331")),"331",IF(AND(OR(L1644="131",M1644="131"),H1644='131-CT'!$E$7),"131",""))</f>
        <v/>
      </c>
      <c r="O1644" s="51" t="str">
        <f>IF(AND($B1644&gt;='111'!$N$11,$B1644&lt;='111'!$O$11,OR($L1644=$O$7,$M1644=$O$7)),"x","")</f>
        <v/>
      </c>
      <c r="P1644" s="51" t="str">
        <f>IF(AND($L1644=$O$7,$B1644&lt;'111'!$N$11),"x","")</f>
        <v/>
      </c>
      <c r="Q1644" s="51" t="str">
        <f>IF(AND($M1644=$O$7,$B1644&lt;'111'!$N$11),"x","")</f>
        <v/>
      </c>
      <c r="R1644" s="51" t="str">
        <f>IF(ISERROR(FIND('112'!$M$9,G1644,1)),"",IF((AND(FIND('112'!$M$9,G1644,1)&gt;=1,$B1644&gt;='112'!$N$8,$B1644&lt;='112'!$O$8,OR($L1644='112'!$I$6,$M1644='112'!$I$6))),"x",""))</f>
        <v/>
      </c>
      <c r="S1644" s="51" t="str">
        <f>IF(ISERROR(FIND('112'!$M$9,G1644,1)),"",IF((AND(LEFT(G1644,2)=LEFT('112'!$M$9,2),B1644&lt;'112'!$N$8,$L1644='112'!$I$6)),"x",""))</f>
        <v/>
      </c>
      <c r="T1644" s="51" t="str">
        <f>IF(ISERROR(FIND('112'!$M$9,G1644,1)),"",IF((AND(RIGHT(G1644,2)=RIGHT('112'!$M$9,2),B1644&lt;'112'!$N$8,$M1644='112'!$I$6)),"x",""))</f>
        <v/>
      </c>
      <c r="U1644" s="51" t="str">
        <f>IF(AND(L1644="154",'154'!$O$5&lt;=B1644,'154'!$P$5&gt;=B1644),"154",IF(AND(L1644="632",'632'!$L$5&lt;=B1644,'632'!$M$5&gt;=B1644),"632",IF(AND(L1644="642",'642'!$N$5&lt;=B1644,'642'!$O$5&gt;=B1644),"642",IF(AND(L1644="641",'641'!$N$5&lt;=B1644,'641'!$O$5&gt;=B1644),"641",""))))</f>
        <v/>
      </c>
      <c r="V1644" s="51" t="str">
        <f>IF(OR(TH!L1644=TH!$V$7,M1644=TH!$V$7),"x","")</f>
        <v/>
      </c>
      <c r="W1644" s="51" t="str">
        <f>IF(AND(B1644&gt;='IN-NX'!$P$3,B1644&lt;='IN-NX'!$Q$3,'IN-NX'!$D$7=D1644,OR(LEFT(L1644,2)="15",AND(LEFT(M1644,2)&lt;&gt;"15",LEFT(M1644,2)&lt;&gt;"33"))),"x","")</f>
        <v/>
      </c>
      <c r="X1644" s="51" t="str">
        <f>IF(AND(OR(LEFT(TH!L1644,2)="15",LEFT(TH!M1644,2)="15"),'152-CT'!$J$8=TH!F1644),"x","")</f>
        <v>x</v>
      </c>
      <c r="Y1644" s="51" t="str">
        <f>IF(AND(OR(LEFT(TH!L1644,2)="15",LEFT(TH!M1644,2)="15"),TK!$E$7=TH!F1644),"x","")</f>
        <v/>
      </c>
      <c r="Z1644" s="51" t="str">
        <f>IF(AND(B1644&lt;=NKC!$N$8,B1644&gt;=NKC!$M$8),"x","")</f>
        <v/>
      </c>
      <c r="AA1644" s="803"/>
    </row>
    <row r="1645" spans="1:27" ht="15.75" customHeight="1">
      <c r="A1645" s="804" t="str">
        <f>IF(B1645&lt;&gt;"",IF(AND(B1645&gt;=_TM1,B1645&lt;=_TM2,OR(TH!L1645="1111",TH!M1645="1111")),TH!D1645,""),"")</f>
        <v/>
      </c>
      <c r="B1645" s="36">
        <f t="shared" si="108"/>
        <v>12</v>
      </c>
      <c r="C1645" s="189">
        <f t="shared" si="109"/>
        <v>42360</v>
      </c>
      <c r="D1645" s="830" t="s">
        <v>1285</v>
      </c>
      <c r="E1645" s="830">
        <v>42360</v>
      </c>
      <c r="F1645" s="831" t="s">
        <v>1235</v>
      </c>
      <c r="G1645" s="832" t="s">
        <v>482</v>
      </c>
      <c r="H1645" s="833" t="s">
        <v>1259</v>
      </c>
      <c r="I1645" s="241">
        <v>113</v>
      </c>
      <c r="J1645" s="241">
        <v>23040</v>
      </c>
      <c r="K1645" s="834">
        <f t="shared" si="110"/>
        <v>2603520</v>
      </c>
      <c r="L1645" s="835" t="s">
        <v>162</v>
      </c>
      <c r="M1645" s="835" t="s">
        <v>417</v>
      </c>
      <c r="N1645" s="51" t="str">
        <f>IF(AND('331-CT'!$E$7=TH!H1645,OR(L1645="331",M1645="331")),"331",IF(AND(OR(L1645="131",M1645="131"),H1645='131-CT'!$E$7),"131",""))</f>
        <v/>
      </c>
      <c r="O1645" s="51" t="str">
        <f>IF(AND($B1645&gt;='111'!$N$11,$B1645&lt;='111'!$O$11,OR($L1645=$O$7,$M1645=$O$7)),"x","")</f>
        <v/>
      </c>
      <c r="P1645" s="51" t="str">
        <f>IF(AND($L1645=$O$7,$B1645&lt;'111'!$N$11),"x","")</f>
        <v/>
      </c>
      <c r="Q1645" s="51" t="str">
        <f>IF(AND($M1645=$O$7,$B1645&lt;'111'!$N$11),"x","")</f>
        <v/>
      </c>
      <c r="R1645" s="51" t="str">
        <f>IF(ISERROR(FIND('112'!$M$9,G1645,1)),"",IF((AND(FIND('112'!$M$9,G1645,1)&gt;=1,$B1645&gt;='112'!$N$8,$B1645&lt;='112'!$O$8,OR($L1645='112'!$I$6,$M1645='112'!$I$6))),"x",""))</f>
        <v/>
      </c>
      <c r="S1645" s="51" t="str">
        <f>IF(ISERROR(FIND('112'!$M$9,G1645,1)),"",IF((AND(LEFT(G1645,2)=LEFT('112'!$M$9,2),B1645&lt;'112'!$N$8,$L1645='112'!$I$6)),"x",""))</f>
        <v/>
      </c>
      <c r="T1645" s="51" t="str">
        <f>IF(ISERROR(FIND('112'!$M$9,G1645,1)),"",IF((AND(RIGHT(G1645,2)=RIGHT('112'!$M$9,2),B1645&lt;'112'!$N$8,$M1645='112'!$I$6)),"x",""))</f>
        <v/>
      </c>
      <c r="U1645" s="51" t="str">
        <f>IF(AND(L1645="154",'154'!$O$5&lt;=B1645,'154'!$P$5&gt;=B1645),"154",IF(AND(L1645="632",'632'!$L$5&lt;=B1645,'632'!$M$5&gt;=B1645),"632",IF(AND(L1645="642",'642'!$N$5&lt;=B1645,'642'!$O$5&gt;=B1645),"642",IF(AND(L1645="641",'641'!$N$5&lt;=B1645,'641'!$O$5&gt;=B1645),"641",""))))</f>
        <v/>
      </c>
      <c r="V1645" s="51" t="str">
        <f>IF(OR(TH!L1645=TH!$V$7,M1645=TH!$V$7),"x","")</f>
        <v/>
      </c>
      <c r="W1645" s="51" t="str">
        <f>IF(AND(B1645&gt;='IN-NX'!$P$3,B1645&lt;='IN-NX'!$Q$3,'IN-NX'!$D$7=D1645,OR(LEFT(L1645,2)="15",AND(LEFT(M1645,2)&lt;&gt;"15",LEFT(M1645,2)&lt;&gt;"33"))),"x","")</f>
        <v/>
      </c>
      <c r="X1645" s="51" t="str">
        <f>IF(AND(OR(LEFT(TH!L1645,2)="15",LEFT(TH!M1645,2)="15"),'152-CT'!$J$8=TH!F1645),"x","")</f>
        <v/>
      </c>
      <c r="Y1645" s="51" t="str">
        <f>IF(AND(OR(LEFT(TH!L1645,2)="15",LEFT(TH!M1645,2)="15"),TK!$E$7=TH!F1645),"x","")</f>
        <v/>
      </c>
      <c r="Z1645" s="51" t="str">
        <f>IF(AND(B1645&lt;=NKC!$N$8,B1645&gt;=NKC!$M$8),"x","")</f>
        <v/>
      </c>
      <c r="AA1645" s="803"/>
    </row>
    <row r="1646" spans="1:27" ht="15.75" customHeight="1">
      <c r="A1646" s="804" t="str">
        <f>IF(B1646&lt;&gt;"",IF(AND(B1646&gt;=_TM1,B1646&lt;=_TM2,OR(TH!L1646="1111",TH!M1646="1111")),TH!D1646,""),"")</f>
        <v/>
      </c>
      <c r="B1646" s="36">
        <f t="shared" si="108"/>
        <v>12</v>
      </c>
      <c r="C1646" s="189">
        <f t="shared" si="109"/>
        <v>42360</v>
      </c>
      <c r="D1646" s="830" t="s">
        <v>1285</v>
      </c>
      <c r="E1646" s="842">
        <v>42360</v>
      </c>
      <c r="F1646" s="836" t="s">
        <v>1206</v>
      </c>
      <c r="G1646" s="810" t="s">
        <v>482</v>
      </c>
      <c r="H1646" s="833" t="s">
        <v>1259</v>
      </c>
      <c r="I1646" s="241">
        <v>300</v>
      </c>
      <c r="J1646" s="241">
        <v>5996</v>
      </c>
      <c r="K1646" s="834">
        <f t="shared" ref="K1646:K1650" si="111">ROUND(I1646*J1646,0)</f>
        <v>1798800</v>
      </c>
      <c r="L1646" s="835" t="s">
        <v>162</v>
      </c>
      <c r="M1646" s="835" t="s">
        <v>417</v>
      </c>
      <c r="N1646" s="51" t="str">
        <f>IF(AND('331-CT'!$E$7=TH!H1646,OR(L1646="331",M1646="331")),"331",IF(AND(OR(L1646="131",M1646="131"),H1646='131-CT'!$E$7),"131",""))</f>
        <v/>
      </c>
      <c r="O1646" s="51" t="str">
        <f>IF(AND($B1646&gt;='111'!$N$11,$B1646&lt;='111'!$O$11,OR($L1646=$O$7,$M1646=$O$7)),"x","")</f>
        <v/>
      </c>
      <c r="P1646" s="51" t="str">
        <f>IF(AND($L1646=$O$7,$B1646&lt;'111'!$N$11),"x","")</f>
        <v/>
      </c>
      <c r="Q1646" s="51" t="str">
        <f>IF(AND($M1646=$O$7,$B1646&lt;'111'!$N$11),"x","")</f>
        <v/>
      </c>
      <c r="R1646" s="51" t="str">
        <f>IF(ISERROR(FIND('112'!$M$9,G1646,1)),"",IF((AND(FIND('112'!$M$9,G1646,1)&gt;=1,$B1646&gt;='112'!$N$8,$B1646&lt;='112'!$O$8,OR($L1646='112'!$I$6,$M1646='112'!$I$6))),"x",""))</f>
        <v/>
      </c>
      <c r="S1646" s="51" t="str">
        <f>IF(ISERROR(FIND('112'!$M$9,G1646,1)),"",IF((AND(LEFT(G1646,2)=LEFT('112'!$M$9,2),B1646&lt;'112'!$N$8,$L1646='112'!$I$6)),"x",""))</f>
        <v/>
      </c>
      <c r="T1646" s="51" t="str">
        <f>IF(ISERROR(FIND('112'!$M$9,G1646,1)),"",IF((AND(RIGHT(G1646,2)=RIGHT('112'!$M$9,2),B1646&lt;'112'!$N$8,$M1646='112'!$I$6)),"x",""))</f>
        <v/>
      </c>
      <c r="U1646" s="51" t="str">
        <f>IF(AND(L1646="154",'154'!$O$5&lt;=B1646,'154'!$P$5&gt;=B1646),"154",IF(AND(L1646="632",'632'!$L$5&lt;=B1646,'632'!$M$5&gt;=B1646),"632",IF(AND(L1646="642",'642'!$N$5&lt;=B1646,'642'!$O$5&gt;=B1646),"642",IF(AND(L1646="641",'641'!$N$5&lt;=B1646,'641'!$O$5&gt;=B1646),"641",""))))</f>
        <v/>
      </c>
      <c r="V1646" s="51" t="str">
        <f>IF(OR(TH!L1646=TH!$V$7,M1646=TH!$V$7),"x","")</f>
        <v/>
      </c>
      <c r="W1646" s="51" t="str">
        <f>IF(AND(B1646&gt;='IN-NX'!$P$3,B1646&lt;='IN-NX'!$Q$3,'IN-NX'!$D$7=D1646,OR(LEFT(L1646,2)="15",AND(LEFT(M1646,2)&lt;&gt;"15",LEFT(M1646,2)&lt;&gt;"33"))),"x","")</f>
        <v/>
      </c>
      <c r="X1646" s="51" t="str">
        <f>IF(AND(OR(LEFT(TH!L1646,2)="15",LEFT(TH!M1646,2)="15"),'152-CT'!$J$8=TH!F1646),"x","")</f>
        <v/>
      </c>
      <c r="Y1646" s="51" t="str">
        <f>IF(AND(OR(LEFT(TH!L1646,2)="15",LEFT(TH!M1646,2)="15"),TK!$E$7=TH!F1646),"x","")</f>
        <v/>
      </c>
      <c r="Z1646" s="51" t="str">
        <f>IF(AND(B1646&lt;=NKC!$N$8,B1646&gt;=NKC!$M$8),"x","")</f>
        <v/>
      </c>
      <c r="AA1646" s="803"/>
    </row>
    <row r="1647" spans="1:27" ht="15.75" customHeight="1">
      <c r="A1647" s="804" t="str">
        <f>IF(B1647&lt;&gt;"",IF(AND(B1647&gt;=_TM1,B1647&lt;=_TM2,OR(TH!L1647="1111",TH!M1647="1111")),TH!D1647,""),"")</f>
        <v/>
      </c>
      <c r="B1647" s="36">
        <f t="shared" si="108"/>
        <v>12</v>
      </c>
      <c r="C1647" s="189">
        <f t="shared" si="109"/>
        <v>42362</v>
      </c>
      <c r="D1647" s="830" t="s">
        <v>1285</v>
      </c>
      <c r="E1647" s="842">
        <v>42362</v>
      </c>
      <c r="F1647" s="843" t="s">
        <v>692</v>
      </c>
      <c r="G1647" s="810" t="s">
        <v>1108</v>
      </c>
      <c r="H1647" s="833" t="s">
        <v>1259</v>
      </c>
      <c r="I1647" s="241">
        <v>500</v>
      </c>
      <c r="J1647" s="241">
        <v>10476</v>
      </c>
      <c r="K1647" s="834">
        <f t="shared" si="111"/>
        <v>5238000</v>
      </c>
      <c r="L1647" s="835" t="s">
        <v>162</v>
      </c>
      <c r="M1647" s="835" t="s">
        <v>417</v>
      </c>
      <c r="N1647" s="51" t="str">
        <f>IF(AND('331-CT'!$E$7=TH!H1647,OR(L1647="331",M1647="331")),"331",IF(AND(OR(L1647="131",M1647="131"),H1647='131-CT'!$E$7),"131",""))</f>
        <v/>
      </c>
      <c r="O1647" s="51" t="str">
        <f>IF(AND($B1647&gt;='111'!$N$11,$B1647&lt;='111'!$O$11,OR($L1647=$O$7,$M1647=$O$7)),"x","")</f>
        <v/>
      </c>
      <c r="P1647" s="51" t="str">
        <f>IF(AND($L1647=$O$7,$B1647&lt;'111'!$N$11),"x","")</f>
        <v/>
      </c>
      <c r="Q1647" s="51" t="str">
        <f>IF(AND($M1647=$O$7,$B1647&lt;'111'!$N$11),"x","")</f>
        <v/>
      </c>
      <c r="R1647" s="51" t="str">
        <f>IF(ISERROR(FIND('112'!$M$9,G1647,1)),"",IF((AND(FIND('112'!$M$9,G1647,1)&gt;=1,$B1647&gt;='112'!$N$8,$B1647&lt;='112'!$O$8,OR($L1647='112'!$I$6,$M1647='112'!$I$6))),"x",""))</f>
        <v/>
      </c>
      <c r="S1647" s="51" t="str">
        <f>IF(ISERROR(FIND('112'!$M$9,G1647,1)),"",IF((AND(LEFT(G1647,2)=LEFT('112'!$M$9,2),B1647&lt;'112'!$N$8,$L1647='112'!$I$6)),"x",""))</f>
        <v/>
      </c>
      <c r="T1647" s="51" t="str">
        <f>IF(ISERROR(FIND('112'!$M$9,G1647,1)),"",IF((AND(RIGHT(G1647,2)=RIGHT('112'!$M$9,2),B1647&lt;'112'!$N$8,$M1647='112'!$I$6)),"x",""))</f>
        <v/>
      </c>
      <c r="U1647" s="51" t="str">
        <f>IF(AND(L1647="154",'154'!$O$5&lt;=B1647,'154'!$P$5&gt;=B1647),"154",IF(AND(L1647="632",'632'!$L$5&lt;=B1647,'632'!$M$5&gt;=B1647),"632",IF(AND(L1647="642",'642'!$N$5&lt;=B1647,'642'!$O$5&gt;=B1647),"642",IF(AND(L1647="641",'641'!$N$5&lt;=B1647,'641'!$O$5&gt;=B1647),"641",""))))</f>
        <v/>
      </c>
      <c r="V1647" s="51" t="str">
        <f>IF(OR(TH!L1647=TH!$V$7,M1647=TH!$V$7),"x","")</f>
        <v/>
      </c>
      <c r="W1647" s="51" t="str">
        <f>IF(AND(B1647&gt;='IN-NX'!$P$3,B1647&lt;='IN-NX'!$Q$3,'IN-NX'!$D$7=D1647,OR(LEFT(L1647,2)="15",AND(LEFT(M1647,2)&lt;&gt;"15",LEFT(M1647,2)&lt;&gt;"33"))),"x","")</f>
        <v/>
      </c>
      <c r="X1647" s="51" t="str">
        <f>IF(AND(OR(LEFT(TH!L1647,2)="15",LEFT(TH!M1647,2)="15"),'152-CT'!$J$8=TH!F1647),"x","")</f>
        <v/>
      </c>
      <c r="Y1647" s="51" t="str">
        <f>IF(AND(OR(LEFT(TH!L1647,2)="15",LEFT(TH!M1647,2)="15"),TK!$E$7=TH!F1647),"x","")</f>
        <v/>
      </c>
      <c r="Z1647" s="51" t="str">
        <f>IF(AND(B1647&lt;=NKC!$N$8,B1647&gt;=NKC!$M$8),"x","")</f>
        <v/>
      </c>
      <c r="AA1647" s="803"/>
    </row>
    <row r="1648" spans="1:27" ht="15.75" customHeight="1">
      <c r="A1648" s="804" t="str">
        <f>IF(B1648&lt;&gt;"",IF(AND(B1648&gt;=_TM1,B1648&lt;=_TM2,OR(TH!L1648="1111",TH!M1648="1111")),TH!D1648,""),"")</f>
        <v/>
      </c>
      <c r="B1648" s="36">
        <f t="shared" si="108"/>
        <v>12</v>
      </c>
      <c r="C1648" s="189">
        <f t="shared" si="109"/>
        <v>42362</v>
      </c>
      <c r="D1648" s="830" t="s">
        <v>1285</v>
      </c>
      <c r="E1648" s="842">
        <v>42362</v>
      </c>
      <c r="F1648" s="836" t="s">
        <v>1234</v>
      </c>
      <c r="G1648" s="810" t="s">
        <v>1109</v>
      </c>
      <c r="H1648" s="833" t="s">
        <v>1259</v>
      </c>
      <c r="I1648" s="844">
        <v>3223</v>
      </c>
      <c r="J1648" s="241">
        <v>1045</v>
      </c>
      <c r="K1648" s="834">
        <f t="shared" si="111"/>
        <v>3368035</v>
      </c>
      <c r="L1648" s="835" t="s">
        <v>162</v>
      </c>
      <c r="M1648" s="835" t="s">
        <v>417</v>
      </c>
      <c r="N1648" s="51" t="str">
        <f>IF(AND('331-CT'!$E$7=TH!H1648,OR(L1648="331",M1648="331")),"331",IF(AND(OR(L1648="131",M1648="131"),H1648='131-CT'!$E$7),"131",""))</f>
        <v/>
      </c>
      <c r="O1648" s="51" t="str">
        <f>IF(AND($B1648&gt;='111'!$N$11,$B1648&lt;='111'!$O$11,OR($L1648=$O$7,$M1648=$O$7)),"x","")</f>
        <v/>
      </c>
      <c r="P1648" s="51" t="str">
        <f>IF(AND($L1648=$O$7,$B1648&lt;'111'!$N$11),"x","")</f>
        <v/>
      </c>
      <c r="Q1648" s="51" t="str">
        <f>IF(AND($M1648=$O$7,$B1648&lt;'111'!$N$11),"x","")</f>
        <v/>
      </c>
      <c r="R1648" s="51" t="str">
        <f>IF(ISERROR(FIND('112'!$M$9,G1648,1)),"",IF((AND(FIND('112'!$M$9,G1648,1)&gt;=1,$B1648&gt;='112'!$N$8,$B1648&lt;='112'!$O$8,OR($L1648='112'!$I$6,$M1648='112'!$I$6))),"x",""))</f>
        <v/>
      </c>
      <c r="S1648" s="51" t="str">
        <f>IF(ISERROR(FIND('112'!$M$9,G1648,1)),"",IF((AND(LEFT(G1648,2)=LEFT('112'!$M$9,2),B1648&lt;'112'!$N$8,$L1648='112'!$I$6)),"x",""))</f>
        <v/>
      </c>
      <c r="T1648" s="51" t="str">
        <f>IF(ISERROR(FIND('112'!$M$9,G1648,1)),"",IF((AND(RIGHT(G1648,2)=RIGHT('112'!$M$9,2),B1648&lt;'112'!$N$8,$M1648='112'!$I$6)),"x",""))</f>
        <v/>
      </c>
      <c r="U1648" s="51" t="str">
        <f>IF(AND(L1648="154",'154'!$O$5&lt;=B1648,'154'!$P$5&gt;=B1648),"154",IF(AND(L1648="632",'632'!$L$5&lt;=B1648,'632'!$M$5&gt;=B1648),"632",IF(AND(L1648="642",'642'!$N$5&lt;=B1648,'642'!$O$5&gt;=B1648),"642",IF(AND(L1648="641",'641'!$N$5&lt;=B1648,'641'!$O$5&gt;=B1648),"641",""))))</f>
        <v/>
      </c>
      <c r="V1648" s="51" t="str">
        <f>IF(OR(TH!L1648=TH!$V$7,M1648=TH!$V$7),"x","")</f>
        <v/>
      </c>
      <c r="W1648" s="51" t="str">
        <f>IF(AND(B1648&gt;='IN-NX'!$P$3,B1648&lt;='IN-NX'!$Q$3,'IN-NX'!$D$7=D1648,OR(LEFT(L1648,2)="15",AND(LEFT(M1648,2)&lt;&gt;"15",LEFT(M1648,2)&lt;&gt;"33"))),"x","")</f>
        <v/>
      </c>
      <c r="X1648" s="51" t="str">
        <f>IF(AND(OR(LEFT(TH!L1648,2)="15",LEFT(TH!M1648,2)="15"),'152-CT'!$J$8=TH!F1648),"x","")</f>
        <v/>
      </c>
      <c r="Y1648" s="51" t="str">
        <f>IF(AND(OR(LEFT(TH!L1648,2)="15",LEFT(TH!M1648,2)="15"),TK!$E$7=TH!F1648),"x","")</f>
        <v/>
      </c>
      <c r="Z1648" s="51" t="str">
        <f>IF(AND(B1648&lt;=NKC!$N$8,B1648&gt;=NKC!$M$8),"x","")</f>
        <v/>
      </c>
      <c r="AA1648" s="803"/>
    </row>
    <row r="1649" spans="1:27" ht="15.75" customHeight="1">
      <c r="A1649" s="804" t="str">
        <f>IF(B1649&lt;&gt;"",IF(AND(B1649&gt;=_TM1,B1649&lt;=_TM2,OR(TH!L1649="1111",TH!M1649="1111")),TH!D1649,""),"")</f>
        <v/>
      </c>
      <c r="B1649" s="36">
        <f t="shared" si="108"/>
        <v>12</v>
      </c>
      <c r="C1649" s="189">
        <f t="shared" si="109"/>
        <v>42362</v>
      </c>
      <c r="D1649" s="830" t="s">
        <v>1285</v>
      </c>
      <c r="E1649" s="842">
        <v>42362</v>
      </c>
      <c r="F1649" s="48" t="s">
        <v>848</v>
      </c>
      <c r="G1649" s="810" t="s">
        <v>1109</v>
      </c>
      <c r="H1649" s="833" t="s">
        <v>1259</v>
      </c>
      <c r="I1649" s="241">
        <v>62</v>
      </c>
      <c r="J1649" s="241">
        <v>27528</v>
      </c>
      <c r="K1649" s="834">
        <f t="shared" si="111"/>
        <v>1706736</v>
      </c>
      <c r="L1649" s="835" t="s">
        <v>162</v>
      </c>
      <c r="M1649" s="835" t="s">
        <v>417</v>
      </c>
      <c r="N1649" s="51" t="str">
        <f>IF(AND('331-CT'!$E$7=TH!H1649,OR(L1649="331",M1649="331")),"331",IF(AND(OR(L1649="131",M1649="131"),H1649='131-CT'!$E$7),"131",""))</f>
        <v/>
      </c>
      <c r="O1649" s="51" t="str">
        <f>IF(AND($B1649&gt;='111'!$N$11,$B1649&lt;='111'!$O$11,OR($L1649=$O$7,$M1649=$O$7)),"x","")</f>
        <v/>
      </c>
      <c r="P1649" s="51" t="str">
        <f>IF(AND($L1649=$O$7,$B1649&lt;'111'!$N$11),"x","")</f>
        <v/>
      </c>
      <c r="Q1649" s="51" t="str">
        <f>IF(AND($M1649=$O$7,$B1649&lt;'111'!$N$11),"x","")</f>
        <v/>
      </c>
      <c r="R1649" s="51" t="str">
        <f>IF(ISERROR(FIND('112'!$M$9,G1649,1)),"",IF((AND(FIND('112'!$M$9,G1649,1)&gt;=1,$B1649&gt;='112'!$N$8,$B1649&lt;='112'!$O$8,OR($L1649='112'!$I$6,$M1649='112'!$I$6))),"x",""))</f>
        <v/>
      </c>
      <c r="S1649" s="51" t="str">
        <f>IF(ISERROR(FIND('112'!$M$9,G1649,1)),"",IF((AND(LEFT(G1649,2)=LEFT('112'!$M$9,2),B1649&lt;'112'!$N$8,$L1649='112'!$I$6)),"x",""))</f>
        <v/>
      </c>
      <c r="T1649" s="51" t="str">
        <f>IF(ISERROR(FIND('112'!$M$9,G1649,1)),"",IF((AND(RIGHT(G1649,2)=RIGHT('112'!$M$9,2),B1649&lt;'112'!$N$8,$M1649='112'!$I$6)),"x",""))</f>
        <v/>
      </c>
      <c r="U1649" s="51" t="str">
        <f>IF(AND(L1649="154",'154'!$O$5&lt;=B1649,'154'!$P$5&gt;=B1649),"154",IF(AND(L1649="632",'632'!$L$5&lt;=B1649,'632'!$M$5&gt;=B1649),"632",IF(AND(L1649="642",'642'!$N$5&lt;=B1649,'642'!$O$5&gt;=B1649),"642",IF(AND(L1649="641",'641'!$N$5&lt;=B1649,'641'!$O$5&gt;=B1649),"641",""))))</f>
        <v/>
      </c>
      <c r="V1649" s="51" t="str">
        <f>IF(OR(TH!L1649=TH!$V$7,M1649=TH!$V$7),"x","")</f>
        <v/>
      </c>
      <c r="W1649" s="51" t="str">
        <f>IF(AND(B1649&gt;='IN-NX'!$P$3,B1649&lt;='IN-NX'!$Q$3,'IN-NX'!$D$7=D1649,OR(LEFT(L1649,2)="15",AND(LEFT(M1649,2)&lt;&gt;"15",LEFT(M1649,2)&lt;&gt;"33"))),"x","")</f>
        <v/>
      </c>
      <c r="X1649" s="51" t="str">
        <f>IF(AND(OR(LEFT(TH!L1649,2)="15",LEFT(TH!M1649,2)="15"),'152-CT'!$J$8=TH!F1649),"x","")</f>
        <v/>
      </c>
      <c r="Y1649" s="51" t="str">
        <f>IF(AND(OR(LEFT(TH!L1649,2)="15",LEFT(TH!M1649,2)="15"),TK!$E$7=TH!F1649),"x","")</f>
        <v/>
      </c>
      <c r="Z1649" s="51" t="str">
        <f>IF(AND(B1649&lt;=NKC!$N$8,B1649&gt;=NKC!$M$8),"x","")</f>
        <v/>
      </c>
      <c r="AA1649" s="803"/>
    </row>
    <row r="1650" spans="1:27" ht="15.75" customHeight="1">
      <c r="A1650" s="804" t="str">
        <f>IF(B1650&lt;&gt;"",IF(AND(B1650&gt;=_TM1,B1650&lt;=_TM2,OR(TH!L1650="1111",TH!M1650="1111")),TH!D1650,""),"")</f>
        <v/>
      </c>
      <c r="B1650" s="36">
        <f t="shared" si="108"/>
        <v>12</v>
      </c>
      <c r="C1650" s="189">
        <f t="shared" si="109"/>
        <v>42367</v>
      </c>
      <c r="D1650" s="830" t="s">
        <v>1285</v>
      </c>
      <c r="E1650" s="842">
        <v>42367</v>
      </c>
      <c r="F1650" s="836" t="s">
        <v>1233</v>
      </c>
      <c r="G1650" s="810" t="s">
        <v>1112</v>
      </c>
      <c r="H1650" s="833" t="s">
        <v>1259</v>
      </c>
      <c r="I1650" s="241">
        <v>1500</v>
      </c>
      <c r="J1650" s="241">
        <v>6119</v>
      </c>
      <c r="K1650" s="834">
        <f t="shared" si="111"/>
        <v>9178500</v>
      </c>
      <c r="L1650" s="835" t="s">
        <v>162</v>
      </c>
      <c r="M1650" s="835" t="s">
        <v>417</v>
      </c>
      <c r="N1650" s="51" t="str">
        <f>IF(AND('331-CT'!$E$7=TH!H1650,OR(L1650="331",M1650="331")),"331",IF(AND(OR(L1650="131",M1650="131"),H1650='131-CT'!$E$7),"131",""))</f>
        <v/>
      </c>
      <c r="O1650" s="51" t="str">
        <f>IF(AND($B1650&gt;='111'!$N$11,$B1650&lt;='111'!$O$11,OR($L1650=$O$7,$M1650=$O$7)),"x","")</f>
        <v/>
      </c>
      <c r="P1650" s="51" t="str">
        <f>IF(AND($L1650=$O$7,$B1650&lt;'111'!$N$11),"x","")</f>
        <v/>
      </c>
      <c r="Q1650" s="51" t="str">
        <f>IF(AND($M1650=$O$7,$B1650&lt;'111'!$N$11),"x","")</f>
        <v/>
      </c>
      <c r="R1650" s="51" t="str">
        <f>IF(ISERROR(FIND('112'!$M$9,G1650,1)),"",IF((AND(FIND('112'!$M$9,G1650,1)&gt;=1,$B1650&gt;='112'!$N$8,$B1650&lt;='112'!$O$8,OR($L1650='112'!$I$6,$M1650='112'!$I$6))),"x",""))</f>
        <v/>
      </c>
      <c r="S1650" s="51" t="str">
        <f>IF(ISERROR(FIND('112'!$M$9,G1650,1)),"",IF((AND(LEFT(G1650,2)=LEFT('112'!$M$9,2),B1650&lt;'112'!$N$8,$L1650='112'!$I$6)),"x",""))</f>
        <v/>
      </c>
      <c r="T1650" s="51" t="str">
        <f>IF(ISERROR(FIND('112'!$M$9,G1650,1)),"",IF((AND(RIGHT(G1650,2)=RIGHT('112'!$M$9,2),B1650&lt;'112'!$N$8,$M1650='112'!$I$6)),"x",""))</f>
        <v/>
      </c>
      <c r="U1650" s="51" t="str">
        <f>IF(AND(L1650="154",'154'!$O$5&lt;=B1650,'154'!$P$5&gt;=B1650),"154",IF(AND(L1650="632",'632'!$L$5&lt;=B1650,'632'!$M$5&gt;=B1650),"632",IF(AND(L1650="642",'642'!$N$5&lt;=B1650,'642'!$O$5&gt;=B1650),"642",IF(AND(L1650="641",'641'!$N$5&lt;=B1650,'641'!$O$5&gt;=B1650),"641",""))))</f>
        <v/>
      </c>
      <c r="V1650" s="51" t="str">
        <f>IF(OR(TH!L1650=TH!$V$7,M1650=TH!$V$7),"x","")</f>
        <v/>
      </c>
      <c r="W1650" s="51" t="str">
        <f>IF(AND(B1650&gt;='IN-NX'!$P$3,B1650&lt;='IN-NX'!$Q$3,'IN-NX'!$D$7=D1650,OR(LEFT(L1650,2)="15",AND(LEFT(M1650,2)&lt;&gt;"15",LEFT(M1650,2)&lt;&gt;"33"))),"x","")</f>
        <v/>
      </c>
      <c r="X1650" s="51" t="str">
        <f>IF(AND(OR(LEFT(TH!L1650,2)="15",LEFT(TH!M1650,2)="15"),'152-CT'!$J$8=TH!F1650),"x","")</f>
        <v/>
      </c>
      <c r="Y1650" s="51" t="str">
        <f>IF(AND(OR(LEFT(TH!L1650,2)="15",LEFT(TH!M1650,2)="15"),TK!$E$7=TH!F1650),"x","")</f>
        <v/>
      </c>
      <c r="Z1650" s="51" t="str">
        <f>IF(AND(B1650&lt;=NKC!$N$8,B1650&gt;=NKC!$M$8),"x","")</f>
        <v/>
      </c>
      <c r="AA1650" s="803"/>
    </row>
    <row r="1651" spans="1:27" ht="15.75" customHeight="1">
      <c r="A1651" s="804" t="str">
        <f>IF(B1651&lt;&gt;"",IF(AND(B1651&gt;=_TM1,B1651&lt;=_TM2,OR(TH!L1651="1111",TH!M1651="1111")),TH!D1651,""),"")</f>
        <v/>
      </c>
      <c r="B1651" s="36">
        <f t="shared" si="108"/>
        <v>12</v>
      </c>
      <c r="C1651" s="189">
        <f t="shared" si="109"/>
        <v>42367</v>
      </c>
      <c r="D1651" s="830" t="s">
        <v>1285</v>
      </c>
      <c r="E1651" s="842">
        <v>42367</v>
      </c>
      <c r="F1651" s="836" t="s">
        <v>1232</v>
      </c>
      <c r="G1651" s="810" t="s">
        <v>1112</v>
      </c>
      <c r="H1651" s="833" t="s">
        <v>1259</v>
      </c>
      <c r="I1651" s="844">
        <v>1500</v>
      </c>
      <c r="J1651" s="241">
        <v>4182</v>
      </c>
      <c r="K1651" s="834">
        <f t="shared" ref="K1651:K1714" si="112">ROUND(I1651*J1651,0)</f>
        <v>6273000</v>
      </c>
      <c r="L1651" s="835" t="s">
        <v>162</v>
      </c>
      <c r="M1651" s="835" t="s">
        <v>417</v>
      </c>
      <c r="N1651" s="51" t="str">
        <f>IF(AND('331-CT'!$E$7=TH!H1651,OR(L1651="331",M1651="331")),"331",IF(AND(OR(L1651="131",M1651="131"),H1651='131-CT'!$E$7),"131",""))</f>
        <v/>
      </c>
      <c r="O1651" s="51" t="str">
        <f>IF(AND($B1651&gt;='111'!$N$11,$B1651&lt;='111'!$O$11,OR($L1651=$O$7,$M1651=$O$7)),"x","")</f>
        <v/>
      </c>
      <c r="P1651" s="51" t="str">
        <f>IF(AND($L1651=$O$7,$B1651&lt;'111'!$N$11),"x","")</f>
        <v/>
      </c>
      <c r="Q1651" s="51" t="str">
        <f>IF(AND($M1651=$O$7,$B1651&lt;'111'!$N$11),"x","")</f>
        <v/>
      </c>
      <c r="R1651" s="51" t="str">
        <f>IF(ISERROR(FIND('112'!$M$9,G1651,1)),"",IF((AND(FIND('112'!$M$9,G1651,1)&gt;=1,$B1651&gt;='112'!$N$8,$B1651&lt;='112'!$O$8,OR($L1651='112'!$I$6,$M1651='112'!$I$6))),"x",""))</f>
        <v/>
      </c>
      <c r="S1651" s="51" t="str">
        <f>IF(ISERROR(FIND('112'!$M$9,G1651,1)),"",IF((AND(LEFT(G1651,2)=LEFT('112'!$M$9,2),B1651&lt;'112'!$N$8,$L1651='112'!$I$6)),"x",""))</f>
        <v/>
      </c>
      <c r="T1651" s="51" t="str">
        <f>IF(ISERROR(FIND('112'!$M$9,G1651,1)),"",IF((AND(RIGHT(G1651,2)=RIGHT('112'!$M$9,2),B1651&lt;'112'!$N$8,$M1651='112'!$I$6)),"x",""))</f>
        <v/>
      </c>
      <c r="U1651" s="51" t="str">
        <f>IF(AND(L1651="154",'154'!$O$5&lt;=B1651,'154'!$P$5&gt;=B1651),"154",IF(AND(L1651="632",'632'!$L$5&lt;=B1651,'632'!$M$5&gt;=B1651),"632",IF(AND(L1651="642",'642'!$N$5&lt;=B1651,'642'!$O$5&gt;=B1651),"642",IF(AND(L1651="641",'641'!$N$5&lt;=B1651,'641'!$O$5&gt;=B1651),"641",""))))</f>
        <v/>
      </c>
      <c r="V1651" s="51" t="str">
        <f>IF(OR(TH!L1651=TH!$V$7,M1651=TH!$V$7),"x","")</f>
        <v/>
      </c>
      <c r="W1651" s="51" t="str">
        <f>IF(AND(B1651&gt;='IN-NX'!$P$3,B1651&lt;='IN-NX'!$Q$3,'IN-NX'!$D$7=D1651,OR(LEFT(L1651,2)="15",AND(LEFT(M1651,2)&lt;&gt;"15",LEFT(M1651,2)&lt;&gt;"33"))),"x","")</f>
        <v/>
      </c>
      <c r="X1651" s="51" t="str">
        <f>IF(AND(OR(LEFT(TH!L1651,2)="15",LEFT(TH!M1651,2)="15"),'152-CT'!$J$8=TH!F1651),"x","")</f>
        <v/>
      </c>
      <c r="Y1651" s="51" t="str">
        <f>IF(AND(OR(LEFT(TH!L1651,2)="15",LEFT(TH!M1651,2)="15"),TK!$E$7=TH!F1651),"x","")</f>
        <v/>
      </c>
      <c r="Z1651" s="51" t="str">
        <f>IF(AND(B1651&lt;=NKC!$N$8,B1651&gt;=NKC!$M$8),"x","")</f>
        <v/>
      </c>
      <c r="AA1651" s="803"/>
    </row>
    <row r="1652" spans="1:27" ht="15.75" customHeight="1">
      <c r="A1652" s="804" t="str">
        <f>IF(B1652&lt;&gt;"",IF(AND(B1652&gt;=_TM1,B1652&lt;=_TM2,OR(TH!L1652="1111",TH!M1652="1111")),TH!D1652,""),"")</f>
        <v/>
      </c>
      <c r="B1652" s="36">
        <f t="shared" si="108"/>
        <v>12</v>
      </c>
      <c r="C1652" s="189">
        <f t="shared" si="109"/>
        <v>42369</v>
      </c>
      <c r="D1652" s="830" t="s">
        <v>1285</v>
      </c>
      <c r="E1652" s="842">
        <v>42369</v>
      </c>
      <c r="F1652" s="836" t="s">
        <v>925</v>
      </c>
      <c r="G1652" s="810" t="s">
        <v>1113</v>
      </c>
      <c r="H1652" s="833" t="s">
        <v>1259</v>
      </c>
      <c r="I1652" s="844">
        <v>1000</v>
      </c>
      <c r="J1652" s="241">
        <v>9598</v>
      </c>
      <c r="K1652" s="834">
        <f t="shared" si="112"/>
        <v>9598000</v>
      </c>
      <c r="L1652" s="835" t="s">
        <v>162</v>
      </c>
      <c r="M1652" s="835" t="s">
        <v>417</v>
      </c>
      <c r="N1652" s="51" t="str">
        <f>IF(AND('331-CT'!$E$7=TH!H1652,OR(L1652="331",M1652="331")),"331",IF(AND(OR(L1652="131",M1652="131"),H1652='131-CT'!$E$7),"131",""))</f>
        <v/>
      </c>
      <c r="O1652" s="51" t="str">
        <f>IF(AND($B1652&gt;='111'!$N$11,$B1652&lt;='111'!$O$11,OR($L1652=$O$7,$M1652=$O$7)),"x","")</f>
        <v/>
      </c>
      <c r="P1652" s="51" t="str">
        <f>IF(AND($L1652=$O$7,$B1652&lt;'111'!$N$11),"x","")</f>
        <v/>
      </c>
      <c r="Q1652" s="51" t="str">
        <f>IF(AND($M1652=$O$7,$B1652&lt;'111'!$N$11),"x","")</f>
        <v/>
      </c>
      <c r="R1652" s="51" t="str">
        <f>IF(ISERROR(FIND('112'!$M$9,G1652,1)),"",IF((AND(FIND('112'!$M$9,G1652,1)&gt;=1,$B1652&gt;='112'!$N$8,$B1652&lt;='112'!$O$8,OR($L1652='112'!$I$6,$M1652='112'!$I$6))),"x",""))</f>
        <v/>
      </c>
      <c r="S1652" s="51" t="str">
        <f>IF(ISERROR(FIND('112'!$M$9,G1652,1)),"",IF((AND(LEFT(G1652,2)=LEFT('112'!$M$9,2),B1652&lt;'112'!$N$8,$L1652='112'!$I$6)),"x",""))</f>
        <v/>
      </c>
      <c r="T1652" s="51" t="str">
        <f>IF(ISERROR(FIND('112'!$M$9,G1652,1)),"",IF((AND(RIGHT(G1652,2)=RIGHT('112'!$M$9,2),B1652&lt;'112'!$N$8,$M1652='112'!$I$6)),"x",""))</f>
        <v/>
      </c>
      <c r="U1652" s="51" t="str">
        <f>IF(AND(L1652="154",'154'!$O$5&lt;=B1652,'154'!$P$5&gt;=B1652),"154",IF(AND(L1652="632",'632'!$L$5&lt;=B1652,'632'!$M$5&gt;=B1652),"632",IF(AND(L1652="642",'642'!$N$5&lt;=B1652,'642'!$O$5&gt;=B1652),"642",IF(AND(L1652="641",'641'!$N$5&lt;=B1652,'641'!$O$5&gt;=B1652),"641",""))))</f>
        <v/>
      </c>
      <c r="V1652" s="51" t="str">
        <f>IF(OR(TH!L1652=TH!$V$7,M1652=TH!$V$7),"x","")</f>
        <v/>
      </c>
      <c r="W1652" s="51" t="str">
        <f>IF(AND(B1652&gt;='IN-NX'!$P$3,B1652&lt;='IN-NX'!$Q$3,'IN-NX'!$D$7=D1652,OR(LEFT(L1652,2)="15",AND(LEFT(M1652,2)&lt;&gt;"15",LEFT(M1652,2)&lt;&gt;"33"))),"x","")</f>
        <v/>
      </c>
      <c r="X1652" s="51" t="str">
        <f>IF(AND(OR(LEFT(TH!L1652,2)="15",LEFT(TH!M1652,2)="15"),'152-CT'!$J$8=TH!F1652),"x","")</f>
        <v/>
      </c>
      <c r="Y1652" s="51" t="str">
        <f>IF(AND(OR(LEFT(TH!L1652,2)="15",LEFT(TH!M1652,2)="15"),TK!$E$7=TH!F1652),"x","")</f>
        <v/>
      </c>
      <c r="Z1652" s="51" t="str">
        <f>IF(AND(B1652&lt;=NKC!$N$8,B1652&gt;=NKC!$M$8),"x","")</f>
        <v/>
      </c>
      <c r="AA1652" s="803"/>
    </row>
    <row r="1653" spans="1:27" ht="15.75" customHeight="1">
      <c r="A1653" s="804" t="str">
        <f>IF(B1653&lt;&gt;"",IF(AND(B1653&gt;=_TM1,B1653&lt;=_TM2,OR(TH!L1653="1111",TH!M1653="1111")),TH!D1653,""),"")</f>
        <v/>
      </c>
      <c r="B1653" s="36">
        <f t="shared" si="108"/>
        <v>12</v>
      </c>
      <c r="C1653" s="189">
        <f t="shared" si="109"/>
        <v>42369</v>
      </c>
      <c r="D1653" s="830" t="s">
        <v>1285</v>
      </c>
      <c r="E1653" s="842">
        <v>42369</v>
      </c>
      <c r="F1653" s="836" t="s">
        <v>926</v>
      </c>
      <c r="G1653" s="810" t="s">
        <v>1113</v>
      </c>
      <c r="H1653" s="833" t="s">
        <v>1259</v>
      </c>
      <c r="I1653" s="844">
        <v>900</v>
      </c>
      <c r="J1653" s="241">
        <v>8234</v>
      </c>
      <c r="K1653" s="834">
        <f t="shared" si="112"/>
        <v>7410600</v>
      </c>
      <c r="L1653" s="835" t="s">
        <v>162</v>
      </c>
      <c r="M1653" s="835" t="s">
        <v>417</v>
      </c>
      <c r="N1653" s="51" t="str">
        <f>IF(AND('331-CT'!$E$7=TH!H1653,OR(L1653="331",M1653="331")),"331",IF(AND(OR(L1653="131",M1653="131"),H1653='131-CT'!$E$7),"131",""))</f>
        <v/>
      </c>
      <c r="O1653" s="51" t="str">
        <f>IF(AND($B1653&gt;='111'!$N$11,$B1653&lt;='111'!$O$11,OR($L1653=$O$7,$M1653=$O$7)),"x","")</f>
        <v/>
      </c>
      <c r="P1653" s="51" t="str">
        <f>IF(AND($L1653=$O$7,$B1653&lt;'111'!$N$11),"x","")</f>
        <v/>
      </c>
      <c r="Q1653" s="51" t="str">
        <f>IF(AND($M1653=$O$7,$B1653&lt;'111'!$N$11),"x","")</f>
        <v/>
      </c>
      <c r="R1653" s="51" t="str">
        <f>IF(ISERROR(FIND('112'!$M$9,G1653,1)),"",IF((AND(FIND('112'!$M$9,G1653,1)&gt;=1,$B1653&gt;='112'!$N$8,$B1653&lt;='112'!$O$8,OR($L1653='112'!$I$6,$M1653='112'!$I$6))),"x",""))</f>
        <v/>
      </c>
      <c r="S1653" s="51" t="str">
        <f>IF(ISERROR(FIND('112'!$M$9,G1653,1)),"",IF((AND(LEFT(G1653,2)=LEFT('112'!$M$9,2),B1653&lt;'112'!$N$8,$L1653='112'!$I$6)),"x",""))</f>
        <v/>
      </c>
      <c r="T1653" s="51" t="str">
        <f>IF(ISERROR(FIND('112'!$M$9,G1653,1)),"",IF((AND(RIGHT(G1653,2)=RIGHT('112'!$M$9,2),B1653&lt;'112'!$N$8,$M1653='112'!$I$6)),"x",""))</f>
        <v/>
      </c>
      <c r="U1653" s="51" t="str">
        <f>IF(AND(L1653="154",'154'!$O$5&lt;=B1653,'154'!$P$5&gt;=B1653),"154",IF(AND(L1653="632",'632'!$L$5&lt;=B1653,'632'!$M$5&gt;=B1653),"632",IF(AND(L1653="642",'642'!$N$5&lt;=B1653,'642'!$O$5&gt;=B1653),"642",IF(AND(L1653="641",'641'!$N$5&lt;=B1653,'641'!$O$5&gt;=B1653),"641",""))))</f>
        <v/>
      </c>
      <c r="V1653" s="51" t="str">
        <f>IF(OR(TH!L1653=TH!$V$7,M1653=TH!$V$7),"x","")</f>
        <v/>
      </c>
      <c r="W1653" s="51" t="str">
        <f>IF(AND(B1653&gt;='IN-NX'!$P$3,B1653&lt;='IN-NX'!$Q$3,'IN-NX'!$D$7=D1653,OR(LEFT(L1653,2)="15",AND(LEFT(M1653,2)&lt;&gt;"15",LEFT(M1653,2)&lt;&gt;"33"))),"x","")</f>
        <v/>
      </c>
      <c r="X1653" s="51" t="str">
        <f>IF(AND(OR(LEFT(TH!L1653,2)="15",LEFT(TH!M1653,2)="15"),'152-CT'!$J$8=TH!F1653),"x","")</f>
        <v/>
      </c>
      <c r="Y1653" s="51" t="str">
        <f>IF(AND(OR(LEFT(TH!L1653,2)="15",LEFT(TH!M1653,2)="15"),TK!$E$7=TH!F1653),"x","")</f>
        <v/>
      </c>
      <c r="Z1653" s="51" t="str">
        <f>IF(AND(B1653&lt;=NKC!$N$8,B1653&gt;=NKC!$M$8),"x","")</f>
        <v/>
      </c>
      <c r="AA1653" s="803"/>
    </row>
    <row r="1654" spans="1:27" ht="15.75" customHeight="1">
      <c r="A1654" s="804" t="str">
        <f>IF(B1654&lt;&gt;"",IF(AND(B1654&gt;=_TM1,B1654&lt;=_TM2,OR(TH!L1654="1111",TH!M1654="1111")),TH!D1654,""),"")</f>
        <v/>
      </c>
      <c r="B1654" s="36">
        <f t="shared" si="108"/>
        <v>12</v>
      </c>
      <c r="C1654" s="189">
        <f t="shared" si="109"/>
        <v>42369</v>
      </c>
      <c r="D1654" s="830" t="s">
        <v>1285</v>
      </c>
      <c r="E1654" s="830">
        <v>42369</v>
      </c>
      <c r="F1654" s="831" t="s">
        <v>1154</v>
      </c>
      <c r="G1654" s="832" t="s">
        <v>702</v>
      </c>
      <c r="H1654" s="833" t="s">
        <v>1259</v>
      </c>
      <c r="I1654" s="241">
        <v>20</v>
      </c>
      <c r="J1654" s="241">
        <v>61390</v>
      </c>
      <c r="K1654" s="834">
        <f t="shared" si="112"/>
        <v>1227800</v>
      </c>
      <c r="L1654" s="835" t="s">
        <v>162</v>
      </c>
      <c r="M1654" s="835" t="s">
        <v>417</v>
      </c>
      <c r="N1654" s="51" t="str">
        <f>IF(AND('331-CT'!$E$7=TH!H1654,OR(L1654="331",M1654="331")),"331",IF(AND(OR(L1654="131",M1654="131"),H1654='131-CT'!$E$7),"131",""))</f>
        <v/>
      </c>
      <c r="O1654" s="51" t="str">
        <f>IF(AND($B1654&gt;='111'!$N$11,$B1654&lt;='111'!$O$11,OR($L1654=$O$7,$M1654=$O$7)),"x","")</f>
        <v/>
      </c>
      <c r="P1654" s="51" t="str">
        <f>IF(AND($L1654=$O$7,$B1654&lt;'111'!$N$11),"x","")</f>
        <v/>
      </c>
      <c r="Q1654" s="51" t="str">
        <f>IF(AND($M1654=$O$7,$B1654&lt;'111'!$N$11),"x","")</f>
        <v/>
      </c>
      <c r="R1654" s="51" t="str">
        <f>IF(ISERROR(FIND('112'!$M$9,G1654,1)),"",IF((AND(FIND('112'!$M$9,G1654,1)&gt;=1,$B1654&gt;='112'!$N$8,$B1654&lt;='112'!$O$8,OR($L1654='112'!$I$6,$M1654='112'!$I$6))),"x",""))</f>
        <v/>
      </c>
      <c r="S1654" s="51" t="str">
        <f>IF(ISERROR(FIND('112'!$M$9,G1654,1)),"",IF((AND(LEFT(G1654,2)=LEFT('112'!$M$9,2),B1654&lt;'112'!$N$8,$L1654='112'!$I$6)),"x",""))</f>
        <v/>
      </c>
      <c r="T1654" s="51" t="str">
        <f>IF(ISERROR(FIND('112'!$M$9,G1654,1)),"",IF((AND(RIGHT(G1654,2)=RIGHT('112'!$M$9,2),B1654&lt;'112'!$N$8,$M1654='112'!$I$6)),"x",""))</f>
        <v/>
      </c>
      <c r="U1654" s="51" t="str">
        <f>IF(AND(L1654="154",'154'!$O$5&lt;=B1654,'154'!$P$5&gt;=B1654),"154",IF(AND(L1654="632",'632'!$L$5&lt;=B1654,'632'!$M$5&gt;=B1654),"632",IF(AND(L1654="642",'642'!$N$5&lt;=B1654,'642'!$O$5&gt;=B1654),"642",IF(AND(L1654="641",'641'!$N$5&lt;=B1654,'641'!$O$5&gt;=B1654),"641",""))))</f>
        <v/>
      </c>
      <c r="V1654" s="51" t="str">
        <f>IF(OR(TH!L1654=TH!$V$7,M1654=TH!$V$7),"x","")</f>
        <v/>
      </c>
      <c r="W1654" s="51" t="str">
        <f>IF(AND(B1654&gt;='IN-NX'!$P$3,B1654&lt;='IN-NX'!$Q$3,'IN-NX'!$D$7=D1654,OR(LEFT(L1654,2)="15",AND(LEFT(M1654,2)&lt;&gt;"15",LEFT(M1654,2)&lt;&gt;"33"))),"x","")</f>
        <v/>
      </c>
      <c r="X1654" s="51" t="str">
        <f>IF(AND(OR(LEFT(TH!L1654,2)="15",LEFT(TH!M1654,2)="15"),'152-CT'!$J$8=TH!F1654),"x","")</f>
        <v/>
      </c>
      <c r="Y1654" s="51" t="str">
        <f>IF(AND(OR(LEFT(TH!L1654,2)="15",LEFT(TH!M1654,2)="15"),TK!$E$7=TH!F1654),"x","")</f>
        <v/>
      </c>
      <c r="Z1654" s="51" t="str">
        <f>IF(AND(B1654&lt;=NKC!$N$8,B1654&gt;=NKC!$M$8),"x","")</f>
        <v/>
      </c>
      <c r="AA1654" s="803"/>
    </row>
    <row r="1655" spans="1:27" ht="15.75" customHeight="1">
      <c r="A1655" s="804" t="str">
        <f>IF(B1655&lt;&gt;"",IF(AND(B1655&gt;=_TM1,B1655&lt;=_TM2,OR(TH!L1655="1111",TH!M1655="1111")),TH!D1655,""),"")</f>
        <v/>
      </c>
      <c r="B1655" s="36">
        <f t="shared" si="108"/>
        <v>12</v>
      </c>
      <c r="C1655" s="189">
        <f t="shared" si="109"/>
        <v>42369</v>
      </c>
      <c r="D1655" s="830" t="s">
        <v>1285</v>
      </c>
      <c r="E1655" s="830">
        <v>42369</v>
      </c>
      <c r="F1655" s="831" t="s">
        <v>1175</v>
      </c>
      <c r="G1655" s="832" t="s">
        <v>702</v>
      </c>
      <c r="H1655" s="833" t="s">
        <v>1259</v>
      </c>
      <c r="I1655" s="241">
        <v>12</v>
      </c>
      <c r="J1655" s="241">
        <v>66528</v>
      </c>
      <c r="K1655" s="834">
        <f t="shared" si="112"/>
        <v>798336</v>
      </c>
      <c r="L1655" s="835" t="s">
        <v>162</v>
      </c>
      <c r="M1655" s="835" t="s">
        <v>417</v>
      </c>
      <c r="N1655" s="51" t="str">
        <f>IF(AND('331-CT'!$E$7=TH!H1655,OR(L1655="331",M1655="331")),"331",IF(AND(OR(L1655="131",M1655="131"),H1655='131-CT'!$E$7),"131",""))</f>
        <v/>
      </c>
      <c r="O1655" s="51" t="str">
        <f>IF(AND($B1655&gt;='111'!$N$11,$B1655&lt;='111'!$O$11,OR($L1655=$O$7,$M1655=$O$7)),"x","")</f>
        <v/>
      </c>
      <c r="P1655" s="51" t="str">
        <f>IF(AND($L1655=$O$7,$B1655&lt;'111'!$N$11),"x","")</f>
        <v/>
      </c>
      <c r="Q1655" s="51" t="str">
        <f>IF(AND($M1655=$O$7,$B1655&lt;'111'!$N$11),"x","")</f>
        <v/>
      </c>
      <c r="R1655" s="51" t="str">
        <f>IF(ISERROR(FIND('112'!$M$9,G1655,1)),"",IF((AND(FIND('112'!$M$9,G1655,1)&gt;=1,$B1655&gt;='112'!$N$8,$B1655&lt;='112'!$O$8,OR($L1655='112'!$I$6,$M1655='112'!$I$6))),"x",""))</f>
        <v/>
      </c>
      <c r="S1655" s="51" t="str">
        <f>IF(ISERROR(FIND('112'!$M$9,G1655,1)),"",IF((AND(LEFT(G1655,2)=LEFT('112'!$M$9,2),B1655&lt;'112'!$N$8,$L1655='112'!$I$6)),"x",""))</f>
        <v/>
      </c>
      <c r="T1655" s="51" t="str">
        <f>IF(ISERROR(FIND('112'!$M$9,G1655,1)),"",IF((AND(RIGHT(G1655,2)=RIGHT('112'!$M$9,2),B1655&lt;'112'!$N$8,$M1655='112'!$I$6)),"x",""))</f>
        <v/>
      </c>
      <c r="U1655" s="51" t="str">
        <f>IF(AND(L1655="154",'154'!$O$5&lt;=B1655,'154'!$P$5&gt;=B1655),"154",IF(AND(L1655="632",'632'!$L$5&lt;=B1655,'632'!$M$5&gt;=B1655),"632",IF(AND(L1655="642",'642'!$N$5&lt;=B1655,'642'!$O$5&gt;=B1655),"642",IF(AND(L1655="641",'641'!$N$5&lt;=B1655,'641'!$O$5&gt;=B1655),"641",""))))</f>
        <v/>
      </c>
      <c r="V1655" s="51" t="str">
        <f>IF(OR(TH!L1655=TH!$V$7,M1655=TH!$V$7),"x","")</f>
        <v/>
      </c>
      <c r="W1655" s="51" t="str">
        <f>IF(AND(B1655&gt;='IN-NX'!$P$3,B1655&lt;='IN-NX'!$Q$3,'IN-NX'!$D$7=D1655,OR(LEFT(L1655,2)="15",AND(LEFT(M1655,2)&lt;&gt;"15",LEFT(M1655,2)&lt;&gt;"33"))),"x","")</f>
        <v/>
      </c>
      <c r="X1655" s="51" t="str">
        <f>IF(AND(OR(LEFT(TH!L1655,2)="15",LEFT(TH!M1655,2)="15"),'152-CT'!$J$8=TH!F1655),"x","")</f>
        <v/>
      </c>
      <c r="Y1655" s="51" t="str">
        <f>IF(AND(OR(LEFT(TH!L1655,2)="15",LEFT(TH!M1655,2)="15"),TK!$E$7=TH!F1655),"x","")</f>
        <v/>
      </c>
      <c r="Z1655" s="51" t="str">
        <f>IF(AND(B1655&lt;=NKC!$N$8,B1655&gt;=NKC!$M$8),"x","")</f>
        <v/>
      </c>
      <c r="AA1655" s="803"/>
    </row>
    <row r="1656" spans="1:27" ht="15.75" customHeight="1">
      <c r="A1656" s="804" t="str">
        <f>IF(B1656&lt;&gt;"",IF(AND(B1656&gt;=_TM1,B1656&lt;=_TM2,OR(TH!L1656="1111",TH!M1656="1111")),TH!D1656,""),"")</f>
        <v/>
      </c>
      <c r="B1656" s="36">
        <f t="shared" si="108"/>
        <v>12</v>
      </c>
      <c r="C1656" s="189">
        <f t="shared" si="109"/>
        <v>42369</v>
      </c>
      <c r="D1656" s="830" t="s">
        <v>1285</v>
      </c>
      <c r="E1656" s="830">
        <v>42369</v>
      </c>
      <c r="F1656" s="831" t="s">
        <v>1164</v>
      </c>
      <c r="G1656" s="832" t="s">
        <v>702</v>
      </c>
      <c r="H1656" s="833" t="s">
        <v>1259</v>
      </c>
      <c r="I1656" s="241">
        <v>10</v>
      </c>
      <c r="J1656" s="241">
        <v>75810</v>
      </c>
      <c r="K1656" s="834">
        <f t="shared" si="112"/>
        <v>758100</v>
      </c>
      <c r="L1656" s="835" t="s">
        <v>162</v>
      </c>
      <c r="M1656" s="835" t="s">
        <v>417</v>
      </c>
      <c r="N1656" s="51" t="str">
        <f>IF(AND('331-CT'!$E$7=TH!H1656,OR(L1656="331",M1656="331")),"331",IF(AND(OR(L1656="131",M1656="131"),H1656='131-CT'!$E$7),"131",""))</f>
        <v/>
      </c>
      <c r="O1656" s="51" t="str">
        <f>IF(AND($B1656&gt;='111'!$N$11,$B1656&lt;='111'!$O$11,OR($L1656=$O$7,$M1656=$O$7)),"x","")</f>
        <v/>
      </c>
      <c r="P1656" s="51" t="str">
        <f>IF(AND($L1656=$O$7,$B1656&lt;'111'!$N$11),"x","")</f>
        <v/>
      </c>
      <c r="Q1656" s="51" t="str">
        <f>IF(AND($M1656=$O$7,$B1656&lt;'111'!$N$11),"x","")</f>
        <v/>
      </c>
      <c r="R1656" s="51" t="str">
        <f>IF(ISERROR(FIND('112'!$M$9,G1656,1)),"",IF((AND(FIND('112'!$M$9,G1656,1)&gt;=1,$B1656&gt;='112'!$N$8,$B1656&lt;='112'!$O$8,OR($L1656='112'!$I$6,$M1656='112'!$I$6))),"x",""))</f>
        <v/>
      </c>
      <c r="S1656" s="51" t="str">
        <f>IF(ISERROR(FIND('112'!$M$9,G1656,1)),"",IF((AND(LEFT(G1656,2)=LEFT('112'!$M$9,2),B1656&lt;'112'!$N$8,$L1656='112'!$I$6)),"x",""))</f>
        <v/>
      </c>
      <c r="T1656" s="51" t="str">
        <f>IF(ISERROR(FIND('112'!$M$9,G1656,1)),"",IF((AND(RIGHT(G1656,2)=RIGHT('112'!$M$9,2),B1656&lt;'112'!$N$8,$M1656='112'!$I$6)),"x",""))</f>
        <v/>
      </c>
      <c r="U1656" s="51" t="str">
        <f>IF(AND(L1656="154",'154'!$O$5&lt;=B1656,'154'!$P$5&gt;=B1656),"154",IF(AND(L1656="632",'632'!$L$5&lt;=B1656,'632'!$M$5&gt;=B1656),"632",IF(AND(L1656="642",'642'!$N$5&lt;=B1656,'642'!$O$5&gt;=B1656),"642",IF(AND(L1656="641",'641'!$N$5&lt;=B1656,'641'!$O$5&gt;=B1656),"641",""))))</f>
        <v/>
      </c>
      <c r="V1656" s="51" t="str">
        <f>IF(OR(TH!L1656=TH!$V$7,M1656=TH!$V$7),"x","")</f>
        <v/>
      </c>
      <c r="W1656" s="51" t="str">
        <f>IF(AND(B1656&gt;='IN-NX'!$P$3,B1656&lt;='IN-NX'!$Q$3,'IN-NX'!$D$7=D1656,OR(LEFT(L1656,2)="15",AND(LEFT(M1656,2)&lt;&gt;"15",LEFT(M1656,2)&lt;&gt;"33"))),"x","")</f>
        <v/>
      </c>
      <c r="X1656" s="51" t="str">
        <f>IF(AND(OR(LEFT(TH!L1656,2)="15",LEFT(TH!M1656,2)="15"),'152-CT'!$J$8=TH!F1656),"x","")</f>
        <v/>
      </c>
      <c r="Y1656" s="51" t="str">
        <f>IF(AND(OR(LEFT(TH!L1656,2)="15",LEFT(TH!M1656,2)="15"),TK!$E$7=TH!F1656),"x","")</f>
        <v/>
      </c>
      <c r="Z1656" s="51" t="str">
        <f>IF(AND(B1656&lt;=NKC!$N$8,B1656&gt;=NKC!$M$8),"x","")</f>
        <v/>
      </c>
      <c r="AA1656" s="803"/>
    </row>
    <row r="1657" spans="1:27" ht="15.75" customHeight="1">
      <c r="A1657" s="804" t="str">
        <f>IF(B1657&lt;&gt;"",IF(AND(B1657&gt;=_TM1,B1657&lt;=_TM2,OR(TH!L1657="1111",TH!M1657="1111")),TH!D1657,""),"")</f>
        <v/>
      </c>
      <c r="B1657" s="36">
        <f t="shared" si="108"/>
        <v>12</v>
      </c>
      <c r="C1657" s="189">
        <f t="shared" si="109"/>
        <v>42369</v>
      </c>
      <c r="D1657" s="830" t="s">
        <v>1285</v>
      </c>
      <c r="E1657" s="830">
        <v>42369</v>
      </c>
      <c r="F1657" s="831" t="s">
        <v>1165</v>
      </c>
      <c r="G1657" s="832" t="s">
        <v>702</v>
      </c>
      <c r="H1657" s="833" t="s">
        <v>1259</v>
      </c>
      <c r="I1657" s="241">
        <v>25</v>
      </c>
      <c r="J1657" s="241">
        <v>18663</v>
      </c>
      <c r="K1657" s="834">
        <f t="shared" si="112"/>
        <v>466575</v>
      </c>
      <c r="L1657" s="835" t="s">
        <v>162</v>
      </c>
      <c r="M1657" s="835" t="s">
        <v>417</v>
      </c>
      <c r="N1657" s="51" t="str">
        <f>IF(AND('331-CT'!$E$7=TH!H1657,OR(L1657="331",M1657="331")),"331",IF(AND(OR(L1657="131",M1657="131"),H1657='131-CT'!$E$7),"131",""))</f>
        <v/>
      </c>
      <c r="O1657" s="51" t="str">
        <f>IF(AND($B1657&gt;='111'!$N$11,$B1657&lt;='111'!$O$11,OR($L1657=$O$7,$M1657=$O$7)),"x","")</f>
        <v/>
      </c>
      <c r="P1657" s="51" t="str">
        <f>IF(AND($L1657=$O$7,$B1657&lt;'111'!$N$11),"x","")</f>
        <v/>
      </c>
      <c r="Q1657" s="51" t="str">
        <f>IF(AND($M1657=$O$7,$B1657&lt;'111'!$N$11),"x","")</f>
        <v/>
      </c>
      <c r="R1657" s="51" t="str">
        <f>IF(ISERROR(FIND('112'!$M$9,G1657,1)),"",IF((AND(FIND('112'!$M$9,G1657,1)&gt;=1,$B1657&gt;='112'!$N$8,$B1657&lt;='112'!$O$8,OR($L1657='112'!$I$6,$M1657='112'!$I$6))),"x",""))</f>
        <v/>
      </c>
      <c r="S1657" s="51" t="str">
        <f>IF(ISERROR(FIND('112'!$M$9,G1657,1)),"",IF((AND(LEFT(G1657,2)=LEFT('112'!$M$9,2),B1657&lt;'112'!$N$8,$L1657='112'!$I$6)),"x",""))</f>
        <v/>
      </c>
      <c r="T1657" s="51" t="str">
        <f>IF(ISERROR(FIND('112'!$M$9,G1657,1)),"",IF((AND(RIGHT(G1657,2)=RIGHT('112'!$M$9,2),B1657&lt;'112'!$N$8,$M1657='112'!$I$6)),"x",""))</f>
        <v/>
      </c>
      <c r="U1657" s="51" t="str">
        <f>IF(AND(L1657="154",'154'!$O$5&lt;=B1657,'154'!$P$5&gt;=B1657),"154",IF(AND(L1657="632",'632'!$L$5&lt;=B1657,'632'!$M$5&gt;=B1657),"632",IF(AND(L1657="642",'642'!$N$5&lt;=B1657,'642'!$O$5&gt;=B1657),"642",IF(AND(L1657="641",'641'!$N$5&lt;=B1657,'641'!$O$5&gt;=B1657),"641",""))))</f>
        <v/>
      </c>
      <c r="V1657" s="51" t="str">
        <f>IF(OR(TH!L1657=TH!$V$7,M1657=TH!$V$7),"x","")</f>
        <v/>
      </c>
      <c r="W1657" s="51" t="str">
        <f>IF(AND(B1657&gt;='IN-NX'!$P$3,B1657&lt;='IN-NX'!$Q$3,'IN-NX'!$D$7=D1657,OR(LEFT(L1657,2)="15",AND(LEFT(M1657,2)&lt;&gt;"15",LEFT(M1657,2)&lt;&gt;"33"))),"x","")</f>
        <v/>
      </c>
      <c r="X1657" s="51" t="str">
        <f>IF(AND(OR(LEFT(TH!L1657,2)="15",LEFT(TH!M1657,2)="15"),'152-CT'!$J$8=TH!F1657),"x","")</f>
        <v/>
      </c>
      <c r="Y1657" s="51" t="str">
        <f>IF(AND(OR(LEFT(TH!L1657,2)="15",LEFT(TH!M1657,2)="15"),TK!$E$7=TH!F1657),"x","")</f>
        <v/>
      </c>
      <c r="Z1657" s="51" t="str">
        <f>IF(AND(B1657&lt;=NKC!$N$8,B1657&gt;=NKC!$M$8),"x","")</f>
        <v/>
      </c>
      <c r="AA1657" s="803"/>
    </row>
    <row r="1658" spans="1:27" ht="15.75" customHeight="1">
      <c r="A1658" s="804" t="str">
        <f>IF(B1658&lt;&gt;"",IF(AND(B1658&gt;=_TM1,B1658&lt;=_TM2,OR(TH!L1658="1111",TH!M1658="1111")),TH!D1658,""),"")</f>
        <v/>
      </c>
      <c r="B1658" s="36">
        <f t="shared" si="108"/>
        <v>12</v>
      </c>
      <c r="C1658" s="189">
        <f t="shared" si="109"/>
        <v>42369</v>
      </c>
      <c r="D1658" s="830" t="s">
        <v>1285</v>
      </c>
      <c r="E1658" s="830">
        <v>42369</v>
      </c>
      <c r="F1658" s="831" t="s">
        <v>1160</v>
      </c>
      <c r="G1658" s="832" t="s">
        <v>702</v>
      </c>
      <c r="H1658" s="833" t="s">
        <v>1259</v>
      </c>
      <c r="I1658" s="241">
        <v>28</v>
      </c>
      <c r="J1658" s="241">
        <v>17075</v>
      </c>
      <c r="K1658" s="834">
        <f t="shared" si="112"/>
        <v>478100</v>
      </c>
      <c r="L1658" s="835" t="s">
        <v>162</v>
      </c>
      <c r="M1658" s="835" t="s">
        <v>417</v>
      </c>
      <c r="N1658" s="51" t="str">
        <f>IF(AND('331-CT'!$E$7=TH!H1658,OR(L1658="331",M1658="331")),"331",IF(AND(OR(L1658="131",M1658="131"),H1658='131-CT'!$E$7),"131",""))</f>
        <v/>
      </c>
      <c r="O1658" s="51" t="str">
        <f>IF(AND($B1658&gt;='111'!$N$11,$B1658&lt;='111'!$O$11,OR($L1658=$O$7,$M1658=$O$7)),"x","")</f>
        <v/>
      </c>
      <c r="P1658" s="51" t="str">
        <f>IF(AND($L1658=$O$7,$B1658&lt;'111'!$N$11),"x","")</f>
        <v/>
      </c>
      <c r="Q1658" s="51" t="str">
        <f>IF(AND($M1658=$O$7,$B1658&lt;'111'!$N$11),"x","")</f>
        <v/>
      </c>
      <c r="R1658" s="51" t="str">
        <f>IF(ISERROR(FIND('112'!$M$9,G1658,1)),"",IF((AND(FIND('112'!$M$9,G1658,1)&gt;=1,$B1658&gt;='112'!$N$8,$B1658&lt;='112'!$O$8,OR($L1658='112'!$I$6,$M1658='112'!$I$6))),"x",""))</f>
        <v/>
      </c>
      <c r="S1658" s="51" t="str">
        <f>IF(ISERROR(FIND('112'!$M$9,G1658,1)),"",IF((AND(LEFT(G1658,2)=LEFT('112'!$M$9,2),B1658&lt;'112'!$N$8,$L1658='112'!$I$6)),"x",""))</f>
        <v/>
      </c>
      <c r="T1658" s="51" t="str">
        <f>IF(ISERROR(FIND('112'!$M$9,G1658,1)),"",IF((AND(RIGHT(G1658,2)=RIGHT('112'!$M$9,2),B1658&lt;'112'!$N$8,$M1658='112'!$I$6)),"x",""))</f>
        <v/>
      </c>
      <c r="U1658" s="51" t="str">
        <f>IF(AND(L1658="154",'154'!$O$5&lt;=B1658,'154'!$P$5&gt;=B1658),"154",IF(AND(L1658="632",'632'!$L$5&lt;=B1658,'632'!$M$5&gt;=B1658),"632",IF(AND(L1658="642",'642'!$N$5&lt;=B1658,'642'!$O$5&gt;=B1658),"642",IF(AND(L1658="641",'641'!$N$5&lt;=B1658,'641'!$O$5&gt;=B1658),"641",""))))</f>
        <v/>
      </c>
      <c r="V1658" s="51" t="str">
        <f>IF(OR(TH!L1658=TH!$V$7,M1658=TH!$V$7),"x","")</f>
        <v/>
      </c>
      <c r="W1658" s="51" t="str">
        <f>IF(AND(B1658&gt;='IN-NX'!$P$3,B1658&lt;='IN-NX'!$Q$3,'IN-NX'!$D$7=D1658,OR(LEFT(L1658,2)="15",AND(LEFT(M1658,2)&lt;&gt;"15",LEFT(M1658,2)&lt;&gt;"33"))),"x","")</f>
        <v/>
      </c>
      <c r="X1658" s="51" t="str">
        <f>IF(AND(OR(LEFT(TH!L1658,2)="15",LEFT(TH!M1658,2)="15"),'152-CT'!$J$8=TH!F1658),"x","")</f>
        <v/>
      </c>
      <c r="Y1658" s="51" t="str">
        <f>IF(AND(OR(LEFT(TH!L1658,2)="15",LEFT(TH!M1658,2)="15"),TK!$E$7=TH!F1658),"x","")</f>
        <v/>
      </c>
      <c r="Z1658" s="51" t="str">
        <f>IF(AND(B1658&lt;=NKC!$N$8,B1658&gt;=NKC!$M$8),"x","")</f>
        <v/>
      </c>
      <c r="AA1658" s="803"/>
    </row>
    <row r="1659" spans="1:27" ht="15.75" customHeight="1">
      <c r="A1659" s="804" t="str">
        <f>IF(B1659&lt;&gt;"",IF(AND(B1659&gt;=_TM1,B1659&lt;=_TM2,OR(TH!L1659="1111",TH!M1659="1111")),TH!D1659,""),"")</f>
        <v/>
      </c>
      <c r="B1659" s="36">
        <f t="shared" si="108"/>
        <v>12</v>
      </c>
      <c r="C1659" s="189">
        <f t="shared" si="109"/>
        <v>42369</v>
      </c>
      <c r="D1659" s="830" t="s">
        <v>1285</v>
      </c>
      <c r="E1659" s="830">
        <v>42369</v>
      </c>
      <c r="F1659" s="831" t="s">
        <v>1152</v>
      </c>
      <c r="G1659" s="832" t="s">
        <v>702</v>
      </c>
      <c r="H1659" s="833" t="s">
        <v>1259</v>
      </c>
      <c r="I1659" s="241">
        <v>12</v>
      </c>
      <c r="J1659" s="241">
        <v>25742</v>
      </c>
      <c r="K1659" s="834">
        <f t="shared" si="112"/>
        <v>308904</v>
      </c>
      <c r="L1659" s="835" t="s">
        <v>162</v>
      </c>
      <c r="M1659" s="835" t="s">
        <v>417</v>
      </c>
      <c r="N1659" s="51" t="str">
        <f>IF(AND('331-CT'!$E$7=TH!H1659,OR(L1659="331",M1659="331")),"331",IF(AND(OR(L1659="131",M1659="131"),H1659='131-CT'!$E$7),"131",""))</f>
        <v/>
      </c>
      <c r="O1659" s="51" t="str">
        <f>IF(AND($B1659&gt;='111'!$N$11,$B1659&lt;='111'!$O$11,OR($L1659=$O$7,$M1659=$O$7)),"x","")</f>
        <v/>
      </c>
      <c r="P1659" s="51" t="str">
        <f>IF(AND($L1659=$O$7,$B1659&lt;'111'!$N$11),"x","")</f>
        <v/>
      </c>
      <c r="Q1659" s="51" t="str">
        <f>IF(AND($M1659=$O$7,$B1659&lt;'111'!$N$11),"x","")</f>
        <v/>
      </c>
      <c r="R1659" s="51" t="str">
        <f>IF(ISERROR(FIND('112'!$M$9,G1659,1)),"",IF((AND(FIND('112'!$M$9,G1659,1)&gt;=1,$B1659&gt;='112'!$N$8,$B1659&lt;='112'!$O$8,OR($L1659='112'!$I$6,$M1659='112'!$I$6))),"x",""))</f>
        <v/>
      </c>
      <c r="S1659" s="51" t="str">
        <f>IF(ISERROR(FIND('112'!$M$9,G1659,1)),"",IF((AND(LEFT(G1659,2)=LEFT('112'!$M$9,2),B1659&lt;'112'!$N$8,$L1659='112'!$I$6)),"x",""))</f>
        <v/>
      </c>
      <c r="T1659" s="51" t="str">
        <f>IF(ISERROR(FIND('112'!$M$9,G1659,1)),"",IF((AND(RIGHT(G1659,2)=RIGHT('112'!$M$9,2),B1659&lt;'112'!$N$8,$M1659='112'!$I$6)),"x",""))</f>
        <v/>
      </c>
      <c r="U1659" s="51" t="str">
        <f>IF(AND(L1659="154",'154'!$O$5&lt;=B1659,'154'!$P$5&gt;=B1659),"154",IF(AND(L1659="632",'632'!$L$5&lt;=B1659,'632'!$M$5&gt;=B1659),"632",IF(AND(L1659="642",'642'!$N$5&lt;=B1659,'642'!$O$5&gt;=B1659),"642",IF(AND(L1659="641",'641'!$N$5&lt;=B1659,'641'!$O$5&gt;=B1659),"641",""))))</f>
        <v/>
      </c>
      <c r="V1659" s="51" t="str">
        <f>IF(OR(TH!L1659=TH!$V$7,M1659=TH!$V$7),"x","")</f>
        <v/>
      </c>
      <c r="W1659" s="51" t="str">
        <f>IF(AND(B1659&gt;='IN-NX'!$P$3,B1659&lt;='IN-NX'!$Q$3,'IN-NX'!$D$7=D1659,OR(LEFT(L1659,2)="15",AND(LEFT(M1659,2)&lt;&gt;"15",LEFT(M1659,2)&lt;&gt;"33"))),"x","")</f>
        <v/>
      </c>
      <c r="X1659" s="51" t="str">
        <f>IF(AND(OR(LEFT(TH!L1659,2)="15",LEFT(TH!M1659,2)="15"),'152-CT'!$J$8=TH!F1659),"x","")</f>
        <v/>
      </c>
      <c r="Y1659" s="51" t="str">
        <f>IF(AND(OR(LEFT(TH!L1659,2)="15",LEFT(TH!M1659,2)="15"),TK!$E$7=TH!F1659),"x","")</f>
        <v/>
      </c>
      <c r="Z1659" s="51" t="str">
        <f>IF(AND(B1659&lt;=NKC!$N$8,B1659&gt;=NKC!$M$8),"x","")</f>
        <v/>
      </c>
      <c r="AA1659" s="803"/>
    </row>
    <row r="1660" spans="1:27" ht="15.75" customHeight="1">
      <c r="A1660" s="804" t="str">
        <f>IF(B1660&lt;&gt;"",IF(AND(B1660&gt;=_TM1,B1660&lt;=_TM2,OR(TH!L1660="1111",TH!M1660="1111")),TH!D1660,""),"")</f>
        <v/>
      </c>
      <c r="B1660" s="36">
        <f t="shared" si="108"/>
        <v>12</v>
      </c>
      <c r="C1660" s="189">
        <f t="shared" si="109"/>
        <v>42369</v>
      </c>
      <c r="D1660" s="830" t="s">
        <v>1285</v>
      </c>
      <c r="E1660" s="830">
        <v>42369</v>
      </c>
      <c r="F1660" s="831" t="s">
        <v>1168</v>
      </c>
      <c r="G1660" s="832" t="s">
        <v>702</v>
      </c>
      <c r="H1660" s="833" t="s">
        <v>1259</v>
      </c>
      <c r="I1660" s="241">
        <v>8</v>
      </c>
      <c r="J1660" s="241">
        <v>19062</v>
      </c>
      <c r="K1660" s="834">
        <f t="shared" si="112"/>
        <v>152496</v>
      </c>
      <c r="L1660" s="835" t="s">
        <v>162</v>
      </c>
      <c r="M1660" s="835" t="s">
        <v>417</v>
      </c>
      <c r="N1660" s="51" t="str">
        <f>IF(AND('331-CT'!$E$7=TH!H1660,OR(L1660="331",M1660="331")),"331",IF(AND(OR(L1660="131",M1660="131"),H1660='131-CT'!$E$7),"131",""))</f>
        <v/>
      </c>
      <c r="O1660" s="51" t="str">
        <f>IF(AND($B1660&gt;='111'!$N$11,$B1660&lt;='111'!$O$11,OR($L1660=$O$7,$M1660=$O$7)),"x","")</f>
        <v/>
      </c>
      <c r="P1660" s="51" t="str">
        <f>IF(AND($L1660=$O$7,$B1660&lt;'111'!$N$11),"x","")</f>
        <v/>
      </c>
      <c r="Q1660" s="51" t="str">
        <f>IF(AND($M1660=$O$7,$B1660&lt;'111'!$N$11),"x","")</f>
        <v/>
      </c>
      <c r="R1660" s="51" t="str">
        <f>IF(ISERROR(FIND('112'!$M$9,G1660,1)),"",IF((AND(FIND('112'!$M$9,G1660,1)&gt;=1,$B1660&gt;='112'!$N$8,$B1660&lt;='112'!$O$8,OR($L1660='112'!$I$6,$M1660='112'!$I$6))),"x",""))</f>
        <v/>
      </c>
      <c r="S1660" s="51" t="str">
        <f>IF(ISERROR(FIND('112'!$M$9,G1660,1)),"",IF((AND(LEFT(G1660,2)=LEFT('112'!$M$9,2),B1660&lt;'112'!$N$8,$L1660='112'!$I$6)),"x",""))</f>
        <v/>
      </c>
      <c r="T1660" s="51" t="str">
        <f>IF(ISERROR(FIND('112'!$M$9,G1660,1)),"",IF((AND(RIGHT(G1660,2)=RIGHT('112'!$M$9,2),B1660&lt;'112'!$N$8,$M1660='112'!$I$6)),"x",""))</f>
        <v/>
      </c>
      <c r="U1660" s="51" t="str">
        <f>IF(AND(L1660="154",'154'!$O$5&lt;=B1660,'154'!$P$5&gt;=B1660),"154",IF(AND(L1660="632",'632'!$L$5&lt;=B1660,'632'!$M$5&gt;=B1660),"632",IF(AND(L1660="642",'642'!$N$5&lt;=B1660,'642'!$O$5&gt;=B1660),"642",IF(AND(L1660="641",'641'!$N$5&lt;=B1660,'641'!$O$5&gt;=B1660),"641",""))))</f>
        <v/>
      </c>
      <c r="V1660" s="51" t="str">
        <f>IF(OR(TH!L1660=TH!$V$7,M1660=TH!$V$7),"x","")</f>
        <v/>
      </c>
      <c r="W1660" s="51" t="str">
        <f>IF(AND(B1660&gt;='IN-NX'!$P$3,B1660&lt;='IN-NX'!$Q$3,'IN-NX'!$D$7=D1660,OR(LEFT(L1660,2)="15",AND(LEFT(M1660,2)&lt;&gt;"15",LEFT(M1660,2)&lt;&gt;"33"))),"x","")</f>
        <v/>
      </c>
      <c r="X1660" s="51" t="str">
        <f>IF(AND(OR(LEFT(TH!L1660,2)="15",LEFT(TH!M1660,2)="15"),'152-CT'!$J$8=TH!F1660),"x","")</f>
        <v/>
      </c>
      <c r="Y1660" s="51" t="str">
        <f>IF(AND(OR(LEFT(TH!L1660,2)="15",LEFT(TH!M1660,2)="15"),TK!$E$7=TH!F1660),"x","")</f>
        <v/>
      </c>
      <c r="Z1660" s="51" t="str">
        <f>IF(AND(B1660&lt;=NKC!$N$8,B1660&gt;=NKC!$M$8),"x","")</f>
        <v/>
      </c>
      <c r="AA1660" s="803"/>
    </row>
    <row r="1661" spans="1:27" ht="15.75" customHeight="1">
      <c r="A1661" s="804" t="str">
        <f>IF(B1661&lt;&gt;"",IF(AND(B1661&gt;=_TM1,B1661&lt;=_TM2,OR(TH!L1661="1111",TH!M1661="1111")),TH!D1661,""),"")</f>
        <v/>
      </c>
      <c r="B1661" s="36">
        <f t="shared" si="108"/>
        <v>12</v>
      </c>
      <c r="C1661" s="189">
        <f t="shared" si="109"/>
        <v>42369</v>
      </c>
      <c r="D1661" s="830" t="s">
        <v>1285</v>
      </c>
      <c r="E1661" s="830">
        <v>42369</v>
      </c>
      <c r="F1661" s="831" t="s">
        <v>1151</v>
      </c>
      <c r="G1661" s="832" t="s">
        <v>702</v>
      </c>
      <c r="H1661" s="833" t="s">
        <v>1259</v>
      </c>
      <c r="I1661" s="241">
        <v>12</v>
      </c>
      <c r="J1661" s="241">
        <v>30548</v>
      </c>
      <c r="K1661" s="834">
        <f t="shared" si="112"/>
        <v>366576</v>
      </c>
      <c r="L1661" s="835" t="s">
        <v>162</v>
      </c>
      <c r="M1661" s="835" t="s">
        <v>417</v>
      </c>
      <c r="N1661" s="51" t="str">
        <f>IF(AND('331-CT'!$E$7=TH!H1661,OR(L1661="331",M1661="331")),"331",IF(AND(OR(L1661="131",M1661="131"),H1661='131-CT'!$E$7),"131",""))</f>
        <v/>
      </c>
      <c r="O1661" s="51" t="str">
        <f>IF(AND($B1661&gt;='111'!$N$11,$B1661&lt;='111'!$O$11,OR($L1661=$O$7,$M1661=$O$7)),"x","")</f>
        <v/>
      </c>
      <c r="P1661" s="51" t="str">
        <f>IF(AND($L1661=$O$7,$B1661&lt;'111'!$N$11),"x","")</f>
        <v/>
      </c>
      <c r="Q1661" s="51" t="str">
        <f>IF(AND($M1661=$O$7,$B1661&lt;'111'!$N$11),"x","")</f>
        <v/>
      </c>
      <c r="R1661" s="51" t="str">
        <f>IF(ISERROR(FIND('112'!$M$9,G1661,1)),"",IF((AND(FIND('112'!$M$9,G1661,1)&gt;=1,$B1661&gt;='112'!$N$8,$B1661&lt;='112'!$O$8,OR($L1661='112'!$I$6,$M1661='112'!$I$6))),"x",""))</f>
        <v/>
      </c>
      <c r="S1661" s="51" t="str">
        <f>IF(ISERROR(FIND('112'!$M$9,G1661,1)),"",IF((AND(LEFT(G1661,2)=LEFT('112'!$M$9,2),B1661&lt;'112'!$N$8,$L1661='112'!$I$6)),"x",""))</f>
        <v/>
      </c>
      <c r="T1661" s="51" t="str">
        <f>IF(ISERROR(FIND('112'!$M$9,G1661,1)),"",IF((AND(RIGHT(G1661,2)=RIGHT('112'!$M$9,2),B1661&lt;'112'!$N$8,$M1661='112'!$I$6)),"x",""))</f>
        <v/>
      </c>
      <c r="U1661" s="51" t="str">
        <f>IF(AND(L1661="154",'154'!$O$5&lt;=B1661,'154'!$P$5&gt;=B1661),"154",IF(AND(L1661="632",'632'!$L$5&lt;=B1661,'632'!$M$5&gt;=B1661),"632",IF(AND(L1661="642",'642'!$N$5&lt;=B1661,'642'!$O$5&gt;=B1661),"642",IF(AND(L1661="641",'641'!$N$5&lt;=B1661,'641'!$O$5&gt;=B1661),"641",""))))</f>
        <v/>
      </c>
      <c r="V1661" s="51" t="str">
        <f>IF(OR(TH!L1661=TH!$V$7,M1661=TH!$V$7),"x","")</f>
        <v/>
      </c>
      <c r="W1661" s="51" t="str">
        <f>IF(AND(B1661&gt;='IN-NX'!$P$3,B1661&lt;='IN-NX'!$Q$3,'IN-NX'!$D$7=D1661,OR(LEFT(L1661,2)="15",AND(LEFT(M1661,2)&lt;&gt;"15",LEFT(M1661,2)&lt;&gt;"33"))),"x","")</f>
        <v/>
      </c>
      <c r="X1661" s="51" t="str">
        <f>IF(AND(OR(LEFT(TH!L1661,2)="15",LEFT(TH!M1661,2)="15"),'152-CT'!$J$8=TH!F1661),"x","")</f>
        <v/>
      </c>
      <c r="Y1661" s="51" t="str">
        <f>IF(AND(OR(LEFT(TH!L1661,2)="15",LEFT(TH!M1661,2)="15"),TK!$E$7=TH!F1661),"x","")</f>
        <v/>
      </c>
      <c r="Z1661" s="51" t="str">
        <f>IF(AND(B1661&lt;=NKC!$N$8,B1661&gt;=NKC!$M$8),"x","")</f>
        <v/>
      </c>
      <c r="AA1661" s="803"/>
    </row>
    <row r="1662" spans="1:27" ht="15.75" customHeight="1">
      <c r="A1662" s="804" t="str">
        <f>IF(B1662&lt;&gt;"",IF(AND(B1662&gt;=_TM1,B1662&lt;=_TM2,OR(TH!L1662="1111",TH!M1662="1111")),TH!D1662,""),"")</f>
        <v/>
      </c>
      <c r="B1662" s="36">
        <f t="shared" si="108"/>
        <v>12</v>
      </c>
      <c r="C1662" s="189">
        <f t="shared" si="109"/>
        <v>42369</v>
      </c>
      <c r="D1662" s="830" t="s">
        <v>1285</v>
      </c>
      <c r="E1662" s="830">
        <v>42369</v>
      </c>
      <c r="F1662" s="831" t="s">
        <v>1147</v>
      </c>
      <c r="G1662" s="832" t="s">
        <v>702</v>
      </c>
      <c r="H1662" s="833" t="s">
        <v>1259</v>
      </c>
      <c r="I1662" s="241">
        <v>74</v>
      </c>
      <c r="J1662" s="241">
        <v>30875</v>
      </c>
      <c r="K1662" s="834">
        <f t="shared" si="112"/>
        <v>2284750</v>
      </c>
      <c r="L1662" s="835" t="s">
        <v>162</v>
      </c>
      <c r="M1662" s="835" t="s">
        <v>417</v>
      </c>
      <c r="N1662" s="51" t="str">
        <f>IF(AND('331-CT'!$E$7=TH!H1662,OR(L1662="331",M1662="331")),"331",IF(AND(OR(L1662="131",M1662="131"),H1662='131-CT'!$E$7),"131",""))</f>
        <v/>
      </c>
      <c r="O1662" s="51" t="str">
        <f>IF(AND($B1662&gt;='111'!$N$11,$B1662&lt;='111'!$O$11,OR($L1662=$O$7,$M1662=$O$7)),"x","")</f>
        <v/>
      </c>
      <c r="P1662" s="51" t="str">
        <f>IF(AND($L1662=$O$7,$B1662&lt;'111'!$N$11),"x","")</f>
        <v/>
      </c>
      <c r="Q1662" s="51" t="str">
        <f>IF(AND($M1662=$O$7,$B1662&lt;'111'!$N$11),"x","")</f>
        <v/>
      </c>
      <c r="R1662" s="51" t="str">
        <f>IF(ISERROR(FIND('112'!$M$9,G1662,1)),"",IF((AND(FIND('112'!$M$9,G1662,1)&gt;=1,$B1662&gt;='112'!$N$8,$B1662&lt;='112'!$O$8,OR($L1662='112'!$I$6,$M1662='112'!$I$6))),"x",""))</f>
        <v/>
      </c>
      <c r="S1662" s="51" t="str">
        <f>IF(ISERROR(FIND('112'!$M$9,G1662,1)),"",IF((AND(LEFT(G1662,2)=LEFT('112'!$M$9,2),B1662&lt;'112'!$N$8,$L1662='112'!$I$6)),"x",""))</f>
        <v/>
      </c>
      <c r="T1662" s="51" t="str">
        <f>IF(ISERROR(FIND('112'!$M$9,G1662,1)),"",IF((AND(RIGHT(G1662,2)=RIGHT('112'!$M$9,2),B1662&lt;'112'!$N$8,$M1662='112'!$I$6)),"x",""))</f>
        <v/>
      </c>
      <c r="U1662" s="51" t="str">
        <f>IF(AND(L1662="154",'154'!$O$5&lt;=B1662,'154'!$P$5&gt;=B1662),"154",IF(AND(L1662="632",'632'!$L$5&lt;=B1662,'632'!$M$5&gt;=B1662),"632",IF(AND(L1662="642",'642'!$N$5&lt;=B1662,'642'!$O$5&gt;=B1662),"642",IF(AND(L1662="641",'641'!$N$5&lt;=B1662,'641'!$O$5&gt;=B1662),"641",""))))</f>
        <v/>
      </c>
      <c r="V1662" s="51" t="str">
        <f>IF(OR(TH!L1662=TH!$V$7,M1662=TH!$V$7),"x","")</f>
        <v/>
      </c>
      <c r="W1662" s="51" t="str">
        <f>IF(AND(B1662&gt;='IN-NX'!$P$3,B1662&lt;='IN-NX'!$Q$3,'IN-NX'!$D$7=D1662,OR(LEFT(L1662,2)="15",AND(LEFT(M1662,2)&lt;&gt;"15",LEFT(M1662,2)&lt;&gt;"33"))),"x","")</f>
        <v/>
      </c>
      <c r="X1662" s="51" t="str">
        <f>IF(AND(OR(LEFT(TH!L1662,2)="15",LEFT(TH!M1662,2)="15"),'152-CT'!$J$8=TH!F1662),"x","")</f>
        <v/>
      </c>
      <c r="Y1662" s="51" t="str">
        <f>IF(AND(OR(LEFT(TH!L1662,2)="15",LEFT(TH!M1662,2)="15"),TK!$E$7=TH!F1662),"x","")</f>
        <v/>
      </c>
      <c r="Z1662" s="51" t="str">
        <f>IF(AND(B1662&lt;=NKC!$N$8,B1662&gt;=NKC!$M$8),"x","")</f>
        <v/>
      </c>
      <c r="AA1662" s="803"/>
    </row>
    <row r="1663" spans="1:27" ht="15.75" customHeight="1">
      <c r="A1663" s="804" t="str">
        <f>IF(B1663&lt;&gt;"",IF(AND(B1663&gt;=_TM1,B1663&lt;=_TM2,OR(TH!L1663="1111",TH!M1663="1111")),TH!D1663,""),"")</f>
        <v/>
      </c>
      <c r="B1663" s="36">
        <f t="shared" si="108"/>
        <v>12</v>
      </c>
      <c r="C1663" s="189">
        <f t="shared" si="109"/>
        <v>42369</v>
      </c>
      <c r="D1663" s="830" t="s">
        <v>1285</v>
      </c>
      <c r="E1663" s="47">
        <v>42369</v>
      </c>
      <c r="F1663" s="48" t="s">
        <v>1153</v>
      </c>
      <c r="G1663" s="810" t="s">
        <v>702</v>
      </c>
      <c r="H1663" s="833" t="s">
        <v>1259</v>
      </c>
      <c r="I1663" s="241">
        <v>12</v>
      </c>
      <c r="J1663" s="241">
        <v>22281</v>
      </c>
      <c r="K1663" s="834">
        <f t="shared" si="112"/>
        <v>267372</v>
      </c>
      <c r="L1663" s="835" t="s">
        <v>162</v>
      </c>
      <c r="M1663" s="835" t="s">
        <v>417</v>
      </c>
      <c r="N1663" s="51" t="str">
        <f>IF(AND('331-CT'!$E$7=TH!H1663,OR(L1663="331",M1663="331")),"331",IF(AND(OR(L1663="131",M1663="131"),H1663='131-CT'!$E$7),"131",""))</f>
        <v/>
      </c>
      <c r="O1663" s="51" t="str">
        <f>IF(AND($B1663&gt;='111'!$N$11,$B1663&lt;='111'!$O$11,OR($L1663=$O$7,$M1663=$O$7)),"x","")</f>
        <v/>
      </c>
      <c r="P1663" s="51" t="str">
        <f>IF(AND($L1663=$O$7,$B1663&lt;'111'!$N$11),"x","")</f>
        <v/>
      </c>
      <c r="Q1663" s="51" t="str">
        <f>IF(AND($M1663=$O$7,$B1663&lt;'111'!$N$11),"x","")</f>
        <v/>
      </c>
      <c r="R1663" s="51" t="str">
        <f>IF(ISERROR(FIND('112'!$M$9,G1663,1)),"",IF((AND(FIND('112'!$M$9,G1663,1)&gt;=1,$B1663&gt;='112'!$N$8,$B1663&lt;='112'!$O$8,OR($L1663='112'!$I$6,$M1663='112'!$I$6))),"x",""))</f>
        <v/>
      </c>
      <c r="S1663" s="51" t="str">
        <f>IF(ISERROR(FIND('112'!$M$9,G1663,1)),"",IF((AND(LEFT(G1663,2)=LEFT('112'!$M$9,2),B1663&lt;'112'!$N$8,$L1663='112'!$I$6)),"x",""))</f>
        <v/>
      </c>
      <c r="T1663" s="51" t="str">
        <f>IF(ISERROR(FIND('112'!$M$9,G1663,1)),"",IF((AND(RIGHT(G1663,2)=RIGHT('112'!$M$9,2),B1663&lt;'112'!$N$8,$M1663='112'!$I$6)),"x",""))</f>
        <v/>
      </c>
      <c r="U1663" s="51" t="str">
        <f>IF(AND(L1663="154",'154'!$O$5&lt;=B1663,'154'!$P$5&gt;=B1663),"154",IF(AND(L1663="632",'632'!$L$5&lt;=B1663,'632'!$M$5&gt;=B1663),"632",IF(AND(L1663="642",'642'!$N$5&lt;=B1663,'642'!$O$5&gt;=B1663),"642",IF(AND(L1663="641",'641'!$N$5&lt;=B1663,'641'!$O$5&gt;=B1663),"641",""))))</f>
        <v/>
      </c>
      <c r="V1663" s="51" t="str">
        <f>IF(OR(TH!L1663=TH!$V$7,M1663=TH!$V$7),"x","")</f>
        <v/>
      </c>
      <c r="W1663" s="51" t="str">
        <f>IF(AND(B1663&gt;='IN-NX'!$P$3,B1663&lt;='IN-NX'!$Q$3,'IN-NX'!$D$7=D1663,OR(LEFT(L1663,2)="15",AND(LEFT(M1663,2)&lt;&gt;"15",LEFT(M1663,2)&lt;&gt;"33"))),"x","")</f>
        <v/>
      </c>
      <c r="X1663" s="51" t="str">
        <f>IF(AND(OR(LEFT(TH!L1663,2)="15",LEFT(TH!M1663,2)="15"),'152-CT'!$J$8=TH!F1663),"x","")</f>
        <v/>
      </c>
      <c r="Y1663" s="51" t="str">
        <f>IF(AND(OR(LEFT(TH!L1663,2)="15",LEFT(TH!M1663,2)="15"),TK!$E$7=TH!F1663),"x","")</f>
        <v/>
      </c>
      <c r="Z1663" s="51" t="str">
        <f>IF(AND(B1663&lt;=NKC!$N$8,B1663&gt;=NKC!$M$8),"x","")</f>
        <v/>
      </c>
      <c r="AA1663" s="803"/>
    </row>
    <row r="1664" spans="1:27" ht="15.75" customHeight="1">
      <c r="A1664" s="804" t="str">
        <f>IF(B1664&lt;&gt;"",IF(AND(B1664&gt;=_TM1,B1664&lt;=_TM2,OR(TH!L1664="1111",TH!M1664="1111")),TH!D1664,""),"")</f>
        <v/>
      </c>
      <c r="B1664" s="36">
        <f t="shared" si="108"/>
        <v>12</v>
      </c>
      <c r="C1664" s="189">
        <f t="shared" si="109"/>
        <v>42369</v>
      </c>
      <c r="D1664" s="830" t="s">
        <v>1285</v>
      </c>
      <c r="E1664" s="47">
        <v>42369</v>
      </c>
      <c r="F1664" s="48" t="s">
        <v>1148</v>
      </c>
      <c r="G1664" s="810" t="s">
        <v>702</v>
      </c>
      <c r="H1664" s="833" t="s">
        <v>1259</v>
      </c>
      <c r="I1664" s="241">
        <v>72</v>
      </c>
      <c r="J1664" s="241">
        <v>30249</v>
      </c>
      <c r="K1664" s="834">
        <f t="shared" si="112"/>
        <v>2177928</v>
      </c>
      <c r="L1664" s="835" t="s">
        <v>162</v>
      </c>
      <c r="M1664" s="835" t="s">
        <v>417</v>
      </c>
      <c r="N1664" s="51" t="str">
        <f>IF(AND('331-CT'!$E$7=TH!H1664,OR(L1664="331",M1664="331")),"331",IF(AND(OR(L1664="131",M1664="131"),H1664='131-CT'!$E$7),"131",""))</f>
        <v/>
      </c>
      <c r="O1664" s="51" t="str">
        <f>IF(AND($B1664&gt;='111'!$N$11,$B1664&lt;='111'!$O$11,OR($L1664=$O$7,$M1664=$O$7)),"x","")</f>
        <v/>
      </c>
      <c r="P1664" s="51" t="str">
        <f>IF(AND($L1664=$O$7,$B1664&lt;'111'!$N$11),"x","")</f>
        <v/>
      </c>
      <c r="Q1664" s="51" t="str">
        <f>IF(AND($M1664=$O$7,$B1664&lt;'111'!$N$11),"x","")</f>
        <v/>
      </c>
      <c r="R1664" s="51" t="str">
        <f>IF(ISERROR(FIND('112'!$M$9,G1664,1)),"",IF((AND(FIND('112'!$M$9,G1664,1)&gt;=1,$B1664&gt;='112'!$N$8,$B1664&lt;='112'!$O$8,OR($L1664='112'!$I$6,$M1664='112'!$I$6))),"x",""))</f>
        <v/>
      </c>
      <c r="S1664" s="51" t="str">
        <f>IF(ISERROR(FIND('112'!$M$9,G1664,1)),"",IF((AND(LEFT(G1664,2)=LEFT('112'!$M$9,2),B1664&lt;'112'!$N$8,$L1664='112'!$I$6)),"x",""))</f>
        <v/>
      </c>
      <c r="T1664" s="51" t="str">
        <f>IF(ISERROR(FIND('112'!$M$9,G1664,1)),"",IF((AND(RIGHT(G1664,2)=RIGHT('112'!$M$9,2),B1664&lt;'112'!$N$8,$M1664='112'!$I$6)),"x",""))</f>
        <v/>
      </c>
      <c r="U1664" s="51" t="str">
        <f>IF(AND(L1664="154",'154'!$O$5&lt;=B1664,'154'!$P$5&gt;=B1664),"154",IF(AND(L1664="632",'632'!$L$5&lt;=B1664,'632'!$M$5&gt;=B1664),"632",IF(AND(L1664="642",'642'!$N$5&lt;=B1664,'642'!$O$5&gt;=B1664),"642",IF(AND(L1664="641",'641'!$N$5&lt;=B1664,'641'!$O$5&gt;=B1664),"641",""))))</f>
        <v/>
      </c>
      <c r="V1664" s="51" t="str">
        <f>IF(OR(TH!L1664=TH!$V$7,M1664=TH!$V$7),"x","")</f>
        <v/>
      </c>
      <c r="W1664" s="51" t="str">
        <f>IF(AND(B1664&gt;='IN-NX'!$P$3,B1664&lt;='IN-NX'!$Q$3,'IN-NX'!$D$7=D1664,OR(LEFT(L1664,2)="15",AND(LEFT(M1664,2)&lt;&gt;"15",LEFT(M1664,2)&lt;&gt;"33"))),"x","")</f>
        <v/>
      </c>
      <c r="X1664" s="51" t="str">
        <f>IF(AND(OR(LEFT(TH!L1664,2)="15",LEFT(TH!M1664,2)="15"),'152-CT'!$J$8=TH!F1664),"x","")</f>
        <v/>
      </c>
      <c r="Y1664" s="51" t="str">
        <f>IF(AND(OR(LEFT(TH!L1664,2)="15",LEFT(TH!M1664,2)="15"),TK!$E$7=TH!F1664),"x","")</f>
        <v/>
      </c>
      <c r="Z1664" s="51" t="str">
        <f>IF(AND(B1664&lt;=NKC!$N$8,B1664&gt;=NKC!$M$8),"x","")</f>
        <v/>
      </c>
      <c r="AA1664" s="803"/>
    </row>
    <row r="1665" spans="1:27" ht="15.75" customHeight="1">
      <c r="A1665" s="804" t="str">
        <f>IF(B1665&lt;&gt;"",IF(AND(B1665&gt;=_TM1,B1665&lt;=_TM2,OR(TH!L1665="1111",TH!M1665="1111")),TH!D1665,""),"")</f>
        <v/>
      </c>
      <c r="B1665" s="36">
        <f t="shared" si="108"/>
        <v>12</v>
      </c>
      <c r="C1665" s="189">
        <f t="shared" si="109"/>
        <v>42369</v>
      </c>
      <c r="D1665" s="830" t="s">
        <v>1285</v>
      </c>
      <c r="E1665" s="47">
        <v>42369</v>
      </c>
      <c r="F1665" s="831" t="s">
        <v>1161</v>
      </c>
      <c r="G1665" s="810" t="s">
        <v>702</v>
      </c>
      <c r="H1665" s="833" t="s">
        <v>1259</v>
      </c>
      <c r="I1665" s="241">
        <v>6</v>
      </c>
      <c r="J1665" s="241">
        <v>38356</v>
      </c>
      <c r="K1665" s="834">
        <f t="shared" si="112"/>
        <v>230136</v>
      </c>
      <c r="L1665" s="835" t="s">
        <v>162</v>
      </c>
      <c r="M1665" s="835" t="s">
        <v>417</v>
      </c>
      <c r="N1665" s="51" t="str">
        <f>IF(AND('331-CT'!$E$7=TH!H1665,OR(L1665="331",M1665="331")),"331",IF(AND(OR(L1665="131",M1665="131"),H1665='131-CT'!$E$7),"131",""))</f>
        <v/>
      </c>
      <c r="O1665" s="51" t="str">
        <f>IF(AND($B1665&gt;='111'!$N$11,$B1665&lt;='111'!$O$11,OR($L1665=$O$7,$M1665=$O$7)),"x","")</f>
        <v/>
      </c>
      <c r="P1665" s="51" t="str">
        <f>IF(AND($L1665=$O$7,$B1665&lt;'111'!$N$11),"x","")</f>
        <v/>
      </c>
      <c r="Q1665" s="51" t="str">
        <f>IF(AND($M1665=$O$7,$B1665&lt;'111'!$N$11),"x","")</f>
        <v/>
      </c>
      <c r="R1665" s="51" t="str">
        <f>IF(ISERROR(FIND('112'!$M$9,G1665,1)),"",IF((AND(FIND('112'!$M$9,G1665,1)&gt;=1,$B1665&gt;='112'!$N$8,$B1665&lt;='112'!$O$8,OR($L1665='112'!$I$6,$M1665='112'!$I$6))),"x",""))</f>
        <v/>
      </c>
      <c r="S1665" s="51" t="str">
        <f>IF(ISERROR(FIND('112'!$M$9,G1665,1)),"",IF((AND(LEFT(G1665,2)=LEFT('112'!$M$9,2),B1665&lt;'112'!$N$8,$L1665='112'!$I$6)),"x",""))</f>
        <v/>
      </c>
      <c r="T1665" s="51" t="str">
        <f>IF(ISERROR(FIND('112'!$M$9,G1665,1)),"",IF((AND(RIGHT(G1665,2)=RIGHT('112'!$M$9,2),B1665&lt;'112'!$N$8,$M1665='112'!$I$6)),"x",""))</f>
        <v/>
      </c>
      <c r="U1665" s="51" t="str">
        <f>IF(AND(L1665="154",'154'!$O$5&lt;=B1665,'154'!$P$5&gt;=B1665),"154",IF(AND(L1665="632",'632'!$L$5&lt;=B1665,'632'!$M$5&gt;=B1665),"632",IF(AND(L1665="642",'642'!$N$5&lt;=B1665,'642'!$O$5&gt;=B1665),"642",IF(AND(L1665="641",'641'!$N$5&lt;=B1665,'641'!$O$5&gt;=B1665),"641",""))))</f>
        <v/>
      </c>
      <c r="V1665" s="51" t="str">
        <f>IF(OR(TH!L1665=TH!$V$7,M1665=TH!$V$7),"x","")</f>
        <v/>
      </c>
      <c r="W1665" s="51" t="str">
        <f>IF(AND(B1665&gt;='IN-NX'!$P$3,B1665&lt;='IN-NX'!$Q$3,'IN-NX'!$D$7=D1665,OR(LEFT(L1665,2)="15",AND(LEFT(M1665,2)&lt;&gt;"15",LEFT(M1665,2)&lt;&gt;"33"))),"x","")</f>
        <v/>
      </c>
      <c r="X1665" s="51" t="str">
        <f>IF(AND(OR(LEFT(TH!L1665,2)="15",LEFT(TH!M1665,2)="15"),'152-CT'!$J$8=TH!F1665),"x","")</f>
        <v/>
      </c>
      <c r="Y1665" s="51" t="str">
        <f>IF(AND(OR(LEFT(TH!L1665,2)="15",LEFT(TH!M1665,2)="15"),TK!$E$7=TH!F1665),"x","")</f>
        <v/>
      </c>
      <c r="Z1665" s="51" t="str">
        <f>IF(AND(B1665&lt;=NKC!$N$8,B1665&gt;=NKC!$M$8),"x","")</f>
        <v/>
      </c>
      <c r="AA1665" s="803"/>
    </row>
    <row r="1666" spans="1:27" ht="15.75" customHeight="1">
      <c r="A1666" s="804" t="str">
        <f>IF(B1666&lt;&gt;"",IF(AND(B1666&gt;=_TM1,B1666&lt;=_TM2,OR(TH!L1666="1111",TH!M1666="1111")),TH!D1666,""),"")</f>
        <v/>
      </c>
      <c r="B1666" s="36">
        <f t="shared" si="108"/>
        <v>12</v>
      </c>
      <c r="C1666" s="189">
        <f t="shared" si="109"/>
        <v>42369</v>
      </c>
      <c r="D1666" s="830" t="s">
        <v>1285</v>
      </c>
      <c r="E1666" s="47">
        <v>42369</v>
      </c>
      <c r="F1666" s="48" t="s">
        <v>1149</v>
      </c>
      <c r="G1666" s="810" t="s">
        <v>702</v>
      </c>
      <c r="H1666" s="833" t="s">
        <v>1259</v>
      </c>
      <c r="I1666" s="241">
        <v>6</v>
      </c>
      <c r="J1666" s="241">
        <v>34271</v>
      </c>
      <c r="K1666" s="834">
        <f t="shared" si="112"/>
        <v>205626</v>
      </c>
      <c r="L1666" s="835" t="s">
        <v>162</v>
      </c>
      <c r="M1666" s="835" t="s">
        <v>417</v>
      </c>
      <c r="N1666" s="51" t="str">
        <f>IF(AND('331-CT'!$E$7=TH!H1666,OR(L1666="331",M1666="331")),"331",IF(AND(OR(L1666="131",M1666="131"),H1666='131-CT'!$E$7),"131",""))</f>
        <v/>
      </c>
      <c r="O1666" s="51" t="str">
        <f>IF(AND($B1666&gt;='111'!$N$11,$B1666&lt;='111'!$O$11,OR($L1666=$O$7,$M1666=$O$7)),"x","")</f>
        <v/>
      </c>
      <c r="P1666" s="51" t="str">
        <f>IF(AND($L1666=$O$7,$B1666&lt;'111'!$N$11),"x","")</f>
        <v/>
      </c>
      <c r="Q1666" s="51" t="str">
        <f>IF(AND($M1666=$O$7,$B1666&lt;'111'!$N$11),"x","")</f>
        <v/>
      </c>
      <c r="R1666" s="51" t="str">
        <f>IF(ISERROR(FIND('112'!$M$9,G1666,1)),"",IF((AND(FIND('112'!$M$9,G1666,1)&gt;=1,$B1666&gt;='112'!$N$8,$B1666&lt;='112'!$O$8,OR($L1666='112'!$I$6,$M1666='112'!$I$6))),"x",""))</f>
        <v/>
      </c>
      <c r="S1666" s="51" t="str">
        <f>IF(ISERROR(FIND('112'!$M$9,G1666,1)),"",IF((AND(LEFT(G1666,2)=LEFT('112'!$M$9,2),B1666&lt;'112'!$N$8,$L1666='112'!$I$6)),"x",""))</f>
        <v/>
      </c>
      <c r="T1666" s="51" t="str">
        <f>IF(ISERROR(FIND('112'!$M$9,G1666,1)),"",IF((AND(RIGHT(G1666,2)=RIGHT('112'!$M$9,2),B1666&lt;'112'!$N$8,$M1666='112'!$I$6)),"x",""))</f>
        <v/>
      </c>
      <c r="U1666" s="51" t="str">
        <f>IF(AND(L1666="154",'154'!$O$5&lt;=B1666,'154'!$P$5&gt;=B1666),"154",IF(AND(L1666="632",'632'!$L$5&lt;=B1666,'632'!$M$5&gt;=B1666),"632",IF(AND(L1666="642",'642'!$N$5&lt;=B1666,'642'!$O$5&gt;=B1666),"642",IF(AND(L1666="641",'641'!$N$5&lt;=B1666,'641'!$O$5&gt;=B1666),"641",""))))</f>
        <v/>
      </c>
      <c r="V1666" s="51" t="str">
        <f>IF(OR(TH!L1666=TH!$V$7,M1666=TH!$V$7),"x","")</f>
        <v/>
      </c>
      <c r="W1666" s="51" t="str">
        <f>IF(AND(B1666&gt;='IN-NX'!$P$3,B1666&lt;='IN-NX'!$Q$3,'IN-NX'!$D$7=D1666,OR(LEFT(L1666,2)="15",AND(LEFT(M1666,2)&lt;&gt;"15",LEFT(M1666,2)&lt;&gt;"33"))),"x","")</f>
        <v/>
      </c>
      <c r="X1666" s="51" t="str">
        <f>IF(AND(OR(LEFT(TH!L1666,2)="15",LEFT(TH!M1666,2)="15"),'152-CT'!$J$8=TH!F1666),"x","")</f>
        <v/>
      </c>
      <c r="Y1666" s="51" t="str">
        <f>IF(AND(OR(LEFT(TH!L1666,2)="15",LEFT(TH!M1666,2)="15"),TK!$E$7=TH!F1666),"x","")</f>
        <v/>
      </c>
      <c r="Z1666" s="51" t="str">
        <f>IF(AND(B1666&lt;=NKC!$N$8,B1666&gt;=NKC!$M$8),"x","")</f>
        <v/>
      </c>
      <c r="AA1666" s="803"/>
    </row>
    <row r="1667" spans="1:27" ht="15.75" customHeight="1">
      <c r="A1667" s="804" t="str">
        <f>IF(B1667&lt;&gt;"",IF(AND(B1667&gt;=_TM1,B1667&lt;=_TM2,OR(TH!L1667="1111",TH!M1667="1111")),TH!D1667,""),"")</f>
        <v/>
      </c>
      <c r="B1667" s="36">
        <f t="shared" si="108"/>
        <v>12</v>
      </c>
      <c r="C1667" s="189">
        <f t="shared" si="109"/>
        <v>42369</v>
      </c>
      <c r="D1667" s="830" t="s">
        <v>1285</v>
      </c>
      <c r="E1667" s="47">
        <v>42369</v>
      </c>
      <c r="F1667" s="831" t="s">
        <v>1174</v>
      </c>
      <c r="G1667" s="810" t="s">
        <v>702</v>
      </c>
      <c r="H1667" s="833" t="s">
        <v>1259</v>
      </c>
      <c r="I1667" s="241">
        <v>12</v>
      </c>
      <c r="J1667" s="241">
        <v>35924</v>
      </c>
      <c r="K1667" s="834">
        <f t="shared" si="112"/>
        <v>431088</v>
      </c>
      <c r="L1667" s="835" t="s">
        <v>162</v>
      </c>
      <c r="M1667" s="835" t="s">
        <v>417</v>
      </c>
      <c r="N1667" s="51" t="str">
        <f>IF(AND('331-CT'!$E$7=TH!H1667,OR(L1667="331",M1667="331")),"331",IF(AND(OR(L1667="131",M1667="131"),H1667='131-CT'!$E$7),"131",""))</f>
        <v/>
      </c>
      <c r="O1667" s="51" t="str">
        <f>IF(AND($B1667&gt;='111'!$N$11,$B1667&lt;='111'!$O$11,OR($L1667=$O$7,$M1667=$O$7)),"x","")</f>
        <v/>
      </c>
      <c r="P1667" s="51" t="str">
        <f>IF(AND($L1667=$O$7,$B1667&lt;'111'!$N$11),"x","")</f>
        <v/>
      </c>
      <c r="Q1667" s="51" t="str">
        <f>IF(AND($M1667=$O$7,$B1667&lt;'111'!$N$11),"x","")</f>
        <v/>
      </c>
      <c r="R1667" s="51" t="str">
        <f>IF(ISERROR(FIND('112'!$M$9,G1667,1)),"",IF((AND(FIND('112'!$M$9,G1667,1)&gt;=1,$B1667&gt;='112'!$N$8,$B1667&lt;='112'!$O$8,OR($L1667='112'!$I$6,$M1667='112'!$I$6))),"x",""))</f>
        <v/>
      </c>
      <c r="S1667" s="51" t="str">
        <f>IF(ISERROR(FIND('112'!$M$9,G1667,1)),"",IF((AND(LEFT(G1667,2)=LEFT('112'!$M$9,2),B1667&lt;'112'!$N$8,$L1667='112'!$I$6)),"x",""))</f>
        <v/>
      </c>
      <c r="T1667" s="51" t="str">
        <f>IF(ISERROR(FIND('112'!$M$9,G1667,1)),"",IF((AND(RIGHT(G1667,2)=RIGHT('112'!$M$9,2),B1667&lt;'112'!$N$8,$M1667='112'!$I$6)),"x",""))</f>
        <v/>
      </c>
      <c r="U1667" s="51" t="str">
        <f>IF(AND(L1667="154",'154'!$O$5&lt;=B1667,'154'!$P$5&gt;=B1667),"154",IF(AND(L1667="632",'632'!$L$5&lt;=B1667,'632'!$M$5&gt;=B1667),"632",IF(AND(L1667="642",'642'!$N$5&lt;=B1667,'642'!$O$5&gt;=B1667),"642",IF(AND(L1667="641",'641'!$N$5&lt;=B1667,'641'!$O$5&gt;=B1667),"641",""))))</f>
        <v/>
      </c>
      <c r="V1667" s="51" t="str">
        <f>IF(OR(TH!L1667=TH!$V$7,M1667=TH!$V$7),"x","")</f>
        <v/>
      </c>
      <c r="W1667" s="51" t="str">
        <f>IF(AND(B1667&gt;='IN-NX'!$P$3,B1667&lt;='IN-NX'!$Q$3,'IN-NX'!$D$7=D1667,OR(LEFT(L1667,2)="15",AND(LEFT(M1667,2)&lt;&gt;"15",LEFT(M1667,2)&lt;&gt;"33"))),"x","")</f>
        <v/>
      </c>
      <c r="X1667" s="51" t="str">
        <f>IF(AND(OR(LEFT(TH!L1667,2)="15",LEFT(TH!M1667,2)="15"),'152-CT'!$J$8=TH!F1667),"x","")</f>
        <v/>
      </c>
      <c r="Y1667" s="51" t="str">
        <f>IF(AND(OR(LEFT(TH!L1667,2)="15",LEFT(TH!M1667,2)="15"),TK!$E$7=TH!F1667),"x","")</f>
        <v/>
      </c>
      <c r="Z1667" s="51" t="str">
        <f>IF(AND(B1667&lt;=NKC!$N$8,B1667&gt;=NKC!$M$8),"x","")</f>
        <v/>
      </c>
      <c r="AA1667" s="803"/>
    </row>
    <row r="1668" spans="1:27" ht="15.75" customHeight="1">
      <c r="A1668" s="804" t="str">
        <f>IF(B1668&lt;&gt;"",IF(AND(B1668&gt;=_TM1,B1668&lt;=_TM2,OR(TH!L1668="1111",TH!M1668="1111")),TH!D1668,""),"")</f>
        <v/>
      </c>
      <c r="B1668" s="36">
        <f t="shared" ref="B1668:B1913" si="113">IF(C1668&lt;&gt;"",MONTH(C1668),"")</f>
        <v>12</v>
      </c>
      <c r="C1668" s="189">
        <f t="shared" si="109"/>
        <v>42369</v>
      </c>
      <c r="D1668" s="830" t="s">
        <v>1285</v>
      </c>
      <c r="E1668" s="47">
        <v>42369</v>
      </c>
      <c r="F1668" s="48" t="s">
        <v>1172</v>
      </c>
      <c r="G1668" s="810" t="s">
        <v>702</v>
      </c>
      <c r="H1668" s="833" t="s">
        <v>1259</v>
      </c>
      <c r="I1668" s="241">
        <v>24</v>
      </c>
      <c r="J1668" s="241">
        <v>36470</v>
      </c>
      <c r="K1668" s="834">
        <f t="shared" si="112"/>
        <v>875280</v>
      </c>
      <c r="L1668" s="835" t="s">
        <v>162</v>
      </c>
      <c r="M1668" s="835" t="s">
        <v>417</v>
      </c>
      <c r="N1668" s="51" t="str">
        <f>IF(AND('331-CT'!$E$7=TH!H1668,OR(L1668="331",M1668="331")),"331",IF(AND(OR(L1668="131",M1668="131"),H1668='131-CT'!$E$7),"131",""))</f>
        <v/>
      </c>
      <c r="O1668" s="51" t="str">
        <f>IF(AND($B1668&gt;='111'!$N$11,$B1668&lt;='111'!$O$11,OR($L1668=$O$7,$M1668=$O$7)),"x","")</f>
        <v/>
      </c>
      <c r="P1668" s="51" t="str">
        <f>IF(AND($L1668=$O$7,$B1668&lt;'111'!$N$11),"x","")</f>
        <v/>
      </c>
      <c r="Q1668" s="51" t="str">
        <f>IF(AND($M1668=$O$7,$B1668&lt;'111'!$N$11),"x","")</f>
        <v/>
      </c>
      <c r="R1668" s="51" t="str">
        <f>IF(ISERROR(FIND('112'!$M$9,G1668,1)),"",IF((AND(FIND('112'!$M$9,G1668,1)&gt;=1,$B1668&gt;='112'!$N$8,$B1668&lt;='112'!$O$8,OR($L1668='112'!$I$6,$M1668='112'!$I$6))),"x",""))</f>
        <v/>
      </c>
      <c r="S1668" s="51" t="str">
        <f>IF(ISERROR(FIND('112'!$M$9,G1668,1)),"",IF((AND(LEFT(G1668,2)=LEFT('112'!$M$9,2),B1668&lt;'112'!$N$8,$L1668='112'!$I$6)),"x",""))</f>
        <v/>
      </c>
      <c r="T1668" s="51" t="str">
        <f>IF(ISERROR(FIND('112'!$M$9,G1668,1)),"",IF((AND(RIGHT(G1668,2)=RIGHT('112'!$M$9,2),B1668&lt;'112'!$N$8,$M1668='112'!$I$6)),"x",""))</f>
        <v/>
      </c>
      <c r="U1668" s="51" t="str">
        <f>IF(AND(L1668="154",'154'!$O$5&lt;=B1668,'154'!$P$5&gt;=B1668),"154",IF(AND(L1668="632",'632'!$L$5&lt;=B1668,'632'!$M$5&gt;=B1668),"632",IF(AND(L1668="642",'642'!$N$5&lt;=B1668,'642'!$O$5&gt;=B1668),"642",IF(AND(L1668="641",'641'!$N$5&lt;=B1668,'641'!$O$5&gt;=B1668),"641",""))))</f>
        <v/>
      </c>
      <c r="V1668" s="51" t="str">
        <f>IF(OR(TH!L1668=TH!$V$7,M1668=TH!$V$7),"x","")</f>
        <v/>
      </c>
      <c r="W1668" s="51" t="str">
        <f>IF(AND(B1668&gt;='IN-NX'!$P$3,B1668&lt;='IN-NX'!$Q$3,'IN-NX'!$D$7=D1668,OR(LEFT(L1668,2)="15",AND(LEFT(M1668,2)&lt;&gt;"15",LEFT(M1668,2)&lt;&gt;"33"))),"x","")</f>
        <v/>
      </c>
      <c r="X1668" s="51" t="str">
        <f>IF(AND(OR(LEFT(TH!L1668,2)="15",LEFT(TH!M1668,2)="15"),'152-CT'!$J$8=TH!F1668),"x","")</f>
        <v/>
      </c>
      <c r="Y1668" s="51" t="str">
        <f>IF(AND(OR(LEFT(TH!L1668,2)="15",LEFT(TH!M1668,2)="15"),TK!$E$7=TH!F1668),"x","")</f>
        <v/>
      </c>
      <c r="Z1668" s="51" t="str">
        <f>IF(AND(B1668&lt;=NKC!$N$8,B1668&gt;=NKC!$M$8),"x","")</f>
        <v/>
      </c>
      <c r="AA1668" s="803"/>
    </row>
    <row r="1669" spans="1:27" ht="15.75" customHeight="1">
      <c r="A1669" s="804" t="str">
        <f>IF(B1669&lt;&gt;"",IF(AND(B1669&gt;=_TM1,B1669&lt;=_TM2,OR(TH!L1669="1111",TH!M1669="1111")),TH!D1669,""),"")</f>
        <v/>
      </c>
      <c r="B1669" s="36">
        <f t="shared" si="113"/>
        <v>12</v>
      </c>
      <c r="C1669" s="189">
        <f t="shared" si="109"/>
        <v>42369</v>
      </c>
      <c r="D1669" s="830" t="s">
        <v>1285</v>
      </c>
      <c r="E1669" s="47">
        <v>42369</v>
      </c>
      <c r="F1669" s="48" t="s">
        <v>1166</v>
      </c>
      <c r="G1669" s="810" t="s">
        <v>702</v>
      </c>
      <c r="H1669" s="833" t="s">
        <v>1259</v>
      </c>
      <c r="I1669" s="241">
        <v>6</v>
      </c>
      <c r="J1669" s="241">
        <v>37724</v>
      </c>
      <c r="K1669" s="834">
        <f t="shared" si="112"/>
        <v>226344</v>
      </c>
      <c r="L1669" s="835" t="s">
        <v>162</v>
      </c>
      <c r="M1669" s="835" t="s">
        <v>417</v>
      </c>
      <c r="N1669" s="51" t="str">
        <f>IF(AND('331-CT'!$E$7=TH!H1669,OR(L1669="331",M1669="331")),"331",IF(AND(OR(L1669="131",M1669="131"),H1669='131-CT'!$E$7),"131",""))</f>
        <v/>
      </c>
      <c r="O1669" s="51" t="str">
        <f>IF(AND($B1669&gt;='111'!$N$11,$B1669&lt;='111'!$O$11,OR($L1669=$O$7,$M1669=$O$7)),"x","")</f>
        <v/>
      </c>
      <c r="P1669" s="51" t="str">
        <f>IF(AND($L1669=$O$7,$B1669&lt;'111'!$N$11),"x","")</f>
        <v/>
      </c>
      <c r="Q1669" s="51" t="str">
        <f>IF(AND($M1669=$O$7,$B1669&lt;'111'!$N$11),"x","")</f>
        <v/>
      </c>
      <c r="R1669" s="51" t="str">
        <f>IF(ISERROR(FIND('112'!$M$9,G1669,1)),"",IF((AND(FIND('112'!$M$9,G1669,1)&gt;=1,$B1669&gt;='112'!$N$8,$B1669&lt;='112'!$O$8,OR($L1669='112'!$I$6,$M1669='112'!$I$6))),"x",""))</f>
        <v/>
      </c>
      <c r="S1669" s="51" t="str">
        <f>IF(ISERROR(FIND('112'!$M$9,G1669,1)),"",IF((AND(LEFT(G1669,2)=LEFT('112'!$M$9,2),B1669&lt;'112'!$N$8,$L1669='112'!$I$6)),"x",""))</f>
        <v/>
      </c>
      <c r="T1669" s="51" t="str">
        <f>IF(ISERROR(FIND('112'!$M$9,G1669,1)),"",IF((AND(RIGHT(G1669,2)=RIGHT('112'!$M$9,2),B1669&lt;'112'!$N$8,$M1669='112'!$I$6)),"x",""))</f>
        <v/>
      </c>
      <c r="U1669" s="51" t="str">
        <f>IF(AND(L1669="154",'154'!$O$5&lt;=B1669,'154'!$P$5&gt;=B1669),"154",IF(AND(L1669="632",'632'!$L$5&lt;=B1669,'632'!$M$5&gt;=B1669),"632",IF(AND(L1669="642",'642'!$N$5&lt;=B1669,'642'!$O$5&gt;=B1669),"642",IF(AND(L1669="641",'641'!$N$5&lt;=B1669,'641'!$O$5&gt;=B1669),"641",""))))</f>
        <v/>
      </c>
      <c r="V1669" s="51" t="str">
        <f>IF(OR(TH!L1669=TH!$V$7,M1669=TH!$V$7),"x","")</f>
        <v/>
      </c>
      <c r="W1669" s="51" t="str">
        <f>IF(AND(B1669&gt;='IN-NX'!$P$3,B1669&lt;='IN-NX'!$Q$3,'IN-NX'!$D$7=D1669,OR(LEFT(L1669,2)="15",AND(LEFT(M1669,2)&lt;&gt;"15",LEFT(M1669,2)&lt;&gt;"33"))),"x","")</f>
        <v/>
      </c>
      <c r="X1669" s="51" t="str">
        <f>IF(AND(OR(LEFT(TH!L1669,2)="15",LEFT(TH!M1669,2)="15"),'152-CT'!$J$8=TH!F1669),"x","")</f>
        <v/>
      </c>
      <c r="Y1669" s="51" t="str">
        <f>IF(AND(OR(LEFT(TH!L1669,2)="15",LEFT(TH!M1669,2)="15"),TK!$E$7=TH!F1669),"x","")</f>
        <v/>
      </c>
      <c r="Z1669" s="51" t="str">
        <f>IF(AND(B1669&lt;=NKC!$N$8,B1669&gt;=NKC!$M$8),"x","")</f>
        <v/>
      </c>
      <c r="AA1669" s="803"/>
    </row>
    <row r="1670" spans="1:27" ht="15.75" customHeight="1">
      <c r="A1670" s="804" t="str">
        <f>IF(B1670&lt;&gt;"",IF(AND(B1670&gt;=_TM1,B1670&lt;=_TM2,OR(TH!L1670="1111",TH!M1670="1111")),TH!D1670,""),"")</f>
        <v/>
      </c>
      <c r="B1670" s="36">
        <f t="shared" si="113"/>
        <v>12</v>
      </c>
      <c r="C1670" s="189">
        <f t="shared" si="109"/>
        <v>42369</v>
      </c>
      <c r="D1670" s="830" t="s">
        <v>1285</v>
      </c>
      <c r="E1670" s="47">
        <v>42369</v>
      </c>
      <c r="F1670" s="48" t="s">
        <v>1167</v>
      </c>
      <c r="G1670" s="810" t="s">
        <v>702</v>
      </c>
      <c r="H1670" s="833" t="s">
        <v>1259</v>
      </c>
      <c r="I1670" s="241">
        <v>6</v>
      </c>
      <c r="J1670" s="241">
        <v>42868</v>
      </c>
      <c r="K1670" s="834">
        <f t="shared" si="112"/>
        <v>257208</v>
      </c>
      <c r="L1670" s="835" t="s">
        <v>162</v>
      </c>
      <c r="M1670" s="835" t="s">
        <v>417</v>
      </c>
      <c r="N1670" s="51" t="str">
        <f>IF(AND('331-CT'!$E$7=TH!H1670,OR(L1670="331",M1670="331")),"331",IF(AND(OR(L1670="131",M1670="131"),H1670='131-CT'!$E$7),"131",""))</f>
        <v/>
      </c>
      <c r="O1670" s="51" t="str">
        <f>IF(AND($B1670&gt;='111'!$N$11,$B1670&lt;='111'!$O$11,OR($L1670=$O$7,$M1670=$O$7)),"x","")</f>
        <v/>
      </c>
      <c r="P1670" s="51" t="str">
        <f>IF(AND($L1670=$O$7,$B1670&lt;'111'!$N$11),"x","")</f>
        <v/>
      </c>
      <c r="Q1670" s="51" t="str">
        <f>IF(AND($M1670=$O$7,$B1670&lt;'111'!$N$11),"x","")</f>
        <v/>
      </c>
      <c r="R1670" s="51" t="str">
        <f>IF(ISERROR(FIND('112'!$M$9,G1670,1)),"",IF((AND(FIND('112'!$M$9,G1670,1)&gt;=1,$B1670&gt;='112'!$N$8,$B1670&lt;='112'!$O$8,OR($L1670='112'!$I$6,$M1670='112'!$I$6))),"x",""))</f>
        <v/>
      </c>
      <c r="S1670" s="51" t="str">
        <f>IF(ISERROR(FIND('112'!$M$9,G1670,1)),"",IF((AND(LEFT(G1670,2)=LEFT('112'!$M$9,2),B1670&lt;'112'!$N$8,$L1670='112'!$I$6)),"x",""))</f>
        <v/>
      </c>
      <c r="T1670" s="51" t="str">
        <f>IF(ISERROR(FIND('112'!$M$9,G1670,1)),"",IF((AND(RIGHT(G1670,2)=RIGHT('112'!$M$9,2),B1670&lt;'112'!$N$8,$M1670='112'!$I$6)),"x",""))</f>
        <v/>
      </c>
      <c r="U1670" s="51" t="str">
        <f>IF(AND(L1670="154",'154'!$O$5&lt;=B1670,'154'!$P$5&gt;=B1670),"154",IF(AND(L1670="632",'632'!$L$5&lt;=B1670,'632'!$M$5&gt;=B1670),"632",IF(AND(L1670="642",'642'!$N$5&lt;=B1670,'642'!$O$5&gt;=B1670),"642",IF(AND(L1670="641",'641'!$N$5&lt;=B1670,'641'!$O$5&gt;=B1670),"641",""))))</f>
        <v/>
      </c>
      <c r="V1670" s="51" t="str">
        <f>IF(OR(TH!L1670=TH!$V$7,M1670=TH!$V$7),"x","")</f>
        <v/>
      </c>
      <c r="W1670" s="51" t="str">
        <f>IF(AND(B1670&gt;='IN-NX'!$P$3,B1670&lt;='IN-NX'!$Q$3,'IN-NX'!$D$7=D1670,OR(LEFT(L1670,2)="15",AND(LEFT(M1670,2)&lt;&gt;"15",LEFT(M1670,2)&lt;&gt;"33"))),"x","")</f>
        <v/>
      </c>
      <c r="X1670" s="51" t="str">
        <f>IF(AND(OR(LEFT(TH!L1670,2)="15",LEFT(TH!M1670,2)="15"),'152-CT'!$J$8=TH!F1670),"x","")</f>
        <v/>
      </c>
      <c r="Y1670" s="51" t="str">
        <f>IF(AND(OR(LEFT(TH!L1670,2)="15",LEFT(TH!M1670,2)="15"),TK!$E$7=TH!F1670),"x","")</f>
        <v/>
      </c>
      <c r="Z1670" s="51" t="str">
        <f>IF(AND(B1670&lt;=NKC!$N$8,B1670&gt;=NKC!$M$8),"x","")</f>
        <v/>
      </c>
      <c r="AA1670" s="803"/>
    </row>
    <row r="1671" spans="1:27" ht="15.75" customHeight="1">
      <c r="A1671" s="804" t="str">
        <f>IF(B1671&lt;&gt;"",IF(AND(B1671&gt;=_TM1,B1671&lt;=_TM2,OR(TH!L1671="1111",TH!M1671="1111")),TH!D1671,""),"")</f>
        <v/>
      </c>
      <c r="B1671" s="36">
        <f t="shared" si="113"/>
        <v>12</v>
      </c>
      <c r="C1671" s="189">
        <f t="shared" si="109"/>
        <v>42369</v>
      </c>
      <c r="D1671" s="830" t="s">
        <v>1285</v>
      </c>
      <c r="E1671" s="47">
        <v>42369</v>
      </c>
      <c r="F1671" s="48" t="s">
        <v>1146</v>
      </c>
      <c r="G1671" s="810" t="s">
        <v>702</v>
      </c>
      <c r="H1671" s="833" t="s">
        <v>1259</v>
      </c>
      <c r="I1671" s="241">
        <v>36</v>
      </c>
      <c r="J1671" s="241">
        <v>45666</v>
      </c>
      <c r="K1671" s="834">
        <f t="shared" si="112"/>
        <v>1643976</v>
      </c>
      <c r="L1671" s="835" t="s">
        <v>162</v>
      </c>
      <c r="M1671" s="835" t="s">
        <v>417</v>
      </c>
      <c r="N1671" s="51" t="str">
        <f>IF(AND('331-CT'!$E$7=TH!H1671,OR(L1671="331",M1671="331")),"331",IF(AND(OR(L1671="131",M1671="131"),H1671='131-CT'!$E$7),"131",""))</f>
        <v/>
      </c>
      <c r="O1671" s="51" t="str">
        <f>IF(AND($B1671&gt;='111'!$N$11,$B1671&lt;='111'!$O$11,OR($L1671=$O$7,$M1671=$O$7)),"x","")</f>
        <v/>
      </c>
      <c r="P1671" s="51" t="str">
        <f>IF(AND($L1671=$O$7,$B1671&lt;'111'!$N$11),"x","")</f>
        <v/>
      </c>
      <c r="Q1671" s="51" t="str">
        <f>IF(AND($M1671=$O$7,$B1671&lt;'111'!$N$11),"x","")</f>
        <v/>
      </c>
      <c r="R1671" s="51" t="str">
        <f>IF(ISERROR(FIND('112'!$M$9,G1671,1)),"",IF((AND(FIND('112'!$M$9,G1671,1)&gt;=1,$B1671&gt;='112'!$N$8,$B1671&lt;='112'!$O$8,OR($L1671='112'!$I$6,$M1671='112'!$I$6))),"x",""))</f>
        <v/>
      </c>
      <c r="S1671" s="51" t="str">
        <f>IF(ISERROR(FIND('112'!$M$9,G1671,1)),"",IF((AND(LEFT(G1671,2)=LEFT('112'!$M$9,2),B1671&lt;'112'!$N$8,$L1671='112'!$I$6)),"x",""))</f>
        <v/>
      </c>
      <c r="T1671" s="51" t="str">
        <f>IF(ISERROR(FIND('112'!$M$9,G1671,1)),"",IF((AND(RIGHT(G1671,2)=RIGHT('112'!$M$9,2),B1671&lt;'112'!$N$8,$M1671='112'!$I$6)),"x",""))</f>
        <v/>
      </c>
      <c r="U1671" s="51" t="str">
        <f>IF(AND(L1671="154",'154'!$O$5&lt;=B1671,'154'!$P$5&gt;=B1671),"154",IF(AND(L1671="632",'632'!$L$5&lt;=B1671,'632'!$M$5&gt;=B1671),"632",IF(AND(L1671="642",'642'!$N$5&lt;=B1671,'642'!$O$5&gt;=B1671),"642",IF(AND(L1671="641",'641'!$N$5&lt;=B1671,'641'!$O$5&gt;=B1671),"641",""))))</f>
        <v/>
      </c>
      <c r="V1671" s="51" t="str">
        <f>IF(OR(TH!L1671=TH!$V$7,M1671=TH!$V$7),"x","")</f>
        <v/>
      </c>
      <c r="W1671" s="51" t="str">
        <f>IF(AND(B1671&gt;='IN-NX'!$P$3,B1671&lt;='IN-NX'!$Q$3,'IN-NX'!$D$7=D1671,OR(LEFT(L1671,2)="15",AND(LEFT(M1671,2)&lt;&gt;"15",LEFT(M1671,2)&lt;&gt;"33"))),"x","")</f>
        <v/>
      </c>
      <c r="X1671" s="51" t="str">
        <f>IF(AND(OR(LEFT(TH!L1671,2)="15",LEFT(TH!M1671,2)="15"),'152-CT'!$J$8=TH!F1671),"x","")</f>
        <v/>
      </c>
      <c r="Y1671" s="51" t="str">
        <f>IF(AND(OR(LEFT(TH!L1671,2)="15",LEFT(TH!M1671,2)="15"),TK!$E$7=TH!F1671),"x","")</f>
        <v/>
      </c>
      <c r="Z1671" s="51" t="str">
        <f>IF(AND(B1671&lt;=NKC!$N$8,B1671&gt;=NKC!$M$8),"x","")</f>
        <v/>
      </c>
      <c r="AA1671" s="803"/>
    </row>
    <row r="1672" spans="1:27" ht="15.75" customHeight="1">
      <c r="A1672" s="804" t="str">
        <f>IF(B1672&lt;&gt;"",IF(AND(B1672&gt;=_TM1,B1672&lt;=_TM2,OR(TH!L1672="1111",TH!M1672="1111")),TH!D1672,""),"")</f>
        <v/>
      </c>
      <c r="B1672" s="36">
        <f t="shared" si="113"/>
        <v>12</v>
      </c>
      <c r="C1672" s="189">
        <f t="shared" ref="C1672:C1714" si="114">E1672</f>
        <v>42369</v>
      </c>
      <c r="D1672" s="830" t="s">
        <v>1285</v>
      </c>
      <c r="E1672" s="47">
        <v>42369</v>
      </c>
      <c r="F1672" s="48" t="s">
        <v>1157</v>
      </c>
      <c r="G1672" s="810" t="s">
        <v>702</v>
      </c>
      <c r="H1672" s="833" t="s">
        <v>1259</v>
      </c>
      <c r="I1672" s="241">
        <v>6</v>
      </c>
      <c r="J1672" s="241">
        <v>77455</v>
      </c>
      <c r="K1672" s="834">
        <f t="shared" si="112"/>
        <v>464730</v>
      </c>
      <c r="L1672" s="835" t="s">
        <v>162</v>
      </c>
      <c r="M1672" s="835" t="s">
        <v>417</v>
      </c>
      <c r="N1672" s="51" t="str">
        <f>IF(AND('331-CT'!$E$7=TH!H1672,OR(L1672="331",M1672="331")),"331",IF(AND(OR(L1672="131",M1672="131"),H1672='131-CT'!$E$7),"131",""))</f>
        <v/>
      </c>
      <c r="O1672" s="51" t="str">
        <f>IF(AND($B1672&gt;='111'!$N$11,$B1672&lt;='111'!$O$11,OR($L1672=$O$7,$M1672=$O$7)),"x","")</f>
        <v/>
      </c>
      <c r="P1672" s="51" t="str">
        <f>IF(AND($L1672=$O$7,$B1672&lt;'111'!$N$11),"x","")</f>
        <v/>
      </c>
      <c r="Q1672" s="51" t="str">
        <f>IF(AND($M1672=$O$7,$B1672&lt;'111'!$N$11),"x","")</f>
        <v/>
      </c>
      <c r="R1672" s="51" t="str">
        <f>IF(ISERROR(FIND('112'!$M$9,G1672,1)),"",IF((AND(FIND('112'!$M$9,G1672,1)&gt;=1,$B1672&gt;='112'!$N$8,$B1672&lt;='112'!$O$8,OR($L1672='112'!$I$6,$M1672='112'!$I$6))),"x",""))</f>
        <v/>
      </c>
      <c r="S1672" s="51" t="str">
        <f>IF(ISERROR(FIND('112'!$M$9,G1672,1)),"",IF((AND(LEFT(G1672,2)=LEFT('112'!$M$9,2),B1672&lt;'112'!$N$8,$L1672='112'!$I$6)),"x",""))</f>
        <v/>
      </c>
      <c r="T1672" s="51" t="str">
        <f>IF(ISERROR(FIND('112'!$M$9,G1672,1)),"",IF((AND(RIGHT(G1672,2)=RIGHT('112'!$M$9,2),B1672&lt;'112'!$N$8,$M1672='112'!$I$6)),"x",""))</f>
        <v/>
      </c>
      <c r="U1672" s="51" t="str">
        <f>IF(AND(L1672="154",'154'!$O$5&lt;=B1672,'154'!$P$5&gt;=B1672),"154",IF(AND(L1672="632",'632'!$L$5&lt;=B1672,'632'!$M$5&gt;=B1672),"632",IF(AND(L1672="642",'642'!$N$5&lt;=B1672,'642'!$O$5&gt;=B1672),"642",IF(AND(L1672="641",'641'!$N$5&lt;=B1672,'641'!$O$5&gt;=B1672),"641",""))))</f>
        <v/>
      </c>
      <c r="V1672" s="51" t="str">
        <f>IF(OR(TH!L1672=TH!$V$7,M1672=TH!$V$7),"x","")</f>
        <v/>
      </c>
      <c r="W1672" s="51" t="str">
        <f>IF(AND(B1672&gt;='IN-NX'!$P$3,B1672&lt;='IN-NX'!$Q$3,'IN-NX'!$D$7=D1672,OR(LEFT(L1672,2)="15",AND(LEFT(M1672,2)&lt;&gt;"15",LEFT(M1672,2)&lt;&gt;"33"))),"x","")</f>
        <v/>
      </c>
      <c r="X1672" s="51" t="str">
        <f>IF(AND(OR(LEFT(TH!L1672,2)="15",LEFT(TH!M1672,2)="15"),'152-CT'!$J$8=TH!F1672),"x","")</f>
        <v/>
      </c>
      <c r="Y1672" s="51" t="str">
        <f>IF(AND(OR(LEFT(TH!L1672,2)="15",LEFT(TH!M1672,2)="15"),TK!$E$7=TH!F1672),"x","")</f>
        <v/>
      </c>
      <c r="Z1672" s="51" t="str">
        <f>IF(AND(B1672&lt;=NKC!$N$8,B1672&gt;=NKC!$M$8),"x","")</f>
        <v/>
      </c>
      <c r="AA1672" s="803"/>
    </row>
    <row r="1673" spans="1:27" ht="15.75" customHeight="1">
      <c r="A1673" s="804" t="str">
        <f>IF(B1673&lt;&gt;"",IF(AND(B1673&gt;=_TM1,B1673&lt;=_TM2,OR(TH!L1673="1111",TH!M1673="1111")),TH!D1673,""),"")</f>
        <v/>
      </c>
      <c r="B1673" s="36">
        <f t="shared" si="113"/>
        <v>12</v>
      </c>
      <c r="C1673" s="189">
        <f t="shared" si="114"/>
        <v>42369</v>
      </c>
      <c r="D1673" s="830" t="s">
        <v>1285</v>
      </c>
      <c r="E1673" s="47">
        <v>42369</v>
      </c>
      <c r="F1673" s="831" t="s">
        <v>1156</v>
      </c>
      <c r="G1673" s="810" t="s">
        <v>702</v>
      </c>
      <c r="H1673" s="833" t="s">
        <v>1259</v>
      </c>
      <c r="I1673" s="241">
        <v>14</v>
      </c>
      <c r="J1673" s="241">
        <v>42123</v>
      </c>
      <c r="K1673" s="834">
        <f t="shared" si="112"/>
        <v>589722</v>
      </c>
      <c r="L1673" s="835" t="s">
        <v>162</v>
      </c>
      <c r="M1673" s="835" t="s">
        <v>417</v>
      </c>
      <c r="N1673" s="51" t="str">
        <f>IF(AND('331-CT'!$E$7=TH!H1673,OR(L1673="331",M1673="331")),"331",IF(AND(OR(L1673="131",M1673="131"),H1673='131-CT'!$E$7),"131",""))</f>
        <v/>
      </c>
      <c r="O1673" s="51" t="str">
        <f>IF(AND($B1673&gt;='111'!$N$11,$B1673&lt;='111'!$O$11,OR($L1673=$O$7,$M1673=$O$7)),"x","")</f>
        <v/>
      </c>
      <c r="P1673" s="51" t="str">
        <f>IF(AND($L1673=$O$7,$B1673&lt;'111'!$N$11),"x","")</f>
        <v/>
      </c>
      <c r="Q1673" s="51" t="str">
        <f>IF(AND($M1673=$O$7,$B1673&lt;'111'!$N$11),"x","")</f>
        <v/>
      </c>
      <c r="R1673" s="51" t="str">
        <f>IF(ISERROR(FIND('112'!$M$9,G1673,1)),"",IF((AND(FIND('112'!$M$9,G1673,1)&gt;=1,$B1673&gt;='112'!$N$8,$B1673&lt;='112'!$O$8,OR($L1673='112'!$I$6,$M1673='112'!$I$6))),"x",""))</f>
        <v/>
      </c>
      <c r="S1673" s="51" t="str">
        <f>IF(ISERROR(FIND('112'!$M$9,G1673,1)),"",IF((AND(LEFT(G1673,2)=LEFT('112'!$M$9,2),B1673&lt;'112'!$N$8,$L1673='112'!$I$6)),"x",""))</f>
        <v/>
      </c>
      <c r="T1673" s="51" t="str">
        <f>IF(ISERROR(FIND('112'!$M$9,G1673,1)),"",IF((AND(RIGHT(G1673,2)=RIGHT('112'!$M$9,2),B1673&lt;'112'!$N$8,$M1673='112'!$I$6)),"x",""))</f>
        <v/>
      </c>
      <c r="U1673" s="51" t="str">
        <f>IF(AND(L1673="154",'154'!$O$5&lt;=B1673,'154'!$P$5&gt;=B1673),"154",IF(AND(L1673="632",'632'!$L$5&lt;=B1673,'632'!$M$5&gt;=B1673),"632",IF(AND(L1673="642",'642'!$N$5&lt;=B1673,'642'!$O$5&gt;=B1673),"642",IF(AND(L1673="641",'641'!$N$5&lt;=B1673,'641'!$O$5&gt;=B1673),"641",""))))</f>
        <v/>
      </c>
      <c r="V1673" s="51" t="str">
        <f>IF(OR(TH!L1673=TH!$V$7,M1673=TH!$V$7),"x","")</f>
        <v/>
      </c>
      <c r="W1673" s="51" t="str">
        <f>IF(AND(B1673&gt;='IN-NX'!$P$3,B1673&lt;='IN-NX'!$Q$3,'IN-NX'!$D$7=D1673,OR(LEFT(L1673,2)="15",AND(LEFT(M1673,2)&lt;&gt;"15",LEFT(M1673,2)&lt;&gt;"33"))),"x","")</f>
        <v/>
      </c>
      <c r="X1673" s="51" t="str">
        <f>IF(AND(OR(LEFT(TH!L1673,2)="15",LEFT(TH!M1673,2)="15"),'152-CT'!$J$8=TH!F1673),"x","")</f>
        <v/>
      </c>
      <c r="Y1673" s="51" t="str">
        <f>IF(AND(OR(LEFT(TH!L1673,2)="15",LEFT(TH!M1673,2)="15"),TK!$E$7=TH!F1673),"x","")</f>
        <v/>
      </c>
      <c r="Z1673" s="51" t="str">
        <f>IF(AND(B1673&lt;=NKC!$N$8,B1673&gt;=NKC!$M$8),"x","")</f>
        <v/>
      </c>
      <c r="AA1673" s="803"/>
    </row>
    <row r="1674" spans="1:27" ht="15.75" customHeight="1">
      <c r="A1674" s="804" t="str">
        <f>IF(B1674&lt;&gt;"",IF(AND(B1674&gt;=_TM1,B1674&lt;=_TM2,OR(TH!L1674="1111",TH!M1674="1111")),TH!D1674,""),"")</f>
        <v/>
      </c>
      <c r="B1674" s="36">
        <f t="shared" si="113"/>
        <v>12</v>
      </c>
      <c r="C1674" s="189">
        <f t="shared" si="114"/>
        <v>42369</v>
      </c>
      <c r="D1674" s="830" t="s">
        <v>1285</v>
      </c>
      <c r="E1674" s="47">
        <v>42369</v>
      </c>
      <c r="F1674" s="48" t="s">
        <v>1155</v>
      </c>
      <c r="G1674" s="810" t="s">
        <v>702</v>
      </c>
      <c r="H1674" s="833" t="s">
        <v>1259</v>
      </c>
      <c r="I1674" s="241">
        <v>18</v>
      </c>
      <c r="J1674" s="241">
        <v>42683</v>
      </c>
      <c r="K1674" s="834">
        <f t="shared" si="112"/>
        <v>768294</v>
      </c>
      <c r="L1674" s="835" t="s">
        <v>162</v>
      </c>
      <c r="M1674" s="835" t="s">
        <v>417</v>
      </c>
      <c r="N1674" s="51" t="str">
        <f>IF(AND('331-CT'!$E$7=TH!H1674,OR(L1674="331",M1674="331")),"331",IF(AND(OR(L1674="131",M1674="131"),H1674='131-CT'!$E$7),"131",""))</f>
        <v/>
      </c>
      <c r="O1674" s="51" t="str">
        <f>IF(AND($B1674&gt;='111'!$N$11,$B1674&lt;='111'!$O$11,OR($L1674=$O$7,$M1674=$O$7)),"x","")</f>
        <v/>
      </c>
      <c r="P1674" s="51" t="str">
        <f>IF(AND($L1674=$O$7,$B1674&lt;'111'!$N$11),"x","")</f>
        <v/>
      </c>
      <c r="Q1674" s="51" t="str">
        <f>IF(AND($M1674=$O$7,$B1674&lt;'111'!$N$11),"x","")</f>
        <v/>
      </c>
      <c r="R1674" s="51" t="str">
        <f>IF(ISERROR(FIND('112'!$M$9,G1674,1)),"",IF((AND(FIND('112'!$M$9,G1674,1)&gt;=1,$B1674&gt;='112'!$N$8,$B1674&lt;='112'!$O$8,OR($L1674='112'!$I$6,$M1674='112'!$I$6))),"x",""))</f>
        <v/>
      </c>
      <c r="S1674" s="51" t="str">
        <f>IF(ISERROR(FIND('112'!$M$9,G1674,1)),"",IF((AND(LEFT(G1674,2)=LEFT('112'!$M$9,2),B1674&lt;'112'!$N$8,$L1674='112'!$I$6)),"x",""))</f>
        <v/>
      </c>
      <c r="T1674" s="51" t="str">
        <f>IF(ISERROR(FIND('112'!$M$9,G1674,1)),"",IF((AND(RIGHT(G1674,2)=RIGHT('112'!$M$9,2),B1674&lt;'112'!$N$8,$M1674='112'!$I$6)),"x",""))</f>
        <v/>
      </c>
      <c r="U1674" s="51" t="str">
        <f>IF(AND(L1674="154",'154'!$O$5&lt;=B1674,'154'!$P$5&gt;=B1674),"154",IF(AND(L1674="632",'632'!$L$5&lt;=B1674,'632'!$M$5&gt;=B1674),"632",IF(AND(L1674="642",'642'!$N$5&lt;=B1674,'642'!$O$5&gt;=B1674),"642",IF(AND(L1674="641",'641'!$N$5&lt;=B1674,'641'!$O$5&gt;=B1674),"641",""))))</f>
        <v/>
      </c>
      <c r="V1674" s="51" t="str">
        <f>IF(OR(TH!L1674=TH!$V$7,M1674=TH!$V$7),"x","")</f>
        <v/>
      </c>
      <c r="W1674" s="51" t="str">
        <f>IF(AND(B1674&gt;='IN-NX'!$P$3,B1674&lt;='IN-NX'!$Q$3,'IN-NX'!$D$7=D1674,OR(LEFT(L1674,2)="15",AND(LEFT(M1674,2)&lt;&gt;"15",LEFT(M1674,2)&lt;&gt;"33"))),"x","")</f>
        <v/>
      </c>
      <c r="X1674" s="51" t="str">
        <f>IF(AND(OR(LEFT(TH!L1674,2)="15",LEFT(TH!M1674,2)="15"),'152-CT'!$J$8=TH!F1674),"x","")</f>
        <v/>
      </c>
      <c r="Y1674" s="51" t="str">
        <f>IF(AND(OR(LEFT(TH!L1674,2)="15",LEFT(TH!M1674,2)="15"),TK!$E$7=TH!F1674),"x","")</f>
        <v/>
      </c>
      <c r="Z1674" s="51" t="str">
        <f>IF(AND(B1674&lt;=NKC!$N$8,B1674&gt;=NKC!$M$8),"x","")</f>
        <v/>
      </c>
      <c r="AA1674" s="803"/>
    </row>
    <row r="1675" spans="1:27" ht="15.75" customHeight="1">
      <c r="A1675" s="804" t="str">
        <f>IF(B1675&lt;&gt;"",IF(AND(B1675&gt;=_TM1,B1675&lt;=_TM2,OR(TH!L1675="1111",TH!M1675="1111")),TH!D1675,""),"")</f>
        <v/>
      </c>
      <c r="B1675" s="36">
        <f t="shared" si="113"/>
        <v>12</v>
      </c>
      <c r="C1675" s="189">
        <f t="shared" si="114"/>
        <v>42369</v>
      </c>
      <c r="D1675" s="830" t="s">
        <v>1285</v>
      </c>
      <c r="E1675" s="47">
        <v>42369</v>
      </c>
      <c r="F1675" s="831" t="s">
        <v>1145</v>
      </c>
      <c r="G1675" s="810" t="s">
        <v>702</v>
      </c>
      <c r="H1675" s="833" t="s">
        <v>1259</v>
      </c>
      <c r="I1675" s="241">
        <v>14</v>
      </c>
      <c r="J1675" s="241">
        <v>57615</v>
      </c>
      <c r="K1675" s="834">
        <f t="shared" si="112"/>
        <v>806610</v>
      </c>
      <c r="L1675" s="835" t="s">
        <v>162</v>
      </c>
      <c r="M1675" s="835" t="s">
        <v>417</v>
      </c>
      <c r="N1675" s="51" t="str">
        <f>IF(AND('331-CT'!$E$7=TH!H1675,OR(L1675="331",M1675="331")),"331",IF(AND(OR(L1675="131",M1675="131"),H1675='131-CT'!$E$7),"131",""))</f>
        <v/>
      </c>
      <c r="O1675" s="51" t="str">
        <f>IF(AND($B1675&gt;='111'!$N$11,$B1675&lt;='111'!$O$11,OR($L1675=$O$7,$M1675=$O$7)),"x","")</f>
        <v/>
      </c>
      <c r="P1675" s="51" t="str">
        <f>IF(AND($L1675=$O$7,$B1675&lt;'111'!$N$11),"x","")</f>
        <v/>
      </c>
      <c r="Q1675" s="51" t="str">
        <f>IF(AND($M1675=$O$7,$B1675&lt;'111'!$N$11),"x","")</f>
        <v/>
      </c>
      <c r="R1675" s="51" t="str">
        <f>IF(ISERROR(FIND('112'!$M$9,G1675,1)),"",IF((AND(FIND('112'!$M$9,G1675,1)&gt;=1,$B1675&gt;='112'!$N$8,$B1675&lt;='112'!$O$8,OR($L1675='112'!$I$6,$M1675='112'!$I$6))),"x",""))</f>
        <v/>
      </c>
      <c r="S1675" s="51" t="str">
        <f>IF(ISERROR(FIND('112'!$M$9,G1675,1)),"",IF((AND(LEFT(G1675,2)=LEFT('112'!$M$9,2),B1675&lt;'112'!$N$8,$L1675='112'!$I$6)),"x",""))</f>
        <v/>
      </c>
      <c r="T1675" s="51" t="str">
        <f>IF(ISERROR(FIND('112'!$M$9,G1675,1)),"",IF((AND(RIGHT(G1675,2)=RIGHT('112'!$M$9,2),B1675&lt;'112'!$N$8,$M1675='112'!$I$6)),"x",""))</f>
        <v/>
      </c>
      <c r="U1675" s="51" t="str">
        <f>IF(AND(L1675="154",'154'!$O$5&lt;=B1675,'154'!$P$5&gt;=B1675),"154",IF(AND(L1675="632",'632'!$L$5&lt;=B1675,'632'!$M$5&gt;=B1675),"632",IF(AND(L1675="642",'642'!$N$5&lt;=B1675,'642'!$O$5&gt;=B1675),"642",IF(AND(L1675="641",'641'!$N$5&lt;=B1675,'641'!$O$5&gt;=B1675),"641",""))))</f>
        <v/>
      </c>
      <c r="V1675" s="51" t="str">
        <f>IF(OR(TH!L1675=TH!$V$7,M1675=TH!$V$7),"x","")</f>
        <v/>
      </c>
      <c r="W1675" s="51" t="str">
        <f>IF(AND(B1675&gt;='IN-NX'!$P$3,B1675&lt;='IN-NX'!$Q$3,'IN-NX'!$D$7=D1675,OR(LEFT(L1675,2)="15",AND(LEFT(M1675,2)&lt;&gt;"15",LEFT(M1675,2)&lt;&gt;"33"))),"x","")</f>
        <v/>
      </c>
      <c r="X1675" s="51" t="str">
        <f>IF(AND(OR(LEFT(TH!L1675,2)="15",LEFT(TH!M1675,2)="15"),'152-CT'!$J$8=TH!F1675),"x","")</f>
        <v/>
      </c>
      <c r="Y1675" s="51" t="str">
        <f>IF(AND(OR(LEFT(TH!L1675,2)="15",LEFT(TH!M1675,2)="15"),TK!$E$7=TH!F1675),"x","")</f>
        <v/>
      </c>
      <c r="Z1675" s="51" t="str">
        <f>IF(AND(B1675&lt;=NKC!$N$8,B1675&gt;=NKC!$M$8),"x","")</f>
        <v/>
      </c>
      <c r="AA1675" s="803"/>
    </row>
    <row r="1676" spans="1:27" ht="15.75" customHeight="1">
      <c r="A1676" s="804" t="str">
        <f>IF(B1676&lt;&gt;"",IF(AND(B1676&gt;=_TM1,B1676&lt;=_TM2,OR(TH!L1676="1111",TH!M1676="1111")),TH!D1676,""),"")</f>
        <v/>
      </c>
      <c r="B1676" s="36">
        <f t="shared" si="113"/>
        <v>12</v>
      </c>
      <c r="C1676" s="189">
        <f t="shared" si="114"/>
        <v>42369</v>
      </c>
      <c r="D1676" s="830" t="s">
        <v>1285</v>
      </c>
      <c r="E1676" s="47">
        <v>42369</v>
      </c>
      <c r="F1676" s="48" t="s">
        <v>1173</v>
      </c>
      <c r="G1676" s="810" t="s">
        <v>702</v>
      </c>
      <c r="H1676" s="833" t="s">
        <v>1259</v>
      </c>
      <c r="I1676" s="241">
        <v>12</v>
      </c>
      <c r="J1676" s="241">
        <v>45436</v>
      </c>
      <c r="K1676" s="834">
        <f t="shared" si="112"/>
        <v>545232</v>
      </c>
      <c r="L1676" s="835" t="s">
        <v>162</v>
      </c>
      <c r="M1676" s="835" t="s">
        <v>417</v>
      </c>
      <c r="N1676" s="51" t="str">
        <f>IF(AND('331-CT'!$E$7=TH!H1676,OR(L1676="331",M1676="331")),"331",IF(AND(OR(L1676="131",M1676="131"),H1676='131-CT'!$E$7),"131",""))</f>
        <v/>
      </c>
      <c r="O1676" s="51" t="str">
        <f>IF(AND($B1676&gt;='111'!$N$11,$B1676&lt;='111'!$O$11,OR($L1676=$O$7,$M1676=$O$7)),"x","")</f>
        <v/>
      </c>
      <c r="P1676" s="51" t="str">
        <f>IF(AND($L1676=$O$7,$B1676&lt;'111'!$N$11),"x","")</f>
        <v/>
      </c>
      <c r="Q1676" s="51" t="str">
        <f>IF(AND($M1676=$O$7,$B1676&lt;'111'!$N$11),"x","")</f>
        <v/>
      </c>
      <c r="R1676" s="51" t="str">
        <f>IF(ISERROR(FIND('112'!$M$9,G1676,1)),"",IF((AND(FIND('112'!$M$9,G1676,1)&gt;=1,$B1676&gt;='112'!$N$8,$B1676&lt;='112'!$O$8,OR($L1676='112'!$I$6,$M1676='112'!$I$6))),"x",""))</f>
        <v/>
      </c>
      <c r="S1676" s="51" t="str">
        <f>IF(ISERROR(FIND('112'!$M$9,G1676,1)),"",IF((AND(LEFT(G1676,2)=LEFT('112'!$M$9,2),B1676&lt;'112'!$N$8,$L1676='112'!$I$6)),"x",""))</f>
        <v/>
      </c>
      <c r="T1676" s="51" t="str">
        <f>IF(ISERROR(FIND('112'!$M$9,G1676,1)),"",IF((AND(RIGHT(G1676,2)=RIGHT('112'!$M$9,2),B1676&lt;'112'!$N$8,$M1676='112'!$I$6)),"x",""))</f>
        <v/>
      </c>
      <c r="U1676" s="51" t="str">
        <f>IF(AND(L1676="154",'154'!$O$5&lt;=B1676,'154'!$P$5&gt;=B1676),"154",IF(AND(L1676="632",'632'!$L$5&lt;=B1676,'632'!$M$5&gt;=B1676),"632",IF(AND(L1676="642",'642'!$N$5&lt;=B1676,'642'!$O$5&gt;=B1676),"642",IF(AND(L1676="641",'641'!$N$5&lt;=B1676,'641'!$O$5&gt;=B1676),"641",""))))</f>
        <v/>
      </c>
      <c r="V1676" s="51" t="str">
        <f>IF(OR(TH!L1676=TH!$V$7,M1676=TH!$V$7),"x","")</f>
        <v/>
      </c>
      <c r="W1676" s="51" t="str">
        <f>IF(AND(B1676&gt;='IN-NX'!$P$3,B1676&lt;='IN-NX'!$Q$3,'IN-NX'!$D$7=D1676,OR(LEFT(L1676,2)="15",AND(LEFT(M1676,2)&lt;&gt;"15",LEFT(M1676,2)&lt;&gt;"33"))),"x","")</f>
        <v/>
      </c>
      <c r="X1676" s="51" t="str">
        <f>IF(AND(OR(LEFT(TH!L1676,2)="15",LEFT(TH!M1676,2)="15"),'152-CT'!$J$8=TH!F1676),"x","")</f>
        <v/>
      </c>
      <c r="Y1676" s="51" t="str">
        <f>IF(AND(OR(LEFT(TH!L1676,2)="15",LEFT(TH!M1676,2)="15"),TK!$E$7=TH!F1676),"x","")</f>
        <v/>
      </c>
      <c r="Z1676" s="51" t="str">
        <f>IF(AND(B1676&lt;=NKC!$N$8,B1676&gt;=NKC!$M$8),"x","")</f>
        <v/>
      </c>
      <c r="AA1676" s="803"/>
    </row>
    <row r="1677" spans="1:27" ht="15.75" customHeight="1">
      <c r="A1677" s="804" t="str">
        <f>IF(B1677&lt;&gt;"",IF(AND(B1677&gt;=_TM1,B1677&lt;=_TM2,OR(TH!L1677="1111",TH!M1677="1111")),TH!D1677,""),"")</f>
        <v/>
      </c>
      <c r="B1677" s="36">
        <f t="shared" si="113"/>
        <v>12</v>
      </c>
      <c r="C1677" s="189">
        <f t="shared" si="114"/>
        <v>42369</v>
      </c>
      <c r="D1677" s="830" t="s">
        <v>1285</v>
      </c>
      <c r="E1677" s="47">
        <v>42369</v>
      </c>
      <c r="F1677" s="48" t="s">
        <v>1150</v>
      </c>
      <c r="G1677" s="810" t="s">
        <v>702</v>
      </c>
      <c r="H1677" s="833" t="s">
        <v>1259</v>
      </c>
      <c r="I1677" s="241">
        <v>8</v>
      </c>
      <c r="J1677" s="241">
        <v>38009</v>
      </c>
      <c r="K1677" s="834">
        <f t="shared" si="112"/>
        <v>304072</v>
      </c>
      <c r="L1677" s="835" t="s">
        <v>162</v>
      </c>
      <c r="M1677" s="835" t="s">
        <v>417</v>
      </c>
      <c r="N1677" s="51" t="str">
        <f>IF(AND('331-CT'!$E$7=TH!H1677,OR(L1677="331",M1677="331")),"331",IF(AND(OR(L1677="131",M1677="131"),H1677='131-CT'!$E$7),"131",""))</f>
        <v/>
      </c>
      <c r="O1677" s="51" t="str">
        <f>IF(AND($B1677&gt;='111'!$N$11,$B1677&lt;='111'!$O$11,OR($L1677=$O$7,$M1677=$O$7)),"x","")</f>
        <v/>
      </c>
      <c r="P1677" s="51" t="str">
        <f>IF(AND($L1677=$O$7,$B1677&lt;'111'!$N$11),"x","")</f>
        <v/>
      </c>
      <c r="Q1677" s="51" t="str">
        <f>IF(AND($M1677=$O$7,$B1677&lt;'111'!$N$11),"x","")</f>
        <v/>
      </c>
      <c r="R1677" s="51" t="str">
        <f>IF(ISERROR(FIND('112'!$M$9,G1677,1)),"",IF((AND(FIND('112'!$M$9,G1677,1)&gt;=1,$B1677&gt;='112'!$N$8,$B1677&lt;='112'!$O$8,OR($L1677='112'!$I$6,$M1677='112'!$I$6))),"x",""))</f>
        <v/>
      </c>
      <c r="S1677" s="51" t="str">
        <f>IF(ISERROR(FIND('112'!$M$9,G1677,1)),"",IF((AND(LEFT(G1677,2)=LEFT('112'!$M$9,2),B1677&lt;'112'!$N$8,$L1677='112'!$I$6)),"x",""))</f>
        <v/>
      </c>
      <c r="T1677" s="51" t="str">
        <f>IF(ISERROR(FIND('112'!$M$9,G1677,1)),"",IF((AND(RIGHT(G1677,2)=RIGHT('112'!$M$9,2),B1677&lt;'112'!$N$8,$M1677='112'!$I$6)),"x",""))</f>
        <v/>
      </c>
      <c r="U1677" s="51" t="str">
        <f>IF(AND(L1677="154",'154'!$O$5&lt;=B1677,'154'!$P$5&gt;=B1677),"154",IF(AND(L1677="632",'632'!$L$5&lt;=B1677,'632'!$M$5&gt;=B1677),"632",IF(AND(L1677="642",'642'!$N$5&lt;=B1677,'642'!$O$5&gt;=B1677),"642",IF(AND(L1677="641",'641'!$N$5&lt;=B1677,'641'!$O$5&gt;=B1677),"641",""))))</f>
        <v/>
      </c>
      <c r="V1677" s="51" t="str">
        <f>IF(OR(TH!L1677=TH!$V$7,M1677=TH!$V$7),"x","")</f>
        <v/>
      </c>
      <c r="W1677" s="51" t="str">
        <f>IF(AND(B1677&gt;='IN-NX'!$P$3,B1677&lt;='IN-NX'!$Q$3,'IN-NX'!$D$7=D1677,OR(LEFT(L1677,2)="15",AND(LEFT(M1677,2)&lt;&gt;"15",LEFT(M1677,2)&lt;&gt;"33"))),"x","")</f>
        <v/>
      </c>
      <c r="X1677" s="51" t="str">
        <f>IF(AND(OR(LEFT(TH!L1677,2)="15",LEFT(TH!M1677,2)="15"),'152-CT'!$J$8=TH!F1677),"x","")</f>
        <v/>
      </c>
      <c r="Y1677" s="51" t="str">
        <f>IF(AND(OR(LEFT(TH!L1677,2)="15",LEFT(TH!M1677,2)="15"),TK!$E$7=TH!F1677),"x","")</f>
        <v/>
      </c>
      <c r="Z1677" s="51" t="str">
        <f>IF(AND(B1677&lt;=NKC!$N$8,B1677&gt;=NKC!$M$8),"x","")</f>
        <v/>
      </c>
      <c r="AA1677" s="803"/>
    </row>
    <row r="1678" spans="1:27" ht="15.75" customHeight="1">
      <c r="A1678" s="804" t="str">
        <f>IF(B1678&lt;&gt;"",IF(AND(B1678&gt;=_TM1,B1678&lt;=_TM2,OR(TH!L1678="1111",TH!M1678="1111")),TH!D1678,""),"")</f>
        <v/>
      </c>
      <c r="B1678" s="36">
        <f t="shared" si="113"/>
        <v>12</v>
      </c>
      <c r="C1678" s="189">
        <f t="shared" si="114"/>
        <v>42369</v>
      </c>
      <c r="D1678" s="830" t="s">
        <v>1285</v>
      </c>
      <c r="E1678" s="47">
        <v>42369</v>
      </c>
      <c r="F1678" s="48" t="s">
        <v>1159</v>
      </c>
      <c r="G1678" s="810" t="s">
        <v>702</v>
      </c>
      <c r="H1678" s="833" t="s">
        <v>1259</v>
      </c>
      <c r="I1678" s="241">
        <v>30</v>
      </c>
      <c r="J1678" s="241">
        <v>48157</v>
      </c>
      <c r="K1678" s="834">
        <f t="shared" si="112"/>
        <v>1444710</v>
      </c>
      <c r="L1678" s="835" t="s">
        <v>162</v>
      </c>
      <c r="M1678" s="835" t="s">
        <v>417</v>
      </c>
      <c r="N1678" s="51" t="str">
        <f>IF(AND('331-CT'!$E$7=TH!H1678,OR(L1678="331",M1678="331")),"331",IF(AND(OR(L1678="131",M1678="131"),H1678='131-CT'!$E$7),"131",""))</f>
        <v/>
      </c>
      <c r="O1678" s="51" t="str">
        <f>IF(AND($B1678&gt;='111'!$N$11,$B1678&lt;='111'!$O$11,OR($L1678=$O$7,$M1678=$O$7)),"x","")</f>
        <v/>
      </c>
      <c r="P1678" s="51" t="str">
        <f>IF(AND($L1678=$O$7,$B1678&lt;'111'!$N$11),"x","")</f>
        <v/>
      </c>
      <c r="Q1678" s="51" t="str">
        <f>IF(AND($M1678=$O$7,$B1678&lt;'111'!$N$11),"x","")</f>
        <v/>
      </c>
      <c r="R1678" s="51" t="str">
        <f>IF(ISERROR(FIND('112'!$M$9,G1678,1)),"",IF((AND(FIND('112'!$M$9,G1678,1)&gt;=1,$B1678&gt;='112'!$N$8,$B1678&lt;='112'!$O$8,OR($L1678='112'!$I$6,$M1678='112'!$I$6))),"x",""))</f>
        <v/>
      </c>
      <c r="S1678" s="51" t="str">
        <f>IF(ISERROR(FIND('112'!$M$9,G1678,1)),"",IF((AND(LEFT(G1678,2)=LEFT('112'!$M$9,2),B1678&lt;'112'!$N$8,$L1678='112'!$I$6)),"x",""))</f>
        <v/>
      </c>
      <c r="T1678" s="51" t="str">
        <f>IF(ISERROR(FIND('112'!$M$9,G1678,1)),"",IF((AND(RIGHT(G1678,2)=RIGHT('112'!$M$9,2),B1678&lt;'112'!$N$8,$M1678='112'!$I$6)),"x",""))</f>
        <v/>
      </c>
      <c r="U1678" s="51" t="str">
        <f>IF(AND(L1678="154",'154'!$O$5&lt;=B1678,'154'!$P$5&gt;=B1678),"154",IF(AND(L1678="632",'632'!$L$5&lt;=B1678,'632'!$M$5&gt;=B1678),"632",IF(AND(L1678="642",'642'!$N$5&lt;=B1678,'642'!$O$5&gt;=B1678),"642",IF(AND(L1678="641",'641'!$N$5&lt;=B1678,'641'!$O$5&gt;=B1678),"641",""))))</f>
        <v/>
      </c>
      <c r="V1678" s="51" t="str">
        <f>IF(OR(TH!L1678=TH!$V$7,M1678=TH!$V$7),"x","")</f>
        <v/>
      </c>
      <c r="W1678" s="51" t="str">
        <f>IF(AND(B1678&gt;='IN-NX'!$P$3,B1678&lt;='IN-NX'!$Q$3,'IN-NX'!$D$7=D1678,OR(LEFT(L1678,2)="15",AND(LEFT(M1678,2)&lt;&gt;"15",LEFT(M1678,2)&lt;&gt;"33"))),"x","")</f>
        <v/>
      </c>
      <c r="X1678" s="51" t="str">
        <f>IF(AND(OR(LEFT(TH!L1678,2)="15",LEFT(TH!M1678,2)="15"),'152-CT'!$J$8=TH!F1678),"x","")</f>
        <v/>
      </c>
      <c r="Y1678" s="51" t="str">
        <f>IF(AND(OR(LEFT(TH!L1678,2)="15",LEFT(TH!M1678,2)="15"),TK!$E$7=TH!F1678),"x","")</f>
        <v/>
      </c>
      <c r="Z1678" s="51" t="str">
        <f>IF(AND(B1678&lt;=NKC!$N$8,B1678&gt;=NKC!$M$8),"x","")</f>
        <v/>
      </c>
      <c r="AA1678" s="803"/>
    </row>
    <row r="1679" spans="1:27" ht="15.75" customHeight="1">
      <c r="A1679" s="804" t="str">
        <f>IF(B1679&lt;&gt;"",IF(AND(B1679&gt;=_TM1,B1679&lt;=_TM2,OR(TH!L1679="1111",TH!M1679="1111")),TH!D1679,""),"")</f>
        <v/>
      </c>
      <c r="B1679" s="36">
        <f t="shared" si="113"/>
        <v>12</v>
      </c>
      <c r="C1679" s="189">
        <f t="shared" si="114"/>
        <v>42369</v>
      </c>
      <c r="D1679" s="830" t="s">
        <v>1285</v>
      </c>
      <c r="E1679" s="830">
        <v>42369</v>
      </c>
      <c r="F1679" s="831" t="s">
        <v>1163</v>
      </c>
      <c r="G1679" s="832" t="s">
        <v>702</v>
      </c>
      <c r="H1679" s="833" t="s">
        <v>1259</v>
      </c>
      <c r="I1679" s="241">
        <v>7</v>
      </c>
      <c r="J1679" s="241">
        <v>47381</v>
      </c>
      <c r="K1679" s="834">
        <f t="shared" si="112"/>
        <v>331667</v>
      </c>
      <c r="L1679" s="835" t="s">
        <v>162</v>
      </c>
      <c r="M1679" s="835" t="s">
        <v>417</v>
      </c>
      <c r="N1679" s="51" t="str">
        <f>IF(AND('331-CT'!$E$7=TH!H1679,OR(L1679="331",M1679="331")),"331",IF(AND(OR(L1679="131",M1679="131"),H1679='131-CT'!$E$7),"131",""))</f>
        <v/>
      </c>
      <c r="O1679" s="51" t="str">
        <f>IF(AND($B1679&gt;='111'!$N$11,$B1679&lt;='111'!$O$11,OR($L1679=$O$7,$M1679=$O$7)),"x","")</f>
        <v/>
      </c>
      <c r="P1679" s="51" t="str">
        <f>IF(AND($L1679=$O$7,$B1679&lt;'111'!$N$11),"x","")</f>
        <v/>
      </c>
      <c r="Q1679" s="51" t="str">
        <f>IF(AND($M1679=$O$7,$B1679&lt;'111'!$N$11),"x","")</f>
        <v/>
      </c>
      <c r="R1679" s="51" t="str">
        <f>IF(ISERROR(FIND('112'!$M$9,G1679,1)),"",IF((AND(FIND('112'!$M$9,G1679,1)&gt;=1,$B1679&gt;='112'!$N$8,$B1679&lt;='112'!$O$8,OR($L1679='112'!$I$6,$M1679='112'!$I$6))),"x",""))</f>
        <v/>
      </c>
      <c r="S1679" s="51" t="str">
        <f>IF(ISERROR(FIND('112'!$M$9,G1679,1)),"",IF((AND(LEFT(G1679,2)=LEFT('112'!$M$9,2),B1679&lt;'112'!$N$8,$L1679='112'!$I$6)),"x",""))</f>
        <v/>
      </c>
      <c r="T1679" s="51" t="str">
        <f>IF(ISERROR(FIND('112'!$M$9,G1679,1)),"",IF((AND(RIGHT(G1679,2)=RIGHT('112'!$M$9,2),B1679&lt;'112'!$N$8,$M1679='112'!$I$6)),"x",""))</f>
        <v/>
      </c>
      <c r="U1679" s="51" t="str">
        <f>IF(AND(L1679="154",'154'!$O$5&lt;=B1679,'154'!$P$5&gt;=B1679),"154",IF(AND(L1679="632",'632'!$L$5&lt;=B1679,'632'!$M$5&gt;=B1679),"632",IF(AND(L1679="642",'642'!$N$5&lt;=B1679,'642'!$O$5&gt;=B1679),"642",IF(AND(L1679="641",'641'!$N$5&lt;=B1679,'641'!$O$5&gt;=B1679),"641",""))))</f>
        <v/>
      </c>
      <c r="V1679" s="51" t="str">
        <f>IF(OR(TH!L1679=TH!$V$7,M1679=TH!$V$7),"x","")</f>
        <v/>
      </c>
      <c r="W1679" s="51" t="str">
        <f>IF(AND(B1679&gt;='IN-NX'!$P$3,B1679&lt;='IN-NX'!$Q$3,'IN-NX'!$D$7=D1679,OR(LEFT(L1679,2)="15",AND(LEFT(M1679,2)&lt;&gt;"15",LEFT(M1679,2)&lt;&gt;"33"))),"x","")</f>
        <v/>
      </c>
      <c r="X1679" s="51" t="str">
        <f>IF(AND(OR(LEFT(TH!L1679,2)="15",LEFT(TH!M1679,2)="15"),'152-CT'!$J$8=TH!F1679),"x","")</f>
        <v/>
      </c>
      <c r="Y1679" s="51" t="str">
        <f>IF(AND(OR(LEFT(TH!L1679,2)="15",LEFT(TH!M1679,2)="15"),TK!$E$7=TH!F1679),"x","")</f>
        <v/>
      </c>
      <c r="Z1679" s="51" t="str">
        <f>IF(AND(B1679&lt;=NKC!$N$8,B1679&gt;=NKC!$M$8),"x","")</f>
        <v/>
      </c>
      <c r="AA1679" s="803"/>
    </row>
    <row r="1680" spans="1:27" ht="15.75" customHeight="1">
      <c r="A1680" s="804" t="str">
        <f>IF(B1680&lt;&gt;"",IF(AND(B1680&gt;=_TM1,B1680&lt;=_TM2,OR(TH!L1680="1111",TH!M1680="1111")),TH!D1680,""),"")</f>
        <v/>
      </c>
      <c r="B1680" s="36">
        <f t="shared" si="113"/>
        <v>12</v>
      </c>
      <c r="C1680" s="189">
        <f t="shared" si="114"/>
        <v>42369</v>
      </c>
      <c r="D1680" s="830" t="s">
        <v>1285</v>
      </c>
      <c r="E1680" s="830">
        <v>42369</v>
      </c>
      <c r="F1680" s="831" t="s">
        <v>1169</v>
      </c>
      <c r="G1680" s="832" t="s">
        <v>702</v>
      </c>
      <c r="H1680" s="833" t="s">
        <v>1259</v>
      </c>
      <c r="I1680" s="241">
        <v>8</v>
      </c>
      <c r="J1680" s="241">
        <v>73102</v>
      </c>
      <c r="K1680" s="834">
        <f t="shared" si="112"/>
        <v>584816</v>
      </c>
      <c r="L1680" s="835" t="s">
        <v>162</v>
      </c>
      <c r="M1680" s="835" t="s">
        <v>417</v>
      </c>
      <c r="N1680" s="51" t="str">
        <f>IF(AND('331-CT'!$E$7=TH!H1680,OR(L1680="331",M1680="331")),"331",IF(AND(OR(L1680="131",M1680="131"),H1680='131-CT'!$E$7),"131",""))</f>
        <v/>
      </c>
      <c r="O1680" s="51" t="str">
        <f>IF(AND($B1680&gt;='111'!$N$11,$B1680&lt;='111'!$O$11,OR($L1680=$O$7,$M1680=$O$7)),"x","")</f>
        <v/>
      </c>
      <c r="P1680" s="51" t="str">
        <f>IF(AND($L1680=$O$7,$B1680&lt;'111'!$N$11),"x","")</f>
        <v/>
      </c>
      <c r="Q1680" s="51" t="str">
        <f>IF(AND($M1680=$O$7,$B1680&lt;'111'!$N$11),"x","")</f>
        <v/>
      </c>
      <c r="R1680" s="51" t="str">
        <f>IF(ISERROR(FIND('112'!$M$9,G1680,1)),"",IF((AND(FIND('112'!$M$9,G1680,1)&gt;=1,$B1680&gt;='112'!$N$8,$B1680&lt;='112'!$O$8,OR($L1680='112'!$I$6,$M1680='112'!$I$6))),"x",""))</f>
        <v/>
      </c>
      <c r="S1680" s="51" t="str">
        <f>IF(ISERROR(FIND('112'!$M$9,G1680,1)),"",IF((AND(LEFT(G1680,2)=LEFT('112'!$M$9,2),B1680&lt;'112'!$N$8,$L1680='112'!$I$6)),"x",""))</f>
        <v/>
      </c>
      <c r="T1680" s="51" t="str">
        <f>IF(ISERROR(FIND('112'!$M$9,G1680,1)),"",IF((AND(RIGHT(G1680,2)=RIGHT('112'!$M$9,2),B1680&lt;'112'!$N$8,$M1680='112'!$I$6)),"x",""))</f>
        <v/>
      </c>
      <c r="U1680" s="51" t="str">
        <f>IF(AND(L1680="154",'154'!$O$5&lt;=B1680,'154'!$P$5&gt;=B1680),"154",IF(AND(L1680="632",'632'!$L$5&lt;=B1680,'632'!$M$5&gt;=B1680),"632",IF(AND(L1680="642",'642'!$N$5&lt;=B1680,'642'!$O$5&gt;=B1680),"642",IF(AND(L1680="641",'641'!$N$5&lt;=B1680,'641'!$O$5&gt;=B1680),"641",""))))</f>
        <v/>
      </c>
      <c r="V1680" s="51" t="str">
        <f>IF(OR(TH!L1680=TH!$V$7,M1680=TH!$V$7),"x","")</f>
        <v/>
      </c>
      <c r="W1680" s="51" t="str">
        <f>IF(AND(B1680&gt;='IN-NX'!$P$3,B1680&lt;='IN-NX'!$Q$3,'IN-NX'!$D$7=D1680,OR(LEFT(L1680,2)="15",AND(LEFT(M1680,2)&lt;&gt;"15",LEFT(M1680,2)&lt;&gt;"33"))),"x","")</f>
        <v/>
      </c>
      <c r="X1680" s="51" t="str">
        <f>IF(AND(OR(LEFT(TH!L1680,2)="15",LEFT(TH!M1680,2)="15"),'152-CT'!$J$8=TH!F1680),"x","")</f>
        <v/>
      </c>
      <c r="Y1680" s="51" t="str">
        <f>IF(AND(OR(LEFT(TH!L1680,2)="15",LEFT(TH!M1680,2)="15"),TK!$E$7=TH!F1680),"x","")</f>
        <v/>
      </c>
      <c r="Z1680" s="51" t="str">
        <f>IF(AND(B1680&lt;=NKC!$N$8,B1680&gt;=NKC!$M$8),"x","")</f>
        <v/>
      </c>
      <c r="AA1680" s="803"/>
    </row>
    <row r="1681" spans="1:27" ht="15.75" customHeight="1">
      <c r="A1681" s="804" t="str">
        <f>IF(B1681&lt;&gt;"",IF(AND(B1681&gt;=_TM1,B1681&lt;=_TM2,OR(TH!L1681="1111",TH!M1681="1111")),TH!D1681,""),"")</f>
        <v/>
      </c>
      <c r="B1681" s="36">
        <f t="shared" si="113"/>
        <v>12</v>
      </c>
      <c r="C1681" s="189">
        <f t="shared" si="114"/>
        <v>42369</v>
      </c>
      <c r="D1681" s="830" t="s">
        <v>1285</v>
      </c>
      <c r="E1681" s="830">
        <v>42369</v>
      </c>
      <c r="F1681" s="831" t="s">
        <v>1158</v>
      </c>
      <c r="G1681" s="849" t="s">
        <v>702</v>
      </c>
      <c r="H1681" s="833" t="s">
        <v>1259</v>
      </c>
      <c r="I1681" s="850">
        <v>24</v>
      </c>
      <c r="J1681" s="241">
        <v>71766</v>
      </c>
      <c r="K1681" s="834">
        <f t="shared" si="112"/>
        <v>1722384</v>
      </c>
      <c r="L1681" s="835" t="s">
        <v>162</v>
      </c>
      <c r="M1681" s="835" t="s">
        <v>417</v>
      </c>
      <c r="N1681" s="51" t="str">
        <f>IF(AND('331-CT'!$E$7=TH!H1681,OR(L1681="331",M1681="331")),"331",IF(AND(OR(L1681="131",M1681="131"),H1681='131-CT'!$E$7),"131",""))</f>
        <v/>
      </c>
      <c r="O1681" s="51" t="str">
        <f>IF(AND($B1681&gt;='111'!$N$11,$B1681&lt;='111'!$O$11,OR($L1681=$O$7,$M1681=$O$7)),"x","")</f>
        <v/>
      </c>
      <c r="P1681" s="51" t="str">
        <f>IF(AND($L1681=$O$7,$B1681&lt;'111'!$N$11),"x","")</f>
        <v/>
      </c>
      <c r="Q1681" s="51" t="str">
        <f>IF(AND($M1681=$O$7,$B1681&lt;'111'!$N$11),"x","")</f>
        <v/>
      </c>
      <c r="R1681" s="51" t="str">
        <f>IF(ISERROR(FIND('112'!$M$9,G1681,1)),"",IF((AND(FIND('112'!$M$9,G1681,1)&gt;=1,$B1681&gt;='112'!$N$8,$B1681&lt;='112'!$O$8,OR($L1681='112'!$I$6,$M1681='112'!$I$6))),"x",""))</f>
        <v/>
      </c>
      <c r="S1681" s="51" t="str">
        <f>IF(ISERROR(FIND('112'!$M$9,G1681,1)),"",IF((AND(LEFT(G1681,2)=LEFT('112'!$M$9,2),B1681&lt;'112'!$N$8,$L1681='112'!$I$6)),"x",""))</f>
        <v/>
      </c>
      <c r="T1681" s="51" t="str">
        <f>IF(ISERROR(FIND('112'!$M$9,G1681,1)),"",IF((AND(RIGHT(G1681,2)=RIGHT('112'!$M$9,2),B1681&lt;'112'!$N$8,$M1681='112'!$I$6)),"x",""))</f>
        <v/>
      </c>
      <c r="U1681" s="51" t="str">
        <f>IF(AND(L1681="154",'154'!$O$5&lt;=B1681,'154'!$P$5&gt;=B1681),"154",IF(AND(L1681="632",'632'!$L$5&lt;=B1681,'632'!$M$5&gt;=B1681),"632",IF(AND(L1681="642",'642'!$N$5&lt;=B1681,'642'!$O$5&gt;=B1681),"642",IF(AND(L1681="641",'641'!$N$5&lt;=B1681,'641'!$O$5&gt;=B1681),"641",""))))</f>
        <v/>
      </c>
      <c r="V1681" s="51" t="str">
        <f>IF(OR(TH!L1681=TH!$V$7,M1681=TH!$V$7),"x","")</f>
        <v/>
      </c>
      <c r="W1681" s="51" t="str">
        <f>IF(AND(B1681&gt;='IN-NX'!$P$3,B1681&lt;='IN-NX'!$Q$3,'IN-NX'!$D$7=D1681,OR(LEFT(L1681,2)="15",AND(LEFT(M1681,2)&lt;&gt;"15",LEFT(M1681,2)&lt;&gt;"33"))),"x","")</f>
        <v/>
      </c>
      <c r="X1681" s="51" t="str">
        <f>IF(AND(OR(LEFT(TH!L1681,2)="15",LEFT(TH!M1681,2)="15"),'152-CT'!$J$8=TH!F1681),"x","")</f>
        <v/>
      </c>
      <c r="Y1681" s="51" t="str">
        <f>IF(AND(OR(LEFT(TH!L1681,2)="15",LEFT(TH!M1681,2)="15"),TK!$E$7=TH!F1681),"x","")</f>
        <v/>
      </c>
      <c r="Z1681" s="51" t="str">
        <f>IF(AND(B1681&lt;=NKC!$N$8,B1681&gt;=NKC!$M$8),"x","")</f>
        <v/>
      </c>
      <c r="AA1681" s="803"/>
    </row>
    <row r="1682" spans="1:27" ht="15.75" customHeight="1">
      <c r="A1682" s="804" t="str">
        <f>IF(B1682&lt;&gt;"",IF(AND(B1682&gt;=_TM1,B1682&lt;=_TM2,OR(TH!L1682="1111",TH!M1682="1111")),TH!D1682,""),"")</f>
        <v/>
      </c>
      <c r="B1682" s="36">
        <f t="shared" si="113"/>
        <v>12</v>
      </c>
      <c r="C1682" s="189">
        <f t="shared" si="114"/>
        <v>42369</v>
      </c>
      <c r="D1682" s="830" t="s">
        <v>1285</v>
      </c>
      <c r="E1682" s="830">
        <v>42369</v>
      </c>
      <c r="F1682" s="831" t="s">
        <v>1171</v>
      </c>
      <c r="G1682" s="849" t="s">
        <v>702</v>
      </c>
      <c r="H1682" s="833" t="s">
        <v>1259</v>
      </c>
      <c r="I1682" s="850">
        <v>8</v>
      </c>
      <c r="J1682" s="241">
        <v>66969</v>
      </c>
      <c r="K1682" s="834">
        <f t="shared" si="112"/>
        <v>535752</v>
      </c>
      <c r="L1682" s="835" t="s">
        <v>162</v>
      </c>
      <c r="M1682" s="835" t="s">
        <v>417</v>
      </c>
      <c r="N1682" s="51" t="str">
        <f>IF(AND('331-CT'!$E$7=TH!H1682,OR(L1682="331",M1682="331")),"331",IF(AND(OR(L1682="131",M1682="131"),H1682='131-CT'!$E$7),"131",""))</f>
        <v/>
      </c>
      <c r="O1682" s="51" t="str">
        <f>IF(AND($B1682&gt;='111'!$N$11,$B1682&lt;='111'!$O$11,OR($L1682=$O$7,$M1682=$O$7)),"x","")</f>
        <v/>
      </c>
      <c r="P1682" s="51" t="str">
        <f>IF(AND($L1682=$O$7,$B1682&lt;'111'!$N$11),"x","")</f>
        <v/>
      </c>
      <c r="Q1682" s="51" t="str">
        <f>IF(AND($M1682=$O$7,$B1682&lt;'111'!$N$11),"x","")</f>
        <v/>
      </c>
      <c r="R1682" s="51" t="str">
        <f>IF(ISERROR(FIND('112'!$M$9,G1682,1)),"",IF((AND(FIND('112'!$M$9,G1682,1)&gt;=1,$B1682&gt;='112'!$N$8,$B1682&lt;='112'!$O$8,OR($L1682='112'!$I$6,$M1682='112'!$I$6))),"x",""))</f>
        <v/>
      </c>
      <c r="S1682" s="51" t="str">
        <f>IF(ISERROR(FIND('112'!$M$9,G1682,1)),"",IF((AND(LEFT(G1682,2)=LEFT('112'!$M$9,2),B1682&lt;'112'!$N$8,$L1682='112'!$I$6)),"x",""))</f>
        <v/>
      </c>
      <c r="T1682" s="51" t="str">
        <f>IF(ISERROR(FIND('112'!$M$9,G1682,1)),"",IF((AND(RIGHT(G1682,2)=RIGHT('112'!$M$9,2),B1682&lt;'112'!$N$8,$M1682='112'!$I$6)),"x",""))</f>
        <v/>
      </c>
      <c r="U1682" s="51" t="str">
        <f>IF(AND(L1682="154",'154'!$O$5&lt;=B1682,'154'!$P$5&gt;=B1682),"154",IF(AND(L1682="632",'632'!$L$5&lt;=B1682,'632'!$M$5&gt;=B1682),"632",IF(AND(L1682="642",'642'!$N$5&lt;=B1682,'642'!$O$5&gt;=B1682),"642",IF(AND(L1682="641",'641'!$N$5&lt;=B1682,'641'!$O$5&gt;=B1682),"641",""))))</f>
        <v/>
      </c>
      <c r="V1682" s="51" t="str">
        <f>IF(OR(TH!L1682=TH!$V$7,M1682=TH!$V$7),"x","")</f>
        <v/>
      </c>
      <c r="W1682" s="51" t="str">
        <f>IF(AND(B1682&gt;='IN-NX'!$P$3,B1682&lt;='IN-NX'!$Q$3,'IN-NX'!$D$7=D1682,OR(LEFT(L1682,2)="15",AND(LEFT(M1682,2)&lt;&gt;"15",LEFT(M1682,2)&lt;&gt;"33"))),"x","")</f>
        <v/>
      </c>
      <c r="X1682" s="51" t="str">
        <f>IF(AND(OR(LEFT(TH!L1682,2)="15",LEFT(TH!M1682,2)="15"),'152-CT'!$J$8=TH!F1682),"x","")</f>
        <v/>
      </c>
      <c r="Y1682" s="51" t="str">
        <f>IF(AND(OR(LEFT(TH!L1682,2)="15",LEFT(TH!M1682,2)="15"),TK!$E$7=TH!F1682),"x","")</f>
        <v/>
      </c>
      <c r="Z1682" s="51" t="str">
        <f>IF(AND(B1682&lt;=NKC!$N$8,B1682&gt;=NKC!$M$8),"x","")</f>
        <v/>
      </c>
      <c r="AA1682" s="803"/>
    </row>
    <row r="1683" spans="1:27" ht="15.75" customHeight="1">
      <c r="A1683" s="804" t="str">
        <f>IF(B1683&lt;&gt;"",IF(AND(B1683&gt;=_TM1,B1683&lt;=_TM2,OR(TH!L1683="1111",TH!M1683="1111")),TH!D1683,""),"")</f>
        <v/>
      </c>
      <c r="B1683" s="36">
        <f t="shared" si="113"/>
        <v>12</v>
      </c>
      <c r="C1683" s="189">
        <f t="shared" si="114"/>
        <v>42369</v>
      </c>
      <c r="D1683" s="830" t="s">
        <v>1285</v>
      </c>
      <c r="E1683" s="842">
        <v>42369</v>
      </c>
      <c r="F1683" s="836" t="s">
        <v>1162</v>
      </c>
      <c r="G1683" s="810" t="s">
        <v>702</v>
      </c>
      <c r="H1683" s="833" t="s">
        <v>1259</v>
      </c>
      <c r="I1683" s="241">
        <v>10</v>
      </c>
      <c r="J1683" s="241">
        <v>71080</v>
      </c>
      <c r="K1683" s="834">
        <f t="shared" si="112"/>
        <v>710800</v>
      </c>
      <c r="L1683" s="835" t="s">
        <v>162</v>
      </c>
      <c r="M1683" s="835" t="s">
        <v>417</v>
      </c>
      <c r="N1683" s="51" t="str">
        <f>IF(AND('331-CT'!$E$7=TH!H1683,OR(L1683="331",M1683="331")),"331",IF(AND(OR(L1683="131",M1683="131"),H1683='131-CT'!$E$7),"131",""))</f>
        <v/>
      </c>
      <c r="O1683" s="51" t="str">
        <f>IF(AND($B1683&gt;='111'!$N$11,$B1683&lt;='111'!$O$11,OR($L1683=$O$7,$M1683=$O$7)),"x","")</f>
        <v/>
      </c>
      <c r="P1683" s="51" t="str">
        <f>IF(AND($L1683=$O$7,$B1683&lt;'111'!$N$11),"x","")</f>
        <v/>
      </c>
      <c r="Q1683" s="51" t="str">
        <f>IF(AND($M1683=$O$7,$B1683&lt;'111'!$N$11),"x","")</f>
        <v/>
      </c>
      <c r="R1683" s="51" t="str">
        <f>IF(ISERROR(FIND('112'!$M$9,G1683,1)),"",IF((AND(FIND('112'!$M$9,G1683,1)&gt;=1,$B1683&gt;='112'!$N$8,$B1683&lt;='112'!$O$8,OR($L1683='112'!$I$6,$M1683='112'!$I$6))),"x",""))</f>
        <v/>
      </c>
      <c r="S1683" s="51" t="str">
        <f>IF(ISERROR(FIND('112'!$M$9,G1683,1)),"",IF((AND(LEFT(G1683,2)=LEFT('112'!$M$9,2),B1683&lt;'112'!$N$8,$L1683='112'!$I$6)),"x",""))</f>
        <v/>
      </c>
      <c r="T1683" s="51" t="str">
        <f>IF(ISERROR(FIND('112'!$M$9,G1683,1)),"",IF((AND(RIGHT(G1683,2)=RIGHT('112'!$M$9,2),B1683&lt;'112'!$N$8,$M1683='112'!$I$6)),"x",""))</f>
        <v/>
      </c>
      <c r="U1683" s="51" t="str">
        <f>IF(AND(L1683="154",'154'!$O$5&lt;=B1683,'154'!$P$5&gt;=B1683),"154",IF(AND(L1683="632",'632'!$L$5&lt;=B1683,'632'!$M$5&gt;=B1683),"632",IF(AND(L1683="642",'642'!$N$5&lt;=B1683,'642'!$O$5&gt;=B1683),"642",IF(AND(L1683="641",'641'!$N$5&lt;=B1683,'641'!$O$5&gt;=B1683),"641",""))))</f>
        <v/>
      </c>
      <c r="V1683" s="51" t="str">
        <f>IF(OR(TH!L1683=TH!$V$7,M1683=TH!$V$7),"x","")</f>
        <v/>
      </c>
      <c r="W1683" s="51" t="str">
        <f>IF(AND(B1683&gt;='IN-NX'!$P$3,B1683&lt;='IN-NX'!$Q$3,'IN-NX'!$D$7=D1683,OR(LEFT(L1683,2)="15",AND(LEFT(M1683,2)&lt;&gt;"15",LEFT(M1683,2)&lt;&gt;"33"))),"x","")</f>
        <v/>
      </c>
      <c r="X1683" s="51" t="str">
        <f>IF(AND(OR(LEFT(TH!L1683,2)="15",LEFT(TH!M1683,2)="15"),'152-CT'!$J$8=TH!F1683),"x","")</f>
        <v/>
      </c>
      <c r="Y1683" s="51" t="str">
        <f>IF(AND(OR(LEFT(TH!L1683,2)="15",LEFT(TH!M1683,2)="15"),TK!$E$7=TH!F1683),"x","")</f>
        <v/>
      </c>
      <c r="Z1683" s="51" t="str">
        <f>IF(AND(B1683&lt;=NKC!$N$8,B1683&gt;=NKC!$M$8),"x","")</f>
        <v/>
      </c>
      <c r="AA1683" s="803"/>
    </row>
    <row r="1684" spans="1:27" ht="15.75" customHeight="1">
      <c r="A1684" s="804" t="str">
        <f>IF(B1684&lt;&gt;"",IF(AND(B1684&gt;=_TM1,B1684&lt;=_TM2,OR(TH!L1684="1111",TH!M1684="1111")),TH!D1684,""),"")</f>
        <v/>
      </c>
      <c r="B1684" s="36">
        <f t="shared" si="113"/>
        <v>12</v>
      </c>
      <c r="C1684" s="189">
        <f t="shared" si="114"/>
        <v>42369</v>
      </c>
      <c r="D1684" s="830" t="s">
        <v>1285</v>
      </c>
      <c r="E1684" s="842">
        <v>42369</v>
      </c>
      <c r="F1684" s="48" t="s">
        <v>1170</v>
      </c>
      <c r="G1684" s="810" t="s">
        <v>702</v>
      </c>
      <c r="H1684" s="833" t="s">
        <v>1259</v>
      </c>
      <c r="I1684" s="241">
        <v>7</v>
      </c>
      <c r="J1684" s="241">
        <v>85340</v>
      </c>
      <c r="K1684" s="834">
        <f t="shared" si="112"/>
        <v>597380</v>
      </c>
      <c r="L1684" s="835" t="s">
        <v>162</v>
      </c>
      <c r="M1684" s="835" t="s">
        <v>417</v>
      </c>
      <c r="N1684" s="51" t="str">
        <f>IF(AND('331-CT'!$E$7=TH!H1684,OR(L1684="331",M1684="331")),"331",IF(AND(OR(L1684="131",M1684="131"),H1684='131-CT'!$E$7),"131",""))</f>
        <v/>
      </c>
      <c r="O1684" s="51" t="str">
        <f>IF(AND($B1684&gt;='111'!$N$11,$B1684&lt;='111'!$O$11,OR($L1684=$O$7,$M1684=$O$7)),"x","")</f>
        <v/>
      </c>
      <c r="P1684" s="51" t="str">
        <f>IF(AND($L1684=$O$7,$B1684&lt;'111'!$N$11),"x","")</f>
        <v/>
      </c>
      <c r="Q1684" s="51" t="str">
        <f>IF(AND($M1684=$O$7,$B1684&lt;'111'!$N$11),"x","")</f>
        <v/>
      </c>
      <c r="R1684" s="51" t="str">
        <f>IF(ISERROR(FIND('112'!$M$9,G1684,1)),"",IF((AND(FIND('112'!$M$9,G1684,1)&gt;=1,$B1684&gt;='112'!$N$8,$B1684&lt;='112'!$O$8,OR($L1684='112'!$I$6,$M1684='112'!$I$6))),"x",""))</f>
        <v/>
      </c>
      <c r="S1684" s="51" t="str">
        <f>IF(ISERROR(FIND('112'!$M$9,G1684,1)),"",IF((AND(LEFT(G1684,2)=LEFT('112'!$M$9,2),B1684&lt;'112'!$N$8,$L1684='112'!$I$6)),"x",""))</f>
        <v/>
      </c>
      <c r="T1684" s="51" t="str">
        <f>IF(ISERROR(FIND('112'!$M$9,G1684,1)),"",IF((AND(RIGHT(G1684,2)=RIGHT('112'!$M$9,2),B1684&lt;'112'!$N$8,$M1684='112'!$I$6)),"x",""))</f>
        <v/>
      </c>
      <c r="U1684" s="51" t="str">
        <f>IF(AND(L1684="154",'154'!$O$5&lt;=B1684,'154'!$P$5&gt;=B1684),"154",IF(AND(L1684="632",'632'!$L$5&lt;=B1684,'632'!$M$5&gt;=B1684),"632",IF(AND(L1684="642",'642'!$N$5&lt;=B1684,'642'!$O$5&gt;=B1684),"642",IF(AND(L1684="641",'641'!$N$5&lt;=B1684,'641'!$O$5&gt;=B1684),"641",""))))</f>
        <v/>
      </c>
      <c r="V1684" s="51" t="str">
        <f>IF(OR(TH!L1684=TH!$V$7,M1684=TH!$V$7),"x","")</f>
        <v/>
      </c>
      <c r="W1684" s="51" t="str">
        <f>IF(AND(B1684&gt;='IN-NX'!$P$3,B1684&lt;='IN-NX'!$Q$3,'IN-NX'!$D$7=D1684,OR(LEFT(L1684,2)="15",AND(LEFT(M1684,2)&lt;&gt;"15",LEFT(M1684,2)&lt;&gt;"33"))),"x","")</f>
        <v/>
      </c>
      <c r="X1684" s="51" t="str">
        <f>IF(AND(OR(LEFT(TH!L1684,2)="15",LEFT(TH!M1684,2)="15"),'152-CT'!$J$8=TH!F1684),"x","")</f>
        <v/>
      </c>
      <c r="Y1684" s="51" t="str">
        <f>IF(AND(OR(LEFT(TH!L1684,2)="15",LEFT(TH!M1684,2)="15"),TK!$E$7=TH!F1684),"x","")</f>
        <v/>
      </c>
      <c r="Z1684" s="51" t="str">
        <f>IF(AND(B1684&lt;=NKC!$N$8,B1684&gt;=NKC!$M$8),"x","")</f>
        <v/>
      </c>
      <c r="AA1684" s="803"/>
    </row>
    <row r="1685" spans="1:27" ht="15.75" customHeight="1">
      <c r="A1685" s="804" t="str">
        <f>IF(B1685&lt;&gt;"",IF(AND(B1685&gt;=_TM1,B1685&lt;=_TM2,OR(TH!L1685="1111",TH!M1685="1111")),TH!D1685,""),"")</f>
        <v/>
      </c>
      <c r="B1685" s="36">
        <f t="shared" si="113"/>
        <v>12</v>
      </c>
      <c r="C1685" s="189">
        <f t="shared" si="114"/>
        <v>42369</v>
      </c>
      <c r="D1685" s="830" t="s">
        <v>1285</v>
      </c>
      <c r="E1685" s="842">
        <v>42369</v>
      </c>
      <c r="F1685" s="836" t="s">
        <v>935</v>
      </c>
      <c r="G1685" s="810" t="s">
        <v>702</v>
      </c>
      <c r="H1685" s="833" t="s">
        <v>1259</v>
      </c>
      <c r="I1685" s="241">
        <v>30</v>
      </c>
      <c r="J1685" s="241">
        <v>29223</v>
      </c>
      <c r="K1685" s="834">
        <f t="shared" si="112"/>
        <v>876690</v>
      </c>
      <c r="L1685" s="835" t="s">
        <v>162</v>
      </c>
      <c r="M1685" s="835" t="s">
        <v>417</v>
      </c>
      <c r="N1685" s="51" t="str">
        <f>IF(AND('331-CT'!$E$7=TH!H1685,OR(L1685="331",M1685="331")),"331",IF(AND(OR(L1685="131",M1685="131"),H1685='131-CT'!$E$7),"131",""))</f>
        <v/>
      </c>
      <c r="O1685" s="51" t="str">
        <f>IF(AND($B1685&gt;='111'!$N$11,$B1685&lt;='111'!$O$11,OR($L1685=$O$7,$M1685=$O$7)),"x","")</f>
        <v/>
      </c>
      <c r="P1685" s="51" t="str">
        <f>IF(AND($L1685=$O$7,$B1685&lt;'111'!$N$11),"x","")</f>
        <v/>
      </c>
      <c r="Q1685" s="51" t="str">
        <f>IF(AND($M1685=$O$7,$B1685&lt;'111'!$N$11),"x","")</f>
        <v/>
      </c>
      <c r="R1685" s="51" t="str">
        <f>IF(ISERROR(FIND('112'!$M$9,G1685,1)),"",IF((AND(FIND('112'!$M$9,G1685,1)&gt;=1,$B1685&gt;='112'!$N$8,$B1685&lt;='112'!$O$8,OR($L1685='112'!$I$6,$M1685='112'!$I$6))),"x",""))</f>
        <v/>
      </c>
      <c r="S1685" s="51" t="str">
        <f>IF(ISERROR(FIND('112'!$M$9,G1685,1)),"",IF((AND(LEFT(G1685,2)=LEFT('112'!$M$9,2),B1685&lt;'112'!$N$8,$L1685='112'!$I$6)),"x",""))</f>
        <v/>
      </c>
      <c r="T1685" s="51" t="str">
        <f>IF(ISERROR(FIND('112'!$M$9,G1685,1)),"",IF((AND(RIGHT(G1685,2)=RIGHT('112'!$M$9,2),B1685&lt;'112'!$N$8,$M1685='112'!$I$6)),"x",""))</f>
        <v/>
      </c>
      <c r="U1685" s="51" t="str">
        <f>IF(AND(L1685="154",'154'!$O$5&lt;=B1685,'154'!$P$5&gt;=B1685),"154",IF(AND(L1685="632",'632'!$L$5&lt;=B1685,'632'!$M$5&gt;=B1685),"632",IF(AND(L1685="642",'642'!$N$5&lt;=B1685,'642'!$O$5&gt;=B1685),"642",IF(AND(L1685="641",'641'!$N$5&lt;=B1685,'641'!$O$5&gt;=B1685),"641",""))))</f>
        <v/>
      </c>
      <c r="V1685" s="51" t="str">
        <f>IF(OR(TH!L1685=TH!$V$7,M1685=TH!$V$7),"x","")</f>
        <v/>
      </c>
      <c r="W1685" s="51" t="str">
        <f>IF(AND(B1685&gt;='IN-NX'!$P$3,B1685&lt;='IN-NX'!$Q$3,'IN-NX'!$D$7=D1685,OR(LEFT(L1685,2)="15",AND(LEFT(M1685,2)&lt;&gt;"15",LEFT(M1685,2)&lt;&gt;"33"))),"x","")</f>
        <v/>
      </c>
      <c r="X1685" s="51" t="str">
        <f>IF(AND(OR(LEFT(TH!L1685,2)="15",LEFT(TH!M1685,2)="15"),'152-CT'!$J$8=TH!F1685),"x","")</f>
        <v/>
      </c>
      <c r="Y1685" s="51" t="str">
        <f>IF(AND(OR(LEFT(TH!L1685,2)="15",LEFT(TH!M1685,2)="15"),TK!$E$7=TH!F1685),"x","")</f>
        <v/>
      </c>
      <c r="Z1685" s="51" t="str">
        <f>IF(AND(B1685&lt;=NKC!$N$8,B1685&gt;=NKC!$M$8),"x","")</f>
        <v/>
      </c>
      <c r="AA1685" s="803"/>
    </row>
    <row r="1686" spans="1:27" ht="15.75" customHeight="1">
      <c r="A1686" s="804" t="str">
        <f>IF(B1686&lt;&gt;"",IF(AND(B1686&gt;=_TM1,B1686&lt;=_TM2,OR(TH!L1686="1111",TH!M1686="1111")),TH!D1686,""),"")</f>
        <v/>
      </c>
      <c r="B1686" s="36">
        <f t="shared" si="113"/>
        <v>12</v>
      </c>
      <c r="C1686" s="189">
        <f t="shared" si="114"/>
        <v>42369</v>
      </c>
      <c r="D1686" s="830" t="s">
        <v>1285</v>
      </c>
      <c r="E1686" s="842">
        <v>42369</v>
      </c>
      <c r="F1686" s="843" t="s">
        <v>933</v>
      </c>
      <c r="G1686" s="810" t="s">
        <v>702</v>
      </c>
      <c r="H1686" s="833" t="s">
        <v>1259</v>
      </c>
      <c r="I1686" s="241">
        <v>271</v>
      </c>
      <c r="J1686" s="241">
        <v>33332.62361623616</v>
      </c>
      <c r="K1686" s="834">
        <f t="shared" si="112"/>
        <v>9033141</v>
      </c>
      <c r="L1686" s="835" t="s">
        <v>162</v>
      </c>
      <c r="M1686" s="835" t="s">
        <v>417</v>
      </c>
      <c r="N1686" s="51" t="str">
        <f>IF(AND('331-CT'!$E$7=TH!H1686,OR(L1686="331",M1686="331")),"331",IF(AND(OR(L1686="131",M1686="131"),H1686='131-CT'!$E$7),"131",""))</f>
        <v/>
      </c>
      <c r="O1686" s="51" t="str">
        <f>IF(AND($B1686&gt;='111'!$N$11,$B1686&lt;='111'!$O$11,OR($L1686=$O$7,$M1686=$O$7)),"x","")</f>
        <v/>
      </c>
      <c r="P1686" s="51" t="str">
        <f>IF(AND($L1686=$O$7,$B1686&lt;'111'!$N$11),"x","")</f>
        <v/>
      </c>
      <c r="Q1686" s="51" t="str">
        <f>IF(AND($M1686=$O$7,$B1686&lt;'111'!$N$11),"x","")</f>
        <v/>
      </c>
      <c r="R1686" s="51" t="str">
        <f>IF(ISERROR(FIND('112'!$M$9,G1686,1)),"",IF((AND(FIND('112'!$M$9,G1686,1)&gt;=1,$B1686&gt;='112'!$N$8,$B1686&lt;='112'!$O$8,OR($L1686='112'!$I$6,$M1686='112'!$I$6))),"x",""))</f>
        <v/>
      </c>
      <c r="S1686" s="51" t="str">
        <f>IF(ISERROR(FIND('112'!$M$9,G1686,1)),"",IF((AND(LEFT(G1686,2)=LEFT('112'!$M$9,2),B1686&lt;'112'!$N$8,$L1686='112'!$I$6)),"x",""))</f>
        <v/>
      </c>
      <c r="T1686" s="51" t="str">
        <f>IF(ISERROR(FIND('112'!$M$9,G1686,1)),"",IF((AND(RIGHT(G1686,2)=RIGHT('112'!$M$9,2),B1686&lt;'112'!$N$8,$M1686='112'!$I$6)),"x",""))</f>
        <v/>
      </c>
      <c r="U1686" s="51" t="str">
        <f>IF(AND(L1686="154",'154'!$O$5&lt;=B1686,'154'!$P$5&gt;=B1686),"154",IF(AND(L1686="632",'632'!$L$5&lt;=B1686,'632'!$M$5&gt;=B1686),"632",IF(AND(L1686="642",'642'!$N$5&lt;=B1686,'642'!$O$5&gt;=B1686),"642",IF(AND(L1686="641",'641'!$N$5&lt;=B1686,'641'!$O$5&gt;=B1686),"641",""))))</f>
        <v/>
      </c>
      <c r="V1686" s="51" t="str">
        <f>IF(OR(TH!L1686=TH!$V$7,M1686=TH!$V$7),"x","")</f>
        <v/>
      </c>
      <c r="W1686" s="51" t="str">
        <f>IF(AND(B1686&gt;='IN-NX'!$P$3,B1686&lt;='IN-NX'!$Q$3,'IN-NX'!$D$7=D1686,OR(LEFT(L1686,2)="15",AND(LEFT(M1686,2)&lt;&gt;"15",LEFT(M1686,2)&lt;&gt;"33"))),"x","")</f>
        <v/>
      </c>
      <c r="X1686" s="51" t="str">
        <f>IF(AND(OR(LEFT(TH!L1686,2)="15",LEFT(TH!M1686,2)="15"),'152-CT'!$J$8=TH!F1686),"x","")</f>
        <v/>
      </c>
      <c r="Y1686" s="51" t="str">
        <f>IF(AND(OR(LEFT(TH!L1686,2)="15",LEFT(TH!M1686,2)="15"),TK!$E$7=TH!F1686),"x","")</f>
        <v/>
      </c>
      <c r="Z1686" s="51" t="str">
        <f>IF(AND(B1686&lt;=NKC!$N$8,B1686&gt;=NKC!$M$8),"x","")</f>
        <v/>
      </c>
      <c r="AA1686" s="803"/>
    </row>
    <row r="1687" spans="1:27" ht="15.75" customHeight="1">
      <c r="A1687" s="804" t="str">
        <f>IF(B1687&lt;&gt;"",IF(AND(B1687&gt;=_TM1,B1687&lt;=_TM2,OR(TH!L1687="1111",TH!M1687="1111")),TH!D1687,""),"")</f>
        <v/>
      </c>
      <c r="B1687" s="36">
        <f t="shared" si="113"/>
        <v>12</v>
      </c>
      <c r="C1687" s="189">
        <f t="shared" si="114"/>
        <v>42369</v>
      </c>
      <c r="D1687" s="830" t="s">
        <v>1285</v>
      </c>
      <c r="E1687" s="842">
        <v>42369</v>
      </c>
      <c r="F1687" s="843" t="s">
        <v>932</v>
      </c>
      <c r="G1687" s="810" t="s">
        <v>702</v>
      </c>
      <c r="H1687" s="833" t="s">
        <v>1259</v>
      </c>
      <c r="I1687" s="241">
        <v>133</v>
      </c>
      <c r="J1687" s="241">
        <v>69835</v>
      </c>
      <c r="K1687" s="834">
        <f t="shared" si="112"/>
        <v>9288055</v>
      </c>
      <c r="L1687" s="835" t="s">
        <v>162</v>
      </c>
      <c r="M1687" s="835" t="s">
        <v>417</v>
      </c>
      <c r="N1687" s="51" t="str">
        <f>IF(AND('331-CT'!$E$7=TH!H1687,OR(L1687="331",M1687="331")),"331",IF(AND(OR(L1687="131",M1687="131"),H1687='131-CT'!$E$7),"131",""))</f>
        <v/>
      </c>
      <c r="O1687" s="51" t="str">
        <f>IF(AND($B1687&gt;='111'!$N$11,$B1687&lt;='111'!$O$11,OR($L1687=$O$7,$M1687=$O$7)),"x","")</f>
        <v/>
      </c>
      <c r="P1687" s="51" t="str">
        <f>IF(AND($L1687=$O$7,$B1687&lt;'111'!$N$11),"x","")</f>
        <v/>
      </c>
      <c r="Q1687" s="51" t="str">
        <f>IF(AND($M1687=$O$7,$B1687&lt;'111'!$N$11),"x","")</f>
        <v/>
      </c>
      <c r="R1687" s="51" t="str">
        <f>IF(ISERROR(FIND('112'!$M$9,G1687,1)),"",IF((AND(FIND('112'!$M$9,G1687,1)&gt;=1,$B1687&gt;='112'!$N$8,$B1687&lt;='112'!$O$8,OR($L1687='112'!$I$6,$M1687='112'!$I$6))),"x",""))</f>
        <v/>
      </c>
      <c r="S1687" s="51" t="str">
        <f>IF(ISERROR(FIND('112'!$M$9,G1687,1)),"",IF((AND(LEFT(G1687,2)=LEFT('112'!$M$9,2),B1687&lt;'112'!$N$8,$L1687='112'!$I$6)),"x",""))</f>
        <v/>
      </c>
      <c r="T1687" s="51" t="str">
        <f>IF(ISERROR(FIND('112'!$M$9,G1687,1)),"",IF((AND(RIGHT(G1687,2)=RIGHT('112'!$M$9,2),B1687&lt;'112'!$N$8,$M1687='112'!$I$6)),"x",""))</f>
        <v/>
      </c>
      <c r="U1687" s="51" t="str">
        <f>IF(AND(L1687="154",'154'!$O$5&lt;=B1687,'154'!$P$5&gt;=B1687),"154",IF(AND(L1687="632",'632'!$L$5&lt;=B1687,'632'!$M$5&gt;=B1687),"632",IF(AND(L1687="642",'642'!$N$5&lt;=B1687,'642'!$O$5&gt;=B1687),"642",IF(AND(L1687="641",'641'!$N$5&lt;=B1687,'641'!$O$5&gt;=B1687),"641",""))))</f>
        <v/>
      </c>
      <c r="V1687" s="51" t="str">
        <f>IF(OR(TH!L1687=TH!$V$7,M1687=TH!$V$7),"x","")</f>
        <v/>
      </c>
      <c r="W1687" s="51" t="str">
        <f>IF(AND(B1687&gt;='IN-NX'!$P$3,B1687&lt;='IN-NX'!$Q$3,'IN-NX'!$D$7=D1687,OR(LEFT(L1687,2)="15",AND(LEFT(M1687,2)&lt;&gt;"15",LEFT(M1687,2)&lt;&gt;"33"))),"x","")</f>
        <v/>
      </c>
      <c r="X1687" s="51" t="str">
        <f>IF(AND(OR(LEFT(TH!L1687,2)="15",LEFT(TH!M1687,2)="15"),'152-CT'!$J$8=TH!F1687),"x","")</f>
        <v/>
      </c>
      <c r="Y1687" s="51" t="str">
        <f>IF(AND(OR(LEFT(TH!L1687,2)="15",LEFT(TH!M1687,2)="15"),TK!$E$7=TH!F1687),"x","")</f>
        <v/>
      </c>
      <c r="Z1687" s="51" t="str">
        <f>IF(AND(B1687&lt;=NKC!$N$8,B1687&gt;=NKC!$M$8),"x","")</f>
        <v/>
      </c>
      <c r="AA1687" s="803"/>
    </row>
    <row r="1688" spans="1:27" ht="15.75" customHeight="1">
      <c r="A1688" s="804" t="str">
        <f>IF(B1688&lt;&gt;"",IF(AND(B1688&gt;=_TM1,B1688&lt;=_TM2,OR(TH!L1688="1111",TH!M1688="1111")),TH!D1688,""),"")</f>
        <v/>
      </c>
      <c r="B1688" s="36">
        <f t="shared" si="113"/>
        <v>12</v>
      </c>
      <c r="C1688" s="189">
        <f t="shared" si="114"/>
        <v>42369</v>
      </c>
      <c r="D1688" s="830" t="s">
        <v>1285</v>
      </c>
      <c r="E1688" s="842">
        <v>42369</v>
      </c>
      <c r="F1688" s="836" t="s">
        <v>934</v>
      </c>
      <c r="G1688" s="810" t="s">
        <v>702</v>
      </c>
      <c r="H1688" s="833" t="s">
        <v>1259</v>
      </c>
      <c r="I1688" s="844">
        <v>647</v>
      </c>
      <c r="J1688" s="241">
        <v>12532</v>
      </c>
      <c r="K1688" s="834">
        <f t="shared" si="112"/>
        <v>8108204</v>
      </c>
      <c r="L1688" s="835" t="s">
        <v>162</v>
      </c>
      <c r="M1688" s="835" t="s">
        <v>417</v>
      </c>
      <c r="N1688" s="51" t="str">
        <f>IF(AND('331-CT'!$E$7=TH!H1688,OR(L1688="331",M1688="331")),"331",IF(AND(OR(L1688="131",M1688="131"),H1688='131-CT'!$E$7),"131",""))</f>
        <v/>
      </c>
      <c r="O1688" s="51" t="str">
        <f>IF(AND($B1688&gt;='111'!$N$11,$B1688&lt;='111'!$O$11,OR($L1688=$O$7,$M1688=$O$7)),"x","")</f>
        <v/>
      </c>
      <c r="P1688" s="51" t="str">
        <f>IF(AND($L1688=$O$7,$B1688&lt;'111'!$N$11),"x","")</f>
        <v/>
      </c>
      <c r="Q1688" s="51" t="str">
        <f>IF(AND($M1688=$O$7,$B1688&lt;'111'!$N$11),"x","")</f>
        <v/>
      </c>
      <c r="R1688" s="51" t="str">
        <f>IF(ISERROR(FIND('112'!$M$9,G1688,1)),"",IF((AND(FIND('112'!$M$9,G1688,1)&gt;=1,$B1688&gt;='112'!$N$8,$B1688&lt;='112'!$O$8,OR($L1688='112'!$I$6,$M1688='112'!$I$6))),"x",""))</f>
        <v/>
      </c>
      <c r="S1688" s="51" t="str">
        <f>IF(ISERROR(FIND('112'!$M$9,G1688,1)),"",IF((AND(LEFT(G1688,2)=LEFT('112'!$M$9,2),B1688&lt;'112'!$N$8,$L1688='112'!$I$6)),"x",""))</f>
        <v/>
      </c>
      <c r="T1688" s="51" t="str">
        <f>IF(ISERROR(FIND('112'!$M$9,G1688,1)),"",IF((AND(RIGHT(G1688,2)=RIGHT('112'!$M$9,2),B1688&lt;'112'!$N$8,$M1688='112'!$I$6)),"x",""))</f>
        <v/>
      </c>
      <c r="U1688" s="51" t="str">
        <f>IF(AND(L1688="154",'154'!$O$5&lt;=B1688,'154'!$P$5&gt;=B1688),"154",IF(AND(L1688="632",'632'!$L$5&lt;=B1688,'632'!$M$5&gt;=B1688),"632",IF(AND(L1688="642",'642'!$N$5&lt;=B1688,'642'!$O$5&gt;=B1688),"642",IF(AND(L1688="641",'641'!$N$5&lt;=B1688,'641'!$O$5&gt;=B1688),"641",""))))</f>
        <v/>
      </c>
      <c r="V1688" s="51" t="str">
        <f>IF(OR(TH!L1688=TH!$V$7,M1688=TH!$V$7),"x","")</f>
        <v/>
      </c>
      <c r="W1688" s="51" t="str">
        <f>IF(AND(B1688&gt;='IN-NX'!$P$3,B1688&lt;='IN-NX'!$Q$3,'IN-NX'!$D$7=D1688,OR(LEFT(L1688,2)="15",AND(LEFT(M1688,2)&lt;&gt;"15",LEFT(M1688,2)&lt;&gt;"33"))),"x","")</f>
        <v/>
      </c>
      <c r="X1688" s="51" t="str">
        <f>IF(AND(OR(LEFT(TH!L1688,2)="15",LEFT(TH!M1688,2)="15"),'152-CT'!$J$8=TH!F1688),"x","")</f>
        <v/>
      </c>
      <c r="Y1688" s="51" t="str">
        <f>IF(AND(OR(LEFT(TH!L1688,2)="15",LEFT(TH!M1688,2)="15"),TK!$E$7=TH!F1688),"x","")</f>
        <v/>
      </c>
      <c r="Z1688" s="51" t="str">
        <f>IF(AND(B1688&lt;=NKC!$N$8,B1688&gt;=NKC!$M$8),"x","")</f>
        <v/>
      </c>
      <c r="AA1688" s="803"/>
    </row>
    <row r="1689" spans="1:27" ht="15.75" customHeight="1">
      <c r="A1689" s="804" t="str">
        <f>IF(B1689&lt;&gt;"",IF(AND(B1689&gt;=_TM1,B1689&lt;=_TM2,OR(TH!L1689="1111",TH!M1689="1111")),TH!D1689,""),"")</f>
        <v/>
      </c>
      <c r="B1689" s="36">
        <f t="shared" si="113"/>
        <v>12</v>
      </c>
      <c r="C1689" s="189">
        <f t="shared" si="114"/>
        <v>42369</v>
      </c>
      <c r="D1689" s="830" t="s">
        <v>1285</v>
      </c>
      <c r="E1689" s="842">
        <v>42369</v>
      </c>
      <c r="F1689" s="836" t="s">
        <v>952</v>
      </c>
      <c r="G1689" s="810" t="s">
        <v>702</v>
      </c>
      <c r="H1689" s="833" t="s">
        <v>1259</v>
      </c>
      <c r="I1689" s="241">
        <v>1500</v>
      </c>
      <c r="J1689" s="241">
        <v>11831</v>
      </c>
      <c r="K1689" s="834">
        <f t="shared" si="112"/>
        <v>17746500</v>
      </c>
      <c r="L1689" s="835" t="s">
        <v>162</v>
      </c>
      <c r="M1689" s="835" t="s">
        <v>417</v>
      </c>
      <c r="N1689" s="51" t="str">
        <f>IF(AND('331-CT'!$E$7=TH!H1689,OR(L1689="331",M1689="331")),"331",IF(AND(OR(L1689="131",M1689="131"),H1689='131-CT'!$E$7),"131",""))</f>
        <v/>
      </c>
      <c r="O1689" s="51" t="str">
        <f>IF(AND($B1689&gt;='111'!$N$11,$B1689&lt;='111'!$O$11,OR($L1689=$O$7,$M1689=$O$7)),"x","")</f>
        <v/>
      </c>
      <c r="P1689" s="51" t="str">
        <f>IF(AND($L1689=$O$7,$B1689&lt;'111'!$N$11),"x","")</f>
        <v/>
      </c>
      <c r="Q1689" s="51" t="str">
        <f>IF(AND($M1689=$O$7,$B1689&lt;'111'!$N$11),"x","")</f>
        <v/>
      </c>
      <c r="R1689" s="51" t="str">
        <f>IF(ISERROR(FIND('112'!$M$9,G1689,1)),"",IF((AND(FIND('112'!$M$9,G1689,1)&gt;=1,$B1689&gt;='112'!$N$8,$B1689&lt;='112'!$O$8,OR($L1689='112'!$I$6,$M1689='112'!$I$6))),"x",""))</f>
        <v/>
      </c>
      <c r="S1689" s="51" t="str">
        <f>IF(ISERROR(FIND('112'!$M$9,G1689,1)),"",IF((AND(LEFT(G1689,2)=LEFT('112'!$M$9,2),B1689&lt;'112'!$N$8,$L1689='112'!$I$6)),"x",""))</f>
        <v/>
      </c>
      <c r="T1689" s="51" t="str">
        <f>IF(ISERROR(FIND('112'!$M$9,G1689,1)),"",IF((AND(RIGHT(G1689,2)=RIGHT('112'!$M$9,2),B1689&lt;'112'!$N$8,$M1689='112'!$I$6)),"x",""))</f>
        <v/>
      </c>
      <c r="U1689" s="51" t="str">
        <f>IF(AND(L1689="154",'154'!$O$5&lt;=B1689,'154'!$P$5&gt;=B1689),"154",IF(AND(L1689="632",'632'!$L$5&lt;=B1689,'632'!$M$5&gt;=B1689),"632",IF(AND(L1689="642",'642'!$N$5&lt;=B1689,'642'!$O$5&gt;=B1689),"642",IF(AND(L1689="641",'641'!$N$5&lt;=B1689,'641'!$O$5&gt;=B1689),"641",""))))</f>
        <v/>
      </c>
      <c r="V1689" s="51" t="str">
        <f>IF(OR(TH!L1689=TH!$V$7,M1689=TH!$V$7),"x","")</f>
        <v/>
      </c>
      <c r="W1689" s="51" t="str">
        <f>IF(AND(B1689&gt;='IN-NX'!$P$3,B1689&lt;='IN-NX'!$Q$3,'IN-NX'!$D$7=D1689,OR(LEFT(L1689,2)="15",AND(LEFT(M1689,2)&lt;&gt;"15",LEFT(M1689,2)&lt;&gt;"33"))),"x","")</f>
        <v/>
      </c>
      <c r="X1689" s="51" t="str">
        <f>IF(AND(OR(LEFT(TH!L1689,2)="15",LEFT(TH!M1689,2)="15"),'152-CT'!$J$8=TH!F1689),"x","")</f>
        <v/>
      </c>
      <c r="Y1689" s="51" t="str">
        <f>IF(AND(OR(LEFT(TH!L1689,2)="15",LEFT(TH!M1689,2)="15"),TK!$E$7=TH!F1689),"x","")</f>
        <v/>
      </c>
      <c r="Z1689" s="51" t="str">
        <f>IF(AND(B1689&lt;=NKC!$N$8,B1689&gt;=NKC!$M$8),"x","")</f>
        <v/>
      </c>
      <c r="AA1689" s="803"/>
    </row>
    <row r="1690" spans="1:27" ht="15.75" customHeight="1">
      <c r="A1690" s="804" t="str">
        <f>IF(B1690&lt;&gt;"",IF(AND(B1690&gt;=_TM1,B1690&lt;=_TM2,OR(TH!L1690="1111",TH!M1690="1111")),TH!D1690,""),"")</f>
        <v/>
      </c>
      <c r="B1690" s="36">
        <f t="shared" si="113"/>
        <v>12</v>
      </c>
      <c r="C1690" s="189">
        <f t="shared" si="114"/>
        <v>42369</v>
      </c>
      <c r="D1690" s="830" t="s">
        <v>1285</v>
      </c>
      <c r="E1690" s="842">
        <v>42369</v>
      </c>
      <c r="F1690" s="836" t="s">
        <v>937</v>
      </c>
      <c r="G1690" s="810" t="s">
        <v>702</v>
      </c>
      <c r="H1690" s="833" t="s">
        <v>1259</v>
      </c>
      <c r="I1690" s="844">
        <v>60</v>
      </c>
      <c r="J1690" s="241">
        <v>14841</v>
      </c>
      <c r="K1690" s="834">
        <f t="shared" si="112"/>
        <v>890460</v>
      </c>
      <c r="L1690" s="835" t="s">
        <v>162</v>
      </c>
      <c r="M1690" s="835" t="s">
        <v>417</v>
      </c>
      <c r="N1690" s="51" t="str">
        <f>IF(AND('331-CT'!$E$7=TH!H1690,OR(L1690="331",M1690="331")),"331",IF(AND(OR(L1690="131",M1690="131"),H1690='131-CT'!$E$7),"131",""))</f>
        <v/>
      </c>
      <c r="O1690" s="51" t="str">
        <f>IF(AND($B1690&gt;='111'!$N$11,$B1690&lt;='111'!$O$11,OR($L1690=$O$7,$M1690=$O$7)),"x","")</f>
        <v/>
      </c>
      <c r="P1690" s="51" t="str">
        <f>IF(AND($L1690=$O$7,$B1690&lt;'111'!$N$11),"x","")</f>
        <v/>
      </c>
      <c r="Q1690" s="51" t="str">
        <f>IF(AND($M1690=$O$7,$B1690&lt;'111'!$N$11),"x","")</f>
        <v/>
      </c>
      <c r="R1690" s="51" t="str">
        <f>IF(ISERROR(FIND('112'!$M$9,G1690,1)),"",IF((AND(FIND('112'!$M$9,G1690,1)&gt;=1,$B1690&gt;='112'!$N$8,$B1690&lt;='112'!$O$8,OR($L1690='112'!$I$6,$M1690='112'!$I$6))),"x",""))</f>
        <v/>
      </c>
      <c r="S1690" s="51" t="str">
        <f>IF(ISERROR(FIND('112'!$M$9,G1690,1)),"",IF((AND(LEFT(G1690,2)=LEFT('112'!$M$9,2),B1690&lt;'112'!$N$8,$L1690='112'!$I$6)),"x",""))</f>
        <v/>
      </c>
      <c r="T1690" s="51" t="str">
        <f>IF(ISERROR(FIND('112'!$M$9,G1690,1)),"",IF((AND(RIGHT(G1690,2)=RIGHT('112'!$M$9,2),B1690&lt;'112'!$N$8,$M1690='112'!$I$6)),"x",""))</f>
        <v/>
      </c>
      <c r="U1690" s="51" t="str">
        <f>IF(AND(L1690="154",'154'!$O$5&lt;=B1690,'154'!$P$5&gt;=B1690),"154",IF(AND(L1690="632",'632'!$L$5&lt;=B1690,'632'!$M$5&gt;=B1690),"632",IF(AND(L1690="642",'642'!$N$5&lt;=B1690,'642'!$O$5&gt;=B1690),"642",IF(AND(L1690="641",'641'!$N$5&lt;=B1690,'641'!$O$5&gt;=B1690),"641",""))))</f>
        <v/>
      </c>
      <c r="V1690" s="51" t="str">
        <f>IF(OR(TH!L1690=TH!$V$7,M1690=TH!$V$7),"x","")</f>
        <v/>
      </c>
      <c r="W1690" s="51" t="str">
        <f>IF(AND(B1690&gt;='IN-NX'!$P$3,B1690&lt;='IN-NX'!$Q$3,'IN-NX'!$D$7=D1690,OR(LEFT(L1690,2)="15",AND(LEFT(M1690,2)&lt;&gt;"15",LEFT(M1690,2)&lt;&gt;"33"))),"x","")</f>
        <v/>
      </c>
      <c r="X1690" s="51" t="str">
        <f>IF(AND(OR(LEFT(TH!L1690,2)="15",LEFT(TH!M1690,2)="15"),'152-CT'!$J$8=TH!F1690),"x","")</f>
        <v/>
      </c>
      <c r="Y1690" s="51" t="str">
        <f>IF(AND(OR(LEFT(TH!L1690,2)="15",LEFT(TH!M1690,2)="15"),TK!$E$7=TH!F1690),"x","")</f>
        <v/>
      </c>
      <c r="Z1690" s="51" t="str">
        <f>IF(AND(B1690&lt;=NKC!$N$8,B1690&gt;=NKC!$M$8),"x","")</f>
        <v/>
      </c>
      <c r="AA1690" s="803"/>
    </row>
    <row r="1691" spans="1:27" ht="15.75" customHeight="1">
      <c r="A1691" s="804" t="str">
        <f>IF(B1691&lt;&gt;"",IF(AND(B1691&gt;=_TM1,B1691&lt;=_TM2,OR(TH!L1691="1111",TH!M1691="1111")),TH!D1691,""),"")</f>
        <v/>
      </c>
      <c r="B1691" s="36">
        <f t="shared" si="113"/>
        <v>12</v>
      </c>
      <c r="C1691" s="189">
        <f t="shared" si="114"/>
        <v>42369</v>
      </c>
      <c r="D1691" s="830" t="s">
        <v>1285</v>
      </c>
      <c r="E1691" s="830">
        <v>42369</v>
      </c>
      <c r="F1691" s="831" t="s">
        <v>938</v>
      </c>
      <c r="G1691" s="832" t="s">
        <v>702</v>
      </c>
      <c r="H1691" s="833" t="s">
        <v>1259</v>
      </c>
      <c r="I1691" s="850">
        <v>60</v>
      </c>
      <c r="J1691" s="850">
        <v>17460</v>
      </c>
      <c r="K1691" s="834">
        <f t="shared" si="112"/>
        <v>1047600</v>
      </c>
      <c r="L1691" s="835" t="s">
        <v>162</v>
      </c>
      <c r="M1691" s="835" t="s">
        <v>417</v>
      </c>
      <c r="N1691" s="51" t="str">
        <f>IF(AND('331-CT'!$E$7=TH!H1691,OR(L1691="331",M1691="331")),"331",IF(AND(OR(L1691="131",M1691="131"),H1691='131-CT'!$E$7),"131",""))</f>
        <v/>
      </c>
      <c r="O1691" s="51" t="str">
        <f>IF(AND($B1691&gt;='111'!$N$11,$B1691&lt;='111'!$O$11,OR($L1691=$O$7,$M1691=$O$7)),"x","")</f>
        <v/>
      </c>
      <c r="P1691" s="51" t="str">
        <f>IF(AND($L1691=$O$7,$B1691&lt;'111'!$N$11),"x","")</f>
        <v/>
      </c>
      <c r="Q1691" s="51" t="str">
        <f>IF(AND($M1691=$O$7,$B1691&lt;'111'!$N$11),"x","")</f>
        <v/>
      </c>
      <c r="R1691" s="51" t="str">
        <f>IF(ISERROR(FIND('112'!$M$9,G1691,1)),"",IF((AND(FIND('112'!$M$9,G1691,1)&gt;=1,$B1691&gt;='112'!$N$8,$B1691&lt;='112'!$O$8,OR($L1691='112'!$I$6,$M1691='112'!$I$6))),"x",""))</f>
        <v/>
      </c>
      <c r="S1691" s="51" t="str">
        <f>IF(ISERROR(FIND('112'!$M$9,G1691,1)),"",IF((AND(LEFT(G1691,2)=LEFT('112'!$M$9,2),B1691&lt;'112'!$N$8,$L1691='112'!$I$6)),"x",""))</f>
        <v/>
      </c>
      <c r="T1691" s="51" t="str">
        <f>IF(ISERROR(FIND('112'!$M$9,G1691,1)),"",IF((AND(RIGHT(G1691,2)=RIGHT('112'!$M$9,2),B1691&lt;'112'!$N$8,$M1691='112'!$I$6)),"x",""))</f>
        <v/>
      </c>
      <c r="U1691" s="51" t="str">
        <f>IF(AND(L1691="154",'154'!$O$5&lt;=B1691,'154'!$P$5&gt;=B1691),"154",IF(AND(L1691="632",'632'!$L$5&lt;=B1691,'632'!$M$5&gt;=B1691),"632",IF(AND(L1691="642",'642'!$N$5&lt;=B1691,'642'!$O$5&gt;=B1691),"642",IF(AND(L1691="641",'641'!$N$5&lt;=B1691,'641'!$O$5&gt;=B1691),"641",""))))</f>
        <v/>
      </c>
      <c r="V1691" s="51" t="str">
        <f>IF(OR(TH!L1691=TH!$V$7,M1691=TH!$V$7),"x","")</f>
        <v/>
      </c>
      <c r="W1691" s="51" t="str">
        <f>IF(AND(B1691&gt;='IN-NX'!$P$3,B1691&lt;='IN-NX'!$Q$3,'IN-NX'!$D$7=D1691,OR(LEFT(L1691,2)="15",AND(LEFT(M1691,2)&lt;&gt;"15",LEFT(M1691,2)&lt;&gt;"33"))),"x","")</f>
        <v/>
      </c>
      <c r="X1691" s="51" t="str">
        <f>IF(AND(OR(LEFT(TH!L1691,2)="15",LEFT(TH!M1691,2)="15"),'152-CT'!$J$8=TH!F1691),"x","")</f>
        <v/>
      </c>
      <c r="Y1691" s="51" t="str">
        <f>IF(AND(OR(LEFT(TH!L1691,2)="15",LEFT(TH!M1691,2)="15"),TK!$E$7=TH!F1691),"x","")</f>
        <v/>
      </c>
      <c r="Z1691" s="51" t="str">
        <f>IF(AND(B1691&lt;=NKC!$N$8,B1691&gt;=NKC!$M$8),"x","")</f>
        <v/>
      </c>
      <c r="AA1691" s="803"/>
    </row>
    <row r="1692" spans="1:27" ht="15.75" customHeight="1">
      <c r="A1692" s="804" t="str">
        <f>IF(B1692&lt;&gt;"",IF(AND(B1692&gt;=_TM1,B1692&lt;=_TM2,OR(TH!L1692="1111",TH!M1692="1111")),TH!D1692,""),"")</f>
        <v/>
      </c>
      <c r="B1692" s="36">
        <f t="shared" si="113"/>
        <v>12</v>
      </c>
      <c r="C1692" s="189">
        <f t="shared" si="114"/>
        <v>42369</v>
      </c>
      <c r="D1692" s="830" t="s">
        <v>1285</v>
      </c>
      <c r="E1692" s="830">
        <v>42369</v>
      </c>
      <c r="F1692" s="831" t="s">
        <v>909</v>
      </c>
      <c r="G1692" s="832" t="s">
        <v>702</v>
      </c>
      <c r="H1692" s="833" t="s">
        <v>1259</v>
      </c>
      <c r="I1692" s="241">
        <v>40</v>
      </c>
      <c r="J1692" s="241">
        <v>21186</v>
      </c>
      <c r="K1692" s="834">
        <f t="shared" si="112"/>
        <v>847440</v>
      </c>
      <c r="L1692" s="835" t="s">
        <v>162</v>
      </c>
      <c r="M1692" s="835" t="s">
        <v>417</v>
      </c>
      <c r="N1692" s="51" t="str">
        <f>IF(AND('331-CT'!$E$7=TH!H1692,OR(L1692="331",M1692="331")),"331",IF(AND(OR(L1692="131",M1692="131"),H1692='131-CT'!$E$7),"131",""))</f>
        <v/>
      </c>
      <c r="O1692" s="51" t="str">
        <f>IF(AND($B1692&gt;='111'!$N$11,$B1692&lt;='111'!$O$11,OR($L1692=$O$7,$M1692=$O$7)),"x","")</f>
        <v/>
      </c>
      <c r="P1692" s="51" t="str">
        <f>IF(AND($L1692=$O$7,$B1692&lt;'111'!$N$11),"x","")</f>
        <v/>
      </c>
      <c r="Q1692" s="51" t="str">
        <f>IF(AND($M1692=$O$7,$B1692&lt;'111'!$N$11),"x","")</f>
        <v/>
      </c>
      <c r="R1692" s="51" t="str">
        <f>IF(ISERROR(FIND('112'!$M$9,G1692,1)),"",IF((AND(FIND('112'!$M$9,G1692,1)&gt;=1,$B1692&gt;='112'!$N$8,$B1692&lt;='112'!$O$8,OR($L1692='112'!$I$6,$M1692='112'!$I$6))),"x",""))</f>
        <v/>
      </c>
      <c r="S1692" s="51" t="str">
        <f>IF(ISERROR(FIND('112'!$M$9,G1692,1)),"",IF((AND(LEFT(G1692,2)=LEFT('112'!$M$9,2),B1692&lt;'112'!$N$8,$L1692='112'!$I$6)),"x",""))</f>
        <v/>
      </c>
      <c r="T1692" s="51" t="str">
        <f>IF(ISERROR(FIND('112'!$M$9,G1692,1)),"",IF((AND(RIGHT(G1692,2)=RIGHT('112'!$M$9,2),B1692&lt;'112'!$N$8,$M1692='112'!$I$6)),"x",""))</f>
        <v/>
      </c>
      <c r="U1692" s="51" t="str">
        <f>IF(AND(L1692="154",'154'!$O$5&lt;=B1692,'154'!$P$5&gt;=B1692),"154",IF(AND(L1692="632",'632'!$L$5&lt;=B1692,'632'!$M$5&gt;=B1692),"632",IF(AND(L1692="642",'642'!$N$5&lt;=B1692,'642'!$O$5&gt;=B1692),"642",IF(AND(L1692="641",'641'!$N$5&lt;=B1692,'641'!$O$5&gt;=B1692),"641",""))))</f>
        <v/>
      </c>
      <c r="V1692" s="51" t="str">
        <f>IF(OR(TH!L1692=TH!$V$7,M1692=TH!$V$7),"x","")</f>
        <v/>
      </c>
      <c r="W1692" s="51" t="str">
        <f>IF(AND(B1692&gt;='IN-NX'!$P$3,B1692&lt;='IN-NX'!$Q$3,'IN-NX'!$D$7=D1692,OR(LEFT(L1692,2)="15",AND(LEFT(M1692,2)&lt;&gt;"15",LEFT(M1692,2)&lt;&gt;"33"))),"x","")</f>
        <v/>
      </c>
      <c r="X1692" s="51" t="str">
        <f>IF(AND(OR(LEFT(TH!L1692,2)="15",LEFT(TH!M1692,2)="15"),'152-CT'!$J$8=TH!F1692),"x","")</f>
        <v/>
      </c>
      <c r="Y1692" s="51" t="str">
        <f>IF(AND(OR(LEFT(TH!L1692,2)="15",LEFT(TH!M1692,2)="15"),TK!$E$7=TH!F1692),"x","")</f>
        <v/>
      </c>
      <c r="Z1692" s="51" t="str">
        <f>IF(AND(B1692&lt;=NKC!$N$8,B1692&gt;=NKC!$M$8),"x","")</f>
        <v/>
      </c>
      <c r="AA1692" s="803"/>
    </row>
    <row r="1693" spans="1:27" ht="15.75" customHeight="1">
      <c r="A1693" s="804" t="str">
        <f>IF(B1693&lt;&gt;"",IF(AND(B1693&gt;=_TM1,B1693&lt;=_TM2,OR(TH!L1693="1111",TH!M1693="1111")),TH!D1693,""),"")</f>
        <v/>
      </c>
      <c r="B1693" s="36">
        <f t="shared" si="113"/>
        <v>12</v>
      </c>
      <c r="C1693" s="189">
        <f t="shared" si="114"/>
        <v>42369</v>
      </c>
      <c r="D1693" s="830" t="s">
        <v>1285</v>
      </c>
      <c r="E1693" s="830">
        <v>42369</v>
      </c>
      <c r="F1693" s="836" t="s">
        <v>939</v>
      </c>
      <c r="G1693" s="832" t="s">
        <v>702</v>
      </c>
      <c r="H1693" s="833" t="s">
        <v>1259</v>
      </c>
      <c r="I1693" s="241">
        <v>60</v>
      </c>
      <c r="J1693" s="241">
        <v>21960</v>
      </c>
      <c r="K1693" s="834">
        <f t="shared" si="112"/>
        <v>1317600</v>
      </c>
      <c r="L1693" s="835" t="s">
        <v>162</v>
      </c>
      <c r="M1693" s="835" t="s">
        <v>417</v>
      </c>
      <c r="N1693" s="51" t="str">
        <f>IF(AND('331-CT'!$E$7=TH!H1693,OR(L1693="331",M1693="331")),"331",IF(AND(OR(L1693="131",M1693="131"),H1693='131-CT'!$E$7),"131",""))</f>
        <v/>
      </c>
      <c r="O1693" s="51" t="str">
        <f>IF(AND($B1693&gt;='111'!$N$11,$B1693&lt;='111'!$O$11,OR($L1693=$O$7,$M1693=$O$7)),"x","")</f>
        <v/>
      </c>
      <c r="P1693" s="51" t="str">
        <f>IF(AND($L1693=$O$7,$B1693&lt;'111'!$N$11),"x","")</f>
        <v/>
      </c>
      <c r="Q1693" s="51" t="str">
        <f>IF(AND($M1693=$O$7,$B1693&lt;'111'!$N$11),"x","")</f>
        <v/>
      </c>
      <c r="R1693" s="51" t="str">
        <f>IF(ISERROR(FIND('112'!$M$9,G1693,1)),"",IF((AND(FIND('112'!$M$9,G1693,1)&gt;=1,$B1693&gt;='112'!$N$8,$B1693&lt;='112'!$O$8,OR($L1693='112'!$I$6,$M1693='112'!$I$6))),"x",""))</f>
        <v/>
      </c>
      <c r="S1693" s="51" t="str">
        <f>IF(ISERROR(FIND('112'!$M$9,G1693,1)),"",IF((AND(LEFT(G1693,2)=LEFT('112'!$M$9,2),B1693&lt;'112'!$N$8,$L1693='112'!$I$6)),"x",""))</f>
        <v/>
      </c>
      <c r="T1693" s="51" t="str">
        <f>IF(ISERROR(FIND('112'!$M$9,G1693,1)),"",IF((AND(RIGHT(G1693,2)=RIGHT('112'!$M$9,2),B1693&lt;'112'!$N$8,$M1693='112'!$I$6)),"x",""))</f>
        <v/>
      </c>
      <c r="U1693" s="51" t="str">
        <f>IF(AND(L1693="154",'154'!$O$5&lt;=B1693,'154'!$P$5&gt;=B1693),"154",IF(AND(L1693="632",'632'!$L$5&lt;=B1693,'632'!$M$5&gt;=B1693),"632",IF(AND(L1693="642",'642'!$N$5&lt;=B1693,'642'!$O$5&gt;=B1693),"642",IF(AND(L1693="641",'641'!$N$5&lt;=B1693,'641'!$O$5&gt;=B1693),"641",""))))</f>
        <v/>
      </c>
      <c r="V1693" s="51" t="str">
        <f>IF(OR(TH!L1693=TH!$V$7,M1693=TH!$V$7),"x","")</f>
        <v/>
      </c>
      <c r="W1693" s="51" t="str">
        <f>IF(AND(B1693&gt;='IN-NX'!$P$3,B1693&lt;='IN-NX'!$Q$3,'IN-NX'!$D$7=D1693,OR(LEFT(L1693,2)="15",AND(LEFT(M1693,2)&lt;&gt;"15",LEFT(M1693,2)&lt;&gt;"33"))),"x","")</f>
        <v/>
      </c>
      <c r="X1693" s="51" t="str">
        <f>IF(AND(OR(LEFT(TH!L1693,2)="15",LEFT(TH!M1693,2)="15"),'152-CT'!$J$8=TH!F1693),"x","")</f>
        <v/>
      </c>
      <c r="Y1693" s="51" t="str">
        <f>IF(AND(OR(LEFT(TH!L1693,2)="15",LEFT(TH!M1693,2)="15"),TK!$E$7=TH!F1693),"x","")</f>
        <v/>
      </c>
      <c r="Z1693" s="51" t="str">
        <f>IF(AND(B1693&lt;=NKC!$N$8,B1693&gt;=NKC!$M$8),"x","")</f>
        <v/>
      </c>
      <c r="AA1693" s="803"/>
    </row>
    <row r="1694" spans="1:27" ht="15.75" customHeight="1">
      <c r="A1694" s="804" t="str">
        <f>IF(B1694&lt;&gt;"",IF(AND(B1694&gt;=_TM1,B1694&lt;=_TM2,OR(TH!L1694="1111",TH!M1694="1111")),TH!D1694,""),"")</f>
        <v/>
      </c>
      <c r="B1694" s="36">
        <f t="shared" si="113"/>
        <v>12</v>
      </c>
      <c r="C1694" s="189">
        <f t="shared" si="114"/>
        <v>42369</v>
      </c>
      <c r="D1694" s="830" t="s">
        <v>1285</v>
      </c>
      <c r="E1694" s="830">
        <v>42369</v>
      </c>
      <c r="F1694" s="836" t="s">
        <v>956</v>
      </c>
      <c r="G1694" s="832" t="s">
        <v>702</v>
      </c>
      <c r="H1694" s="833" t="s">
        <v>1259</v>
      </c>
      <c r="I1694" s="241">
        <v>55</v>
      </c>
      <c r="J1694" s="241">
        <v>11443</v>
      </c>
      <c r="K1694" s="834">
        <f t="shared" si="112"/>
        <v>629365</v>
      </c>
      <c r="L1694" s="835" t="s">
        <v>162</v>
      </c>
      <c r="M1694" s="835" t="s">
        <v>417</v>
      </c>
      <c r="N1694" s="51" t="str">
        <f>IF(AND('331-CT'!$E$7=TH!H1694,OR(L1694="331",M1694="331")),"331",IF(AND(OR(L1694="131",M1694="131"),H1694='131-CT'!$E$7),"131",""))</f>
        <v/>
      </c>
      <c r="O1694" s="51" t="str">
        <f>IF(AND($B1694&gt;='111'!$N$11,$B1694&lt;='111'!$O$11,OR($L1694=$O$7,$M1694=$O$7)),"x","")</f>
        <v/>
      </c>
      <c r="P1694" s="51" t="str">
        <f>IF(AND($L1694=$O$7,$B1694&lt;'111'!$N$11),"x","")</f>
        <v/>
      </c>
      <c r="Q1694" s="51" t="str">
        <f>IF(AND($M1694=$O$7,$B1694&lt;'111'!$N$11),"x","")</f>
        <v/>
      </c>
      <c r="R1694" s="51" t="str">
        <f>IF(ISERROR(FIND('112'!$M$9,G1694,1)),"",IF((AND(FIND('112'!$M$9,G1694,1)&gt;=1,$B1694&gt;='112'!$N$8,$B1694&lt;='112'!$O$8,OR($L1694='112'!$I$6,$M1694='112'!$I$6))),"x",""))</f>
        <v/>
      </c>
      <c r="S1694" s="51" t="str">
        <f>IF(ISERROR(FIND('112'!$M$9,G1694,1)),"",IF((AND(LEFT(G1694,2)=LEFT('112'!$M$9,2),B1694&lt;'112'!$N$8,$L1694='112'!$I$6)),"x",""))</f>
        <v/>
      </c>
      <c r="T1694" s="51" t="str">
        <f>IF(ISERROR(FIND('112'!$M$9,G1694,1)),"",IF((AND(RIGHT(G1694,2)=RIGHT('112'!$M$9,2),B1694&lt;'112'!$N$8,$M1694='112'!$I$6)),"x",""))</f>
        <v/>
      </c>
      <c r="U1694" s="51" t="str">
        <f>IF(AND(L1694="154",'154'!$O$5&lt;=B1694,'154'!$P$5&gt;=B1694),"154",IF(AND(L1694="632",'632'!$L$5&lt;=B1694,'632'!$M$5&gt;=B1694),"632",IF(AND(L1694="642",'642'!$N$5&lt;=B1694,'642'!$O$5&gt;=B1694),"642",IF(AND(L1694="641",'641'!$N$5&lt;=B1694,'641'!$O$5&gt;=B1694),"641",""))))</f>
        <v/>
      </c>
      <c r="V1694" s="51" t="str">
        <f>IF(OR(TH!L1694=TH!$V$7,M1694=TH!$V$7),"x","")</f>
        <v/>
      </c>
      <c r="W1694" s="51" t="str">
        <f>IF(AND(B1694&gt;='IN-NX'!$P$3,B1694&lt;='IN-NX'!$Q$3,'IN-NX'!$D$7=D1694,OR(LEFT(L1694,2)="15",AND(LEFT(M1694,2)&lt;&gt;"15",LEFT(M1694,2)&lt;&gt;"33"))),"x","")</f>
        <v/>
      </c>
      <c r="X1694" s="51" t="str">
        <f>IF(AND(OR(LEFT(TH!L1694,2)="15",LEFT(TH!M1694,2)="15"),'152-CT'!$J$8=TH!F1694),"x","")</f>
        <v/>
      </c>
      <c r="Y1694" s="51" t="str">
        <f>IF(AND(OR(LEFT(TH!L1694,2)="15",LEFT(TH!M1694,2)="15"),TK!$E$7=TH!F1694),"x","")</f>
        <v/>
      </c>
      <c r="Z1694" s="51" t="str">
        <f>IF(AND(B1694&lt;=NKC!$N$8,B1694&gt;=NKC!$M$8),"x","")</f>
        <v/>
      </c>
      <c r="AA1694" s="803"/>
    </row>
    <row r="1695" spans="1:27" ht="15.75" customHeight="1">
      <c r="A1695" s="804" t="str">
        <f>IF(B1695&lt;&gt;"",IF(AND(B1695&gt;=_TM1,B1695&lt;=_TM2,OR(TH!L1695="1111",TH!M1695="1111")),TH!D1695,""),"")</f>
        <v/>
      </c>
      <c r="B1695" s="36">
        <f t="shared" si="113"/>
        <v>12</v>
      </c>
      <c r="C1695" s="189">
        <f t="shared" si="114"/>
        <v>42369</v>
      </c>
      <c r="D1695" s="830" t="s">
        <v>1285</v>
      </c>
      <c r="E1695" s="830">
        <v>42369</v>
      </c>
      <c r="F1695" s="831" t="s">
        <v>936</v>
      </c>
      <c r="G1695" s="832" t="s">
        <v>702</v>
      </c>
      <c r="H1695" s="833" t="s">
        <v>1259</v>
      </c>
      <c r="I1695" s="241">
        <v>30</v>
      </c>
      <c r="J1695" s="241">
        <v>19890</v>
      </c>
      <c r="K1695" s="834">
        <f t="shared" si="112"/>
        <v>596700</v>
      </c>
      <c r="L1695" s="835" t="s">
        <v>162</v>
      </c>
      <c r="M1695" s="835" t="s">
        <v>417</v>
      </c>
      <c r="N1695" s="51" t="str">
        <f>IF(AND('331-CT'!$E$7=TH!H1695,OR(L1695="331",M1695="331")),"331",IF(AND(OR(L1695="131",M1695="131"),H1695='131-CT'!$E$7),"131",""))</f>
        <v/>
      </c>
      <c r="O1695" s="51" t="str">
        <f>IF(AND($B1695&gt;='111'!$N$11,$B1695&lt;='111'!$O$11,OR($L1695=$O$7,$M1695=$O$7)),"x","")</f>
        <v/>
      </c>
      <c r="P1695" s="51" t="str">
        <f>IF(AND($L1695=$O$7,$B1695&lt;'111'!$N$11),"x","")</f>
        <v/>
      </c>
      <c r="Q1695" s="51" t="str">
        <f>IF(AND($M1695=$O$7,$B1695&lt;'111'!$N$11),"x","")</f>
        <v/>
      </c>
      <c r="R1695" s="51" t="str">
        <f>IF(ISERROR(FIND('112'!$M$9,G1695,1)),"",IF((AND(FIND('112'!$M$9,G1695,1)&gt;=1,$B1695&gt;='112'!$N$8,$B1695&lt;='112'!$O$8,OR($L1695='112'!$I$6,$M1695='112'!$I$6))),"x",""))</f>
        <v/>
      </c>
      <c r="S1695" s="51" t="str">
        <f>IF(ISERROR(FIND('112'!$M$9,G1695,1)),"",IF((AND(LEFT(G1695,2)=LEFT('112'!$M$9,2),B1695&lt;'112'!$N$8,$L1695='112'!$I$6)),"x",""))</f>
        <v/>
      </c>
      <c r="T1695" s="51" t="str">
        <f>IF(ISERROR(FIND('112'!$M$9,G1695,1)),"",IF((AND(RIGHT(G1695,2)=RIGHT('112'!$M$9,2),B1695&lt;'112'!$N$8,$M1695='112'!$I$6)),"x",""))</f>
        <v/>
      </c>
      <c r="U1695" s="51" t="str">
        <f>IF(AND(L1695="154",'154'!$O$5&lt;=B1695,'154'!$P$5&gt;=B1695),"154",IF(AND(L1695="632",'632'!$L$5&lt;=B1695,'632'!$M$5&gt;=B1695),"632",IF(AND(L1695="642",'642'!$N$5&lt;=B1695,'642'!$O$5&gt;=B1695),"642",IF(AND(L1695="641",'641'!$N$5&lt;=B1695,'641'!$O$5&gt;=B1695),"641",""))))</f>
        <v/>
      </c>
      <c r="V1695" s="51" t="str">
        <f>IF(OR(TH!L1695=TH!$V$7,M1695=TH!$V$7),"x","")</f>
        <v/>
      </c>
      <c r="W1695" s="51" t="str">
        <f>IF(AND(B1695&gt;='IN-NX'!$P$3,B1695&lt;='IN-NX'!$Q$3,'IN-NX'!$D$7=D1695,OR(LEFT(L1695,2)="15",AND(LEFT(M1695,2)&lt;&gt;"15",LEFT(M1695,2)&lt;&gt;"33"))),"x","")</f>
        <v/>
      </c>
      <c r="X1695" s="51" t="str">
        <f>IF(AND(OR(LEFT(TH!L1695,2)="15",LEFT(TH!M1695,2)="15"),'152-CT'!$J$8=TH!F1695),"x","")</f>
        <v/>
      </c>
      <c r="Y1695" s="51" t="str">
        <f>IF(AND(OR(LEFT(TH!L1695,2)="15",LEFT(TH!M1695,2)="15"),TK!$E$7=TH!F1695),"x","")</f>
        <v/>
      </c>
      <c r="Z1695" s="51" t="str">
        <f>IF(AND(B1695&lt;=NKC!$N$8,B1695&gt;=NKC!$M$8),"x","")</f>
        <v/>
      </c>
      <c r="AA1695" s="803"/>
    </row>
    <row r="1696" spans="1:27" ht="15.75" customHeight="1">
      <c r="A1696" s="804" t="str">
        <f>IF(B1696&lt;&gt;"",IF(AND(B1696&gt;=_TM1,B1696&lt;=_TM2,OR(TH!L1696="1111",TH!M1696="1111")),TH!D1696,""),"")</f>
        <v/>
      </c>
      <c r="B1696" s="36">
        <f t="shared" si="113"/>
        <v>12</v>
      </c>
      <c r="C1696" s="189">
        <f t="shared" si="114"/>
        <v>42369</v>
      </c>
      <c r="D1696" s="830" t="s">
        <v>1285</v>
      </c>
      <c r="E1696" s="830">
        <v>42369</v>
      </c>
      <c r="F1696" s="831" t="s">
        <v>1220</v>
      </c>
      <c r="G1696" s="832" t="s">
        <v>702</v>
      </c>
      <c r="H1696" s="833" t="s">
        <v>1259</v>
      </c>
      <c r="I1696" s="241">
        <v>10</v>
      </c>
      <c r="J1696" s="241">
        <v>47405</v>
      </c>
      <c r="K1696" s="834">
        <f t="shared" si="112"/>
        <v>474050</v>
      </c>
      <c r="L1696" s="835" t="s">
        <v>162</v>
      </c>
      <c r="M1696" s="835" t="s">
        <v>417</v>
      </c>
      <c r="N1696" s="51" t="str">
        <f>IF(AND('331-CT'!$E$7=TH!H1696,OR(L1696="331",M1696="331")),"331",IF(AND(OR(L1696="131",M1696="131"),H1696='131-CT'!$E$7),"131",""))</f>
        <v/>
      </c>
      <c r="O1696" s="51" t="str">
        <f>IF(AND($B1696&gt;='111'!$N$11,$B1696&lt;='111'!$O$11,OR($L1696=$O$7,$M1696=$O$7)),"x","")</f>
        <v/>
      </c>
      <c r="P1696" s="51" t="str">
        <f>IF(AND($L1696=$O$7,$B1696&lt;'111'!$N$11),"x","")</f>
        <v/>
      </c>
      <c r="Q1696" s="51" t="str">
        <f>IF(AND($M1696=$O$7,$B1696&lt;'111'!$N$11),"x","")</f>
        <v/>
      </c>
      <c r="R1696" s="51" t="str">
        <f>IF(ISERROR(FIND('112'!$M$9,G1696,1)),"",IF((AND(FIND('112'!$M$9,G1696,1)&gt;=1,$B1696&gt;='112'!$N$8,$B1696&lt;='112'!$O$8,OR($L1696='112'!$I$6,$M1696='112'!$I$6))),"x",""))</f>
        <v/>
      </c>
      <c r="S1696" s="51" t="str">
        <f>IF(ISERROR(FIND('112'!$M$9,G1696,1)),"",IF((AND(LEFT(G1696,2)=LEFT('112'!$M$9,2),B1696&lt;'112'!$N$8,$L1696='112'!$I$6)),"x",""))</f>
        <v/>
      </c>
      <c r="T1696" s="51" t="str">
        <f>IF(ISERROR(FIND('112'!$M$9,G1696,1)),"",IF((AND(RIGHT(G1696,2)=RIGHT('112'!$M$9,2),B1696&lt;'112'!$N$8,$M1696='112'!$I$6)),"x",""))</f>
        <v/>
      </c>
      <c r="U1696" s="51" t="str">
        <f>IF(AND(L1696="154",'154'!$O$5&lt;=B1696,'154'!$P$5&gt;=B1696),"154",IF(AND(L1696="632",'632'!$L$5&lt;=B1696,'632'!$M$5&gt;=B1696),"632",IF(AND(L1696="642",'642'!$N$5&lt;=B1696,'642'!$O$5&gt;=B1696),"642",IF(AND(L1696="641",'641'!$N$5&lt;=B1696,'641'!$O$5&gt;=B1696),"641",""))))</f>
        <v/>
      </c>
      <c r="V1696" s="51" t="str">
        <f>IF(OR(TH!L1696=TH!$V$7,M1696=TH!$V$7),"x","")</f>
        <v/>
      </c>
      <c r="W1696" s="51" t="str">
        <f>IF(AND(B1696&gt;='IN-NX'!$P$3,B1696&lt;='IN-NX'!$Q$3,'IN-NX'!$D$7=D1696,OR(LEFT(L1696,2)="15",AND(LEFT(M1696,2)&lt;&gt;"15",LEFT(M1696,2)&lt;&gt;"33"))),"x","")</f>
        <v/>
      </c>
      <c r="X1696" s="51" t="str">
        <f>IF(AND(OR(LEFT(TH!L1696,2)="15",LEFT(TH!M1696,2)="15"),'152-CT'!$J$8=TH!F1696),"x","")</f>
        <v/>
      </c>
      <c r="Y1696" s="51" t="str">
        <f>IF(AND(OR(LEFT(TH!L1696,2)="15",LEFT(TH!M1696,2)="15"),TK!$E$7=TH!F1696),"x","")</f>
        <v/>
      </c>
      <c r="Z1696" s="51" t="str">
        <f>IF(AND(B1696&lt;=NKC!$N$8,B1696&gt;=NKC!$M$8),"x","")</f>
        <v/>
      </c>
      <c r="AA1696" s="803"/>
    </row>
    <row r="1697" spans="1:27" ht="15.75" customHeight="1">
      <c r="A1697" s="804" t="str">
        <f>IF(B1697&lt;&gt;"",IF(AND(B1697&gt;=_TM1,B1697&lt;=_TM2,OR(TH!L1697="1111",TH!M1697="1111")),TH!D1697,""),"")</f>
        <v/>
      </c>
      <c r="B1697" s="36">
        <f t="shared" si="113"/>
        <v>12</v>
      </c>
      <c r="C1697" s="189">
        <f t="shared" si="114"/>
        <v>42369</v>
      </c>
      <c r="D1697" s="830" t="s">
        <v>1285</v>
      </c>
      <c r="E1697" s="830">
        <v>42369</v>
      </c>
      <c r="F1697" s="831" t="s">
        <v>1230</v>
      </c>
      <c r="G1697" s="832" t="s">
        <v>702</v>
      </c>
      <c r="H1697" s="833" t="s">
        <v>1259</v>
      </c>
      <c r="I1697" s="241">
        <v>24</v>
      </c>
      <c r="J1697" s="241">
        <v>75751</v>
      </c>
      <c r="K1697" s="834">
        <f t="shared" si="112"/>
        <v>1818024</v>
      </c>
      <c r="L1697" s="835" t="s">
        <v>162</v>
      </c>
      <c r="M1697" s="835" t="s">
        <v>417</v>
      </c>
      <c r="N1697" s="51" t="str">
        <f>IF(AND('331-CT'!$E$7=TH!H1697,OR(L1697="331",M1697="331")),"331",IF(AND(OR(L1697="131",M1697="131"),H1697='131-CT'!$E$7),"131",""))</f>
        <v/>
      </c>
      <c r="O1697" s="51" t="str">
        <f>IF(AND($B1697&gt;='111'!$N$11,$B1697&lt;='111'!$O$11,OR($L1697=$O$7,$M1697=$O$7)),"x","")</f>
        <v/>
      </c>
      <c r="P1697" s="51" t="str">
        <f>IF(AND($L1697=$O$7,$B1697&lt;'111'!$N$11),"x","")</f>
        <v/>
      </c>
      <c r="Q1697" s="51" t="str">
        <f>IF(AND($M1697=$O$7,$B1697&lt;'111'!$N$11),"x","")</f>
        <v/>
      </c>
      <c r="R1697" s="51" t="str">
        <f>IF(ISERROR(FIND('112'!$M$9,G1697,1)),"",IF((AND(FIND('112'!$M$9,G1697,1)&gt;=1,$B1697&gt;='112'!$N$8,$B1697&lt;='112'!$O$8,OR($L1697='112'!$I$6,$M1697='112'!$I$6))),"x",""))</f>
        <v/>
      </c>
      <c r="S1697" s="51" t="str">
        <f>IF(ISERROR(FIND('112'!$M$9,G1697,1)),"",IF((AND(LEFT(G1697,2)=LEFT('112'!$M$9,2),B1697&lt;'112'!$N$8,$L1697='112'!$I$6)),"x",""))</f>
        <v/>
      </c>
      <c r="T1697" s="51" t="str">
        <f>IF(ISERROR(FIND('112'!$M$9,G1697,1)),"",IF((AND(RIGHT(G1697,2)=RIGHT('112'!$M$9,2),B1697&lt;'112'!$N$8,$M1697='112'!$I$6)),"x",""))</f>
        <v/>
      </c>
      <c r="U1697" s="51" t="str">
        <f>IF(AND(L1697="154",'154'!$O$5&lt;=B1697,'154'!$P$5&gt;=B1697),"154",IF(AND(L1697="632",'632'!$L$5&lt;=B1697,'632'!$M$5&gt;=B1697),"632",IF(AND(L1697="642",'642'!$N$5&lt;=B1697,'642'!$O$5&gt;=B1697),"642",IF(AND(L1697="641",'641'!$N$5&lt;=B1697,'641'!$O$5&gt;=B1697),"641",""))))</f>
        <v/>
      </c>
      <c r="V1697" s="51" t="str">
        <f>IF(OR(TH!L1697=TH!$V$7,M1697=TH!$V$7),"x","")</f>
        <v/>
      </c>
      <c r="W1697" s="51" t="str">
        <f>IF(AND(B1697&gt;='IN-NX'!$P$3,B1697&lt;='IN-NX'!$Q$3,'IN-NX'!$D$7=D1697,OR(LEFT(L1697,2)="15",AND(LEFT(M1697,2)&lt;&gt;"15",LEFT(M1697,2)&lt;&gt;"33"))),"x","")</f>
        <v/>
      </c>
      <c r="X1697" s="51" t="str">
        <f>IF(AND(OR(LEFT(TH!L1697,2)="15",LEFT(TH!M1697,2)="15"),'152-CT'!$J$8=TH!F1697),"x","")</f>
        <v/>
      </c>
      <c r="Y1697" s="51" t="str">
        <f>IF(AND(OR(LEFT(TH!L1697,2)="15",LEFT(TH!M1697,2)="15"),TK!$E$7=TH!F1697),"x","")</f>
        <v/>
      </c>
      <c r="Z1697" s="51" t="str">
        <f>IF(AND(B1697&lt;=NKC!$N$8,B1697&gt;=NKC!$M$8),"x","")</f>
        <v/>
      </c>
      <c r="AA1697" s="803"/>
    </row>
    <row r="1698" spans="1:27" ht="15.75" customHeight="1">
      <c r="A1698" s="804" t="str">
        <f>IF(B1698&lt;&gt;"",IF(AND(B1698&gt;=_TM1,B1698&lt;=_TM2,OR(TH!L1698="1111",TH!M1698="1111")),TH!D1698,""),"")</f>
        <v/>
      </c>
      <c r="B1698" s="36">
        <f t="shared" si="113"/>
        <v>12</v>
      </c>
      <c r="C1698" s="189">
        <f t="shared" si="114"/>
        <v>42369</v>
      </c>
      <c r="D1698" s="830" t="s">
        <v>1285</v>
      </c>
      <c r="E1698" s="842">
        <v>42369</v>
      </c>
      <c r="F1698" s="48" t="s">
        <v>1219</v>
      </c>
      <c r="G1698" s="810" t="s">
        <v>1114</v>
      </c>
      <c r="H1698" s="833" t="s">
        <v>1259</v>
      </c>
      <c r="I1698" s="241">
        <v>8</v>
      </c>
      <c r="J1698" s="241">
        <v>38333</v>
      </c>
      <c r="K1698" s="834">
        <f t="shared" si="112"/>
        <v>306664</v>
      </c>
      <c r="L1698" s="835" t="s">
        <v>162</v>
      </c>
      <c r="M1698" s="835" t="s">
        <v>417</v>
      </c>
      <c r="N1698" s="51" t="str">
        <f>IF(AND('331-CT'!$E$7=TH!H1698,OR(L1698="331",M1698="331")),"331",IF(AND(OR(L1698="131",M1698="131"),H1698='131-CT'!$E$7),"131",""))</f>
        <v/>
      </c>
      <c r="O1698" s="51" t="str">
        <f>IF(AND($B1698&gt;='111'!$N$11,$B1698&lt;='111'!$O$11,OR($L1698=$O$7,$M1698=$O$7)),"x","")</f>
        <v/>
      </c>
      <c r="P1698" s="51" t="str">
        <f>IF(AND($L1698=$O$7,$B1698&lt;'111'!$N$11),"x","")</f>
        <v/>
      </c>
      <c r="Q1698" s="51" t="str">
        <f>IF(AND($M1698=$O$7,$B1698&lt;'111'!$N$11),"x","")</f>
        <v/>
      </c>
      <c r="R1698" s="51" t="str">
        <f>IF(ISERROR(FIND('112'!$M$9,G1698,1)),"",IF((AND(FIND('112'!$M$9,G1698,1)&gt;=1,$B1698&gt;='112'!$N$8,$B1698&lt;='112'!$O$8,OR($L1698='112'!$I$6,$M1698='112'!$I$6))),"x",""))</f>
        <v/>
      </c>
      <c r="S1698" s="51" t="str">
        <f>IF(ISERROR(FIND('112'!$M$9,G1698,1)),"",IF((AND(LEFT(G1698,2)=LEFT('112'!$M$9,2),B1698&lt;'112'!$N$8,$L1698='112'!$I$6)),"x",""))</f>
        <v/>
      </c>
      <c r="T1698" s="51" t="str">
        <f>IF(ISERROR(FIND('112'!$M$9,G1698,1)),"",IF((AND(RIGHT(G1698,2)=RIGHT('112'!$M$9,2),B1698&lt;'112'!$N$8,$M1698='112'!$I$6)),"x",""))</f>
        <v/>
      </c>
      <c r="U1698" s="51" t="str">
        <f>IF(AND(L1698="154",'154'!$O$5&lt;=B1698,'154'!$P$5&gt;=B1698),"154",IF(AND(L1698="632",'632'!$L$5&lt;=B1698,'632'!$M$5&gt;=B1698),"632",IF(AND(L1698="642",'642'!$N$5&lt;=B1698,'642'!$O$5&gt;=B1698),"642",IF(AND(L1698="641",'641'!$N$5&lt;=B1698,'641'!$O$5&gt;=B1698),"641",""))))</f>
        <v/>
      </c>
      <c r="V1698" s="51" t="str">
        <f>IF(OR(TH!L1698=TH!$V$7,M1698=TH!$V$7),"x","")</f>
        <v/>
      </c>
      <c r="W1698" s="51" t="str">
        <f>IF(AND(B1698&gt;='IN-NX'!$P$3,B1698&lt;='IN-NX'!$Q$3,'IN-NX'!$D$7=D1698,OR(LEFT(L1698,2)="15",AND(LEFT(M1698,2)&lt;&gt;"15",LEFT(M1698,2)&lt;&gt;"33"))),"x","")</f>
        <v/>
      </c>
      <c r="X1698" s="51" t="str">
        <f>IF(AND(OR(LEFT(TH!L1698,2)="15",LEFT(TH!M1698,2)="15"),'152-CT'!$J$8=TH!F1698),"x","")</f>
        <v/>
      </c>
      <c r="Y1698" s="51" t="str">
        <f>IF(AND(OR(LEFT(TH!L1698,2)="15",LEFT(TH!M1698,2)="15"),TK!$E$7=TH!F1698),"x","")</f>
        <v/>
      </c>
      <c r="Z1698" s="51" t="str">
        <f>IF(AND(B1698&lt;=NKC!$N$8,B1698&gt;=NKC!$M$8),"x","")</f>
        <v/>
      </c>
      <c r="AA1698" s="803"/>
    </row>
    <row r="1699" spans="1:27" ht="15.75" customHeight="1">
      <c r="A1699" s="804" t="str">
        <f>IF(B1699&lt;&gt;"",IF(AND(B1699&gt;=_TM1,B1699&lt;=_TM2,OR(TH!L1699="1111",TH!M1699="1111")),TH!D1699,""),"")</f>
        <v/>
      </c>
      <c r="B1699" s="36">
        <f t="shared" si="113"/>
        <v>12</v>
      </c>
      <c r="C1699" s="189">
        <f t="shared" si="114"/>
        <v>42369</v>
      </c>
      <c r="D1699" s="830" t="s">
        <v>1285</v>
      </c>
      <c r="E1699" s="842">
        <v>42369</v>
      </c>
      <c r="F1699" s="836" t="s">
        <v>1222</v>
      </c>
      <c r="G1699" s="810" t="s">
        <v>1114</v>
      </c>
      <c r="H1699" s="833" t="s">
        <v>1259</v>
      </c>
      <c r="I1699" s="241">
        <v>8</v>
      </c>
      <c r="J1699" s="241">
        <v>60515</v>
      </c>
      <c r="K1699" s="834">
        <f t="shared" si="112"/>
        <v>484120</v>
      </c>
      <c r="L1699" s="835" t="s">
        <v>162</v>
      </c>
      <c r="M1699" s="835" t="s">
        <v>417</v>
      </c>
      <c r="N1699" s="51" t="str">
        <f>IF(AND('331-CT'!$E$7=TH!H1699,OR(L1699="331",M1699="331")),"331",IF(AND(OR(L1699="131",M1699="131"),H1699='131-CT'!$E$7),"131",""))</f>
        <v/>
      </c>
      <c r="O1699" s="51" t="str">
        <f>IF(AND($B1699&gt;='111'!$N$11,$B1699&lt;='111'!$O$11,OR($L1699=$O$7,$M1699=$O$7)),"x","")</f>
        <v/>
      </c>
      <c r="P1699" s="51" t="str">
        <f>IF(AND($L1699=$O$7,$B1699&lt;'111'!$N$11),"x","")</f>
        <v/>
      </c>
      <c r="Q1699" s="51" t="str">
        <f>IF(AND($M1699=$O$7,$B1699&lt;'111'!$N$11),"x","")</f>
        <v/>
      </c>
      <c r="R1699" s="51" t="str">
        <f>IF(ISERROR(FIND('112'!$M$9,G1699,1)),"",IF((AND(FIND('112'!$M$9,G1699,1)&gt;=1,$B1699&gt;='112'!$N$8,$B1699&lt;='112'!$O$8,OR($L1699='112'!$I$6,$M1699='112'!$I$6))),"x",""))</f>
        <v/>
      </c>
      <c r="S1699" s="51" t="str">
        <f>IF(ISERROR(FIND('112'!$M$9,G1699,1)),"",IF((AND(LEFT(G1699,2)=LEFT('112'!$M$9,2),B1699&lt;'112'!$N$8,$L1699='112'!$I$6)),"x",""))</f>
        <v/>
      </c>
      <c r="T1699" s="51" t="str">
        <f>IF(ISERROR(FIND('112'!$M$9,G1699,1)),"",IF((AND(RIGHT(G1699,2)=RIGHT('112'!$M$9,2),B1699&lt;'112'!$N$8,$M1699='112'!$I$6)),"x",""))</f>
        <v/>
      </c>
      <c r="U1699" s="51" t="str">
        <f>IF(AND(L1699="154",'154'!$O$5&lt;=B1699,'154'!$P$5&gt;=B1699),"154",IF(AND(L1699="632",'632'!$L$5&lt;=B1699,'632'!$M$5&gt;=B1699),"632",IF(AND(L1699="642",'642'!$N$5&lt;=B1699,'642'!$O$5&gt;=B1699),"642",IF(AND(L1699="641",'641'!$N$5&lt;=B1699,'641'!$O$5&gt;=B1699),"641",""))))</f>
        <v/>
      </c>
      <c r="V1699" s="51" t="str">
        <f>IF(OR(TH!L1699=TH!$V$7,M1699=TH!$V$7),"x","")</f>
        <v/>
      </c>
      <c r="W1699" s="51" t="str">
        <f>IF(AND(B1699&gt;='IN-NX'!$P$3,B1699&lt;='IN-NX'!$Q$3,'IN-NX'!$D$7=D1699,OR(LEFT(L1699,2)="15",AND(LEFT(M1699,2)&lt;&gt;"15",LEFT(M1699,2)&lt;&gt;"33"))),"x","")</f>
        <v/>
      </c>
      <c r="X1699" s="51" t="str">
        <f>IF(AND(OR(LEFT(TH!L1699,2)="15",LEFT(TH!M1699,2)="15"),'152-CT'!$J$8=TH!F1699),"x","")</f>
        <v/>
      </c>
      <c r="Y1699" s="51" t="str">
        <f>IF(AND(OR(LEFT(TH!L1699,2)="15",LEFT(TH!M1699,2)="15"),TK!$E$7=TH!F1699),"x","")</f>
        <v/>
      </c>
      <c r="Z1699" s="51" t="str">
        <f>IF(AND(B1699&lt;=NKC!$N$8,B1699&gt;=NKC!$M$8),"x","")</f>
        <v/>
      </c>
      <c r="AA1699" s="803"/>
    </row>
    <row r="1700" spans="1:27" ht="15.75" customHeight="1">
      <c r="A1700" s="804" t="str">
        <f>IF(B1700&lt;&gt;"",IF(AND(B1700&gt;=_TM1,B1700&lt;=_TM2,OR(TH!L1700="1111",TH!M1700="1111")),TH!D1700,""),"")</f>
        <v/>
      </c>
      <c r="B1700" s="36">
        <f t="shared" si="113"/>
        <v>12</v>
      </c>
      <c r="C1700" s="189">
        <f t="shared" si="114"/>
        <v>42369</v>
      </c>
      <c r="D1700" s="830" t="s">
        <v>1285</v>
      </c>
      <c r="E1700" s="842">
        <v>42369</v>
      </c>
      <c r="F1700" s="48" t="s">
        <v>1223</v>
      </c>
      <c r="G1700" s="810" t="s">
        <v>1114</v>
      </c>
      <c r="H1700" s="833" t="s">
        <v>1259</v>
      </c>
      <c r="I1700" s="241">
        <v>12</v>
      </c>
      <c r="J1700" s="241">
        <v>54273</v>
      </c>
      <c r="K1700" s="834">
        <f t="shared" si="112"/>
        <v>651276</v>
      </c>
      <c r="L1700" s="835" t="s">
        <v>162</v>
      </c>
      <c r="M1700" s="835" t="s">
        <v>417</v>
      </c>
      <c r="N1700" s="51" t="str">
        <f>IF(AND('331-CT'!$E$7=TH!H1700,OR(L1700="331",M1700="331")),"331",IF(AND(OR(L1700="131",M1700="131"),H1700='131-CT'!$E$7),"131",""))</f>
        <v/>
      </c>
      <c r="O1700" s="51" t="str">
        <f>IF(AND($B1700&gt;='111'!$N$11,$B1700&lt;='111'!$O$11,OR($L1700=$O$7,$M1700=$O$7)),"x","")</f>
        <v/>
      </c>
      <c r="P1700" s="51" t="str">
        <f>IF(AND($L1700=$O$7,$B1700&lt;'111'!$N$11),"x","")</f>
        <v/>
      </c>
      <c r="Q1700" s="51" t="str">
        <f>IF(AND($M1700=$O$7,$B1700&lt;'111'!$N$11),"x","")</f>
        <v/>
      </c>
      <c r="R1700" s="51" t="str">
        <f>IF(ISERROR(FIND('112'!$M$9,G1700,1)),"",IF((AND(FIND('112'!$M$9,G1700,1)&gt;=1,$B1700&gt;='112'!$N$8,$B1700&lt;='112'!$O$8,OR($L1700='112'!$I$6,$M1700='112'!$I$6))),"x",""))</f>
        <v/>
      </c>
      <c r="S1700" s="51" t="str">
        <f>IF(ISERROR(FIND('112'!$M$9,G1700,1)),"",IF((AND(LEFT(G1700,2)=LEFT('112'!$M$9,2),B1700&lt;'112'!$N$8,$L1700='112'!$I$6)),"x",""))</f>
        <v/>
      </c>
      <c r="T1700" s="51" t="str">
        <f>IF(ISERROR(FIND('112'!$M$9,G1700,1)),"",IF((AND(RIGHT(G1700,2)=RIGHT('112'!$M$9,2),B1700&lt;'112'!$N$8,$M1700='112'!$I$6)),"x",""))</f>
        <v/>
      </c>
      <c r="U1700" s="51" t="str">
        <f>IF(AND(L1700="154",'154'!$O$5&lt;=B1700,'154'!$P$5&gt;=B1700),"154",IF(AND(L1700="632",'632'!$L$5&lt;=B1700,'632'!$M$5&gt;=B1700),"632",IF(AND(L1700="642",'642'!$N$5&lt;=B1700,'642'!$O$5&gt;=B1700),"642",IF(AND(L1700="641",'641'!$N$5&lt;=B1700,'641'!$O$5&gt;=B1700),"641",""))))</f>
        <v/>
      </c>
      <c r="V1700" s="51" t="str">
        <f>IF(OR(TH!L1700=TH!$V$7,M1700=TH!$V$7),"x","")</f>
        <v/>
      </c>
      <c r="W1700" s="51" t="str">
        <f>IF(AND(B1700&gt;='IN-NX'!$P$3,B1700&lt;='IN-NX'!$Q$3,'IN-NX'!$D$7=D1700,OR(LEFT(L1700,2)="15",AND(LEFT(M1700,2)&lt;&gt;"15",LEFT(M1700,2)&lt;&gt;"33"))),"x","")</f>
        <v/>
      </c>
      <c r="X1700" s="51" t="str">
        <f>IF(AND(OR(LEFT(TH!L1700,2)="15",LEFT(TH!M1700,2)="15"),'152-CT'!$J$8=TH!F1700),"x","")</f>
        <v/>
      </c>
      <c r="Y1700" s="51" t="str">
        <f>IF(AND(OR(LEFT(TH!L1700,2)="15",LEFT(TH!M1700,2)="15"),TK!$E$7=TH!F1700),"x","")</f>
        <v/>
      </c>
      <c r="Z1700" s="51" t="str">
        <f>IF(AND(B1700&lt;=NKC!$N$8,B1700&gt;=NKC!$M$8),"x","")</f>
        <v/>
      </c>
      <c r="AA1700" s="803"/>
    </row>
    <row r="1701" spans="1:27" ht="15.75" customHeight="1">
      <c r="A1701" s="804" t="str">
        <f>IF(B1701&lt;&gt;"",IF(AND(B1701&gt;=_TM1,B1701&lt;=_TM2,OR(TH!L1701="1111",TH!M1701="1111")),TH!D1701,""),"")</f>
        <v/>
      </c>
      <c r="B1701" s="36">
        <f t="shared" si="113"/>
        <v>12</v>
      </c>
      <c r="C1701" s="189">
        <f t="shared" si="114"/>
        <v>42369</v>
      </c>
      <c r="D1701" s="830" t="s">
        <v>1285</v>
      </c>
      <c r="E1701" s="842">
        <v>42369</v>
      </c>
      <c r="F1701" s="48" t="s">
        <v>1225</v>
      </c>
      <c r="G1701" s="810" t="s">
        <v>1114</v>
      </c>
      <c r="H1701" s="833" t="s">
        <v>1259</v>
      </c>
      <c r="I1701" s="241">
        <v>10</v>
      </c>
      <c r="J1701" s="241">
        <v>75739</v>
      </c>
      <c r="K1701" s="834">
        <f t="shared" si="112"/>
        <v>757390</v>
      </c>
      <c r="L1701" s="835" t="s">
        <v>162</v>
      </c>
      <c r="M1701" s="835" t="s">
        <v>417</v>
      </c>
      <c r="N1701" s="51" t="str">
        <f>IF(AND('331-CT'!$E$7=TH!H1701,OR(L1701="331",M1701="331")),"331",IF(AND(OR(L1701="131",M1701="131"),H1701='131-CT'!$E$7),"131",""))</f>
        <v/>
      </c>
      <c r="O1701" s="51" t="str">
        <f>IF(AND($B1701&gt;='111'!$N$11,$B1701&lt;='111'!$O$11,OR($L1701=$O$7,$M1701=$O$7)),"x","")</f>
        <v/>
      </c>
      <c r="P1701" s="51" t="str">
        <f>IF(AND($L1701=$O$7,$B1701&lt;'111'!$N$11),"x","")</f>
        <v/>
      </c>
      <c r="Q1701" s="51" t="str">
        <f>IF(AND($M1701=$O$7,$B1701&lt;'111'!$N$11),"x","")</f>
        <v/>
      </c>
      <c r="R1701" s="51" t="str">
        <f>IF(ISERROR(FIND('112'!$M$9,G1701,1)),"",IF((AND(FIND('112'!$M$9,G1701,1)&gt;=1,$B1701&gt;='112'!$N$8,$B1701&lt;='112'!$O$8,OR($L1701='112'!$I$6,$M1701='112'!$I$6))),"x",""))</f>
        <v/>
      </c>
      <c r="S1701" s="51" t="str">
        <f>IF(ISERROR(FIND('112'!$M$9,G1701,1)),"",IF((AND(LEFT(G1701,2)=LEFT('112'!$M$9,2),B1701&lt;'112'!$N$8,$L1701='112'!$I$6)),"x",""))</f>
        <v/>
      </c>
      <c r="T1701" s="51" t="str">
        <f>IF(ISERROR(FIND('112'!$M$9,G1701,1)),"",IF((AND(RIGHT(G1701,2)=RIGHT('112'!$M$9,2),B1701&lt;'112'!$N$8,$M1701='112'!$I$6)),"x",""))</f>
        <v/>
      </c>
      <c r="U1701" s="51" t="str">
        <f>IF(AND(L1701="154",'154'!$O$5&lt;=B1701,'154'!$P$5&gt;=B1701),"154",IF(AND(L1701="632",'632'!$L$5&lt;=B1701,'632'!$M$5&gt;=B1701),"632",IF(AND(L1701="642",'642'!$N$5&lt;=B1701,'642'!$O$5&gt;=B1701),"642",IF(AND(L1701="641",'641'!$N$5&lt;=B1701,'641'!$O$5&gt;=B1701),"641",""))))</f>
        <v/>
      </c>
      <c r="V1701" s="51" t="str">
        <f>IF(OR(TH!L1701=TH!$V$7,M1701=TH!$V$7),"x","")</f>
        <v/>
      </c>
      <c r="W1701" s="51" t="str">
        <f>IF(AND(B1701&gt;='IN-NX'!$P$3,B1701&lt;='IN-NX'!$Q$3,'IN-NX'!$D$7=D1701,OR(LEFT(L1701,2)="15",AND(LEFT(M1701,2)&lt;&gt;"15",LEFT(M1701,2)&lt;&gt;"33"))),"x","")</f>
        <v/>
      </c>
      <c r="X1701" s="51" t="str">
        <f>IF(AND(OR(LEFT(TH!L1701,2)="15",LEFT(TH!M1701,2)="15"),'152-CT'!$J$8=TH!F1701),"x","")</f>
        <v/>
      </c>
      <c r="Y1701" s="51" t="str">
        <f>IF(AND(OR(LEFT(TH!L1701,2)="15",LEFT(TH!M1701,2)="15"),TK!$E$7=TH!F1701),"x","")</f>
        <v/>
      </c>
      <c r="Z1701" s="51" t="str">
        <f>IF(AND(B1701&lt;=NKC!$N$8,B1701&gt;=NKC!$M$8),"x","")</f>
        <v/>
      </c>
      <c r="AA1701" s="803"/>
    </row>
    <row r="1702" spans="1:27" ht="15.75" customHeight="1">
      <c r="A1702" s="804" t="str">
        <f>IF(B1702&lt;&gt;"",IF(AND(B1702&gt;=_TM1,B1702&lt;=_TM2,OR(TH!L1702="1111",TH!M1702="1111")),TH!D1702,""),"")</f>
        <v/>
      </c>
      <c r="B1702" s="36">
        <f t="shared" si="113"/>
        <v>12</v>
      </c>
      <c r="C1702" s="189">
        <f t="shared" si="114"/>
        <v>42369</v>
      </c>
      <c r="D1702" s="830" t="s">
        <v>1285</v>
      </c>
      <c r="E1702" s="842">
        <v>42369</v>
      </c>
      <c r="F1702" s="836" t="s">
        <v>1224</v>
      </c>
      <c r="G1702" s="810" t="s">
        <v>1114</v>
      </c>
      <c r="H1702" s="833" t="s">
        <v>1259</v>
      </c>
      <c r="I1702" s="241">
        <v>6</v>
      </c>
      <c r="J1702" s="241">
        <v>89473</v>
      </c>
      <c r="K1702" s="834">
        <f t="shared" si="112"/>
        <v>536838</v>
      </c>
      <c r="L1702" s="835" t="s">
        <v>162</v>
      </c>
      <c r="M1702" s="835" t="s">
        <v>417</v>
      </c>
      <c r="N1702" s="51" t="str">
        <f>IF(AND('331-CT'!$E$7=TH!H1702,OR(L1702="331",M1702="331")),"331",IF(AND(OR(L1702="131",M1702="131"),H1702='131-CT'!$E$7),"131",""))</f>
        <v/>
      </c>
      <c r="O1702" s="51" t="str">
        <f>IF(AND($B1702&gt;='111'!$N$11,$B1702&lt;='111'!$O$11,OR($L1702=$O$7,$M1702=$O$7)),"x","")</f>
        <v/>
      </c>
      <c r="P1702" s="51" t="str">
        <f>IF(AND($L1702=$O$7,$B1702&lt;'111'!$N$11),"x","")</f>
        <v/>
      </c>
      <c r="Q1702" s="51" t="str">
        <f>IF(AND($M1702=$O$7,$B1702&lt;'111'!$N$11),"x","")</f>
        <v/>
      </c>
      <c r="R1702" s="51" t="str">
        <f>IF(ISERROR(FIND('112'!$M$9,G1702,1)),"",IF((AND(FIND('112'!$M$9,G1702,1)&gt;=1,$B1702&gt;='112'!$N$8,$B1702&lt;='112'!$O$8,OR($L1702='112'!$I$6,$M1702='112'!$I$6))),"x",""))</f>
        <v/>
      </c>
      <c r="S1702" s="51" t="str">
        <f>IF(ISERROR(FIND('112'!$M$9,G1702,1)),"",IF((AND(LEFT(G1702,2)=LEFT('112'!$M$9,2),B1702&lt;'112'!$N$8,$L1702='112'!$I$6)),"x",""))</f>
        <v/>
      </c>
      <c r="T1702" s="51" t="str">
        <f>IF(ISERROR(FIND('112'!$M$9,G1702,1)),"",IF((AND(RIGHT(G1702,2)=RIGHT('112'!$M$9,2),B1702&lt;'112'!$N$8,$M1702='112'!$I$6)),"x",""))</f>
        <v/>
      </c>
      <c r="U1702" s="51" t="str">
        <f>IF(AND(L1702="154",'154'!$O$5&lt;=B1702,'154'!$P$5&gt;=B1702),"154",IF(AND(L1702="632",'632'!$L$5&lt;=B1702,'632'!$M$5&gt;=B1702),"632",IF(AND(L1702="642",'642'!$N$5&lt;=B1702,'642'!$O$5&gt;=B1702),"642",IF(AND(L1702="641",'641'!$N$5&lt;=B1702,'641'!$O$5&gt;=B1702),"641",""))))</f>
        <v/>
      </c>
      <c r="V1702" s="51" t="str">
        <f>IF(OR(TH!L1702=TH!$V$7,M1702=TH!$V$7),"x","")</f>
        <v/>
      </c>
      <c r="W1702" s="51" t="str">
        <f>IF(AND(B1702&gt;='IN-NX'!$P$3,B1702&lt;='IN-NX'!$Q$3,'IN-NX'!$D$7=D1702,OR(LEFT(L1702,2)="15",AND(LEFT(M1702,2)&lt;&gt;"15",LEFT(M1702,2)&lt;&gt;"33"))),"x","")</f>
        <v/>
      </c>
      <c r="X1702" s="51" t="str">
        <f>IF(AND(OR(LEFT(TH!L1702,2)="15",LEFT(TH!M1702,2)="15"),'152-CT'!$J$8=TH!F1702),"x","")</f>
        <v/>
      </c>
      <c r="Y1702" s="51" t="str">
        <f>IF(AND(OR(LEFT(TH!L1702,2)="15",LEFT(TH!M1702,2)="15"),TK!$E$7=TH!F1702),"x","")</f>
        <v/>
      </c>
      <c r="Z1702" s="51" t="str">
        <f>IF(AND(B1702&lt;=NKC!$N$8,B1702&gt;=NKC!$M$8),"x","")</f>
        <v/>
      </c>
      <c r="AA1702" s="803"/>
    </row>
    <row r="1703" spans="1:27" ht="15.75" customHeight="1">
      <c r="A1703" s="804" t="str">
        <f>IF(B1703&lt;&gt;"",IF(AND(B1703&gt;=_TM1,B1703&lt;=_TM2,OR(TH!L1703="1111",TH!M1703="1111")),TH!D1703,""),"")</f>
        <v/>
      </c>
      <c r="B1703" s="36">
        <f t="shared" si="113"/>
        <v>12</v>
      </c>
      <c r="C1703" s="189">
        <f t="shared" si="114"/>
        <v>42369</v>
      </c>
      <c r="D1703" s="830" t="s">
        <v>1285</v>
      </c>
      <c r="E1703" s="842">
        <v>42369</v>
      </c>
      <c r="F1703" s="48" t="s">
        <v>1217</v>
      </c>
      <c r="G1703" s="810" t="s">
        <v>1114</v>
      </c>
      <c r="H1703" s="833" t="s">
        <v>1259</v>
      </c>
      <c r="I1703" s="241">
        <v>40</v>
      </c>
      <c r="J1703" s="241">
        <v>24976</v>
      </c>
      <c r="K1703" s="834">
        <f t="shared" si="112"/>
        <v>999040</v>
      </c>
      <c r="L1703" s="835" t="s">
        <v>162</v>
      </c>
      <c r="M1703" s="835" t="s">
        <v>417</v>
      </c>
      <c r="N1703" s="51" t="str">
        <f>IF(AND('331-CT'!$E$7=TH!H1703,OR(L1703="331",M1703="331")),"331",IF(AND(OR(L1703="131",M1703="131"),H1703='131-CT'!$E$7),"131",""))</f>
        <v/>
      </c>
      <c r="O1703" s="51" t="str">
        <f>IF(AND($B1703&gt;='111'!$N$11,$B1703&lt;='111'!$O$11,OR($L1703=$O$7,$M1703=$O$7)),"x","")</f>
        <v/>
      </c>
      <c r="P1703" s="51" t="str">
        <f>IF(AND($L1703=$O$7,$B1703&lt;'111'!$N$11),"x","")</f>
        <v/>
      </c>
      <c r="Q1703" s="51" t="str">
        <f>IF(AND($M1703=$O$7,$B1703&lt;'111'!$N$11),"x","")</f>
        <v/>
      </c>
      <c r="R1703" s="51" t="str">
        <f>IF(ISERROR(FIND('112'!$M$9,G1703,1)),"",IF((AND(FIND('112'!$M$9,G1703,1)&gt;=1,$B1703&gt;='112'!$N$8,$B1703&lt;='112'!$O$8,OR($L1703='112'!$I$6,$M1703='112'!$I$6))),"x",""))</f>
        <v/>
      </c>
      <c r="S1703" s="51" t="str">
        <f>IF(ISERROR(FIND('112'!$M$9,G1703,1)),"",IF((AND(LEFT(G1703,2)=LEFT('112'!$M$9,2),B1703&lt;'112'!$N$8,$L1703='112'!$I$6)),"x",""))</f>
        <v/>
      </c>
      <c r="T1703" s="51" t="str">
        <f>IF(ISERROR(FIND('112'!$M$9,G1703,1)),"",IF((AND(RIGHT(G1703,2)=RIGHT('112'!$M$9,2),B1703&lt;'112'!$N$8,$M1703='112'!$I$6)),"x",""))</f>
        <v/>
      </c>
      <c r="U1703" s="51" t="str">
        <f>IF(AND(L1703="154",'154'!$O$5&lt;=B1703,'154'!$P$5&gt;=B1703),"154",IF(AND(L1703="632",'632'!$L$5&lt;=B1703,'632'!$M$5&gt;=B1703),"632",IF(AND(L1703="642",'642'!$N$5&lt;=B1703,'642'!$O$5&gt;=B1703),"642",IF(AND(L1703="641",'641'!$N$5&lt;=B1703,'641'!$O$5&gt;=B1703),"641",""))))</f>
        <v/>
      </c>
      <c r="V1703" s="51" t="str">
        <f>IF(OR(TH!L1703=TH!$V$7,M1703=TH!$V$7),"x","")</f>
        <v/>
      </c>
      <c r="W1703" s="51" t="str">
        <f>IF(AND(B1703&gt;='IN-NX'!$P$3,B1703&lt;='IN-NX'!$Q$3,'IN-NX'!$D$7=D1703,OR(LEFT(L1703,2)="15",AND(LEFT(M1703,2)&lt;&gt;"15",LEFT(M1703,2)&lt;&gt;"33"))),"x","")</f>
        <v/>
      </c>
      <c r="X1703" s="51" t="str">
        <f>IF(AND(OR(LEFT(TH!L1703,2)="15",LEFT(TH!M1703,2)="15"),'152-CT'!$J$8=TH!F1703),"x","")</f>
        <v/>
      </c>
      <c r="Y1703" s="51" t="str">
        <f>IF(AND(OR(LEFT(TH!L1703,2)="15",LEFT(TH!M1703,2)="15"),TK!$E$7=TH!F1703),"x","")</f>
        <v/>
      </c>
      <c r="Z1703" s="51" t="str">
        <f>IF(AND(B1703&lt;=NKC!$N$8,B1703&gt;=NKC!$M$8),"x","")</f>
        <v/>
      </c>
      <c r="AA1703" s="803"/>
    </row>
    <row r="1704" spans="1:27" ht="15.75" customHeight="1">
      <c r="A1704" s="804" t="str">
        <f>IF(B1704&lt;&gt;"",IF(AND(B1704&gt;=_TM1,B1704&lt;=_TM2,OR(TH!L1704="1111",TH!M1704="1111")),TH!D1704,""),"")</f>
        <v/>
      </c>
      <c r="B1704" s="36">
        <f t="shared" si="113"/>
        <v>12</v>
      </c>
      <c r="C1704" s="189">
        <f t="shared" si="114"/>
        <v>42369</v>
      </c>
      <c r="D1704" s="830" t="s">
        <v>1285</v>
      </c>
      <c r="E1704" s="842">
        <v>42369</v>
      </c>
      <c r="F1704" s="836" t="s">
        <v>1227</v>
      </c>
      <c r="G1704" s="810" t="s">
        <v>1114</v>
      </c>
      <c r="H1704" s="833" t="s">
        <v>1259</v>
      </c>
      <c r="I1704" s="241">
        <v>10</v>
      </c>
      <c r="J1704" s="241">
        <v>25985</v>
      </c>
      <c r="K1704" s="834">
        <f t="shared" si="112"/>
        <v>259850</v>
      </c>
      <c r="L1704" s="835" t="s">
        <v>162</v>
      </c>
      <c r="M1704" s="835" t="s">
        <v>417</v>
      </c>
      <c r="N1704" s="51" t="str">
        <f>IF(AND('331-CT'!$E$7=TH!H1704,OR(L1704="331",M1704="331")),"331",IF(AND(OR(L1704="131",M1704="131"),H1704='131-CT'!$E$7),"131",""))</f>
        <v/>
      </c>
      <c r="O1704" s="51" t="str">
        <f>IF(AND($B1704&gt;='111'!$N$11,$B1704&lt;='111'!$O$11,OR($L1704=$O$7,$M1704=$O$7)),"x","")</f>
        <v/>
      </c>
      <c r="P1704" s="51" t="str">
        <f>IF(AND($L1704=$O$7,$B1704&lt;'111'!$N$11),"x","")</f>
        <v/>
      </c>
      <c r="Q1704" s="51" t="str">
        <f>IF(AND($M1704=$O$7,$B1704&lt;'111'!$N$11),"x","")</f>
        <v/>
      </c>
      <c r="R1704" s="51" t="str">
        <f>IF(ISERROR(FIND('112'!$M$9,G1704,1)),"",IF((AND(FIND('112'!$M$9,G1704,1)&gt;=1,$B1704&gt;='112'!$N$8,$B1704&lt;='112'!$O$8,OR($L1704='112'!$I$6,$M1704='112'!$I$6))),"x",""))</f>
        <v/>
      </c>
      <c r="S1704" s="51" t="str">
        <f>IF(ISERROR(FIND('112'!$M$9,G1704,1)),"",IF((AND(LEFT(G1704,2)=LEFT('112'!$M$9,2),B1704&lt;'112'!$N$8,$L1704='112'!$I$6)),"x",""))</f>
        <v/>
      </c>
      <c r="T1704" s="51" t="str">
        <f>IF(ISERROR(FIND('112'!$M$9,G1704,1)),"",IF((AND(RIGHT(G1704,2)=RIGHT('112'!$M$9,2),B1704&lt;'112'!$N$8,$M1704='112'!$I$6)),"x",""))</f>
        <v/>
      </c>
      <c r="U1704" s="51" t="str">
        <f>IF(AND(L1704="154",'154'!$O$5&lt;=B1704,'154'!$P$5&gt;=B1704),"154",IF(AND(L1704="632",'632'!$L$5&lt;=B1704,'632'!$M$5&gt;=B1704),"632",IF(AND(L1704="642",'642'!$N$5&lt;=B1704,'642'!$O$5&gt;=B1704),"642",IF(AND(L1704="641",'641'!$N$5&lt;=B1704,'641'!$O$5&gt;=B1704),"641",""))))</f>
        <v/>
      </c>
      <c r="V1704" s="51" t="str">
        <f>IF(OR(TH!L1704=TH!$V$7,M1704=TH!$V$7),"x","")</f>
        <v/>
      </c>
      <c r="W1704" s="51" t="str">
        <f>IF(AND(B1704&gt;='IN-NX'!$P$3,B1704&lt;='IN-NX'!$Q$3,'IN-NX'!$D$7=D1704,OR(LEFT(L1704,2)="15",AND(LEFT(M1704,2)&lt;&gt;"15",LEFT(M1704,2)&lt;&gt;"33"))),"x","")</f>
        <v/>
      </c>
      <c r="X1704" s="51" t="str">
        <f>IF(AND(OR(LEFT(TH!L1704,2)="15",LEFT(TH!M1704,2)="15"),'152-CT'!$J$8=TH!F1704),"x","")</f>
        <v/>
      </c>
      <c r="Y1704" s="51" t="str">
        <f>IF(AND(OR(LEFT(TH!L1704,2)="15",LEFT(TH!M1704,2)="15"),TK!$E$7=TH!F1704),"x","")</f>
        <v/>
      </c>
      <c r="Z1704" s="51" t="str">
        <f>IF(AND(B1704&lt;=NKC!$N$8,B1704&gt;=NKC!$M$8),"x","")</f>
        <v/>
      </c>
      <c r="AA1704" s="803"/>
    </row>
    <row r="1705" spans="1:27" ht="15.75" customHeight="1">
      <c r="A1705" s="804" t="str">
        <f>IF(B1705&lt;&gt;"",IF(AND(B1705&gt;=_TM1,B1705&lt;=_TM2,OR(TH!L1705="1111",TH!M1705="1111")),TH!D1705,""),"")</f>
        <v/>
      </c>
      <c r="B1705" s="36">
        <f t="shared" si="113"/>
        <v>12</v>
      </c>
      <c r="C1705" s="189">
        <f t="shared" si="114"/>
        <v>42369</v>
      </c>
      <c r="D1705" s="830" t="s">
        <v>1285</v>
      </c>
      <c r="E1705" s="47">
        <v>42369</v>
      </c>
      <c r="F1705" s="48" t="s">
        <v>1221</v>
      </c>
      <c r="G1705" s="810" t="s">
        <v>1114</v>
      </c>
      <c r="H1705" s="833" t="s">
        <v>1259</v>
      </c>
      <c r="I1705" s="241">
        <v>20</v>
      </c>
      <c r="J1705" s="241">
        <v>25260</v>
      </c>
      <c r="K1705" s="834">
        <f t="shared" si="112"/>
        <v>505200</v>
      </c>
      <c r="L1705" s="835" t="s">
        <v>162</v>
      </c>
      <c r="M1705" s="835" t="s">
        <v>417</v>
      </c>
      <c r="N1705" s="51" t="str">
        <f>IF(AND('331-CT'!$E$7=TH!H1705,OR(L1705="331",M1705="331")),"331",IF(AND(OR(L1705="131",M1705="131"),H1705='131-CT'!$E$7),"131",""))</f>
        <v/>
      </c>
      <c r="O1705" s="51" t="str">
        <f>IF(AND($B1705&gt;='111'!$N$11,$B1705&lt;='111'!$O$11,OR($L1705=$O$7,$M1705=$O$7)),"x","")</f>
        <v/>
      </c>
      <c r="P1705" s="51" t="str">
        <f>IF(AND($L1705=$O$7,$B1705&lt;'111'!$N$11),"x","")</f>
        <v/>
      </c>
      <c r="Q1705" s="51" t="str">
        <f>IF(AND($M1705=$O$7,$B1705&lt;'111'!$N$11),"x","")</f>
        <v/>
      </c>
      <c r="R1705" s="51" t="str">
        <f>IF(ISERROR(FIND('112'!$M$9,G1705,1)),"",IF((AND(FIND('112'!$M$9,G1705,1)&gt;=1,$B1705&gt;='112'!$N$8,$B1705&lt;='112'!$O$8,OR($L1705='112'!$I$6,$M1705='112'!$I$6))),"x",""))</f>
        <v/>
      </c>
      <c r="S1705" s="51" t="str">
        <f>IF(ISERROR(FIND('112'!$M$9,G1705,1)),"",IF((AND(LEFT(G1705,2)=LEFT('112'!$M$9,2),B1705&lt;'112'!$N$8,$L1705='112'!$I$6)),"x",""))</f>
        <v/>
      </c>
      <c r="T1705" s="51" t="str">
        <f>IF(ISERROR(FIND('112'!$M$9,G1705,1)),"",IF((AND(RIGHT(G1705,2)=RIGHT('112'!$M$9,2),B1705&lt;'112'!$N$8,$M1705='112'!$I$6)),"x",""))</f>
        <v/>
      </c>
      <c r="U1705" s="51" t="str">
        <f>IF(AND(L1705="154",'154'!$O$5&lt;=B1705,'154'!$P$5&gt;=B1705),"154",IF(AND(L1705="632",'632'!$L$5&lt;=B1705,'632'!$M$5&gt;=B1705),"632",IF(AND(L1705="642",'642'!$N$5&lt;=B1705,'642'!$O$5&gt;=B1705),"642",IF(AND(L1705="641",'641'!$N$5&lt;=B1705,'641'!$O$5&gt;=B1705),"641",""))))</f>
        <v/>
      </c>
      <c r="V1705" s="51" t="str">
        <f>IF(OR(TH!L1705=TH!$V$7,M1705=TH!$V$7),"x","")</f>
        <v/>
      </c>
      <c r="W1705" s="51" t="str">
        <f>IF(AND(B1705&gt;='IN-NX'!$P$3,B1705&lt;='IN-NX'!$Q$3,'IN-NX'!$D$7=D1705,OR(LEFT(L1705,2)="15",AND(LEFT(M1705,2)&lt;&gt;"15",LEFT(M1705,2)&lt;&gt;"33"))),"x","")</f>
        <v/>
      </c>
      <c r="X1705" s="51" t="str">
        <f>IF(AND(OR(LEFT(TH!L1705,2)="15",LEFT(TH!M1705,2)="15"),'152-CT'!$J$8=TH!F1705),"x","")</f>
        <v/>
      </c>
      <c r="Y1705" s="51" t="str">
        <f>IF(AND(OR(LEFT(TH!L1705,2)="15",LEFT(TH!M1705,2)="15"),TK!$E$7=TH!F1705),"x","")</f>
        <v/>
      </c>
      <c r="Z1705" s="51" t="str">
        <f>IF(AND(B1705&lt;=NKC!$N$8,B1705&gt;=NKC!$M$8),"x","")</f>
        <v/>
      </c>
      <c r="AA1705" s="803"/>
    </row>
    <row r="1706" spans="1:27" ht="15.75" customHeight="1">
      <c r="A1706" s="804" t="str">
        <f>IF(B1706&lt;&gt;"",IF(AND(B1706&gt;=_TM1,B1706&lt;=_TM2,OR(TH!L1706="1111",TH!M1706="1111")),TH!D1706,""),"")</f>
        <v/>
      </c>
      <c r="B1706" s="36">
        <f t="shared" si="113"/>
        <v>12</v>
      </c>
      <c r="C1706" s="189">
        <f t="shared" si="114"/>
        <v>42369</v>
      </c>
      <c r="D1706" s="830" t="s">
        <v>1285</v>
      </c>
      <c r="E1706" s="47">
        <v>42369</v>
      </c>
      <c r="F1706" s="48" t="s">
        <v>1228</v>
      </c>
      <c r="G1706" s="810" t="s">
        <v>1114</v>
      </c>
      <c r="H1706" s="833" t="s">
        <v>1259</v>
      </c>
      <c r="I1706" s="241">
        <v>6</v>
      </c>
      <c r="J1706" s="241">
        <v>33564</v>
      </c>
      <c r="K1706" s="834">
        <f t="shared" si="112"/>
        <v>201384</v>
      </c>
      <c r="L1706" s="835" t="s">
        <v>162</v>
      </c>
      <c r="M1706" s="835" t="s">
        <v>417</v>
      </c>
      <c r="N1706" s="51" t="str">
        <f>IF(AND('331-CT'!$E$7=TH!H1706,OR(L1706="331",M1706="331")),"331",IF(AND(OR(L1706="131",M1706="131"),H1706='131-CT'!$E$7),"131",""))</f>
        <v/>
      </c>
      <c r="O1706" s="51" t="str">
        <f>IF(AND($B1706&gt;='111'!$N$11,$B1706&lt;='111'!$O$11,OR($L1706=$O$7,$M1706=$O$7)),"x","")</f>
        <v/>
      </c>
      <c r="P1706" s="51" t="str">
        <f>IF(AND($L1706=$O$7,$B1706&lt;'111'!$N$11),"x","")</f>
        <v/>
      </c>
      <c r="Q1706" s="51" t="str">
        <f>IF(AND($M1706=$O$7,$B1706&lt;'111'!$N$11),"x","")</f>
        <v/>
      </c>
      <c r="R1706" s="51" t="str">
        <f>IF(ISERROR(FIND('112'!$M$9,G1706,1)),"",IF((AND(FIND('112'!$M$9,G1706,1)&gt;=1,$B1706&gt;='112'!$N$8,$B1706&lt;='112'!$O$8,OR($L1706='112'!$I$6,$M1706='112'!$I$6))),"x",""))</f>
        <v/>
      </c>
      <c r="S1706" s="51" t="str">
        <f>IF(ISERROR(FIND('112'!$M$9,G1706,1)),"",IF((AND(LEFT(G1706,2)=LEFT('112'!$M$9,2),B1706&lt;'112'!$N$8,$L1706='112'!$I$6)),"x",""))</f>
        <v/>
      </c>
      <c r="T1706" s="51" t="str">
        <f>IF(ISERROR(FIND('112'!$M$9,G1706,1)),"",IF((AND(RIGHT(G1706,2)=RIGHT('112'!$M$9,2),B1706&lt;'112'!$N$8,$M1706='112'!$I$6)),"x",""))</f>
        <v/>
      </c>
      <c r="U1706" s="51" t="str">
        <f>IF(AND(L1706="154",'154'!$O$5&lt;=B1706,'154'!$P$5&gt;=B1706),"154",IF(AND(L1706="632",'632'!$L$5&lt;=B1706,'632'!$M$5&gt;=B1706),"632",IF(AND(L1706="642",'642'!$N$5&lt;=B1706,'642'!$O$5&gt;=B1706),"642",IF(AND(L1706="641",'641'!$N$5&lt;=B1706,'641'!$O$5&gt;=B1706),"641",""))))</f>
        <v/>
      </c>
      <c r="V1706" s="51" t="str">
        <f>IF(OR(TH!L1706=TH!$V$7,M1706=TH!$V$7),"x","")</f>
        <v/>
      </c>
      <c r="W1706" s="51" t="str">
        <f>IF(AND(B1706&gt;='IN-NX'!$P$3,B1706&lt;='IN-NX'!$Q$3,'IN-NX'!$D$7=D1706,OR(LEFT(L1706,2)="15",AND(LEFT(M1706,2)&lt;&gt;"15",LEFT(M1706,2)&lt;&gt;"33"))),"x","")</f>
        <v/>
      </c>
      <c r="X1706" s="51" t="str">
        <f>IF(AND(OR(LEFT(TH!L1706,2)="15",LEFT(TH!M1706,2)="15"),'152-CT'!$J$8=TH!F1706),"x","")</f>
        <v/>
      </c>
      <c r="Y1706" s="51" t="str">
        <f>IF(AND(OR(LEFT(TH!L1706,2)="15",LEFT(TH!M1706,2)="15"),TK!$E$7=TH!F1706),"x","")</f>
        <v/>
      </c>
      <c r="Z1706" s="51" t="str">
        <f>IF(AND(B1706&lt;=NKC!$N$8,B1706&gt;=NKC!$M$8),"x","")</f>
        <v/>
      </c>
      <c r="AA1706" s="803"/>
    </row>
    <row r="1707" spans="1:27" ht="15.75" customHeight="1">
      <c r="A1707" s="804" t="str">
        <f>IF(B1707&lt;&gt;"",IF(AND(B1707&gt;=_TM1,B1707&lt;=_TM2,OR(TH!L1707="1111",TH!M1707="1111")),TH!D1707,""),"")</f>
        <v/>
      </c>
      <c r="B1707" s="36">
        <f t="shared" si="113"/>
        <v>12</v>
      </c>
      <c r="C1707" s="189">
        <f t="shared" si="114"/>
        <v>42369</v>
      </c>
      <c r="D1707" s="830" t="s">
        <v>1285</v>
      </c>
      <c r="E1707" s="845">
        <v>42369</v>
      </c>
      <c r="F1707" s="836" t="s">
        <v>1226</v>
      </c>
      <c r="G1707" s="846" t="s">
        <v>1114</v>
      </c>
      <c r="H1707" s="833" t="s">
        <v>1259</v>
      </c>
      <c r="I1707" s="241">
        <v>284</v>
      </c>
      <c r="J1707" s="241">
        <v>16605.647887323943</v>
      </c>
      <c r="K1707" s="834">
        <f t="shared" si="112"/>
        <v>4716004</v>
      </c>
      <c r="L1707" s="835" t="s">
        <v>162</v>
      </c>
      <c r="M1707" s="835" t="s">
        <v>417</v>
      </c>
      <c r="N1707" s="51" t="str">
        <f>IF(AND('331-CT'!$E$7=TH!H1707,OR(L1707="331",M1707="331")),"331",IF(AND(OR(L1707="131",M1707="131"),H1707='131-CT'!$E$7),"131",""))</f>
        <v/>
      </c>
      <c r="O1707" s="51" t="str">
        <f>IF(AND($B1707&gt;='111'!$N$11,$B1707&lt;='111'!$O$11,OR($L1707=$O$7,$M1707=$O$7)),"x","")</f>
        <v/>
      </c>
      <c r="P1707" s="51" t="str">
        <f>IF(AND($L1707=$O$7,$B1707&lt;'111'!$N$11),"x","")</f>
        <v/>
      </c>
      <c r="Q1707" s="51" t="str">
        <f>IF(AND($M1707=$O$7,$B1707&lt;'111'!$N$11),"x","")</f>
        <v/>
      </c>
      <c r="R1707" s="51" t="str">
        <f>IF(ISERROR(FIND('112'!$M$9,G1707,1)),"",IF((AND(FIND('112'!$M$9,G1707,1)&gt;=1,$B1707&gt;='112'!$N$8,$B1707&lt;='112'!$O$8,OR($L1707='112'!$I$6,$M1707='112'!$I$6))),"x",""))</f>
        <v/>
      </c>
      <c r="S1707" s="51" t="str">
        <f>IF(ISERROR(FIND('112'!$M$9,G1707,1)),"",IF((AND(LEFT(G1707,2)=LEFT('112'!$M$9,2),B1707&lt;'112'!$N$8,$L1707='112'!$I$6)),"x",""))</f>
        <v/>
      </c>
      <c r="T1707" s="51" t="str">
        <f>IF(ISERROR(FIND('112'!$M$9,G1707,1)),"",IF((AND(RIGHT(G1707,2)=RIGHT('112'!$M$9,2),B1707&lt;'112'!$N$8,$M1707='112'!$I$6)),"x",""))</f>
        <v/>
      </c>
      <c r="U1707" s="51" t="str">
        <f>IF(AND(L1707="154",'154'!$O$5&lt;=B1707,'154'!$P$5&gt;=B1707),"154",IF(AND(L1707="632",'632'!$L$5&lt;=B1707,'632'!$M$5&gt;=B1707),"632",IF(AND(L1707="642",'642'!$N$5&lt;=B1707,'642'!$O$5&gt;=B1707),"642",IF(AND(L1707="641",'641'!$N$5&lt;=B1707,'641'!$O$5&gt;=B1707),"641",""))))</f>
        <v/>
      </c>
      <c r="V1707" s="51" t="str">
        <f>IF(OR(TH!L1707=TH!$V$7,M1707=TH!$V$7),"x","")</f>
        <v/>
      </c>
      <c r="W1707" s="51" t="str">
        <f>IF(AND(B1707&gt;='IN-NX'!$P$3,B1707&lt;='IN-NX'!$Q$3,'IN-NX'!$D$7=D1707,OR(LEFT(L1707,2)="15",AND(LEFT(M1707,2)&lt;&gt;"15",LEFT(M1707,2)&lt;&gt;"33"))),"x","")</f>
        <v/>
      </c>
      <c r="X1707" s="51" t="str">
        <f>IF(AND(OR(LEFT(TH!L1707,2)="15",LEFT(TH!M1707,2)="15"),'152-CT'!$J$8=TH!F1707),"x","")</f>
        <v/>
      </c>
      <c r="Y1707" s="51" t="str">
        <f>IF(AND(OR(LEFT(TH!L1707,2)="15",LEFT(TH!M1707,2)="15"),TK!$E$7=TH!F1707),"x","")</f>
        <v/>
      </c>
      <c r="Z1707" s="51" t="str">
        <f>IF(AND(B1707&lt;=NKC!$N$8,B1707&gt;=NKC!$M$8),"x","")</f>
        <v/>
      </c>
      <c r="AA1707" s="803"/>
    </row>
    <row r="1708" spans="1:27" ht="15.75" customHeight="1">
      <c r="A1708" s="804" t="str">
        <f>IF(B1708&lt;&gt;"",IF(AND(B1708&gt;=_TM1,B1708&lt;=_TM2,OR(TH!L1708="1111",TH!M1708="1111")),TH!D1708,""),"")</f>
        <v/>
      </c>
      <c r="B1708" s="36">
        <f t="shared" si="113"/>
        <v>12</v>
      </c>
      <c r="C1708" s="189">
        <f t="shared" si="114"/>
        <v>42369</v>
      </c>
      <c r="D1708" s="830" t="s">
        <v>1285</v>
      </c>
      <c r="E1708" s="830">
        <v>42369</v>
      </c>
      <c r="F1708" s="831" t="s">
        <v>1229</v>
      </c>
      <c r="G1708" s="832" t="s">
        <v>1114</v>
      </c>
      <c r="H1708" s="833" t="s">
        <v>1259</v>
      </c>
      <c r="I1708" s="241">
        <v>8</v>
      </c>
      <c r="J1708" s="241">
        <v>21567</v>
      </c>
      <c r="K1708" s="834">
        <f t="shared" si="112"/>
        <v>172536</v>
      </c>
      <c r="L1708" s="835" t="s">
        <v>162</v>
      </c>
      <c r="M1708" s="835" t="s">
        <v>417</v>
      </c>
      <c r="N1708" s="51" t="str">
        <f>IF(AND('331-CT'!$E$7=TH!H1708,OR(L1708="331",M1708="331")),"331",IF(AND(OR(L1708="131",M1708="131"),H1708='131-CT'!$E$7),"131",""))</f>
        <v/>
      </c>
      <c r="O1708" s="51" t="str">
        <f>IF(AND($B1708&gt;='111'!$N$11,$B1708&lt;='111'!$O$11,OR($L1708=$O$7,$M1708=$O$7)),"x","")</f>
        <v/>
      </c>
      <c r="P1708" s="51" t="str">
        <f>IF(AND($L1708=$O$7,$B1708&lt;'111'!$N$11),"x","")</f>
        <v/>
      </c>
      <c r="Q1708" s="51" t="str">
        <f>IF(AND($M1708=$O$7,$B1708&lt;'111'!$N$11),"x","")</f>
        <v/>
      </c>
      <c r="R1708" s="51" t="str">
        <f>IF(ISERROR(FIND('112'!$M$9,G1708,1)),"",IF((AND(FIND('112'!$M$9,G1708,1)&gt;=1,$B1708&gt;='112'!$N$8,$B1708&lt;='112'!$O$8,OR($L1708='112'!$I$6,$M1708='112'!$I$6))),"x",""))</f>
        <v/>
      </c>
      <c r="S1708" s="51" t="str">
        <f>IF(ISERROR(FIND('112'!$M$9,G1708,1)),"",IF((AND(LEFT(G1708,2)=LEFT('112'!$M$9,2),B1708&lt;'112'!$N$8,$L1708='112'!$I$6)),"x",""))</f>
        <v/>
      </c>
      <c r="T1708" s="51" t="str">
        <f>IF(ISERROR(FIND('112'!$M$9,G1708,1)),"",IF((AND(RIGHT(G1708,2)=RIGHT('112'!$M$9,2),B1708&lt;'112'!$N$8,$M1708='112'!$I$6)),"x",""))</f>
        <v/>
      </c>
      <c r="U1708" s="51" t="str">
        <f>IF(AND(L1708="154",'154'!$O$5&lt;=B1708,'154'!$P$5&gt;=B1708),"154",IF(AND(L1708="632",'632'!$L$5&lt;=B1708,'632'!$M$5&gt;=B1708),"632",IF(AND(L1708="642",'642'!$N$5&lt;=B1708,'642'!$O$5&gt;=B1708),"642",IF(AND(L1708="641",'641'!$N$5&lt;=B1708,'641'!$O$5&gt;=B1708),"641",""))))</f>
        <v/>
      </c>
      <c r="V1708" s="51" t="str">
        <f>IF(OR(TH!L1708=TH!$V$7,M1708=TH!$V$7),"x","")</f>
        <v/>
      </c>
      <c r="W1708" s="51" t="str">
        <f>IF(AND(B1708&gt;='IN-NX'!$P$3,B1708&lt;='IN-NX'!$Q$3,'IN-NX'!$D$7=D1708,OR(LEFT(L1708,2)="15",AND(LEFT(M1708,2)&lt;&gt;"15",LEFT(M1708,2)&lt;&gt;"33"))),"x","")</f>
        <v/>
      </c>
      <c r="X1708" s="51" t="str">
        <f>IF(AND(OR(LEFT(TH!L1708,2)="15",LEFT(TH!M1708,2)="15"),'152-CT'!$J$8=TH!F1708),"x","")</f>
        <v/>
      </c>
      <c r="Y1708" s="51" t="str">
        <f>IF(AND(OR(LEFT(TH!L1708,2)="15",LEFT(TH!M1708,2)="15"),TK!$E$7=TH!F1708),"x","")</f>
        <v/>
      </c>
      <c r="Z1708" s="51" t="str">
        <f>IF(AND(B1708&lt;=NKC!$N$8,B1708&gt;=NKC!$M$8),"x","")</f>
        <v/>
      </c>
      <c r="AA1708" s="803"/>
    </row>
    <row r="1709" spans="1:27" ht="15.75" customHeight="1">
      <c r="A1709" s="804" t="str">
        <f>IF(B1709&lt;&gt;"",IF(AND(B1709&gt;=_TM1,B1709&lt;=_TM2,OR(TH!L1709="1111",TH!M1709="1111")),TH!D1709,""),"")</f>
        <v/>
      </c>
      <c r="B1709" s="36">
        <f t="shared" si="113"/>
        <v>12</v>
      </c>
      <c r="C1709" s="189">
        <f t="shared" si="114"/>
        <v>42369</v>
      </c>
      <c r="D1709" s="830" t="s">
        <v>1285</v>
      </c>
      <c r="E1709" s="830">
        <v>42369</v>
      </c>
      <c r="F1709" s="831" t="s">
        <v>1218</v>
      </c>
      <c r="G1709" s="832" t="s">
        <v>1114</v>
      </c>
      <c r="H1709" s="833" t="s">
        <v>1259</v>
      </c>
      <c r="I1709" s="241">
        <v>8</v>
      </c>
      <c r="J1709" s="241">
        <v>40508</v>
      </c>
      <c r="K1709" s="834">
        <f t="shared" si="112"/>
        <v>324064</v>
      </c>
      <c r="L1709" s="835" t="s">
        <v>162</v>
      </c>
      <c r="M1709" s="835" t="s">
        <v>417</v>
      </c>
      <c r="N1709" s="51" t="str">
        <f>IF(AND('331-CT'!$E$7=TH!H1709,OR(L1709="331",M1709="331")),"331",IF(AND(OR(L1709="131",M1709="131"),H1709='131-CT'!$E$7),"131",""))</f>
        <v/>
      </c>
      <c r="O1709" s="51" t="str">
        <f>IF(AND($B1709&gt;='111'!$N$11,$B1709&lt;='111'!$O$11,OR($L1709=$O$7,$M1709=$O$7)),"x","")</f>
        <v/>
      </c>
      <c r="P1709" s="51" t="str">
        <f>IF(AND($L1709=$O$7,$B1709&lt;'111'!$N$11),"x","")</f>
        <v/>
      </c>
      <c r="Q1709" s="51" t="str">
        <f>IF(AND($M1709=$O$7,$B1709&lt;'111'!$N$11),"x","")</f>
        <v/>
      </c>
      <c r="R1709" s="51" t="str">
        <f>IF(ISERROR(FIND('112'!$M$9,G1709,1)),"",IF((AND(FIND('112'!$M$9,G1709,1)&gt;=1,$B1709&gt;='112'!$N$8,$B1709&lt;='112'!$O$8,OR($L1709='112'!$I$6,$M1709='112'!$I$6))),"x",""))</f>
        <v/>
      </c>
      <c r="S1709" s="51" t="str">
        <f>IF(ISERROR(FIND('112'!$M$9,G1709,1)),"",IF((AND(LEFT(G1709,2)=LEFT('112'!$M$9,2),B1709&lt;'112'!$N$8,$L1709='112'!$I$6)),"x",""))</f>
        <v/>
      </c>
      <c r="T1709" s="51" t="str">
        <f>IF(ISERROR(FIND('112'!$M$9,G1709,1)),"",IF((AND(RIGHT(G1709,2)=RIGHT('112'!$M$9,2),B1709&lt;'112'!$N$8,$M1709='112'!$I$6)),"x",""))</f>
        <v/>
      </c>
      <c r="U1709" s="51" t="str">
        <f>IF(AND(L1709="154",'154'!$O$5&lt;=B1709,'154'!$P$5&gt;=B1709),"154",IF(AND(L1709="632",'632'!$L$5&lt;=B1709,'632'!$M$5&gt;=B1709),"632",IF(AND(L1709="642",'642'!$N$5&lt;=B1709,'642'!$O$5&gt;=B1709),"642",IF(AND(L1709="641",'641'!$N$5&lt;=B1709,'641'!$O$5&gt;=B1709),"641",""))))</f>
        <v/>
      </c>
      <c r="V1709" s="51" t="str">
        <f>IF(OR(TH!L1709=TH!$V$7,M1709=TH!$V$7),"x","")</f>
        <v/>
      </c>
      <c r="W1709" s="51" t="str">
        <f>IF(AND(B1709&gt;='IN-NX'!$P$3,B1709&lt;='IN-NX'!$Q$3,'IN-NX'!$D$7=D1709,OR(LEFT(L1709,2)="15",AND(LEFT(M1709,2)&lt;&gt;"15",LEFT(M1709,2)&lt;&gt;"33"))),"x","")</f>
        <v/>
      </c>
      <c r="X1709" s="51" t="str">
        <f>IF(AND(OR(LEFT(TH!L1709,2)="15",LEFT(TH!M1709,2)="15"),'152-CT'!$J$8=TH!F1709),"x","")</f>
        <v/>
      </c>
      <c r="Y1709" s="51" t="str">
        <f>IF(AND(OR(LEFT(TH!L1709,2)="15",LEFT(TH!M1709,2)="15"),TK!$E$7=TH!F1709),"x","")</f>
        <v/>
      </c>
      <c r="Z1709" s="51" t="str">
        <f>IF(AND(B1709&lt;=NKC!$N$8,B1709&gt;=NKC!$M$8),"x","")</f>
        <v/>
      </c>
      <c r="AA1709" s="803"/>
    </row>
    <row r="1710" spans="1:27" ht="15.75" customHeight="1">
      <c r="A1710" s="804" t="str">
        <f>IF(B1710&lt;&gt;"",IF(AND(B1710&gt;=_TM1,B1710&lt;=_TM2,OR(TH!L1710="1111",TH!M1710="1111")),TH!D1710,""),"")</f>
        <v/>
      </c>
      <c r="B1710" s="36">
        <f t="shared" si="113"/>
        <v>12</v>
      </c>
      <c r="C1710" s="189">
        <f t="shared" si="114"/>
        <v>42369</v>
      </c>
      <c r="D1710" s="830" t="s">
        <v>1285</v>
      </c>
      <c r="E1710" s="830">
        <v>42369</v>
      </c>
      <c r="F1710" s="831" t="s">
        <v>1232</v>
      </c>
      <c r="G1710" s="832" t="s">
        <v>1114</v>
      </c>
      <c r="H1710" s="833" t="s">
        <v>1259</v>
      </c>
      <c r="I1710" s="241">
        <v>1000</v>
      </c>
      <c r="J1710" s="241">
        <v>4203</v>
      </c>
      <c r="K1710" s="834">
        <f t="shared" si="112"/>
        <v>4203000</v>
      </c>
      <c r="L1710" s="835" t="s">
        <v>162</v>
      </c>
      <c r="M1710" s="835" t="s">
        <v>417</v>
      </c>
      <c r="N1710" s="51" t="str">
        <f>IF(AND('331-CT'!$E$7=TH!H1710,OR(L1710="331",M1710="331")),"331",IF(AND(OR(L1710="131",M1710="131"),H1710='131-CT'!$E$7),"131",""))</f>
        <v/>
      </c>
      <c r="O1710" s="51" t="str">
        <f>IF(AND($B1710&gt;='111'!$N$11,$B1710&lt;='111'!$O$11,OR($L1710=$O$7,$M1710=$O$7)),"x","")</f>
        <v/>
      </c>
      <c r="P1710" s="51" t="str">
        <f>IF(AND($L1710=$O$7,$B1710&lt;'111'!$N$11),"x","")</f>
        <v/>
      </c>
      <c r="Q1710" s="51" t="str">
        <f>IF(AND($M1710=$O$7,$B1710&lt;'111'!$N$11),"x","")</f>
        <v/>
      </c>
      <c r="R1710" s="51" t="str">
        <f>IF(ISERROR(FIND('112'!$M$9,G1710,1)),"",IF((AND(FIND('112'!$M$9,G1710,1)&gt;=1,$B1710&gt;='112'!$N$8,$B1710&lt;='112'!$O$8,OR($L1710='112'!$I$6,$M1710='112'!$I$6))),"x",""))</f>
        <v/>
      </c>
      <c r="S1710" s="51" t="str">
        <f>IF(ISERROR(FIND('112'!$M$9,G1710,1)),"",IF((AND(LEFT(G1710,2)=LEFT('112'!$M$9,2),B1710&lt;'112'!$N$8,$L1710='112'!$I$6)),"x",""))</f>
        <v/>
      </c>
      <c r="T1710" s="51" t="str">
        <f>IF(ISERROR(FIND('112'!$M$9,G1710,1)),"",IF((AND(RIGHT(G1710,2)=RIGHT('112'!$M$9,2),B1710&lt;'112'!$N$8,$M1710='112'!$I$6)),"x",""))</f>
        <v/>
      </c>
      <c r="U1710" s="51" t="str">
        <f>IF(AND(L1710="154",'154'!$O$5&lt;=B1710,'154'!$P$5&gt;=B1710),"154",IF(AND(L1710="632",'632'!$L$5&lt;=B1710,'632'!$M$5&gt;=B1710),"632",IF(AND(L1710="642",'642'!$N$5&lt;=B1710,'642'!$O$5&gt;=B1710),"642",IF(AND(L1710="641",'641'!$N$5&lt;=B1710,'641'!$O$5&gt;=B1710),"641",""))))</f>
        <v/>
      </c>
      <c r="V1710" s="51" t="str">
        <f>IF(OR(TH!L1710=TH!$V$7,M1710=TH!$V$7),"x","")</f>
        <v/>
      </c>
      <c r="W1710" s="51" t="str">
        <f>IF(AND(B1710&gt;='IN-NX'!$P$3,B1710&lt;='IN-NX'!$Q$3,'IN-NX'!$D$7=D1710,OR(LEFT(L1710,2)="15",AND(LEFT(M1710,2)&lt;&gt;"15",LEFT(M1710,2)&lt;&gt;"33"))),"x","")</f>
        <v/>
      </c>
      <c r="X1710" s="51" t="str">
        <f>IF(AND(OR(LEFT(TH!L1710,2)="15",LEFT(TH!M1710,2)="15"),'152-CT'!$J$8=TH!F1710),"x","")</f>
        <v/>
      </c>
      <c r="Y1710" s="51" t="str">
        <f>IF(AND(OR(LEFT(TH!L1710,2)="15",LEFT(TH!M1710,2)="15"),TK!$E$7=TH!F1710),"x","")</f>
        <v/>
      </c>
      <c r="Z1710" s="51" t="str">
        <f>IF(AND(B1710&lt;=NKC!$N$8,B1710&gt;=NKC!$M$8),"x","")</f>
        <v/>
      </c>
      <c r="AA1710" s="803"/>
    </row>
    <row r="1711" spans="1:27" ht="15.75" customHeight="1">
      <c r="A1711" s="804" t="str">
        <f>IF(B1711&lt;&gt;"",IF(AND(B1711&gt;=_TM1,B1711&lt;=_TM2,OR(TH!L1711="1111",TH!M1711="1111")),TH!D1711,""),"")</f>
        <v/>
      </c>
      <c r="B1711" s="36">
        <f t="shared" si="113"/>
        <v>12</v>
      </c>
      <c r="C1711" s="189">
        <f t="shared" si="114"/>
        <v>42369</v>
      </c>
      <c r="D1711" s="830" t="s">
        <v>1285</v>
      </c>
      <c r="E1711" s="830">
        <v>42369</v>
      </c>
      <c r="F1711" s="831" t="s">
        <v>925</v>
      </c>
      <c r="G1711" s="832" t="s">
        <v>1114</v>
      </c>
      <c r="H1711" s="833" t="s">
        <v>1259</v>
      </c>
      <c r="I1711" s="241">
        <v>2200</v>
      </c>
      <c r="J1711" s="241">
        <v>9598</v>
      </c>
      <c r="K1711" s="834">
        <f t="shared" si="112"/>
        <v>21115600</v>
      </c>
      <c r="L1711" s="835" t="s">
        <v>162</v>
      </c>
      <c r="M1711" s="835" t="s">
        <v>417</v>
      </c>
      <c r="N1711" s="51" t="str">
        <f>IF(AND('331-CT'!$E$7=TH!H1711,OR(L1711="331",M1711="331")),"331",IF(AND(OR(L1711="131",M1711="131"),H1711='131-CT'!$E$7),"131",""))</f>
        <v/>
      </c>
      <c r="O1711" s="51" t="str">
        <f>IF(AND($B1711&gt;='111'!$N$11,$B1711&lt;='111'!$O$11,OR($L1711=$O$7,$M1711=$O$7)),"x","")</f>
        <v/>
      </c>
      <c r="P1711" s="51" t="str">
        <f>IF(AND($L1711=$O$7,$B1711&lt;'111'!$N$11),"x","")</f>
        <v/>
      </c>
      <c r="Q1711" s="51" t="str">
        <f>IF(AND($M1711=$O$7,$B1711&lt;'111'!$N$11),"x","")</f>
        <v/>
      </c>
      <c r="R1711" s="51" t="str">
        <f>IF(ISERROR(FIND('112'!$M$9,G1711,1)),"",IF((AND(FIND('112'!$M$9,G1711,1)&gt;=1,$B1711&gt;='112'!$N$8,$B1711&lt;='112'!$O$8,OR($L1711='112'!$I$6,$M1711='112'!$I$6))),"x",""))</f>
        <v/>
      </c>
      <c r="S1711" s="51" t="str">
        <f>IF(ISERROR(FIND('112'!$M$9,G1711,1)),"",IF((AND(LEFT(G1711,2)=LEFT('112'!$M$9,2),B1711&lt;'112'!$N$8,$L1711='112'!$I$6)),"x",""))</f>
        <v/>
      </c>
      <c r="T1711" s="51" t="str">
        <f>IF(ISERROR(FIND('112'!$M$9,G1711,1)),"",IF((AND(RIGHT(G1711,2)=RIGHT('112'!$M$9,2),B1711&lt;'112'!$N$8,$M1711='112'!$I$6)),"x",""))</f>
        <v/>
      </c>
      <c r="U1711" s="51" t="str">
        <f>IF(AND(L1711="154",'154'!$O$5&lt;=B1711,'154'!$P$5&gt;=B1711),"154",IF(AND(L1711="632",'632'!$L$5&lt;=B1711,'632'!$M$5&gt;=B1711),"632",IF(AND(L1711="642",'642'!$N$5&lt;=B1711,'642'!$O$5&gt;=B1711),"642",IF(AND(L1711="641",'641'!$N$5&lt;=B1711,'641'!$O$5&gt;=B1711),"641",""))))</f>
        <v/>
      </c>
      <c r="V1711" s="51" t="str">
        <f>IF(OR(TH!L1711=TH!$V$7,M1711=TH!$V$7),"x","")</f>
        <v/>
      </c>
      <c r="W1711" s="51" t="str">
        <f>IF(AND(B1711&gt;='IN-NX'!$P$3,B1711&lt;='IN-NX'!$Q$3,'IN-NX'!$D$7=D1711,OR(LEFT(L1711,2)="15",AND(LEFT(M1711,2)&lt;&gt;"15",LEFT(M1711,2)&lt;&gt;"33"))),"x","")</f>
        <v/>
      </c>
      <c r="X1711" s="51" t="str">
        <f>IF(AND(OR(LEFT(TH!L1711,2)="15",LEFT(TH!M1711,2)="15"),'152-CT'!$J$8=TH!F1711),"x","")</f>
        <v/>
      </c>
      <c r="Y1711" s="51" t="str">
        <f>IF(AND(OR(LEFT(TH!L1711,2)="15",LEFT(TH!M1711,2)="15"),TK!$E$7=TH!F1711),"x","")</f>
        <v/>
      </c>
      <c r="Z1711" s="51" t="str">
        <f>IF(AND(B1711&lt;=NKC!$N$8,B1711&gt;=NKC!$M$8),"x","")</f>
        <v/>
      </c>
      <c r="AA1711" s="803"/>
    </row>
    <row r="1712" spans="1:27" ht="15.75" customHeight="1">
      <c r="A1712" s="804" t="str">
        <f>IF(B1712&lt;&gt;"",IF(AND(B1712&gt;=_TM1,B1712&lt;=_TM2,OR(TH!L1712="1111",TH!M1712="1111")),TH!D1712,""),"")</f>
        <v/>
      </c>
      <c r="B1712" s="36">
        <f t="shared" si="113"/>
        <v>12</v>
      </c>
      <c r="C1712" s="189">
        <f t="shared" si="114"/>
        <v>42369</v>
      </c>
      <c r="D1712" s="830" t="s">
        <v>1285</v>
      </c>
      <c r="E1712" s="830">
        <v>42369</v>
      </c>
      <c r="F1712" s="831" t="s">
        <v>1233</v>
      </c>
      <c r="G1712" s="832" t="s">
        <v>1114</v>
      </c>
      <c r="H1712" s="833" t="s">
        <v>1259</v>
      </c>
      <c r="I1712" s="241">
        <v>2000</v>
      </c>
      <c r="J1712" s="241">
        <v>6119</v>
      </c>
      <c r="K1712" s="834">
        <f t="shared" si="112"/>
        <v>12238000</v>
      </c>
      <c r="L1712" s="835" t="s">
        <v>162</v>
      </c>
      <c r="M1712" s="835" t="s">
        <v>417</v>
      </c>
      <c r="N1712" s="51" t="str">
        <f>IF(AND('331-CT'!$E$7=TH!H1712,OR(L1712="331",M1712="331")),"331",IF(AND(OR(L1712="131",M1712="131"),H1712='131-CT'!$E$7),"131",""))</f>
        <v/>
      </c>
      <c r="O1712" s="51" t="str">
        <f>IF(AND($B1712&gt;='111'!$N$11,$B1712&lt;='111'!$O$11,OR($L1712=$O$7,$M1712=$O$7)),"x","")</f>
        <v/>
      </c>
      <c r="P1712" s="51" t="str">
        <f>IF(AND($L1712=$O$7,$B1712&lt;'111'!$N$11),"x","")</f>
        <v/>
      </c>
      <c r="Q1712" s="51" t="str">
        <f>IF(AND($M1712=$O$7,$B1712&lt;'111'!$N$11),"x","")</f>
        <v/>
      </c>
      <c r="R1712" s="51" t="str">
        <f>IF(ISERROR(FIND('112'!$M$9,G1712,1)),"",IF((AND(FIND('112'!$M$9,G1712,1)&gt;=1,$B1712&gt;='112'!$N$8,$B1712&lt;='112'!$O$8,OR($L1712='112'!$I$6,$M1712='112'!$I$6))),"x",""))</f>
        <v/>
      </c>
      <c r="S1712" s="51" t="str">
        <f>IF(ISERROR(FIND('112'!$M$9,G1712,1)),"",IF((AND(LEFT(G1712,2)=LEFT('112'!$M$9,2),B1712&lt;'112'!$N$8,$L1712='112'!$I$6)),"x",""))</f>
        <v/>
      </c>
      <c r="T1712" s="51" t="str">
        <f>IF(ISERROR(FIND('112'!$M$9,G1712,1)),"",IF((AND(RIGHT(G1712,2)=RIGHT('112'!$M$9,2),B1712&lt;'112'!$N$8,$M1712='112'!$I$6)),"x",""))</f>
        <v/>
      </c>
      <c r="U1712" s="51" t="str">
        <f>IF(AND(L1712="154",'154'!$O$5&lt;=B1712,'154'!$P$5&gt;=B1712),"154",IF(AND(L1712="632",'632'!$L$5&lt;=B1712,'632'!$M$5&gt;=B1712),"632",IF(AND(L1712="642",'642'!$N$5&lt;=B1712,'642'!$O$5&gt;=B1712),"642",IF(AND(L1712="641",'641'!$N$5&lt;=B1712,'641'!$O$5&gt;=B1712),"641",""))))</f>
        <v/>
      </c>
      <c r="V1712" s="51" t="str">
        <f>IF(OR(TH!L1712=TH!$V$7,M1712=TH!$V$7),"x","")</f>
        <v/>
      </c>
      <c r="W1712" s="51" t="str">
        <f>IF(AND(B1712&gt;='IN-NX'!$P$3,B1712&lt;='IN-NX'!$Q$3,'IN-NX'!$D$7=D1712,OR(LEFT(L1712,2)="15",AND(LEFT(M1712,2)&lt;&gt;"15",LEFT(M1712,2)&lt;&gt;"33"))),"x","")</f>
        <v/>
      </c>
      <c r="X1712" s="51" t="str">
        <f>IF(AND(OR(LEFT(TH!L1712,2)="15",LEFT(TH!M1712,2)="15"),'152-CT'!$J$8=TH!F1712),"x","")</f>
        <v/>
      </c>
      <c r="Y1712" s="51" t="str">
        <f>IF(AND(OR(LEFT(TH!L1712,2)="15",LEFT(TH!M1712,2)="15"),TK!$E$7=TH!F1712),"x","")</f>
        <v/>
      </c>
      <c r="Z1712" s="51" t="str">
        <f>IF(AND(B1712&lt;=NKC!$N$8,B1712&gt;=NKC!$M$8),"x","")</f>
        <v/>
      </c>
      <c r="AA1712" s="803"/>
    </row>
    <row r="1713" spans="1:27" ht="15.75" customHeight="1">
      <c r="A1713" s="804" t="str">
        <f>IF(B1713&lt;&gt;"",IF(AND(B1713&gt;=_TM1,B1713&lt;=_TM2,OR(TH!L1713="1111",TH!M1713="1111")),TH!D1713,""),"")</f>
        <v/>
      </c>
      <c r="B1713" s="36">
        <f t="shared" si="113"/>
        <v>12</v>
      </c>
      <c r="C1713" s="189">
        <f t="shared" si="114"/>
        <v>42369</v>
      </c>
      <c r="D1713" s="830" t="s">
        <v>1285</v>
      </c>
      <c r="E1713" s="830">
        <v>42369</v>
      </c>
      <c r="F1713" s="831" t="s">
        <v>926</v>
      </c>
      <c r="G1713" s="832" t="s">
        <v>1114</v>
      </c>
      <c r="H1713" s="833" t="s">
        <v>1259</v>
      </c>
      <c r="I1713" s="241">
        <v>1850</v>
      </c>
      <c r="J1713" s="241">
        <v>8234</v>
      </c>
      <c r="K1713" s="834">
        <f t="shared" si="112"/>
        <v>15232900</v>
      </c>
      <c r="L1713" s="835" t="s">
        <v>162</v>
      </c>
      <c r="M1713" s="835" t="s">
        <v>417</v>
      </c>
      <c r="N1713" s="51" t="str">
        <f>IF(AND('331-CT'!$E$7=TH!H1713,OR(L1713="331",M1713="331")),"331",IF(AND(OR(L1713="131",M1713="131"),H1713='131-CT'!$E$7),"131",""))</f>
        <v/>
      </c>
      <c r="O1713" s="51" t="str">
        <f>IF(AND($B1713&gt;='111'!$N$11,$B1713&lt;='111'!$O$11,OR($L1713=$O$7,$M1713=$O$7)),"x","")</f>
        <v/>
      </c>
      <c r="P1713" s="51" t="str">
        <f>IF(AND($L1713=$O$7,$B1713&lt;'111'!$N$11),"x","")</f>
        <v/>
      </c>
      <c r="Q1713" s="51" t="str">
        <f>IF(AND($M1713=$O$7,$B1713&lt;'111'!$N$11),"x","")</f>
        <v/>
      </c>
      <c r="R1713" s="51" t="str">
        <f>IF(ISERROR(FIND('112'!$M$9,G1713,1)),"",IF((AND(FIND('112'!$M$9,G1713,1)&gt;=1,$B1713&gt;='112'!$N$8,$B1713&lt;='112'!$O$8,OR($L1713='112'!$I$6,$M1713='112'!$I$6))),"x",""))</f>
        <v/>
      </c>
      <c r="S1713" s="51" t="str">
        <f>IF(ISERROR(FIND('112'!$M$9,G1713,1)),"",IF((AND(LEFT(G1713,2)=LEFT('112'!$M$9,2),B1713&lt;'112'!$N$8,$L1713='112'!$I$6)),"x",""))</f>
        <v/>
      </c>
      <c r="T1713" s="51" t="str">
        <f>IF(ISERROR(FIND('112'!$M$9,G1713,1)),"",IF((AND(RIGHT(G1713,2)=RIGHT('112'!$M$9,2),B1713&lt;'112'!$N$8,$M1713='112'!$I$6)),"x",""))</f>
        <v/>
      </c>
      <c r="U1713" s="51" t="str">
        <f>IF(AND(L1713="154",'154'!$O$5&lt;=B1713,'154'!$P$5&gt;=B1713),"154",IF(AND(L1713="632",'632'!$L$5&lt;=B1713,'632'!$M$5&gt;=B1713),"632",IF(AND(L1713="642",'642'!$N$5&lt;=B1713,'642'!$O$5&gt;=B1713),"642",IF(AND(L1713="641",'641'!$N$5&lt;=B1713,'641'!$O$5&gt;=B1713),"641",""))))</f>
        <v/>
      </c>
      <c r="V1713" s="51" t="str">
        <f>IF(OR(TH!L1713=TH!$V$7,M1713=TH!$V$7),"x","")</f>
        <v/>
      </c>
      <c r="W1713" s="51" t="str">
        <f>IF(AND(B1713&gt;='IN-NX'!$P$3,B1713&lt;='IN-NX'!$Q$3,'IN-NX'!$D$7=D1713,OR(LEFT(L1713,2)="15",AND(LEFT(M1713,2)&lt;&gt;"15",LEFT(M1713,2)&lt;&gt;"33"))),"x","")</f>
        <v/>
      </c>
      <c r="X1713" s="51" t="str">
        <f>IF(AND(OR(LEFT(TH!L1713,2)="15",LEFT(TH!M1713,2)="15"),'152-CT'!$J$8=TH!F1713),"x","")</f>
        <v/>
      </c>
      <c r="Y1713" s="51" t="str">
        <f>IF(AND(OR(LEFT(TH!L1713,2)="15",LEFT(TH!M1713,2)="15"),TK!$E$7=TH!F1713),"x","")</f>
        <v/>
      </c>
      <c r="Z1713" s="51" t="str">
        <f>IF(AND(B1713&lt;=NKC!$N$8,B1713&gt;=NKC!$M$8),"x","")</f>
        <v/>
      </c>
      <c r="AA1713" s="803"/>
    </row>
    <row r="1714" spans="1:27" ht="15.75" customHeight="1">
      <c r="A1714" s="804" t="str">
        <f>IF(B1714&lt;&gt;"",IF(AND(B1714&gt;=_TM1,B1714&lt;=_TM2,OR(TH!L1714="1111",TH!M1714="1111")),TH!D1714,""),"")</f>
        <v/>
      </c>
      <c r="B1714" s="36">
        <f t="shared" si="113"/>
        <v>12</v>
      </c>
      <c r="C1714" s="189">
        <f t="shared" si="114"/>
        <v>42369</v>
      </c>
      <c r="D1714" s="830" t="s">
        <v>1285</v>
      </c>
      <c r="E1714" s="830">
        <v>42369</v>
      </c>
      <c r="F1714" s="831" t="s">
        <v>927</v>
      </c>
      <c r="G1714" s="832" t="s">
        <v>1114</v>
      </c>
      <c r="H1714" s="833" t="s">
        <v>1259</v>
      </c>
      <c r="I1714" s="241">
        <v>2000</v>
      </c>
      <c r="J1714" s="241">
        <v>9383</v>
      </c>
      <c r="K1714" s="834">
        <f t="shared" si="112"/>
        <v>18766000</v>
      </c>
      <c r="L1714" s="835" t="s">
        <v>162</v>
      </c>
      <c r="M1714" s="835" t="s">
        <v>417</v>
      </c>
      <c r="N1714" s="51" t="str">
        <f>IF(AND('331-CT'!$E$7=TH!H1714,OR(L1714="331",M1714="331")),"331",IF(AND(OR(L1714="131",M1714="131"),H1714='131-CT'!$E$7),"131",""))</f>
        <v/>
      </c>
      <c r="O1714" s="51" t="str">
        <f>IF(AND($B1714&gt;='111'!$N$11,$B1714&lt;='111'!$O$11,OR($L1714=$O$7,$M1714=$O$7)),"x","")</f>
        <v/>
      </c>
      <c r="P1714" s="51" t="str">
        <f>IF(AND($L1714=$O$7,$B1714&lt;'111'!$N$11),"x","")</f>
        <v/>
      </c>
      <c r="Q1714" s="51" t="str">
        <f>IF(AND($M1714=$O$7,$B1714&lt;'111'!$N$11),"x","")</f>
        <v/>
      </c>
      <c r="R1714" s="51" t="str">
        <f>IF(ISERROR(FIND('112'!$M$9,G1714,1)),"",IF((AND(FIND('112'!$M$9,G1714,1)&gt;=1,$B1714&gt;='112'!$N$8,$B1714&lt;='112'!$O$8,OR($L1714='112'!$I$6,$M1714='112'!$I$6))),"x",""))</f>
        <v/>
      </c>
      <c r="S1714" s="51" t="str">
        <f>IF(ISERROR(FIND('112'!$M$9,G1714,1)),"",IF((AND(LEFT(G1714,2)=LEFT('112'!$M$9,2),B1714&lt;'112'!$N$8,$L1714='112'!$I$6)),"x",""))</f>
        <v/>
      </c>
      <c r="T1714" s="51" t="str">
        <f>IF(ISERROR(FIND('112'!$M$9,G1714,1)),"",IF((AND(RIGHT(G1714,2)=RIGHT('112'!$M$9,2),B1714&lt;'112'!$N$8,$M1714='112'!$I$6)),"x",""))</f>
        <v/>
      </c>
      <c r="U1714" s="51" t="str">
        <f>IF(AND(L1714="154",'154'!$O$5&lt;=B1714,'154'!$P$5&gt;=B1714),"154",IF(AND(L1714="632",'632'!$L$5&lt;=B1714,'632'!$M$5&gt;=B1714),"632",IF(AND(L1714="642",'642'!$N$5&lt;=B1714,'642'!$O$5&gt;=B1714),"642",IF(AND(L1714="641",'641'!$N$5&lt;=B1714,'641'!$O$5&gt;=B1714),"641",""))))</f>
        <v/>
      </c>
      <c r="V1714" s="51" t="str">
        <f>IF(OR(TH!L1714=TH!$V$7,M1714=TH!$V$7),"x","")</f>
        <v/>
      </c>
      <c r="W1714" s="51" t="str">
        <f>IF(AND(B1714&gt;='IN-NX'!$P$3,B1714&lt;='IN-NX'!$Q$3,'IN-NX'!$D$7=D1714,OR(LEFT(L1714,2)="15",AND(LEFT(M1714,2)&lt;&gt;"15",LEFT(M1714,2)&lt;&gt;"33"))),"x","")</f>
        <v/>
      </c>
      <c r="X1714" s="51" t="str">
        <f>IF(AND(OR(LEFT(TH!L1714,2)="15",LEFT(TH!M1714,2)="15"),'152-CT'!$J$8=TH!F1714),"x","")</f>
        <v/>
      </c>
      <c r="Y1714" s="51" t="str">
        <f>IF(AND(OR(LEFT(TH!L1714,2)="15",LEFT(TH!M1714,2)="15"),TK!$E$7=TH!F1714),"x","")</f>
        <v/>
      </c>
      <c r="Z1714" s="51" t="str">
        <f>IF(AND(B1714&lt;=NKC!$N$8,B1714&gt;=NKC!$M$8),"x","")</f>
        <v/>
      </c>
      <c r="AA1714" s="803"/>
    </row>
    <row r="1715" spans="1:27" ht="15.75" customHeight="1">
      <c r="A1715" s="804" t="str">
        <f>IF(B1715&lt;&gt;"",IF(AND(B1715&gt;=_TM1,B1715&lt;=_TM2,OR(TH!L1715="1111",TH!M1715="1111")),TH!D1715,""),"")</f>
        <v/>
      </c>
      <c r="B1715" s="36">
        <f t="shared" ref="B1715:B1746" si="115">IF(C1715&lt;&gt;"",MONTH(C1715),"")</f>
        <v>1</v>
      </c>
      <c r="C1715" s="189">
        <f t="shared" ref="C1715:C1730" si="116">E1715</f>
        <v>42013</v>
      </c>
      <c r="D1715" s="830" t="s">
        <v>1285</v>
      </c>
      <c r="E1715" s="47">
        <v>42013</v>
      </c>
      <c r="F1715" s="48" t="s">
        <v>499</v>
      </c>
      <c r="G1715" s="810" t="s">
        <v>961</v>
      </c>
      <c r="H1715" s="833" t="s">
        <v>1259</v>
      </c>
      <c r="I1715" s="241">
        <v>20</v>
      </c>
      <c r="J1715" s="241">
        <v>17614.477835051548</v>
      </c>
      <c r="K1715" s="834">
        <f t="shared" ref="K1715:K1730" si="117">ROUND(I1715*J1715,0)</f>
        <v>352290</v>
      </c>
      <c r="L1715" s="835" t="s">
        <v>162</v>
      </c>
      <c r="M1715" s="835" t="s">
        <v>417</v>
      </c>
      <c r="N1715" s="51" t="str">
        <f>IF(AND('331-CT'!$E$7=TH!H1715,OR(L1715="331",M1715="331")),"331",IF(AND(OR(L1715="131",M1715="131"),H1715='131-CT'!$E$7),"131",""))</f>
        <v/>
      </c>
      <c r="O1715" s="51" t="str">
        <f>IF(AND($B1715&gt;='111'!$N$11,$B1715&lt;='111'!$O$11,OR($L1715=$O$7,$M1715=$O$7)),"x","")</f>
        <v/>
      </c>
      <c r="P1715" s="51" t="str">
        <f>IF(AND($L1715=$O$7,$B1715&lt;'111'!$N$11),"x","")</f>
        <v/>
      </c>
      <c r="Q1715" s="51" t="str">
        <f>IF(AND($M1715=$O$7,$B1715&lt;'111'!$N$11),"x","")</f>
        <v/>
      </c>
      <c r="R1715" s="51" t="str">
        <f>IF(ISERROR(FIND('112'!$M$9,G1715,1)),"",IF((AND(FIND('112'!$M$9,G1715,1)&gt;=1,$B1715&gt;='112'!$N$8,$B1715&lt;='112'!$O$8,OR($L1715='112'!$I$6,$M1715='112'!$I$6))),"x",""))</f>
        <v/>
      </c>
      <c r="S1715" s="51" t="str">
        <f>IF(ISERROR(FIND('112'!$M$9,G1715,1)),"",IF((AND(LEFT(G1715,2)=LEFT('112'!$M$9,2),B1715&lt;'112'!$N$8,$L1715='112'!$I$6)),"x",""))</f>
        <v/>
      </c>
      <c r="T1715" s="51" t="str">
        <f>IF(ISERROR(FIND('112'!$M$9,G1715,1)),"",IF((AND(RIGHT(G1715,2)=RIGHT('112'!$M$9,2),B1715&lt;'112'!$N$8,$M1715='112'!$I$6)),"x",""))</f>
        <v/>
      </c>
      <c r="U1715" s="51" t="str">
        <f>IF(AND(L1715="154",'154'!$O$5&lt;=B1715,'154'!$P$5&gt;=B1715),"154",IF(AND(L1715="632",'632'!$L$5&lt;=B1715,'632'!$M$5&gt;=B1715),"632",IF(AND(L1715="642",'642'!$N$5&lt;=B1715,'642'!$O$5&gt;=B1715),"642",IF(AND(L1715="641",'641'!$N$5&lt;=B1715,'641'!$O$5&gt;=B1715),"641",""))))</f>
        <v/>
      </c>
      <c r="V1715" s="51" t="str">
        <f>IF(OR(TH!L1715=TH!$V$7,M1715=TH!$V$7),"x","")</f>
        <v/>
      </c>
      <c r="W1715" s="51" t="str">
        <f>IF(AND(B1715&gt;='IN-NX'!$P$3,B1715&lt;='IN-NX'!$Q$3,'IN-NX'!$D$7=D1715,OR(LEFT(L1715,2)="15",AND(LEFT(M1715,2)&lt;&gt;"15",LEFT(M1715,2)&lt;&gt;"33"))),"x","")</f>
        <v/>
      </c>
      <c r="X1715" s="51" t="str">
        <f>IF(AND(OR(LEFT(TH!L1715,2)="15",LEFT(TH!M1715,2)="15"),'152-CT'!$J$8=TH!F1715),"x","")</f>
        <v/>
      </c>
      <c r="Y1715" s="51" t="str">
        <f>IF(AND(OR(LEFT(TH!L1715,2)="15",LEFT(TH!M1715,2)="15"),TK!$E$7=TH!F1715),"x","")</f>
        <v/>
      </c>
      <c r="Z1715" s="51" t="str">
        <f>IF(AND(B1715&lt;=NKC!$N$8,B1715&gt;=NKC!$M$8),"x","")</f>
        <v/>
      </c>
      <c r="AA1715" s="803"/>
    </row>
    <row r="1716" spans="1:27" ht="15.75" customHeight="1">
      <c r="A1716" s="804" t="str">
        <f>IF(B1716&lt;&gt;"",IF(AND(B1716&gt;=_TM1,B1716&lt;=_TM2,OR(TH!L1716="1111",TH!M1716="1111")),TH!D1716,""),"")</f>
        <v/>
      </c>
      <c r="B1716" s="36">
        <f t="shared" si="115"/>
        <v>1</v>
      </c>
      <c r="C1716" s="189">
        <f t="shared" si="116"/>
        <v>42021</v>
      </c>
      <c r="D1716" s="830" t="s">
        <v>1285</v>
      </c>
      <c r="E1716" s="830">
        <v>42021</v>
      </c>
      <c r="F1716" s="831" t="s">
        <v>1176</v>
      </c>
      <c r="G1716" s="832" t="s">
        <v>967</v>
      </c>
      <c r="H1716" s="833" t="s">
        <v>1259</v>
      </c>
      <c r="I1716" s="241">
        <v>425</v>
      </c>
      <c r="J1716" s="241">
        <v>14774.163129169194</v>
      </c>
      <c r="K1716" s="834">
        <f t="shared" si="117"/>
        <v>6279019</v>
      </c>
      <c r="L1716" s="835" t="s">
        <v>162</v>
      </c>
      <c r="M1716" s="835" t="s">
        <v>417</v>
      </c>
      <c r="N1716" s="51" t="str">
        <f>IF(AND('331-CT'!$E$7=TH!H1716,OR(L1716="331",M1716="331")),"331",IF(AND(OR(L1716="131",M1716="131"),H1716='131-CT'!$E$7),"131",""))</f>
        <v/>
      </c>
      <c r="O1716" s="51" t="str">
        <f>IF(AND($B1716&gt;='111'!$N$11,$B1716&lt;='111'!$O$11,OR($L1716=$O$7,$M1716=$O$7)),"x","")</f>
        <v/>
      </c>
      <c r="P1716" s="51" t="str">
        <f>IF(AND($L1716=$O$7,$B1716&lt;'111'!$N$11),"x","")</f>
        <v/>
      </c>
      <c r="Q1716" s="51" t="str">
        <f>IF(AND($M1716=$O$7,$B1716&lt;'111'!$N$11),"x","")</f>
        <v/>
      </c>
      <c r="R1716" s="51" t="str">
        <f>IF(ISERROR(FIND('112'!$M$9,G1716,1)),"",IF((AND(FIND('112'!$M$9,G1716,1)&gt;=1,$B1716&gt;='112'!$N$8,$B1716&lt;='112'!$O$8,OR($L1716='112'!$I$6,$M1716='112'!$I$6))),"x",""))</f>
        <v/>
      </c>
      <c r="S1716" s="51" t="str">
        <f>IF(ISERROR(FIND('112'!$M$9,G1716,1)),"",IF((AND(LEFT(G1716,2)=LEFT('112'!$M$9,2),B1716&lt;'112'!$N$8,$L1716='112'!$I$6)),"x",""))</f>
        <v/>
      </c>
      <c r="T1716" s="51" t="str">
        <f>IF(ISERROR(FIND('112'!$M$9,G1716,1)),"",IF((AND(RIGHT(G1716,2)=RIGHT('112'!$M$9,2),B1716&lt;'112'!$N$8,$M1716='112'!$I$6)),"x",""))</f>
        <v/>
      </c>
      <c r="U1716" s="51" t="str">
        <f>IF(AND(L1716="154",'154'!$O$5&lt;=B1716,'154'!$P$5&gt;=B1716),"154",IF(AND(L1716="632",'632'!$L$5&lt;=B1716,'632'!$M$5&gt;=B1716),"632",IF(AND(L1716="642",'642'!$N$5&lt;=B1716,'642'!$O$5&gt;=B1716),"642",IF(AND(L1716="641",'641'!$N$5&lt;=B1716,'641'!$O$5&gt;=B1716),"641",""))))</f>
        <v/>
      </c>
      <c r="V1716" s="51" t="str">
        <f>IF(OR(TH!L1716=TH!$V$7,M1716=TH!$V$7),"x","")</f>
        <v/>
      </c>
      <c r="W1716" s="51" t="str">
        <f>IF(AND(B1716&gt;='IN-NX'!$P$3,B1716&lt;='IN-NX'!$Q$3,'IN-NX'!$D$7=D1716,OR(LEFT(L1716,2)="15",AND(LEFT(M1716,2)&lt;&gt;"15",LEFT(M1716,2)&lt;&gt;"33"))),"x","")</f>
        <v/>
      </c>
      <c r="X1716" s="51" t="str">
        <f>IF(AND(OR(LEFT(TH!L1716,2)="15",LEFT(TH!M1716,2)="15"),'152-CT'!$J$8=TH!F1716),"x","")</f>
        <v/>
      </c>
      <c r="Y1716" s="51" t="str">
        <f>IF(AND(OR(LEFT(TH!L1716,2)="15",LEFT(TH!M1716,2)="15"),TK!$E$7=TH!F1716),"x","")</f>
        <v/>
      </c>
      <c r="Z1716" s="51" t="str">
        <f>IF(AND(B1716&lt;=NKC!$N$8,B1716&gt;=NKC!$M$8),"x","")</f>
        <v/>
      </c>
      <c r="AA1716" s="803"/>
    </row>
    <row r="1717" spans="1:27" ht="15.75" customHeight="1">
      <c r="A1717" s="804" t="str">
        <f>IF(B1717&lt;&gt;"",IF(AND(B1717&gt;=_TM1,B1717&lt;=_TM2,OR(TH!L1717="1111",TH!M1717="1111")),TH!D1717,""),"")</f>
        <v/>
      </c>
      <c r="B1717" s="36">
        <f t="shared" si="115"/>
        <v>1</v>
      </c>
      <c r="C1717" s="189">
        <f t="shared" si="116"/>
        <v>42021</v>
      </c>
      <c r="D1717" s="830" t="s">
        <v>1285</v>
      </c>
      <c r="E1717" s="830">
        <v>42021</v>
      </c>
      <c r="F1717" s="831" t="s">
        <v>1177</v>
      </c>
      <c r="G1717" s="832" t="s">
        <v>967</v>
      </c>
      <c r="H1717" s="833" t="s">
        <v>1259</v>
      </c>
      <c r="I1717" s="241">
        <v>126</v>
      </c>
      <c r="J1717" s="241">
        <v>15970.213549337261</v>
      </c>
      <c r="K1717" s="834">
        <f t="shared" si="117"/>
        <v>2012247</v>
      </c>
      <c r="L1717" s="835" t="s">
        <v>162</v>
      </c>
      <c r="M1717" s="835" t="s">
        <v>417</v>
      </c>
      <c r="N1717" s="51" t="str">
        <f>IF(AND('331-CT'!$E$7=TH!H1717,OR(L1717="331",M1717="331")),"331",IF(AND(OR(L1717="131",M1717="131"),H1717='131-CT'!$E$7),"131",""))</f>
        <v/>
      </c>
      <c r="O1717" s="51" t="str">
        <f>IF(AND($B1717&gt;='111'!$N$11,$B1717&lt;='111'!$O$11,OR($L1717=$O$7,$M1717=$O$7)),"x","")</f>
        <v/>
      </c>
      <c r="P1717" s="51" t="str">
        <f>IF(AND($L1717=$O$7,$B1717&lt;'111'!$N$11),"x","")</f>
        <v/>
      </c>
      <c r="Q1717" s="51" t="str">
        <f>IF(AND($M1717=$O$7,$B1717&lt;'111'!$N$11),"x","")</f>
        <v/>
      </c>
      <c r="R1717" s="51" t="str">
        <f>IF(ISERROR(FIND('112'!$M$9,G1717,1)),"",IF((AND(FIND('112'!$M$9,G1717,1)&gt;=1,$B1717&gt;='112'!$N$8,$B1717&lt;='112'!$O$8,OR($L1717='112'!$I$6,$M1717='112'!$I$6))),"x",""))</f>
        <v/>
      </c>
      <c r="S1717" s="51" t="str">
        <f>IF(ISERROR(FIND('112'!$M$9,G1717,1)),"",IF((AND(LEFT(G1717,2)=LEFT('112'!$M$9,2),B1717&lt;'112'!$N$8,$L1717='112'!$I$6)),"x",""))</f>
        <v/>
      </c>
      <c r="T1717" s="51" t="str">
        <f>IF(ISERROR(FIND('112'!$M$9,G1717,1)),"",IF((AND(RIGHT(G1717,2)=RIGHT('112'!$M$9,2),B1717&lt;'112'!$N$8,$M1717='112'!$I$6)),"x",""))</f>
        <v/>
      </c>
      <c r="U1717" s="51" t="str">
        <f>IF(AND(L1717="154",'154'!$O$5&lt;=B1717,'154'!$P$5&gt;=B1717),"154",IF(AND(L1717="632",'632'!$L$5&lt;=B1717,'632'!$M$5&gt;=B1717),"632",IF(AND(L1717="642",'642'!$N$5&lt;=B1717,'642'!$O$5&gt;=B1717),"642",IF(AND(L1717="641",'641'!$N$5&lt;=B1717,'641'!$O$5&gt;=B1717),"641",""))))</f>
        <v/>
      </c>
      <c r="V1717" s="51" t="str">
        <f>IF(OR(TH!L1717=TH!$V$7,M1717=TH!$V$7),"x","")</f>
        <v/>
      </c>
      <c r="W1717" s="51" t="str">
        <f>IF(AND(B1717&gt;='IN-NX'!$P$3,B1717&lt;='IN-NX'!$Q$3,'IN-NX'!$D$7=D1717,OR(LEFT(L1717,2)="15",AND(LEFT(M1717,2)&lt;&gt;"15",LEFT(M1717,2)&lt;&gt;"33"))),"x","")</f>
        <v/>
      </c>
      <c r="X1717" s="51" t="str">
        <f>IF(AND(OR(LEFT(TH!L1717,2)="15",LEFT(TH!M1717,2)="15"),'152-CT'!$J$8=TH!F1717),"x","")</f>
        <v/>
      </c>
      <c r="Y1717" s="51" t="str">
        <f>IF(AND(OR(LEFT(TH!L1717,2)="15",LEFT(TH!M1717,2)="15"),TK!$E$7=TH!F1717),"x","")</f>
        <v/>
      </c>
      <c r="Z1717" s="51" t="str">
        <f>IF(AND(B1717&lt;=NKC!$N$8,B1717&gt;=NKC!$M$8),"x","")</f>
        <v/>
      </c>
      <c r="AA1717" s="803"/>
    </row>
    <row r="1718" spans="1:27" ht="15.75" customHeight="1">
      <c r="A1718" s="804" t="str">
        <f>IF(B1718&lt;&gt;"",IF(AND(B1718&gt;=_TM1,B1718&lt;=_TM2,OR(TH!L1718="1111",TH!M1718="1111")),TH!D1718,""),"")</f>
        <v/>
      </c>
      <c r="B1718" s="36">
        <f t="shared" si="115"/>
        <v>1</v>
      </c>
      <c r="C1718" s="189">
        <f t="shared" si="116"/>
        <v>42027</v>
      </c>
      <c r="D1718" s="830" t="s">
        <v>1285</v>
      </c>
      <c r="E1718" s="830">
        <v>42027</v>
      </c>
      <c r="F1718" s="831" t="s">
        <v>497</v>
      </c>
      <c r="G1718" s="832" t="s">
        <v>968</v>
      </c>
      <c r="H1718" s="833" t="s">
        <v>1259</v>
      </c>
      <c r="I1718" s="241">
        <v>290</v>
      </c>
      <c r="J1718" s="241">
        <v>47468.927835051545</v>
      </c>
      <c r="K1718" s="834">
        <f t="shared" si="117"/>
        <v>13765989</v>
      </c>
      <c r="L1718" s="835" t="s">
        <v>162</v>
      </c>
      <c r="M1718" s="835" t="s">
        <v>417</v>
      </c>
      <c r="N1718" s="51" t="str">
        <f>IF(AND('331-CT'!$E$7=TH!H1718,OR(L1718="331",M1718="331")),"331",IF(AND(OR(L1718="131",M1718="131"),H1718='131-CT'!$E$7),"131",""))</f>
        <v/>
      </c>
      <c r="O1718" s="51" t="str">
        <f>IF(AND($B1718&gt;='111'!$N$11,$B1718&lt;='111'!$O$11,OR($L1718=$O$7,$M1718=$O$7)),"x","")</f>
        <v/>
      </c>
      <c r="P1718" s="51" t="str">
        <f>IF(AND($L1718=$O$7,$B1718&lt;'111'!$N$11),"x","")</f>
        <v/>
      </c>
      <c r="Q1718" s="51" t="str">
        <f>IF(AND($M1718=$O$7,$B1718&lt;'111'!$N$11),"x","")</f>
        <v/>
      </c>
      <c r="R1718" s="51" t="str">
        <f>IF(ISERROR(FIND('112'!$M$9,G1718,1)),"",IF((AND(FIND('112'!$M$9,G1718,1)&gt;=1,$B1718&gt;='112'!$N$8,$B1718&lt;='112'!$O$8,OR($L1718='112'!$I$6,$M1718='112'!$I$6))),"x",""))</f>
        <v/>
      </c>
      <c r="S1718" s="51" t="str">
        <f>IF(ISERROR(FIND('112'!$M$9,G1718,1)),"",IF((AND(LEFT(G1718,2)=LEFT('112'!$M$9,2),B1718&lt;'112'!$N$8,$L1718='112'!$I$6)),"x",""))</f>
        <v/>
      </c>
      <c r="T1718" s="51" t="str">
        <f>IF(ISERROR(FIND('112'!$M$9,G1718,1)),"",IF((AND(RIGHT(G1718,2)=RIGHT('112'!$M$9,2),B1718&lt;'112'!$N$8,$M1718='112'!$I$6)),"x",""))</f>
        <v/>
      </c>
      <c r="U1718" s="51" t="str">
        <f>IF(AND(L1718="154",'154'!$O$5&lt;=B1718,'154'!$P$5&gt;=B1718),"154",IF(AND(L1718="632",'632'!$L$5&lt;=B1718,'632'!$M$5&gt;=B1718),"632",IF(AND(L1718="642",'642'!$N$5&lt;=B1718,'642'!$O$5&gt;=B1718),"642",IF(AND(L1718="641",'641'!$N$5&lt;=B1718,'641'!$O$5&gt;=B1718),"641",""))))</f>
        <v/>
      </c>
      <c r="V1718" s="51" t="str">
        <f>IF(OR(TH!L1718=TH!$V$7,M1718=TH!$V$7),"x","")</f>
        <v/>
      </c>
      <c r="W1718" s="51" t="str">
        <f>IF(AND(B1718&gt;='IN-NX'!$P$3,B1718&lt;='IN-NX'!$Q$3,'IN-NX'!$D$7=D1718,OR(LEFT(L1718,2)="15",AND(LEFT(M1718,2)&lt;&gt;"15",LEFT(M1718,2)&lt;&gt;"33"))),"x","")</f>
        <v/>
      </c>
      <c r="X1718" s="51" t="str">
        <f>IF(AND(OR(LEFT(TH!L1718,2)="15",LEFT(TH!M1718,2)="15"),'152-CT'!$J$8=TH!F1718),"x","")</f>
        <v/>
      </c>
      <c r="Y1718" s="51" t="str">
        <f>IF(AND(OR(LEFT(TH!L1718,2)="15",LEFT(TH!M1718,2)="15"),TK!$E$7=TH!F1718),"x","")</f>
        <v/>
      </c>
      <c r="Z1718" s="51" t="str">
        <f>IF(AND(B1718&lt;=NKC!$N$8,B1718&gt;=NKC!$M$8),"x","")</f>
        <v/>
      </c>
      <c r="AA1718" s="803"/>
    </row>
    <row r="1719" spans="1:27" ht="15.75" customHeight="1">
      <c r="A1719" s="804" t="str">
        <f>IF(B1719&lt;&gt;"",IF(AND(B1719&gt;=_TM1,B1719&lt;=_TM2,OR(TH!L1719="1111",TH!M1719="1111")),TH!D1719,""),"")</f>
        <v/>
      </c>
      <c r="B1719" s="36">
        <f t="shared" si="115"/>
        <v>1</v>
      </c>
      <c r="C1719" s="189">
        <f t="shared" si="116"/>
        <v>42028</v>
      </c>
      <c r="D1719" s="830" t="s">
        <v>1285</v>
      </c>
      <c r="E1719" s="830">
        <v>42028</v>
      </c>
      <c r="F1719" s="831" t="s">
        <v>1177</v>
      </c>
      <c r="G1719" s="832" t="s">
        <v>969</v>
      </c>
      <c r="H1719" s="833" t="s">
        <v>1259</v>
      </c>
      <c r="I1719" s="241">
        <v>30</v>
      </c>
      <c r="J1719" s="241">
        <v>14670.927835051547</v>
      </c>
      <c r="K1719" s="834">
        <f t="shared" si="117"/>
        <v>440128</v>
      </c>
      <c r="L1719" s="835" t="s">
        <v>162</v>
      </c>
      <c r="M1719" s="835" t="s">
        <v>417</v>
      </c>
      <c r="N1719" s="51" t="str">
        <f>IF(AND('331-CT'!$E$7=TH!H1719,OR(L1719="331",M1719="331")),"331",IF(AND(OR(L1719="131",M1719="131"),H1719='131-CT'!$E$7),"131",""))</f>
        <v/>
      </c>
      <c r="O1719" s="51" t="str">
        <f>IF(AND($B1719&gt;='111'!$N$11,$B1719&lt;='111'!$O$11,OR($L1719=$O$7,$M1719=$O$7)),"x","")</f>
        <v/>
      </c>
      <c r="P1719" s="51" t="str">
        <f>IF(AND($L1719=$O$7,$B1719&lt;'111'!$N$11),"x","")</f>
        <v/>
      </c>
      <c r="Q1719" s="51" t="str">
        <f>IF(AND($M1719=$O$7,$B1719&lt;'111'!$N$11),"x","")</f>
        <v/>
      </c>
      <c r="R1719" s="51" t="str">
        <f>IF(ISERROR(FIND('112'!$M$9,G1719,1)),"",IF((AND(FIND('112'!$M$9,G1719,1)&gt;=1,$B1719&gt;='112'!$N$8,$B1719&lt;='112'!$O$8,OR($L1719='112'!$I$6,$M1719='112'!$I$6))),"x",""))</f>
        <v/>
      </c>
      <c r="S1719" s="51" t="str">
        <f>IF(ISERROR(FIND('112'!$M$9,G1719,1)),"",IF((AND(LEFT(G1719,2)=LEFT('112'!$M$9,2),B1719&lt;'112'!$N$8,$L1719='112'!$I$6)),"x",""))</f>
        <v/>
      </c>
      <c r="T1719" s="51" t="str">
        <f>IF(ISERROR(FIND('112'!$M$9,G1719,1)),"",IF((AND(RIGHT(G1719,2)=RIGHT('112'!$M$9,2),B1719&lt;'112'!$N$8,$M1719='112'!$I$6)),"x",""))</f>
        <v/>
      </c>
      <c r="U1719" s="51" t="str">
        <f>IF(AND(L1719="154",'154'!$O$5&lt;=B1719,'154'!$P$5&gt;=B1719),"154",IF(AND(L1719="632",'632'!$L$5&lt;=B1719,'632'!$M$5&gt;=B1719),"632",IF(AND(L1719="642",'642'!$N$5&lt;=B1719,'642'!$O$5&gt;=B1719),"642",IF(AND(L1719="641",'641'!$N$5&lt;=B1719,'641'!$O$5&gt;=B1719),"641",""))))</f>
        <v/>
      </c>
      <c r="V1719" s="51" t="str">
        <f>IF(OR(TH!L1719=TH!$V$7,M1719=TH!$V$7),"x","")</f>
        <v/>
      </c>
      <c r="W1719" s="51" t="str">
        <f>IF(AND(B1719&gt;='IN-NX'!$P$3,B1719&lt;='IN-NX'!$Q$3,'IN-NX'!$D$7=D1719,OR(LEFT(L1719,2)="15",AND(LEFT(M1719,2)&lt;&gt;"15",LEFT(M1719,2)&lt;&gt;"33"))),"x","")</f>
        <v/>
      </c>
      <c r="X1719" s="51" t="str">
        <f>IF(AND(OR(LEFT(TH!L1719,2)="15",LEFT(TH!M1719,2)="15"),'152-CT'!$J$8=TH!F1719),"x","")</f>
        <v/>
      </c>
      <c r="Y1719" s="51" t="str">
        <f>IF(AND(OR(LEFT(TH!L1719,2)="15",LEFT(TH!M1719,2)="15"),TK!$E$7=TH!F1719),"x","")</f>
        <v/>
      </c>
      <c r="Z1719" s="51" t="str">
        <f>IF(AND(B1719&lt;=NKC!$N$8,B1719&gt;=NKC!$M$8),"x","")</f>
        <v/>
      </c>
      <c r="AA1719" s="803"/>
    </row>
    <row r="1720" spans="1:27" ht="15.75" customHeight="1">
      <c r="A1720" s="804" t="str">
        <f>IF(B1720&lt;&gt;"",IF(AND(B1720&gt;=_TM1,B1720&lt;=_TM2,OR(TH!L1720="1111",TH!M1720="1111")),TH!D1720,""),"")</f>
        <v/>
      </c>
      <c r="B1720" s="36">
        <f t="shared" si="115"/>
        <v>1</v>
      </c>
      <c r="C1720" s="189">
        <f t="shared" si="116"/>
        <v>42028</v>
      </c>
      <c r="D1720" s="830" t="s">
        <v>1285</v>
      </c>
      <c r="E1720" s="830">
        <v>42028</v>
      </c>
      <c r="F1720" s="831" t="s">
        <v>1178</v>
      </c>
      <c r="G1720" s="832" t="s">
        <v>969</v>
      </c>
      <c r="H1720" s="833" t="s">
        <v>1259</v>
      </c>
      <c r="I1720" s="241">
        <v>42</v>
      </c>
      <c r="J1720" s="241">
        <v>12851.927835051547</v>
      </c>
      <c r="K1720" s="834">
        <f t="shared" si="117"/>
        <v>539781</v>
      </c>
      <c r="L1720" s="835" t="s">
        <v>162</v>
      </c>
      <c r="M1720" s="835" t="s">
        <v>417</v>
      </c>
      <c r="N1720" s="51" t="str">
        <f>IF(AND('331-CT'!$E$7=TH!H1720,OR(L1720="331",M1720="331")),"331",IF(AND(OR(L1720="131",M1720="131"),H1720='131-CT'!$E$7),"131",""))</f>
        <v/>
      </c>
      <c r="O1720" s="51" t="str">
        <f>IF(AND($B1720&gt;='111'!$N$11,$B1720&lt;='111'!$O$11,OR($L1720=$O$7,$M1720=$O$7)),"x","")</f>
        <v/>
      </c>
      <c r="P1720" s="51" t="str">
        <f>IF(AND($L1720=$O$7,$B1720&lt;'111'!$N$11),"x","")</f>
        <v/>
      </c>
      <c r="Q1720" s="51" t="str">
        <f>IF(AND($M1720=$O$7,$B1720&lt;'111'!$N$11),"x","")</f>
        <v/>
      </c>
      <c r="R1720" s="51" t="str">
        <f>IF(ISERROR(FIND('112'!$M$9,G1720,1)),"",IF((AND(FIND('112'!$M$9,G1720,1)&gt;=1,$B1720&gt;='112'!$N$8,$B1720&lt;='112'!$O$8,OR($L1720='112'!$I$6,$M1720='112'!$I$6))),"x",""))</f>
        <v/>
      </c>
      <c r="S1720" s="51" t="str">
        <f>IF(ISERROR(FIND('112'!$M$9,G1720,1)),"",IF((AND(LEFT(G1720,2)=LEFT('112'!$M$9,2),B1720&lt;'112'!$N$8,$L1720='112'!$I$6)),"x",""))</f>
        <v/>
      </c>
      <c r="T1720" s="51" t="str">
        <f>IF(ISERROR(FIND('112'!$M$9,G1720,1)),"",IF((AND(RIGHT(G1720,2)=RIGHT('112'!$M$9,2),B1720&lt;'112'!$N$8,$M1720='112'!$I$6)),"x",""))</f>
        <v/>
      </c>
      <c r="U1720" s="51" t="str">
        <f>IF(AND(L1720="154",'154'!$O$5&lt;=B1720,'154'!$P$5&gt;=B1720),"154",IF(AND(L1720="632",'632'!$L$5&lt;=B1720,'632'!$M$5&gt;=B1720),"632",IF(AND(L1720="642",'642'!$N$5&lt;=B1720,'642'!$O$5&gt;=B1720),"642",IF(AND(L1720="641",'641'!$N$5&lt;=B1720,'641'!$O$5&gt;=B1720),"641",""))))</f>
        <v/>
      </c>
      <c r="V1720" s="51" t="str">
        <f>IF(OR(TH!L1720=TH!$V$7,M1720=TH!$V$7),"x","")</f>
        <v/>
      </c>
      <c r="W1720" s="51" t="str">
        <f>IF(AND(B1720&gt;='IN-NX'!$P$3,B1720&lt;='IN-NX'!$Q$3,'IN-NX'!$D$7=D1720,OR(LEFT(L1720,2)="15",AND(LEFT(M1720,2)&lt;&gt;"15",LEFT(M1720,2)&lt;&gt;"33"))),"x","")</f>
        <v/>
      </c>
      <c r="X1720" s="51" t="str">
        <f>IF(AND(OR(LEFT(TH!L1720,2)="15",LEFT(TH!M1720,2)="15"),'152-CT'!$J$8=TH!F1720),"x","")</f>
        <v/>
      </c>
      <c r="Y1720" s="51" t="str">
        <f>IF(AND(OR(LEFT(TH!L1720,2)="15",LEFT(TH!M1720,2)="15"),TK!$E$7=TH!F1720),"x","")</f>
        <v/>
      </c>
      <c r="Z1720" s="51" t="str">
        <f>IF(AND(B1720&lt;=NKC!$N$8,B1720&gt;=NKC!$M$8),"x","")</f>
        <v/>
      </c>
      <c r="AA1720" s="803"/>
    </row>
    <row r="1721" spans="1:27" ht="15.75" customHeight="1">
      <c r="A1721" s="804" t="str">
        <f>IF(B1721&lt;&gt;"",IF(AND(B1721&gt;=_TM1,B1721&lt;=_TM2,OR(TH!L1721="1111",TH!M1721="1111")),TH!D1721,""),"")</f>
        <v/>
      </c>
      <c r="B1721" s="36">
        <f t="shared" si="115"/>
        <v>1</v>
      </c>
      <c r="C1721" s="189">
        <f t="shared" si="116"/>
        <v>42030</v>
      </c>
      <c r="D1721" s="830" t="s">
        <v>1285</v>
      </c>
      <c r="E1721" s="830">
        <v>42030</v>
      </c>
      <c r="F1721" s="831" t="s">
        <v>1179</v>
      </c>
      <c r="G1721" s="832" t="s">
        <v>542</v>
      </c>
      <c r="H1721" s="833" t="s">
        <v>1259</v>
      </c>
      <c r="I1721" s="241">
        <v>345</v>
      </c>
      <c r="J1721" s="241">
        <v>9601.9626176602414</v>
      </c>
      <c r="K1721" s="834">
        <f t="shared" si="117"/>
        <v>3312677</v>
      </c>
      <c r="L1721" s="835" t="s">
        <v>162</v>
      </c>
      <c r="M1721" s="835" t="s">
        <v>417</v>
      </c>
      <c r="N1721" s="51" t="str">
        <f>IF(AND('331-CT'!$E$7=TH!H1721,OR(L1721="331",M1721="331")),"331",IF(AND(OR(L1721="131",M1721="131"),H1721='131-CT'!$E$7),"131",""))</f>
        <v/>
      </c>
      <c r="O1721" s="51" t="str">
        <f>IF(AND($B1721&gt;='111'!$N$11,$B1721&lt;='111'!$O$11,OR($L1721=$O$7,$M1721=$O$7)),"x","")</f>
        <v/>
      </c>
      <c r="P1721" s="51" t="str">
        <f>IF(AND($L1721=$O$7,$B1721&lt;'111'!$N$11),"x","")</f>
        <v/>
      </c>
      <c r="Q1721" s="51" t="str">
        <f>IF(AND($M1721=$O$7,$B1721&lt;'111'!$N$11),"x","")</f>
        <v/>
      </c>
      <c r="R1721" s="51" t="str">
        <f>IF(ISERROR(FIND('112'!$M$9,G1721,1)),"",IF((AND(FIND('112'!$M$9,G1721,1)&gt;=1,$B1721&gt;='112'!$N$8,$B1721&lt;='112'!$O$8,OR($L1721='112'!$I$6,$M1721='112'!$I$6))),"x",""))</f>
        <v/>
      </c>
      <c r="S1721" s="51" t="str">
        <f>IF(ISERROR(FIND('112'!$M$9,G1721,1)),"",IF((AND(LEFT(G1721,2)=LEFT('112'!$M$9,2),B1721&lt;'112'!$N$8,$L1721='112'!$I$6)),"x",""))</f>
        <v/>
      </c>
      <c r="T1721" s="51" t="str">
        <f>IF(ISERROR(FIND('112'!$M$9,G1721,1)),"",IF((AND(RIGHT(G1721,2)=RIGHT('112'!$M$9,2),B1721&lt;'112'!$N$8,$M1721='112'!$I$6)),"x",""))</f>
        <v/>
      </c>
      <c r="U1721" s="51" t="str">
        <f>IF(AND(L1721="154",'154'!$O$5&lt;=B1721,'154'!$P$5&gt;=B1721),"154",IF(AND(L1721="632",'632'!$L$5&lt;=B1721,'632'!$M$5&gt;=B1721),"632",IF(AND(L1721="642",'642'!$N$5&lt;=B1721,'642'!$O$5&gt;=B1721),"642",IF(AND(L1721="641",'641'!$N$5&lt;=B1721,'641'!$O$5&gt;=B1721),"641",""))))</f>
        <v/>
      </c>
      <c r="V1721" s="51" t="str">
        <f>IF(OR(TH!L1721=TH!$V$7,M1721=TH!$V$7),"x","")</f>
        <v/>
      </c>
      <c r="W1721" s="51" t="str">
        <f>IF(AND(B1721&gt;='IN-NX'!$P$3,B1721&lt;='IN-NX'!$Q$3,'IN-NX'!$D$7=D1721,OR(LEFT(L1721,2)="15",AND(LEFT(M1721,2)&lt;&gt;"15",LEFT(M1721,2)&lt;&gt;"33"))),"x","")</f>
        <v/>
      </c>
      <c r="X1721" s="51" t="str">
        <f>IF(AND(OR(LEFT(TH!L1721,2)="15",LEFT(TH!M1721,2)="15"),'152-CT'!$J$8=TH!F1721),"x","")</f>
        <v/>
      </c>
      <c r="Y1721" s="51" t="str">
        <f>IF(AND(OR(LEFT(TH!L1721,2)="15",LEFT(TH!M1721,2)="15"),TK!$E$7=TH!F1721),"x","")</f>
        <v/>
      </c>
      <c r="Z1721" s="51" t="str">
        <f>IF(AND(B1721&lt;=NKC!$N$8,B1721&gt;=NKC!$M$8),"x","")</f>
        <v/>
      </c>
      <c r="AA1721" s="803"/>
    </row>
    <row r="1722" spans="1:27" ht="15.75" customHeight="1">
      <c r="A1722" s="804" t="str">
        <f>IF(B1722&lt;&gt;"",IF(AND(B1722&gt;=_TM1,B1722&lt;=_TM2,OR(TH!L1722="1111",TH!M1722="1111")),TH!D1722,""),"")</f>
        <v/>
      </c>
      <c r="B1722" s="36">
        <f t="shared" si="115"/>
        <v>1</v>
      </c>
      <c r="C1722" s="189">
        <f t="shared" si="116"/>
        <v>42030</v>
      </c>
      <c r="D1722" s="830" t="s">
        <v>1285</v>
      </c>
      <c r="E1722" s="830">
        <v>42030</v>
      </c>
      <c r="F1722" s="831" t="s">
        <v>1180</v>
      </c>
      <c r="G1722" s="832" t="s">
        <v>542</v>
      </c>
      <c r="H1722" s="833" t="s">
        <v>1259</v>
      </c>
      <c r="I1722" s="241">
        <v>276</v>
      </c>
      <c r="J1722" s="241">
        <v>10108.058269834157</v>
      </c>
      <c r="K1722" s="834">
        <f t="shared" si="117"/>
        <v>2789824</v>
      </c>
      <c r="L1722" s="835" t="s">
        <v>162</v>
      </c>
      <c r="M1722" s="835" t="s">
        <v>417</v>
      </c>
      <c r="N1722" s="51" t="str">
        <f>IF(AND('331-CT'!$E$7=TH!H1722,OR(L1722="331",M1722="331")),"331",IF(AND(OR(L1722="131",M1722="131"),H1722='131-CT'!$E$7),"131",""))</f>
        <v/>
      </c>
      <c r="O1722" s="51" t="str">
        <f>IF(AND($B1722&gt;='111'!$N$11,$B1722&lt;='111'!$O$11,OR($L1722=$O$7,$M1722=$O$7)),"x","")</f>
        <v/>
      </c>
      <c r="P1722" s="51" t="str">
        <f>IF(AND($L1722=$O$7,$B1722&lt;'111'!$N$11),"x","")</f>
        <v/>
      </c>
      <c r="Q1722" s="51" t="str">
        <f>IF(AND($M1722=$O$7,$B1722&lt;'111'!$N$11),"x","")</f>
        <v/>
      </c>
      <c r="R1722" s="51" t="str">
        <f>IF(ISERROR(FIND('112'!$M$9,G1722,1)),"",IF((AND(FIND('112'!$M$9,G1722,1)&gt;=1,$B1722&gt;='112'!$N$8,$B1722&lt;='112'!$O$8,OR($L1722='112'!$I$6,$M1722='112'!$I$6))),"x",""))</f>
        <v/>
      </c>
      <c r="S1722" s="51" t="str">
        <f>IF(ISERROR(FIND('112'!$M$9,G1722,1)),"",IF((AND(LEFT(G1722,2)=LEFT('112'!$M$9,2),B1722&lt;'112'!$N$8,$L1722='112'!$I$6)),"x",""))</f>
        <v/>
      </c>
      <c r="T1722" s="51" t="str">
        <f>IF(ISERROR(FIND('112'!$M$9,G1722,1)),"",IF((AND(RIGHT(G1722,2)=RIGHT('112'!$M$9,2),B1722&lt;'112'!$N$8,$M1722='112'!$I$6)),"x",""))</f>
        <v/>
      </c>
      <c r="U1722" s="51" t="str">
        <f>IF(AND(L1722="154",'154'!$O$5&lt;=B1722,'154'!$P$5&gt;=B1722),"154",IF(AND(L1722="632",'632'!$L$5&lt;=B1722,'632'!$M$5&gt;=B1722),"632",IF(AND(L1722="642",'642'!$N$5&lt;=B1722,'642'!$O$5&gt;=B1722),"642",IF(AND(L1722="641",'641'!$N$5&lt;=B1722,'641'!$O$5&gt;=B1722),"641",""))))</f>
        <v/>
      </c>
      <c r="V1722" s="51" t="str">
        <f>IF(OR(TH!L1722=TH!$V$7,M1722=TH!$V$7),"x","")</f>
        <v/>
      </c>
      <c r="W1722" s="51" t="str">
        <f>IF(AND(B1722&gt;='IN-NX'!$P$3,B1722&lt;='IN-NX'!$Q$3,'IN-NX'!$D$7=D1722,OR(LEFT(L1722,2)="15",AND(LEFT(M1722,2)&lt;&gt;"15",LEFT(M1722,2)&lt;&gt;"33"))),"x","")</f>
        <v/>
      </c>
      <c r="X1722" s="51" t="str">
        <f>IF(AND(OR(LEFT(TH!L1722,2)="15",LEFT(TH!M1722,2)="15"),'152-CT'!$J$8=TH!F1722),"x","")</f>
        <v/>
      </c>
      <c r="Y1722" s="51" t="str">
        <f>IF(AND(OR(LEFT(TH!L1722,2)="15",LEFT(TH!M1722,2)="15"),TK!$E$7=TH!F1722),"x","")</f>
        <v/>
      </c>
      <c r="Z1722" s="51" t="str">
        <f>IF(AND(B1722&lt;=NKC!$N$8,B1722&gt;=NKC!$M$8),"x","")</f>
        <v/>
      </c>
      <c r="AA1722" s="803"/>
    </row>
    <row r="1723" spans="1:27" ht="15.75" customHeight="1">
      <c r="A1723" s="804" t="str">
        <f>IF(B1723&lt;&gt;"",IF(AND(B1723&gt;=_TM1,B1723&lt;=_TM2,OR(TH!L1723="1111",TH!M1723="1111")),TH!D1723,""),"")</f>
        <v/>
      </c>
      <c r="B1723" s="36">
        <f t="shared" si="115"/>
        <v>1</v>
      </c>
      <c r="C1723" s="189">
        <f t="shared" si="116"/>
        <v>42031</v>
      </c>
      <c r="D1723" s="830" t="s">
        <v>1285</v>
      </c>
      <c r="E1723" s="830">
        <v>42031</v>
      </c>
      <c r="F1723" s="831" t="s">
        <v>1181</v>
      </c>
      <c r="G1723" s="832" t="s">
        <v>971</v>
      </c>
      <c r="H1723" s="833" t="s">
        <v>1259</v>
      </c>
      <c r="I1723" s="241">
        <v>309</v>
      </c>
      <c r="J1723" s="241">
        <v>7646.3809094852031</v>
      </c>
      <c r="K1723" s="834">
        <f t="shared" si="117"/>
        <v>2362732</v>
      </c>
      <c r="L1723" s="835" t="s">
        <v>162</v>
      </c>
      <c r="M1723" s="835" t="s">
        <v>417</v>
      </c>
      <c r="N1723" s="51" t="str">
        <f>IF(AND('331-CT'!$E$7=TH!H1723,OR(L1723="331",M1723="331")),"331",IF(AND(OR(L1723="131",M1723="131"),H1723='131-CT'!$E$7),"131",""))</f>
        <v/>
      </c>
      <c r="O1723" s="51" t="str">
        <f>IF(AND($B1723&gt;='111'!$N$11,$B1723&lt;='111'!$O$11,OR($L1723=$O$7,$M1723=$O$7)),"x","")</f>
        <v/>
      </c>
      <c r="P1723" s="51" t="str">
        <f>IF(AND($L1723=$O$7,$B1723&lt;'111'!$N$11),"x","")</f>
        <v/>
      </c>
      <c r="Q1723" s="51" t="str">
        <f>IF(AND($M1723=$O$7,$B1723&lt;'111'!$N$11),"x","")</f>
        <v/>
      </c>
      <c r="R1723" s="51" t="str">
        <f>IF(ISERROR(FIND('112'!$M$9,G1723,1)),"",IF((AND(FIND('112'!$M$9,G1723,1)&gt;=1,$B1723&gt;='112'!$N$8,$B1723&lt;='112'!$O$8,OR($L1723='112'!$I$6,$M1723='112'!$I$6))),"x",""))</f>
        <v/>
      </c>
      <c r="S1723" s="51" t="str">
        <f>IF(ISERROR(FIND('112'!$M$9,G1723,1)),"",IF((AND(LEFT(G1723,2)=LEFT('112'!$M$9,2),B1723&lt;'112'!$N$8,$L1723='112'!$I$6)),"x",""))</f>
        <v/>
      </c>
      <c r="T1723" s="51" t="str">
        <f>IF(ISERROR(FIND('112'!$M$9,G1723,1)),"",IF((AND(RIGHT(G1723,2)=RIGHT('112'!$M$9,2),B1723&lt;'112'!$N$8,$M1723='112'!$I$6)),"x",""))</f>
        <v/>
      </c>
      <c r="U1723" s="51" t="str">
        <f>IF(AND(L1723="154",'154'!$O$5&lt;=B1723,'154'!$P$5&gt;=B1723),"154",IF(AND(L1723="632",'632'!$L$5&lt;=B1723,'632'!$M$5&gt;=B1723),"632",IF(AND(L1723="642",'642'!$N$5&lt;=B1723,'642'!$O$5&gt;=B1723),"642",IF(AND(L1723="641",'641'!$N$5&lt;=B1723,'641'!$O$5&gt;=B1723),"641",""))))</f>
        <v/>
      </c>
      <c r="V1723" s="51" t="str">
        <f>IF(OR(TH!L1723=TH!$V$7,M1723=TH!$V$7),"x","")</f>
        <v/>
      </c>
      <c r="W1723" s="51" t="str">
        <f>IF(AND(B1723&gt;='IN-NX'!$P$3,B1723&lt;='IN-NX'!$Q$3,'IN-NX'!$D$7=D1723,OR(LEFT(L1723,2)="15",AND(LEFT(M1723,2)&lt;&gt;"15",LEFT(M1723,2)&lt;&gt;"33"))),"x","")</f>
        <v/>
      </c>
      <c r="X1723" s="51" t="str">
        <f>IF(AND(OR(LEFT(TH!L1723,2)="15",LEFT(TH!M1723,2)="15"),'152-CT'!$J$8=TH!F1723),"x","")</f>
        <v/>
      </c>
      <c r="Y1723" s="51" t="str">
        <f>IF(AND(OR(LEFT(TH!L1723,2)="15",LEFT(TH!M1723,2)="15"),TK!$E$7=TH!F1723),"x","")</f>
        <v/>
      </c>
      <c r="Z1723" s="51" t="str">
        <f>IF(AND(B1723&lt;=NKC!$N$8,B1723&gt;=NKC!$M$8),"x","")</f>
        <v/>
      </c>
      <c r="AA1723" s="803"/>
    </row>
    <row r="1724" spans="1:27" ht="15.75" customHeight="1">
      <c r="A1724" s="804" t="str">
        <f>IF(B1724&lt;&gt;"",IF(AND(B1724&gt;=_TM1,B1724&lt;=_TM2,OR(TH!L1724="1111",TH!M1724="1111")),TH!D1724,""),"")</f>
        <v/>
      </c>
      <c r="B1724" s="36">
        <f t="shared" si="115"/>
        <v>1</v>
      </c>
      <c r="C1724" s="189">
        <f t="shared" si="116"/>
        <v>42034</v>
      </c>
      <c r="D1724" s="830" t="s">
        <v>1285</v>
      </c>
      <c r="E1724" s="47">
        <v>42034</v>
      </c>
      <c r="F1724" s="48" t="s">
        <v>1182</v>
      </c>
      <c r="G1724" s="810" t="s">
        <v>973</v>
      </c>
      <c r="H1724" s="833" t="s">
        <v>1259</v>
      </c>
      <c r="I1724" s="241">
        <v>128</v>
      </c>
      <c r="J1724" s="241">
        <v>32410.177835051545</v>
      </c>
      <c r="K1724" s="834">
        <f t="shared" si="117"/>
        <v>4148503</v>
      </c>
      <c r="L1724" s="835" t="s">
        <v>162</v>
      </c>
      <c r="M1724" s="835" t="s">
        <v>417</v>
      </c>
      <c r="N1724" s="51" t="str">
        <f>IF(AND('331-CT'!$E$7=TH!H1724,OR(L1724="331",M1724="331")),"331",IF(AND(OR(L1724="131",M1724="131"),H1724='131-CT'!$E$7),"131",""))</f>
        <v/>
      </c>
      <c r="O1724" s="51" t="str">
        <f>IF(AND($B1724&gt;='111'!$N$11,$B1724&lt;='111'!$O$11,OR($L1724=$O$7,$M1724=$O$7)),"x","")</f>
        <v/>
      </c>
      <c r="P1724" s="51" t="str">
        <f>IF(AND($L1724=$O$7,$B1724&lt;'111'!$N$11),"x","")</f>
        <v/>
      </c>
      <c r="Q1724" s="51" t="str">
        <f>IF(AND($M1724=$O$7,$B1724&lt;'111'!$N$11),"x","")</f>
        <v/>
      </c>
      <c r="R1724" s="51" t="str">
        <f>IF(ISERROR(FIND('112'!$M$9,G1724,1)),"",IF((AND(FIND('112'!$M$9,G1724,1)&gt;=1,$B1724&gt;='112'!$N$8,$B1724&lt;='112'!$O$8,OR($L1724='112'!$I$6,$M1724='112'!$I$6))),"x",""))</f>
        <v/>
      </c>
      <c r="S1724" s="51" t="str">
        <f>IF(ISERROR(FIND('112'!$M$9,G1724,1)),"",IF((AND(LEFT(G1724,2)=LEFT('112'!$M$9,2),B1724&lt;'112'!$N$8,$L1724='112'!$I$6)),"x",""))</f>
        <v/>
      </c>
      <c r="T1724" s="51" t="str">
        <f>IF(ISERROR(FIND('112'!$M$9,G1724,1)),"",IF((AND(RIGHT(G1724,2)=RIGHT('112'!$M$9,2),B1724&lt;'112'!$N$8,$M1724='112'!$I$6)),"x",""))</f>
        <v/>
      </c>
      <c r="U1724" s="51" t="str">
        <f>IF(AND(L1724="154",'154'!$O$5&lt;=B1724,'154'!$P$5&gt;=B1724),"154",IF(AND(L1724="632",'632'!$L$5&lt;=B1724,'632'!$M$5&gt;=B1724),"632",IF(AND(L1724="642",'642'!$N$5&lt;=B1724,'642'!$O$5&gt;=B1724),"642",IF(AND(L1724="641",'641'!$N$5&lt;=B1724,'641'!$O$5&gt;=B1724),"641",""))))</f>
        <v/>
      </c>
      <c r="V1724" s="51" t="str">
        <f>IF(OR(TH!L1724=TH!$V$7,M1724=TH!$V$7),"x","")</f>
        <v/>
      </c>
      <c r="W1724" s="51" t="str">
        <f>IF(AND(B1724&gt;='IN-NX'!$P$3,B1724&lt;='IN-NX'!$Q$3,'IN-NX'!$D$7=D1724,OR(LEFT(L1724,2)="15",AND(LEFT(M1724,2)&lt;&gt;"15",LEFT(M1724,2)&lt;&gt;"33"))),"x","")</f>
        <v/>
      </c>
      <c r="X1724" s="51" t="str">
        <f>IF(AND(OR(LEFT(TH!L1724,2)="15",LEFT(TH!M1724,2)="15"),'152-CT'!$J$8=TH!F1724),"x","")</f>
        <v/>
      </c>
      <c r="Y1724" s="51" t="str">
        <f>IF(AND(OR(LEFT(TH!L1724,2)="15",LEFT(TH!M1724,2)="15"),TK!$E$7=TH!F1724),"x","")</f>
        <v/>
      </c>
      <c r="Z1724" s="51" t="str">
        <f>IF(AND(B1724&lt;=NKC!$N$8,B1724&gt;=NKC!$M$8),"x","")</f>
        <v/>
      </c>
      <c r="AA1724" s="803"/>
    </row>
    <row r="1725" spans="1:27" ht="15.75" customHeight="1">
      <c r="A1725" s="804" t="str">
        <f>IF(B1725&lt;&gt;"",IF(AND(B1725&gt;=_TM1,B1725&lt;=_TM2,OR(TH!L1725="1111",TH!M1725="1111")),TH!D1725,""),"")</f>
        <v/>
      </c>
      <c r="B1725" s="36">
        <f t="shared" si="115"/>
        <v>1</v>
      </c>
      <c r="C1725" s="189">
        <f t="shared" si="116"/>
        <v>42034</v>
      </c>
      <c r="D1725" s="830" t="s">
        <v>1285</v>
      </c>
      <c r="E1725" s="47">
        <v>42034</v>
      </c>
      <c r="F1725" s="48" t="s">
        <v>1183</v>
      </c>
      <c r="G1725" s="810" t="s">
        <v>973</v>
      </c>
      <c r="H1725" s="833" t="s">
        <v>1259</v>
      </c>
      <c r="I1725" s="241">
        <v>128</v>
      </c>
      <c r="J1725" s="241">
        <v>60630.920022551545</v>
      </c>
      <c r="K1725" s="834">
        <f t="shared" si="117"/>
        <v>7760758</v>
      </c>
      <c r="L1725" s="835" t="s">
        <v>162</v>
      </c>
      <c r="M1725" s="835" t="s">
        <v>417</v>
      </c>
      <c r="N1725" s="51" t="str">
        <f>IF(AND('331-CT'!$E$7=TH!H1725,OR(L1725="331",M1725="331")),"331",IF(AND(OR(L1725="131",M1725="131"),H1725='131-CT'!$E$7),"131",""))</f>
        <v/>
      </c>
      <c r="O1725" s="51" t="str">
        <f>IF(AND($B1725&gt;='111'!$N$11,$B1725&lt;='111'!$O$11,OR($L1725=$O$7,$M1725=$O$7)),"x","")</f>
        <v/>
      </c>
      <c r="P1725" s="51" t="str">
        <f>IF(AND($L1725=$O$7,$B1725&lt;'111'!$N$11),"x","")</f>
        <v/>
      </c>
      <c r="Q1725" s="51" t="str">
        <f>IF(AND($M1725=$O$7,$B1725&lt;'111'!$N$11),"x","")</f>
        <v/>
      </c>
      <c r="R1725" s="51" t="str">
        <f>IF(ISERROR(FIND('112'!$M$9,G1725,1)),"",IF((AND(FIND('112'!$M$9,G1725,1)&gt;=1,$B1725&gt;='112'!$N$8,$B1725&lt;='112'!$O$8,OR($L1725='112'!$I$6,$M1725='112'!$I$6))),"x",""))</f>
        <v/>
      </c>
      <c r="S1725" s="51" t="str">
        <f>IF(ISERROR(FIND('112'!$M$9,G1725,1)),"",IF((AND(LEFT(G1725,2)=LEFT('112'!$M$9,2),B1725&lt;'112'!$N$8,$L1725='112'!$I$6)),"x",""))</f>
        <v/>
      </c>
      <c r="T1725" s="51" t="str">
        <f>IF(ISERROR(FIND('112'!$M$9,G1725,1)),"",IF((AND(RIGHT(G1725,2)=RIGHT('112'!$M$9,2),B1725&lt;'112'!$N$8,$M1725='112'!$I$6)),"x",""))</f>
        <v/>
      </c>
      <c r="U1725" s="51" t="str">
        <f>IF(AND(L1725="154",'154'!$O$5&lt;=B1725,'154'!$P$5&gt;=B1725),"154",IF(AND(L1725="632",'632'!$L$5&lt;=B1725,'632'!$M$5&gt;=B1725),"632",IF(AND(L1725="642",'642'!$N$5&lt;=B1725,'642'!$O$5&gt;=B1725),"642",IF(AND(L1725="641",'641'!$N$5&lt;=B1725,'641'!$O$5&gt;=B1725),"641",""))))</f>
        <v/>
      </c>
      <c r="V1725" s="51" t="str">
        <f>IF(OR(TH!L1725=TH!$V$7,M1725=TH!$V$7),"x","")</f>
        <v/>
      </c>
      <c r="W1725" s="51" t="str">
        <f>IF(AND(B1725&gt;='IN-NX'!$P$3,B1725&lt;='IN-NX'!$Q$3,'IN-NX'!$D$7=D1725,OR(LEFT(L1725,2)="15",AND(LEFT(M1725,2)&lt;&gt;"15",LEFT(M1725,2)&lt;&gt;"33"))),"x","")</f>
        <v/>
      </c>
      <c r="X1725" s="51" t="str">
        <f>IF(AND(OR(LEFT(TH!L1725,2)="15",LEFT(TH!M1725,2)="15"),'152-CT'!$J$8=TH!F1725),"x","")</f>
        <v/>
      </c>
      <c r="Y1725" s="51" t="str">
        <f>IF(AND(OR(LEFT(TH!L1725,2)="15",LEFT(TH!M1725,2)="15"),TK!$E$7=TH!F1725),"x","")</f>
        <v/>
      </c>
      <c r="Z1725" s="51" t="str">
        <f>IF(AND(B1725&lt;=NKC!$N$8,B1725&gt;=NKC!$M$8),"x","")</f>
        <v/>
      </c>
      <c r="AA1725" s="803"/>
    </row>
    <row r="1726" spans="1:27" ht="15.75" customHeight="1">
      <c r="A1726" s="804" t="str">
        <f>IF(B1726&lt;&gt;"",IF(AND(B1726&gt;=_TM1,B1726&lt;=_TM2,OR(TH!L1726="1111",TH!M1726="1111")),TH!D1726,""),"")</f>
        <v/>
      </c>
      <c r="B1726" s="36">
        <f t="shared" si="115"/>
        <v>1</v>
      </c>
      <c r="C1726" s="189">
        <f t="shared" si="116"/>
        <v>42034</v>
      </c>
      <c r="D1726" s="830" t="s">
        <v>1285</v>
      </c>
      <c r="E1726" s="47">
        <v>42034</v>
      </c>
      <c r="F1726" s="831" t="s">
        <v>1184</v>
      </c>
      <c r="G1726" s="810" t="s">
        <v>973</v>
      </c>
      <c r="H1726" s="833" t="s">
        <v>1259</v>
      </c>
      <c r="I1726" s="241">
        <v>256</v>
      </c>
      <c r="J1726" s="241">
        <v>55076.779397551545</v>
      </c>
      <c r="K1726" s="834">
        <f t="shared" si="117"/>
        <v>14099656</v>
      </c>
      <c r="L1726" s="835" t="s">
        <v>162</v>
      </c>
      <c r="M1726" s="835" t="s">
        <v>417</v>
      </c>
      <c r="N1726" s="51" t="str">
        <f>IF(AND('331-CT'!$E$7=TH!H1726,OR(L1726="331",M1726="331")),"331",IF(AND(OR(L1726="131",M1726="131"),H1726='131-CT'!$E$7),"131",""))</f>
        <v/>
      </c>
      <c r="O1726" s="51" t="str">
        <f>IF(AND($B1726&gt;='111'!$N$11,$B1726&lt;='111'!$O$11,OR($L1726=$O$7,$M1726=$O$7)),"x","")</f>
        <v/>
      </c>
      <c r="P1726" s="51" t="str">
        <f>IF(AND($L1726=$O$7,$B1726&lt;'111'!$N$11),"x","")</f>
        <v/>
      </c>
      <c r="Q1726" s="51" t="str">
        <f>IF(AND($M1726=$O$7,$B1726&lt;'111'!$N$11),"x","")</f>
        <v/>
      </c>
      <c r="R1726" s="51" t="str">
        <f>IF(ISERROR(FIND('112'!$M$9,G1726,1)),"",IF((AND(FIND('112'!$M$9,G1726,1)&gt;=1,$B1726&gt;='112'!$N$8,$B1726&lt;='112'!$O$8,OR($L1726='112'!$I$6,$M1726='112'!$I$6))),"x",""))</f>
        <v/>
      </c>
      <c r="S1726" s="51" t="str">
        <f>IF(ISERROR(FIND('112'!$M$9,G1726,1)),"",IF((AND(LEFT(G1726,2)=LEFT('112'!$M$9,2),B1726&lt;'112'!$N$8,$L1726='112'!$I$6)),"x",""))</f>
        <v/>
      </c>
      <c r="T1726" s="51" t="str">
        <f>IF(ISERROR(FIND('112'!$M$9,G1726,1)),"",IF((AND(RIGHT(G1726,2)=RIGHT('112'!$M$9,2),B1726&lt;'112'!$N$8,$M1726='112'!$I$6)),"x",""))</f>
        <v/>
      </c>
      <c r="U1726" s="51" t="str">
        <f>IF(AND(L1726="154",'154'!$O$5&lt;=B1726,'154'!$P$5&gt;=B1726),"154",IF(AND(L1726="632",'632'!$L$5&lt;=B1726,'632'!$M$5&gt;=B1726),"632",IF(AND(L1726="642",'642'!$N$5&lt;=B1726,'642'!$O$5&gt;=B1726),"642",IF(AND(L1726="641",'641'!$N$5&lt;=B1726,'641'!$O$5&gt;=B1726),"641",""))))</f>
        <v/>
      </c>
      <c r="V1726" s="51" t="str">
        <f>IF(OR(TH!L1726=TH!$V$7,M1726=TH!$V$7),"x","")</f>
        <v/>
      </c>
      <c r="W1726" s="51" t="str">
        <f>IF(AND(B1726&gt;='IN-NX'!$P$3,B1726&lt;='IN-NX'!$Q$3,'IN-NX'!$D$7=D1726,OR(LEFT(L1726,2)="15",AND(LEFT(M1726,2)&lt;&gt;"15",LEFT(M1726,2)&lt;&gt;"33"))),"x","")</f>
        <v/>
      </c>
      <c r="X1726" s="51" t="str">
        <f>IF(AND(OR(LEFT(TH!L1726,2)="15",LEFT(TH!M1726,2)="15"),'152-CT'!$J$8=TH!F1726),"x","")</f>
        <v/>
      </c>
      <c r="Y1726" s="51" t="str">
        <f>IF(AND(OR(LEFT(TH!L1726,2)="15",LEFT(TH!M1726,2)="15"),TK!$E$7=TH!F1726),"x","")</f>
        <v/>
      </c>
      <c r="Z1726" s="51" t="str">
        <f>IF(AND(B1726&lt;=NKC!$N$8,B1726&gt;=NKC!$M$8),"x","")</f>
        <v/>
      </c>
      <c r="AA1726" s="803"/>
    </row>
    <row r="1727" spans="1:27" ht="15.75" customHeight="1">
      <c r="A1727" s="804" t="str">
        <f>IF(B1727&lt;&gt;"",IF(AND(B1727&gt;=_TM1,B1727&lt;=_TM2,OR(TH!L1727="1111",TH!M1727="1111")),TH!D1727,""),"")</f>
        <v/>
      </c>
      <c r="B1727" s="36">
        <f t="shared" si="115"/>
        <v>2</v>
      </c>
      <c r="C1727" s="189">
        <f t="shared" si="116"/>
        <v>42041</v>
      </c>
      <c r="D1727" s="830" t="s">
        <v>1285</v>
      </c>
      <c r="E1727" s="47">
        <v>42041</v>
      </c>
      <c r="F1727" s="48" t="s">
        <v>497</v>
      </c>
      <c r="G1727" s="810" t="s">
        <v>976</v>
      </c>
      <c r="H1727" s="833" t="s">
        <v>1259</v>
      </c>
      <c r="I1727" s="241">
        <v>509</v>
      </c>
      <c r="J1727" s="241">
        <v>49093.149838980818</v>
      </c>
      <c r="K1727" s="834">
        <f t="shared" si="117"/>
        <v>24988413</v>
      </c>
      <c r="L1727" s="835" t="s">
        <v>162</v>
      </c>
      <c r="M1727" s="835" t="s">
        <v>417</v>
      </c>
      <c r="N1727" s="51" t="str">
        <f>IF(AND('331-CT'!$E$7=TH!H1727,OR(L1727="331",M1727="331")),"331",IF(AND(OR(L1727="131",M1727="131"),H1727='131-CT'!$E$7),"131",""))</f>
        <v/>
      </c>
      <c r="O1727" s="51" t="str">
        <f>IF(AND($B1727&gt;='111'!$N$11,$B1727&lt;='111'!$O$11,OR($L1727=$O$7,$M1727=$O$7)),"x","")</f>
        <v/>
      </c>
      <c r="P1727" s="51" t="str">
        <f>IF(AND($L1727=$O$7,$B1727&lt;'111'!$N$11),"x","")</f>
        <v/>
      </c>
      <c r="Q1727" s="51" t="str">
        <f>IF(AND($M1727=$O$7,$B1727&lt;'111'!$N$11),"x","")</f>
        <v/>
      </c>
      <c r="R1727" s="51" t="str">
        <f>IF(ISERROR(FIND('112'!$M$9,G1727,1)),"",IF((AND(FIND('112'!$M$9,G1727,1)&gt;=1,$B1727&gt;='112'!$N$8,$B1727&lt;='112'!$O$8,OR($L1727='112'!$I$6,$M1727='112'!$I$6))),"x",""))</f>
        <v/>
      </c>
      <c r="S1727" s="51" t="str">
        <f>IF(ISERROR(FIND('112'!$M$9,G1727,1)),"",IF((AND(LEFT(G1727,2)=LEFT('112'!$M$9,2),B1727&lt;'112'!$N$8,$L1727='112'!$I$6)),"x",""))</f>
        <v/>
      </c>
      <c r="T1727" s="51" t="str">
        <f>IF(ISERROR(FIND('112'!$M$9,G1727,1)),"",IF((AND(RIGHT(G1727,2)=RIGHT('112'!$M$9,2),B1727&lt;'112'!$N$8,$M1727='112'!$I$6)),"x",""))</f>
        <v/>
      </c>
      <c r="U1727" s="51" t="str">
        <f>IF(AND(L1727="154",'154'!$O$5&lt;=B1727,'154'!$P$5&gt;=B1727),"154",IF(AND(L1727="632",'632'!$L$5&lt;=B1727,'632'!$M$5&gt;=B1727),"632",IF(AND(L1727="642",'642'!$N$5&lt;=B1727,'642'!$O$5&gt;=B1727),"642",IF(AND(L1727="641",'641'!$N$5&lt;=B1727,'641'!$O$5&gt;=B1727),"641",""))))</f>
        <v/>
      </c>
      <c r="V1727" s="51" t="str">
        <f>IF(OR(TH!L1727=TH!$V$7,M1727=TH!$V$7),"x","")</f>
        <v/>
      </c>
      <c r="W1727" s="51" t="str">
        <f>IF(AND(B1727&gt;='IN-NX'!$P$3,B1727&lt;='IN-NX'!$Q$3,'IN-NX'!$D$7=D1727,OR(LEFT(L1727,2)="15",AND(LEFT(M1727,2)&lt;&gt;"15",LEFT(M1727,2)&lt;&gt;"33"))),"x","")</f>
        <v/>
      </c>
      <c r="X1727" s="51" t="str">
        <f>IF(AND(OR(LEFT(TH!L1727,2)="15",LEFT(TH!M1727,2)="15"),'152-CT'!$J$8=TH!F1727),"x","")</f>
        <v/>
      </c>
      <c r="Y1727" s="51" t="str">
        <f>IF(AND(OR(LEFT(TH!L1727,2)="15",LEFT(TH!M1727,2)="15"),TK!$E$7=TH!F1727),"x","")</f>
        <v/>
      </c>
      <c r="Z1727" s="51" t="str">
        <f>IF(AND(B1727&lt;=NKC!$N$8,B1727&gt;=NKC!$M$8),"x","")</f>
        <v/>
      </c>
      <c r="AA1727" s="803"/>
    </row>
    <row r="1728" spans="1:27" ht="15.75" customHeight="1">
      <c r="A1728" s="804" t="str">
        <f>IF(B1728&lt;&gt;"",IF(AND(B1728&gt;=_TM1,B1728&lt;=_TM2,OR(TH!L1728="1111",TH!M1728="1111")),TH!D1728,""),"")</f>
        <v/>
      </c>
      <c r="B1728" s="36">
        <f t="shared" si="115"/>
        <v>2</v>
      </c>
      <c r="C1728" s="189">
        <f t="shared" si="116"/>
        <v>42041</v>
      </c>
      <c r="D1728" s="830" t="s">
        <v>1285</v>
      </c>
      <c r="E1728" s="47">
        <v>42041</v>
      </c>
      <c r="F1728" s="48" t="s">
        <v>1185</v>
      </c>
      <c r="G1728" s="810" t="s">
        <v>976</v>
      </c>
      <c r="H1728" s="833" t="s">
        <v>1259</v>
      </c>
      <c r="I1728" s="241">
        <v>20</v>
      </c>
      <c r="J1728" s="241">
        <v>51903.927835051545</v>
      </c>
      <c r="K1728" s="834">
        <f t="shared" si="117"/>
        <v>1038079</v>
      </c>
      <c r="L1728" s="835" t="s">
        <v>162</v>
      </c>
      <c r="M1728" s="835" t="s">
        <v>417</v>
      </c>
      <c r="N1728" s="51" t="str">
        <f>IF(AND('331-CT'!$E$7=TH!H1728,OR(L1728="331",M1728="331")),"331",IF(AND(OR(L1728="131",M1728="131"),H1728='131-CT'!$E$7),"131",""))</f>
        <v/>
      </c>
      <c r="O1728" s="51" t="str">
        <f>IF(AND($B1728&gt;='111'!$N$11,$B1728&lt;='111'!$O$11,OR($L1728=$O$7,$M1728=$O$7)),"x","")</f>
        <v/>
      </c>
      <c r="P1728" s="51" t="str">
        <f>IF(AND($L1728=$O$7,$B1728&lt;'111'!$N$11),"x","")</f>
        <v/>
      </c>
      <c r="Q1728" s="51" t="str">
        <f>IF(AND($M1728=$O$7,$B1728&lt;'111'!$N$11),"x","")</f>
        <v/>
      </c>
      <c r="R1728" s="51" t="str">
        <f>IF(ISERROR(FIND('112'!$M$9,G1728,1)),"",IF((AND(FIND('112'!$M$9,G1728,1)&gt;=1,$B1728&gt;='112'!$N$8,$B1728&lt;='112'!$O$8,OR($L1728='112'!$I$6,$M1728='112'!$I$6))),"x",""))</f>
        <v/>
      </c>
      <c r="S1728" s="51" t="str">
        <f>IF(ISERROR(FIND('112'!$M$9,G1728,1)),"",IF((AND(LEFT(G1728,2)=LEFT('112'!$M$9,2),B1728&lt;'112'!$N$8,$L1728='112'!$I$6)),"x",""))</f>
        <v/>
      </c>
      <c r="T1728" s="51" t="str">
        <f>IF(ISERROR(FIND('112'!$M$9,G1728,1)),"",IF((AND(RIGHT(G1728,2)=RIGHT('112'!$M$9,2),B1728&lt;'112'!$N$8,$M1728='112'!$I$6)),"x",""))</f>
        <v/>
      </c>
      <c r="U1728" s="51" t="str">
        <f>IF(AND(L1728="154",'154'!$O$5&lt;=B1728,'154'!$P$5&gt;=B1728),"154",IF(AND(L1728="632",'632'!$L$5&lt;=B1728,'632'!$M$5&gt;=B1728),"632",IF(AND(L1728="642",'642'!$N$5&lt;=B1728,'642'!$O$5&gt;=B1728),"642",IF(AND(L1728="641",'641'!$N$5&lt;=B1728,'641'!$O$5&gt;=B1728),"641",""))))</f>
        <v/>
      </c>
      <c r="V1728" s="51" t="str">
        <f>IF(OR(TH!L1728=TH!$V$7,M1728=TH!$V$7),"x","")</f>
        <v/>
      </c>
      <c r="W1728" s="51" t="str">
        <f>IF(AND(B1728&gt;='IN-NX'!$P$3,B1728&lt;='IN-NX'!$Q$3,'IN-NX'!$D$7=D1728,OR(LEFT(L1728,2)="15",AND(LEFT(M1728,2)&lt;&gt;"15",LEFT(M1728,2)&lt;&gt;"33"))),"x","")</f>
        <v/>
      </c>
      <c r="X1728" s="51" t="str">
        <f>IF(AND(OR(LEFT(TH!L1728,2)="15",LEFT(TH!M1728,2)="15"),'152-CT'!$J$8=TH!F1728),"x","")</f>
        <v/>
      </c>
      <c r="Y1728" s="51" t="str">
        <f>IF(AND(OR(LEFT(TH!L1728,2)="15",LEFT(TH!M1728,2)="15"),TK!$E$7=TH!F1728),"x","")</f>
        <v/>
      </c>
      <c r="Z1728" s="51" t="str">
        <f>IF(AND(B1728&lt;=NKC!$N$8,B1728&gt;=NKC!$M$8),"x","")</f>
        <v/>
      </c>
      <c r="AA1728" s="803"/>
    </row>
    <row r="1729" spans="1:27" ht="15.75" customHeight="1">
      <c r="A1729" s="804" t="str">
        <f>IF(B1729&lt;&gt;"",IF(AND(B1729&gt;=_TM1,B1729&lt;=_TM2,OR(TH!L1729="1111",TH!M1729="1111")),TH!D1729,""),"")</f>
        <v/>
      </c>
      <c r="B1729" s="36">
        <f t="shared" si="115"/>
        <v>2</v>
      </c>
      <c r="C1729" s="189">
        <f t="shared" si="116"/>
        <v>42041</v>
      </c>
      <c r="D1729" s="830" t="s">
        <v>1285</v>
      </c>
      <c r="E1729" s="47">
        <v>42041</v>
      </c>
      <c r="F1729" s="48" t="s">
        <v>1186</v>
      </c>
      <c r="G1729" s="810" t="s">
        <v>976</v>
      </c>
      <c r="H1729" s="833" t="s">
        <v>1259</v>
      </c>
      <c r="I1729" s="241">
        <v>90</v>
      </c>
      <c r="J1729" s="241">
        <v>22979.105612829324</v>
      </c>
      <c r="K1729" s="834">
        <f t="shared" si="117"/>
        <v>2068120</v>
      </c>
      <c r="L1729" s="835" t="s">
        <v>162</v>
      </c>
      <c r="M1729" s="835" t="s">
        <v>417</v>
      </c>
      <c r="N1729" s="51" t="str">
        <f>IF(AND('331-CT'!$E$7=TH!H1729,OR(L1729="331",M1729="331")),"331",IF(AND(OR(L1729="131",M1729="131"),H1729='131-CT'!$E$7),"131",""))</f>
        <v/>
      </c>
      <c r="O1729" s="51" t="str">
        <f>IF(AND($B1729&gt;='111'!$N$11,$B1729&lt;='111'!$O$11,OR($L1729=$O$7,$M1729=$O$7)),"x","")</f>
        <v/>
      </c>
      <c r="P1729" s="51" t="str">
        <f>IF(AND($L1729=$O$7,$B1729&lt;'111'!$N$11),"x","")</f>
        <v/>
      </c>
      <c r="Q1729" s="51" t="str">
        <f>IF(AND($M1729=$O$7,$B1729&lt;'111'!$N$11),"x","")</f>
        <v/>
      </c>
      <c r="R1729" s="51" t="str">
        <f>IF(ISERROR(FIND('112'!$M$9,G1729,1)),"",IF((AND(FIND('112'!$M$9,G1729,1)&gt;=1,$B1729&gt;='112'!$N$8,$B1729&lt;='112'!$O$8,OR($L1729='112'!$I$6,$M1729='112'!$I$6))),"x",""))</f>
        <v/>
      </c>
      <c r="S1729" s="51" t="str">
        <f>IF(ISERROR(FIND('112'!$M$9,G1729,1)),"",IF((AND(LEFT(G1729,2)=LEFT('112'!$M$9,2),B1729&lt;'112'!$N$8,$L1729='112'!$I$6)),"x",""))</f>
        <v/>
      </c>
      <c r="T1729" s="51" t="str">
        <f>IF(ISERROR(FIND('112'!$M$9,G1729,1)),"",IF((AND(RIGHT(G1729,2)=RIGHT('112'!$M$9,2),B1729&lt;'112'!$N$8,$M1729='112'!$I$6)),"x",""))</f>
        <v/>
      </c>
      <c r="U1729" s="51" t="str">
        <f>IF(AND(L1729="154",'154'!$O$5&lt;=B1729,'154'!$P$5&gt;=B1729),"154",IF(AND(L1729="632",'632'!$L$5&lt;=B1729,'632'!$M$5&gt;=B1729),"632",IF(AND(L1729="642",'642'!$N$5&lt;=B1729,'642'!$O$5&gt;=B1729),"642",IF(AND(L1729="641",'641'!$N$5&lt;=B1729,'641'!$O$5&gt;=B1729),"641",""))))</f>
        <v/>
      </c>
      <c r="V1729" s="51" t="str">
        <f>IF(OR(TH!L1729=TH!$V$7,M1729=TH!$V$7),"x","")</f>
        <v/>
      </c>
      <c r="W1729" s="51" t="str">
        <f>IF(AND(B1729&gt;='IN-NX'!$P$3,B1729&lt;='IN-NX'!$Q$3,'IN-NX'!$D$7=D1729,OR(LEFT(L1729,2)="15",AND(LEFT(M1729,2)&lt;&gt;"15",LEFT(M1729,2)&lt;&gt;"33"))),"x","")</f>
        <v/>
      </c>
      <c r="X1729" s="51" t="str">
        <f>IF(AND(OR(LEFT(TH!L1729,2)="15",LEFT(TH!M1729,2)="15"),'152-CT'!$J$8=TH!F1729),"x","")</f>
        <v/>
      </c>
      <c r="Y1729" s="51" t="str">
        <f>IF(AND(OR(LEFT(TH!L1729,2)="15",LEFT(TH!M1729,2)="15"),TK!$E$7=TH!F1729),"x","")</f>
        <v/>
      </c>
      <c r="Z1729" s="51" t="str">
        <f>IF(AND(B1729&lt;=NKC!$N$8,B1729&gt;=NKC!$M$8),"x","")</f>
        <v/>
      </c>
      <c r="AA1729" s="803"/>
    </row>
    <row r="1730" spans="1:27" ht="15.75" customHeight="1">
      <c r="A1730" s="804" t="str">
        <f>IF(B1730&lt;&gt;"",IF(AND(B1730&gt;=_TM1,B1730&lt;=_TM2,OR(TH!L1730="1111",TH!M1730="1111")),TH!D1730,""),"")</f>
        <v/>
      </c>
      <c r="B1730" s="36">
        <f t="shared" si="115"/>
        <v>3</v>
      </c>
      <c r="C1730" s="189">
        <f t="shared" si="116"/>
        <v>42083</v>
      </c>
      <c r="D1730" s="830" t="s">
        <v>1285</v>
      </c>
      <c r="E1730" s="47">
        <v>42083</v>
      </c>
      <c r="F1730" s="48" t="s">
        <v>499</v>
      </c>
      <c r="G1730" s="810" t="s">
        <v>981</v>
      </c>
      <c r="H1730" s="833" t="s">
        <v>1259</v>
      </c>
      <c r="I1730" s="241">
        <v>110</v>
      </c>
      <c r="J1730" s="241">
        <v>15795.727835051546</v>
      </c>
      <c r="K1730" s="834">
        <f t="shared" si="117"/>
        <v>1737530</v>
      </c>
      <c r="L1730" s="835" t="s">
        <v>162</v>
      </c>
      <c r="M1730" s="835" t="s">
        <v>417</v>
      </c>
      <c r="N1730" s="51" t="str">
        <f>IF(AND('331-CT'!$E$7=TH!H1730,OR(L1730="331",M1730="331")),"331",IF(AND(OR(L1730="131",M1730="131"),H1730='131-CT'!$E$7),"131",""))</f>
        <v/>
      </c>
      <c r="O1730" s="51" t="str">
        <f>IF(AND($B1730&gt;='111'!$N$11,$B1730&lt;='111'!$O$11,OR($L1730=$O$7,$M1730=$O$7)),"x","")</f>
        <v/>
      </c>
      <c r="P1730" s="51" t="str">
        <f>IF(AND($L1730=$O$7,$B1730&lt;'111'!$N$11),"x","")</f>
        <v/>
      </c>
      <c r="Q1730" s="51" t="str">
        <f>IF(AND($M1730=$O$7,$B1730&lt;'111'!$N$11),"x","")</f>
        <v/>
      </c>
      <c r="R1730" s="51" t="str">
        <f>IF(ISERROR(FIND('112'!$M$9,G1730,1)),"",IF((AND(FIND('112'!$M$9,G1730,1)&gt;=1,$B1730&gt;='112'!$N$8,$B1730&lt;='112'!$O$8,OR($L1730='112'!$I$6,$M1730='112'!$I$6))),"x",""))</f>
        <v/>
      </c>
      <c r="S1730" s="51" t="str">
        <f>IF(ISERROR(FIND('112'!$M$9,G1730,1)),"",IF((AND(LEFT(G1730,2)=LEFT('112'!$M$9,2),B1730&lt;'112'!$N$8,$L1730='112'!$I$6)),"x",""))</f>
        <v/>
      </c>
      <c r="T1730" s="51" t="str">
        <f>IF(ISERROR(FIND('112'!$M$9,G1730,1)),"",IF((AND(RIGHT(G1730,2)=RIGHT('112'!$M$9,2),B1730&lt;'112'!$N$8,$M1730='112'!$I$6)),"x",""))</f>
        <v/>
      </c>
      <c r="U1730" s="51" t="str">
        <f>IF(AND(L1730="154",'154'!$O$5&lt;=B1730,'154'!$P$5&gt;=B1730),"154",IF(AND(L1730="632",'632'!$L$5&lt;=B1730,'632'!$M$5&gt;=B1730),"632",IF(AND(L1730="642",'642'!$N$5&lt;=B1730,'642'!$O$5&gt;=B1730),"642",IF(AND(L1730="641",'641'!$N$5&lt;=B1730,'641'!$O$5&gt;=B1730),"641",""))))</f>
        <v/>
      </c>
      <c r="V1730" s="51" t="str">
        <f>IF(OR(TH!L1730=TH!$V$7,M1730=TH!$V$7),"x","")</f>
        <v/>
      </c>
      <c r="W1730" s="51" t="str">
        <f>IF(AND(B1730&gt;='IN-NX'!$P$3,B1730&lt;='IN-NX'!$Q$3,'IN-NX'!$D$7=D1730,OR(LEFT(L1730,2)="15",AND(LEFT(M1730,2)&lt;&gt;"15",LEFT(M1730,2)&lt;&gt;"33"))),"x","")</f>
        <v/>
      </c>
      <c r="X1730" s="51" t="str">
        <f>IF(AND(OR(LEFT(TH!L1730,2)="15",LEFT(TH!M1730,2)="15"),'152-CT'!$J$8=TH!F1730),"x","")</f>
        <v/>
      </c>
      <c r="Y1730" s="51" t="str">
        <f>IF(AND(OR(LEFT(TH!L1730,2)="15",LEFT(TH!M1730,2)="15"),TK!$E$7=TH!F1730),"x","")</f>
        <v/>
      </c>
      <c r="Z1730" s="51" t="str">
        <f>IF(AND(B1730&lt;=NKC!$N$8,B1730&gt;=NKC!$M$8),"x","")</f>
        <v/>
      </c>
      <c r="AA1730" s="803"/>
    </row>
    <row r="1731" spans="1:27" ht="15.75" customHeight="1">
      <c r="A1731" s="804" t="str">
        <f>IF(B1731&lt;&gt;"",IF(AND(B1731&gt;=_TM1,B1731&lt;=_TM2,OR(TH!L1731="1111",TH!M1731="1111")),TH!D1731,""),"")</f>
        <v/>
      </c>
      <c r="B1731" s="36">
        <f t="shared" si="115"/>
        <v>4</v>
      </c>
      <c r="C1731" s="189">
        <f t="shared" ref="C1731:C1833" si="118">E1731</f>
        <v>42097</v>
      </c>
      <c r="D1731" s="830" t="s">
        <v>1285</v>
      </c>
      <c r="E1731" s="47">
        <v>42097</v>
      </c>
      <c r="F1731" s="48" t="s">
        <v>503</v>
      </c>
      <c r="G1731" s="810" t="s">
        <v>905</v>
      </c>
      <c r="H1731" s="833" t="s">
        <v>1259</v>
      </c>
      <c r="I1731" s="241">
        <v>52</v>
      </c>
      <c r="J1731" s="241">
        <v>3084.1630935366047</v>
      </c>
      <c r="K1731" s="834">
        <f t="shared" ref="K1731:K1766" si="119">ROUND(I1731*J1731,0)</f>
        <v>160376</v>
      </c>
      <c r="L1731" s="835" t="s">
        <v>162</v>
      </c>
      <c r="M1731" s="835" t="s">
        <v>417</v>
      </c>
      <c r="N1731" s="51" t="str">
        <f>IF(AND('331-CT'!$E$7=TH!H1731,OR(L1731="331",M1731="331")),"331",IF(AND(OR(L1731="131",M1731="131"),H1731='131-CT'!$E$7),"131",""))</f>
        <v/>
      </c>
      <c r="O1731" s="51" t="str">
        <f>IF(AND($B1731&gt;='111'!$N$11,$B1731&lt;='111'!$O$11,OR($L1731=$O$7,$M1731=$O$7)),"x","")</f>
        <v/>
      </c>
      <c r="P1731" s="51" t="str">
        <f>IF(AND($L1731=$O$7,$B1731&lt;'111'!$N$11),"x","")</f>
        <v/>
      </c>
      <c r="Q1731" s="51" t="str">
        <f>IF(AND($M1731=$O$7,$B1731&lt;'111'!$N$11),"x","")</f>
        <v/>
      </c>
      <c r="R1731" s="51" t="str">
        <f>IF(ISERROR(FIND('112'!$M$9,G1731,1)),"",IF((AND(FIND('112'!$M$9,G1731,1)&gt;=1,$B1731&gt;='112'!$N$8,$B1731&lt;='112'!$O$8,OR($L1731='112'!$I$6,$M1731='112'!$I$6))),"x",""))</f>
        <v/>
      </c>
      <c r="S1731" s="51" t="str">
        <f>IF(ISERROR(FIND('112'!$M$9,G1731,1)),"",IF((AND(LEFT(G1731,2)=LEFT('112'!$M$9,2),B1731&lt;'112'!$N$8,$L1731='112'!$I$6)),"x",""))</f>
        <v/>
      </c>
      <c r="T1731" s="51" t="str">
        <f>IF(ISERROR(FIND('112'!$M$9,G1731,1)),"",IF((AND(RIGHT(G1731,2)=RIGHT('112'!$M$9,2),B1731&lt;'112'!$N$8,$M1731='112'!$I$6)),"x",""))</f>
        <v/>
      </c>
      <c r="U1731" s="51" t="str">
        <f>IF(AND(L1731="154",'154'!$O$5&lt;=B1731,'154'!$P$5&gt;=B1731),"154",IF(AND(L1731="632",'632'!$L$5&lt;=B1731,'632'!$M$5&gt;=B1731),"632",IF(AND(L1731="642",'642'!$N$5&lt;=B1731,'642'!$O$5&gt;=B1731),"642",IF(AND(L1731="641",'641'!$N$5&lt;=B1731,'641'!$O$5&gt;=B1731),"641",""))))</f>
        <v>632</v>
      </c>
      <c r="V1731" s="51" t="str">
        <f>IF(OR(TH!L1731=TH!$V$7,M1731=TH!$V$7),"x","")</f>
        <v/>
      </c>
      <c r="W1731" s="51" t="str">
        <f>IF(AND(B1731&gt;='IN-NX'!$P$3,B1731&lt;='IN-NX'!$Q$3,'IN-NX'!$D$7=D1731,OR(LEFT(L1731,2)="15",AND(LEFT(M1731,2)&lt;&gt;"15",LEFT(M1731,2)&lt;&gt;"33"))),"x","")</f>
        <v/>
      </c>
      <c r="X1731" s="51" t="str">
        <f>IF(AND(OR(LEFT(TH!L1731,2)="15",LEFT(TH!M1731,2)="15"),'152-CT'!$J$8=TH!F1731),"x","")</f>
        <v/>
      </c>
      <c r="Y1731" s="51" t="str">
        <f>IF(AND(OR(LEFT(TH!L1731,2)="15",LEFT(TH!M1731,2)="15"),TK!$E$7=TH!F1731),"x","")</f>
        <v/>
      </c>
      <c r="Z1731" s="51" t="str">
        <f>IF(AND(B1731&lt;=NKC!$N$8,B1731&gt;=NKC!$M$8),"x","")</f>
        <v/>
      </c>
      <c r="AA1731" s="803"/>
    </row>
    <row r="1732" spans="1:27" ht="15.75" customHeight="1">
      <c r="A1732" s="804" t="str">
        <f>IF(B1732&lt;&gt;"",IF(AND(B1732&gt;=_TM1,B1732&lt;=_TM2,OR(TH!L1732="1111",TH!M1732="1111")),TH!D1732,""),"")</f>
        <v/>
      </c>
      <c r="B1732" s="36">
        <f t="shared" si="115"/>
        <v>4</v>
      </c>
      <c r="C1732" s="189">
        <f t="shared" si="118"/>
        <v>42100</v>
      </c>
      <c r="D1732" s="830" t="s">
        <v>1285</v>
      </c>
      <c r="E1732" s="830">
        <v>42100</v>
      </c>
      <c r="F1732" s="831" t="s">
        <v>713</v>
      </c>
      <c r="G1732" s="832" t="s">
        <v>985</v>
      </c>
      <c r="H1732" s="833" t="s">
        <v>1259</v>
      </c>
      <c r="I1732" s="241">
        <v>450</v>
      </c>
      <c r="J1732" s="241">
        <v>14277.539161912673</v>
      </c>
      <c r="K1732" s="834">
        <f t="shared" si="119"/>
        <v>6424893</v>
      </c>
      <c r="L1732" s="835" t="s">
        <v>162</v>
      </c>
      <c r="M1732" s="835" t="s">
        <v>417</v>
      </c>
      <c r="N1732" s="51" t="str">
        <f>IF(AND('331-CT'!$E$7=TH!H1732,OR(L1732="331",M1732="331")),"331",IF(AND(OR(L1732="131",M1732="131"),H1732='131-CT'!$E$7),"131",""))</f>
        <v/>
      </c>
      <c r="O1732" s="51" t="str">
        <f>IF(AND($B1732&gt;='111'!$N$11,$B1732&lt;='111'!$O$11,OR($L1732=$O$7,$M1732=$O$7)),"x","")</f>
        <v/>
      </c>
      <c r="P1732" s="51" t="str">
        <f>IF(AND($L1732=$O$7,$B1732&lt;'111'!$N$11),"x","")</f>
        <v/>
      </c>
      <c r="Q1732" s="51" t="str">
        <f>IF(AND($M1732=$O$7,$B1732&lt;'111'!$N$11),"x","")</f>
        <v/>
      </c>
      <c r="R1732" s="51" t="str">
        <f>IF(ISERROR(FIND('112'!$M$9,G1732,1)),"",IF((AND(FIND('112'!$M$9,G1732,1)&gt;=1,$B1732&gt;='112'!$N$8,$B1732&lt;='112'!$O$8,OR($L1732='112'!$I$6,$M1732='112'!$I$6))),"x",""))</f>
        <v/>
      </c>
      <c r="S1732" s="51" t="str">
        <f>IF(ISERROR(FIND('112'!$M$9,G1732,1)),"",IF((AND(LEFT(G1732,2)=LEFT('112'!$M$9,2),B1732&lt;'112'!$N$8,$L1732='112'!$I$6)),"x",""))</f>
        <v/>
      </c>
      <c r="T1732" s="51" t="str">
        <f>IF(ISERROR(FIND('112'!$M$9,G1732,1)),"",IF((AND(RIGHT(G1732,2)=RIGHT('112'!$M$9,2),B1732&lt;'112'!$N$8,$M1732='112'!$I$6)),"x",""))</f>
        <v/>
      </c>
      <c r="U1732" s="51" t="str">
        <f>IF(AND(L1732="154",'154'!$O$5&lt;=B1732,'154'!$P$5&gt;=B1732),"154",IF(AND(L1732="632",'632'!$L$5&lt;=B1732,'632'!$M$5&gt;=B1732),"632",IF(AND(L1732="642",'642'!$N$5&lt;=B1732,'642'!$O$5&gt;=B1732),"642",IF(AND(L1732="641",'641'!$N$5&lt;=B1732,'641'!$O$5&gt;=B1732),"641",""))))</f>
        <v>632</v>
      </c>
      <c r="V1732" s="51" t="str">
        <f>IF(OR(TH!L1732=TH!$V$7,M1732=TH!$V$7),"x","")</f>
        <v/>
      </c>
      <c r="W1732" s="51" t="str">
        <f>IF(AND(B1732&gt;='IN-NX'!$P$3,B1732&lt;='IN-NX'!$Q$3,'IN-NX'!$D$7=D1732,OR(LEFT(L1732,2)="15",AND(LEFT(M1732,2)&lt;&gt;"15",LEFT(M1732,2)&lt;&gt;"33"))),"x","")</f>
        <v/>
      </c>
      <c r="X1732" s="51" t="str">
        <f>IF(AND(OR(LEFT(TH!L1732,2)="15",LEFT(TH!M1732,2)="15"),'152-CT'!$J$8=TH!F1732),"x","")</f>
        <v/>
      </c>
      <c r="Y1732" s="51" t="str">
        <f>IF(AND(OR(LEFT(TH!L1732,2)="15",LEFT(TH!M1732,2)="15"),TK!$E$7=TH!F1732),"x","")</f>
        <v/>
      </c>
      <c r="Z1732" s="51" t="str">
        <f>IF(AND(B1732&lt;=NKC!$N$8,B1732&gt;=NKC!$M$8),"x","")</f>
        <v/>
      </c>
      <c r="AA1732" s="803"/>
    </row>
    <row r="1733" spans="1:27" ht="15.75" customHeight="1">
      <c r="A1733" s="804" t="str">
        <f>IF(B1733&lt;&gt;"",IF(AND(B1733&gt;=_TM1,B1733&lt;=_TM2,OR(TH!L1733="1111",TH!M1733="1111")),TH!D1733,""),"")</f>
        <v/>
      </c>
      <c r="B1733" s="36">
        <f t="shared" si="115"/>
        <v>4</v>
      </c>
      <c r="C1733" s="189">
        <f t="shared" si="118"/>
        <v>42100</v>
      </c>
      <c r="D1733" s="830" t="s">
        <v>1285</v>
      </c>
      <c r="E1733" s="830">
        <v>42100</v>
      </c>
      <c r="F1733" s="831" t="s">
        <v>1188</v>
      </c>
      <c r="G1733" s="832" t="s">
        <v>985</v>
      </c>
      <c r="H1733" s="833" t="s">
        <v>1259</v>
      </c>
      <c r="I1733" s="241">
        <v>210</v>
      </c>
      <c r="J1733" s="241">
        <v>12940.701555075066</v>
      </c>
      <c r="K1733" s="834">
        <f t="shared" si="119"/>
        <v>2717547</v>
      </c>
      <c r="L1733" s="835" t="s">
        <v>162</v>
      </c>
      <c r="M1733" s="835" t="s">
        <v>417</v>
      </c>
      <c r="N1733" s="51" t="str">
        <f>IF(AND('331-CT'!$E$7=TH!H1733,OR(L1733="331",M1733="331")),"331",IF(AND(OR(L1733="131",M1733="131"),H1733='131-CT'!$E$7),"131",""))</f>
        <v/>
      </c>
      <c r="O1733" s="51" t="str">
        <f>IF(AND($B1733&gt;='111'!$N$11,$B1733&lt;='111'!$O$11,OR($L1733=$O$7,$M1733=$O$7)),"x","")</f>
        <v/>
      </c>
      <c r="P1733" s="51" t="str">
        <f>IF(AND($L1733=$O$7,$B1733&lt;'111'!$N$11),"x","")</f>
        <v/>
      </c>
      <c r="Q1733" s="51" t="str">
        <f>IF(AND($M1733=$O$7,$B1733&lt;'111'!$N$11),"x","")</f>
        <v/>
      </c>
      <c r="R1733" s="51" t="str">
        <f>IF(ISERROR(FIND('112'!$M$9,G1733,1)),"",IF((AND(FIND('112'!$M$9,G1733,1)&gt;=1,$B1733&gt;='112'!$N$8,$B1733&lt;='112'!$O$8,OR($L1733='112'!$I$6,$M1733='112'!$I$6))),"x",""))</f>
        <v/>
      </c>
      <c r="S1733" s="51" t="str">
        <f>IF(ISERROR(FIND('112'!$M$9,G1733,1)),"",IF((AND(LEFT(G1733,2)=LEFT('112'!$M$9,2),B1733&lt;'112'!$N$8,$L1733='112'!$I$6)),"x",""))</f>
        <v/>
      </c>
      <c r="T1733" s="51" t="str">
        <f>IF(ISERROR(FIND('112'!$M$9,G1733,1)),"",IF((AND(RIGHT(G1733,2)=RIGHT('112'!$M$9,2),B1733&lt;'112'!$N$8,$M1733='112'!$I$6)),"x",""))</f>
        <v/>
      </c>
      <c r="U1733" s="51" t="str">
        <f>IF(AND(L1733="154",'154'!$O$5&lt;=B1733,'154'!$P$5&gt;=B1733),"154",IF(AND(L1733="632",'632'!$L$5&lt;=B1733,'632'!$M$5&gt;=B1733),"632",IF(AND(L1733="642",'642'!$N$5&lt;=B1733,'642'!$O$5&gt;=B1733),"642",IF(AND(L1733="641",'641'!$N$5&lt;=B1733,'641'!$O$5&gt;=B1733),"641",""))))</f>
        <v>632</v>
      </c>
      <c r="V1733" s="51" t="str">
        <f>IF(OR(TH!L1733=TH!$V$7,M1733=TH!$V$7),"x","")</f>
        <v/>
      </c>
      <c r="W1733" s="51" t="str">
        <f>IF(AND(B1733&gt;='IN-NX'!$P$3,B1733&lt;='IN-NX'!$Q$3,'IN-NX'!$D$7=D1733,OR(LEFT(L1733,2)="15",AND(LEFT(M1733,2)&lt;&gt;"15",LEFT(M1733,2)&lt;&gt;"33"))),"x","")</f>
        <v/>
      </c>
      <c r="X1733" s="51" t="str">
        <f>IF(AND(OR(LEFT(TH!L1733,2)="15",LEFT(TH!M1733,2)="15"),'152-CT'!$J$8=TH!F1733),"x","")</f>
        <v/>
      </c>
      <c r="Y1733" s="51" t="str">
        <f>IF(AND(OR(LEFT(TH!L1733,2)="15",LEFT(TH!M1733,2)="15"),TK!$E$7=TH!F1733),"x","")</f>
        <v/>
      </c>
      <c r="Z1733" s="51" t="str">
        <f>IF(AND(B1733&lt;=NKC!$N$8,B1733&gt;=NKC!$M$8),"x","")</f>
        <v/>
      </c>
      <c r="AA1733" s="803"/>
    </row>
    <row r="1734" spans="1:27" ht="15.75" customHeight="1">
      <c r="A1734" s="804" t="str">
        <f>IF(B1734&lt;&gt;"",IF(AND(B1734&gt;=_TM1,B1734&lt;=_TM2,OR(TH!L1734="1111",TH!M1734="1111")),TH!D1734,""),"")</f>
        <v/>
      </c>
      <c r="B1734" s="36">
        <f t="shared" si="115"/>
        <v>4</v>
      </c>
      <c r="C1734" s="189">
        <f t="shared" si="118"/>
        <v>42108</v>
      </c>
      <c r="D1734" s="830" t="s">
        <v>1285</v>
      </c>
      <c r="E1734" s="830">
        <v>42108</v>
      </c>
      <c r="F1734" s="831" t="s">
        <v>1189</v>
      </c>
      <c r="G1734" s="832" t="s">
        <v>569</v>
      </c>
      <c r="H1734" s="833" t="s">
        <v>1259</v>
      </c>
      <c r="I1734" s="241">
        <v>285</v>
      </c>
      <c r="J1734" s="241">
        <v>31528.56309353661</v>
      </c>
      <c r="K1734" s="834">
        <f t="shared" si="119"/>
        <v>8985640</v>
      </c>
      <c r="L1734" s="835" t="s">
        <v>162</v>
      </c>
      <c r="M1734" s="835" t="s">
        <v>417</v>
      </c>
      <c r="N1734" s="51" t="str">
        <f>IF(AND('331-CT'!$E$7=TH!H1734,OR(L1734="331",M1734="331")),"331",IF(AND(OR(L1734="131",M1734="131"),H1734='131-CT'!$E$7),"131",""))</f>
        <v/>
      </c>
      <c r="O1734" s="51" t="str">
        <f>IF(AND($B1734&gt;='111'!$N$11,$B1734&lt;='111'!$O$11,OR($L1734=$O$7,$M1734=$O$7)),"x","")</f>
        <v/>
      </c>
      <c r="P1734" s="51" t="str">
        <f>IF(AND($L1734=$O$7,$B1734&lt;'111'!$N$11),"x","")</f>
        <v/>
      </c>
      <c r="Q1734" s="51" t="str">
        <f>IF(AND($M1734=$O$7,$B1734&lt;'111'!$N$11),"x","")</f>
        <v/>
      </c>
      <c r="R1734" s="51" t="str">
        <f>IF(ISERROR(FIND('112'!$M$9,G1734,1)),"",IF((AND(FIND('112'!$M$9,G1734,1)&gt;=1,$B1734&gt;='112'!$N$8,$B1734&lt;='112'!$O$8,OR($L1734='112'!$I$6,$M1734='112'!$I$6))),"x",""))</f>
        <v/>
      </c>
      <c r="S1734" s="51" t="str">
        <f>IF(ISERROR(FIND('112'!$M$9,G1734,1)),"",IF((AND(LEFT(G1734,2)=LEFT('112'!$M$9,2),B1734&lt;'112'!$N$8,$L1734='112'!$I$6)),"x",""))</f>
        <v/>
      </c>
      <c r="T1734" s="51" t="str">
        <f>IF(ISERROR(FIND('112'!$M$9,G1734,1)),"",IF((AND(RIGHT(G1734,2)=RIGHT('112'!$M$9,2),B1734&lt;'112'!$N$8,$M1734='112'!$I$6)),"x",""))</f>
        <v/>
      </c>
      <c r="U1734" s="51" t="str">
        <f>IF(AND(L1734="154",'154'!$O$5&lt;=B1734,'154'!$P$5&gt;=B1734),"154",IF(AND(L1734="632",'632'!$L$5&lt;=B1734,'632'!$M$5&gt;=B1734),"632",IF(AND(L1734="642",'642'!$N$5&lt;=B1734,'642'!$O$5&gt;=B1734),"642",IF(AND(L1734="641",'641'!$N$5&lt;=B1734,'641'!$O$5&gt;=B1734),"641",""))))</f>
        <v>632</v>
      </c>
      <c r="V1734" s="51" t="str">
        <f>IF(OR(TH!L1734=TH!$V$7,M1734=TH!$V$7),"x","")</f>
        <v/>
      </c>
      <c r="W1734" s="51" t="str">
        <f>IF(AND(B1734&gt;='IN-NX'!$P$3,B1734&lt;='IN-NX'!$Q$3,'IN-NX'!$D$7=D1734,OR(LEFT(L1734,2)="15",AND(LEFT(M1734,2)&lt;&gt;"15",LEFT(M1734,2)&lt;&gt;"33"))),"x","")</f>
        <v/>
      </c>
      <c r="X1734" s="51" t="str">
        <f>IF(AND(OR(LEFT(TH!L1734,2)="15",LEFT(TH!M1734,2)="15"),'152-CT'!$J$8=TH!F1734),"x","")</f>
        <v/>
      </c>
      <c r="Y1734" s="51" t="str">
        <f>IF(AND(OR(LEFT(TH!L1734,2)="15",LEFT(TH!M1734,2)="15"),TK!$E$7=TH!F1734),"x","")</f>
        <v/>
      </c>
      <c r="Z1734" s="51" t="str">
        <f>IF(AND(B1734&lt;=NKC!$N$8,B1734&gt;=NKC!$M$8),"x","")</f>
        <v/>
      </c>
      <c r="AA1734" s="803"/>
    </row>
    <row r="1735" spans="1:27" ht="15.75" customHeight="1">
      <c r="A1735" s="804" t="str">
        <f>IF(B1735&lt;&gt;"",IF(AND(B1735&gt;=_TM1,B1735&lt;=_TM2,OR(TH!L1735="1111",TH!M1735="1111")),TH!D1735,""),"")</f>
        <v/>
      </c>
      <c r="B1735" s="36">
        <f t="shared" si="115"/>
        <v>4</v>
      </c>
      <c r="C1735" s="189">
        <f t="shared" si="118"/>
        <v>42108</v>
      </c>
      <c r="D1735" s="830" t="s">
        <v>1285</v>
      </c>
      <c r="E1735" s="830">
        <v>42108</v>
      </c>
      <c r="F1735" s="831" t="s">
        <v>1190</v>
      </c>
      <c r="G1735" s="832" t="s">
        <v>569</v>
      </c>
      <c r="H1735" s="833" t="s">
        <v>1259</v>
      </c>
      <c r="I1735" s="241">
        <v>133</v>
      </c>
      <c r="J1735" s="241">
        <v>18657.163093536605</v>
      </c>
      <c r="K1735" s="834">
        <f t="shared" si="119"/>
        <v>2481403</v>
      </c>
      <c r="L1735" s="835" t="s">
        <v>162</v>
      </c>
      <c r="M1735" s="835" t="s">
        <v>417</v>
      </c>
      <c r="N1735" s="51" t="str">
        <f>IF(AND('331-CT'!$E$7=TH!H1735,OR(L1735="331",M1735="331")),"331",IF(AND(OR(L1735="131",M1735="131"),H1735='131-CT'!$E$7),"131",""))</f>
        <v/>
      </c>
      <c r="O1735" s="51" t="str">
        <f>IF(AND($B1735&gt;='111'!$N$11,$B1735&lt;='111'!$O$11,OR($L1735=$O$7,$M1735=$O$7)),"x","")</f>
        <v/>
      </c>
      <c r="P1735" s="51" t="str">
        <f>IF(AND($L1735=$O$7,$B1735&lt;'111'!$N$11),"x","")</f>
        <v/>
      </c>
      <c r="Q1735" s="51" t="str">
        <f>IF(AND($M1735=$O$7,$B1735&lt;'111'!$N$11),"x","")</f>
        <v/>
      </c>
      <c r="R1735" s="51" t="str">
        <f>IF(ISERROR(FIND('112'!$M$9,G1735,1)),"",IF((AND(FIND('112'!$M$9,G1735,1)&gt;=1,$B1735&gt;='112'!$N$8,$B1735&lt;='112'!$O$8,OR($L1735='112'!$I$6,$M1735='112'!$I$6))),"x",""))</f>
        <v/>
      </c>
      <c r="S1735" s="51" t="str">
        <f>IF(ISERROR(FIND('112'!$M$9,G1735,1)),"",IF((AND(LEFT(G1735,2)=LEFT('112'!$M$9,2),B1735&lt;'112'!$N$8,$L1735='112'!$I$6)),"x",""))</f>
        <v/>
      </c>
      <c r="T1735" s="51" t="str">
        <f>IF(ISERROR(FIND('112'!$M$9,G1735,1)),"",IF((AND(RIGHT(G1735,2)=RIGHT('112'!$M$9,2),B1735&lt;'112'!$N$8,$M1735='112'!$I$6)),"x",""))</f>
        <v/>
      </c>
      <c r="U1735" s="51" t="str">
        <f>IF(AND(L1735="154",'154'!$O$5&lt;=B1735,'154'!$P$5&gt;=B1735),"154",IF(AND(L1735="632",'632'!$L$5&lt;=B1735,'632'!$M$5&gt;=B1735),"632",IF(AND(L1735="642",'642'!$N$5&lt;=B1735,'642'!$O$5&gt;=B1735),"642",IF(AND(L1735="641",'641'!$N$5&lt;=B1735,'641'!$O$5&gt;=B1735),"641",""))))</f>
        <v>632</v>
      </c>
      <c r="V1735" s="51" t="str">
        <f>IF(OR(TH!L1735=TH!$V$7,M1735=TH!$V$7),"x","")</f>
        <v/>
      </c>
      <c r="W1735" s="51" t="str">
        <f>IF(AND(B1735&gt;='IN-NX'!$P$3,B1735&lt;='IN-NX'!$Q$3,'IN-NX'!$D$7=D1735,OR(LEFT(L1735,2)="15",AND(LEFT(M1735,2)&lt;&gt;"15",LEFT(M1735,2)&lt;&gt;"33"))),"x","")</f>
        <v/>
      </c>
      <c r="X1735" s="51" t="str">
        <f>IF(AND(OR(LEFT(TH!L1735,2)="15",LEFT(TH!M1735,2)="15"),'152-CT'!$J$8=TH!F1735),"x","")</f>
        <v/>
      </c>
      <c r="Y1735" s="51" t="str">
        <f>IF(AND(OR(LEFT(TH!L1735,2)="15",LEFT(TH!M1735,2)="15"),TK!$E$7=TH!F1735),"x","")</f>
        <v/>
      </c>
      <c r="Z1735" s="51" t="str">
        <f>IF(AND(B1735&lt;=NKC!$N$8,B1735&gt;=NKC!$M$8),"x","")</f>
        <v/>
      </c>
      <c r="AA1735" s="803"/>
    </row>
    <row r="1736" spans="1:27" ht="15.75" customHeight="1">
      <c r="A1736" s="804" t="str">
        <f>IF(B1736&lt;&gt;"",IF(AND(B1736&gt;=_TM1,B1736&lt;=_TM2,OR(TH!L1736="1111",TH!M1736="1111")),TH!D1736,""),"")</f>
        <v/>
      </c>
      <c r="B1736" s="36">
        <f t="shared" si="115"/>
        <v>5</v>
      </c>
      <c r="C1736" s="189">
        <f t="shared" si="118"/>
        <v>42131</v>
      </c>
      <c r="D1736" s="830" t="s">
        <v>1285</v>
      </c>
      <c r="E1736" s="830">
        <v>42131</v>
      </c>
      <c r="F1736" s="831" t="s">
        <v>1191</v>
      </c>
      <c r="G1736" s="832" t="s">
        <v>987</v>
      </c>
      <c r="H1736" s="833" t="s">
        <v>1259</v>
      </c>
      <c r="I1736" s="241">
        <v>200</v>
      </c>
      <c r="J1736" s="241">
        <v>4141.5780935366047</v>
      </c>
      <c r="K1736" s="834">
        <f t="shared" si="119"/>
        <v>828316</v>
      </c>
      <c r="L1736" s="835" t="s">
        <v>162</v>
      </c>
      <c r="M1736" s="835" t="s">
        <v>417</v>
      </c>
      <c r="N1736" s="51" t="str">
        <f>IF(AND('331-CT'!$E$7=TH!H1736,OR(L1736="331",M1736="331")),"331",IF(AND(OR(L1736="131",M1736="131"),H1736='131-CT'!$E$7),"131",""))</f>
        <v/>
      </c>
      <c r="O1736" s="51" t="str">
        <f>IF(AND($B1736&gt;='111'!$N$11,$B1736&lt;='111'!$O$11,OR($L1736=$O$7,$M1736=$O$7)),"x","")</f>
        <v/>
      </c>
      <c r="P1736" s="51" t="str">
        <f>IF(AND($L1736=$O$7,$B1736&lt;'111'!$N$11),"x","")</f>
        <v/>
      </c>
      <c r="Q1736" s="51" t="str">
        <f>IF(AND($M1736=$O$7,$B1736&lt;'111'!$N$11),"x","")</f>
        <v/>
      </c>
      <c r="R1736" s="51" t="str">
        <f>IF(ISERROR(FIND('112'!$M$9,G1736,1)),"",IF((AND(FIND('112'!$M$9,G1736,1)&gt;=1,$B1736&gt;='112'!$N$8,$B1736&lt;='112'!$O$8,OR($L1736='112'!$I$6,$M1736='112'!$I$6))),"x",""))</f>
        <v/>
      </c>
      <c r="S1736" s="51" t="str">
        <f>IF(ISERROR(FIND('112'!$M$9,G1736,1)),"",IF((AND(LEFT(G1736,2)=LEFT('112'!$M$9,2),B1736&lt;'112'!$N$8,$L1736='112'!$I$6)),"x",""))</f>
        <v/>
      </c>
      <c r="T1736" s="51" t="str">
        <f>IF(ISERROR(FIND('112'!$M$9,G1736,1)),"",IF((AND(RIGHT(G1736,2)=RIGHT('112'!$M$9,2),B1736&lt;'112'!$N$8,$M1736='112'!$I$6)),"x",""))</f>
        <v/>
      </c>
      <c r="U1736" s="51" t="str">
        <f>IF(AND(L1736="154",'154'!$O$5&lt;=B1736,'154'!$P$5&gt;=B1736),"154",IF(AND(L1736="632",'632'!$L$5&lt;=B1736,'632'!$M$5&gt;=B1736),"632",IF(AND(L1736="642",'642'!$N$5&lt;=B1736,'642'!$O$5&gt;=B1736),"642",IF(AND(L1736="641",'641'!$N$5&lt;=B1736,'641'!$O$5&gt;=B1736),"641",""))))</f>
        <v>632</v>
      </c>
      <c r="V1736" s="51" t="str">
        <f>IF(OR(TH!L1736=TH!$V$7,M1736=TH!$V$7),"x","")</f>
        <v/>
      </c>
      <c r="W1736" s="51" t="str">
        <f>IF(AND(B1736&gt;='IN-NX'!$P$3,B1736&lt;='IN-NX'!$Q$3,'IN-NX'!$D$7=D1736,OR(LEFT(L1736,2)="15",AND(LEFT(M1736,2)&lt;&gt;"15",LEFT(M1736,2)&lt;&gt;"33"))),"x","")</f>
        <v/>
      </c>
      <c r="X1736" s="51" t="str">
        <f>IF(AND(OR(LEFT(TH!L1736,2)="15",LEFT(TH!M1736,2)="15"),'152-CT'!$J$8=TH!F1736),"x","")</f>
        <v/>
      </c>
      <c r="Y1736" s="51" t="str">
        <f>IF(AND(OR(LEFT(TH!L1736,2)="15",LEFT(TH!M1736,2)="15"),TK!$E$7=TH!F1736),"x","")</f>
        <v/>
      </c>
      <c r="Z1736" s="51" t="str">
        <f>IF(AND(B1736&lt;=NKC!$N$8,B1736&gt;=NKC!$M$8),"x","")</f>
        <v/>
      </c>
      <c r="AA1736" s="803"/>
    </row>
    <row r="1737" spans="1:27" ht="15.75" customHeight="1">
      <c r="A1737" s="804" t="str">
        <f>IF(B1737&lt;&gt;"",IF(AND(B1737&gt;=_TM1,B1737&lt;=_TM2,OR(TH!L1737="1111",TH!M1737="1111")),TH!D1737,""),"")</f>
        <v/>
      </c>
      <c r="B1737" s="36">
        <f t="shared" si="115"/>
        <v>5</v>
      </c>
      <c r="C1737" s="189">
        <f t="shared" si="118"/>
        <v>42131</v>
      </c>
      <c r="D1737" s="830" t="s">
        <v>1285</v>
      </c>
      <c r="E1737" s="830">
        <v>42131</v>
      </c>
      <c r="F1737" s="831" t="s">
        <v>1192</v>
      </c>
      <c r="G1737" s="832" t="s">
        <v>987</v>
      </c>
      <c r="H1737" s="833" t="s">
        <v>1259</v>
      </c>
      <c r="I1737" s="241">
        <v>300</v>
      </c>
      <c r="J1737" s="241">
        <v>4722.4964268699377</v>
      </c>
      <c r="K1737" s="834">
        <f t="shared" si="119"/>
        <v>1416749</v>
      </c>
      <c r="L1737" s="835" t="s">
        <v>162</v>
      </c>
      <c r="M1737" s="835" t="s">
        <v>417</v>
      </c>
      <c r="N1737" s="51" t="str">
        <f>IF(AND('331-CT'!$E$7=TH!H1737,OR(L1737="331",M1737="331")),"331",IF(AND(OR(L1737="131",M1737="131"),H1737='131-CT'!$E$7),"131",""))</f>
        <v/>
      </c>
      <c r="O1737" s="51" t="str">
        <f>IF(AND($B1737&gt;='111'!$N$11,$B1737&lt;='111'!$O$11,OR($L1737=$O$7,$M1737=$O$7)),"x","")</f>
        <v/>
      </c>
      <c r="P1737" s="51" t="str">
        <f>IF(AND($L1737=$O$7,$B1737&lt;'111'!$N$11),"x","")</f>
        <v/>
      </c>
      <c r="Q1737" s="51" t="str">
        <f>IF(AND($M1737=$O$7,$B1737&lt;'111'!$N$11),"x","")</f>
        <v/>
      </c>
      <c r="R1737" s="51" t="str">
        <f>IF(ISERROR(FIND('112'!$M$9,G1737,1)),"",IF((AND(FIND('112'!$M$9,G1737,1)&gt;=1,$B1737&gt;='112'!$N$8,$B1737&lt;='112'!$O$8,OR($L1737='112'!$I$6,$M1737='112'!$I$6))),"x",""))</f>
        <v/>
      </c>
      <c r="S1737" s="51" t="str">
        <f>IF(ISERROR(FIND('112'!$M$9,G1737,1)),"",IF((AND(LEFT(G1737,2)=LEFT('112'!$M$9,2),B1737&lt;'112'!$N$8,$L1737='112'!$I$6)),"x",""))</f>
        <v/>
      </c>
      <c r="T1737" s="51" t="str">
        <f>IF(ISERROR(FIND('112'!$M$9,G1737,1)),"",IF((AND(RIGHT(G1737,2)=RIGHT('112'!$M$9,2),B1737&lt;'112'!$N$8,$M1737='112'!$I$6)),"x",""))</f>
        <v/>
      </c>
      <c r="U1737" s="51" t="str">
        <f>IF(AND(L1737="154",'154'!$O$5&lt;=B1737,'154'!$P$5&gt;=B1737),"154",IF(AND(L1737="632",'632'!$L$5&lt;=B1737,'632'!$M$5&gt;=B1737),"632",IF(AND(L1737="642",'642'!$N$5&lt;=B1737,'642'!$O$5&gt;=B1737),"642",IF(AND(L1737="641",'641'!$N$5&lt;=B1737,'641'!$O$5&gt;=B1737),"641",""))))</f>
        <v>632</v>
      </c>
      <c r="V1737" s="51" t="str">
        <f>IF(OR(TH!L1737=TH!$V$7,M1737=TH!$V$7),"x","")</f>
        <v/>
      </c>
      <c r="W1737" s="51" t="str">
        <f>IF(AND(B1737&gt;='IN-NX'!$P$3,B1737&lt;='IN-NX'!$Q$3,'IN-NX'!$D$7=D1737,OR(LEFT(L1737,2)="15",AND(LEFT(M1737,2)&lt;&gt;"15",LEFT(M1737,2)&lt;&gt;"33"))),"x","")</f>
        <v/>
      </c>
      <c r="X1737" s="51" t="str">
        <f>IF(AND(OR(LEFT(TH!L1737,2)="15",LEFT(TH!M1737,2)="15"),'152-CT'!$J$8=TH!F1737),"x","")</f>
        <v/>
      </c>
      <c r="Y1737" s="51" t="str">
        <f>IF(AND(OR(LEFT(TH!L1737,2)="15",LEFT(TH!M1737,2)="15"),TK!$E$7=TH!F1737),"x","")</f>
        <v/>
      </c>
      <c r="Z1737" s="51" t="str">
        <f>IF(AND(B1737&lt;=NKC!$N$8,B1737&gt;=NKC!$M$8),"x","")</f>
        <v/>
      </c>
      <c r="AA1737" s="803"/>
    </row>
    <row r="1738" spans="1:27" ht="15.75" customHeight="1">
      <c r="A1738" s="804" t="str">
        <f>IF(B1738&lt;&gt;"",IF(AND(B1738&gt;=_TM1,B1738&lt;=_TM2,OR(TH!L1738="1111",TH!M1738="1111")),TH!D1738,""),"")</f>
        <v/>
      </c>
      <c r="B1738" s="36">
        <f t="shared" si="115"/>
        <v>5</v>
      </c>
      <c r="C1738" s="189">
        <f t="shared" si="118"/>
        <v>42131</v>
      </c>
      <c r="D1738" s="830" t="s">
        <v>1285</v>
      </c>
      <c r="E1738" s="830">
        <v>42131</v>
      </c>
      <c r="F1738" s="831" t="s">
        <v>1193</v>
      </c>
      <c r="G1738" s="832" t="s">
        <v>987</v>
      </c>
      <c r="H1738" s="833" t="s">
        <v>1259</v>
      </c>
      <c r="I1738" s="241">
        <v>200</v>
      </c>
      <c r="J1738" s="241">
        <v>9110.1630935366047</v>
      </c>
      <c r="K1738" s="834">
        <f t="shared" si="119"/>
        <v>1822033</v>
      </c>
      <c r="L1738" s="835" t="s">
        <v>162</v>
      </c>
      <c r="M1738" s="835" t="s">
        <v>417</v>
      </c>
      <c r="N1738" s="51" t="str">
        <f>IF(AND('331-CT'!$E$7=TH!H1738,OR(L1738="331",M1738="331")),"331",IF(AND(OR(L1738="131",M1738="131"),H1738='131-CT'!$E$7),"131",""))</f>
        <v/>
      </c>
      <c r="O1738" s="51" t="str">
        <f>IF(AND($B1738&gt;='111'!$N$11,$B1738&lt;='111'!$O$11,OR($L1738=$O$7,$M1738=$O$7)),"x","")</f>
        <v/>
      </c>
      <c r="P1738" s="51" t="str">
        <f>IF(AND($L1738=$O$7,$B1738&lt;'111'!$N$11),"x","")</f>
        <v/>
      </c>
      <c r="Q1738" s="51" t="str">
        <f>IF(AND($M1738=$O$7,$B1738&lt;'111'!$N$11),"x","")</f>
        <v/>
      </c>
      <c r="R1738" s="51" t="str">
        <f>IF(ISERROR(FIND('112'!$M$9,G1738,1)),"",IF((AND(FIND('112'!$M$9,G1738,1)&gt;=1,$B1738&gt;='112'!$N$8,$B1738&lt;='112'!$O$8,OR($L1738='112'!$I$6,$M1738='112'!$I$6))),"x",""))</f>
        <v/>
      </c>
      <c r="S1738" s="51" t="str">
        <f>IF(ISERROR(FIND('112'!$M$9,G1738,1)),"",IF((AND(LEFT(G1738,2)=LEFT('112'!$M$9,2),B1738&lt;'112'!$N$8,$L1738='112'!$I$6)),"x",""))</f>
        <v/>
      </c>
      <c r="T1738" s="51" t="str">
        <f>IF(ISERROR(FIND('112'!$M$9,G1738,1)),"",IF((AND(RIGHT(G1738,2)=RIGHT('112'!$M$9,2),B1738&lt;'112'!$N$8,$M1738='112'!$I$6)),"x",""))</f>
        <v/>
      </c>
      <c r="U1738" s="51" t="str">
        <f>IF(AND(L1738="154",'154'!$O$5&lt;=B1738,'154'!$P$5&gt;=B1738),"154",IF(AND(L1738="632",'632'!$L$5&lt;=B1738,'632'!$M$5&gt;=B1738),"632",IF(AND(L1738="642",'642'!$N$5&lt;=B1738,'642'!$O$5&gt;=B1738),"642",IF(AND(L1738="641",'641'!$N$5&lt;=B1738,'641'!$O$5&gt;=B1738),"641",""))))</f>
        <v>632</v>
      </c>
      <c r="V1738" s="51" t="str">
        <f>IF(OR(TH!L1738=TH!$V$7,M1738=TH!$V$7),"x","")</f>
        <v/>
      </c>
      <c r="W1738" s="51" t="str">
        <f>IF(AND(B1738&gt;='IN-NX'!$P$3,B1738&lt;='IN-NX'!$Q$3,'IN-NX'!$D$7=D1738,OR(LEFT(L1738,2)="15",AND(LEFT(M1738,2)&lt;&gt;"15",LEFT(M1738,2)&lt;&gt;"33"))),"x","")</f>
        <v/>
      </c>
      <c r="X1738" s="51" t="str">
        <f>IF(AND(OR(LEFT(TH!L1738,2)="15",LEFT(TH!M1738,2)="15"),'152-CT'!$J$8=TH!F1738),"x","")</f>
        <v/>
      </c>
      <c r="Y1738" s="51" t="str">
        <f>IF(AND(OR(LEFT(TH!L1738,2)="15",LEFT(TH!M1738,2)="15"),TK!$E$7=TH!F1738),"x","")</f>
        <v/>
      </c>
      <c r="Z1738" s="51" t="str">
        <f>IF(AND(B1738&lt;=NKC!$N$8,B1738&gt;=NKC!$M$8),"x","")</f>
        <v/>
      </c>
      <c r="AA1738" s="803"/>
    </row>
    <row r="1739" spans="1:27" ht="15.75" customHeight="1">
      <c r="A1739" s="804" t="str">
        <f>IF(B1739&lt;&gt;"",IF(AND(B1739&gt;=_TM1,B1739&lt;=_TM2,OR(TH!L1739="1111",TH!M1739="1111")),TH!D1739,""),"")</f>
        <v/>
      </c>
      <c r="B1739" s="36">
        <f t="shared" si="115"/>
        <v>5</v>
      </c>
      <c r="C1739" s="189">
        <f t="shared" si="118"/>
        <v>42131</v>
      </c>
      <c r="D1739" s="830" t="s">
        <v>1285</v>
      </c>
      <c r="E1739" s="830">
        <v>42131</v>
      </c>
      <c r="F1739" s="831" t="s">
        <v>1194</v>
      </c>
      <c r="G1739" s="832" t="s">
        <v>987</v>
      </c>
      <c r="H1739" s="833" t="s">
        <v>1259</v>
      </c>
      <c r="I1739" s="241">
        <v>200</v>
      </c>
      <c r="J1739" s="241">
        <v>8314.2880935366047</v>
      </c>
      <c r="K1739" s="834">
        <f t="shared" si="119"/>
        <v>1662858</v>
      </c>
      <c r="L1739" s="835" t="s">
        <v>162</v>
      </c>
      <c r="M1739" s="835" t="s">
        <v>417</v>
      </c>
      <c r="N1739" s="51" t="str">
        <f>IF(AND('331-CT'!$E$7=TH!H1739,OR(L1739="331",M1739="331")),"331",IF(AND(OR(L1739="131",M1739="131"),H1739='131-CT'!$E$7),"131",""))</f>
        <v/>
      </c>
      <c r="O1739" s="51" t="str">
        <f>IF(AND($B1739&gt;='111'!$N$11,$B1739&lt;='111'!$O$11,OR($L1739=$O$7,$M1739=$O$7)),"x","")</f>
        <v/>
      </c>
      <c r="P1739" s="51" t="str">
        <f>IF(AND($L1739=$O$7,$B1739&lt;'111'!$N$11),"x","")</f>
        <v/>
      </c>
      <c r="Q1739" s="51" t="str">
        <f>IF(AND($M1739=$O$7,$B1739&lt;'111'!$N$11),"x","")</f>
        <v/>
      </c>
      <c r="R1739" s="51" t="str">
        <f>IF(ISERROR(FIND('112'!$M$9,G1739,1)),"",IF((AND(FIND('112'!$M$9,G1739,1)&gt;=1,$B1739&gt;='112'!$N$8,$B1739&lt;='112'!$O$8,OR($L1739='112'!$I$6,$M1739='112'!$I$6))),"x",""))</f>
        <v/>
      </c>
      <c r="S1739" s="51" t="str">
        <f>IF(ISERROR(FIND('112'!$M$9,G1739,1)),"",IF((AND(LEFT(G1739,2)=LEFT('112'!$M$9,2),B1739&lt;'112'!$N$8,$L1739='112'!$I$6)),"x",""))</f>
        <v/>
      </c>
      <c r="T1739" s="51" t="str">
        <f>IF(ISERROR(FIND('112'!$M$9,G1739,1)),"",IF((AND(RIGHT(G1739,2)=RIGHT('112'!$M$9,2),B1739&lt;'112'!$N$8,$M1739='112'!$I$6)),"x",""))</f>
        <v/>
      </c>
      <c r="U1739" s="51" t="str">
        <f>IF(AND(L1739="154",'154'!$O$5&lt;=B1739,'154'!$P$5&gt;=B1739),"154",IF(AND(L1739="632",'632'!$L$5&lt;=B1739,'632'!$M$5&gt;=B1739),"632",IF(AND(L1739="642",'642'!$N$5&lt;=B1739,'642'!$O$5&gt;=B1739),"642",IF(AND(L1739="641",'641'!$N$5&lt;=B1739,'641'!$O$5&gt;=B1739),"641",""))))</f>
        <v>632</v>
      </c>
      <c r="V1739" s="51" t="str">
        <f>IF(OR(TH!L1739=TH!$V$7,M1739=TH!$V$7),"x","")</f>
        <v/>
      </c>
      <c r="W1739" s="51" t="str">
        <f>IF(AND(B1739&gt;='IN-NX'!$P$3,B1739&lt;='IN-NX'!$Q$3,'IN-NX'!$D$7=D1739,OR(LEFT(L1739,2)="15",AND(LEFT(M1739,2)&lt;&gt;"15",LEFT(M1739,2)&lt;&gt;"33"))),"x","")</f>
        <v/>
      </c>
      <c r="X1739" s="51" t="str">
        <f>IF(AND(OR(LEFT(TH!L1739,2)="15",LEFT(TH!M1739,2)="15"),'152-CT'!$J$8=TH!F1739),"x","")</f>
        <v/>
      </c>
      <c r="Y1739" s="51" t="str">
        <f>IF(AND(OR(LEFT(TH!L1739,2)="15",LEFT(TH!M1739,2)="15"),TK!$E$7=TH!F1739),"x","")</f>
        <v/>
      </c>
      <c r="Z1739" s="51" t="str">
        <f>IF(AND(B1739&lt;=NKC!$N$8,B1739&gt;=NKC!$M$8),"x","")</f>
        <v/>
      </c>
      <c r="AA1739" s="803"/>
    </row>
    <row r="1740" spans="1:27" ht="15.75" customHeight="1">
      <c r="A1740" s="804" t="str">
        <f>IF(B1740&lt;&gt;"",IF(AND(B1740&gt;=_TM1,B1740&lt;=_TM2,OR(TH!L1740="1111",TH!M1740="1111")),TH!D1740,""),"")</f>
        <v/>
      </c>
      <c r="B1740" s="36">
        <f t="shared" si="115"/>
        <v>5</v>
      </c>
      <c r="C1740" s="189">
        <f t="shared" si="118"/>
        <v>42131</v>
      </c>
      <c r="D1740" s="830" t="s">
        <v>1285</v>
      </c>
      <c r="E1740" s="830">
        <v>42131</v>
      </c>
      <c r="F1740" s="831" t="s">
        <v>1195</v>
      </c>
      <c r="G1740" s="832" t="s">
        <v>987</v>
      </c>
      <c r="H1740" s="833" t="s">
        <v>1259</v>
      </c>
      <c r="I1740" s="241">
        <v>200</v>
      </c>
      <c r="J1740" s="241">
        <v>9110.1630935366047</v>
      </c>
      <c r="K1740" s="834">
        <f t="shared" si="119"/>
        <v>1822033</v>
      </c>
      <c r="L1740" s="835" t="s">
        <v>162</v>
      </c>
      <c r="M1740" s="835" t="s">
        <v>417</v>
      </c>
      <c r="N1740" s="51" t="str">
        <f>IF(AND('331-CT'!$E$7=TH!H1740,OR(L1740="331",M1740="331")),"331",IF(AND(OR(L1740="131",M1740="131"),H1740='131-CT'!$E$7),"131",""))</f>
        <v/>
      </c>
      <c r="O1740" s="51" t="str">
        <f>IF(AND($B1740&gt;='111'!$N$11,$B1740&lt;='111'!$O$11,OR($L1740=$O$7,$M1740=$O$7)),"x","")</f>
        <v/>
      </c>
      <c r="P1740" s="51" t="str">
        <f>IF(AND($L1740=$O$7,$B1740&lt;'111'!$N$11),"x","")</f>
        <v/>
      </c>
      <c r="Q1740" s="51" t="str">
        <f>IF(AND($M1740=$O$7,$B1740&lt;'111'!$N$11),"x","")</f>
        <v/>
      </c>
      <c r="R1740" s="51" t="str">
        <f>IF(ISERROR(FIND('112'!$M$9,G1740,1)),"",IF((AND(FIND('112'!$M$9,G1740,1)&gt;=1,$B1740&gt;='112'!$N$8,$B1740&lt;='112'!$O$8,OR($L1740='112'!$I$6,$M1740='112'!$I$6))),"x",""))</f>
        <v/>
      </c>
      <c r="S1740" s="51" t="str">
        <f>IF(ISERROR(FIND('112'!$M$9,G1740,1)),"",IF((AND(LEFT(G1740,2)=LEFT('112'!$M$9,2),B1740&lt;'112'!$N$8,$L1740='112'!$I$6)),"x",""))</f>
        <v/>
      </c>
      <c r="T1740" s="51" t="str">
        <f>IF(ISERROR(FIND('112'!$M$9,G1740,1)),"",IF((AND(RIGHT(G1740,2)=RIGHT('112'!$M$9,2),B1740&lt;'112'!$N$8,$M1740='112'!$I$6)),"x",""))</f>
        <v/>
      </c>
      <c r="U1740" s="51" t="str">
        <f>IF(AND(L1740="154",'154'!$O$5&lt;=B1740,'154'!$P$5&gt;=B1740),"154",IF(AND(L1740="632",'632'!$L$5&lt;=B1740,'632'!$M$5&gt;=B1740),"632",IF(AND(L1740="642",'642'!$N$5&lt;=B1740,'642'!$O$5&gt;=B1740),"642",IF(AND(L1740="641",'641'!$N$5&lt;=B1740,'641'!$O$5&gt;=B1740),"641",""))))</f>
        <v>632</v>
      </c>
      <c r="V1740" s="51" t="str">
        <f>IF(OR(TH!L1740=TH!$V$7,M1740=TH!$V$7),"x","")</f>
        <v/>
      </c>
      <c r="W1740" s="51" t="str">
        <f>IF(AND(B1740&gt;='IN-NX'!$P$3,B1740&lt;='IN-NX'!$Q$3,'IN-NX'!$D$7=D1740,OR(LEFT(L1740,2)="15",AND(LEFT(M1740,2)&lt;&gt;"15",LEFT(M1740,2)&lt;&gt;"33"))),"x","")</f>
        <v/>
      </c>
      <c r="X1740" s="51" t="str">
        <f>IF(AND(OR(LEFT(TH!L1740,2)="15",LEFT(TH!M1740,2)="15"),'152-CT'!$J$8=TH!F1740),"x","")</f>
        <v/>
      </c>
      <c r="Y1740" s="51" t="str">
        <f>IF(AND(OR(LEFT(TH!L1740,2)="15",LEFT(TH!M1740,2)="15"),TK!$E$7=TH!F1740),"x","")</f>
        <v/>
      </c>
      <c r="Z1740" s="51" t="str">
        <f>IF(AND(B1740&lt;=NKC!$N$8,B1740&gt;=NKC!$M$8),"x","")</f>
        <v/>
      </c>
      <c r="AA1740" s="803"/>
    </row>
    <row r="1741" spans="1:27" ht="15.75" customHeight="1">
      <c r="A1741" s="804" t="str">
        <f>IF(B1741&lt;&gt;"",IF(AND(B1741&gt;=_TM1,B1741&lt;=_TM2,OR(TH!L1741="1111",TH!M1741="1111")),TH!D1741,""),"")</f>
        <v/>
      </c>
      <c r="B1741" s="36">
        <f t="shared" si="115"/>
        <v>6</v>
      </c>
      <c r="C1741" s="189">
        <f t="shared" si="118"/>
        <v>42158</v>
      </c>
      <c r="D1741" s="830" t="s">
        <v>1285</v>
      </c>
      <c r="E1741" s="830">
        <v>42158</v>
      </c>
      <c r="F1741" s="831" t="s">
        <v>1196</v>
      </c>
      <c r="G1741" s="832" t="s">
        <v>991</v>
      </c>
      <c r="H1741" s="833" t="s">
        <v>1259</v>
      </c>
      <c r="I1741" s="241">
        <v>500</v>
      </c>
      <c r="J1741" s="241">
        <v>11619.163093536605</v>
      </c>
      <c r="K1741" s="834">
        <f t="shared" si="119"/>
        <v>5809582</v>
      </c>
      <c r="L1741" s="835" t="s">
        <v>162</v>
      </c>
      <c r="M1741" s="835" t="s">
        <v>417</v>
      </c>
      <c r="N1741" s="51" t="str">
        <f>IF(AND('331-CT'!$E$7=TH!H1741,OR(L1741="331",M1741="331")),"331",IF(AND(OR(L1741="131",M1741="131"),H1741='131-CT'!$E$7),"131",""))</f>
        <v/>
      </c>
      <c r="O1741" s="51" t="str">
        <f>IF(AND($B1741&gt;='111'!$N$11,$B1741&lt;='111'!$O$11,OR($L1741=$O$7,$M1741=$O$7)),"x","")</f>
        <v/>
      </c>
      <c r="P1741" s="51" t="str">
        <f>IF(AND($L1741=$O$7,$B1741&lt;'111'!$N$11),"x","")</f>
        <v/>
      </c>
      <c r="Q1741" s="51" t="str">
        <f>IF(AND($M1741=$O$7,$B1741&lt;'111'!$N$11),"x","")</f>
        <v/>
      </c>
      <c r="R1741" s="51" t="str">
        <f>IF(ISERROR(FIND('112'!$M$9,G1741,1)),"",IF((AND(FIND('112'!$M$9,G1741,1)&gt;=1,$B1741&gt;='112'!$N$8,$B1741&lt;='112'!$O$8,OR($L1741='112'!$I$6,$M1741='112'!$I$6))),"x",""))</f>
        <v/>
      </c>
      <c r="S1741" s="51" t="str">
        <f>IF(ISERROR(FIND('112'!$M$9,G1741,1)),"",IF((AND(LEFT(G1741,2)=LEFT('112'!$M$9,2),B1741&lt;'112'!$N$8,$L1741='112'!$I$6)),"x",""))</f>
        <v/>
      </c>
      <c r="T1741" s="51" t="str">
        <f>IF(ISERROR(FIND('112'!$M$9,G1741,1)),"",IF((AND(RIGHT(G1741,2)=RIGHT('112'!$M$9,2),B1741&lt;'112'!$N$8,$M1741='112'!$I$6)),"x",""))</f>
        <v/>
      </c>
      <c r="U1741" s="51" t="str">
        <f>IF(AND(L1741="154",'154'!$O$5&lt;=B1741,'154'!$P$5&gt;=B1741),"154",IF(AND(L1741="632",'632'!$L$5&lt;=B1741,'632'!$M$5&gt;=B1741),"632",IF(AND(L1741="642",'642'!$N$5&lt;=B1741,'642'!$O$5&gt;=B1741),"642",IF(AND(L1741="641",'641'!$N$5&lt;=B1741,'641'!$O$5&gt;=B1741),"641",""))))</f>
        <v>632</v>
      </c>
      <c r="V1741" s="51" t="str">
        <f>IF(OR(TH!L1741=TH!$V$7,M1741=TH!$V$7),"x","")</f>
        <v/>
      </c>
      <c r="W1741" s="51" t="str">
        <f>IF(AND(B1741&gt;='IN-NX'!$P$3,B1741&lt;='IN-NX'!$Q$3,'IN-NX'!$D$7=D1741,OR(LEFT(L1741,2)="15",AND(LEFT(M1741,2)&lt;&gt;"15",LEFT(M1741,2)&lt;&gt;"33"))),"x","")</f>
        <v/>
      </c>
      <c r="X1741" s="51" t="str">
        <f>IF(AND(OR(LEFT(TH!L1741,2)="15",LEFT(TH!M1741,2)="15"),'152-CT'!$J$8=TH!F1741),"x","")</f>
        <v/>
      </c>
      <c r="Y1741" s="51" t="str">
        <f>IF(AND(OR(LEFT(TH!L1741,2)="15",LEFT(TH!M1741,2)="15"),TK!$E$7=TH!F1741),"x","")</f>
        <v/>
      </c>
      <c r="Z1741" s="51" t="str">
        <f>IF(AND(B1741&lt;=NKC!$N$8,B1741&gt;=NKC!$M$8),"x","")</f>
        <v/>
      </c>
      <c r="AA1741" s="803"/>
    </row>
    <row r="1742" spans="1:27" ht="15.75" customHeight="1">
      <c r="A1742" s="804" t="str">
        <f>IF(B1742&lt;&gt;"",IF(AND(B1742&gt;=_TM1,B1742&lt;=_TM2,OR(TH!L1742="1111",TH!M1742="1111")),TH!D1742,""),"")</f>
        <v/>
      </c>
      <c r="B1742" s="36">
        <f t="shared" si="115"/>
        <v>6</v>
      </c>
      <c r="C1742" s="189">
        <f t="shared" si="118"/>
        <v>42170</v>
      </c>
      <c r="D1742" s="830" t="s">
        <v>1285</v>
      </c>
      <c r="E1742" s="830">
        <v>42170</v>
      </c>
      <c r="F1742" s="831" t="s">
        <v>1197</v>
      </c>
      <c r="G1742" s="832" t="s">
        <v>993</v>
      </c>
      <c r="H1742" s="833" t="s">
        <v>1259</v>
      </c>
      <c r="I1742" s="241">
        <v>900</v>
      </c>
      <c r="J1742" s="241">
        <v>2914.2630935366042</v>
      </c>
      <c r="K1742" s="834">
        <f t="shared" si="119"/>
        <v>2622837</v>
      </c>
      <c r="L1742" s="835" t="s">
        <v>162</v>
      </c>
      <c r="M1742" s="835" t="s">
        <v>417</v>
      </c>
      <c r="N1742" s="51" t="str">
        <f>IF(AND('331-CT'!$E$7=TH!H1742,OR(L1742="331",M1742="331")),"331",IF(AND(OR(L1742="131",M1742="131"),H1742='131-CT'!$E$7),"131",""))</f>
        <v/>
      </c>
      <c r="O1742" s="51" t="str">
        <f>IF(AND($B1742&gt;='111'!$N$11,$B1742&lt;='111'!$O$11,OR($L1742=$O$7,$M1742=$O$7)),"x","")</f>
        <v/>
      </c>
      <c r="P1742" s="51" t="str">
        <f>IF(AND($L1742=$O$7,$B1742&lt;'111'!$N$11),"x","")</f>
        <v/>
      </c>
      <c r="Q1742" s="51" t="str">
        <f>IF(AND($M1742=$O$7,$B1742&lt;'111'!$N$11),"x","")</f>
        <v/>
      </c>
      <c r="R1742" s="51" t="str">
        <f>IF(ISERROR(FIND('112'!$M$9,G1742,1)),"",IF((AND(FIND('112'!$M$9,G1742,1)&gt;=1,$B1742&gt;='112'!$N$8,$B1742&lt;='112'!$O$8,OR($L1742='112'!$I$6,$M1742='112'!$I$6))),"x",""))</f>
        <v/>
      </c>
      <c r="S1742" s="51" t="str">
        <f>IF(ISERROR(FIND('112'!$M$9,G1742,1)),"",IF((AND(LEFT(G1742,2)=LEFT('112'!$M$9,2),B1742&lt;'112'!$N$8,$L1742='112'!$I$6)),"x",""))</f>
        <v/>
      </c>
      <c r="T1742" s="51" t="str">
        <f>IF(ISERROR(FIND('112'!$M$9,G1742,1)),"",IF((AND(RIGHT(G1742,2)=RIGHT('112'!$M$9,2),B1742&lt;'112'!$N$8,$M1742='112'!$I$6)),"x",""))</f>
        <v/>
      </c>
      <c r="U1742" s="51" t="str">
        <f>IF(AND(L1742="154",'154'!$O$5&lt;=B1742,'154'!$P$5&gt;=B1742),"154",IF(AND(L1742="632",'632'!$L$5&lt;=B1742,'632'!$M$5&gt;=B1742),"632",IF(AND(L1742="642",'642'!$N$5&lt;=B1742,'642'!$O$5&gt;=B1742),"642",IF(AND(L1742="641",'641'!$N$5&lt;=B1742,'641'!$O$5&gt;=B1742),"641",""))))</f>
        <v>632</v>
      </c>
      <c r="V1742" s="51" t="str">
        <f>IF(OR(TH!L1742=TH!$V$7,M1742=TH!$V$7),"x","")</f>
        <v/>
      </c>
      <c r="W1742" s="51" t="str">
        <f>IF(AND(B1742&gt;='IN-NX'!$P$3,B1742&lt;='IN-NX'!$Q$3,'IN-NX'!$D$7=D1742,OR(LEFT(L1742,2)="15",AND(LEFT(M1742,2)&lt;&gt;"15",LEFT(M1742,2)&lt;&gt;"33"))),"x","")</f>
        <v/>
      </c>
      <c r="X1742" s="51" t="str">
        <f>IF(AND(OR(LEFT(TH!L1742,2)="15",LEFT(TH!M1742,2)="15"),'152-CT'!$J$8=TH!F1742),"x","")</f>
        <v/>
      </c>
      <c r="Y1742" s="51" t="str">
        <f>IF(AND(OR(LEFT(TH!L1742,2)="15",LEFT(TH!M1742,2)="15"),TK!$E$7=TH!F1742),"x","")</f>
        <v/>
      </c>
      <c r="Z1742" s="51" t="str">
        <f>IF(AND(B1742&lt;=NKC!$N$8,B1742&gt;=NKC!$M$8),"x","")</f>
        <v/>
      </c>
      <c r="AA1742" s="803"/>
    </row>
    <row r="1743" spans="1:27" ht="15.75" customHeight="1">
      <c r="A1743" s="804" t="str">
        <f>IF(B1743&lt;&gt;"",IF(AND(B1743&gt;=_TM1,B1743&lt;=_TM2,OR(TH!L1743="1111",TH!M1743="1111")),TH!D1743,""),"")</f>
        <v/>
      </c>
      <c r="B1743" s="36">
        <f t="shared" si="115"/>
        <v>6</v>
      </c>
      <c r="C1743" s="189">
        <f t="shared" si="118"/>
        <v>42175</v>
      </c>
      <c r="D1743" s="830" t="s">
        <v>1285</v>
      </c>
      <c r="E1743" s="830">
        <v>42175</v>
      </c>
      <c r="F1743" s="831" t="s">
        <v>1183</v>
      </c>
      <c r="G1743" s="832" t="s">
        <v>995</v>
      </c>
      <c r="H1743" s="833" t="s">
        <v>1259</v>
      </c>
      <c r="I1743" s="241">
        <v>8</v>
      </c>
      <c r="J1743" s="241">
        <v>56737.163093536605</v>
      </c>
      <c r="K1743" s="834">
        <f t="shared" si="119"/>
        <v>453897</v>
      </c>
      <c r="L1743" s="835" t="s">
        <v>162</v>
      </c>
      <c r="M1743" s="835" t="s">
        <v>417</v>
      </c>
      <c r="N1743" s="51" t="str">
        <f>IF(AND('331-CT'!$E$7=TH!H1743,OR(L1743="331",M1743="331")),"331",IF(AND(OR(L1743="131",M1743="131"),H1743='131-CT'!$E$7),"131",""))</f>
        <v/>
      </c>
      <c r="O1743" s="51" t="str">
        <f>IF(AND($B1743&gt;='111'!$N$11,$B1743&lt;='111'!$O$11,OR($L1743=$O$7,$M1743=$O$7)),"x","")</f>
        <v/>
      </c>
      <c r="P1743" s="51" t="str">
        <f>IF(AND($L1743=$O$7,$B1743&lt;'111'!$N$11),"x","")</f>
        <v/>
      </c>
      <c r="Q1743" s="51" t="str">
        <f>IF(AND($M1743=$O$7,$B1743&lt;'111'!$N$11),"x","")</f>
        <v/>
      </c>
      <c r="R1743" s="51" t="str">
        <f>IF(ISERROR(FIND('112'!$M$9,G1743,1)),"",IF((AND(FIND('112'!$M$9,G1743,1)&gt;=1,$B1743&gt;='112'!$N$8,$B1743&lt;='112'!$O$8,OR($L1743='112'!$I$6,$M1743='112'!$I$6))),"x",""))</f>
        <v/>
      </c>
      <c r="S1743" s="51" t="str">
        <f>IF(ISERROR(FIND('112'!$M$9,G1743,1)),"",IF((AND(LEFT(G1743,2)=LEFT('112'!$M$9,2),B1743&lt;'112'!$N$8,$L1743='112'!$I$6)),"x",""))</f>
        <v/>
      </c>
      <c r="T1743" s="51" t="str">
        <f>IF(ISERROR(FIND('112'!$M$9,G1743,1)),"",IF((AND(RIGHT(G1743,2)=RIGHT('112'!$M$9,2),B1743&lt;'112'!$N$8,$M1743='112'!$I$6)),"x",""))</f>
        <v/>
      </c>
      <c r="U1743" s="51" t="str">
        <f>IF(AND(L1743="154",'154'!$O$5&lt;=B1743,'154'!$P$5&gt;=B1743),"154",IF(AND(L1743="632",'632'!$L$5&lt;=B1743,'632'!$M$5&gt;=B1743),"632",IF(AND(L1743="642",'642'!$N$5&lt;=B1743,'642'!$O$5&gt;=B1743),"642",IF(AND(L1743="641",'641'!$N$5&lt;=B1743,'641'!$O$5&gt;=B1743),"641",""))))</f>
        <v>632</v>
      </c>
      <c r="V1743" s="51" t="str">
        <f>IF(OR(TH!L1743=TH!$V$7,M1743=TH!$V$7),"x","")</f>
        <v/>
      </c>
      <c r="W1743" s="51" t="str">
        <f>IF(AND(B1743&gt;='IN-NX'!$P$3,B1743&lt;='IN-NX'!$Q$3,'IN-NX'!$D$7=D1743,OR(LEFT(L1743,2)="15",AND(LEFT(M1743,2)&lt;&gt;"15",LEFT(M1743,2)&lt;&gt;"33"))),"x","")</f>
        <v/>
      </c>
      <c r="X1743" s="51" t="str">
        <f>IF(AND(OR(LEFT(TH!L1743,2)="15",LEFT(TH!M1743,2)="15"),'152-CT'!$J$8=TH!F1743),"x","")</f>
        <v/>
      </c>
      <c r="Y1743" s="51" t="str">
        <f>IF(AND(OR(LEFT(TH!L1743,2)="15",LEFT(TH!M1743,2)="15"),TK!$E$7=TH!F1743),"x","")</f>
        <v/>
      </c>
      <c r="Z1743" s="51" t="str">
        <f>IF(AND(B1743&lt;=NKC!$N$8,B1743&gt;=NKC!$M$8),"x","")</f>
        <v/>
      </c>
      <c r="AA1743" s="803"/>
    </row>
    <row r="1744" spans="1:27" ht="15.75" customHeight="1">
      <c r="A1744" s="804" t="str">
        <f>IF(B1744&lt;&gt;"",IF(AND(B1744&gt;=_TM1,B1744&lt;=_TM2,OR(TH!L1744="1111",TH!M1744="1111")),TH!D1744,""),"")</f>
        <v/>
      </c>
      <c r="B1744" s="36">
        <f t="shared" si="115"/>
        <v>6</v>
      </c>
      <c r="C1744" s="189">
        <f t="shared" si="118"/>
        <v>42175</v>
      </c>
      <c r="D1744" s="830" t="s">
        <v>1285</v>
      </c>
      <c r="E1744" s="830">
        <v>42175</v>
      </c>
      <c r="F1744" s="831" t="s">
        <v>1198</v>
      </c>
      <c r="G1744" s="832" t="s">
        <v>995</v>
      </c>
      <c r="H1744" s="833" t="s">
        <v>1259</v>
      </c>
      <c r="I1744" s="241">
        <v>8</v>
      </c>
      <c r="J1744" s="241">
        <v>54225.413093536605</v>
      </c>
      <c r="K1744" s="834">
        <f t="shared" si="119"/>
        <v>433803</v>
      </c>
      <c r="L1744" s="835" t="s">
        <v>162</v>
      </c>
      <c r="M1744" s="835" t="s">
        <v>417</v>
      </c>
      <c r="N1744" s="51" t="str">
        <f>IF(AND('331-CT'!$E$7=TH!H1744,OR(L1744="331",M1744="331")),"331",IF(AND(OR(L1744="131",M1744="131"),H1744='131-CT'!$E$7),"131",""))</f>
        <v/>
      </c>
      <c r="O1744" s="51" t="str">
        <f>IF(AND($B1744&gt;='111'!$N$11,$B1744&lt;='111'!$O$11,OR($L1744=$O$7,$M1744=$O$7)),"x","")</f>
        <v/>
      </c>
      <c r="P1744" s="51" t="str">
        <f>IF(AND($L1744=$O$7,$B1744&lt;'111'!$N$11),"x","")</f>
        <v/>
      </c>
      <c r="Q1744" s="51" t="str">
        <f>IF(AND($M1744=$O$7,$B1744&lt;'111'!$N$11),"x","")</f>
        <v/>
      </c>
      <c r="R1744" s="51" t="str">
        <f>IF(ISERROR(FIND('112'!$M$9,G1744,1)),"",IF((AND(FIND('112'!$M$9,G1744,1)&gt;=1,$B1744&gt;='112'!$N$8,$B1744&lt;='112'!$O$8,OR($L1744='112'!$I$6,$M1744='112'!$I$6))),"x",""))</f>
        <v/>
      </c>
      <c r="S1744" s="51" t="str">
        <f>IF(ISERROR(FIND('112'!$M$9,G1744,1)),"",IF((AND(LEFT(G1744,2)=LEFT('112'!$M$9,2),B1744&lt;'112'!$N$8,$L1744='112'!$I$6)),"x",""))</f>
        <v/>
      </c>
      <c r="T1744" s="51" t="str">
        <f>IF(ISERROR(FIND('112'!$M$9,G1744,1)),"",IF((AND(RIGHT(G1744,2)=RIGHT('112'!$M$9,2),B1744&lt;'112'!$N$8,$M1744='112'!$I$6)),"x",""))</f>
        <v/>
      </c>
      <c r="U1744" s="51" t="str">
        <f>IF(AND(L1744="154",'154'!$O$5&lt;=B1744,'154'!$P$5&gt;=B1744),"154",IF(AND(L1744="632",'632'!$L$5&lt;=B1744,'632'!$M$5&gt;=B1744),"632",IF(AND(L1744="642",'642'!$N$5&lt;=B1744,'642'!$O$5&gt;=B1744),"642",IF(AND(L1744="641",'641'!$N$5&lt;=B1744,'641'!$O$5&gt;=B1744),"641",""))))</f>
        <v>632</v>
      </c>
      <c r="V1744" s="51" t="str">
        <f>IF(OR(TH!L1744=TH!$V$7,M1744=TH!$V$7),"x","")</f>
        <v/>
      </c>
      <c r="W1744" s="51" t="str">
        <f>IF(AND(B1744&gt;='IN-NX'!$P$3,B1744&lt;='IN-NX'!$Q$3,'IN-NX'!$D$7=D1744,OR(LEFT(L1744,2)="15",AND(LEFT(M1744,2)&lt;&gt;"15",LEFT(M1744,2)&lt;&gt;"33"))),"x","")</f>
        <v/>
      </c>
      <c r="X1744" s="51" t="str">
        <f>IF(AND(OR(LEFT(TH!L1744,2)="15",LEFT(TH!M1744,2)="15"),'152-CT'!$J$8=TH!F1744),"x","")</f>
        <v/>
      </c>
      <c r="Y1744" s="51" t="str">
        <f>IF(AND(OR(LEFT(TH!L1744,2)="15",LEFT(TH!M1744,2)="15"),TK!$E$7=TH!F1744),"x","")</f>
        <v/>
      </c>
      <c r="Z1744" s="51" t="str">
        <f>IF(AND(B1744&lt;=NKC!$N$8,B1744&gt;=NKC!$M$8),"x","")</f>
        <v/>
      </c>
      <c r="AA1744" s="803"/>
    </row>
    <row r="1745" spans="1:27" ht="15.75" customHeight="1">
      <c r="A1745" s="804" t="str">
        <f>IF(B1745&lt;&gt;"",IF(AND(B1745&gt;=_TM1,B1745&lt;=_TM2,OR(TH!L1745="1111",TH!M1745="1111")),TH!D1745,""),"")</f>
        <v/>
      </c>
      <c r="B1745" s="36">
        <f t="shared" si="115"/>
        <v>6</v>
      </c>
      <c r="C1745" s="189">
        <f t="shared" si="118"/>
        <v>42175</v>
      </c>
      <c r="D1745" s="830" t="s">
        <v>1285</v>
      </c>
      <c r="E1745" s="830">
        <v>42175</v>
      </c>
      <c r="F1745" s="831" t="s">
        <v>1199</v>
      </c>
      <c r="G1745" s="832" t="s">
        <v>995</v>
      </c>
      <c r="H1745" s="833" t="s">
        <v>1259</v>
      </c>
      <c r="I1745" s="241">
        <v>10</v>
      </c>
      <c r="J1745" s="241">
        <v>82009.9630935366</v>
      </c>
      <c r="K1745" s="834">
        <f t="shared" si="119"/>
        <v>820100</v>
      </c>
      <c r="L1745" s="835" t="s">
        <v>162</v>
      </c>
      <c r="M1745" s="835" t="s">
        <v>417</v>
      </c>
      <c r="N1745" s="51" t="str">
        <f>IF(AND('331-CT'!$E$7=TH!H1745,OR(L1745="331",M1745="331")),"331",IF(AND(OR(L1745="131",M1745="131"),H1745='131-CT'!$E$7),"131",""))</f>
        <v/>
      </c>
      <c r="O1745" s="51" t="str">
        <f>IF(AND($B1745&gt;='111'!$N$11,$B1745&lt;='111'!$O$11,OR($L1745=$O$7,$M1745=$O$7)),"x","")</f>
        <v/>
      </c>
      <c r="P1745" s="51" t="str">
        <f>IF(AND($L1745=$O$7,$B1745&lt;'111'!$N$11),"x","")</f>
        <v/>
      </c>
      <c r="Q1745" s="51" t="str">
        <f>IF(AND($M1745=$O$7,$B1745&lt;'111'!$N$11),"x","")</f>
        <v/>
      </c>
      <c r="R1745" s="51" t="str">
        <f>IF(ISERROR(FIND('112'!$M$9,G1745,1)),"",IF((AND(FIND('112'!$M$9,G1745,1)&gt;=1,$B1745&gt;='112'!$N$8,$B1745&lt;='112'!$O$8,OR($L1745='112'!$I$6,$M1745='112'!$I$6))),"x",""))</f>
        <v/>
      </c>
      <c r="S1745" s="51" t="str">
        <f>IF(ISERROR(FIND('112'!$M$9,G1745,1)),"",IF((AND(LEFT(G1745,2)=LEFT('112'!$M$9,2),B1745&lt;'112'!$N$8,$L1745='112'!$I$6)),"x",""))</f>
        <v/>
      </c>
      <c r="T1745" s="51" t="str">
        <f>IF(ISERROR(FIND('112'!$M$9,G1745,1)),"",IF((AND(RIGHT(G1745,2)=RIGHT('112'!$M$9,2),B1745&lt;'112'!$N$8,$M1745='112'!$I$6)),"x",""))</f>
        <v/>
      </c>
      <c r="U1745" s="51" t="str">
        <f>IF(AND(L1745="154",'154'!$O$5&lt;=B1745,'154'!$P$5&gt;=B1745),"154",IF(AND(L1745="632",'632'!$L$5&lt;=B1745,'632'!$M$5&gt;=B1745),"632",IF(AND(L1745="642",'642'!$N$5&lt;=B1745,'642'!$O$5&gt;=B1745),"642",IF(AND(L1745="641",'641'!$N$5&lt;=B1745,'641'!$O$5&gt;=B1745),"641",""))))</f>
        <v>632</v>
      </c>
      <c r="V1745" s="51" t="str">
        <f>IF(OR(TH!L1745=TH!$V$7,M1745=TH!$V$7),"x","")</f>
        <v/>
      </c>
      <c r="W1745" s="51" t="str">
        <f>IF(AND(B1745&gt;='IN-NX'!$P$3,B1745&lt;='IN-NX'!$Q$3,'IN-NX'!$D$7=D1745,OR(LEFT(L1745,2)="15",AND(LEFT(M1745,2)&lt;&gt;"15",LEFT(M1745,2)&lt;&gt;"33"))),"x","")</f>
        <v/>
      </c>
      <c r="X1745" s="51" t="str">
        <f>IF(AND(OR(LEFT(TH!L1745,2)="15",LEFT(TH!M1745,2)="15"),'152-CT'!$J$8=TH!F1745),"x","")</f>
        <v/>
      </c>
      <c r="Y1745" s="51" t="str">
        <f>IF(AND(OR(LEFT(TH!L1745,2)="15",LEFT(TH!M1745,2)="15"),TK!$E$7=TH!F1745),"x","")</f>
        <v/>
      </c>
      <c r="Z1745" s="51" t="str">
        <f>IF(AND(B1745&lt;=NKC!$N$8,B1745&gt;=NKC!$M$8),"x","")</f>
        <v/>
      </c>
      <c r="AA1745" s="803"/>
    </row>
    <row r="1746" spans="1:27" ht="15.75" customHeight="1">
      <c r="A1746" s="804" t="str">
        <f>IF(B1746&lt;&gt;"",IF(AND(B1746&gt;=_TM1,B1746&lt;=_TM2,OR(TH!L1746="1111",TH!M1746="1111")),TH!D1746,""),"")</f>
        <v/>
      </c>
      <c r="B1746" s="36">
        <f t="shared" si="115"/>
        <v>6</v>
      </c>
      <c r="C1746" s="189">
        <f t="shared" si="118"/>
        <v>42175</v>
      </c>
      <c r="D1746" s="830" t="s">
        <v>1285</v>
      </c>
      <c r="E1746" s="830">
        <v>42175</v>
      </c>
      <c r="F1746" s="831" t="s">
        <v>1200</v>
      </c>
      <c r="G1746" s="832" t="s">
        <v>995</v>
      </c>
      <c r="H1746" s="833" t="s">
        <v>1259</v>
      </c>
      <c r="I1746" s="241">
        <v>50</v>
      </c>
      <c r="J1746" s="241">
        <v>56665.963093536608</v>
      </c>
      <c r="K1746" s="834">
        <f t="shared" si="119"/>
        <v>2833298</v>
      </c>
      <c r="L1746" s="835" t="s">
        <v>162</v>
      </c>
      <c r="M1746" s="835" t="s">
        <v>417</v>
      </c>
      <c r="N1746" s="51" t="str">
        <f>IF(AND('331-CT'!$E$7=TH!H1746,OR(L1746="331",M1746="331")),"331",IF(AND(OR(L1746="131",M1746="131"),H1746='131-CT'!$E$7),"131",""))</f>
        <v/>
      </c>
      <c r="O1746" s="51" t="str">
        <f>IF(AND($B1746&gt;='111'!$N$11,$B1746&lt;='111'!$O$11,OR($L1746=$O$7,$M1746=$O$7)),"x","")</f>
        <v/>
      </c>
      <c r="P1746" s="51" t="str">
        <f>IF(AND($L1746=$O$7,$B1746&lt;'111'!$N$11),"x","")</f>
        <v/>
      </c>
      <c r="Q1746" s="51" t="str">
        <f>IF(AND($M1746=$O$7,$B1746&lt;'111'!$N$11),"x","")</f>
        <v/>
      </c>
      <c r="R1746" s="51" t="str">
        <f>IF(ISERROR(FIND('112'!$M$9,G1746,1)),"",IF((AND(FIND('112'!$M$9,G1746,1)&gt;=1,$B1746&gt;='112'!$N$8,$B1746&lt;='112'!$O$8,OR($L1746='112'!$I$6,$M1746='112'!$I$6))),"x",""))</f>
        <v/>
      </c>
      <c r="S1746" s="51" t="str">
        <f>IF(ISERROR(FIND('112'!$M$9,G1746,1)),"",IF((AND(LEFT(G1746,2)=LEFT('112'!$M$9,2),B1746&lt;'112'!$N$8,$L1746='112'!$I$6)),"x",""))</f>
        <v/>
      </c>
      <c r="T1746" s="51" t="str">
        <f>IF(ISERROR(FIND('112'!$M$9,G1746,1)),"",IF((AND(RIGHT(G1746,2)=RIGHT('112'!$M$9,2),B1746&lt;'112'!$N$8,$M1746='112'!$I$6)),"x",""))</f>
        <v/>
      </c>
      <c r="U1746" s="51" t="str">
        <f>IF(AND(L1746="154",'154'!$O$5&lt;=B1746,'154'!$P$5&gt;=B1746),"154",IF(AND(L1746="632",'632'!$L$5&lt;=B1746,'632'!$M$5&gt;=B1746),"632",IF(AND(L1746="642",'642'!$N$5&lt;=B1746,'642'!$O$5&gt;=B1746),"642",IF(AND(L1746="641",'641'!$N$5&lt;=B1746,'641'!$O$5&gt;=B1746),"641",""))))</f>
        <v>632</v>
      </c>
      <c r="V1746" s="51" t="str">
        <f>IF(OR(TH!L1746=TH!$V$7,M1746=TH!$V$7),"x","")</f>
        <v/>
      </c>
      <c r="W1746" s="51" t="str">
        <f>IF(AND(B1746&gt;='IN-NX'!$P$3,B1746&lt;='IN-NX'!$Q$3,'IN-NX'!$D$7=D1746,OR(LEFT(L1746,2)="15",AND(LEFT(M1746,2)&lt;&gt;"15",LEFT(M1746,2)&lt;&gt;"33"))),"x","")</f>
        <v/>
      </c>
      <c r="X1746" s="51" t="str">
        <f>IF(AND(OR(LEFT(TH!L1746,2)="15",LEFT(TH!M1746,2)="15"),'152-CT'!$J$8=TH!F1746),"x","")</f>
        <v/>
      </c>
      <c r="Y1746" s="51" t="str">
        <f>IF(AND(OR(LEFT(TH!L1746,2)="15",LEFT(TH!M1746,2)="15"),TK!$E$7=TH!F1746),"x","")</f>
        <v/>
      </c>
      <c r="Z1746" s="51" t="str">
        <f>IF(AND(B1746&lt;=NKC!$N$8,B1746&gt;=NKC!$M$8),"x","")</f>
        <v/>
      </c>
      <c r="AA1746" s="803"/>
    </row>
    <row r="1747" spans="1:27" ht="15.75" customHeight="1">
      <c r="A1747" s="804" t="str">
        <f>IF(B1747&lt;&gt;"",IF(AND(B1747&gt;=_TM1,B1747&lt;=_TM2,OR(TH!L1747="1111",TH!M1747="1111")),TH!D1747,""),"")</f>
        <v/>
      </c>
      <c r="B1747" s="36">
        <f t="shared" ref="B1747:B1778" si="120">IF(C1747&lt;&gt;"",MONTH(C1747),"")</f>
        <v>6</v>
      </c>
      <c r="C1747" s="189">
        <f t="shared" si="118"/>
        <v>42181</v>
      </c>
      <c r="D1747" s="830" t="s">
        <v>1285</v>
      </c>
      <c r="E1747" s="47">
        <v>42181</v>
      </c>
      <c r="F1747" s="48" t="s">
        <v>1189</v>
      </c>
      <c r="G1747" s="810" t="s">
        <v>996</v>
      </c>
      <c r="H1747" s="833" t="s">
        <v>1259</v>
      </c>
      <c r="I1747" s="241">
        <v>384</v>
      </c>
      <c r="J1747" s="241">
        <v>36088.124031036605</v>
      </c>
      <c r="K1747" s="834">
        <f t="shared" si="119"/>
        <v>13857840</v>
      </c>
      <c r="L1747" s="835" t="s">
        <v>162</v>
      </c>
      <c r="M1747" s="835" t="s">
        <v>417</v>
      </c>
      <c r="N1747" s="51" t="str">
        <f>IF(AND('331-CT'!$E$7=TH!H1747,OR(L1747="331",M1747="331")),"331",IF(AND(OR(L1747="131",M1747="131"),H1747='131-CT'!$E$7),"131",""))</f>
        <v/>
      </c>
      <c r="O1747" s="51" t="str">
        <f>IF(AND($B1747&gt;='111'!$N$11,$B1747&lt;='111'!$O$11,OR($L1747=$O$7,$M1747=$O$7)),"x","")</f>
        <v/>
      </c>
      <c r="P1747" s="51" t="str">
        <f>IF(AND($L1747=$O$7,$B1747&lt;'111'!$N$11),"x","")</f>
        <v/>
      </c>
      <c r="Q1747" s="51" t="str">
        <f>IF(AND($M1747=$O$7,$B1747&lt;'111'!$N$11),"x","")</f>
        <v/>
      </c>
      <c r="R1747" s="51" t="str">
        <f>IF(ISERROR(FIND('112'!$M$9,G1747,1)),"",IF((AND(FIND('112'!$M$9,G1747,1)&gt;=1,$B1747&gt;='112'!$N$8,$B1747&lt;='112'!$O$8,OR($L1747='112'!$I$6,$M1747='112'!$I$6))),"x",""))</f>
        <v/>
      </c>
      <c r="S1747" s="51" t="str">
        <f>IF(ISERROR(FIND('112'!$M$9,G1747,1)),"",IF((AND(LEFT(G1747,2)=LEFT('112'!$M$9,2),B1747&lt;'112'!$N$8,$L1747='112'!$I$6)),"x",""))</f>
        <v/>
      </c>
      <c r="T1747" s="51" t="str">
        <f>IF(ISERROR(FIND('112'!$M$9,G1747,1)),"",IF((AND(RIGHT(G1747,2)=RIGHT('112'!$M$9,2),B1747&lt;'112'!$N$8,$M1747='112'!$I$6)),"x",""))</f>
        <v/>
      </c>
      <c r="U1747" s="51" t="str">
        <f>IF(AND(L1747="154",'154'!$O$5&lt;=B1747,'154'!$P$5&gt;=B1747),"154",IF(AND(L1747="632",'632'!$L$5&lt;=B1747,'632'!$M$5&gt;=B1747),"632",IF(AND(L1747="642",'642'!$N$5&lt;=B1747,'642'!$O$5&gt;=B1747),"642",IF(AND(L1747="641",'641'!$N$5&lt;=B1747,'641'!$O$5&gt;=B1747),"641",""))))</f>
        <v>632</v>
      </c>
      <c r="V1747" s="51" t="str">
        <f>IF(OR(TH!L1747=TH!$V$7,M1747=TH!$V$7),"x","")</f>
        <v/>
      </c>
      <c r="W1747" s="51" t="str">
        <f>IF(AND(B1747&gt;='IN-NX'!$P$3,B1747&lt;='IN-NX'!$Q$3,'IN-NX'!$D$7=D1747,OR(LEFT(L1747,2)="15",AND(LEFT(M1747,2)&lt;&gt;"15",LEFT(M1747,2)&lt;&gt;"33"))),"x","")</f>
        <v/>
      </c>
      <c r="X1747" s="51" t="str">
        <f>IF(AND(OR(LEFT(TH!L1747,2)="15",LEFT(TH!M1747,2)="15"),'152-CT'!$J$8=TH!F1747),"x","")</f>
        <v/>
      </c>
      <c r="Y1747" s="51" t="str">
        <f>IF(AND(OR(LEFT(TH!L1747,2)="15",LEFT(TH!M1747,2)="15"),TK!$E$7=TH!F1747),"x","")</f>
        <v/>
      </c>
      <c r="Z1747" s="51" t="str">
        <f>IF(AND(B1747&lt;=NKC!$N$8,B1747&gt;=NKC!$M$8),"x","")</f>
        <v/>
      </c>
      <c r="AA1747" s="803"/>
    </row>
    <row r="1748" spans="1:27" ht="15.75" customHeight="1">
      <c r="A1748" s="804" t="str">
        <f>IF(B1748&lt;&gt;"",IF(AND(B1748&gt;=_TM1,B1748&lt;=_TM2,OR(TH!L1748="1111",TH!M1748="1111")),TH!D1748,""),"")</f>
        <v/>
      </c>
      <c r="B1748" s="36">
        <f t="shared" si="120"/>
        <v>6</v>
      </c>
      <c r="C1748" s="189">
        <f t="shared" si="118"/>
        <v>42181</v>
      </c>
      <c r="D1748" s="830" t="s">
        <v>1285</v>
      </c>
      <c r="E1748" s="47">
        <v>42181</v>
      </c>
      <c r="F1748" s="48" t="s">
        <v>1183</v>
      </c>
      <c r="G1748" s="810" t="s">
        <v>997</v>
      </c>
      <c r="H1748" s="833" t="s">
        <v>1259</v>
      </c>
      <c r="I1748" s="241">
        <v>15</v>
      </c>
      <c r="J1748" s="241">
        <v>65055.829760203276</v>
      </c>
      <c r="K1748" s="834">
        <f t="shared" si="119"/>
        <v>975837</v>
      </c>
      <c r="L1748" s="835" t="s">
        <v>162</v>
      </c>
      <c r="M1748" s="835" t="s">
        <v>417</v>
      </c>
      <c r="N1748" s="51" t="str">
        <f>IF(AND('331-CT'!$E$7=TH!H1748,OR(L1748="331",M1748="331")),"331",IF(AND(OR(L1748="131",M1748="131"),H1748='131-CT'!$E$7),"131",""))</f>
        <v/>
      </c>
      <c r="O1748" s="51" t="str">
        <f>IF(AND($B1748&gt;='111'!$N$11,$B1748&lt;='111'!$O$11,OR($L1748=$O$7,$M1748=$O$7)),"x","")</f>
        <v/>
      </c>
      <c r="P1748" s="51" t="str">
        <f>IF(AND($L1748=$O$7,$B1748&lt;'111'!$N$11),"x","")</f>
        <v/>
      </c>
      <c r="Q1748" s="51" t="str">
        <f>IF(AND($M1748=$O$7,$B1748&lt;'111'!$N$11),"x","")</f>
        <v/>
      </c>
      <c r="R1748" s="51" t="str">
        <f>IF(ISERROR(FIND('112'!$M$9,G1748,1)),"",IF((AND(FIND('112'!$M$9,G1748,1)&gt;=1,$B1748&gt;='112'!$N$8,$B1748&lt;='112'!$O$8,OR($L1748='112'!$I$6,$M1748='112'!$I$6))),"x",""))</f>
        <v/>
      </c>
      <c r="S1748" s="51" t="str">
        <f>IF(ISERROR(FIND('112'!$M$9,G1748,1)),"",IF((AND(LEFT(G1748,2)=LEFT('112'!$M$9,2),B1748&lt;'112'!$N$8,$L1748='112'!$I$6)),"x",""))</f>
        <v/>
      </c>
      <c r="T1748" s="51" t="str">
        <f>IF(ISERROR(FIND('112'!$M$9,G1748,1)),"",IF((AND(RIGHT(G1748,2)=RIGHT('112'!$M$9,2),B1748&lt;'112'!$N$8,$M1748='112'!$I$6)),"x",""))</f>
        <v/>
      </c>
      <c r="U1748" s="51" t="str">
        <f>IF(AND(L1748="154",'154'!$O$5&lt;=B1748,'154'!$P$5&gt;=B1748),"154",IF(AND(L1748="632",'632'!$L$5&lt;=B1748,'632'!$M$5&gt;=B1748),"632",IF(AND(L1748="642",'642'!$N$5&lt;=B1748,'642'!$O$5&gt;=B1748),"642",IF(AND(L1748="641",'641'!$N$5&lt;=B1748,'641'!$O$5&gt;=B1748),"641",""))))</f>
        <v>632</v>
      </c>
      <c r="V1748" s="51" t="str">
        <f>IF(OR(TH!L1748=TH!$V$7,M1748=TH!$V$7),"x","")</f>
        <v/>
      </c>
      <c r="W1748" s="51" t="str">
        <f>IF(AND(B1748&gt;='IN-NX'!$P$3,B1748&lt;='IN-NX'!$Q$3,'IN-NX'!$D$7=D1748,OR(LEFT(L1748,2)="15",AND(LEFT(M1748,2)&lt;&gt;"15",LEFT(M1748,2)&lt;&gt;"33"))),"x","")</f>
        <v/>
      </c>
      <c r="X1748" s="51" t="str">
        <f>IF(AND(OR(LEFT(TH!L1748,2)="15",LEFT(TH!M1748,2)="15"),'152-CT'!$J$8=TH!F1748),"x","")</f>
        <v/>
      </c>
      <c r="Y1748" s="51" t="str">
        <f>IF(AND(OR(LEFT(TH!L1748,2)="15",LEFT(TH!M1748,2)="15"),TK!$E$7=TH!F1748),"x","")</f>
        <v/>
      </c>
      <c r="Z1748" s="51" t="str">
        <f>IF(AND(B1748&lt;=NKC!$N$8,B1748&gt;=NKC!$M$8),"x","")</f>
        <v/>
      </c>
      <c r="AA1748" s="803"/>
    </row>
    <row r="1749" spans="1:27" ht="15.75" customHeight="1">
      <c r="A1749" s="804" t="str">
        <f>IF(B1749&lt;&gt;"",IF(AND(B1749&gt;=_TM1,B1749&lt;=_TM2,OR(TH!L1749="1111",TH!M1749="1111")),TH!D1749,""),"")</f>
        <v/>
      </c>
      <c r="B1749" s="36">
        <f t="shared" si="120"/>
        <v>6</v>
      </c>
      <c r="C1749" s="189">
        <f t="shared" si="118"/>
        <v>42181</v>
      </c>
      <c r="D1749" s="830" t="s">
        <v>1285</v>
      </c>
      <c r="E1749" s="47">
        <v>42181</v>
      </c>
      <c r="F1749" s="48" t="s">
        <v>1199</v>
      </c>
      <c r="G1749" s="810" t="s">
        <v>997</v>
      </c>
      <c r="H1749" s="833" t="s">
        <v>1259</v>
      </c>
      <c r="I1749" s="241">
        <v>6</v>
      </c>
      <c r="J1749" s="241">
        <v>54221.163093536597</v>
      </c>
      <c r="K1749" s="834">
        <f t="shared" si="119"/>
        <v>325327</v>
      </c>
      <c r="L1749" s="835" t="s">
        <v>162</v>
      </c>
      <c r="M1749" s="835" t="s">
        <v>417</v>
      </c>
      <c r="N1749" s="51" t="str">
        <f>IF(AND('331-CT'!$E$7=TH!H1749,OR(L1749="331",M1749="331")),"331",IF(AND(OR(L1749="131",M1749="131"),H1749='131-CT'!$E$7),"131",""))</f>
        <v/>
      </c>
      <c r="O1749" s="51" t="str">
        <f>IF(AND($B1749&gt;='111'!$N$11,$B1749&lt;='111'!$O$11,OR($L1749=$O$7,$M1749=$O$7)),"x","")</f>
        <v/>
      </c>
      <c r="P1749" s="51" t="str">
        <f>IF(AND($L1749=$O$7,$B1749&lt;'111'!$N$11),"x","")</f>
        <v/>
      </c>
      <c r="Q1749" s="51" t="str">
        <f>IF(AND($M1749=$O$7,$B1749&lt;'111'!$N$11),"x","")</f>
        <v/>
      </c>
      <c r="R1749" s="51" t="str">
        <f>IF(ISERROR(FIND('112'!$M$9,G1749,1)),"",IF((AND(FIND('112'!$M$9,G1749,1)&gt;=1,$B1749&gt;='112'!$N$8,$B1749&lt;='112'!$O$8,OR($L1749='112'!$I$6,$M1749='112'!$I$6))),"x",""))</f>
        <v/>
      </c>
      <c r="S1749" s="51" t="str">
        <f>IF(ISERROR(FIND('112'!$M$9,G1749,1)),"",IF((AND(LEFT(G1749,2)=LEFT('112'!$M$9,2),B1749&lt;'112'!$N$8,$L1749='112'!$I$6)),"x",""))</f>
        <v/>
      </c>
      <c r="T1749" s="51" t="str">
        <f>IF(ISERROR(FIND('112'!$M$9,G1749,1)),"",IF((AND(RIGHT(G1749,2)=RIGHT('112'!$M$9,2),B1749&lt;'112'!$N$8,$M1749='112'!$I$6)),"x",""))</f>
        <v/>
      </c>
      <c r="U1749" s="51" t="str">
        <f>IF(AND(L1749="154",'154'!$O$5&lt;=B1749,'154'!$P$5&gt;=B1749),"154",IF(AND(L1749="632",'632'!$L$5&lt;=B1749,'632'!$M$5&gt;=B1749),"632",IF(AND(L1749="642",'642'!$N$5&lt;=B1749,'642'!$O$5&gt;=B1749),"642",IF(AND(L1749="641",'641'!$N$5&lt;=B1749,'641'!$O$5&gt;=B1749),"641",""))))</f>
        <v>632</v>
      </c>
      <c r="V1749" s="51" t="str">
        <f>IF(OR(TH!L1749=TH!$V$7,M1749=TH!$V$7),"x","")</f>
        <v/>
      </c>
      <c r="W1749" s="51" t="str">
        <f>IF(AND(B1749&gt;='IN-NX'!$P$3,B1749&lt;='IN-NX'!$Q$3,'IN-NX'!$D$7=D1749,OR(LEFT(L1749,2)="15",AND(LEFT(M1749,2)&lt;&gt;"15",LEFT(M1749,2)&lt;&gt;"33"))),"x","")</f>
        <v/>
      </c>
      <c r="X1749" s="51" t="str">
        <f>IF(AND(OR(LEFT(TH!L1749,2)="15",LEFT(TH!M1749,2)="15"),'152-CT'!$J$8=TH!F1749),"x","")</f>
        <v/>
      </c>
      <c r="Y1749" s="51" t="str">
        <f>IF(AND(OR(LEFT(TH!L1749,2)="15",LEFT(TH!M1749,2)="15"),TK!$E$7=TH!F1749),"x","")</f>
        <v/>
      </c>
      <c r="Z1749" s="51" t="str">
        <f>IF(AND(B1749&lt;=NKC!$N$8,B1749&gt;=NKC!$M$8),"x","")</f>
        <v/>
      </c>
      <c r="AA1749" s="803"/>
    </row>
    <row r="1750" spans="1:27" ht="15.75" customHeight="1">
      <c r="A1750" s="804" t="str">
        <f>IF(B1750&lt;&gt;"",IF(AND(B1750&gt;=_TM1,B1750&lt;=_TM2,OR(TH!L1750="1111",TH!M1750="1111")),TH!D1750,""),"")</f>
        <v/>
      </c>
      <c r="B1750" s="36">
        <f t="shared" si="120"/>
        <v>6</v>
      </c>
      <c r="C1750" s="189">
        <f t="shared" si="118"/>
        <v>42181</v>
      </c>
      <c r="D1750" s="830" t="s">
        <v>1285</v>
      </c>
      <c r="E1750" s="47">
        <v>42181</v>
      </c>
      <c r="F1750" s="48" t="s">
        <v>1200</v>
      </c>
      <c r="G1750" s="810" t="s">
        <v>997</v>
      </c>
      <c r="H1750" s="833" t="s">
        <v>1259</v>
      </c>
      <c r="I1750" s="241">
        <v>55</v>
      </c>
      <c r="J1750" s="241">
        <v>62140.0721844457</v>
      </c>
      <c r="K1750" s="834">
        <f t="shared" si="119"/>
        <v>3417704</v>
      </c>
      <c r="L1750" s="835" t="s">
        <v>162</v>
      </c>
      <c r="M1750" s="835" t="s">
        <v>417</v>
      </c>
      <c r="N1750" s="51" t="str">
        <f>IF(AND('331-CT'!$E$7=TH!H1750,OR(L1750="331",M1750="331")),"331",IF(AND(OR(L1750="131",M1750="131"),H1750='131-CT'!$E$7),"131",""))</f>
        <v/>
      </c>
      <c r="O1750" s="51" t="str">
        <f>IF(AND($B1750&gt;='111'!$N$11,$B1750&lt;='111'!$O$11,OR($L1750=$O$7,$M1750=$O$7)),"x","")</f>
        <v/>
      </c>
      <c r="P1750" s="51" t="str">
        <f>IF(AND($L1750=$O$7,$B1750&lt;'111'!$N$11),"x","")</f>
        <v/>
      </c>
      <c r="Q1750" s="51" t="str">
        <f>IF(AND($M1750=$O$7,$B1750&lt;'111'!$N$11),"x","")</f>
        <v/>
      </c>
      <c r="R1750" s="51" t="str">
        <f>IF(ISERROR(FIND('112'!$M$9,G1750,1)),"",IF((AND(FIND('112'!$M$9,G1750,1)&gt;=1,$B1750&gt;='112'!$N$8,$B1750&lt;='112'!$O$8,OR($L1750='112'!$I$6,$M1750='112'!$I$6))),"x",""))</f>
        <v/>
      </c>
      <c r="S1750" s="51" t="str">
        <f>IF(ISERROR(FIND('112'!$M$9,G1750,1)),"",IF((AND(LEFT(G1750,2)=LEFT('112'!$M$9,2),B1750&lt;'112'!$N$8,$L1750='112'!$I$6)),"x",""))</f>
        <v/>
      </c>
      <c r="T1750" s="51" t="str">
        <f>IF(ISERROR(FIND('112'!$M$9,G1750,1)),"",IF((AND(RIGHT(G1750,2)=RIGHT('112'!$M$9,2),B1750&lt;'112'!$N$8,$M1750='112'!$I$6)),"x",""))</f>
        <v/>
      </c>
      <c r="U1750" s="51" t="str">
        <f>IF(AND(L1750="154",'154'!$O$5&lt;=B1750,'154'!$P$5&gt;=B1750),"154",IF(AND(L1750="632",'632'!$L$5&lt;=B1750,'632'!$M$5&gt;=B1750),"632",IF(AND(L1750="642",'642'!$N$5&lt;=B1750,'642'!$O$5&gt;=B1750),"642",IF(AND(L1750="641",'641'!$N$5&lt;=B1750,'641'!$O$5&gt;=B1750),"641",""))))</f>
        <v>632</v>
      </c>
      <c r="V1750" s="51" t="str">
        <f>IF(OR(TH!L1750=TH!$V$7,M1750=TH!$V$7),"x","")</f>
        <v/>
      </c>
      <c r="W1750" s="51" t="str">
        <f>IF(AND(B1750&gt;='IN-NX'!$P$3,B1750&lt;='IN-NX'!$Q$3,'IN-NX'!$D$7=D1750,OR(LEFT(L1750,2)="15",AND(LEFT(M1750,2)&lt;&gt;"15",LEFT(M1750,2)&lt;&gt;"33"))),"x","")</f>
        <v/>
      </c>
      <c r="X1750" s="51" t="str">
        <f>IF(AND(OR(LEFT(TH!L1750,2)="15",LEFT(TH!M1750,2)="15"),'152-CT'!$J$8=TH!F1750),"x","")</f>
        <v/>
      </c>
      <c r="Y1750" s="51" t="str">
        <f>IF(AND(OR(LEFT(TH!L1750,2)="15",LEFT(TH!M1750,2)="15"),TK!$E$7=TH!F1750),"x","")</f>
        <v/>
      </c>
      <c r="Z1750" s="51" t="str">
        <f>IF(AND(B1750&lt;=NKC!$N$8,B1750&gt;=NKC!$M$8),"x","")</f>
        <v/>
      </c>
      <c r="AA1750" s="803"/>
    </row>
    <row r="1751" spans="1:27" ht="15.75" customHeight="1">
      <c r="A1751" s="804" t="str">
        <f>IF(B1751&lt;&gt;"",IF(AND(B1751&gt;=_TM1,B1751&lt;=_TM2,OR(TH!L1751="1111",TH!M1751="1111")),TH!D1751,""),"")</f>
        <v/>
      </c>
      <c r="B1751" s="36">
        <f t="shared" si="120"/>
        <v>6</v>
      </c>
      <c r="C1751" s="189">
        <f t="shared" si="118"/>
        <v>42185</v>
      </c>
      <c r="D1751" s="830" t="s">
        <v>1285</v>
      </c>
      <c r="E1751" s="47">
        <v>42185</v>
      </c>
      <c r="F1751" s="48" t="s">
        <v>572</v>
      </c>
      <c r="G1751" s="810" t="s">
        <v>1000</v>
      </c>
      <c r="H1751" s="833" t="s">
        <v>1259</v>
      </c>
      <c r="I1751" s="241">
        <v>500</v>
      </c>
      <c r="J1751" s="241">
        <v>16589.163093536605</v>
      </c>
      <c r="K1751" s="834">
        <f t="shared" si="119"/>
        <v>8294582</v>
      </c>
      <c r="L1751" s="835" t="s">
        <v>162</v>
      </c>
      <c r="M1751" s="835" t="s">
        <v>417</v>
      </c>
      <c r="N1751" s="51" t="str">
        <f>IF(AND('331-CT'!$E$7=TH!H1751,OR(L1751="331",M1751="331")),"331",IF(AND(OR(L1751="131",M1751="131"),H1751='131-CT'!$E$7),"131",""))</f>
        <v/>
      </c>
      <c r="O1751" s="51" t="str">
        <f>IF(AND($B1751&gt;='111'!$N$11,$B1751&lt;='111'!$O$11,OR($L1751=$O$7,$M1751=$O$7)),"x","")</f>
        <v/>
      </c>
      <c r="P1751" s="51" t="str">
        <f>IF(AND($L1751=$O$7,$B1751&lt;'111'!$N$11),"x","")</f>
        <v/>
      </c>
      <c r="Q1751" s="51" t="str">
        <f>IF(AND($M1751=$O$7,$B1751&lt;'111'!$N$11),"x","")</f>
        <v/>
      </c>
      <c r="R1751" s="51" t="str">
        <f>IF(ISERROR(FIND('112'!$M$9,G1751,1)),"",IF((AND(FIND('112'!$M$9,G1751,1)&gt;=1,$B1751&gt;='112'!$N$8,$B1751&lt;='112'!$O$8,OR($L1751='112'!$I$6,$M1751='112'!$I$6))),"x",""))</f>
        <v/>
      </c>
      <c r="S1751" s="51" t="str">
        <f>IF(ISERROR(FIND('112'!$M$9,G1751,1)),"",IF((AND(LEFT(G1751,2)=LEFT('112'!$M$9,2),B1751&lt;'112'!$N$8,$L1751='112'!$I$6)),"x",""))</f>
        <v/>
      </c>
      <c r="T1751" s="51" t="str">
        <f>IF(ISERROR(FIND('112'!$M$9,G1751,1)),"",IF((AND(RIGHT(G1751,2)=RIGHT('112'!$M$9,2),B1751&lt;'112'!$N$8,$M1751='112'!$I$6)),"x",""))</f>
        <v/>
      </c>
      <c r="U1751" s="51" t="str">
        <f>IF(AND(L1751="154",'154'!$O$5&lt;=B1751,'154'!$P$5&gt;=B1751),"154",IF(AND(L1751="632",'632'!$L$5&lt;=B1751,'632'!$M$5&gt;=B1751),"632",IF(AND(L1751="642",'642'!$N$5&lt;=B1751,'642'!$O$5&gt;=B1751),"642",IF(AND(L1751="641",'641'!$N$5&lt;=B1751,'641'!$O$5&gt;=B1751),"641",""))))</f>
        <v>632</v>
      </c>
      <c r="V1751" s="51" t="str">
        <f>IF(OR(TH!L1751=TH!$V$7,M1751=TH!$V$7),"x","")</f>
        <v/>
      </c>
      <c r="W1751" s="51" t="str">
        <f>IF(AND(B1751&gt;='IN-NX'!$P$3,B1751&lt;='IN-NX'!$Q$3,'IN-NX'!$D$7=D1751,OR(LEFT(L1751,2)="15",AND(LEFT(M1751,2)&lt;&gt;"15",LEFT(M1751,2)&lt;&gt;"33"))),"x","")</f>
        <v/>
      </c>
      <c r="X1751" s="51" t="str">
        <f>IF(AND(OR(LEFT(TH!L1751,2)="15",LEFT(TH!M1751,2)="15"),'152-CT'!$J$8=TH!F1751),"x","")</f>
        <v/>
      </c>
      <c r="Y1751" s="51" t="str">
        <f>IF(AND(OR(LEFT(TH!L1751,2)="15",LEFT(TH!M1751,2)="15"),TK!$E$7=TH!F1751),"x","")</f>
        <v/>
      </c>
      <c r="Z1751" s="51" t="str">
        <f>IF(AND(B1751&lt;=NKC!$N$8,B1751&gt;=NKC!$M$8),"x","")</f>
        <v/>
      </c>
      <c r="AA1751" s="803"/>
    </row>
    <row r="1752" spans="1:27" ht="15.75" customHeight="1">
      <c r="A1752" s="804" t="str">
        <f>IF(B1752&lt;&gt;"",IF(AND(B1752&gt;=_TM1,B1752&lt;=_TM2,OR(TH!L1752="1111",TH!M1752="1111")),TH!D1752,""),"")</f>
        <v/>
      </c>
      <c r="B1752" s="36">
        <f t="shared" si="120"/>
        <v>6</v>
      </c>
      <c r="C1752" s="189">
        <f t="shared" si="118"/>
        <v>42185</v>
      </c>
      <c r="D1752" s="830" t="s">
        <v>1285</v>
      </c>
      <c r="E1752" s="47">
        <v>42185</v>
      </c>
      <c r="F1752" s="48" t="s">
        <v>573</v>
      </c>
      <c r="G1752" s="810" t="s">
        <v>1000</v>
      </c>
      <c r="H1752" s="833" t="s">
        <v>1259</v>
      </c>
      <c r="I1752" s="241">
        <v>500</v>
      </c>
      <c r="J1752" s="241">
        <v>17382.163093536605</v>
      </c>
      <c r="K1752" s="834">
        <f t="shared" si="119"/>
        <v>8691082</v>
      </c>
      <c r="L1752" s="835" t="s">
        <v>162</v>
      </c>
      <c r="M1752" s="835" t="s">
        <v>417</v>
      </c>
      <c r="N1752" s="51" t="str">
        <f>IF(AND('331-CT'!$E$7=TH!H1752,OR(L1752="331",M1752="331")),"331",IF(AND(OR(L1752="131",M1752="131"),H1752='131-CT'!$E$7),"131",""))</f>
        <v/>
      </c>
      <c r="O1752" s="51" t="str">
        <f>IF(AND($B1752&gt;='111'!$N$11,$B1752&lt;='111'!$O$11,OR($L1752=$O$7,$M1752=$O$7)),"x","")</f>
        <v/>
      </c>
      <c r="P1752" s="51" t="str">
        <f>IF(AND($L1752=$O$7,$B1752&lt;'111'!$N$11),"x","")</f>
        <v/>
      </c>
      <c r="Q1752" s="51" t="str">
        <f>IF(AND($M1752=$O$7,$B1752&lt;'111'!$N$11),"x","")</f>
        <v/>
      </c>
      <c r="R1752" s="51" t="str">
        <f>IF(ISERROR(FIND('112'!$M$9,G1752,1)),"",IF((AND(FIND('112'!$M$9,G1752,1)&gt;=1,$B1752&gt;='112'!$N$8,$B1752&lt;='112'!$O$8,OR($L1752='112'!$I$6,$M1752='112'!$I$6))),"x",""))</f>
        <v/>
      </c>
      <c r="S1752" s="51" t="str">
        <f>IF(ISERROR(FIND('112'!$M$9,G1752,1)),"",IF((AND(LEFT(G1752,2)=LEFT('112'!$M$9,2),B1752&lt;'112'!$N$8,$L1752='112'!$I$6)),"x",""))</f>
        <v/>
      </c>
      <c r="T1752" s="51" t="str">
        <f>IF(ISERROR(FIND('112'!$M$9,G1752,1)),"",IF((AND(RIGHT(G1752,2)=RIGHT('112'!$M$9,2),B1752&lt;'112'!$N$8,$M1752='112'!$I$6)),"x",""))</f>
        <v/>
      </c>
      <c r="U1752" s="51" t="str">
        <f>IF(AND(L1752="154",'154'!$O$5&lt;=B1752,'154'!$P$5&gt;=B1752),"154",IF(AND(L1752="632",'632'!$L$5&lt;=B1752,'632'!$M$5&gt;=B1752),"632",IF(AND(L1752="642",'642'!$N$5&lt;=B1752,'642'!$O$5&gt;=B1752),"642",IF(AND(L1752="641",'641'!$N$5&lt;=B1752,'641'!$O$5&gt;=B1752),"641",""))))</f>
        <v>632</v>
      </c>
      <c r="V1752" s="51" t="str">
        <f>IF(OR(TH!L1752=TH!$V$7,M1752=TH!$V$7),"x","")</f>
        <v/>
      </c>
      <c r="W1752" s="51" t="str">
        <f>IF(AND(B1752&gt;='IN-NX'!$P$3,B1752&lt;='IN-NX'!$Q$3,'IN-NX'!$D$7=D1752,OR(LEFT(L1752,2)="15",AND(LEFT(M1752,2)&lt;&gt;"15",LEFT(M1752,2)&lt;&gt;"33"))),"x","")</f>
        <v/>
      </c>
      <c r="X1752" s="51" t="str">
        <f>IF(AND(OR(LEFT(TH!L1752,2)="15",LEFT(TH!M1752,2)="15"),'152-CT'!$J$8=TH!F1752),"x","")</f>
        <v/>
      </c>
      <c r="Y1752" s="51" t="str">
        <f>IF(AND(OR(LEFT(TH!L1752,2)="15",LEFT(TH!M1752,2)="15"),TK!$E$7=TH!F1752),"x","")</f>
        <v/>
      </c>
      <c r="Z1752" s="51" t="str">
        <f>IF(AND(B1752&lt;=NKC!$N$8,B1752&gt;=NKC!$M$8),"x","")</f>
        <v/>
      </c>
      <c r="AA1752" s="803"/>
    </row>
    <row r="1753" spans="1:27" ht="15.75" customHeight="1">
      <c r="A1753" s="804" t="str">
        <f>IF(B1753&lt;&gt;"",IF(AND(B1753&gt;=_TM1,B1753&lt;=_TM2,OR(TH!L1753="1111",TH!M1753="1111")),TH!D1753,""),"")</f>
        <v/>
      </c>
      <c r="B1753" s="36">
        <f t="shared" si="120"/>
        <v>6</v>
      </c>
      <c r="C1753" s="189">
        <f t="shared" si="118"/>
        <v>42185</v>
      </c>
      <c r="D1753" s="830" t="s">
        <v>1285</v>
      </c>
      <c r="E1753" s="47">
        <v>42185</v>
      </c>
      <c r="F1753" s="48" t="s">
        <v>570</v>
      </c>
      <c r="G1753" s="810" t="s">
        <v>1001</v>
      </c>
      <c r="H1753" s="833" t="s">
        <v>1259</v>
      </c>
      <c r="I1753" s="241">
        <v>400</v>
      </c>
      <c r="J1753" s="241">
        <v>25264.850593536608</v>
      </c>
      <c r="K1753" s="834">
        <f t="shared" si="119"/>
        <v>10105940</v>
      </c>
      <c r="L1753" s="835" t="s">
        <v>162</v>
      </c>
      <c r="M1753" s="835" t="s">
        <v>417</v>
      </c>
      <c r="N1753" s="51" t="str">
        <f>IF(AND('331-CT'!$E$7=TH!H1753,OR(L1753="331",M1753="331")),"331",IF(AND(OR(L1753="131",M1753="131"),H1753='131-CT'!$E$7),"131",""))</f>
        <v/>
      </c>
      <c r="O1753" s="51" t="str">
        <f>IF(AND($B1753&gt;='111'!$N$11,$B1753&lt;='111'!$O$11,OR($L1753=$O$7,$M1753=$O$7)),"x","")</f>
        <v/>
      </c>
      <c r="P1753" s="51" t="str">
        <f>IF(AND($L1753=$O$7,$B1753&lt;'111'!$N$11),"x","")</f>
        <v/>
      </c>
      <c r="Q1753" s="51" t="str">
        <f>IF(AND($M1753=$O$7,$B1753&lt;'111'!$N$11),"x","")</f>
        <v/>
      </c>
      <c r="R1753" s="51" t="str">
        <f>IF(ISERROR(FIND('112'!$M$9,G1753,1)),"",IF((AND(FIND('112'!$M$9,G1753,1)&gt;=1,$B1753&gt;='112'!$N$8,$B1753&lt;='112'!$O$8,OR($L1753='112'!$I$6,$M1753='112'!$I$6))),"x",""))</f>
        <v/>
      </c>
      <c r="S1753" s="51" t="str">
        <f>IF(ISERROR(FIND('112'!$M$9,G1753,1)),"",IF((AND(LEFT(G1753,2)=LEFT('112'!$M$9,2),B1753&lt;'112'!$N$8,$L1753='112'!$I$6)),"x",""))</f>
        <v/>
      </c>
      <c r="T1753" s="51" t="str">
        <f>IF(ISERROR(FIND('112'!$M$9,G1753,1)),"",IF((AND(RIGHT(G1753,2)=RIGHT('112'!$M$9,2),B1753&lt;'112'!$N$8,$M1753='112'!$I$6)),"x",""))</f>
        <v/>
      </c>
      <c r="U1753" s="51" t="str">
        <f>IF(AND(L1753="154",'154'!$O$5&lt;=B1753,'154'!$P$5&gt;=B1753),"154",IF(AND(L1753="632",'632'!$L$5&lt;=B1753,'632'!$M$5&gt;=B1753),"632",IF(AND(L1753="642",'642'!$N$5&lt;=B1753,'642'!$O$5&gt;=B1753),"642",IF(AND(L1753="641",'641'!$N$5&lt;=B1753,'641'!$O$5&gt;=B1753),"641",""))))</f>
        <v>632</v>
      </c>
      <c r="V1753" s="51" t="str">
        <f>IF(OR(TH!L1753=TH!$V$7,M1753=TH!$V$7),"x","")</f>
        <v/>
      </c>
      <c r="W1753" s="51" t="str">
        <f>IF(AND(B1753&gt;='IN-NX'!$P$3,B1753&lt;='IN-NX'!$Q$3,'IN-NX'!$D$7=D1753,OR(LEFT(L1753,2)="15",AND(LEFT(M1753,2)&lt;&gt;"15",LEFT(M1753,2)&lt;&gt;"33"))),"x","")</f>
        <v/>
      </c>
      <c r="X1753" s="51" t="str">
        <f>IF(AND(OR(LEFT(TH!L1753,2)="15",LEFT(TH!M1753,2)="15"),'152-CT'!$J$8=TH!F1753),"x","")</f>
        <v/>
      </c>
      <c r="Y1753" s="51" t="str">
        <f>IF(AND(OR(LEFT(TH!L1753,2)="15",LEFT(TH!M1753,2)="15"),TK!$E$7=TH!F1753),"x","")</f>
        <v/>
      </c>
      <c r="Z1753" s="51" t="str">
        <f>IF(AND(B1753&lt;=NKC!$N$8,B1753&gt;=NKC!$M$8),"x","")</f>
        <v/>
      </c>
      <c r="AA1753" s="803"/>
    </row>
    <row r="1754" spans="1:27" ht="15.75" customHeight="1">
      <c r="A1754" s="804" t="str">
        <f>IF(B1754&lt;&gt;"",IF(AND(B1754&gt;=_TM1,B1754&lt;=_TM2,OR(TH!L1754="1111",TH!M1754="1111")),TH!D1754,""),"")</f>
        <v/>
      </c>
      <c r="B1754" s="36">
        <f t="shared" si="120"/>
        <v>6</v>
      </c>
      <c r="C1754" s="189">
        <f t="shared" si="118"/>
        <v>42185</v>
      </c>
      <c r="D1754" s="830" t="s">
        <v>1285</v>
      </c>
      <c r="E1754" s="47">
        <v>42185</v>
      </c>
      <c r="F1754" s="48" t="s">
        <v>571</v>
      </c>
      <c r="G1754" s="810" t="s">
        <v>1001</v>
      </c>
      <c r="H1754" s="833" t="s">
        <v>1259</v>
      </c>
      <c r="I1754" s="241">
        <v>600</v>
      </c>
      <c r="J1754" s="241">
        <v>13047.163093536605</v>
      </c>
      <c r="K1754" s="834">
        <f t="shared" si="119"/>
        <v>7828298</v>
      </c>
      <c r="L1754" s="835" t="s">
        <v>162</v>
      </c>
      <c r="M1754" s="835" t="s">
        <v>417</v>
      </c>
      <c r="N1754" s="51" t="str">
        <f>IF(AND('331-CT'!$E$7=TH!H1754,OR(L1754="331",M1754="331")),"331",IF(AND(OR(L1754="131",M1754="131"),H1754='131-CT'!$E$7),"131",""))</f>
        <v/>
      </c>
      <c r="O1754" s="51" t="str">
        <f>IF(AND($B1754&gt;='111'!$N$11,$B1754&lt;='111'!$O$11,OR($L1754=$O$7,$M1754=$O$7)),"x","")</f>
        <v/>
      </c>
      <c r="P1754" s="51" t="str">
        <f>IF(AND($L1754=$O$7,$B1754&lt;'111'!$N$11),"x","")</f>
        <v/>
      </c>
      <c r="Q1754" s="51" t="str">
        <f>IF(AND($M1754=$O$7,$B1754&lt;'111'!$N$11),"x","")</f>
        <v/>
      </c>
      <c r="R1754" s="51" t="str">
        <f>IF(ISERROR(FIND('112'!$M$9,G1754,1)),"",IF((AND(FIND('112'!$M$9,G1754,1)&gt;=1,$B1754&gt;='112'!$N$8,$B1754&lt;='112'!$O$8,OR($L1754='112'!$I$6,$M1754='112'!$I$6))),"x",""))</f>
        <v/>
      </c>
      <c r="S1754" s="51" t="str">
        <f>IF(ISERROR(FIND('112'!$M$9,G1754,1)),"",IF((AND(LEFT(G1754,2)=LEFT('112'!$M$9,2),B1754&lt;'112'!$N$8,$L1754='112'!$I$6)),"x",""))</f>
        <v/>
      </c>
      <c r="T1754" s="51" t="str">
        <f>IF(ISERROR(FIND('112'!$M$9,G1754,1)),"",IF((AND(RIGHT(G1754,2)=RIGHT('112'!$M$9,2),B1754&lt;'112'!$N$8,$M1754='112'!$I$6)),"x",""))</f>
        <v/>
      </c>
      <c r="U1754" s="51" t="str">
        <f>IF(AND(L1754="154",'154'!$O$5&lt;=B1754,'154'!$P$5&gt;=B1754),"154",IF(AND(L1754="632",'632'!$L$5&lt;=B1754,'632'!$M$5&gt;=B1754),"632",IF(AND(L1754="642",'642'!$N$5&lt;=B1754,'642'!$O$5&gt;=B1754),"642",IF(AND(L1754="641",'641'!$N$5&lt;=B1754,'641'!$O$5&gt;=B1754),"641",""))))</f>
        <v>632</v>
      </c>
      <c r="V1754" s="51" t="str">
        <f>IF(OR(TH!L1754=TH!$V$7,M1754=TH!$V$7),"x","")</f>
        <v/>
      </c>
      <c r="W1754" s="51" t="str">
        <f>IF(AND(B1754&gt;='IN-NX'!$P$3,B1754&lt;='IN-NX'!$Q$3,'IN-NX'!$D$7=D1754,OR(LEFT(L1754,2)="15",AND(LEFT(M1754,2)&lt;&gt;"15",LEFT(M1754,2)&lt;&gt;"33"))),"x","")</f>
        <v/>
      </c>
      <c r="X1754" s="51" t="str">
        <f>IF(AND(OR(LEFT(TH!L1754,2)="15",LEFT(TH!M1754,2)="15"),'152-CT'!$J$8=TH!F1754),"x","")</f>
        <v/>
      </c>
      <c r="Y1754" s="51" t="str">
        <f>IF(AND(OR(LEFT(TH!L1754,2)="15",LEFT(TH!M1754,2)="15"),TK!$E$7=TH!F1754),"x","")</f>
        <v/>
      </c>
      <c r="Z1754" s="51" t="str">
        <f>IF(AND(B1754&lt;=NKC!$N$8,B1754&gt;=NKC!$M$8),"x","")</f>
        <v/>
      </c>
      <c r="AA1754" s="803"/>
    </row>
    <row r="1755" spans="1:27" ht="15.75" customHeight="1">
      <c r="A1755" s="804" t="str">
        <f>IF(B1755&lt;&gt;"",IF(AND(B1755&gt;=_TM1,B1755&lt;=_TM2,OR(TH!L1755="1111",TH!M1755="1111")),TH!D1755,""),"")</f>
        <v/>
      </c>
      <c r="B1755" s="36">
        <f t="shared" si="120"/>
        <v>6</v>
      </c>
      <c r="C1755" s="189">
        <f t="shared" si="118"/>
        <v>42185</v>
      </c>
      <c r="D1755" s="830" t="s">
        <v>1285</v>
      </c>
      <c r="E1755" s="47">
        <v>42185</v>
      </c>
      <c r="F1755" s="48" t="s">
        <v>574</v>
      </c>
      <c r="G1755" s="810" t="s">
        <v>1002</v>
      </c>
      <c r="H1755" s="833" t="s">
        <v>1259</v>
      </c>
      <c r="I1755" s="241">
        <v>500</v>
      </c>
      <c r="J1755" s="241">
        <v>15347.009247382759</v>
      </c>
      <c r="K1755" s="834">
        <f t="shared" si="119"/>
        <v>7673505</v>
      </c>
      <c r="L1755" s="835" t="s">
        <v>162</v>
      </c>
      <c r="M1755" s="835" t="s">
        <v>417</v>
      </c>
      <c r="N1755" s="51" t="str">
        <f>IF(AND('331-CT'!$E$7=TH!H1755,OR(L1755="331",M1755="331")),"331",IF(AND(OR(L1755="131",M1755="131"),H1755='131-CT'!$E$7),"131",""))</f>
        <v/>
      </c>
      <c r="O1755" s="51" t="str">
        <f>IF(AND($B1755&gt;='111'!$N$11,$B1755&lt;='111'!$O$11,OR($L1755=$O$7,$M1755=$O$7)),"x","")</f>
        <v/>
      </c>
      <c r="P1755" s="51" t="str">
        <f>IF(AND($L1755=$O$7,$B1755&lt;'111'!$N$11),"x","")</f>
        <v/>
      </c>
      <c r="Q1755" s="51" t="str">
        <f>IF(AND($M1755=$O$7,$B1755&lt;'111'!$N$11),"x","")</f>
        <v/>
      </c>
      <c r="R1755" s="51" t="str">
        <f>IF(ISERROR(FIND('112'!$M$9,G1755,1)),"",IF((AND(FIND('112'!$M$9,G1755,1)&gt;=1,$B1755&gt;='112'!$N$8,$B1755&lt;='112'!$O$8,OR($L1755='112'!$I$6,$M1755='112'!$I$6))),"x",""))</f>
        <v/>
      </c>
      <c r="S1755" s="51" t="str">
        <f>IF(ISERROR(FIND('112'!$M$9,G1755,1)),"",IF((AND(LEFT(G1755,2)=LEFT('112'!$M$9,2),B1755&lt;'112'!$N$8,$L1755='112'!$I$6)),"x",""))</f>
        <v/>
      </c>
      <c r="T1755" s="51" t="str">
        <f>IF(ISERROR(FIND('112'!$M$9,G1755,1)),"",IF((AND(RIGHT(G1755,2)=RIGHT('112'!$M$9,2),B1755&lt;'112'!$N$8,$M1755='112'!$I$6)),"x",""))</f>
        <v/>
      </c>
      <c r="U1755" s="51" t="str">
        <f>IF(AND(L1755="154",'154'!$O$5&lt;=B1755,'154'!$P$5&gt;=B1755),"154",IF(AND(L1755="632",'632'!$L$5&lt;=B1755,'632'!$M$5&gt;=B1755),"632",IF(AND(L1755="642",'642'!$N$5&lt;=B1755,'642'!$O$5&gt;=B1755),"642",IF(AND(L1755="641",'641'!$N$5&lt;=B1755,'641'!$O$5&gt;=B1755),"641",""))))</f>
        <v>632</v>
      </c>
      <c r="V1755" s="51" t="str">
        <f>IF(OR(TH!L1755=TH!$V$7,M1755=TH!$V$7),"x","")</f>
        <v/>
      </c>
      <c r="W1755" s="51" t="str">
        <f>IF(AND(B1755&gt;='IN-NX'!$P$3,B1755&lt;='IN-NX'!$Q$3,'IN-NX'!$D$7=D1755,OR(LEFT(L1755,2)="15",AND(LEFT(M1755,2)&lt;&gt;"15",LEFT(M1755,2)&lt;&gt;"33"))),"x","")</f>
        <v/>
      </c>
      <c r="X1755" s="51" t="str">
        <f>IF(AND(OR(LEFT(TH!L1755,2)="15",LEFT(TH!M1755,2)="15"),'152-CT'!$J$8=TH!F1755),"x","")</f>
        <v/>
      </c>
      <c r="Y1755" s="51" t="str">
        <f>IF(AND(OR(LEFT(TH!L1755,2)="15",LEFT(TH!M1755,2)="15"),TK!$E$7=TH!F1755),"x","")</f>
        <v/>
      </c>
      <c r="Z1755" s="51" t="str">
        <f>IF(AND(B1755&lt;=NKC!$N$8,B1755&gt;=NKC!$M$8),"x","")</f>
        <v/>
      </c>
      <c r="AA1755" s="803"/>
    </row>
    <row r="1756" spans="1:27" ht="15.75" customHeight="1">
      <c r="A1756" s="804" t="str">
        <f>IF(B1756&lt;&gt;"",IF(AND(B1756&gt;=_TM1,B1756&lt;=_TM2,OR(TH!L1756="1111",TH!M1756="1111")),TH!D1756,""),"")</f>
        <v/>
      </c>
      <c r="B1756" s="36">
        <f t="shared" si="120"/>
        <v>6</v>
      </c>
      <c r="C1756" s="189">
        <f t="shared" si="118"/>
        <v>42185</v>
      </c>
      <c r="D1756" s="830" t="s">
        <v>1285</v>
      </c>
      <c r="E1756" s="47">
        <v>42185</v>
      </c>
      <c r="F1756" s="48" t="s">
        <v>575</v>
      </c>
      <c r="G1756" s="810" t="s">
        <v>1002</v>
      </c>
      <c r="H1756" s="833" t="s">
        <v>1259</v>
      </c>
      <c r="I1756" s="241">
        <v>550</v>
      </c>
      <c r="J1756" s="241">
        <v>16575.163093536605</v>
      </c>
      <c r="K1756" s="834">
        <f t="shared" si="119"/>
        <v>9116340</v>
      </c>
      <c r="L1756" s="835" t="s">
        <v>162</v>
      </c>
      <c r="M1756" s="835" t="s">
        <v>417</v>
      </c>
      <c r="N1756" s="51" t="str">
        <f>IF(AND('331-CT'!$E$7=TH!H1756,OR(L1756="331",M1756="331")),"331",IF(AND(OR(L1756="131",M1756="131"),H1756='131-CT'!$E$7),"131",""))</f>
        <v/>
      </c>
      <c r="O1756" s="51" t="str">
        <f>IF(AND($B1756&gt;='111'!$N$11,$B1756&lt;='111'!$O$11,OR($L1756=$O$7,$M1756=$O$7)),"x","")</f>
        <v/>
      </c>
      <c r="P1756" s="51" t="str">
        <f>IF(AND($L1756=$O$7,$B1756&lt;'111'!$N$11),"x","")</f>
        <v/>
      </c>
      <c r="Q1756" s="51" t="str">
        <f>IF(AND($M1756=$O$7,$B1756&lt;'111'!$N$11),"x","")</f>
        <v/>
      </c>
      <c r="R1756" s="51" t="str">
        <f>IF(ISERROR(FIND('112'!$M$9,G1756,1)),"",IF((AND(FIND('112'!$M$9,G1756,1)&gt;=1,$B1756&gt;='112'!$N$8,$B1756&lt;='112'!$O$8,OR($L1756='112'!$I$6,$M1756='112'!$I$6))),"x",""))</f>
        <v/>
      </c>
      <c r="S1756" s="51" t="str">
        <f>IF(ISERROR(FIND('112'!$M$9,G1756,1)),"",IF((AND(LEFT(G1756,2)=LEFT('112'!$M$9,2),B1756&lt;'112'!$N$8,$L1756='112'!$I$6)),"x",""))</f>
        <v/>
      </c>
      <c r="T1756" s="51" t="str">
        <f>IF(ISERROR(FIND('112'!$M$9,G1756,1)),"",IF((AND(RIGHT(G1756,2)=RIGHT('112'!$M$9,2),B1756&lt;'112'!$N$8,$M1756='112'!$I$6)),"x",""))</f>
        <v/>
      </c>
      <c r="U1756" s="51" t="str">
        <f>IF(AND(L1756="154",'154'!$O$5&lt;=B1756,'154'!$P$5&gt;=B1756),"154",IF(AND(L1756="632",'632'!$L$5&lt;=B1756,'632'!$M$5&gt;=B1756),"632",IF(AND(L1756="642",'642'!$N$5&lt;=B1756,'642'!$O$5&gt;=B1756),"642",IF(AND(L1756="641",'641'!$N$5&lt;=B1756,'641'!$O$5&gt;=B1756),"641",""))))</f>
        <v>632</v>
      </c>
      <c r="V1756" s="51" t="str">
        <f>IF(OR(TH!L1756=TH!$V$7,M1756=TH!$V$7),"x","")</f>
        <v/>
      </c>
      <c r="W1756" s="51" t="str">
        <f>IF(AND(B1756&gt;='IN-NX'!$P$3,B1756&lt;='IN-NX'!$Q$3,'IN-NX'!$D$7=D1756,OR(LEFT(L1756,2)="15",AND(LEFT(M1756,2)&lt;&gt;"15",LEFT(M1756,2)&lt;&gt;"33"))),"x","")</f>
        <v/>
      </c>
      <c r="X1756" s="51" t="str">
        <f>IF(AND(OR(LEFT(TH!L1756,2)="15",LEFT(TH!M1756,2)="15"),'152-CT'!$J$8=TH!F1756),"x","")</f>
        <v/>
      </c>
      <c r="Y1756" s="51" t="str">
        <f>IF(AND(OR(LEFT(TH!L1756,2)="15",LEFT(TH!M1756,2)="15"),TK!$E$7=TH!F1756),"x","")</f>
        <v/>
      </c>
      <c r="Z1756" s="51" t="str">
        <f>IF(AND(B1756&lt;=NKC!$N$8,B1756&gt;=NKC!$M$8),"x","")</f>
        <v/>
      </c>
      <c r="AA1756" s="803"/>
    </row>
    <row r="1757" spans="1:27" ht="15.75" customHeight="1">
      <c r="A1757" s="804" t="str">
        <f>IF(B1757&lt;&gt;"",IF(AND(B1757&gt;=_TM1,B1757&lt;=_TM2,OR(TH!L1757="1111",TH!M1757="1111")),TH!D1757,""),"")</f>
        <v/>
      </c>
      <c r="B1757" s="36">
        <f t="shared" si="120"/>
        <v>6</v>
      </c>
      <c r="C1757" s="189">
        <f t="shared" si="118"/>
        <v>42185</v>
      </c>
      <c r="D1757" s="830" t="s">
        <v>1285</v>
      </c>
      <c r="E1757" s="47">
        <v>42185</v>
      </c>
      <c r="F1757" s="48" t="s">
        <v>578</v>
      </c>
      <c r="G1757" s="810" t="s">
        <v>1003</v>
      </c>
      <c r="H1757" s="833" t="s">
        <v>1259</v>
      </c>
      <c r="I1757" s="241">
        <v>490</v>
      </c>
      <c r="J1757" s="241">
        <v>22713.652889454974</v>
      </c>
      <c r="K1757" s="834">
        <f t="shared" si="119"/>
        <v>11129690</v>
      </c>
      <c r="L1757" s="835" t="s">
        <v>162</v>
      </c>
      <c r="M1757" s="835" t="s">
        <v>417</v>
      </c>
      <c r="N1757" s="51" t="str">
        <f>IF(AND('331-CT'!$E$7=TH!H1757,OR(L1757="331",M1757="331")),"331",IF(AND(OR(L1757="131",M1757="131"),H1757='131-CT'!$E$7),"131",""))</f>
        <v/>
      </c>
      <c r="O1757" s="51" t="str">
        <f>IF(AND($B1757&gt;='111'!$N$11,$B1757&lt;='111'!$O$11,OR($L1757=$O$7,$M1757=$O$7)),"x","")</f>
        <v/>
      </c>
      <c r="P1757" s="51" t="str">
        <f>IF(AND($L1757=$O$7,$B1757&lt;'111'!$N$11),"x","")</f>
        <v/>
      </c>
      <c r="Q1757" s="51" t="str">
        <f>IF(AND($M1757=$O$7,$B1757&lt;'111'!$N$11),"x","")</f>
        <v/>
      </c>
      <c r="R1757" s="51" t="str">
        <f>IF(ISERROR(FIND('112'!$M$9,G1757,1)),"",IF((AND(FIND('112'!$M$9,G1757,1)&gt;=1,$B1757&gt;='112'!$N$8,$B1757&lt;='112'!$O$8,OR($L1757='112'!$I$6,$M1757='112'!$I$6))),"x",""))</f>
        <v/>
      </c>
      <c r="S1757" s="51" t="str">
        <f>IF(ISERROR(FIND('112'!$M$9,G1757,1)),"",IF((AND(LEFT(G1757,2)=LEFT('112'!$M$9,2),B1757&lt;'112'!$N$8,$L1757='112'!$I$6)),"x",""))</f>
        <v/>
      </c>
      <c r="T1757" s="51" t="str">
        <f>IF(ISERROR(FIND('112'!$M$9,G1757,1)),"",IF((AND(RIGHT(G1757,2)=RIGHT('112'!$M$9,2),B1757&lt;'112'!$N$8,$M1757='112'!$I$6)),"x",""))</f>
        <v/>
      </c>
      <c r="U1757" s="51" t="str">
        <f>IF(AND(L1757="154",'154'!$O$5&lt;=B1757,'154'!$P$5&gt;=B1757),"154",IF(AND(L1757="632",'632'!$L$5&lt;=B1757,'632'!$M$5&gt;=B1757),"632",IF(AND(L1757="642",'642'!$N$5&lt;=B1757,'642'!$O$5&gt;=B1757),"642",IF(AND(L1757="641",'641'!$N$5&lt;=B1757,'641'!$O$5&gt;=B1757),"641",""))))</f>
        <v>632</v>
      </c>
      <c r="V1757" s="51" t="str">
        <f>IF(OR(TH!L1757=TH!$V$7,M1757=TH!$V$7),"x","")</f>
        <v/>
      </c>
      <c r="W1757" s="51" t="str">
        <f>IF(AND(B1757&gt;='IN-NX'!$P$3,B1757&lt;='IN-NX'!$Q$3,'IN-NX'!$D$7=D1757,OR(LEFT(L1757,2)="15",AND(LEFT(M1757,2)&lt;&gt;"15",LEFT(M1757,2)&lt;&gt;"33"))),"x","")</f>
        <v/>
      </c>
      <c r="X1757" s="51" t="str">
        <f>IF(AND(OR(LEFT(TH!L1757,2)="15",LEFT(TH!M1757,2)="15"),'152-CT'!$J$8=TH!F1757),"x","")</f>
        <v/>
      </c>
      <c r="Y1757" s="51" t="str">
        <f>IF(AND(OR(LEFT(TH!L1757,2)="15",LEFT(TH!M1757,2)="15"),TK!$E$7=TH!F1757),"x","")</f>
        <v/>
      </c>
      <c r="Z1757" s="51" t="str">
        <f>IF(AND(B1757&lt;=NKC!$N$8,B1757&gt;=NKC!$M$8),"x","")</f>
        <v/>
      </c>
      <c r="AA1757" s="803"/>
    </row>
    <row r="1758" spans="1:27" ht="15.75" customHeight="1">
      <c r="A1758" s="804" t="str">
        <f>IF(B1758&lt;&gt;"",IF(AND(B1758&gt;=_TM1,B1758&lt;=_TM2,OR(TH!L1758="1111",TH!M1758="1111")),TH!D1758,""),"")</f>
        <v/>
      </c>
      <c r="B1758" s="36">
        <f t="shared" si="120"/>
        <v>6</v>
      </c>
      <c r="C1758" s="189">
        <f t="shared" si="118"/>
        <v>42185</v>
      </c>
      <c r="D1758" s="830" t="s">
        <v>1285</v>
      </c>
      <c r="E1758" s="47">
        <v>42185</v>
      </c>
      <c r="F1758" s="48" t="s">
        <v>576</v>
      </c>
      <c r="G1758" s="810" t="s">
        <v>1003</v>
      </c>
      <c r="H1758" s="833" t="s">
        <v>1259</v>
      </c>
      <c r="I1758" s="241">
        <v>500</v>
      </c>
      <c r="J1758" s="241">
        <v>12940.701555075064</v>
      </c>
      <c r="K1758" s="834">
        <f t="shared" si="119"/>
        <v>6470351</v>
      </c>
      <c r="L1758" s="835" t="s">
        <v>162</v>
      </c>
      <c r="M1758" s="835" t="s">
        <v>417</v>
      </c>
      <c r="N1758" s="51" t="str">
        <f>IF(AND('331-CT'!$E$7=TH!H1758,OR(L1758="331",M1758="331")),"331",IF(AND(OR(L1758="131",M1758="131"),H1758='131-CT'!$E$7),"131",""))</f>
        <v/>
      </c>
      <c r="O1758" s="51" t="str">
        <f>IF(AND($B1758&gt;='111'!$N$11,$B1758&lt;='111'!$O$11,OR($L1758=$O$7,$M1758=$O$7)),"x","")</f>
        <v/>
      </c>
      <c r="P1758" s="51" t="str">
        <f>IF(AND($L1758=$O$7,$B1758&lt;'111'!$N$11),"x","")</f>
        <v/>
      </c>
      <c r="Q1758" s="51" t="str">
        <f>IF(AND($M1758=$O$7,$B1758&lt;'111'!$N$11),"x","")</f>
        <v/>
      </c>
      <c r="R1758" s="51" t="str">
        <f>IF(ISERROR(FIND('112'!$M$9,G1758,1)),"",IF((AND(FIND('112'!$M$9,G1758,1)&gt;=1,$B1758&gt;='112'!$N$8,$B1758&lt;='112'!$O$8,OR($L1758='112'!$I$6,$M1758='112'!$I$6))),"x",""))</f>
        <v/>
      </c>
      <c r="S1758" s="51" t="str">
        <f>IF(ISERROR(FIND('112'!$M$9,G1758,1)),"",IF((AND(LEFT(G1758,2)=LEFT('112'!$M$9,2),B1758&lt;'112'!$N$8,$L1758='112'!$I$6)),"x",""))</f>
        <v/>
      </c>
      <c r="T1758" s="51" t="str">
        <f>IF(ISERROR(FIND('112'!$M$9,G1758,1)),"",IF((AND(RIGHT(G1758,2)=RIGHT('112'!$M$9,2),B1758&lt;'112'!$N$8,$M1758='112'!$I$6)),"x",""))</f>
        <v/>
      </c>
      <c r="U1758" s="51" t="str">
        <f>IF(AND(L1758="154",'154'!$O$5&lt;=B1758,'154'!$P$5&gt;=B1758),"154",IF(AND(L1758="632",'632'!$L$5&lt;=B1758,'632'!$M$5&gt;=B1758),"632",IF(AND(L1758="642",'642'!$N$5&lt;=B1758,'642'!$O$5&gt;=B1758),"642",IF(AND(L1758="641",'641'!$N$5&lt;=B1758,'641'!$O$5&gt;=B1758),"641",""))))</f>
        <v>632</v>
      </c>
      <c r="V1758" s="51" t="str">
        <f>IF(OR(TH!L1758=TH!$V$7,M1758=TH!$V$7),"x","")</f>
        <v/>
      </c>
      <c r="W1758" s="51" t="str">
        <f>IF(AND(B1758&gt;='IN-NX'!$P$3,B1758&lt;='IN-NX'!$Q$3,'IN-NX'!$D$7=D1758,OR(LEFT(L1758,2)="15",AND(LEFT(M1758,2)&lt;&gt;"15",LEFT(M1758,2)&lt;&gt;"33"))),"x","")</f>
        <v/>
      </c>
      <c r="X1758" s="51" t="str">
        <f>IF(AND(OR(LEFT(TH!L1758,2)="15",LEFT(TH!M1758,2)="15"),'152-CT'!$J$8=TH!F1758),"x","")</f>
        <v/>
      </c>
      <c r="Y1758" s="51" t="str">
        <f>IF(AND(OR(LEFT(TH!L1758,2)="15",LEFT(TH!M1758,2)="15"),TK!$E$7=TH!F1758),"x","")</f>
        <v/>
      </c>
      <c r="Z1758" s="51" t="str">
        <f>IF(AND(B1758&lt;=NKC!$N$8,B1758&gt;=NKC!$M$8),"x","")</f>
        <v/>
      </c>
      <c r="AA1758" s="803"/>
    </row>
    <row r="1759" spans="1:27" ht="15.75" customHeight="1">
      <c r="A1759" s="804" t="str">
        <f>IF(B1759&lt;&gt;"",IF(AND(B1759&gt;=_TM1,B1759&lt;=_TM2,OR(TH!L1759="1111",TH!M1759="1111")),TH!D1759,""),"")</f>
        <v/>
      </c>
      <c r="B1759" s="36">
        <f t="shared" si="120"/>
        <v>6</v>
      </c>
      <c r="C1759" s="189">
        <f t="shared" si="118"/>
        <v>42185</v>
      </c>
      <c r="D1759" s="830" t="s">
        <v>1285</v>
      </c>
      <c r="E1759" s="47">
        <v>42185</v>
      </c>
      <c r="F1759" s="48" t="s">
        <v>520</v>
      </c>
      <c r="G1759" s="810" t="s">
        <v>1004</v>
      </c>
      <c r="H1759" s="833" t="s">
        <v>1259</v>
      </c>
      <c r="I1759" s="241">
        <v>1300</v>
      </c>
      <c r="J1759" s="241">
        <v>13319.143862767374</v>
      </c>
      <c r="K1759" s="834">
        <f t="shared" si="119"/>
        <v>17314887</v>
      </c>
      <c r="L1759" s="835" t="s">
        <v>162</v>
      </c>
      <c r="M1759" s="835" t="s">
        <v>417</v>
      </c>
      <c r="N1759" s="51" t="str">
        <f>IF(AND('331-CT'!$E$7=TH!H1759,OR(L1759="331",M1759="331")),"331",IF(AND(OR(L1759="131",M1759="131"),H1759='131-CT'!$E$7),"131",""))</f>
        <v/>
      </c>
      <c r="O1759" s="51" t="str">
        <f>IF(AND($B1759&gt;='111'!$N$11,$B1759&lt;='111'!$O$11,OR($L1759=$O$7,$M1759=$O$7)),"x","")</f>
        <v/>
      </c>
      <c r="P1759" s="51" t="str">
        <f>IF(AND($L1759=$O$7,$B1759&lt;'111'!$N$11),"x","")</f>
        <v/>
      </c>
      <c r="Q1759" s="51" t="str">
        <f>IF(AND($M1759=$O$7,$B1759&lt;'111'!$N$11),"x","")</f>
        <v/>
      </c>
      <c r="R1759" s="51" t="str">
        <f>IF(ISERROR(FIND('112'!$M$9,G1759,1)),"",IF((AND(FIND('112'!$M$9,G1759,1)&gt;=1,$B1759&gt;='112'!$N$8,$B1759&lt;='112'!$O$8,OR($L1759='112'!$I$6,$M1759='112'!$I$6))),"x",""))</f>
        <v/>
      </c>
      <c r="S1759" s="51" t="str">
        <f>IF(ISERROR(FIND('112'!$M$9,G1759,1)),"",IF((AND(LEFT(G1759,2)=LEFT('112'!$M$9,2),B1759&lt;'112'!$N$8,$L1759='112'!$I$6)),"x",""))</f>
        <v/>
      </c>
      <c r="T1759" s="51" t="str">
        <f>IF(ISERROR(FIND('112'!$M$9,G1759,1)),"",IF((AND(RIGHT(G1759,2)=RIGHT('112'!$M$9,2),B1759&lt;'112'!$N$8,$M1759='112'!$I$6)),"x",""))</f>
        <v/>
      </c>
      <c r="U1759" s="51" t="str">
        <f>IF(AND(L1759="154",'154'!$O$5&lt;=B1759,'154'!$P$5&gt;=B1759),"154",IF(AND(L1759="632",'632'!$L$5&lt;=B1759,'632'!$M$5&gt;=B1759),"632",IF(AND(L1759="642",'642'!$N$5&lt;=B1759,'642'!$O$5&gt;=B1759),"642",IF(AND(L1759="641",'641'!$N$5&lt;=B1759,'641'!$O$5&gt;=B1759),"641",""))))</f>
        <v>632</v>
      </c>
      <c r="V1759" s="51" t="str">
        <f>IF(OR(TH!L1759=TH!$V$7,M1759=TH!$V$7),"x","")</f>
        <v/>
      </c>
      <c r="W1759" s="51" t="str">
        <f>IF(AND(B1759&gt;='IN-NX'!$P$3,B1759&lt;='IN-NX'!$Q$3,'IN-NX'!$D$7=D1759,OR(LEFT(L1759,2)="15",AND(LEFT(M1759,2)&lt;&gt;"15",LEFT(M1759,2)&lt;&gt;"33"))),"x","")</f>
        <v/>
      </c>
      <c r="X1759" s="51" t="str">
        <f>IF(AND(OR(LEFT(TH!L1759,2)="15",LEFT(TH!M1759,2)="15"),'152-CT'!$J$8=TH!F1759),"x","")</f>
        <v/>
      </c>
      <c r="Y1759" s="51" t="str">
        <f>IF(AND(OR(LEFT(TH!L1759,2)="15",LEFT(TH!M1759,2)="15"),TK!$E$7=TH!F1759),"x","")</f>
        <v/>
      </c>
      <c r="Z1759" s="51" t="str">
        <f>IF(AND(B1759&lt;=NKC!$N$8,B1759&gt;=NKC!$M$8),"x","")</f>
        <v/>
      </c>
      <c r="AA1759" s="803"/>
    </row>
    <row r="1760" spans="1:27" ht="15.75" customHeight="1">
      <c r="A1760" s="804" t="str">
        <f>IF(B1760&lt;&gt;"",IF(AND(B1760&gt;=_TM1,B1760&lt;=_TM2,OR(TH!L1760="1111",TH!M1760="1111")),TH!D1760,""),"")</f>
        <v/>
      </c>
      <c r="B1760" s="36">
        <f t="shared" si="120"/>
        <v>6</v>
      </c>
      <c r="C1760" s="189">
        <f t="shared" si="118"/>
        <v>42185</v>
      </c>
      <c r="D1760" s="830" t="s">
        <v>1285</v>
      </c>
      <c r="E1760" s="47">
        <v>42185</v>
      </c>
      <c r="F1760" s="48" t="s">
        <v>577</v>
      </c>
      <c r="G1760" s="810" t="s">
        <v>1005</v>
      </c>
      <c r="H1760" s="833" t="s">
        <v>1259</v>
      </c>
      <c r="I1760" s="241">
        <v>700</v>
      </c>
      <c r="J1760" s="241">
        <v>11619.163093536605</v>
      </c>
      <c r="K1760" s="834">
        <f t="shared" si="119"/>
        <v>8133414</v>
      </c>
      <c r="L1760" s="835" t="s">
        <v>162</v>
      </c>
      <c r="M1760" s="835" t="s">
        <v>417</v>
      </c>
      <c r="N1760" s="51" t="str">
        <f>IF(AND('331-CT'!$E$7=TH!H1760,OR(L1760="331",M1760="331")),"331",IF(AND(OR(L1760="131",M1760="131"),H1760='131-CT'!$E$7),"131",""))</f>
        <v/>
      </c>
      <c r="O1760" s="51" t="str">
        <f>IF(AND($B1760&gt;='111'!$N$11,$B1760&lt;='111'!$O$11,OR($L1760=$O$7,$M1760=$O$7)),"x","")</f>
        <v/>
      </c>
      <c r="P1760" s="51" t="str">
        <f>IF(AND($L1760=$O$7,$B1760&lt;'111'!$N$11),"x","")</f>
        <v/>
      </c>
      <c r="Q1760" s="51" t="str">
        <f>IF(AND($M1760=$O$7,$B1760&lt;'111'!$N$11),"x","")</f>
        <v/>
      </c>
      <c r="R1760" s="51" t="str">
        <f>IF(ISERROR(FIND('112'!$M$9,G1760,1)),"",IF((AND(FIND('112'!$M$9,G1760,1)&gt;=1,$B1760&gt;='112'!$N$8,$B1760&lt;='112'!$O$8,OR($L1760='112'!$I$6,$M1760='112'!$I$6))),"x",""))</f>
        <v/>
      </c>
      <c r="S1760" s="51" t="str">
        <f>IF(ISERROR(FIND('112'!$M$9,G1760,1)),"",IF((AND(LEFT(G1760,2)=LEFT('112'!$M$9,2),B1760&lt;'112'!$N$8,$L1760='112'!$I$6)),"x",""))</f>
        <v/>
      </c>
      <c r="T1760" s="51" t="str">
        <f>IF(ISERROR(FIND('112'!$M$9,G1760,1)),"",IF((AND(RIGHT(G1760,2)=RIGHT('112'!$M$9,2),B1760&lt;'112'!$N$8,$M1760='112'!$I$6)),"x",""))</f>
        <v/>
      </c>
      <c r="U1760" s="51" t="str">
        <f>IF(AND(L1760="154",'154'!$O$5&lt;=B1760,'154'!$P$5&gt;=B1760),"154",IF(AND(L1760="632",'632'!$L$5&lt;=B1760,'632'!$M$5&gt;=B1760),"632",IF(AND(L1760="642",'642'!$N$5&lt;=B1760,'642'!$O$5&gt;=B1760),"642",IF(AND(L1760="641",'641'!$N$5&lt;=B1760,'641'!$O$5&gt;=B1760),"641",""))))</f>
        <v>632</v>
      </c>
      <c r="V1760" s="51" t="str">
        <f>IF(OR(TH!L1760=TH!$V$7,M1760=TH!$V$7),"x","")</f>
        <v/>
      </c>
      <c r="W1760" s="51" t="str">
        <f>IF(AND(B1760&gt;='IN-NX'!$P$3,B1760&lt;='IN-NX'!$Q$3,'IN-NX'!$D$7=D1760,OR(LEFT(L1760,2)="15",AND(LEFT(M1760,2)&lt;&gt;"15",LEFT(M1760,2)&lt;&gt;"33"))),"x","")</f>
        <v/>
      </c>
      <c r="X1760" s="51" t="str">
        <f>IF(AND(OR(LEFT(TH!L1760,2)="15",LEFT(TH!M1760,2)="15"),'152-CT'!$J$8=TH!F1760),"x","")</f>
        <v/>
      </c>
      <c r="Y1760" s="51" t="str">
        <f>IF(AND(OR(LEFT(TH!L1760,2)="15",LEFT(TH!M1760,2)="15"),TK!$E$7=TH!F1760),"x","")</f>
        <v/>
      </c>
      <c r="Z1760" s="51" t="str">
        <f>IF(AND(B1760&lt;=NKC!$N$8,B1760&gt;=NKC!$M$8),"x","")</f>
        <v/>
      </c>
      <c r="AA1760" s="803"/>
    </row>
    <row r="1761" spans="1:27" ht="15.75" customHeight="1">
      <c r="A1761" s="804" t="str">
        <f>IF(B1761&lt;&gt;"",IF(AND(B1761&gt;=_TM1,B1761&lt;=_TM2,OR(TH!L1761="1111",TH!M1761="1111")),TH!D1761,""),"")</f>
        <v/>
      </c>
      <c r="B1761" s="36">
        <f t="shared" si="120"/>
        <v>6</v>
      </c>
      <c r="C1761" s="189">
        <f t="shared" si="118"/>
        <v>42185</v>
      </c>
      <c r="D1761" s="830" t="s">
        <v>1285</v>
      </c>
      <c r="E1761" s="47">
        <v>42185</v>
      </c>
      <c r="F1761" s="48" t="s">
        <v>511</v>
      </c>
      <c r="G1761" s="810" t="s">
        <v>1005</v>
      </c>
      <c r="H1761" s="833" t="s">
        <v>1259</v>
      </c>
      <c r="I1761" s="241">
        <v>753</v>
      </c>
      <c r="J1761" s="241">
        <v>13353.163093536605</v>
      </c>
      <c r="K1761" s="834">
        <f t="shared" si="119"/>
        <v>10054932</v>
      </c>
      <c r="L1761" s="835" t="s">
        <v>162</v>
      </c>
      <c r="M1761" s="835" t="s">
        <v>417</v>
      </c>
      <c r="N1761" s="51" t="str">
        <f>IF(AND('331-CT'!$E$7=TH!H1761,OR(L1761="331",M1761="331")),"331",IF(AND(OR(L1761="131",M1761="131"),H1761='131-CT'!$E$7),"131",""))</f>
        <v/>
      </c>
      <c r="O1761" s="51" t="str">
        <f>IF(AND($B1761&gt;='111'!$N$11,$B1761&lt;='111'!$O$11,OR($L1761=$O$7,$M1761=$O$7)),"x","")</f>
        <v/>
      </c>
      <c r="P1761" s="51" t="str">
        <f>IF(AND($L1761=$O$7,$B1761&lt;'111'!$N$11),"x","")</f>
        <v/>
      </c>
      <c r="Q1761" s="51" t="str">
        <f>IF(AND($M1761=$O$7,$B1761&lt;'111'!$N$11),"x","")</f>
        <v/>
      </c>
      <c r="R1761" s="51" t="str">
        <f>IF(ISERROR(FIND('112'!$M$9,G1761,1)),"",IF((AND(FIND('112'!$M$9,G1761,1)&gt;=1,$B1761&gt;='112'!$N$8,$B1761&lt;='112'!$O$8,OR($L1761='112'!$I$6,$M1761='112'!$I$6))),"x",""))</f>
        <v/>
      </c>
      <c r="S1761" s="51" t="str">
        <f>IF(ISERROR(FIND('112'!$M$9,G1761,1)),"",IF((AND(LEFT(G1761,2)=LEFT('112'!$M$9,2),B1761&lt;'112'!$N$8,$L1761='112'!$I$6)),"x",""))</f>
        <v/>
      </c>
      <c r="T1761" s="51" t="str">
        <f>IF(ISERROR(FIND('112'!$M$9,G1761,1)),"",IF((AND(RIGHT(G1761,2)=RIGHT('112'!$M$9,2),B1761&lt;'112'!$N$8,$M1761='112'!$I$6)),"x",""))</f>
        <v/>
      </c>
      <c r="U1761" s="51" t="str">
        <f>IF(AND(L1761="154",'154'!$O$5&lt;=B1761,'154'!$P$5&gt;=B1761),"154",IF(AND(L1761="632",'632'!$L$5&lt;=B1761,'632'!$M$5&gt;=B1761),"632",IF(AND(L1761="642",'642'!$N$5&lt;=B1761,'642'!$O$5&gt;=B1761),"642",IF(AND(L1761="641",'641'!$N$5&lt;=B1761,'641'!$O$5&gt;=B1761),"641",""))))</f>
        <v>632</v>
      </c>
      <c r="V1761" s="51" t="str">
        <f>IF(OR(TH!L1761=TH!$V$7,M1761=TH!$V$7),"x","")</f>
        <v/>
      </c>
      <c r="W1761" s="51" t="str">
        <f>IF(AND(B1761&gt;='IN-NX'!$P$3,B1761&lt;='IN-NX'!$Q$3,'IN-NX'!$D$7=D1761,OR(LEFT(L1761,2)="15",AND(LEFT(M1761,2)&lt;&gt;"15",LEFT(M1761,2)&lt;&gt;"33"))),"x","")</f>
        <v/>
      </c>
      <c r="X1761" s="51" t="str">
        <f>IF(AND(OR(LEFT(TH!L1761,2)="15",LEFT(TH!M1761,2)="15"),'152-CT'!$J$8=TH!F1761),"x","")</f>
        <v/>
      </c>
      <c r="Y1761" s="51" t="str">
        <f>IF(AND(OR(LEFT(TH!L1761,2)="15",LEFT(TH!M1761,2)="15"),TK!$E$7=TH!F1761),"x","")</f>
        <v/>
      </c>
      <c r="Z1761" s="51" t="str">
        <f>IF(AND(B1761&lt;=NKC!$N$8,B1761&gt;=NKC!$M$8),"x","")</f>
        <v/>
      </c>
      <c r="AA1761" s="803"/>
    </row>
    <row r="1762" spans="1:27" ht="15.75" customHeight="1">
      <c r="A1762" s="804" t="str">
        <f>IF(B1762&lt;&gt;"",IF(AND(B1762&gt;=_TM1,B1762&lt;=_TM2,OR(TH!L1762="1111",TH!M1762="1111")),TH!D1762,""),"")</f>
        <v/>
      </c>
      <c r="B1762" s="36">
        <f t="shared" si="120"/>
        <v>6</v>
      </c>
      <c r="C1762" s="189">
        <f t="shared" si="118"/>
        <v>42185</v>
      </c>
      <c r="D1762" s="830" t="s">
        <v>1285</v>
      </c>
      <c r="E1762" s="47">
        <v>42185</v>
      </c>
      <c r="F1762" s="48" t="s">
        <v>570</v>
      </c>
      <c r="G1762" s="810" t="s">
        <v>1006</v>
      </c>
      <c r="H1762" s="833" t="s">
        <v>1259</v>
      </c>
      <c r="I1762" s="241">
        <v>500</v>
      </c>
      <c r="J1762" s="241">
        <v>25445.263093536603</v>
      </c>
      <c r="K1762" s="834">
        <f t="shared" si="119"/>
        <v>12722632</v>
      </c>
      <c r="L1762" s="835" t="s">
        <v>162</v>
      </c>
      <c r="M1762" s="835" t="s">
        <v>417</v>
      </c>
      <c r="N1762" s="51" t="str">
        <f>IF(AND('331-CT'!$E$7=TH!H1762,OR(L1762="331",M1762="331")),"331",IF(AND(OR(L1762="131",M1762="131"),H1762='131-CT'!$E$7),"131",""))</f>
        <v/>
      </c>
      <c r="O1762" s="51" t="str">
        <f>IF(AND($B1762&gt;='111'!$N$11,$B1762&lt;='111'!$O$11,OR($L1762=$O$7,$M1762=$O$7)),"x","")</f>
        <v/>
      </c>
      <c r="P1762" s="51" t="str">
        <f>IF(AND($L1762=$O$7,$B1762&lt;'111'!$N$11),"x","")</f>
        <v/>
      </c>
      <c r="Q1762" s="51" t="str">
        <f>IF(AND($M1762=$O$7,$B1762&lt;'111'!$N$11),"x","")</f>
        <v/>
      </c>
      <c r="R1762" s="51" t="str">
        <f>IF(ISERROR(FIND('112'!$M$9,G1762,1)),"",IF((AND(FIND('112'!$M$9,G1762,1)&gt;=1,$B1762&gt;='112'!$N$8,$B1762&lt;='112'!$O$8,OR($L1762='112'!$I$6,$M1762='112'!$I$6))),"x",""))</f>
        <v/>
      </c>
      <c r="S1762" s="51" t="str">
        <f>IF(ISERROR(FIND('112'!$M$9,G1762,1)),"",IF((AND(LEFT(G1762,2)=LEFT('112'!$M$9,2),B1762&lt;'112'!$N$8,$L1762='112'!$I$6)),"x",""))</f>
        <v/>
      </c>
      <c r="T1762" s="51" t="str">
        <f>IF(ISERROR(FIND('112'!$M$9,G1762,1)),"",IF((AND(RIGHT(G1762,2)=RIGHT('112'!$M$9,2),B1762&lt;'112'!$N$8,$M1762='112'!$I$6)),"x",""))</f>
        <v/>
      </c>
      <c r="U1762" s="51" t="str">
        <f>IF(AND(L1762="154",'154'!$O$5&lt;=B1762,'154'!$P$5&gt;=B1762),"154",IF(AND(L1762="632",'632'!$L$5&lt;=B1762,'632'!$M$5&gt;=B1762),"632",IF(AND(L1762="642",'642'!$N$5&lt;=B1762,'642'!$O$5&gt;=B1762),"642",IF(AND(L1762="641",'641'!$N$5&lt;=B1762,'641'!$O$5&gt;=B1762),"641",""))))</f>
        <v>632</v>
      </c>
      <c r="V1762" s="51" t="str">
        <f>IF(OR(TH!L1762=TH!$V$7,M1762=TH!$V$7),"x","")</f>
        <v/>
      </c>
      <c r="W1762" s="51" t="str">
        <f>IF(AND(B1762&gt;='IN-NX'!$P$3,B1762&lt;='IN-NX'!$Q$3,'IN-NX'!$D$7=D1762,OR(LEFT(L1762,2)="15",AND(LEFT(M1762,2)&lt;&gt;"15",LEFT(M1762,2)&lt;&gt;"33"))),"x","")</f>
        <v/>
      </c>
      <c r="X1762" s="51" t="str">
        <f>IF(AND(OR(LEFT(TH!L1762,2)="15",LEFT(TH!M1762,2)="15"),'152-CT'!$J$8=TH!F1762),"x","")</f>
        <v/>
      </c>
      <c r="Y1762" s="51" t="str">
        <f>IF(AND(OR(LEFT(TH!L1762,2)="15",LEFT(TH!M1762,2)="15"),TK!$E$7=TH!F1762),"x","")</f>
        <v/>
      </c>
      <c r="Z1762" s="51" t="str">
        <f>IF(AND(B1762&lt;=NKC!$N$8,B1762&gt;=NKC!$M$8),"x","")</f>
        <v/>
      </c>
      <c r="AA1762" s="803"/>
    </row>
    <row r="1763" spans="1:27" ht="15.75" customHeight="1">
      <c r="A1763" s="804" t="str">
        <f>IF(B1763&lt;&gt;"",IF(AND(B1763&gt;=_TM1,B1763&lt;=_TM2,OR(TH!L1763="1111",TH!M1763="1111")),TH!D1763,""),"")</f>
        <v/>
      </c>
      <c r="B1763" s="36">
        <f t="shared" si="120"/>
        <v>6</v>
      </c>
      <c r="C1763" s="189">
        <f t="shared" si="118"/>
        <v>42185</v>
      </c>
      <c r="D1763" s="830" t="s">
        <v>1285</v>
      </c>
      <c r="E1763" s="47">
        <v>42185</v>
      </c>
      <c r="F1763" s="48" t="s">
        <v>571</v>
      </c>
      <c r="G1763" s="810" t="s">
        <v>1006</v>
      </c>
      <c r="H1763" s="833" t="s">
        <v>1259</v>
      </c>
      <c r="I1763" s="241">
        <v>400</v>
      </c>
      <c r="J1763" s="241">
        <v>13047.163093536603</v>
      </c>
      <c r="K1763" s="834">
        <f t="shared" si="119"/>
        <v>5218865</v>
      </c>
      <c r="L1763" s="835" t="s">
        <v>162</v>
      </c>
      <c r="M1763" s="835" t="s">
        <v>417</v>
      </c>
      <c r="N1763" s="51" t="str">
        <f>IF(AND('331-CT'!$E$7=TH!H1763,OR(L1763="331",M1763="331")),"331",IF(AND(OR(L1763="131",M1763="131"),H1763='131-CT'!$E$7),"131",""))</f>
        <v/>
      </c>
      <c r="O1763" s="51" t="str">
        <f>IF(AND($B1763&gt;='111'!$N$11,$B1763&lt;='111'!$O$11,OR($L1763=$O$7,$M1763=$O$7)),"x","")</f>
        <v/>
      </c>
      <c r="P1763" s="51" t="str">
        <f>IF(AND($L1763=$O$7,$B1763&lt;'111'!$N$11),"x","")</f>
        <v/>
      </c>
      <c r="Q1763" s="51" t="str">
        <f>IF(AND($M1763=$O$7,$B1763&lt;'111'!$N$11),"x","")</f>
        <v/>
      </c>
      <c r="R1763" s="51" t="str">
        <f>IF(ISERROR(FIND('112'!$M$9,G1763,1)),"",IF((AND(FIND('112'!$M$9,G1763,1)&gt;=1,$B1763&gt;='112'!$N$8,$B1763&lt;='112'!$O$8,OR($L1763='112'!$I$6,$M1763='112'!$I$6))),"x",""))</f>
        <v/>
      </c>
      <c r="S1763" s="51" t="str">
        <f>IF(ISERROR(FIND('112'!$M$9,G1763,1)),"",IF((AND(LEFT(G1763,2)=LEFT('112'!$M$9,2),B1763&lt;'112'!$N$8,$L1763='112'!$I$6)),"x",""))</f>
        <v/>
      </c>
      <c r="T1763" s="51" t="str">
        <f>IF(ISERROR(FIND('112'!$M$9,G1763,1)),"",IF((AND(RIGHT(G1763,2)=RIGHT('112'!$M$9,2),B1763&lt;'112'!$N$8,$M1763='112'!$I$6)),"x",""))</f>
        <v/>
      </c>
      <c r="U1763" s="51" t="str">
        <f>IF(AND(L1763="154",'154'!$O$5&lt;=B1763,'154'!$P$5&gt;=B1763),"154",IF(AND(L1763="632",'632'!$L$5&lt;=B1763,'632'!$M$5&gt;=B1763),"632",IF(AND(L1763="642",'642'!$N$5&lt;=B1763,'642'!$O$5&gt;=B1763),"642",IF(AND(L1763="641",'641'!$N$5&lt;=B1763,'641'!$O$5&gt;=B1763),"641",""))))</f>
        <v>632</v>
      </c>
      <c r="V1763" s="51" t="str">
        <f>IF(OR(TH!L1763=TH!$V$7,M1763=TH!$V$7),"x","")</f>
        <v/>
      </c>
      <c r="W1763" s="51" t="str">
        <f>IF(AND(B1763&gt;='IN-NX'!$P$3,B1763&lt;='IN-NX'!$Q$3,'IN-NX'!$D$7=D1763,OR(LEFT(L1763,2)="15",AND(LEFT(M1763,2)&lt;&gt;"15",LEFT(M1763,2)&lt;&gt;"33"))),"x","")</f>
        <v/>
      </c>
      <c r="X1763" s="51" t="str">
        <f>IF(AND(OR(LEFT(TH!L1763,2)="15",LEFT(TH!M1763,2)="15"),'152-CT'!$J$8=TH!F1763),"x","")</f>
        <v/>
      </c>
      <c r="Y1763" s="51" t="str">
        <f>IF(AND(OR(LEFT(TH!L1763,2)="15",LEFT(TH!M1763,2)="15"),TK!$E$7=TH!F1763),"x","")</f>
        <v/>
      </c>
      <c r="Z1763" s="51" t="str">
        <f>IF(AND(B1763&lt;=NKC!$N$8,B1763&gt;=NKC!$M$8),"x","")</f>
        <v/>
      </c>
      <c r="AA1763" s="803"/>
    </row>
    <row r="1764" spans="1:27" ht="15.75" customHeight="1">
      <c r="A1764" s="804" t="str">
        <f>IF(B1764&lt;&gt;"",IF(AND(B1764&gt;=_TM1,B1764&lt;=_TM2,OR(TH!L1764="1111",TH!M1764="1111")),TH!D1764,""),"")</f>
        <v/>
      </c>
      <c r="B1764" s="36">
        <f t="shared" si="120"/>
        <v>6</v>
      </c>
      <c r="C1764" s="189">
        <f t="shared" si="118"/>
        <v>42185</v>
      </c>
      <c r="D1764" s="830" t="s">
        <v>1285</v>
      </c>
      <c r="E1764" s="47">
        <v>42185</v>
      </c>
      <c r="F1764" s="48" t="s">
        <v>570</v>
      </c>
      <c r="G1764" s="810" t="s">
        <v>1007</v>
      </c>
      <c r="H1764" s="833" t="s">
        <v>1259</v>
      </c>
      <c r="I1764" s="241">
        <v>100</v>
      </c>
      <c r="J1764" s="241">
        <v>26166.913093536608</v>
      </c>
      <c r="K1764" s="834">
        <f t="shared" si="119"/>
        <v>2616691</v>
      </c>
      <c r="L1764" s="835" t="s">
        <v>162</v>
      </c>
      <c r="M1764" s="835" t="s">
        <v>417</v>
      </c>
      <c r="N1764" s="51" t="str">
        <f>IF(AND('331-CT'!$E$7=TH!H1764,OR(L1764="331",M1764="331")),"331",IF(AND(OR(L1764="131",M1764="131"),H1764='131-CT'!$E$7),"131",""))</f>
        <v/>
      </c>
      <c r="O1764" s="51" t="str">
        <f>IF(AND($B1764&gt;='111'!$N$11,$B1764&lt;='111'!$O$11,OR($L1764=$O$7,$M1764=$O$7)),"x","")</f>
        <v/>
      </c>
      <c r="P1764" s="51" t="str">
        <f>IF(AND($L1764=$O$7,$B1764&lt;'111'!$N$11),"x","")</f>
        <v/>
      </c>
      <c r="Q1764" s="51" t="str">
        <f>IF(AND($M1764=$O$7,$B1764&lt;'111'!$N$11),"x","")</f>
        <v/>
      </c>
      <c r="R1764" s="51" t="str">
        <f>IF(ISERROR(FIND('112'!$M$9,G1764,1)),"",IF((AND(FIND('112'!$M$9,G1764,1)&gt;=1,$B1764&gt;='112'!$N$8,$B1764&lt;='112'!$O$8,OR($L1764='112'!$I$6,$M1764='112'!$I$6))),"x",""))</f>
        <v/>
      </c>
      <c r="S1764" s="51" t="str">
        <f>IF(ISERROR(FIND('112'!$M$9,G1764,1)),"",IF((AND(LEFT(G1764,2)=LEFT('112'!$M$9,2),B1764&lt;'112'!$N$8,$L1764='112'!$I$6)),"x",""))</f>
        <v/>
      </c>
      <c r="T1764" s="51" t="str">
        <f>IF(ISERROR(FIND('112'!$M$9,G1764,1)),"",IF((AND(RIGHT(G1764,2)=RIGHT('112'!$M$9,2),B1764&lt;'112'!$N$8,$M1764='112'!$I$6)),"x",""))</f>
        <v/>
      </c>
      <c r="U1764" s="51" t="str">
        <f>IF(AND(L1764="154",'154'!$O$5&lt;=B1764,'154'!$P$5&gt;=B1764),"154",IF(AND(L1764="632",'632'!$L$5&lt;=B1764,'632'!$M$5&gt;=B1764),"632",IF(AND(L1764="642",'642'!$N$5&lt;=B1764,'642'!$O$5&gt;=B1764),"642",IF(AND(L1764="641",'641'!$N$5&lt;=B1764,'641'!$O$5&gt;=B1764),"641",""))))</f>
        <v>632</v>
      </c>
      <c r="V1764" s="51" t="str">
        <f>IF(OR(TH!L1764=TH!$V$7,M1764=TH!$V$7),"x","")</f>
        <v/>
      </c>
      <c r="W1764" s="51" t="str">
        <f>IF(AND(B1764&gt;='IN-NX'!$P$3,B1764&lt;='IN-NX'!$Q$3,'IN-NX'!$D$7=D1764,OR(LEFT(L1764,2)="15",AND(LEFT(M1764,2)&lt;&gt;"15",LEFT(M1764,2)&lt;&gt;"33"))),"x","")</f>
        <v/>
      </c>
      <c r="X1764" s="51" t="str">
        <f>IF(AND(OR(LEFT(TH!L1764,2)="15",LEFT(TH!M1764,2)="15"),'152-CT'!$J$8=TH!F1764),"x","")</f>
        <v/>
      </c>
      <c r="Y1764" s="51" t="str">
        <f>IF(AND(OR(LEFT(TH!L1764,2)="15",LEFT(TH!M1764,2)="15"),TK!$E$7=TH!F1764),"x","")</f>
        <v/>
      </c>
      <c r="Z1764" s="51" t="str">
        <f>IF(AND(B1764&lt;=NKC!$N$8,B1764&gt;=NKC!$M$8),"x","")</f>
        <v/>
      </c>
      <c r="AA1764" s="803"/>
    </row>
    <row r="1765" spans="1:27" ht="15.75" customHeight="1">
      <c r="A1765" s="804" t="str">
        <f>IF(B1765&lt;&gt;"",IF(AND(B1765&gt;=_TM1,B1765&lt;=_TM2,OR(TH!L1765="1111",TH!M1765="1111")),TH!D1765,""),"")</f>
        <v/>
      </c>
      <c r="B1765" s="36">
        <f t="shared" si="120"/>
        <v>6</v>
      </c>
      <c r="C1765" s="189">
        <f t="shared" si="118"/>
        <v>42185</v>
      </c>
      <c r="D1765" s="830" t="s">
        <v>1285</v>
      </c>
      <c r="E1765" s="47">
        <v>42185</v>
      </c>
      <c r="F1765" s="48" t="s">
        <v>576</v>
      </c>
      <c r="G1765" s="810" t="s">
        <v>1007</v>
      </c>
      <c r="H1765" s="833" t="s">
        <v>1259</v>
      </c>
      <c r="I1765" s="241">
        <v>535</v>
      </c>
      <c r="J1765" s="241">
        <v>13278.034409136893</v>
      </c>
      <c r="K1765" s="834">
        <f t="shared" si="119"/>
        <v>7103748</v>
      </c>
      <c r="L1765" s="835" t="s">
        <v>162</v>
      </c>
      <c r="M1765" s="835" t="s">
        <v>417</v>
      </c>
      <c r="N1765" s="51" t="str">
        <f>IF(AND('331-CT'!$E$7=TH!H1765,OR(L1765="331",M1765="331")),"331",IF(AND(OR(L1765="131",M1765="131"),H1765='131-CT'!$E$7),"131",""))</f>
        <v/>
      </c>
      <c r="O1765" s="51" t="str">
        <f>IF(AND($B1765&gt;='111'!$N$11,$B1765&lt;='111'!$O$11,OR($L1765=$O$7,$M1765=$O$7)),"x","")</f>
        <v/>
      </c>
      <c r="P1765" s="51" t="str">
        <f>IF(AND($L1765=$O$7,$B1765&lt;'111'!$N$11),"x","")</f>
        <v/>
      </c>
      <c r="Q1765" s="51" t="str">
        <f>IF(AND($M1765=$O$7,$B1765&lt;'111'!$N$11),"x","")</f>
        <v/>
      </c>
      <c r="R1765" s="51" t="str">
        <f>IF(ISERROR(FIND('112'!$M$9,G1765,1)),"",IF((AND(FIND('112'!$M$9,G1765,1)&gt;=1,$B1765&gt;='112'!$N$8,$B1765&lt;='112'!$O$8,OR($L1765='112'!$I$6,$M1765='112'!$I$6))),"x",""))</f>
        <v/>
      </c>
      <c r="S1765" s="51" t="str">
        <f>IF(ISERROR(FIND('112'!$M$9,G1765,1)),"",IF((AND(LEFT(G1765,2)=LEFT('112'!$M$9,2),B1765&lt;'112'!$N$8,$L1765='112'!$I$6)),"x",""))</f>
        <v/>
      </c>
      <c r="T1765" s="51" t="str">
        <f>IF(ISERROR(FIND('112'!$M$9,G1765,1)),"",IF((AND(RIGHT(G1765,2)=RIGHT('112'!$M$9,2),B1765&lt;'112'!$N$8,$M1765='112'!$I$6)),"x",""))</f>
        <v/>
      </c>
      <c r="U1765" s="51" t="str">
        <f>IF(AND(L1765="154",'154'!$O$5&lt;=B1765,'154'!$P$5&gt;=B1765),"154",IF(AND(L1765="632",'632'!$L$5&lt;=B1765,'632'!$M$5&gt;=B1765),"632",IF(AND(L1765="642",'642'!$N$5&lt;=B1765,'642'!$O$5&gt;=B1765),"642",IF(AND(L1765="641",'641'!$N$5&lt;=B1765,'641'!$O$5&gt;=B1765),"641",""))))</f>
        <v>632</v>
      </c>
      <c r="V1765" s="51" t="str">
        <f>IF(OR(TH!L1765=TH!$V$7,M1765=TH!$V$7),"x","")</f>
        <v/>
      </c>
      <c r="W1765" s="51" t="str">
        <f>IF(AND(B1765&gt;='IN-NX'!$P$3,B1765&lt;='IN-NX'!$Q$3,'IN-NX'!$D$7=D1765,OR(LEFT(L1765,2)="15",AND(LEFT(M1765,2)&lt;&gt;"15",LEFT(M1765,2)&lt;&gt;"33"))),"x","")</f>
        <v/>
      </c>
      <c r="X1765" s="51" t="str">
        <f>IF(AND(OR(LEFT(TH!L1765,2)="15",LEFT(TH!M1765,2)="15"),'152-CT'!$J$8=TH!F1765),"x","")</f>
        <v/>
      </c>
      <c r="Y1765" s="51" t="str">
        <f>IF(AND(OR(LEFT(TH!L1765,2)="15",LEFT(TH!M1765,2)="15"),TK!$E$7=TH!F1765),"x","")</f>
        <v/>
      </c>
      <c r="Z1765" s="51" t="str">
        <f>IF(AND(B1765&lt;=NKC!$N$8,B1765&gt;=NKC!$M$8),"x","")</f>
        <v/>
      </c>
      <c r="AA1765" s="803"/>
    </row>
    <row r="1766" spans="1:27" ht="15.75" customHeight="1">
      <c r="A1766" s="804" t="str">
        <f>IF(B1766&lt;&gt;"",IF(AND(B1766&gt;=_TM1,B1766&lt;=_TM2,OR(TH!L1766="1111",TH!M1766="1111")),TH!D1766,""),"")</f>
        <v/>
      </c>
      <c r="B1766" s="36">
        <f t="shared" si="120"/>
        <v>6</v>
      </c>
      <c r="C1766" s="189">
        <f t="shared" si="118"/>
        <v>42185</v>
      </c>
      <c r="D1766" s="830" t="s">
        <v>1285</v>
      </c>
      <c r="E1766" s="47">
        <v>42185</v>
      </c>
      <c r="F1766" s="48" t="s">
        <v>1201</v>
      </c>
      <c r="G1766" s="810" t="s">
        <v>1008</v>
      </c>
      <c r="H1766" s="833" t="s">
        <v>1259</v>
      </c>
      <c r="I1766" s="241">
        <v>100</v>
      </c>
      <c r="J1766" s="241">
        <v>18716.163093536605</v>
      </c>
      <c r="K1766" s="834">
        <f t="shared" si="119"/>
        <v>1871616</v>
      </c>
      <c r="L1766" s="835" t="s">
        <v>162</v>
      </c>
      <c r="M1766" s="835" t="s">
        <v>417</v>
      </c>
      <c r="N1766" s="51" t="str">
        <f>IF(AND('331-CT'!$E$7=TH!H1766,OR(L1766="331",M1766="331")),"331",IF(AND(OR(L1766="131",M1766="131"),H1766='131-CT'!$E$7),"131",""))</f>
        <v/>
      </c>
      <c r="O1766" s="51" t="str">
        <f>IF(AND($B1766&gt;='111'!$N$11,$B1766&lt;='111'!$O$11,OR($L1766=$O$7,$M1766=$O$7)),"x","")</f>
        <v/>
      </c>
      <c r="P1766" s="51" t="str">
        <f>IF(AND($L1766=$O$7,$B1766&lt;'111'!$N$11),"x","")</f>
        <v/>
      </c>
      <c r="Q1766" s="51" t="str">
        <f>IF(AND($M1766=$O$7,$B1766&lt;'111'!$N$11),"x","")</f>
        <v/>
      </c>
      <c r="R1766" s="51" t="str">
        <f>IF(ISERROR(FIND('112'!$M$9,G1766,1)),"",IF((AND(FIND('112'!$M$9,G1766,1)&gt;=1,$B1766&gt;='112'!$N$8,$B1766&lt;='112'!$O$8,OR($L1766='112'!$I$6,$M1766='112'!$I$6))),"x",""))</f>
        <v/>
      </c>
      <c r="S1766" s="51" t="str">
        <f>IF(ISERROR(FIND('112'!$M$9,G1766,1)),"",IF((AND(LEFT(G1766,2)=LEFT('112'!$M$9,2),B1766&lt;'112'!$N$8,$L1766='112'!$I$6)),"x",""))</f>
        <v/>
      </c>
      <c r="T1766" s="51" t="str">
        <f>IF(ISERROR(FIND('112'!$M$9,G1766,1)),"",IF((AND(RIGHT(G1766,2)=RIGHT('112'!$M$9,2),B1766&lt;'112'!$N$8,$M1766='112'!$I$6)),"x",""))</f>
        <v/>
      </c>
      <c r="U1766" s="51" t="str">
        <f>IF(AND(L1766="154",'154'!$O$5&lt;=B1766,'154'!$P$5&gt;=B1766),"154",IF(AND(L1766="632",'632'!$L$5&lt;=B1766,'632'!$M$5&gt;=B1766),"632",IF(AND(L1766="642",'642'!$N$5&lt;=B1766,'642'!$O$5&gt;=B1766),"642",IF(AND(L1766="641",'641'!$N$5&lt;=B1766,'641'!$O$5&gt;=B1766),"641",""))))</f>
        <v>632</v>
      </c>
      <c r="V1766" s="51" t="str">
        <f>IF(OR(TH!L1766=TH!$V$7,M1766=TH!$V$7),"x","")</f>
        <v/>
      </c>
      <c r="W1766" s="51" t="str">
        <f>IF(AND(B1766&gt;='IN-NX'!$P$3,B1766&lt;='IN-NX'!$Q$3,'IN-NX'!$D$7=D1766,OR(LEFT(L1766,2)="15",AND(LEFT(M1766,2)&lt;&gt;"15",LEFT(M1766,2)&lt;&gt;"33"))),"x","")</f>
        <v/>
      </c>
      <c r="X1766" s="51" t="str">
        <f>IF(AND(OR(LEFT(TH!L1766,2)="15",LEFT(TH!M1766,2)="15"),'152-CT'!$J$8=TH!F1766),"x","")</f>
        <v/>
      </c>
      <c r="Y1766" s="51" t="str">
        <f>IF(AND(OR(LEFT(TH!L1766,2)="15",LEFT(TH!M1766,2)="15"),TK!$E$7=TH!F1766),"x","")</f>
        <v/>
      </c>
      <c r="Z1766" s="51" t="str">
        <f>IF(AND(B1766&lt;=NKC!$N$8,B1766&gt;=NKC!$M$8),"x","")</f>
        <v/>
      </c>
      <c r="AA1766" s="803"/>
    </row>
    <row r="1767" spans="1:27" ht="15.75" customHeight="1">
      <c r="A1767" s="804" t="str">
        <f>IF(B1767&lt;&gt;"",IF(AND(B1767&gt;=_TM1,B1767&lt;=_TM2,OR(TH!L1767="1111",TH!M1767="1111")),TH!D1767,""),"")</f>
        <v/>
      </c>
      <c r="B1767" s="36">
        <f t="shared" si="120"/>
        <v>7</v>
      </c>
      <c r="C1767" s="189">
        <f t="shared" si="118"/>
        <v>42205</v>
      </c>
      <c r="D1767" s="830" t="s">
        <v>1285</v>
      </c>
      <c r="E1767" s="830">
        <v>42205</v>
      </c>
      <c r="F1767" s="843" t="s">
        <v>1202</v>
      </c>
      <c r="G1767" s="832" t="s">
        <v>1009</v>
      </c>
      <c r="H1767" s="833" t="s">
        <v>1259</v>
      </c>
      <c r="I1767" s="241">
        <v>50</v>
      </c>
      <c r="J1767" s="241">
        <v>9858.3191489361707</v>
      </c>
      <c r="K1767" s="834">
        <f t="shared" ref="K1767:K1769" si="121">ROUND(I1767*J1767,0)</f>
        <v>492916</v>
      </c>
      <c r="L1767" s="835" t="s">
        <v>162</v>
      </c>
      <c r="M1767" s="835" t="s">
        <v>417</v>
      </c>
      <c r="N1767" s="51" t="str">
        <f>IF(AND('331-CT'!$E$7=TH!H1767,OR(L1767="331",M1767="331")),"331",IF(AND(OR(L1767="131",M1767="131"),H1767='131-CT'!$E$7),"131",""))</f>
        <v/>
      </c>
      <c r="O1767" s="51" t="str">
        <f>IF(AND($B1767&gt;='111'!$N$11,$B1767&lt;='111'!$O$11,OR($L1767=$O$7,$M1767=$O$7)),"x","")</f>
        <v/>
      </c>
      <c r="P1767" s="51" t="str">
        <f>IF(AND($L1767=$O$7,$B1767&lt;'111'!$N$11),"x","")</f>
        <v/>
      </c>
      <c r="Q1767" s="51" t="str">
        <f>IF(AND($M1767=$O$7,$B1767&lt;'111'!$N$11),"x","")</f>
        <v/>
      </c>
      <c r="R1767" s="51" t="str">
        <f>IF(ISERROR(FIND('112'!$M$9,G1767,1)),"",IF((AND(FIND('112'!$M$9,G1767,1)&gt;=1,$B1767&gt;='112'!$N$8,$B1767&lt;='112'!$O$8,OR($L1767='112'!$I$6,$M1767='112'!$I$6))),"x",""))</f>
        <v/>
      </c>
      <c r="S1767" s="51" t="str">
        <f>IF(ISERROR(FIND('112'!$M$9,G1767,1)),"",IF((AND(LEFT(G1767,2)=LEFT('112'!$M$9,2),B1767&lt;'112'!$N$8,$L1767='112'!$I$6)),"x",""))</f>
        <v/>
      </c>
      <c r="T1767" s="51" t="str">
        <f>IF(ISERROR(FIND('112'!$M$9,G1767,1)),"",IF((AND(RIGHT(G1767,2)=RIGHT('112'!$M$9,2),B1767&lt;'112'!$N$8,$M1767='112'!$I$6)),"x",""))</f>
        <v/>
      </c>
      <c r="U1767" s="51" t="str">
        <f>IF(AND(L1767="154",'154'!$O$5&lt;=B1767,'154'!$P$5&gt;=B1767),"154",IF(AND(L1767="632",'632'!$L$5&lt;=B1767,'632'!$M$5&gt;=B1767),"632",IF(AND(L1767="642",'642'!$N$5&lt;=B1767,'642'!$O$5&gt;=B1767),"642",IF(AND(L1767="641",'641'!$N$5&lt;=B1767,'641'!$O$5&gt;=B1767),"641",""))))</f>
        <v/>
      </c>
      <c r="V1767" s="51" t="str">
        <f>IF(OR(TH!L1767=TH!$V$7,M1767=TH!$V$7),"x","")</f>
        <v/>
      </c>
      <c r="W1767" s="51" t="str">
        <f>IF(AND(B1767&gt;='IN-NX'!$P$3,B1767&lt;='IN-NX'!$Q$3,'IN-NX'!$D$7=D1767,OR(LEFT(L1767,2)="15",AND(LEFT(M1767,2)&lt;&gt;"15",LEFT(M1767,2)&lt;&gt;"33"))),"x","")</f>
        <v/>
      </c>
      <c r="X1767" s="51" t="str">
        <f>IF(AND(OR(LEFT(TH!L1767,2)="15",LEFT(TH!M1767,2)="15"),'152-CT'!$J$8=TH!F1767),"x","")</f>
        <v/>
      </c>
      <c r="Y1767" s="51" t="str">
        <f>IF(AND(OR(LEFT(TH!L1767,2)="15",LEFT(TH!M1767,2)="15"),TK!$E$7=TH!F1767),"x","")</f>
        <v/>
      </c>
      <c r="Z1767" s="51" t="str">
        <f>IF(AND(B1767&lt;=NKC!$N$8,B1767&gt;=NKC!$M$8),"x","")</f>
        <v>x</v>
      </c>
      <c r="AA1767" s="803"/>
    </row>
    <row r="1768" spans="1:27" ht="15.75" customHeight="1">
      <c r="A1768" s="804" t="str">
        <f>IF(B1768&lt;&gt;"",IF(AND(B1768&gt;=_TM1,B1768&lt;=_TM2,OR(TH!L1768="1111",TH!M1768="1111")),TH!D1768,""),"")</f>
        <v/>
      </c>
      <c r="B1768" s="36">
        <f t="shared" si="120"/>
        <v>8</v>
      </c>
      <c r="C1768" s="189">
        <f t="shared" si="118"/>
        <v>42219</v>
      </c>
      <c r="D1768" s="830" t="s">
        <v>1285</v>
      </c>
      <c r="E1768" s="830">
        <v>42219</v>
      </c>
      <c r="F1768" s="843" t="s">
        <v>697</v>
      </c>
      <c r="G1768" s="832" t="s">
        <v>1012</v>
      </c>
      <c r="H1768" s="833" t="s">
        <v>1259</v>
      </c>
      <c r="I1768" s="850">
        <v>2000</v>
      </c>
      <c r="J1768" s="850">
        <v>21773.359148936172</v>
      </c>
      <c r="K1768" s="834">
        <f t="shared" si="121"/>
        <v>43546718</v>
      </c>
      <c r="L1768" s="835" t="s">
        <v>162</v>
      </c>
      <c r="M1768" s="835" t="s">
        <v>417</v>
      </c>
      <c r="N1768" s="51" t="str">
        <f>IF(AND('331-CT'!$E$7=TH!H1768,OR(L1768="331",M1768="331")),"331",IF(AND(OR(L1768="131",M1768="131"),H1768='131-CT'!$E$7),"131",""))</f>
        <v/>
      </c>
      <c r="O1768" s="51" t="str">
        <f>IF(AND($B1768&gt;='111'!$N$11,$B1768&lt;='111'!$O$11,OR($L1768=$O$7,$M1768=$O$7)),"x","")</f>
        <v/>
      </c>
      <c r="P1768" s="51" t="str">
        <f>IF(AND($L1768=$O$7,$B1768&lt;'111'!$N$11),"x","")</f>
        <v/>
      </c>
      <c r="Q1768" s="51" t="str">
        <f>IF(AND($M1768=$O$7,$B1768&lt;'111'!$N$11),"x","")</f>
        <v/>
      </c>
      <c r="R1768" s="51" t="str">
        <f>IF(ISERROR(FIND('112'!$M$9,G1768,1)),"",IF((AND(FIND('112'!$M$9,G1768,1)&gt;=1,$B1768&gt;='112'!$N$8,$B1768&lt;='112'!$O$8,OR($L1768='112'!$I$6,$M1768='112'!$I$6))),"x",""))</f>
        <v/>
      </c>
      <c r="S1768" s="51" t="str">
        <f>IF(ISERROR(FIND('112'!$M$9,G1768,1)),"",IF((AND(LEFT(G1768,2)=LEFT('112'!$M$9,2),B1768&lt;'112'!$N$8,$L1768='112'!$I$6)),"x",""))</f>
        <v/>
      </c>
      <c r="T1768" s="51" t="str">
        <f>IF(ISERROR(FIND('112'!$M$9,G1768,1)),"",IF((AND(RIGHT(G1768,2)=RIGHT('112'!$M$9,2),B1768&lt;'112'!$N$8,$M1768='112'!$I$6)),"x",""))</f>
        <v/>
      </c>
      <c r="U1768" s="51" t="str">
        <f>IF(AND(L1768="154",'154'!$O$5&lt;=B1768,'154'!$P$5&gt;=B1768),"154",IF(AND(L1768="632",'632'!$L$5&lt;=B1768,'632'!$M$5&gt;=B1768),"632",IF(AND(L1768="642",'642'!$N$5&lt;=B1768,'642'!$O$5&gt;=B1768),"642",IF(AND(L1768="641",'641'!$N$5&lt;=B1768,'641'!$O$5&gt;=B1768),"641",""))))</f>
        <v/>
      </c>
      <c r="V1768" s="51" t="str">
        <f>IF(OR(TH!L1768=TH!$V$7,M1768=TH!$V$7),"x","")</f>
        <v/>
      </c>
      <c r="W1768" s="51" t="str">
        <f>IF(AND(B1768&gt;='IN-NX'!$P$3,B1768&lt;='IN-NX'!$Q$3,'IN-NX'!$D$7=D1768,OR(LEFT(L1768,2)="15",AND(LEFT(M1768,2)&lt;&gt;"15",LEFT(M1768,2)&lt;&gt;"33"))),"x","")</f>
        <v/>
      </c>
      <c r="X1768" s="51" t="str">
        <f>IF(AND(OR(LEFT(TH!L1768,2)="15",LEFT(TH!M1768,2)="15"),'152-CT'!$J$8=TH!F1768),"x","")</f>
        <v/>
      </c>
      <c r="Y1768" s="51" t="str">
        <f>IF(AND(OR(LEFT(TH!L1768,2)="15",LEFT(TH!M1768,2)="15"),TK!$E$7=TH!F1768),"x","")</f>
        <v/>
      </c>
      <c r="Z1768" s="51" t="str">
        <f>IF(AND(B1768&lt;=NKC!$N$8,B1768&gt;=NKC!$M$8),"x","")</f>
        <v>x</v>
      </c>
      <c r="AA1768" s="803"/>
    </row>
    <row r="1769" spans="1:27" ht="15.75" customHeight="1">
      <c r="A1769" s="804" t="str">
        <f>IF(B1769&lt;&gt;"",IF(AND(B1769&gt;=_TM1,B1769&lt;=_TM2,OR(TH!L1769="1111",TH!M1769="1111")),TH!D1769,""),"")</f>
        <v/>
      </c>
      <c r="B1769" s="36">
        <f t="shared" si="120"/>
        <v>8</v>
      </c>
      <c r="C1769" s="189">
        <f t="shared" si="118"/>
        <v>42224</v>
      </c>
      <c r="D1769" s="830" t="s">
        <v>1285</v>
      </c>
      <c r="E1769" s="830">
        <v>42224</v>
      </c>
      <c r="F1769" s="836" t="s">
        <v>845</v>
      </c>
      <c r="G1769" s="846" t="s">
        <v>1013</v>
      </c>
      <c r="H1769" s="833" t="s">
        <v>1259</v>
      </c>
      <c r="I1769" s="241">
        <v>300</v>
      </c>
      <c r="J1769" s="241">
        <v>18492.319148936171</v>
      </c>
      <c r="K1769" s="834">
        <f t="shared" si="121"/>
        <v>5547696</v>
      </c>
      <c r="L1769" s="835" t="s">
        <v>162</v>
      </c>
      <c r="M1769" s="835" t="s">
        <v>417</v>
      </c>
      <c r="N1769" s="51" t="str">
        <f>IF(AND('331-CT'!$E$7=TH!H1769,OR(L1769="331",M1769="331")),"331",IF(AND(OR(L1769="131",M1769="131"),H1769='131-CT'!$E$7),"131",""))</f>
        <v/>
      </c>
      <c r="O1769" s="51" t="str">
        <f>IF(AND($B1769&gt;='111'!$N$11,$B1769&lt;='111'!$O$11,OR($L1769=$O$7,$M1769=$O$7)),"x","")</f>
        <v/>
      </c>
      <c r="P1769" s="51" t="str">
        <f>IF(AND($L1769=$O$7,$B1769&lt;'111'!$N$11),"x","")</f>
        <v/>
      </c>
      <c r="Q1769" s="51" t="str">
        <f>IF(AND($M1769=$O$7,$B1769&lt;'111'!$N$11),"x","")</f>
        <v/>
      </c>
      <c r="R1769" s="51" t="str">
        <f>IF(ISERROR(FIND('112'!$M$9,G1769,1)),"",IF((AND(FIND('112'!$M$9,G1769,1)&gt;=1,$B1769&gt;='112'!$N$8,$B1769&lt;='112'!$O$8,OR($L1769='112'!$I$6,$M1769='112'!$I$6))),"x",""))</f>
        <v/>
      </c>
      <c r="S1769" s="51" t="str">
        <f>IF(ISERROR(FIND('112'!$M$9,G1769,1)),"",IF((AND(LEFT(G1769,2)=LEFT('112'!$M$9,2),B1769&lt;'112'!$N$8,$L1769='112'!$I$6)),"x",""))</f>
        <v/>
      </c>
      <c r="T1769" s="51" t="str">
        <f>IF(ISERROR(FIND('112'!$M$9,G1769,1)),"",IF((AND(RIGHT(G1769,2)=RIGHT('112'!$M$9,2),B1769&lt;'112'!$N$8,$M1769='112'!$I$6)),"x",""))</f>
        <v/>
      </c>
      <c r="U1769" s="51" t="str">
        <f>IF(AND(L1769="154",'154'!$O$5&lt;=B1769,'154'!$P$5&gt;=B1769),"154",IF(AND(L1769="632",'632'!$L$5&lt;=B1769,'632'!$M$5&gt;=B1769),"632",IF(AND(L1769="642",'642'!$N$5&lt;=B1769,'642'!$O$5&gt;=B1769),"642",IF(AND(L1769="641",'641'!$N$5&lt;=B1769,'641'!$O$5&gt;=B1769),"641",""))))</f>
        <v/>
      </c>
      <c r="V1769" s="51" t="str">
        <f>IF(OR(TH!L1769=TH!$V$7,M1769=TH!$V$7),"x","")</f>
        <v/>
      </c>
      <c r="W1769" s="51" t="str">
        <f>IF(AND(B1769&gt;='IN-NX'!$P$3,B1769&lt;='IN-NX'!$Q$3,'IN-NX'!$D$7=D1769,OR(LEFT(L1769,2)="15",AND(LEFT(M1769,2)&lt;&gt;"15",LEFT(M1769,2)&lt;&gt;"33"))),"x","")</f>
        <v/>
      </c>
      <c r="X1769" s="51" t="str">
        <f>IF(AND(OR(LEFT(TH!L1769,2)="15",LEFT(TH!M1769,2)="15"),'152-CT'!$J$8=TH!F1769),"x","")</f>
        <v/>
      </c>
      <c r="Y1769" s="51" t="str">
        <f>IF(AND(OR(LEFT(TH!L1769,2)="15",LEFT(TH!M1769,2)="15"),TK!$E$7=TH!F1769),"x","")</f>
        <v/>
      </c>
      <c r="Z1769" s="51" t="str">
        <f>IF(AND(B1769&lt;=NKC!$N$8,B1769&gt;=NKC!$M$8),"x","")</f>
        <v>x</v>
      </c>
      <c r="AA1769" s="803"/>
    </row>
    <row r="1770" spans="1:27" ht="15.75" customHeight="1">
      <c r="A1770" s="804" t="str">
        <f>IF(B1770&lt;&gt;"",IF(AND(B1770&gt;=_TM1,B1770&lt;=_TM2,OR(TH!L1770="1111",TH!M1770="1111")),TH!D1770,""),"")</f>
        <v/>
      </c>
      <c r="B1770" s="36">
        <f t="shared" si="120"/>
        <v>10</v>
      </c>
      <c r="C1770" s="189">
        <f t="shared" si="118"/>
        <v>42282</v>
      </c>
      <c r="D1770" s="830" t="s">
        <v>1285</v>
      </c>
      <c r="E1770" s="898">
        <v>42282</v>
      </c>
      <c r="F1770" s="843" t="s">
        <v>692</v>
      </c>
      <c r="G1770" s="846" t="s">
        <v>1054</v>
      </c>
      <c r="H1770" s="833" t="s">
        <v>1259</v>
      </c>
      <c r="I1770" s="899">
        <v>200</v>
      </c>
      <c r="J1770" s="899">
        <v>11748.233143664245</v>
      </c>
      <c r="K1770" s="834">
        <f t="shared" ref="K1770:K1805" si="122">ROUND(I1770*J1770,0)</f>
        <v>2349647</v>
      </c>
      <c r="L1770" s="835" t="s">
        <v>162</v>
      </c>
      <c r="M1770" s="835" t="s">
        <v>417</v>
      </c>
      <c r="N1770" s="51" t="str">
        <f>IF(AND('331-CT'!$E$7=TH!H1770,OR(L1770="331",M1770="331")),"331",IF(AND(OR(L1770="131",M1770="131"),H1770='131-CT'!$E$7),"131",""))</f>
        <v/>
      </c>
      <c r="O1770" s="51" t="str">
        <f>IF(AND($B1770&gt;='111'!$N$11,$B1770&lt;='111'!$O$11,OR($L1770=$O$7,$M1770=$O$7)),"x","")</f>
        <v/>
      </c>
      <c r="P1770" s="51" t="str">
        <f>IF(AND($L1770=$O$7,$B1770&lt;'111'!$N$11),"x","")</f>
        <v/>
      </c>
      <c r="Q1770" s="51" t="str">
        <f>IF(AND($M1770=$O$7,$B1770&lt;'111'!$N$11),"x","")</f>
        <v/>
      </c>
      <c r="R1770" s="51" t="str">
        <f>IF(ISERROR(FIND('112'!$M$9,G1770,1)),"",IF((AND(FIND('112'!$M$9,G1770,1)&gt;=1,$B1770&gt;='112'!$N$8,$B1770&lt;='112'!$O$8,OR($L1770='112'!$I$6,$M1770='112'!$I$6))),"x",""))</f>
        <v/>
      </c>
      <c r="S1770" s="51" t="str">
        <f>IF(ISERROR(FIND('112'!$M$9,G1770,1)),"",IF((AND(LEFT(G1770,2)=LEFT('112'!$M$9,2),B1770&lt;'112'!$N$8,$L1770='112'!$I$6)),"x",""))</f>
        <v/>
      </c>
      <c r="T1770" s="51" t="str">
        <f>IF(ISERROR(FIND('112'!$M$9,G1770,1)),"",IF((AND(RIGHT(G1770,2)=RIGHT('112'!$M$9,2),B1770&lt;'112'!$N$8,$M1770='112'!$I$6)),"x",""))</f>
        <v/>
      </c>
      <c r="U1770" s="51" t="str">
        <f>IF(AND(L1770="154",'154'!$O$5&lt;=B1770,'154'!$P$5&gt;=B1770),"154",IF(AND(L1770="632",'632'!$L$5&lt;=B1770,'632'!$M$5&gt;=B1770),"632",IF(AND(L1770="642",'642'!$N$5&lt;=B1770,'642'!$O$5&gt;=B1770),"642",IF(AND(L1770="641",'641'!$N$5&lt;=B1770,'641'!$O$5&gt;=B1770),"641",""))))</f>
        <v/>
      </c>
      <c r="V1770" s="51" t="str">
        <f>IF(OR(TH!L1770=TH!$V$7,M1770=TH!$V$7),"x","")</f>
        <v/>
      </c>
      <c r="W1770" s="51" t="str">
        <f>IF(AND(B1770&gt;='IN-NX'!$P$3,B1770&lt;='IN-NX'!$Q$3,'IN-NX'!$D$7=D1770,OR(LEFT(L1770,2)="15",AND(LEFT(M1770,2)&lt;&gt;"15",LEFT(M1770,2)&lt;&gt;"33"))),"x","")</f>
        <v/>
      </c>
      <c r="X1770" s="51" t="str">
        <f>IF(AND(OR(LEFT(TH!L1770,2)="15",LEFT(TH!M1770,2)="15"),'152-CT'!$J$8=TH!F1770),"x","")</f>
        <v/>
      </c>
      <c r="Y1770" s="51" t="str">
        <f>IF(AND(OR(LEFT(TH!L1770,2)="15",LEFT(TH!M1770,2)="15"),TK!$E$7=TH!F1770),"x","")</f>
        <v/>
      </c>
      <c r="Z1770" s="51" t="str">
        <f>IF(AND(B1770&lt;=NKC!$N$8,B1770&gt;=NKC!$M$8),"x","")</f>
        <v/>
      </c>
      <c r="AA1770" s="803"/>
    </row>
    <row r="1771" spans="1:27" ht="15.75" customHeight="1">
      <c r="A1771" s="804" t="str">
        <f>IF(B1771&lt;&gt;"",IF(AND(B1771&gt;=_TM1,B1771&lt;=_TM2,OR(TH!L1771="1111",TH!M1771="1111")),TH!D1771,""),"")</f>
        <v/>
      </c>
      <c r="B1771" s="36">
        <f t="shared" si="120"/>
        <v>10</v>
      </c>
      <c r="C1771" s="189">
        <f t="shared" si="118"/>
        <v>42285</v>
      </c>
      <c r="D1771" s="830" t="s">
        <v>1285</v>
      </c>
      <c r="E1771" s="898">
        <v>42285</v>
      </c>
      <c r="F1771" s="843" t="s">
        <v>1209</v>
      </c>
      <c r="G1771" s="846" t="s">
        <v>1062</v>
      </c>
      <c r="H1771" s="833" t="s">
        <v>1259</v>
      </c>
      <c r="I1771" s="899">
        <v>800</v>
      </c>
      <c r="J1771" s="899">
        <v>10179.259393664246</v>
      </c>
      <c r="K1771" s="834">
        <f t="shared" si="122"/>
        <v>8143408</v>
      </c>
      <c r="L1771" s="835" t="s">
        <v>162</v>
      </c>
      <c r="M1771" s="835" t="s">
        <v>417</v>
      </c>
      <c r="N1771" s="51" t="str">
        <f>IF(AND('331-CT'!$E$7=TH!H1771,OR(L1771="331",M1771="331")),"331",IF(AND(OR(L1771="131",M1771="131"),H1771='131-CT'!$E$7),"131",""))</f>
        <v/>
      </c>
      <c r="O1771" s="51" t="str">
        <f>IF(AND($B1771&gt;='111'!$N$11,$B1771&lt;='111'!$O$11,OR($L1771=$O$7,$M1771=$O$7)),"x","")</f>
        <v/>
      </c>
      <c r="P1771" s="51" t="str">
        <f>IF(AND($L1771=$O$7,$B1771&lt;'111'!$N$11),"x","")</f>
        <v/>
      </c>
      <c r="Q1771" s="51" t="str">
        <f>IF(AND($M1771=$O$7,$B1771&lt;'111'!$N$11),"x","")</f>
        <v/>
      </c>
      <c r="R1771" s="51" t="str">
        <f>IF(ISERROR(FIND('112'!$M$9,G1771,1)),"",IF((AND(FIND('112'!$M$9,G1771,1)&gt;=1,$B1771&gt;='112'!$N$8,$B1771&lt;='112'!$O$8,OR($L1771='112'!$I$6,$M1771='112'!$I$6))),"x",""))</f>
        <v/>
      </c>
      <c r="S1771" s="51" t="str">
        <f>IF(ISERROR(FIND('112'!$M$9,G1771,1)),"",IF((AND(LEFT(G1771,2)=LEFT('112'!$M$9,2),B1771&lt;'112'!$N$8,$L1771='112'!$I$6)),"x",""))</f>
        <v/>
      </c>
      <c r="T1771" s="51" t="str">
        <f>IF(ISERROR(FIND('112'!$M$9,G1771,1)),"",IF((AND(RIGHT(G1771,2)=RIGHT('112'!$M$9,2),B1771&lt;'112'!$N$8,$M1771='112'!$I$6)),"x",""))</f>
        <v/>
      </c>
      <c r="U1771" s="51" t="str">
        <f>IF(AND(L1771="154",'154'!$O$5&lt;=B1771,'154'!$P$5&gt;=B1771),"154",IF(AND(L1771="632",'632'!$L$5&lt;=B1771,'632'!$M$5&gt;=B1771),"632",IF(AND(L1771="642",'642'!$N$5&lt;=B1771,'642'!$O$5&gt;=B1771),"642",IF(AND(L1771="641",'641'!$N$5&lt;=B1771,'641'!$O$5&gt;=B1771),"641",""))))</f>
        <v/>
      </c>
      <c r="V1771" s="51" t="str">
        <f>IF(OR(TH!L1771=TH!$V$7,M1771=TH!$V$7),"x","")</f>
        <v/>
      </c>
      <c r="W1771" s="51" t="str">
        <f>IF(AND(B1771&gt;='IN-NX'!$P$3,B1771&lt;='IN-NX'!$Q$3,'IN-NX'!$D$7=D1771,OR(LEFT(L1771,2)="15",AND(LEFT(M1771,2)&lt;&gt;"15",LEFT(M1771,2)&lt;&gt;"33"))),"x","")</f>
        <v/>
      </c>
      <c r="X1771" s="51" t="str">
        <f>IF(AND(OR(LEFT(TH!L1771,2)="15",LEFT(TH!M1771,2)="15"),'152-CT'!$J$8=TH!F1771),"x","")</f>
        <v/>
      </c>
      <c r="Y1771" s="51" t="str">
        <f>IF(AND(OR(LEFT(TH!L1771,2)="15",LEFT(TH!M1771,2)="15"),TK!$E$7=TH!F1771),"x","")</f>
        <v/>
      </c>
      <c r="Z1771" s="51" t="str">
        <f>IF(AND(B1771&lt;=NKC!$N$8,B1771&gt;=NKC!$M$8),"x","")</f>
        <v/>
      </c>
      <c r="AA1771" s="803"/>
    </row>
    <row r="1772" spans="1:27" ht="15.75" customHeight="1">
      <c r="A1772" s="804" t="str">
        <f>IF(B1772&lt;&gt;"",IF(AND(B1772&gt;=_TM1,B1772&lt;=_TM2,OR(TH!L1772="1111",TH!M1772="1111")),TH!D1772,""),"")</f>
        <v/>
      </c>
      <c r="B1772" s="36">
        <f t="shared" si="120"/>
        <v>10</v>
      </c>
      <c r="C1772" s="189">
        <f t="shared" si="118"/>
        <v>42288</v>
      </c>
      <c r="D1772" s="830" t="s">
        <v>1285</v>
      </c>
      <c r="E1772" s="898">
        <v>42288</v>
      </c>
      <c r="F1772" s="843" t="s">
        <v>714</v>
      </c>
      <c r="G1772" s="846" t="s">
        <v>1065</v>
      </c>
      <c r="H1772" s="833" t="s">
        <v>1259</v>
      </c>
      <c r="I1772" s="899">
        <v>60</v>
      </c>
      <c r="J1772" s="899">
        <v>24340.981476997582</v>
      </c>
      <c r="K1772" s="834">
        <f t="shared" si="122"/>
        <v>1460459</v>
      </c>
      <c r="L1772" s="835" t="s">
        <v>162</v>
      </c>
      <c r="M1772" s="835" t="s">
        <v>417</v>
      </c>
      <c r="N1772" s="51" t="str">
        <f>IF(AND('331-CT'!$E$7=TH!H1772,OR(L1772="331",M1772="331")),"331",IF(AND(OR(L1772="131",M1772="131"),H1772='131-CT'!$E$7),"131",""))</f>
        <v/>
      </c>
      <c r="O1772" s="51" t="str">
        <f>IF(AND($B1772&gt;='111'!$N$11,$B1772&lt;='111'!$O$11,OR($L1772=$O$7,$M1772=$O$7)),"x","")</f>
        <v/>
      </c>
      <c r="P1772" s="51" t="str">
        <f>IF(AND($L1772=$O$7,$B1772&lt;'111'!$N$11),"x","")</f>
        <v/>
      </c>
      <c r="Q1772" s="51" t="str">
        <f>IF(AND($M1772=$O$7,$B1772&lt;'111'!$N$11),"x","")</f>
        <v/>
      </c>
      <c r="R1772" s="51" t="str">
        <f>IF(ISERROR(FIND('112'!$M$9,G1772,1)),"",IF((AND(FIND('112'!$M$9,G1772,1)&gt;=1,$B1772&gt;='112'!$N$8,$B1772&lt;='112'!$O$8,OR($L1772='112'!$I$6,$M1772='112'!$I$6))),"x",""))</f>
        <v/>
      </c>
      <c r="S1772" s="51" t="str">
        <f>IF(ISERROR(FIND('112'!$M$9,G1772,1)),"",IF((AND(LEFT(G1772,2)=LEFT('112'!$M$9,2),B1772&lt;'112'!$N$8,$L1772='112'!$I$6)),"x",""))</f>
        <v/>
      </c>
      <c r="T1772" s="51" t="str">
        <f>IF(ISERROR(FIND('112'!$M$9,G1772,1)),"",IF((AND(RIGHT(G1772,2)=RIGHT('112'!$M$9,2),B1772&lt;'112'!$N$8,$M1772='112'!$I$6)),"x",""))</f>
        <v/>
      </c>
      <c r="U1772" s="51" t="str">
        <f>IF(AND(L1772="154",'154'!$O$5&lt;=B1772,'154'!$P$5&gt;=B1772),"154",IF(AND(L1772="632",'632'!$L$5&lt;=B1772,'632'!$M$5&gt;=B1772),"632",IF(AND(L1772="642",'642'!$N$5&lt;=B1772,'642'!$O$5&gt;=B1772),"642",IF(AND(L1772="641",'641'!$N$5&lt;=B1772,'641'!$O$5&gt;=B1772),"641",""))))</f>
        <v/>
      </c>
      <c r="V1772" s="51" t="str">
        <f>IF(OR(TH!L1772=TH!$V$7,M1772=TH!$V$7),"x","")</f>
        <v/>
      </c>
      <c r="W1772" s="51" t="str">
        <f>IF(AND(B1772&gt;='IN-NX'!$P$3,B1772&lt;='IN-NX'!$Q$3,'IN-NX'!$D$7=D1772,OR(LEFT(L1772,2)="15",AND(LEFT(M1772,2)&lt;&gt;"15",LEFT(M1772,2)&lt;&gt;"33"))),"x","")</f>
        <v/>
      </c>
      <c r="X1772" s="51" t="str">
        <f>IF(AND(OR(LEFT(TH!L1772,2)="15",LEFT(TH!M1772,2)="15"),'152-CT'!$J$8=TH!F1772),"x","")</f>
        <v/>
      </c>
      <c r="Y1772" s="51" t="str">
        <f>IF(AND(OR(LEFT(TH!L1772,2)="15",LEFT(TH!M1772,2)="15"),TK!$E$7=TH!F1772),"x","")</f>
        <v/>
      </c>
      <c r="Z1772" s="51" t="str">
        <f>IF(AND(B1772&lt;=NKC!$N$8,B1772&gt;=NKC!$M$8),"x","")</f>
        <v/>
      </c>
      <c r="AA1772" s="803"/>
    </row>
    <row r="1773" spans="1:27" ht="15.75" customHeight="1">
      <c r="A1773" s="804" t="str">
        <f>IF(B1773&lt;&gt;"",IF(AND(B1773&gt;=_TM1,B1773&lt;=_TM2,OR(TH!L1773="1111",TH!M1773="1111")),TH!D1773,""),"")</f>
        <v/>
      </c>
      <c r="B1773" s="36">
        <f t="shared" si="120"/>
        <v>10</v>
      </c>
      <c r="C1773" s="189">
        <f t="shared" si="118"/>
        <v>42288</v>
      </c>
      <c r="D1773" s="830" t="s">
        <v>1285</v>
      </c>
      <c r="E1773" s="898">
        <v>42288</v>
      </c>
      <c r="F1773" s="843" t="s">
        <v>1210</v>
      </c>
      <c r="G1773" s="846" t="s">
        <v>1065</v>
      </c>
      <c r="H1773" s="833" t="s">
        <v>1259</v>
      </c>
      <c r="I1773" s="899">
        <v>190</v>
      </c>
      <c r="J1773" s="899">
        <v>21558.271827874771</v>
      </c>
      <c r="K1773" s="834">
        <f t="shared" si="122"/>
        <v>4096072</v>
      </c>
      <c r="L1773" s="835" t="s">
        <v>162</v>
      </c>
      <c r="M1773" s="835" t="s">
        <v>417</v>
      </c>
      <c r="N1773" s="51" t="str">
        <f>IF(AND('331-CT'!$E$7=TH!H1773,OR(L1773="331",M1773="331")),"331",IF(AND(OR(L1773="131",M1773="131"),H1773='131-CT'!$E$7),"131",""))</f>
        <v/>
      </c>
      <c r="O1773" s="51" t="str">
        <f>IF(AND($B1773&gt;='111'!$N$11,$B1773&lt;='111'!$O$11,OR($L1773=$O$7,$M1773=$O$7)),"x","")</f>
        <v/>
      </c>
      <c r="P1773" s="51" t="str">
        <f>IF(AND($L1773=$O$7,$B1773&lt;'111'!$N$11),"x","")</f>
        <v/>
      </c>
      <c r="Q1773" s="51" t="str">
        <f>IF(AND($M1773=$O$7,$B1773&lt;'111'!$N$11),"x","")</f>
        <v/>
      </c>
      <c r="R1773" s="51" t="str">
        <f>IF(ISERROR(FIND('112'!$M$9,G1773,1)),"",IF((AND(FIND('112'!$M$9,G1773,1)&gt;=1,$B1773&gt;='112'!$N$8,$B1773&lt;='112'!$O$8,OR($L1773='112'!$I$6,$M1773='112'!$I$6))),"x",""))</f>
        <v/>
      </c>
      <c r="S1773" s="51" t="str">
        <f>IF(ISERROR(FIND('112'!$M$9,G1773,1)),"",IF((AND(LEFT(G1773,2)=LEFT('112'!$M$9,2),B1773&lt;'112'!$N$8,$L1773='112'!$I$6)),"x",""))</f>
        <v/>
      </c>
      <c r="T1773" s="51" t="str">
        <f>IF(ISERROR(FIND('112'!$M$9,G1773,1)),"",IF((AND(RIGHT(G1773,2)=RIGHT('112'!$M$9,2),B1773&lt;'112'!$N$8,$M1773='112'!$I$6)),"x",""))</f>
        <v/>
      </c>
      <c r="U1773" s="51" t="str">
        <f>IF(AND(L1773="154",'154'!$O$5&lt;=B1773,'154'!$P$5&gt;=B1773),"154",IF(AND(L1773="632",'632'!$L$5&lt;=B1773,'632'!$M$5&gt;=B1773),"632",IF(AND(L1773="642",'642'!$N$5&lt;=B1773,'642'!$O$5&gt;=B1773),"642",IF(AND(L1773="641",'641'!$N$5&lt;=B1773,'641'!$O$5&gt;=B1773),"641",""))))</f>
        <v/>
      </c>
      <c r="V1773" s="51" t="str">
        <f>IF(OR(TH!L1773=TH!$V$7,M1773=TH!$V$7),"x","")</f>
        <v/>
      </c>
      <c r="W1773" s="51" t="str">
        <f>IF(AND(B1773&gt;='IN-NX'!$P$3,B1773&lt;='IN-NX'!$Q$3,'IN-NX'!$D$7=D1773,OR(LEFT(L1773,2)="15",AND(LEFT(M1773,2)&lt;&gt;"15",LEFT(M1773,2)&lt;&gt;"33"))),"x","")</f>
        <v/>
      </c>
      <c r="X1773" s="51" t="str">
        <f>IF(AND(OR(LEFT(TH!L1773,2)="15",LEFT(TH!M1773,2)="15"),'152-CT'!$J$8=TH!F1773),"x","")</f>
        <v/>
      </c>
      <c r="Y1773" s="51" t="str">
        <f>IF(AND(OR(LEFT(TH!L1773,2)="15",LEFT(TH!M1773,2)="15"),TK!$E$7=TH!F1773),"x","")</f>
        <v/>
      </c>
      <c r="Z1773" s="51" t="str">
        <f>IF(AND(B1773&lt;=NKC!$N$8,B1773&gt;=NKC!$M$8),"x","")</f>
        <v/>
      </c>
      <c r="AA1773" s="803"/>
    </row>
    <row r="1774" spans="1:27" ht="15.75" customHeight="1">
      <c r="A1774" s="804" t="str">
        <f>IF(B1774&lt;&gt;"",IF(AND(B1774&gt;=_TM1,B1774&lt;=_TM2,OR(TH!L1774="1111",TH!M1774="1111")),TH!D1774,""),"")</f>
        <v/>
      </c>
      <c r="B1774" s="36">
        <f t="shared" si="120"/>
        <v>10</v>
      </c>
      <c r="C1774" s="189">
        <f t="shared" si="118"/>
        <v>42289</v>
      </c>
      <c r="D1774" s="830" t="s">
        <v>1285</v>
      </c>
      <c r="E1774" s="898">
        <v>42289</v>
      </c>
      <c r="F1774" s="843" t="s">
        <v>1209</v>
      </c>
      <c r="G1774" s="846" t="s">
        <v>1067</v>
      </c>
      <c r="H1774" s="833" t="s">
        <v>1259</v>
      </c>
      <c r="I1774" s="899">
        <v>1200</v>
      </c>
      <c r="J1774" s="899">
        <v>11341.948143664245</v>
      </c>
      <c r="K1774" s="834">
        <f t="shared" si="122"/>
        <v>13610338</v>
      </c>
      <c r="L1774" s="835" t="s">
        <v>162</v>
      </c>
      <c r="M1774" s="835" t="s">
        <v>417</v>
      </c>
      <c r="N1774" s="51" t="str">
        <f>IF(AND('331-CT'!$E$7=TH!H1774,OR(L1774="331",M1774="331")),"331",IF(AND(OR(L1774="131",M1774="131"),H1774='131-CT'!$E$7),"131",""))</f>
        <v/>
      </c>
      <c r="O1774" s="51" t="str">
        <f>IF(AND($B1774&gt;='111'!$N$11,$B1774&lt;='111'!$O$11,OR($L1774=$O$7,$M1774=$O$7)),"x","")</f>
        <v/>
      </c>
      <c r="P1774" s="51" t="str">
        <f>IF(AND($L1774=$O$7,$B1774&lt;'111'!$N$11),"x","")</f>
        <v/>
      </c>
      <c r="Q1774" s="51" t="str">
        <f>IF(AND($M1774=$O$7,$B1774&lt;'111'!$N$11),"x","")</f>
        <v/>
      </c>
      <c r="R1774" s="51" t="str">
        <f>IF(ISERROR(FIND('112'!$M$9,G1774,1)),"",IF((AND(FIND('112'!$M$9,G1774,1)&gt;=1,$B1774&gt;='112'!$N$8,$B1774&lt;='112'!$O$8,OR($L1774='112'!$I$6,$M1774='112'!$I$6))),"x",""))</f>
        <v/>
      </c>
      <c r="S1774" s="51" t="str">
        <f>IF(ISERROR(FIND('112'!$M$9,G1774,1)),"",IF((AND(LEFT(G1774,2)=LEFT('112'!$M$9,2),B1774&lt;'112'!$N$8,$L1774='112'!$I$6)),"x",""))</f>
        <v/>
      </c>
      <c r="T1774" s="51" t="str">
        <f>IF(ISERROR(FIND('112'!$M$9,G1774,1)),"",IF((AND(RIGHT(G1774,2)=RIGHT('112'!$M$9,2),B1774&lt;'112'!$N$8,$M1774='112'!$I$6)),"x",""))</f>
        <v/>
      </c>
      <c r="U1774" s="51" t="str">
        <f>IF(AND(L1774="154",'154'!$O$5&lt;=B1774,'154'!$P$5&gt;=B1774),"154",IF(AND(L1774="632",'632'!$L$5&lt;=B1774,'632'!$M$5&gt;=B1774),"632",IF(AND(L1774="642",'642'!$N$5&lt;=B1774,'642'!$O$5&gt;=B1774),"642",IF(AND(L1774="641",'641'!$N$5&lt;=B1774,'641'!$O$5&gt;=B1774),"641",""))))</f>
        <v/>
      </c>
      <c r="V1774" s="51" t="str">
        <f>IF(OR(TH!L1774=TH!$V$7,M1774=TH!$V$7),"x","")</f>
        <v/>
      </c>
      <c r="W1774" s="51" t="str">
        <f>IF(AND(B1774&gt;='IN-NX'!$P$3,B1774&lt;='IN-NX'!$Q$3,'IN-NX'!$D$7=D1774,OR(LEFT(L1774,2)="15",AND(LEFT(M1774,2)&lt;&gt;"15",LEFT(M1774,2)&lt;&gt;"33"))),"x","")</f>
        <v/>
      </c>
      <c r="X1774" s="51" t="str">
        <f>IF(AND(OR(LEFT(TH!L1774,2)="15",LEFT(TH!M1774,2)="15"),'152-CT'!$J$8=TH!F1774),"x","")</f>
        <v/>
      </c>
      <c r="Y1774" s="51" t="str">
        <f>IF(AND(OR(LEFT(TH!L1774,2)="15",LEFT(TH!M1774,2)="15"),TK!$E$7=TH!F1774),"x","")</f>
        <v/>
      </c>
      <c r="Z1774" s="51" t="str">
        <f>IF(AND(B1774&lt;=NKC!$N$8,B1774&gt;=NKC!$M$8),"x","")</f>
        <v/>
      </c>
      <c r="AA1774" s="803"/>
    </row>
    <row r="1775" spans="1:27" ht="15.75" customHeight="1">
      <c r="A1775" s="804" t="str">
        <f>IF(B1775&lt;&gt;"",IF(AND(B1775&gt;=_TM1,B1775&lt;=_TM2,OR(TH!L1775="1111",TH!M1775="1111")),TH!D1775,""),"")</f>
        <v/>
      </c>
      <c r="B1775" s="36">
        <f t="shared" si="120"/>
        <v>10</v>
      </c>
      <c r="C1775" s="189">
        <f t="shared" si="118"/>
        <v>42290</v>
      </c>
      <c r="D1775" s="830" t="s">
        <v>1285</v>
      </c>
      <c r="E1775" s="898">
        <v>42290</v>
      </c>
      <c r="F1775" s="843" t="s">
        <v>1211</v>
      </c>
      <c r="G1775" s="810" t="s">
        <v>1068</v>
      </c>
      <c r="H1775" s="833" t="s">
        <v>1259</v>
      </c>
      <c r="I1775" s="899">
        <v>5</v>
      </c>
      <c r="J1775" s="899">
        <v>257177.69814366422</v>
      </c>
      <c r="K1775" s="834">
        <f t="shared" si="122"/>
        <v>1285888</v>
      </c>
      <c r="L1775" s="835" t="s">
        <v>162</v>
      </c>
      <c r="M1775" s="835" t="s">
        <v>417</v>
      </c>
      <c r="N1775" s="51" t="str">
        <f>IF(AND('331-CT'!$E$7=TH!H1775,OR(L1775="331",M1775="331")),"331",IF(AND(OR(L1775="131",M1775="131"),H1775='131-CT'!$E$7),"131",""))</f>
        <v/>
      </c>
      <c r="O1775" s="51" t="str">
        <f>IF(AND($B1775&gt;='111'!$N$11,$B1775&lt;='111'!$O$11,OR($L1775=$O$7,$M1775=$O$7)),"x","")</f>
        <v/>
      </c>
      <c r="P1775" s="51" t="str">
        <f>IF(AND($L1775=$O$7,$B1775&lt;'111'!$N$11),"x","")</f>
        <v/>
      </c>
      <c r="Q1775" s="51" t="str">
        <f>IF(AND($M1775=$O$7,$B1775&lt;'111'!$N$11),"x","")</f>
        <v/>
      </c>
      <c r="R1775" s="51" t="str">
        <f>IF(ISERROR(FIND('112'!$M$9,G1775,1)),"",IF((AND(FIND('112'!$M$9,G1775,1)&gt;=1,$B1775&gt;='112'!$N$8,$B1775&lt;='112'!$O$8,OR($L1775='112'!$I$6,$M1775='112'!$I$6))),"x",""))</f>
        <v/>
      </c>
      <c r="S1775" s="51" t="str">
        <f>IF(ISERROR(FIND('112'!$M$9,G1775,1)),"",IF((AND(LEFT(G1775,2)=LEFT('112'!$M$9,2),B1775&lt;'112'!$N$8,$L1775='112'!$I$6)),"x",""))</f>
        <v/>
      </c>
      <c r="T1775" s="51" t="str">
        <f>IF(ISERROR(FIND('112'!$M$9,G1775,1)),"",IF((AND(RIGHT(G1775,2)=RIGHT('112'!$M$9,2),B1775&lt;'112'!$N$8,$M1775='112'!$I$6)),"x",""))</f>
        <v/>
      </c>
      <c r="U1775" s="51" t="str">
        <f>IF(AND(L1775="154",'154'!$O$5&lt;=B1775,'154'!$P$5&gt;=B1775),"154",IF(AND(L1775="632",'632'!$L$5&lt;=B1775,'632'!$M$5&gt;=B1775),"632",IF(AND(L1775="642",'642'!$N$5&lt;=B1775,'642'!$O$5&gt;=B1775),"642",IF(AND(L1775="641",'641'!$N$5&lt;=B1775,'641'!$O$5&gt;=B1775),"641",""))))</f>
        <v/>
      </c>
      <c r="V1775" s="51" t="str">
        <f>IF(OR(TH!L1775=TH!$V$7,M1775=TH!$V$7),"x","")</f>
        <v/>
      </c>
      <c r="W1775" s="51" t="str">
        <f>IF(AND(B1775&gt;='IN-NX'!$P$3,B1775&lt;='IN-NX'!$Q$3,'IN-NX'!$D$7=D1775,OR(LEFT(L1775,2)="15",AND(LEFT(M1775,2)&lt;&gt;"15",LEFT(M1775,2)&lt;&gt;"33"))),"x","")</f>
        <v/>
      </c>
      <c r="X1775" s="51" t="str">
        <f>IF(AND(OR(LEFT(TH!L1775,2)="15",LEFT(TH!M1775,2)="15"),'152-CT'!$J$8=TH!F1775),"x","")</f>
        <v/>
      </c>
      <c r="Y1775" s="51" t="str">
        <f>IF(AND(OR(LEFT(TH!L1775,2)="15",LEFT(TH!M1775,2)="15"),TK!$E$7=TH!F1775),"x","")</f>
        <v/>
      </c>
      <c r="Z1775" s="51" t="str">
        <f>IF(AND(B1775&lt;=NKC!$N$8,B1775&gt;=NKC!$M$8),"x","")</f>
        <v/>
      </c>
      <c r="AA1775" s="803"/>
    </row>
    <row r="1776" spans="1:27" ht="15.75" customHeight="1">
      <c r="A1776" s="804" t="str">
        <f>IF(B1776&lt;&gt;"",IF(AND(B1776&gt;=_TM1,B1776&lt;=_TM2,OR(TH!L1776="1111",TH!M1776="1111")),TH!D1776,""),"")</f>
        <v/>
      </c>
      <c r="B1776" s="36">
        <f t="shared" si="120"/>
        <v>10</v>
      </c>
      <c r="C1776" s="189">
        <f t="shared" si="118"/>
        <v>42290</v>
      </c>
      <c r="D1776" s="830" t="s">
        <v>1285</v>
      </c>
      <c r="E1776" s="898">
        <v>42290</v>
      </c>
      <c r="F1776" s="843" t="s">
        <v>1212</v>
      </c>
      <c r="G1776" s="810" t="s">
        <v>1068</v>
      </c>
      <c r="H1776" s="833" t="s">
        <v>1259</v>
      </c>
      <c r="I1776" s="899">
        <v>7</v>
      </c>
      <c r="J1776" s="899">
        <v>131644.26957223567</v>
      </c>
      <c r="K1776" s="834">
        <f t="shared" si="122"/>
        <v>921510</v>
      </c>
      <c r="L1776" s="835" t="s">
        <v>162</v>
      </c>
      <c r="M1776" s="835" t="s">
        <v>417</v>
      </c>
      <c r="N1776" s="51" t="str">
        <f>IF(AND('331-CT'!$E$7=TH!H1776,OR(L1776="331",M1776="331")),"331",IF(AND(OR(L1776="131",M1776="131"),H1776='131-CT'!$E$7),"131",""))</f>
        <v/>
      </c>
      <c r="O1776" s="51" t="str">
        <f>IF(AND($B1776&gt;='111'!$N$11,$B1776&lt;='111'!$O$11,OR($L1776=$O$7,$M1776=$O$7)),"x","")</f>
        <v/>
      </c>
      <c r="P1776" s="51" t="str">
        <f>IF(AND($L1776=$O$7,$B1776&lt;'111'!$N$11),"x","")</f>
        <v/>
      </c>
      <c r="Q1776" s="51" t="str">
        <f>IF(AND($M1776=$O$7,$B1776&lt;'111'!$N$11),"x","")</f>
        <v/>
      </c>
      <c r="R1776" s="51" t="str">
        <f>IF(ISERROR(FIND('112'!$M$9,G1776,1)),"",IF((AND(FIND('112'!$M$9,G1776,1)&gt;=1,$B1776&gt;='112'!$N$8,$B1776&lt;='112'!$O$8,OR($L1776='112'!$I$6,$M1776='112'!$I$6))),"x",""))</f>
        <v/>
      </c>
      <c r="S1776" s="51" t="str">
        <f>IF(ISERROR(FIND('112'!$M$9,G1776,1)),"",IF((AND(LEFT(G1776,2)=LEFT('112'!$M$9,2),B1776&lt;'112'!$N$8,$L1776='112'!$I$6)),"x",""))</f>
        <v/>
      </c>
      <c r="T1776" s="51" t="str">
        <f>IF(ISERROR(FIND('112'!$M$9,G1776,1)),"",IF((AND(RIGHT(G1776,2)=RIGHT('112'!$M$9,2),B1776&lt;'112'!$N$8,$M1776='112'!$I$6)),"x",""))</f>
        <v/>
      </c>
      <c r="U1776" s="51" t="str">
        <f>IF(AND(L1776="154",'154'!$O$5&lt;=B1776,'154'!$P$5&gt;=B1776),"154",IF(AND(L1776="632",'632'!$L$5&lt;=B1776,'632'!$M$5&gt;=B1776),"632",IF(AND(L1776="642",'642'!$N$5&lt;=B1776,'642'!$O$5&gt;=B1776),"642",IF(AND(L1776="641",'641'!$N$5&lt;=B1776,'641'!$O$5&gt;=B1776),"641",""))))</f>
        <v/>
      </c>
      <c r="V1776" s="51" t="str">
        <f>IF(OR(TH!L1776=TH!$V$7,M1776=TH!$V$7),"x","")</f>
        <v/>
      </c>
      <c r="W1776" s="51" t="str">
        <f>IF(AND(B1776&gt;='IN-NX'!$P$3,B1776&lt;='IN-NX'!$Q$3,'IN-NX'!$D$7=D1776,OR(LEFT(L1776,2)="15",AND(LEFT(M1776,2)&lt;&gt;"15",LEFT(M1776,2)&lt;&gt;"33"))),"x","")</f>
        <v/>
      </c>
      <c r="X1776" s="51" t="str">
        <f>IF(AND(OR(LEFT(TH!L1776,2)="15",LEFT(TH!M1776,2)="15"),'152-CT'!$J$8=TH!F1776),"x","")</f>
        <v/>
      </c>
      <c r="Y1776" s="51" t="str">
        <f>IF(AND(OR(LEFT(TH!L1776,2)="15",LEFT(TH!M1776,2)="15"),TK!$E$7=TH!F1776),"x","")</f>
        <v/>
      </c>
      <c r="Z1776" s="51" t="str">
        <f>IF(AND(B1776&lt;=NKC!$N$8,B1776&gt;=NKC!$M$8),"x","")</f>
        <v/>
      </c>
      <c r="AA1776" s="803"/>
    </row>
    <row r="1777" spans="1:27" ht="15.75" customHeight="1">
      <c r="A1777" s="804" t="str">
        <f>IF(B1777&lt;&gt;"",IF(AND(B1777&gt;=_TM1,B1777&lt;=_TM2,OR(TH!L1777="1111",TH!M1777="1111")),TH!D1777,""),"")</f>
        <v/>
      </c>
      <c r="B1777" s="36">
        <f t="shared" si="120"/>
        <v>10</v>
      </c>
      <c r="C1777" s="189">
        <f t="shared" si="118"/>
        <v>42290</v>
      </c>
      <c r="D1777" s="830" t="s">
        <v>1285</v>
      </c>
      <c r="E1777" s="898">
        <v>42290</v>
      </c>
      <c r="F1777" s="843" t="s">
        <v>1213</v>
      </c>
      <c r="G1777" s="832" t="s">
        <v>1068</v>
      </c>
      <c r="H1777" s="833" t="s">
        <v>1259</v>
      </c>
      <c r="I1777" s="899">
        <v>3</v>
      </c>
      <c r="J1777" s="899">
        <v>140065.69814366425</v>
      </c>
      <c r="K1777" s="834">
        <f t="shared" si="122"/>
        <v>420197</v>
      </c>
      <c r="L1777" s="835" t="s">
        <v>162</v>
      </c>
      <c r="M1777" s="835" t="s">
        <v>417</v>
      </c>
      <c r="N1777" s="51" t="str">
        <f>IF(AND('331-CT'!$E$7=TH!H1777,OR(L1777="331",M1777="331")),"331",IF(AND(OR(L1777="131",M1777="131"),H1777='131-CT'!$E$7),"131",""))</f>
        <v/>
      </c>
      <c r="O1777" s="51" t="str">
        <f>IF(AND($B1777&gt;='111'!$N$11,$B1777&lt;='111'!$O$11,OR($L1777=$O$7,$M1777=$O$7)),"x","")</f>
        <v/>
      </c>
      <c r="P1777" s="51" t="str">
        <f>IF(AND($L1777=$O$7,$B1777&lt;'111'!$N$11),"x","")</f>
        <v/>
      </c>
      <c r="Q1777" s="51" t="str">
        <f>IF(AND($M1777=$O$7,$B1777&lt;'111'!$N$11),"x","")</f>
        <v/>
      </c>
      <c r="R1777" s="51" t="str">
        <f>IF(ISERROR(FIND('112'!$M$9,G1777,1)),"",IF((AND(FIND('112'!$M$9,G1777,1)&gt;=1,$B1777&gt;='112'!$N$8,$B1777&lt;='112'!$O$8,OR($L1777='112'!$I$6,$M1777='112'!$I$6))),"x",""))</f>
        <v/>
      </c>
      <c r="S1777" s="51" t="str">
        <f>IF(ISERROR(FIND('112'!$M$9,G1777,1)),"",IF((AND(LEFT(G1777,2)=LEFT('112'!$M$9,2),B1777&lt;'112'!$N$8,$L1777='112'!$I$6)),"x",""))</f>
        <v/>
      </c>
      <c r="T1777" s="51" t="str">
        <f>IF(ISERROR(FIND('112'!$M$9,G1777,1)),"",IF((AND(RIGHT(G1777,2)=RIGHT('112'!$M$9,2),B1777&lt;'112'!$N$8,$M1777='112'!$I$6)),"x",""))</f>
        <v/>
      </c>
      <c r="U1777" s="51" t="str">
        <f>IF(AND(L1777="154",'154'!$O$5&lt;=B1777,'154'!$P$5&gt;=B1777),"154",IF(AND(L1777="632",'632'!$L$5&lt;=B1777,'632'!$M$5&gt;=B1777),"632",IF(AND(L1777="642",'642'!$N$5&lt;=B1777,'642'!$O$5&gt;=B1777),"642",IF(AND(L1777="641",'641'!$N$5&lt;=B1777,'641'!$O$5&gt;=B1777),"641",""))))</f>
        <v/>
      </c>
      <c r="V1777" s="51" t="str">
        <f>IF(OR(TH!L1777=TH!$V$7,M1777=TH!$V$7),"x","")</f>
        <v/>
      </c>
      <c r="W1777" s="51" t="str">
        <f>IF(AND(B1777&gt;='IN-NX'!$P$3,B1777&lt;='IN-NX'!$Q$3,'IN-NX'!$D$7=D1777,OR(LEFT(L1777,2)="15",AND(LEFT(M1777,2)&lt;&gt;"15",LEFT(M1777,2)&lt;&gt;"33"))),"x","")</f>
        <v/>
      </c>
      <c r="X1777" s="51" t="str">
        <f>IF(AND(OR(LEFT(TH!L1777,2)="15",LEFT(TH!M1777,2)="15"),'152-CT'!$J$8=TH!F1777),"x","")</f>
        <v/>
      </c>
      <c r="Y1777" s="51" t="str">
        <f>IF(AND(OR(LEFT(TH!L1777,2)="15",LEFT(TH!M1777,2)="15"),TK!$E$7=TH!F1777),"x","")</f>
        <v/>
      </c>
      <c r="Z1777" s="51" t="str">
        <f>IF(AND(B1777&lt;=NKC!$N$8,B1777&gt;=NKC!$M$8),"x","")</f>
        <v/>
      </c>
      <c r="AA1777" s="803"/>
    </row>
    <row r="1778" spans="1:27" ht="15.75" customHeight="1">
      <c r="A1778" s="804" t="str">
        <f>IF(B1778&lt;&gt;"",IF(AND(B1778&gt;=_TM1,B1778&lt;=_TM2,OR(TH!L1778="1111",TH!M1778="1111")),TH!D1778,""),"")</f>
        <v/>
      </c>
      <c r="B1778" s="36">
        <f t="shared" si="120"/>
        <v>10</v>
      </c>
      <c r="C1778" s="189">
        <f t="shared" si="118"/>
        <v>42290</v>
      </c>
      <c r="D1778" s="830" t="s">
        <v>1285</v>
      </c>
      <c r="E1778" s="898">
        <v>42290</v>
      </c>
      <c r="F1778" s="843" t="s">
        <v>1185</v>
      </c>
      <c r="G1778" s="832" t="s">
        <v>1068</v>
      </c>
      <c r="H1778" s="833" t="s">
        <v>1259</v>
      </c>
      <c r="I1778" s="899">
        <v>15</v>
      </c>
      <c r="J1778" s="899">
        <v>75769.698143664253</v>
      </c>
      <c r="K1778" s="834">
        <f t="shared" si="122"/>
        <v>1136545</v>
      </c>
      <c r="L1778" s="835" t="s">
        <v>162</v>
      </c>
      <c r="M1778" s="835" t="s">
        <v>417</v>
      </c>
      <c r="N1778" s="51" t="str">
        <f>IF(AND('331-CT'!$E$7=TH!H1778,OR(L1778="331",M1778="331")),"331",IF(AND(OR(L1778="131",M1778="131"),H1778='131-CT'!$E$7),"131",""))</f>
        <v/>
      </c>
      <c r="O1778" s="51" t="str">
        <f>IF(AND($B1778&gt;='111'!$N$11,$B1778&lt;='111'!$O$11,OR($L1778=$O$7,$M1778=$O$7)),"x","")</f>
        <v/>
      </c>
      <c r="P1778" s="51" t="str">
        <f>IF(AND($L1778=$O$7,$B1778&lt;'111'!$N$11),"x","")</f>
        <v/>
      </c>
      <c r="Q1778" s="51" t="str">
        <f>IF(AND($M1778=$O$7,$B1778&lt;'111'!$N$11),"x","")</f>
        <v/>
      </c>
      <c r="R1778" s="51" t="str">
        <f>IF(ISERROR(FIND('112'!$M$9,G1778,1)),"",IF((AND(FIND('112'!$M$9,G1778,1)&gt;=1,$B1778&gt;='112'!$N$8,$B1778&lt;='112'!$O$8,OR($L1778='112'!$I$6,$M1778='112'!$I$6))),"x",""))</f>
        <v/>
      </c>
      <c r="S1778" s="51" t="str">
        <f>IF(ISERROR(FIND('112'!$M$9,G1778,1)),"",IF((AND(LEFT(G1778,2)=LEFT('112'!$M$9,2),B1778&lt;'112'!$N$8,$L1778='112'!$I$6)),"x",""))</f>
        <v/>
      </c>
      <c r="T1778" s="51" t="str">
        <f>IF(ISERROR(FIND('112'!$M$9,G1778,1)),"",IF((AND(RIGHT(G1778,2)=RIGHT('112'!$M$9,2),B1778&lt;'112'!$N$8,$M1778='112'!$I$6)),"x",""))</f>
        <v/>
      </c>
      <c r="U1778" s="51" t="str">
        <f>IF(AND(L1778="154",'154'!$O$5&lt;=B1778,'154'!$P$5&gt;=B1778),"154",IF(AND(L1778="632",'632'!$L$5&lt;=B1778,'632'!$M$5&gt;=B1778),"632",IF(AND(L1778="642",'642'!$N$5&lt;=B1778,'642'!$O$5&gt;=B1778),"642",IF(AND(L1778="641",'641'!$N$5&lt;=B1778,'641'!$O$5&gt;=B1778),"641",""))))</f>
        <v/>
      </c>
      <c r="V1778" s="51" t="str">
        <f>IF(OR(TH!L1778=TH!$V$7,M1778=TH!$V$7),"x","")</f>
        <v/>
      </c>
      <c r="W1778" s="51" t="str">
        <f>IF(AND(B1778&gt;='IN-NX'!$P$3,B1778&lt;='IN-NX'!$Q$3,'IN-NX'!$D$7=D1778,OR(LEFT(L1778,2)="15",AND(LEFT(M1778,2)&lt;&gt;"15",LEFT(M1778,2)&lt;&gt;"33"))),"x","")</f>
        <v/>
      </c>
      <c r="X1778" s="51" t="str">
        <f>IF(AND(OR(LEFT(TH!L1778,2)="15",LEFT(TH!M1778,2)="15"),'152-CT'!$J$8=TH!F1778),"x","")</f>
        <v/>
      </c>
      <c r="Y1778" s="51" t="str">
        <f>IF(AND(OR(LEFT(TH!L1778,2)="15",LEFT(TH!M1778,2)="15"),TK!$E$7=TH!F1778),"x","")</f>
        <v/>
      </c>
      <c r="Z1778" s="51" t="str">
        <f>IF(AND(B1778&lt;=NKC!$N$8,B1778&gt;=NKC!$M$8),"x","")</f>
        <v/>
      </c>
      <c r="AA1778" s="803"/>
    </row>
    <row r="1779" spans="1:27" ht="15.75" customHeight="1">
      <c r="A1779" s="804" t="str">
        <f>IF(B1779&lt;&gt;"",IF(AND(B1779&gt;=_TM1,B1779&lt;=_TM2,OR(TH!L1779="1111",TH!M1779="1111")),TH!D1779,""),"")</f>
        <v/>
      </c>
      <c r="B1779" s="36">
        <f t="shared" ref="B1779:B1810" si="123">IF(C1779&lt;&gt;"",MONTH(C1779),"")</f>
        <v>10</v>
      </c>
      <c r="C1779" s="189">
        <f t="shared" si="118"/>
        <v>42290</v>
      </c>
      <c r="D1779" s="830" t="s">
        <v>1285</v>
      </c>
      <c r="E1779" s="898">
        <v>42290</v>
      </c>
      <c r="F1779" s="843" t="s">
        <v>1214</v>
      </c>
      <c r="G1779" s="832" t="s">
        <v>1068</v>
      </c>
      <c r="H1779" s="833" t="s">
        <v>1259</v>
      </c>
      <c r="I1779" s="899">
        <v>12</v>
      </c>
      <c r="J1779" s="899">
        <v>317209.69814366422</v>
      </c>
      <c r="K1779" s="834">
        <f t="shared" si="122"/>
        <v>3806516</v>
      </c>
      <c r="L1779" s="835" t="s">
        <v>162</v>
      </c>
      <c r="M1779" s="835" t="s">
        <v>417</v>
      </c>
      <c r="N1779" s="51" t="str">
        <f>IF(AND('331-CT'!$E$7=TH!H1779,OR(L1779="331",M1779="331")),"331",IF(AND(OR(L1779="131",M1779="131"),H1779='131-CT'!$E$7),"131",""))</f>
        <v/>
      </c>
      <c r="O1779" s="51" t="str">
        <f>IF(AND($B1779&gt;='111'!$N$11,$B1779&lt;='111'!$O$11,OR($L1779=$O$7,$M1779=$O$7)),"x","")</f>
        <v/>
      </c>
      <c r="P1779" s="51" t="str">
        <f>IF(AND($L1779=$O$7,$B1779&lt;'111'!$N$11),"x","")</f>
        <v/>
      </c>
      <c r="Q1779" s="51" t="str">
        <f>IF(AND($M1779=$O$7,$B1779&lt;'111'!$N$11),"x","")</f>
        <v/>
      </c>
      <c r="R1779" s="51" t="str">
        <f>IF(ISERROR(FIND('112'!$M$9,G1779,1)),"",IF((AND(FIND('112'!$M$9,G1779,1)&gt;=1,$B1779&gt;='112'!$N$8,$B1779&lt;='112'!$O$8,OR($L1779='112'!$I$6,$M1779='112'!$I$6))),"x",""))</f>
        <v/>
      </c>
      <c r="S1779" s="51" t="str">
        <f>IF(ISERROR(FIND('112'!$M$9,G1779,1)),"",IF((AND(LEFT(G1779,2)=LEFT('112'!$M$9,2),B1779&lt;'112'!$N$8,$L1779='112'!$I$6)),"x",""))</f>
        <v/>
      </c>
      <c r="T1779" s="51" t="str">
        <f>IF(ISERROR(FIND('112'!$M$9,G1779,1)),"",IF((AND(RIGHT(G1779,2)=RIGHT('112'!$M$9,2),B1779&lt;'112'!$N$8,$M1779='112'!$I$6)),"x",""))</f>
        <v/>
      </c>
      <c r="U1779" s="51" t="str">
        <f>IF(AND(L1779="154",'154'!$O$5&lt;=B1779,'154'!$P$5&gt;=B1779),"154",IF(AND(L1779="632",'632'!$L$5&lt;=B1779,'632'!$M$5&gt;=B1779),"632",IF(AND(L1779="642",'642'!$N$5&lt;=B1779,'642'!$O$5&gt;=B1779),"642",IF(AND(L1779="641",'641'!$N$5&lt;=B1779,'641'!$O$5&gt;=B1779),"641",""))))</f>
        <v/>
      </c>
      <c r="V1779" s="51" t="str">
        <f>IF(OR(TH!L1779=TH!$V$7,M1779=TH!$V$7),"x","")</f>
        <v/>
      </c>
      <c r="W1779" s="51" t="str">
        <f>IF(AND(B1779&gt;='IN-NX'!$P$3,B1779&lt;='IN-NX'!$Q$3,'IN-NX'!$D$7=D1779,OR(LEFT(L1779,2)="15",AND(LEFT(M1779,2)&lt;&gt;"15",LEFT(M1779,2)&lt;&gt;"33"))),"x","")</f>
        <v/>
      </c>
      <c r="X1779" s="51" t="str">
        <f>IF(AND(OR(LEFT(TH!L1779,2)="15",LEFT(TH!M1779,2)="15"),'152-CT'!$J$8=TH!F1779),"x","")</f>
        <v/>
      </c>
      <c r="Y1779" s="51" t="str">
        <f>IF(AND(OR(LEFT(TH!L1779,2)="15",LEFT(TH!M1779,2)="15"),TK!$E$7=TH!F1779),"x","")</f>
        <v/>
      </c>
      <c r="Z1779" s="51" t="str">
        <f>IF(AND(B1779&lt;=NKC!$N$8,B1779&gt;=NKC!$M$8),"x","")</f>
        <v/>
      </c>
      <c r="AA1779" s="803"/>
    </row>
    <row r="1780" spans="1:27" ht="15.75" customHeight="1">
      <c r="A1780" s="804" t="str">
        <f>IF(B1780&lt;&gt;"",IF(AND(B1780&gt;=_TM1,B1780&lt;=_TM2,OR(TH!L1780="1111",TH!M1780="1111")),TH!D1780,""),"")</f>
        <v/>
      </c>
      <c r="B1780" s="36">
        <f t="shared" si="123"/>
        <v>10</v>
      </c>
      <c r="C1780" s="189">
        <f t="shared" si="118"/>
        <v>42290</v>
      </c>
      <c r="D1780" s="830" t="s">
        <v>1285</v>
      </c>
      <c r="E1780" s="898">
        <v>42290</v>
      </c>
      <c r="F1780" s="843" t="s">
        <v>1215</v>
      </c>
      <c r="G1780" s="832" t="s">
        <v>1068</v>
      </c>
      <c r="H1780" s="833" t="s">
        <v>1259</v>
      </c>
      <c r="I1780" s="899">
        <v>17</v>
      </c>
      <c r="J1780" s="899">
        <v>171644.52167307603</v>
      </c>
      <c r="K1780" s="834">
        <f t="shared" si="122"/>
        <v>2917957</v>
      </c>
      <c r="L1780" s="835" t="s">
        <v>162</v>
      </c>
      <c r="M1780" s="835" t="s">
        <v>417</v>
      </c>
      <c r="N1780" s="51" t="str">
        <f>IF(AND('331-CT'!$E$7=TH!H1780,OR(L1780="331",M1780="331")),"331",IF(AND(OR(L1780="131",M1780="131"),H1780='131-CT'!$E$7),"131",""))</f>
        <v/>
      </c>
      <c r="O1780" s="51" t="str">
        <f>IF(AND($B1780&gt;='111'!$N$11,$B1780&lt;='111'!$O$11,OR($L1780=$O$7,$M1780=$O$7)),"x","")</f>
        <v/>
      </c>
      <c r="P1780" s="51" t="str">
        <f>IF(AND($L1780=$O$7,$B1780&lt;'111'!$N$11),"x","")</f>
        <v/>
      </c>
      <c r="Q1780" s="51" t="str">
        <f>IF(AND($M1780=$O$7,$B1780&lt;'111'!$N$11),"x","")</f>
        <v/>
      </c>
      <c r="R1780" s="51" t="str">
        <f>IF(ISERROR(FIND('112'!$M$9,G1780,1)),"",IF((AND(FIND('112'!$M$9,G1780,1)&gt;=1,$B1780&gt;='112'!$N$8,$B1780&lt;='112'!$O$8,OR($L1780='112'!$I$6,$M1780='112'!$I$6))),"x",""))</f>
        <v/>
      </c>
      <c r="S1780" s="51" t="str">
        <f>IF(ISERROR(FIND('112'!$M$9,G1780,1)),"",IF((AND(LEFT(G1780,2)=LEFT('112'!$M$9,2),B1780&lt;'112'!$N$8,$L1780='112'!$I$6)),"x",""))</f>
        <v/>
      </c>
      <c r="T1780" s="51" t="str">
        <f>IF(ISERROR(FIND('112'!$M$9,G1780,1)),"",IF((AND(RIGHT(G1780,2)=RIGHT('112'!$M$9,2),B1780&lt;'112'!$N$8,$M1780='112'!$I$6)),"x",""))</f>
        <v/>
      </c>
      <c r="U1780" s="51" t="str">
        <f>IF(AND(L1780="154",'154'!$O$5&lt;=B1780,'154'!$P$5&gt;=B1780),"154",IF(AND(L1780="632",'632'!$L$5&lt;=B1780,'632'!$M$5&gt;=B1780),"632",IF(AND(L1780="642",'642'!$N$5&lt;=B1780,'642'!$O$5&gt;=B1780),"642",IF(AND(L1780="641",'641'!$N$5&lt;=B1780,'641'!$O$5&gt;=B1780),"641",""))))</f>
        <v/>
      </c>
      <c r="V1780" s="51" t="str">
        <f>IF(OR(TH!L1780=TH!$V$7,M1780=TH!$V$7),"x","")</f>
        <v/>
      </c>
      <c r="W1780" s="51" t="str">
        <f>IF(AND(B1780&gt;='IN-NX'!$P$3,B1780&lt;='IN-NX'!$Q$3,'IN-NX'!$D$7=D1780,OR(LEFT(L1780,2)="15",AND(LEFT(M1780,2)&lt;&gt;"15",LEFT(M1780,2)&lt;&gt;"33"))),"x","")</f>
        <v/>
      </c>
      <c r="X1780" s="51" t="str">
        <f>IF(AND(OR(LEFT(TH!L1780,2)="15",LEFT(TH!M1780,2)="15"),'152-CT'!$J$8=TH!F1780),"x","")</f>
        <v/>
      </c>
      <c r="Y1780" s="51" t="str">
        <f>IF(AND(OR(LEFT(TH!L1780,2)="15",LEFT(TH!M1780,2)="15"),TK!$E$7=TH!F1780),"x","")</f>
        <v/>
      </c>
      <c r="Z1780" s="51" t="str">
        <f>IF(AND(B1780&lt;=NKC!$N$8,B1780&gt;=NKC!$M$8),"x","")</f>
        <v/>
      </c>
      <c r="AA1780" s="803"/>
    </row>
    <row r="1781" spans="1:27" ht="15.75" customHeight="1">
      <c r="A1781" s="804" t="str">
        <f>IF(B1781&lt;&gt;"",IF(AND(B1781&gt;=_TM1,B1781&lt;=_TM2,OR(TH!L1781="1111",TH!M1781="1111")),TH!D1781,""),"")</f>
        <v/>
      </c>
      <c r="B1781" s="36">
        <f t="shared" si="123"/>
        <v>10</v>
      </c>
      <c r="C1781" s="189">
        <f t="shared" si="118"/>
        <v>42290</v>
      </c>
      <c r="D1781" s="830" t="s">
        <v>1285</v>
      </c>
      <c r="E1781" s="898">
        <v>42290</v>
      </c>
      <c r="F1781" s="843" t="s">
        <v>1216</v>
      </c>
      <c r="G1781" s="832" t="s">
        <v>1068</v>
      </c>
      <c r="H1781" s="833" t="s">
        <v>1259</v>
      </c>
      <c r="I1781" s="899">
        <v>17</v>
      </c>
      <c r="J1781" s="899">
        <v>36788.051084840721</v>
      </c>
      <c r="K1781" s="834">
        <f t="shared" si="122"/>
        <v>625397</v>
      </c>
      <c r="L1781" s="835" t="s">
        <v>162</v>
      </c>
      <c r="M1781" s="835" t="s">
        <v>417</v>
      </c>
      <c r="N1781" s="51" t="str">
        <f>IF(AND('331-CT'!$E$7=TH!H1781,OR(L1781="331",M1781="331")),"331",IF(AND(OR(L1781="131",M1781="131"),H1781='131-CT'!$E$7),"131",""))</f>
        <v/>
      </c>
      <c r="O1781" s="51" t="str">
        <f>IF(AND($B1781&gt;='111'!$N$11,$B1781&lt;='111'!$O$11,OR($L1781=$O$7,$M1781=$O$7)),"x","")</f>
        <v/>
      </c>
      <c r="P1781" s="51" t="str">
        <f>IF(AND($L1781=$O$7,$B1781&lt;'111'!$N$11),"x","")</f>
        <v/>
      </c>
      <c r="Q1781" s="51" t="str">
        <f>IF(AND($M1781=$O$7,$B1781&lt;'111'!$N$11),"x","")</f>
        <v/>
      </c>
      <c r="R1781" s="51" t="str">
        <f>IF(ISERROR(FIND('112'!$M$9,G1781,1)),"",IF((AND(FIND('112'!$M$9,G1781,1)&gt;=1,$B1781&gt;='112'!$N$8,$B1781&lt;='112'!$O$8,OR($L1781='112'!$I$6,$M1781='112'!$I$6))),"x",""))</f>
        <v/>
      </c>
      <c r="S1781" s="51" t="str">
        <f>IF(ISERROR(FIND('112'!$M$9,G1781,1)),"",IF((AND(LEFT(G1781,2)=LEFT('112'!$M$9,2),B1781&lt;'112'!$N$8,$L1781='112'!$I$6)),"x",""))</f>
        <v/>
      </c>
      <c r="T1781" s="51" t="str">
        <f>IF(ISERROR(FIND('112'!$M$9,G1781,1)),"",IF((AND(RIGHT(G1781,2)=RIGHT('112'!$M$9,2),B1781&lt;'112'!$N$8,$M1781='112'!$I$6)),"x",""))</f>
        <v/>
      </c>
      <c r="U1781" s="51" t="str">
        <f>IF(AND(L1781="154",'154'!$O$5&lt;=B1781,'154'!$P$5&gt;=B1781),"154",IF(AND(L1781="632",'632'!$L$5&lt;=B1781,'632'!$M$5&gt;=B1781),"632",IF(AND(L1781="642",'642'!$N$5&lt;=B1781,'642'!$O$5&gt;=B1781),"642",IF(AND(L1781="641",'641'!$N$5&lt;=B1781,'641'!$O$5&gt;=B1781),"641",""))))</f>
        <v/>
      </c>
      <c r="V1781" s="51" t="str">
        <f>IF(OR(TH!L1781=TH!$V$7,M1781=TH!$V$7),"x","")</f>
        <v/>
      </c>
      <c r="W1781" s="51" t="str">
        <f>IF(AND(B1781&gt;='IN-NX'!$P$3,B1781&lt;='IN-NX'!$Q$3,'IN-NX'!$D$7=D1781,OR(LEFT(L1781,2)="15",AND(LEFT(M1781,2)&lt;&gt;"15",LEFT(M1781,2)&lt;&gt;"33"))),"x","")</f>
        <v/>
      </c>
      <c r="X1781" s="51" t="str">
        <f>IF(AND(OR(LEFT(TH!L1781,2)="15",LEFT(TH!M1781,2)="15"),'152-CT'!$J$8=TH!F1781),"x","")</f>
        <v/>
      </c>
      <c r="Y1781" s="51" t="str">
        <f>IF(AND(OR(LEFT(TH!L1781,2)="15",LEFT(TH!M1781,2)="15"),TK!$E$7=TH!F1781),"x","")</f>
        <v/>
      </c>
      <c r="Z1781" s="51" t="str">
        <f>IF(AND(B1781&lt;=NKC!$N$8,B1781&gt;=NKC!$M$8),"x","")</f>
        <v/>
      </c>
      <c r="AA1781" s="803"/>
    </row>
    <row r="1782" spans="1:27" ht="15.75" customHeight="1">
      <c r="A1782" s="804" t="str">
        <f>IF(B1782&lt;&gt;"",IF(AND(B1782&gt;=_TM1,B1782&lt;=_TM2,OR(TH!L1782="1111",TH!M1782="1111")),TH!D1782,""),"")</f>
        <v/>
      </c>
      <c r="B1782" s="36">
        <f t="shared" si="123"/>
        <v>10</v>
      </c>
      <c r="C1782" s="189">
        <f t="shared" si="118"/>
        <v>42292</v>
      </c>
      <c r="D1782" s="830" t="s">
        <v>1285</v>
      </c>
      <c r="E1782" s="898">
        <v>42292</v>
      </c>
      <c r="F1782" s="843" t="s">
        <v>621</v>
      </c>
      <c r="G1782" s="832" t="s">
        <v>1071</v>
      </c>
      <c r="H1782" s="833" t="s">
        <v>1259</v>
      </c>
      <c r="I1782" s="899">
        <v>177</v>
      </c>
      <c r="J1782" s="899">
        <v>15804.681194511702</v>
      </c>
      <c r="K1782" s="834">
        <f t="shared" si="122"/>
        <v>2797429</v>
      </c>
      <c r="L1782" s="835" t="s">
        <v>162</v>
      </c>
      <c r="M1782" s="835" t="s">
        <v>417</v>
      </c>
      <c r="N1782" s="51" t="str">
        <f>IF(AND('331-CT'!$E$7=TH!H1782,OR(L1782="331",M1782="331")),"331",IF(AND(OR(L1782="131",M1782="131"),H1782='131-CT'!$E$7),"131",""))</f>
        <v/>
      </c>
      <c r="O1782" s="51" t="str">
        <f>IF(AND($B1782&gt;='111'!$N$11,$B1782&lt;='111'!$O$11,OR($L1782=$O$7,$M1782=$O$7)),"x","")</f>
        <v/>
      </c>
      <c r="P1782" s="51" t="str">
        <f>IF(AND($L1782=$O$7,$B1782&lt;'111'!$N$11),"x","")</f>
        <v/>
      </c>
      <c r="Q1782" s="51" t="str">
        <f>IF(AND($M1782=$O$7,$B1782&lt;'111'!$N$11),"x","")</f>
        <v/>
      </c>
      <c r="R1782" s="51" t="str">
        <f>IF(ISERROR(FIND('112'!$M$9,G1782,1)),"",IF((AND(FIND('112'!$M$9,G1782,1)&gt;=1,$B1782&gt;='112'!$N$8,$B1782&lt;='112'!$O$8,OR($L1782='112'!$I$6,$M1782='112'!$I$6))),"x",""))</f>
        <v/>
      </c>
      <c r="S1782" s="51" t="str">
        <f>IF(ISERROR(FIND('112'!$M$9,G1782,1)),"",IF((AND(LEFT(G1782,2)=LEFT('112'!$M$9,2),B1782&lt;'112'!$N$8,$L1782='112'!$I$6)),"x",""))</f>
        <v/>
      </c>
      <c r="T1782" s="51" t="str">
        <f>IF(ISERROR(FIND('112'!$M$9,G1782,1)),"",IF((AND(RIGHT(G1782,2)=RIGHT('112'!$M$9,2),B1782&lt;'112'!$N$8,$M1782='112'!$I$6)),"x",""))</f>
        <v/>
      </c>
      <c r="U1782" s="51" t="str">
        <f>IF(AND(L1782="154",'154'!$O$5&lt;=B1782,'154'!$P$5&gt;=B1782),"154",IF(AND(L1782="632",'632'!$L$5&lt;=B1782,'632'!$M$5&gt;=B1782),"632",IF(AND(L1782="642",'642'!$N$5&lt;=B1782,'642'!$O$5&gt;=B1782),"642",IF(AND(L1782="641",'641'!$N$5&lt;=B1782,'641'!$O$5&gt;=B1782),"641",""))))</f>
        <v/>
      </c>
      <c r="V1782" s="51" t="str">
        <f>IF(OR(TH!L1782=TH!$V$7,M1782=TH!$V$7),"x","")</f>
        <v/>
      </c>
      <c r="W1782" s="51" t="str">
        <f>IF(AND(B1782&gt;='IN-NX'!$P$3,B1782&lt;='IN-NX'!$Q$3,'IN-NX'!$D$7=D1782,OR(LEFT(L1782,2)="15",AND(LEFT(M1782,2)&lt;&gt;"15",LEFT(M1782,2)&lt;&gt;"33"))),"x","")</f>
        <v/>
      </c>
      <c r="X1782" s="51" t="str">
        <f>IF(AND(OR(LEFT(TH!L1782,2)="15",LEFT(TH!M1782,2)="15"),'152-CT'!$J$8=TH!F1782),"x","")</f>
        <v/>
      </c>
      <c r="Y1782" s="51" t="str">
        <f>IF(AND(OR(LEFT(TH!L1782,2)="15",LEFT(TH!M1782,2)="15"),TK!$E$7=TH!F1782),"x","")</f>
        <v/>
      </c>
      <c r="Z1782" s="51" t="str">
        <f>IF(AND(B1782&lt;=NKC!$N$8,B1782&gt;=NKC!$M$8),"x","")</f>
        <v/>
      </c>
      <c r="AA1782" s="803"/>
    </row>
    <row r="1783" spans="1:27" ht="15.75" customHeight="1">
      <c r="A1783" s="804" t="str">
        <f>IF(B1783&lt;&gt;"",IF(AND(B1783&gt;=_TM1,B1783&lt;=_TM2,OR(TH!L1783="1111",TH!M1783="1111")),TH!D1783,""),"")</f>
        <v/>
      </c>
      <c r="B1783" s="36">
        <f t="shared" si="123"/>
        <v>10</v>
      </c>
      <c r="C1783" s="189">
        <f t="shared" si="118"/>
        <v>42301</v>
      </c>
      <c r="D1783" s="830" t="s">
        <v>1285</v>
      </c>
      <c r="E1783" s="898">
        <v>42301</v>
      </c>
      <c r="F1783" s="843" t="s">
        <v>1254</v>
      </c>
      <c r="G1783" s="832" t="s">
        <v>1078</v>
      </c>
      <c r="H1783" s="833" t="s">
        <v>1259</v>
      </c>
      <c r="I1783" s="899">
        <v>200</v>
      </c>
      <c r="J1783" s="899">
        <v>17938.698143664245</v>
      </c>
      <c r="K1783" s="834">
        <f t="shared" si="122"/>
        <v>3587740</v>
      </c>
      <c r="L1783" s="835" t="s">
        <v>162</v>
      </c>
      <c r="M1783" s="835" t="s">
        <v>417</v>
      </c>
      <c r="N1783" s="51" t="str">
        <f>IF(AND('331-CT'!$E$7=TH!H1783,OR(L1783="331",M1783="331")),"331",IF(AND(OR(L1783="131",M1783="131"),H1783='131-CT'!$E$7),"131",""))</f>
        <v/>
      </c>
      <c r="O1783" s="51" t="str">
        <f>IF(AND($B1783&gt;='111'!$N$11,$B1783&lt;='111'!$O$11,OR($L1783=$O$7,$M1783=$O$7)),"x","")</f>
        <v/>
      </c>
      <c r="P1783" s="51" t="str">
        <f>IF(AND($L1783=$O$7,$B1783&lt;'111'!$N$11),"x","")</f>
        <v/>
      </c>
      <c r="Q1783" s="51" t="str">
        <f>IF(AND($M1783=$O$7,$B1783&lt;'111'!$N$11),"x","")</f>
        <v/>
      </c>
      <c r="R1783" s="51" t="str">
        <f>IF(ISERROR(FIND('112'!$M$9,G1783,1)),"",IF((AND(FIND('112'!$M$9,G1783,1)&gt;=1,$B1783&gt;='112'!$N$8,$B1783&lt;='112'!$O$8,OR($L1783='112'!$I$6,$M1783='112'!$I$6))),"x",""))</f>
        <v/>
      </c>
      <c r="S1783" s="51" t="str">
        <f>IF(ISERROR(FIND('112'!$M$9,G1783,1)),"",IF((AND(LEFT(G1783,2)=LEFT('112'!$M$9,2),B1783&lt;'112'!$N$8,$L1783='112'!$I$6)),"x",""))</f>
        <v/>
      </c>
      <c r="T1783" s="51" t="str">
        <f>IF(ISERROR(FIND('112'!$M$9,G1783,1)),"",IF((AND(RIGHT(G1783,2)=RIGHT('112'!$M$9,2),B1783&lt;'112'!$N$8,$M1783='112'!$I$6)),"x",""))</f>
        <v/>
      </c>
      <c r="U1783" s="51" t="str">
        <f>IF(AND(L1783="154",'154'!$O$5&lt;=B1783,'154'!$P$5&gt;=B1783),"154",IF(AND(L1783="632",'632'!$L$5&lt;=B1783,'632'!$M$5&gt;=B1783),"632",IF(AND(L1783="642",'642'!$N$5&lt;=B1783,'642'!$O$5&gt;=B1783),"642",IF(AND(L1783="641",'641'!$N$5&lt;=B1783,'641'!$O$5&gt;=B1783),"641",""))))</f>
        <v/>
      </c>
      <c r="V1783" s="51" t="str">
        <f>IF(OR(TH!L1783=TH!$V$7,M1783=TH!$V$7),"x","")</f>
        <v/>
      </c>
      <c r="W1783" s="51" t="str">
        <f>IF(AND(B1783&gt;='IN-NX'!$P$3,B1783&lt;='IN-NX'!$Q$3,'IN-NX'!$D$7=D1783,OR(LEFT(L1783,2)="15",AND(LEFT(M1783,2)&lt;&gt;"15",LEFT(M1783,2)&lt;&gt;"33"))),"x","")</f>
        <v/>
      </c>
      <c r="X1783" s="51" t="str">
        <f>IF(AND(OR(LEFT(TH!L1783,2)="15",LEFT(TH!M1783,2)="15"),'152-CT'!$J$8=TH!F1783),"x","")</f>
        <v/>
      </c>
      <c r="Y1783" s="51" t="str">
        <f>IF(AND(OR(LEFT(TH!L1783,2)="15",LEFT(TH!M1783,2)="15"),TK!$E$7=TH!F1783),"x","")</f>
        <v/>
      </c>
      <c r="Z1783" s="51" t="str">
        <f>IF(AND(B1783&lt;=NKC!$N$8,B1783&gt;=NKC!$M$8),"x","")</f>
        <v/>
      </c>
      <c r="AA1783" s="803"/>
    </row>
    <row r="1784" spans="1:27" ht="15.75" customHeight="1">
      <c r="A1784" s="804" t="str">
        <f>IF(B1784&lt;&gt;"",IF(AND(B1784&gt;=_TM1,B1784&lt;=_TM2,OR(TH!L1784="1111",TH!M1784="1111")),TH!D1784,""),"")</f>
        <v/>
      </c>
      <c r="B1784" s="36">
        <f t="shared" si="123"/>
        <v>10</v>
      </c>
      <c r="C1784" s="189">
        <f t="shared" si="118"/>
        <v>42308</v>
      </c>
      <c r="D1784" s="830" t="s">
        <v>1285</v>
      </c>
      <c r="E1784" s="898">
        <v>42308</v>
      </c>
      <c r="F1784" s="843" t="s">
        <v>1209</v>
      </c>
      <c r="G1784" s="810" t="s">
        <v>556</v>
      </c>
      <c r="H1784" s="833" t="s">
        <v>1259</v>
      </c>
      <c r="I1784" s="899">
        <v>1000</v>
      </c>
      <c r="J1784" s="899">
        <v>10238.198143664245</v>
      </c>
      <c r="K1784" s="834">
        <f t="shared" si="122"/>
        <v>10238198</v>
      </c>
      <c r="L1784" s="835" t="s">
        <v>162</v>
      </c>
      <c r="M1784" s="835" t="s">
        <v>417</v>
      </c>
      <c r="N1784" s="51" t="str">
        <f>IF(AND('331-CT'!$E$7=TH!H1784,OR(L1784="331",M1784="331")),"331",IF(AND(OR(L1784="131",M1784="131"),H1784='131-CT'!$E$7),"131",""))</f>
        <v/>
      </c>
      <c r="O1784" s="51" t="str">
        <f>IF(AND($B1784&gt;='111'!$N$11,$B1784&lt;='111'!$O$11,OR($L1784=$O$7,$M1784=$O$7)),"x","")</f>
        <v/>
      </c>
      <c r="P1784" s="51" t="str">
        <f>IF(AND($L1784=$O$7,$B1784&lt;'111'!$N$11),"x","")</f>
        <v/>
      </c>
      <c r="Q1784" s="51" t="str">
        <f>IF(AND($M1784=$O$7,$B1784&lt;'111'!$N$11),"x","")</f>
        <v/>
      </c>
      <c r="R1784" s="51" t="str">
        <f>IF(ISERROR(FIND('112'!$M$9,G1784,1)),"",IF((AND(FIND('112'!$M$9,G1784,1)&gt;=1,$B1784&gt;='112'!$N$8,$B1784&lt;='112'!$O$8,OR($L1784='112'!$I$6,$M1784='112'!$I$6))),"x",""))</f>
        <v/>
      </c>
      <c r="S1784" s="51" t="str">
        <f>IF(ISERROR(FIND('112'!$M$9,G1784,1)),"",IF((AND(LEFT(G1784,2)=LEFT('112'!$M$9,2),B1784&lt;'112'!$N$8,$L1784='112'!$I$6)),"x",""))</f>
        <v/>
      </c>
      <c r="T1784" s="51" t="str">
        <f>IF(ISERROR(FIND('112'!$M$9,G1784,1)),"",IF((AND(RIGHT(G1784,2)=RIGHT('112'!$M$9,2),B1784&lt;'112'!$N$8,$M1784='112'!$I$6)),"x",""))</f>
        <v/>
      </c>
      <c r="U1784" s="51" t="str">
        <f>IF(AND(L1784="154",'154'!$O$5&lt;=B1784,'154'!$P$5&gt;=B1784),"154",IF(AND(L1784="632",'632'!$L$5&lt;=B1784,'632'!$M$5&gt;=B1784),"632",IF(AND(L1784="642",'642'!$N$5&lt;=B1784,'642'!$O$5&gt;=B1784),"642",IF(AND(L1784="641",'641'!$N$5&lt;=B1784,'641'!$O$5&gt;=B1784),"641",""))))</f>
        <v/>
      </c>
      <c r="V1784" s="51" t="str">
        <f>IF(OR(TH!L1784=TH!$V$7,M1784=TH!$V$7),"x","")</f>
        <v/>
      </c>
      <c r="W1784" s="51" t="str">
        <f>IF(AND(B1784&gt;='IN-NX'!$P$3,B1784&lt;='IN-NX'!$Q$3,'IN-NX'!$D$7=D1784,OR(LEFT(L1784,2)="15",AND(LEFT(M1784,2)&lt;&gt;"15",LEFT(M1784,2)&lt;&gt;"33"))),"x","")</f>
        <v/>
      </c>
      <c r="X1784" s="51" t="str">
        <f>IF(AND(OR(LEFT(TH!L1784,2)="15",LEFT(TH!M1784,2)="15"),'152-CT'!$J$8=TH!F1784),"x","")</f>
        <v/>
      </c>
      <c r="Y1784" s="51" t="str">
        <f>IF(AND(OR(LEFT(TH!L1784,2)="15",LEFT(TH!M1784,2)="15"),TK!$E$7=TH!F1784),"x","")</f>
        <v/>
      </c>
      <c r="Z1784" s="51" t="str">
        <f>IF(AND(B1784&lt;=NKC!$N$8,B1784&gt;=NKC!$M$8),"x","")</f>
        <v/>
      </c>
      <c r="AA1784" s="803"/>
    </row>
    <row r="1785" spans="1:27" ht="15.75" customHeight="1">
      <c r="A1785" s="804" t="str">
        <f>IF(B1785&lt;&gt;"",IF(AND(B1785&gt;=_TM1,B1785&lt;=_TM2,OR(TH!L1785="1111",TH!M1785="1111")),TH!D1785,""),"")</f>
        <v/>
      </c>
      <c r="B1785" s="36">
        <f t="shared" si="123"/>
        <v>11</v>
      </c>
      <c r="C1785" s="189">
        <f t="shared" si="118"/>
        <v>42313</v>
      </c>
      <c r="D1785" s="830" t="s">
        <v>1285</v>
      </c>
      <c r="E1785" s="898">
        <v>42313</v>
      </c>
      <c r="F1785" s="843" t="s">
        <v>1083</v>
      </c>
      <c r="G1785" s="832" t="s">
        <v>1084</v>
      </c>
      <c r="H1785" s="833" t="s">
        <v>1259</v>
      </c>
      <c r="I1785" s="899">
        <v>68</v>
      </c>
      <c r="J1785" s="899">
        <v>12025.698143664245</v>
      </c>
      <c r="K1785" s="834">
        <f t="shared" si="122"/>
        <v>817747</v>
      </c>
      <c r="L1785" s="835" t="s">
        <v>162</v>
      </c>
      <c r="M1785" s="835" t="s">
        <v>417</v>
      </c>
      <c r="N1785" s="51" t="str">
        <f>IF(AND('331-CT'!$E$7=TH!H1785,OR(L1785="331",M1785="331")),"331",IF(AND(OR(L1785="131",M1785="131"),H1785='131-CT'!$E$7),"131",""))</f>
        <v/>
      </c>
      <c r="O1785" s="51" t="str">
        <f>IF(AND($B1785&gt;='111'!$N$11,$B1785&lt;='111'!$O$11,OR($L1785=$O$7,$M1785=$O$7)),"x","")</f>
        <v/>
      </c>
      <c r="P1785" s="51" t="str">
        <f>IF(AND($L1785=$O$7,$B1785&lt;'111'!$N$11),"x","")</f>
        <v/>
      </c>
      <c r="Q1785" s="51" t="str">
        <f>IF(AND($M1785=$O$7,$B1785&lt;'111'!$N$11),"x","")</f>
        <v/>
      </c>
      <c r="R1785" s="51" t="str">
        <f>IF(ISERROR(FIND('112'!$M$9,G1785,1)),"",IF((AND(FIND('112'!$M$9,G1785,1)&gt;=1,$B1785&gt;='112'!$N$8,$B1785&lt;='112'!$O$8,OR($L1785='112'!$I$6,$M1785='112'!$I$6))),"x",""))</f>
        <v/>
      </c>
      <c r="S1785" s="51" t="str">
        <f>IF(ISERROR(FIND('112'!$M$9,G1785,1)),"",IF((AND(LEFT(G1785,2)=LEFT('112'!$M$9,2),B1785&lt;'112'!$N$8,$L1785='112'!$I$6)),"x",""))</f>
        <v/>
      </c>
      <c r="T1785" s="51" t="str">
        <f>IF(ISERROR(FIND('112'!$M$9,G1785,1)),"",IF((AND(RIGHT(G1785,2)=RIGHT('112'!$M$9,2),B1785&lt;'112'!$N$8,$M1785='112'!$I$6)),"x",""))</f>
        <v/>
      </c>
      <c r="U1785" s="51" t="str">
        <f>IF(AND(L1785="154",'154'!$O$5&lt;=B1785,'154'!$P$5&gt;=B1785),"154",IF(AND(L1785="632",'632'!$L$5&lt;=B1785,'632'!$M$5&gt;=B1785),"632",IF(AND(L1785="642",'642'!$N$5&lt;=B1785,'642'!$O$5&gt;=B1785),"642",IF(AND(L1785="641",'641'!$N$5&lt;=B1785,'641'!$O$5&gt;=B1785),"641",""))))</f>
        <v/>
      </c>
      <c r="V1785" s="51" t="str">
        <f>IF(OR(TH!L1785=TH!$V$7,M1785=TH!$V$7),"x","")</f>
        <v/>
      </c>
      <c r="W1785" s="51" t="str">
        <f>IF(AND(B1785&gt;='IN-NX'!$P$3,B1785&lt;='IN-NX'!$Q$3,'IN-NX'!$D$7=D1785,OR(LEFT(L1785,2)="15",AND(LEFT(M1785,2)&lt;&gt;"15",LEFT(M1785,2)&lt;&gt;"33"))),"x","")</f>
        <v/>
      </c>
      <c r="X1785" s="51" t="str">
        <f>IF(AND(OR(LEFT(TH!L1785,2)="15",LEFT(TH!M1785,2)="15"),'152-CT'!$J$8=TH!F1785),"x","")</f>
        <v/>
      </c>
      <c r="Y1785" s="51" t="str">
        <f>IF(AND(OR(LEFT(TH!L1785,2)="15",LEFT(TH!M1785,2)="15"),TK!$E$7=TH!F1785),"x","")</f>
        <v/>
      </c>
      <c r="Z1785" s="51" t="str">
        <f>IF(AND(B1785&lt;=NKC!$N$8,B1785&gt;=NKC!$M$8),"x","")</f>
        <v/>
      </c>
      <c r="AA1785" s="803"/>
    </row>
    <row r="1786" spans="1:27" ht="15.75" customHeight="1">
      <c r="A1786" s="804" t="str">
        <f>IF(B1786&lt;&gt;"",IF(AND(B1786&gt;=_TM1,B1786&lt;=_TM2,OR(TH!L1786="1111",TH!M1786="1111")),TH!D1786,""),"")</f>
        <v/>
      </c>
      <c r="B1786" s="36">
        <f t="shared" si="123"/>
        <v>11</v>
      </c>
      <c r="C1786" s="189">
        <f t="shared" si="118"/>
        <v>42314</v>
      </c>
      <c r="D1786" s="830" t="s">
        <v>1285</v>
      </c>
      <c r="E1786" s="898">
        <v>42314</v>
      </c>
      <c r="F1786" s="843" t="s">
        <v>1246</v>
      </c>
      <c r="G1786" s="846" t="s">
        <v>1086</v>
      </c>
      <c r="H1786" s="833" t="s">
        <v>1259</v>
      </c>
      <c r="I1786" s="899">
        <v>35</v>
      </c>
      <c r="J1786" s="899">
        <v>30715.698143664249</v>
      </c>
      <c r="K1786" s="834">
        <f t="shared" si="122"/>
        <v>1075049</v>
      </c>
      <c r="L1786" s="835" t="s">
        <v>162</v>
      </c>
      <c r="M1786" s="835" t="s">
        <v>417</v>
      </c>
      <c r="N1786" s="51" t="str">
        <f>IF(AND('331-CT'!$E$7=TH!H1786,OR(L1786="331",M1786="331")),"331",IF(AND(OR(L1786="131",M1786="131"),H1786='131-CT'!$E$7),"131",""))</f>
        <v/>
      </c>
      <c r="O1786" s="51" t="str">
        <f>IF(AND($B1786&gt;='111'!$N$11,$B1786&lt;='111'!$O$11,OR($L1786=$O$7,$M1786=$O$7)),"x","")</f>
        <v/>
      </c>
      <c r="P1786" s="51" t="str">
        <f>IF(AND($L1786=$O$7,$B1786&lt;'111'!$N$11),"x","")</f>
        <v/>
      </c>
      <c r="Q1786" s="51" t="str">
        <f>IF(AND($M1786=$O$7,$B1786&lt;'111'!$N$11),"x","")</f>
        <v/>
      </c>
      <c r="R1786" s="51" t="str">
        <f>IF(ISERROR(FIND('112'!$M$9,G1786,1)),"",IF((AND(FIND('112'!$M$9,G1786,1)&gt;=1,$B1786&gt;='112'!$N$8,$B1786&lt;='112'!$O$8,OR($L1786='112'!$I$6,$M1786='112'!$I$6))),"x",""))</f>
        <v/>
      </c>
      <c r="S1786" s="51" t="str">
        <f>IF(ISERROR(FIND('112'!$M$9,G1786,1)),"",IF((AND(LEFT(G1786,2)=LEFT('112'!$M$9,2),B1786&lt;'112'!$N$8,$L1786='112'!$I$6)),"x",""))</f>
        <v/>
      </c>
      <c r="T1786" s="51" t="str">
        <f>IF(ISERROR(FIND('112'!$M$9,G1786,1)),"",IF((AND(RIGHT(G1786,2)=RIGHT('112'!$M$9,2),B1786&lt;'112'!$N$8,$M1786='112'!$I$6)),"x",""))</f>
        <v/>
      </c>
      <c r="U1786" s="51" t="str">
        <f>IF(AND(L1786="154",'154'!$O$5&lt;=B1786,'154'!$P$5&gt;=B1786),"154",IF(AND(L1786="632",'632'!$L$5&lt;=B1786,'632'!$M$5&gt;=B1786),"632",IF(AND(L1786="642",'642'!$N$5&lt;=B1786,'642'!$O$5&gt;=B1786),"642",IF(AND(L1786="641",'641'!$N$5&lt;=B1786,'641'!$O$5&gt;=B1786),"641",""))))</f>
        <v/>
      </c>
      <c r="V1786" s="51" t="str">
        <f>IF(OR(TH!L1786=TH!$V$7,M1786=TH!$V$7),"x","")</f>
        <v/>
      </c>
      <c r="W1786" s="51" t="str">
        <f>IF(AND(B1786&gt;='IN-NX'!$P$3,B1786&lt;='IN-NX'!$Q$3,'IN-NX'!$D$7=D1786,OR(LEFT(L1786,2)="15",AND(LEFT(M1786,2)&lt;&gt;"15",LEFT(M1786,2)&lt;&gt;"33"))),"x","")</f>
        <v/>
      </c>
      <c r="X1786" s="51" t="str">
        <f>IF(AND(OR(LEFT(TH!L1786,2)="15",LEFT(TH!M1786,2)="15"),'152-CT'!$J$8=TH!F1786),"x","")</f>
        <v/>
      </c>
      <c r="Y1786" s="51" t="str">
        <f>IF(AND(OR(LEFT(TH!L1786,2)="15",LEFT(TH!M1786,2)="15"),TK!$E$7=TH!F1786),"x","")</f>
        <v/>
      </c>
      <c r="Z1786" s="51" t="str">
        <f>IF(AND(B1786&lt;=NKC!$N$8,B1786&gt;=NKC!$M$8),"x","")</f>
        <v/>
      </c>
      <c r="AA1786" s="803"/>
    </row>
    <row r="1787" spans="1:27" ht="15.75" customHeight="1">
      <c r="A1787" s="804" t="str">
        <f>IF(B1787&lt;&gt;"",IF(AND(B1787&gt;=_TM1,B1787&lt;=_TM2,OR(TH!L1787="1111",TH!M1787="1111")),TH!D1787,""),"")</f>
        <v/>
      </c>
      <c r="B1787" s="36">
        <f t="shared" si="123"/>
        <v>11</v>
      </c>
      <c r="C1787" s="189">
        <f t="shared" si="118"/>
        <v>42314</v>
      </c>
      <c r="D1787" s="830" t="s">
        <v>1285</v>
      </c>
      <c r="E1787" s="898">
        <v>42314</v>
      </c>
      <c r="F1787" s="843" t="s">
        <v>1247</v>
      </c>
      <c r="G1787" s="900" t="s">
        <v>1086</v>
      </c>
      <c r="H1787" s="833" t="s">
        <v>1259</v>
      </c>
      <c r="I1787" s="899">
        <v>35</v>
      </c>
      <c r="J1787" s="899">
        <v>31353.241000807106</v>
      </c>
      <c r="K1787" s="834">
        <f t="shared" si="122"/>
        <v>1097363</v>
      </c>
      <c r="L1787" s="835" t="s">
        <v>162</v>
      </c>
      <c r="M1787" s="835" t="s">
        <v>417</v>
      </c>
      <c r="N1787" s="51" t="str">
        <f>IF(AND('331-CT'!$E$7=TH!H1787,OR(L1787="331",M1787="331")),"331",IF(AND(OR(L1787="131",M1787="131"),H1787='131-CT'!$E$7),"131",""))</f>
        <v/>
      </c>
      <c r="O1787" s="51" t="str">
        <f>IF(AND($B1787&gt;='111'!$N$11,$B1787&lt;='111'!$O$11,OR($L1787=$O$7,$M1787=$O$7)),"x","")</f>
        <v/>
      </c>
      <c r="P1787" s="51" t="str">
        <f>IF(AND($L1787=$O$7,$B1787&lt;'111'!$N$11),"x","")</f>
        <v/>
      </c>
      <c r="Q1787" s="51" t="str">
        <f>IF(AND($M1787=$O$7,$B1787&lt;'111'!$N$11),"x","")</f>
        <v/>
      </c>
      <c r="R1787" s="51" t="str">
        <f>IF(ISERROR(FIND('112'!$M$9,G1787,1)),"",IF((AND(FIND('112'!$M$9,G1787,1)&gt;=1,$B1787&gt;='112'!$N$8,$B1787&lt;='112'!$O$8,OR($L1787='112'!$I$6,$M1787='112'!$I$6))),"x",""))</f>
        <v/>
      </c>
      <c r="S1787" s="51" t="str">
        <f>IF(ISERROR(FIND('112'!$M$9,G1787,1)),"",IF((AND(LEFT(G1787,2)=LEFT('112'!$M$9,2),B1787&lt;'112'!$N$8,$L1787='112'!$I$6)),"x",""))</f>
        <v/>
      </c>
      <c r="T1787" s="51" t="str">
        <f>IF(ISERROR(FIND('112'!$M$9,G1787,1)),"",IF((AND(RIGHT(G1787,2)=RIGHT('112'!$M$9,2),B1787&lt;'112'!$N$8,$M1787='112'!$I$6)),"x",""))</f>
        <v/>
      </c>
      <c r="U1787" s="51" t="str">
        <f>IF(AND(L1787="154",'154'!$O$5&lt;=B1787,'154'!$P$5&gt;=B1787),"154",IF(AND(L1787="632",'632'!$L$5&lt;=B1787,'632'!$M$5&gt;=B1787),"632",IF(AND(L1787="642",'642'!$N$5&lt;=B1787,'642'!$O$5&gt;=B1787),"642",IF(AND(L1787="641",'641'!$N$5&lt;=B1787,'641'!$O$5&gt;=B1787),"641",""))))</f>
        <v/>
      </c>
      <c r="V1787" s="51" t="str">
        <f>IF(OR(TH!L1787=TH!$V$7,M1787=TH!$V$7),"x","")</f>
        <v/>
      </c>
      <c r="W1787" s="51" t="str">
        <f>IF(AND(B1787&gt;='IN-NX'!$P$3,B1787&lt;='IN-NX'!$Q$3,'IN-NX'!$D$7=D1787,OR(LEFT(L1787,2)="15",AND(LEFT(M1787,2)&lt;&gt;"15",LEFT(M1787,2)&lt;&gt;"33"))),"x","")</f>
        <v/>
      </c>
      <c r="X1787" s="51" t="str">
        <f>IF(AND(OR(LEFT(TH!L1787,2)="15",LEFT(TH!M1787,2)="15"),'152-CT'!$J$8=TH!F1787),"x","")</f>
        <v/>
      </c>
      <c r="Y1787" s="51" t="str">
        <f>IF(AND(OR(LEFT(TH!L1787,2)="15",LEFT(TH!M1787,2)="15"),TK!$E$7=TH!F1787),"x","")</f>
        <v/>
      </c>
      <c r="Z1787" s="51" t="str">
        <f>IF(AND(B1787&lt;=NKC!$N$8,B1787&gt;=NKC!$M$8),"x","")</f>
        <v/>
      </c>
      <c r="AA1787" s="803"/>
    </row>
    <row r="1788" spans="1:27" ht="15.75" customHeight="1">
      <c r="A1788" s="804" t="str">
        <f>IF(B1788&lt;&gt;"",IF(AND(B1788&gt;=_TM1,B1788&lt;=_TM2,OR(TH!L1788="1111",TH!M1788="1111")),TH!D1788,""),"")</f>
        <v/>
      </c>
      <c r="B1788" s="36">
        <f t="shared" si="123"/>
        <v>11</v>
      </c>
      <c r="C1788" s="189">
        <f t="shared" si="118"/>
        <v>42314</v>
      </c>
      <c r="D1788" s="830" t="s">
        <v>1285</v>
      </c>
      <c r="E1788" s="898">
        <v>42314</v>
      </c>
      <c r="F1788" s="843" t="s">
        <v>1248</v>
      </c>
      <c r="G1788" s="900" t="s">
        <v>1086</v>
      </c>
      <c r="H1788" s="833" t="s">
        <v>1259</v>
      </c>
      <c r="I1788" s="899">
        <v>35</v>
      </c>
      <c r="J1788" s="899">
        <v>34791.412429378535</v>
      </c>
      <c r="K1788" s="834">
        <f t="shared" si="122"/>
        <v>1217699</v>
      </c>
      <c r="L1788" s="835" t="s">
        <v>162</v>
      </c>
      <c r="M1788" s="835" t="s">
        <v>417</v>
      </c>
      <c r="N1788" s="51" t="str">
        <f>IF(AND('331-CT'!$E$7=TH!H1788,OR(L1788="331",M1788="331")),"331",IF(AND(OR(L1788="131",M1788="131"),H1788='131-CT'!$E$7),"131",""))</f>
        <v/>
      </c>
      <c r="O1788" s="51" t="str">
        <f>IF(AND($B1788&gt;='111'!$N$11,$B1788&lt;='111'!$O$11,OR($L1788=$O$7,$M1788=$O$7)),"x","")</f>
        <v/>
      </c>
      <c r="P1788" s="51" t="str">
        <f>IF(AND($L1788=$O$7,$B1788&lt;'111'!$N$11),"x","")</f>
        <v/>
      </c>
      <c r="Q1788" s="51" t="str">
        <f>IF(AND($M1788=$O$7,$B1788&lt;'111'!$N$11),"x","")</f>
        <v/>
      </c>
      <c r="R1788" s="51" t="str">
        <f>IF(ISERROR(FIND('112'!$M$9,G1788,1)),"",IF((AND(FIND('112'!$M$9,G1788,1)&gt;=1,$B1788&gt;='112'!$N$8,$B1788&lt;='112'!$O$8,OR($L1788='112'!$I$6,$M1788='112'!$I$6))),"x",""))</f>
        <v/>
      </c>
      <c r="S1788" s="51" t="str">
        <f>IF(ISERROR(FIND('112'!$M$9,G1788,1)),"",IF((AND(LEFT(G1788,2)=LEFT('112'!$M$9,2),B1788&lt;'112'!$N$8,$L1788='112'!$I$6)),"x",""))</f>
        <v/>
      </c>
      <c r="T1788" s="51" t="str">
        <f>IF(ISERROR(FIND('112'!$M$9,G1788,1)),"",IF((AND(RIGHT(G1788,2)=RIGHT('112'!$M$9,2),B1788&lt;'112'!$N$8,$M1788='112'!$I$6)),"x",""))</f>
        <v/>
      </c>
      <c r="U1788" s="51" t="str">
        <f>IF(AND(L1788="154",'154'!$O$5&lt;=B1788,'154'!$P$5&gt;=B1788),"154",IF(AND(L1788="632",'632'!$L$5&lt;=B1788,'632'!$M$5&gt;=B1788),"632",IF(AND(L1788="642",'642'!$N$5&lt;=B1788,'642'!$O$5&gt;=B1788),"642",IF(AND(L1788="641",'641'!$N$5&lt;=B1788,'641'!$O$5&gt;=B1788),"641",""))))</f>
        <v/>
      </c>
      <c r="V1788" s="51" t="str">
        <f>IF(OR(TH!L1788=TH!$V$7,M1788=TH!$V$7),"x","")</f>
        <v/>
      </c>
      <c r="W1788" s="51" t="str">
        <f>IF(AND(B1788&gt;='IN-NX'!$P$3,B1788&lt;='IN-NX'!$Q$3,'IN-NX'!$D$7=D1788,OR(LEFT(L1788,2)="15",AND(LEFT(M1788,2)&lt;&gt;"15",LEFT(M1788,2)&lt;&gt;"33"))),"x","")</f>
        <v/>
      </c>
      <c r="X1788" s="51" t="str">
        <f>IF(AND(OR(LEFT(TH!L1788,2)="15",LEFT(TH!M1788,2)="15"),'152-CT'!$J$8=TH!F1788),"x","")</f>
        <v/>
      </c>
      <c r="Y1788" s="51" t="str">
        <f>IF(AND(OR(LEFT(TH!L1788,2)="15",LEFT(TH!M1788,2)="15"),TK!$E$7=TH!F1788),"x","")</f>
        <v/>
      </c>
      <c r="Z1788" s="51" t="str">
        <f>IF(AND(B1788&lt;=NKC!$N$8,B1788&gt;=NKC!$M$8),"x","")</f>
        <v/>
      </c>
      <c r="AA1788" s="803"/>
    </row>
    <row r="1789" spans="1:27" ht="15.75" customHeight="1">
      <c r="A1789" s="804" t="str">
        <f>IF(B1789&lt;&gt;"",IF(AND(B1789&gt;=_TM1,B1789&lt;=_TM2,OR(TH!L1789="1111",TH!M1789="1111")),TH!D1789,""),"")</f>
        <v/>
      </c>
      <c r="B1789" s="36">
        <f t="shared" si="123"/>
        <v>11</v>
      </c>
      <c r="C1789" s="189">
        <f t="shared" si="118"/>
        <v>42314</v>
      </c>
      <c r="D1789" s="830" t="s">
        <v>1285</v>
      </c>
      <c r="E1789" s="898">
        <v>42314</v>
      </c>
      <c r="F1789" s="843" t="s">
        <v>1249</v>
      </c>
      <c r="G1789" s="900" t="s">
        <v>1086</v>
      </c>
      <c r="H1789" s="833" t="s">
        <v>1259</v>
      </c>
      <c r="I1789" s="899">
        <v>70</v>
      </c>
      <c r="J1789" s="899">
        <v>10989.498143664245</v>
      </c>
      <c r="K1789" s="834">
        <f t="shared" si="122"/>
        <v>769265</v>
      </c>
      <c r="L1789" s="835" t="s">
        <v>162</v>
      </c>
      <c r="M1789" s="835" t="s">
        <v>417</v>
      </c>
      <c r="N1789" s="51" t="str">
        <f>IF(AND('331-CT'!$E$7=TH!H1789,OR(L1789="331",M1789="331")),"331",IF(AND(OR(L1789="131",M1789="131"),H1789='131-CT'!$E$7),"131",""))</f>
        <v/>
      </c>
      <c r="O1789" s="51" t="str">
        <f>IF(AND($B1789&gt;='111'!$N$11,$B1789&lt;='111'!$O$11,OR($L1789=$O$7,$M1789=$O$7)),"x","")</f>
        <v/>
      </c>
      <c r="P1789" s="51" t="str">
        <f>IF(AND($L1789=$O$7,$B1789&lt;'111'!$N$11),"x","")</f>
        <v/>
      </c>
      <c r="Q1789" s="51" t="str">
        <f>IF(AND($M1789=$O$7,$B1789&lt;'111'!$N$11),"x","")</f>
        <v/>
      </c>
      <c r="R1789" s="51" t="str">
        <f>IF(ISERROR(FIND('112'!$M$9,G1789,1)),"",IF((AND(FIND('112'!$M$9,G1789,1)&gt;=1,$B1789&gt;='112'!$N$8,$B1789&lt;='112'!$O$8,OR($L1789='112'!$I$6,$M1789='112'!$I$6))),"x",""))</f>
        <v/>
      </c>
      <c r="S1789" s="51" t="str">
        <f>IF(ISERROR(FIND('112'!$M$9,G1789,1)),"",IF((AND(LEFT(G1789,2)=LEFT('112'!$M$9,2),B1789&lt;'112'!$N$8,$L1789='112'!$I$6)),"x",""))</f>
        <v/>
      </c>
      <c r="T1789" s="51" t="str">
        <f>IF(ISERROR(FIND('112'!$M$9,G1789,1)),"",IF((AND(RIGHT(G1789,2)=RIGHT('112'!$M$9,2),B1789&lt;'112'!$N$8,$M1789='112'!$I$6)),"x",""))</f>
        <v/>
      </c>
      <c r="U1789" s="51" t="str">
        <f>IF(AND(L1789="154",'154'!$O$5&lt;=B1789,'154'!$P$5&gt;=B1789),"154",IF(AND(L1789="632",'632'!$L$5&lt;=B1789,'632'!$M$5&gt;=B1789),"632",IF(AND(L1789="642",'642'!$N$5&lt;=B1789,'642'!$O$5&gt;=B1789),"642",IF(AND(L1789="641",'641'!$N$5&lt;=B1789,'641'!$O$5&gt;=B1789),"641",""))))</f>
        <v/>
      </c>
      <c r="V1789" s="51" t="str">
        <f>IF(OR(TH!L1789=TH!$V$7,M1789=TH!$V$7),"x","")</f>
        <v/>
      </c>
      <c r="W1789" s="51" t="str">
        <f>IF(AND(B1789&gt;='IN-NX'!$P$3,B1789&lt;='IN-NX'!$Q$3,'IN-NX'!$D$7=D1789,OR(LEFT(L1789,2)="15",AND(LEFT(M1789,2)&lt;&gt;"15",LEFT(M1789,2)&lt;&gt;"33"))),"x","")</f>
        <v/>
      </c>
      <c r="X1789" s="51" t="str">
        <f>IF(AND(OR(LEFT(TH!L1789,2)="15",LEFT(TH!M1789,2)="15"),'152-CT'!$J$8=TH!F1789),"x","")</f>
        <v/>
      </c>
      <c r="Y1789" s="51" t="str">
        <f>IF(AND(OR(LEFT(TH!L1789,2)="15",LEFT(TH!M1789,2)="15"),TK!$E$7=TH!F1789),"x","")</f>
        <v/>
      </c>
      <c r="Z1789" s="51" t="str">
        <f>IF(AND(B1789&lt;=NKC!$N$8,B1789&gt;=NKC!$M$8),"x","")</f>
        <v/>
      </c>
      <c r="AA1789" s="803"/>
    </row>
    <row r="1790" spans="1:27" ht="15.75" customHeight="1">
      <c r="A1790" s="804" t="str">
        <f>IF(B1790&lt;&gt;"",IF(AND(B1790&gt;=_TM1,B1790&lt;=_TM2,OR(TH!L1790="1111",TH!M1790="1111")),TH!D1790,""),"")</f>
        <v/>
      </c>
      <c r="B1790" s="36">
        <f t="shared" si="123"/>
        <v>11</v>
      </c>
      <c r="C1790" s="189">
        <f t="shared" si="118"/>
        <v>42314</v>
      </c>
      <c r="D1790" s="830" t="s">
        <v>1285</v>
      </c>
      <c r="E1790" s="898">
        <v>42314</v>
      </c>
      <c r="F1790" s="843" t="s">
        <v>1250</v>
      </c>
      <c r="G1790" s="832" t="s">
        <v>1086</v>
      </c>
      <c r="H1790" s="833" t="s">
        <v>1259</v>
      </c>
      <c r="I1790" s="899">
        <v>70</v>
      </c>
      <c r="J1790" s="899">
        <v>9790.6981436642454</v>
      </c>
      <c r="K1790" s="834">
        <f t="shared" si="122"/>
        <v>685349</v>
      </c>
      <c r="L1790" s="835" t="s">
        <v>162</v>
      </c>
      <c r="M1790" s="835" t="s">
        <v>417</v>
      </c>
      <c r="N1790" s="51" t="str">
        <f>IF(AND('331-CT'!$E$7=TH!H1790,OR(L1790="331",M1790="331")),"331",IF(AND(OR(L1790="131",M1790="131"),H1790='131-CT'!$E$7),"131",""))</f>
        <v/>
      </c>
      <c r="O1790" s="51" t="str">
        <f>IF(AND($B1790&gt;='111'!$N$11,$B1790&lt;='111'!$O$11,OR($L1790=$O$7,$M1790=$O$7)),"x","")</f>
        <v/>
      </c>
      <c r="P1790" s="51" t="str">
        <f>IF(AND($L1790=$O$7,$B1790&lt;'111'!$N$11),"x","")</f>
        <v/>
      </c>
      <c r="Q1790" s="51" t="str">
        <f>IF(AND($M1790=$O$7,$B1790&lt;'111'!$N$11),"x","")</f>
        <v/>
      </c>
      <c r="R1790" s="51" t="str">
        <f>IF(ISERROR(FIND('112'!$M$9,G1790,1)),"",IF((AND(FIND('112'!$M$9,G1790,1)&gt;=1,$B1790&gt;='112'!$N$8,$B1790&lt;='112'!$O$8,OR($L1790='112'!$I$6,$M1790='112'!$I$6))),"x",""))</f>
        <v/>
      </c>
      <c r="S1790" s="51" t="str">
        <f>IF(ISERROR(FIND('112'!$M$9,G1790,1)),"",IF((AND(LEFT(G1790,2)=LEFT('112'!$M$9,2),B1790&lt;'112'!$N$8,$L1790='112'!$I$6)),"x",""))</f>
        <v/>
      </c>
      <c r="T1790" s="51" t="str">
        <f>IF(ISERROR(FIND('112'!$M$9,G1790,1)),"",IF((AND(RIGHT(G1790,2)=RIGHT('112'!$M$9,2),B1790&lt;'112'!$N$8,$M1790='112'!$I$6)),"x",""))</f>
        <v/>
      </c>
      <c r="U1790" s="51" t="str">
        <f>IF(AND(L1790="154",'154'!$O$5&lt;=B1790,'154'!$P$5&gt;=B1790),"154",IF(AND(L1790="632",'632'!$L$5&lt;=B1790,'632'!$M$5&gt;=B1790),"632",IF(AND(L1790="642",'642'!$N$5&lt;=B1790,'642'!$O$5&gt;=B1790),"642",IF(AND(L1790="641",'641'!$N$5&lt;=B1790,'641'!$O$5&gt;=B1790),"641",""))))</f>
        <v/>
      </c>
      <c r="V1790" s="51" t="str">
        <f>IF(OR(TH!L1790=TH!$V$7,M1790=TH!$V$7),"x","")</f>
        <v/>
      </c>
      <c r="W1790" s="51" t="str">
        <f>IF(AND(B1790&gt;='IN-NX'!$P$3,B1790&lt;='IN-NX'!$Q$3,'IN-NX'!$D$7=D1790,OR(LEFT(L1790,2)="15",AND(LEFT(M1790,2)&lt;&gt;"15",LEFT(M1790,2)&lt;&gt;"33"))),"x","")</f>
        <v/>
      </c>
      <c r="X1790" s="51" t="str">
        <f>IF(AND(OR(LEFT(TH!L1790,2)="15",LEFT(TH!M1790,2)="15"),'152-CT'!$J$8=TH!F1790),"x","")</f>
        <v/>
      </c>
      <c r="Y1790" s="51" t="str">
        <f>IF(AND(OR(LEFT(TH!L1790,2)="15",LEFT(TH!M1790,2)="15"),TK!$E$7=TH!F1790),"x","")</f>
        <v/>
      </c>
      <c r="Z1790" s="51" t="str">
        <f>IF(AND(B1790&lt;=NKC!$N$8,B1790&gt;=NKC!$M$8),"x","")</f>
        <v/>
      </c>
      <c r="AA1790" s="803"/>
    </row>
    <row r="1791" spans="1:27" ht="15.75" customHeight="1">
      <c r="A1791" s="804" t="str">
        <f>IF(B1791&lt;&gt;"",IF(AND(B1791&gt;=_TM1,B1791&lt;=_TM2,OR(TH!L1791="1111",TH!M1791="1111")),TH!D1791,""),"")</f>
        <v/>
      </c>
      <c r="B1791" s="36">
        <f t="shared" si="123"/>
        <v>11</v>
      </c>
      <c r="C1791" s="189">
        <f t="shared" si="118"/>
        <v>42314</v>
      </c>
      <c r="D1791" s="830" t="s">
        <v>1285</v>
      </c>
      <c r="E1791" s="898">
        <v>42314</v>
      </c>
      <c r="F1791" s="843" t="s">
        <v>1251</v>
      </c>
      <c r="G1791" s="810" t="s">
        <v>1086</v>
      </c>
      <c r="H1791" s="833" t="s">
        <v>1259</v>
      </c>
      <c r="I1791" s="899">
        <v>54</v>
      </c>
      <c r="J1791" s="899">
        <v>30397.698143664249</v>
      </c>
      <c r="K1791" s="834">
        <f t="shared" si="122"/>
        <v>1641476</v>
      </c>
      <c r="L1791" s="835" t="s">
        <v>162</v>
      </c>
      <c r="M1791" s="835" t="s">
        <v>417</v>
      </c>
      <c r="N1791" s="51" t="str">
        <f>IF(AND('331-CT'!$E$7=TH!H1791,OR(L1791="331",M1791="331")),"331",IF(AND(OR(L1791="131",M1791="131"),H1791='131-CT'!$E$7),"131",""))</f>
        <v/>
      </c>
      <c r="O1791" s="51" t="str">
        <f>IF(AND($B1791&gt;='111'!$N$11,$B1791&lt;='111'!$O$11,OR($L1791=$O$7,$M1791=$O$7)),"x","")</f>
        <v/>
      </c>
      <c r="P1791" s="51" t="str">
        <f>IF(AND($L1791=$O$7,$B1791&lt;'111'!$N$11),"x","")</f>
        <v/>
      </c>
      <c r="Q1791" s="51" t="str">
        <f>IF(AND($M1791=$O$7,$B1791&lt;'111'!$N$11),"x","")</f>
        <v/>
      </c>
      <c r="R1791" s="51" t="str">
        <f>IF(ISERROR(FIND('112'!$M$9,G1791,1)),"",IF((AND(FIND('112'!$M$9,G1791,1)&gt;=1,$B1791&gt;='112'!$N$8,$B1791&lt;='112'!$O$8,OR($L1791='112'!$I$6,$M1791='112'!$I$6))),"x",""))</f>
        <v/>
      </c>
      <c r="S1791" s="51" t="str">
        <f>IF(ISERROR(FIND('112'!$M$9,G1791,1)),"",IF((AND(LEFT(G1791,2)=LEFT('112'!$M$9,2),B1791&lt;'112'!$N$8,$L1791='112'!$I$6)),"x",""))</f>
        <v/>
      </c>
      <c r="T1791" s="51" t="str">
        <f>IF(ISERROR(FIND('112'!$M$9,G1791,1)),"",IF((AND(RIGHT(G1791,2)=RIGHT('112'!$M$9,2),B1791&lt;'112'!$N$8,$M1791='112'!$I$6)),"x",""))</f>
        <v/>
      </c>
      <c r="U1791" s="51" t="str">
        <f>IF(AND(L1791="154",'154'!$O$5&lt;=B1791,'154'!$P$5&gt;=B1791),"154",IF(AND(L1791="632",'632'!$L$5&lt;=B1791,'632'!$M$5&gt;=B1791),"632",IF(AND(L1791="642",'642'!$N$5&lt;=B1791,'642'!$O$5&gt;=B1791),"642",IF(AND(L1791="641",'641'!$N$5&lt;=B1791,'641'!$O$5&gt;=B1791),"641",""))))</f>
        <v/>
      </c>
      <c r="V1791" s="51" t="str">
        <f>IF(OR(TH!L1791=TH!$V$7,M1791=TH!$V$7),"x","")</f>
        <v/>
      </c>
      <c r="W1791" s="51" t="str">
        <f>IF(AND(B1791&gt;='IN-NX'!$P$3,B1791&lt;='IN-NX'!$Q$3,'IN-NX'!$D$7=D1791,OR(LEFT(L1791,2)="15",AND(LEFT(M1791,2)&lt;&gt;"15",LEFT(M1791,2)&lt;&gt;"33"))),"x","")</f>
        <v/>
      </c>
      <c r="X1791" s="51" t="str">
        <f>IF(AND(OR(LEFT(TH!L1791,2)="15",LEFT(TH!M1791,2)="15"),'152-CT'!$J$8=TH!F1791),"x","")</f>
        <v/>
      </c>
      <c r="Y1791" s="51" t="str">
        <f>IF(AND(OR(LEFT(TH!L1791,2)="15",LEFT(TH!M1791,2)="15"),TK!$E$7=TH!F1791),"x","")</f>
        <v/>
      </c>
      <c r="Z1791" s="51" t="str">
        <f>IF(AND(B1791&lt;=NKC!$N$8,B1791&gt;=NKC!$M$8),"x","")</f>
        <v/>
      </c>
      <c r="AA1791" s="803"/>
    </row>
    <row r="1792" spans="1:27" ht="15.75" customHeight="1">
      <c r="A1792" s="804" t="str">
        <f>IF(B1792&lt;&gt;"",IF(AND(B1792&gt;=_TM1,B1792&lt;=_TM2,OR(TH!L1792="1111",TH!M1792="1111")),TH!D1792,""),"")</f>
        <v/>
      </c>
      <c r="B1792" s="36">
        <f t="shared" si="123"/>
        <v>11</v>
      </c>
      <c r="C1792" s="189">
        <f t="shared" si="118"/>
        <v>42314</v>
      </c>
      <c r="D1792" s="830" t="s">
        <v>1285</v>
      </c>
      <c r="E1792" s="898">
        <v>42314</v>
      </c>
      <c r="F1792" s="843" t="s">
        <v>1252</v>
      </c>
      <c r="G1792" s="832" t="s">
        <v>1086</v>
      </c>
      <c r="H1792" s="833" t="s">
        <v>1259</v>
      </c>
      <c r="I1792" s="899">
        <v>54</v>
      </c>
      <c r="J1792" s="899">
        <v>26971.698143664249</v>
      </c>
      <c r="K1792" s="834">
        <f t="shared" si="122"/>
        <v>1456472</v>
      </c>
      <c r="L1792" s="835" t="s">
        <v>162</v>
      </c>
      <c r="M1792" s="835" t="s">
        <v>417</v>
      </c>
      <c r="N1792" s="51" t="str">
        <f>IF(AND('331-CT'!$E$7=TH!H1792,OR(L1792="331",M1792="331")),"331",IF(AND(OR(L1792="131",M1792="131"),H1792='131-CT'!$E$7),"131",""))</f>
        <v/>
      </c>
      <c r="O1792" s="51" t="str">
        <f>IF(AND($B1792&gt;='111'!$N$11,$B1792&lt;='111'!$O$11,OR($L1792=$O$7,$M1792=$O$7)),"x","")</f>
        <v/>
      </c>
      <c r="P1792" s="51" t="str">
        <f>IF(AND($L1792=$O$7,$B1792&lt;'111'!$N$11),"x","")</f>
        <v/>
      </c>
      <c r="Q1792" s="51" t="str">
        <f>IF(AND($M1792=$O$7,$B1792&lt;'111'!$N$11),"x","")</f>
        <v/>
      </c>
      <c r="R1792" s="51" t="str">
        <f>IF(ISERROR(FIND('112'!$M$9,G1792,1)),"",IF((AND(FIND('112'!$M$9,G1792,1)&gt;=1,$B1792&gt;='112'!$N$8,$B1792&lt;='112'!$O$8,OR($L1792='112'!$I$6,$M1792='112'!$I$6))),"x",""))</f>
        <v/>
      </c>
      <c r="S1792" s="51" t="str">
        <f>IF(ISERROR(FIND('112'!$M$9,G1792,1)),"",IF((AND(LEFT(G1792,2)=LEFT('112'!$M$9,2),B1792&lt;'112'!$N$8,$L1792='112'!$I$6)),"x",""))</f>
        <v/>
      </c>
      <c r="T1792" s="51" t="str">
        <f>IF(ISERROR(FIND('112'!$M$9,G1792,1)),"",IF((AND(RIGHT(G1792,2)=RIGHT('112'!$M$9,2),B1792&lt;'112'!$N$8,$M1792='112'!$I$6)),"x",""))</f>
        <v/>
      </c>
      <c r="U1792" s="51" t="str">
        <f>IF(AND(L1792="154",'154'!$O$5&lt;=B1792,'154'!$P$5&gt;=B1792),"154",IF(AND(L1792="632",'632'!$L$5&lt;=B1792,'632'!$M$5&gt;=B1792),"632",IF(AND(L1792="642",'642'!$N$5&lt;=B1792,'642'!$O$5&gt;=B1792),"642",IF(AND(L1792="641",'641'!$N$5&lt;=B1792,'641'!$O$5&gt;=B1792),"641",""))))</f>
        <v/>
      </c>
      <c r="V1792" s="51" t="str">
        <f>IF(OR(TH!L1792=TH!$V$7,M1792=TH!$V$7),"x","")</f>
        <v/>
      </c>
      <c r="W1792" s="51" t="str">
        <f>IF(AND(B1792&gt;='IN-NX'!$P$3,B1792&lt;='IN-NX'!$Q$3,'IN-NX'!$D$7=D1792,OR(LEFT(L1792,2)="15",AND(LEFT(M1792,2)&lt;&gt;"15",LEFT(M1792,2)&lt;&gt;"33"))),"x","")</f>
        <v/>
      </c>
      <c r="X1792" s="51" t="str">
        <f>IF(AND(OR(LEFT(TH!L1792,2)="15",LEFT(TH!M1792,2)="15"),'152-CT'!$J$8=TH!F1792),"x","")</f>
        <v/>
      </c>
      <c r="Y1792" s="51" t="str">
        <f>IF(AND(OR(LEFT(TH!L1792,2)="15",LEFT(TH!M1792,2)="15"),TK!$E$7=TH!F1792),"x","")</f>
        <v/>
      </c>
      <c r="Z1792" s="51" t="str">
        <f>IF(AND(B1792&lt;=NKC!$N$8,B1792&gt;=NKC!$M$8),"x","")</f>
        <v/>
      </c>
      <c r="AA1792" s="803"/>
    </row>
    <row r="1793" spans="1:27" ht="15.75" customHeight="1">
      <c r="A1793" s="804" t="str">
        <f>IF(B1793&lt;&gt;"",IF(AND(B1793&gt;=_TM1,B1793&lt;=_TM2,OR(TH!L1793="1111",TH!M1793="1111")),TH!D1793,""),"")</f>
        <v/>
      </c>
      <c r="B1793" s="36">
        <f t="shared" si="123"/>
        <v>11</v>
      </c>
      <c r="C1793" s="189">
        <f t="shared" si="118"/>
        <v>42314</v>
      </c>
      <c r="D1793" s="830" t="s">
        <v>1285</v>
      </c>
      <c r="E1793" s="898">
        <v>42314</v>
      </c>
      <c r="F1793" s="843" t="s">
        <v>1253</v>
      </c>
      <c r="G1793" s="832" t="s">
        <v>1086</v>
      </c>
      <c r="H1793" s="833" t="s">
        <v>1259</v>
      </c>
      <c r="I1793" s="899">
        <v>80</v>
      </c>
      <c r="J1793" s="899">
        <v>10476.948143664245</v>
      </c>
      <c r="K1793" s="834">
        <f t="shared" si="122"/>
        <v>838156</v>
      </c>
      <c r="L1793" s="835" t="s">
        <v>162</v>
      </c>
      <c r="M1793" s="835" t="s">
        <v>417</v>
      </c>
      <c r="N1793" s="51" t="str">
        <f>IF(AND('331-CT'!$E$7=TH!H1793,OR(L1793="331",M1793="331")),"331",IF(AND(OR(L1793="131",M1793="131"),H1793='131-CT'!$E$7),"131",""))</f>
        <v/>
      </c>
      <c r="O1793" s="51" t="str">
        <f>IF(AND($B1793&gt;='111'!$N$11,$B1793&lt;='111'!$O$11,OR($L1793=$O$7,$M1793=$O$7)),"x","")</f>
        <v/>
      </c>
      <c r="P1793" s="51" t="str">
        <f>IF(AND($L1793=$O$7,$B1793&lt;'111'!$N$11),"x","")</f>
        <v/>
      </c>
      <c r="Q1793" s="51" t="str">
        <f>IF(AND($M1793=$O$7,$B1793&lt;'111'!$N$11),"x","")</f>
        <v/>
      </c>
      <c r="R1793" s="51" t="str">
        <f>IF(ISERROR(FIND('112'!$M$9,G1793,1)),"",IF((AND(FIND('112'!$M$9,G1793,1)&gt;=1,$B1793&gt;='112'!$N$8,$B1793&lt;='112'!$O$8,OR($L1793='112'!$I$6,$M1793='112'!$I$6))),"x",""))</f>
        <v/>
      </c>
      <c r="S1793" s="51" t="str">
        <f>IF(ISERROR(FIND('112'!$M$9,G1793,1)),"",IF((AND(LEFT(G1793,2)=LEFT('112'!$M$9,2),B1793&lt;'112'!$N$8,$L1793='112'!$I$6)),"x",""))</f>
        <v/>
      </c>
      <c r="T1793" s="51" t="str">
        <f>IF(ISERROR(FIND('112'!$M$9,G1793,1)),"",IF((AND(RIGHT(G1793,2)=RIGHT('112'!$M$9,2),B1793&lt;'112'!$N$8,$M1793='112'!$I$6)),"x",""))</f>
        <v/>
      </c>
      <c r="U1793" s="51" t="str">
        <f>IF(AND(L1793="154",'154'!$O$5&lt;=B1793,'154'!$P$5&gt;=B1793),"154",IF(AND(L1793="632",'632'!$L$5&lt;=B1793,'632'!$M$5&gt;=B1793),"632",IF(AND(L1793="642",'642'!$N$5&lt;=B1793,'642'!$O$5&gt;=B1793),"642",IF(AND(L1793="641",'641'!$N$5&lt;=B1793,'641'!$O$5&gt;=B1793),"641",""))))</f>
        <v/>
      </c>
      <c r="V1793" s="51" t="str">
        <f>IF(OR(TH!L1793=TH!$V$7,M1793=TH!$V$7),"x","")</f>
        <v/>
      </c>
      <c r="W1793" s="51" t="str">
        <f>IF(AND(B1793&gt;='IN-NX'!$P$3,B1793&lt;='IN-NX'!$Q$3,'IN-NX'!$D$7=D1793,OR(LEFT(L1793,2)="15",AND(LEFT(M1793,2)&lt;&gt;"15",LEFT(M1793,2)&lt;&gt;"33"))),"x","")</f>
        <v/>
      </c>
      <c r="X1793" s="51" t="str">
        <f>IF(AND(OR(LEFT(TH!L1793,2)="15",LEFT(TH!M1793,2)="15"),'152-CT'!$J$8=TH!F1793),"x","")</f>
        <v/>
      </c>
      <c r="Y1793" s="51" t="str">
        <f>IF(AND(OR(LEFT(TH!L1793,2)="15",LEFT(TH!M1793,2)="15"),TK!$E$7=TH!F1793),"x","")</f>
        <v/>
      </c>
      <c r="Z1793" s="51" t="str">
        <f>IF(AND(B1793&lt;=NKC!$N$8,B1793&gt;=NKC!$M$8),"x","")</f>
        <v/>
      </c>
      <c r="AA1793" s="803"/>
    </row>
    <row r="1794" spans="1:27" ht="15.75" customHeight="1">
      <c r="A1794" s="804" t="str">
        <f>IF(B1794&lt;&gt;"",IF(AND(B1794&gt;=_TM1,B1794&lt;=_TM2,OR(TH!L1794="1111",TH!M1794="1111")),TH!D1794,""),"")</f>
        <v/>
      </c>
      <c r="B1794" s="36">
        <f t="shared" si="123"/>
        <v>11</v>
      </c>
      <c r="C1794" s="189">
        <f t="shared" si="118"/>
        <v>42314</v>
      </c>
      <c r="D1794" s="830" t="s">
        <v>1285</v>
      </c>
      <c r="E1794" s="898">
        <v>42314</v>
      </c>
      <c r="F1794" s="843" t="s">
        <v>1239</v>
      </c>
      <c r="G1794" s="832" t="s">
        <v>1087</v>
      </c>
      <c r="H1794" s="833" t="s">
        <v>1259</v>
      </c>
      <c r="I1794" s="899">
        <v>80</v>
      </c>
      <c r="J1794" s="899">
        <v>7101.9481436642454</v>
      </c>
      <c r="K1794" s="834">
        <f t="shared" si="122"/>
        <v>568156</v>
      </c>
      <c r="L1794" s="835" t="s">
        <v>162</v>
      </c>
      <c r="M1794" s="835" t="s">
        <v>417</v>
      </c>
      <c r="N1794" s="51" t="str">
        <f>IF(AND('331-CT'!$E$7=TH!H1794,OR(L1794="331",M1794="331")),"331",IF(AND(OR(L1794="131",M1794="131"),H1794='131-CT'!$E$7),"131",""))</f>
        <v/>
      </c>
      <c r="O1794" s="51" t="str">
        <f>IF(AND($B1794&gt;='111'!$N$11,$B1794&lt;='111'!$O$11,OR($L1794=$O$7,$M1794=$O$7)),"x","")</f>
        <v/>
      </c>
      <c r="P1794" s="51" t="str">
        <f>IF(AND($L1794=$O$7,$B1794&lt;'111'!$N$11),"x","")</f>
        <v/>
      </c>
      <c r="Q1794" s="51" t="str">
        <f>IF(AND($M1794=$O$7,$B1794&lt;'111'!$N$11),"x","")</f>
        <v/>
      </c>
      <c r="R1794" s="51" t="str">
        <f>IF(ISERROR(FIND('112'!$M$9,G1794,1)),"",IF((AND(FIND('112'!$M$9,G1794,1)&gt;=1,$B1794&gt;='112'!$N$8,$B1794&lt;='112'!$O$8,OR($L1794='112'!$I$6,$M1794='112'!$I$6))),"x",""))</f>
        <v/>
      </c>
      <c r="S1794" s="51" t="str">
        <f>IF(ISERROR(FIND('112'!$M$9,G1794,1)),"",IF((AND(LEFT(G1794,2)=LEFT('112'!$M$9,2),B1794&lt;'112'!$N$8,$L1794='112'!$I$6)),"x",""))</f>
        <v/>
      </c>
      <c r="T1794" s="51" t="str">
        <f>IF(ISERROR(FIND('112'!$M$9,G1794,1)),"",IF((AND(RIGHT(G1794,2)=RIGHT('112'!$M$9,2),B1794&lt;'112'!$N$8,$M1794='112'!$I$6)),"x",""))</f>
        <v/>
      </c>
      <c r="U1794" s="51" t="str">
        <f>IF(AND(L1794="154",'154'!$O$5&lt;=B1794,'154'!$P$5&gt;=B1794),"154",IF(AND(L1794="632",'632'!$L$5&lt;=B1794,'632'!$M$5&gt;=B1794),"632",IF(AND(L1794="642",'642'!$N$5&lt;=B1794,'642'!$O$5&gt;=B1794),"642",IF(AND(L1794="641",'641'!$N$5&lt;=B1794,'641'!$O$5&gt;=B1794),"641",""))))</f>
        <v/>
      </c>
      <c r="V1794" s="51" t="str">
        <f>IF(OR(TH!L1794=TH!$V$7,M1794=TH!$V$7),"x","")</f>
        <v/>
      </c>
      <c r="W1794" s="51" t="str">
        <f>IF(AND(B1794&gt;='IN-NX'!$P$3,B1794&lt;='IN-NX'!$Q$3,'IN-NX'!$D$7=D1794,OR(LEFT(L1794,2)="15",AND(LEFT(M1794,2)&lt;&gt;"15",LEFT(M1794,2)&lt;&gt;"33"))),"x","")</f>
        <v/>
      </c>
      <c r="X1794" s="51" t="str">
        <f>IF(AND(OR(LEFT(TH!L1794,2)="15",LEFT(TH!M1794,2)="15"),'152-CT'!$J$8=TH!F1794),"x","")</f>
        <v/>
      </c>
      <c r="Y1794" s="51" t="str">
        <f>IF(AND(OR(LEFT(TH!L1794,2)="15",LEFT(TH!M1794,2)="15"),TK!$E$7=TH!F1794),"x","")</f>
        <v/>
      </c>
      <c r="Z1794" s="51" t="str">
        <f>IF(AND(B1794&lt;=NKC!$N$8,B1794&gt;=NKC!$M$8),"x","")</f>
        <v/>
      </c>
      <c r="AA1794" s="803"/>
    </row>
    <row r="1795" spans="1:27" ht="15.75" customHeight="1">
      <c r="A1795" s="804" t="str">
        <f>IF(B1795&lt;&gt;"",IF(AND(B1795&gt;=_TM1,B1795&lt;=_TM2,OR(TH!L1795="1111",TH!M1795="1111")),TH!D1795,""),"")</f>
        <v/>
      </c>
      <c r="B1795" s="36">
        <f t="shared" si="123"/>
        <v>11</v>
      </c>
      <c r="C1795" s="189">
        <f t="shared" si="118"/>
        <v>42314</v>
      </c>
      <c r="D1795" s="830" t="s">
        <v>1285</v>
      </c>
      <c r="E1795" s="898">
        <v>42314</v>
      </c>
      <c r="F1795" s="843" t="s">
        <v>1240</v>
      </c>
      <c r="G1795" s="832" t="s">
        <v>1087</v>
      </c>
      <c r="H1795" s="833" t="s">
        <v>1259</v>
      </c>
      <c r="I1795" s="899">
        <v>20</v>
      </c>
      <c r="J1795" s="899">
        <v>66481.698143664253</v>
      </c>
      <c r="K1795" s="834">
        <f t="shared" si="122"/>
        <v>1329634</v>
      </c>
      <c r="L1795" s="835" t="s">
        <v>162</v>
      </c>
      <c r="M1795" s="835" t="s">
        <v>417</v>
      </c>
      <c r="N1795" s="51" t="str">
        <f>IF(AND('331-CT'!$E$7=TH!H1795,OR(L1795="331",M1795="331")),"331",IF(AND(OR(L1795="131",M1795="131"),H1795='131-CT'!$E$7),"131",""))</f>
        <v/>
      </c>
      <c r="O1795" s="51" t="str">
        <f>IF(AND($B1795&gt;='111'!$N$11,$B1795&lt;='111'!$O$11,OR($L1795=$O$7,$M1795=$O$7)),"x","")</f>
        <v/>
      </c>
      <c r="P1795" s="51" t="str">
        <f>IF(AND($L1795=$O$7,$B1795&lt;'111'!$N$11),"x","")</f>
        <v/>
      </c>
      <c r="Q1795" s="51" t="str">
        <f>IF(AND($M1795=$O$7,$B1795&lt;'111'!$N$11),"x","")</f>
        <v/>
      </c>
      <c r="R1795" s="51" t="str">
        <f>IF(ISERROR(FIND('112'!$M$9,G1795,1)),"",IF((AND(FIND('112'!$M$9,G1795,1)&gt;=1,$B1795&gt;='112'!$N$8,$B1795&lt;='112'!$O$8,OR($L1795='112'!$I$6,$M1795='112'!$I$6))),"x",""))</f>
        <v/>
      </c>
      <c r="S1795" s="51" t="str">
        <f>IF(ISERROR(FIND('112'!$M$9,G1795,1)),"",IF((AND(LEFT(G1795,2)=LEFT('112'!$M$9,2),B1795&lt;'112'!$N$8,$L1795='112'!$I$6)),"x",""))</f>
        <v/>
      </c>
      <c r="T1795" s="51" t="str">
        <f>IF(ISERROR(FIND('112'!$M$9,G1795,1)),"",IF((AND(RIGHT(G1795,2)=RIGHT('112'!$M$9,2),B1795&lt;'112'!$N$8,$M1795='112'!$I$6)),"x",""))</f>
        <v/>
      </c>
      <c r="U1795" s="51" t="str">
        <f>IF(AND(L1795="154",'154'!$O$5&lt;=B1795,'154'!$P$5&gt;=B1795),"154",IF(AND(L1795="632",'632'!$L$5&lt;=B1795,'632'!$M$5&gt;=B1795),"632",IF(AND(L1795="642",'642'!$N$5&lt;=B1795,'642'!$O$5&gt;=B1795),"642",IF(AND(L1795="641",'641'!$N$5&lt;=B1795,'641'!$O$5&gt;=B1795),"641",""))))</f>
        <v/>
      </c>
      <c r="V1795" s="51" t="str">
        <f>IF(OR(TH!L1795=TH!$V$7,M1795=TH!$V$7),"x","")</f>
        <v/>
      </c>
      <c r="W1795" s="51" t="str">
        <f>IF(AND(B1795&gt;='IN-NX'!$P$3,B1795&lt;='IN-NX'!$Q$3,'IN-NX'!$D$7=D1795,OR(LEFT(L1795,2)="15",AND(LEFT(M1795,2)&lt;&gt;"15",LEFT(M1795,2)&lt;&gt;"33"))),"x","")</f>
        <v/>
      </c>
      <c r="X1795" s="51" t="str">
        <f>IF(AND(OR(LEFT(TH!L1795,2)="15",LEFT(TH!M1795,2)="15"),'152-CT'!$J$8=TH!F1795),"x","")</f>
        <v/>
      </c>
      <c r="Y1795" s="51" t="str">
        <f>IF(AND(OR(LEFT(TH!L1795,2)="15",LEFT(TH!M1795,2)="15"),TK!$E$7=TH!F1795),"x","")</f>
        <v/>
      </c>
      <c r="Z1795" s="51" t="str">
        <f>IF(AND(B1795&lt;=NKC!$N$8,B1795&gt;=NKC!$M$8),"x","")</f>
        <v/>
      </c>
      <c r="AA1795" s="803"/>
    </row>
    <row r="1796" spans="1:27" ht="15.75" customHeight="1">
      <c r="A1796" s="804" t="str">
        <f>IF(B1796&lt;&gt;"",IF(AND(B1796&gt;=_TM1,B1796&lt;=_TM2,OR(TH!L1796="1111",TH!M1796="1111")),TH!D1796,""),"")</f>
        <v/>
      </c>
      <c r="B1796" s="36">
        <f t="shared" si="123"/>
        <v>11</v>
      </c>
      <c r="C1796" s="189">
        <f t="shared" si="118"/>
        <v>42314</v>
      </c>
      <c r="D1796" s="830" t="s">
        <v>1285</v>
      </c>
      <c r="E1796" s="898">
        <v>42314</v>
      </c>
      <c r="F1796" s="843" t="s">
        <v>1241</v>
      </c>
      <c r="G1796" s="832" t="s">
        <v>1087</v>
      </c>
      <c r="H1796" s="833" t="s">
        <v>1259</v>
      </c>
      <c r="I1796" s="899">
        <v>11</v>
      </c>
      <c r="J1796" s="899">
        <v>60171.152689118797</v>
      </c>
      <c r="K1796" s="834">
        <f t="shared" si="122"/>
        <v>661883</v>
      </c>
      <c r="L1796" s="835" t="s">
        <v>162</v>
      </c>
      <c r="M1796" s="835" t="s">
        <v>417</v>
      </c>
      <c r="N1796" s="51" t="str">
        <f>IF(AND('331-CT'!$E$7=TH!H1796,OR(L1796="331",M1796="331")),"331",IF(AND(OR(L1796="131",M1796="131"),H1796='131-CT'!$E$7),"131",""))</f>
        <v/>
      </c>
      <c r="O1796" s="51" t="str">
        <f>IF(AND($B1796&gt;='111'!$N$11,$B1796&lt;='111'!$O$11,OR($L1796=$O$7,$M1796=$O$7)),"x","")</f>
        <v/>
      </c>
      <c r="P1796" s="51" t="str">
        <f>IF(AND($L1796=$O$7,$B1796&lt;'111'!$N$11),"x","")</f>
        <v/>
      </c>
      <c r="Q1796" s="51" t="str">
        <f>IF(AND($M1796=$O$7,$B1796&lt;'111'!$N$11),"x","")</f>
        <v/>
      </c>
      <c r="R1796" s="51" t="str">
        <f>IF(ISERROR(FIND('112'!$M$9,G1796,1)),"",IF((AND(FIND('112'!$M$9,G1796,1)&gt;=1,$B1796&gt;='112'!$N$8,$B1796&lt;='112'!$O$8,OR($L1796='112'!$I$6,$M1796='112'!$I$6))),"x",""))</f>
        <v/>
      </c>
      <c r="S1796" s="51" t="str">
        <f>IF(ISERROR(FIND('112'!$M$9,G1796,1)),"",IF((AND(LEFT(G1796,2)=LEFT('112'!$M$9,2),B1796&lt;'112'!$N$8,$L1796='112'!$I$6)),"x",""))</f>
        <v/>
      </c>
      <c r="T1796" s="51" t="str">
        <f>IF(ISERROR(FIND('112'!$M$9,G1796,1)),"",IF((AND(RIGHT(G1796,2)=RIGHT('112'!$M$9,2),B1796&lt;'112'!$N$8,$M1796='112'!$I$6)),"x",""))</f>
        <v/>
      </c>
      <c r="U1796" s="51" t="str">
        <f>IF(AND(L1796="154",'154'!$O$5&lt;=B1796,'154'!$P$5&gt;=B1796),"154",IF(AND(L1796="632",'632'!$L$5&lt;=B1796,'632'!$M$5&gt;=B1796),"632",IF(AND(L1796="642",'642'!$N$5&lt;=B1796,'642'!$O$5&gt;=B1796),"642",IF(AND(L1796="641",'641'!$N$5&lt;=B1796,'641'!$O$5&gt;=B1796),"641",""))))</f>
        <v/>
      </c>
      <c r="V1796" s="51" t="str">
        <f>IF(OR(TH!L1796=TH!$V$7,M1796=TH!$V$7),"x","")</f>
        <v/>
      </c>
      <c r="W1796" s="51" t="str">
        <f>IF(AND(B1796&gt;='IN-NX'!$P$3,B1796&lt;='IN-NX'!$Q$3,'IN-NX'!$D$7=D1796,OR(LEFT(L1796,2)="15",AND(LEFT(M1796,2)&lt;&gt;"15",LEFT(M1796,2)&lt;&gt;"33"))),"x","")</f>
        <v/>
      </c>
      <c r="X1796" s="51" t="str">
        <f>IF(AND(OR(LEFT(TH!L1796,2)="15",LEFT(TH!M1796,2)="15"),'152-CT'!$J$8=TH!F1796),"x","")</f>
        <v/>
      </c>
      <c r="Y1796" s="51" t="str">
        <f>IF(AND(OR(LEFT(TH!L1796,2)="15",LEFT(TH!M1796,2)="15"),TK!$E$7=TH!F1796),"x","")</f>
        <v/>
      </c>
      <c r="Z1796" s="51" t="str">
        <f>IF(AND(B1796&lt;=NKC!$N$8,B1796&gt;=NKC!$M$8),"x","")</f>
        <v/>
      </c>
      <c r="AA1796" s="803"/>
    </row>
    <row r="1797" spans="1:27" ht="15.75" customHeight="1">
      <c r="A1797" s="804" t="str">
        <f>IF(B1797&lt;&gt;"",IF(AND(B1797&gt;=_TM1,B1797&lt;=_TM2,OR(TH!L1797="1111",TH!M1797="1111")),TH!D1797,""),"")</f>
        <v/>
      </c>
      <c r="B1797" s="36">
        <f t="shared" si="123"/>
        <v>11</v>
      </c>
      <c r="C1797" s="189">
        <f t="shared" si="118"/>
        <v>42314</v>
      </c>
      <c r="D1797" s="830" t="s">
        <v>1285</v>
      </c>
      <c r="E1797" s="898">
        <v>42314</v>
      </c>
      <c r="F1797" s="843" t="s">
        <v>1242</v>
      </c>
      <c r="G1797" s="832" t="s">
        <v>1087</v>
      </c>
      <c r="H1797" s="833" t="s">
        <v>1259</v>
      </c>
      <c r="I1797" s="899">
        <v>3</v>
      </c>
      <c r="J1797" s="899">
        <v>72341.698143664238</v>
      </c>
      <c r="K1797" s="834">
        <f t="shared" si="122"/>
        <v>217025</v>
      </c>
      <c r="L1797" s="835" t="s">
        <v>162</v>
      </c>
      <c r="M1797" s="835" t="s">
        <v>417</v>
      </c>
      <c r="N1797" s="51" t="str">
        <f>IF(AND('331-CT'!$E$7=TH!H1797,OR(L1797="331",M1797="331")),"331",IF(AND(OR(L1797="131",M1797="131"),H1797='131-CT'!$E$7),"131",""))</f>
        <v/>
      </c>
      <c r="O1797" s="51" t="str">
        <f>IF(AND($B1797&gt;='111'!$N$11,$B1797&lt;='111'!$O$11,OR($L1797=$O$7,$M1797=$O$7)),"x","")</f>
        <v/>
      </c>
      <c r="P1797" s="51" t="str">
        <f>IF(AND($L1797=$O$7,$B1797&lt;'111'!$N$11),"x","")</f>
        <v/>
      </c>
      <c r="Q1797" s="51" t="str">
        <f>IF(AND($M1797=$O$7,$B1797&lt;'111'!$N$11),"x","")</f>
        <v/>
      </c>
      <c r="R1797" s="51" t="str">
        <f>IF(ISERROR(FIND('112'!$M$9,G1797,1)),"",IF((AND(FIND('112'!$M$9,G1797,1)&gt;=1,$B1797&gt;='112'!$N$8,$B1797&lt;='112'!$O$8,OR($L1797='112'!$I$6,$M1797='112'!$I$6))),"x",""))</f>
        <v/>
      </c>
      <c r="S1797" s="51" t="str">
        <f>IF(ISERROR(FIND('112'!$M$9,G1797,1)),"",IF((AND(LEFT(G1797,2)=LEFT('112'!$M$9,2),B1797&lt;'112'!$N$8,$L1797='112'!$I$6)),"x",""))</f>
        <v/>
      </c>
      <c r="T1797" s="51" t="str">
        <f>IF(ISERROR(FIND('112'!$M$9,G1797,1)),"",IF((AND(RIGHT(G1797,2)=RIGHT('112'!$M$9,2),B1797&lt;'112'!$N$8,$M1797='112'!$I$6)),"x",""))</f>
        <v/>
      </c>
      <c r="U1797" s="51" t="str">
        <f>IF(AND(L1797="154",'154'!$O$5&lt;=B1797,'154'!$P$5&gt;=B1797),"154",IF(AND(L1797="632",'632'!$L$5&lt;=B1797,'632'!$M$5&gt;=B1797),"632",IF(AND(L1797="642",'642'!$N$5&lt;=B1797,'642'!$O$5&gt;=B1797),"642",IF(AND(L1797="641",'641'!$N$5&lt;=B1797,'641'!$O$5&gt;=B1797),"641",""))))</f>
        <v/>
      </c>
      <c r="V1797" s="51" t="str">
        <f>IF(OR(TH!L1797=TH!$V$7,M1797=TH!$V$7),"x","")</f>
        <v/>
      </c>
      <c r="W1797" s="51" t="str">
        <f>IF(AND(B1797&gt;='IN-NX'!$P$3,B1797&lt;='IN-NX'!$Q$3,'IN-NX'!$D$7=D1797,OR(LEFT(L1797,2)="15",AND(LEFT(M1797,2)&lt;&gt;"15",LEFT(M1797,2)&lt;&gt;"33"))),"x","")</f>
        <v/>
      </c>
      <c r="X1797" s="51" t="str">
        <f>IF(AND(OR(LEFT(TH!L1797,2)="15",LEFT(TH!M1797,2)="15"),'152-CT'!$J$8=TH!F1797),"x","")</f>
        <v/>
      </c>
      <c r="Y1797" s="51" t="str">
        <f>IF(AND(OR(LEFT(TH!L1797,2)="15",LEFT(TH!M1797,2)="15"),TK!$E$7=TH!F1797),"x","")</f>
        <v/>
      </c>
      <c r="Z1797" s="51" t="str">
        <f>IF(AND(B1797&lt;=NKC!$N$8,B1797&gt;=NKC!$M$8),"x","")</f>
        <v/>
      </c>
      <c r="AA1797" s="803"/>
    </row>
    <row r="1798" spans="1:27" ht="15.75" customHeight="1">
      <c r="A1798" s="804" t="str">
        <f>IF(B1798&lt;&gt;"",IF(AND(B1798&gt;=_TM1,B1798&lt;=_TM2,OR(TH!L1798="1111",TH!M1798="1111")),TH!D1798,""),"")</f>
        <v/>
      </c>
      <c r="B1798" s="36">
        <f t="shared" si="123"/>
        <v>11</v>
      </c>
      <c r="C1798" s="189">
        <f t="shared" si="118"/>
        <v>42314</v>
      </c>
      <c r="D1798" s="830" t="s">
        <v>1285</v>
      </c>
      <c r="E1798" s="898">
        <v>42314</v>
      </c>
      <c r="F1798" s="843" t="s">
        <v>1243</v>
      </c>
      <c r="G1798" s="810" t="s">
        <v>1087</v>
      </c>
      <c r="H1798" s="833" t="s">
        <v>1259</v>
      </c>
      <c r="I1798" s="899">
        <v>40</v>
      </c>
      <c r="J1798" s="899">
        <v>75715.698143664253</v>
      </c>
      <c r="K1798" s="834">
        <f t="shared" si="122"/>
        <v>3028628</v>
      </c>
      <c r="L1798" s="835" t="s">
        <v>162</v>
      </c>
      <c r="M1798" s="835" t="s">
        <v>417</v>
      </c>
      <c r="N1798" s="51" t="str">
        <f>IF(AND('331-CT'!$E$7=TH!H1798,OR(L1798="331",M1798="331")),"331",IF(AND(OR(L1798="131",M1798="131"),H1798='131-CT'!$E$7),"131",""))</f>
        <v/>
      </c>
      <c r="O1798" s="51" t="str">
        <f>IF(AND($B1798&gt;='111'!$N$11,$B1798&lt;='111'!$O$11,OR($L1798=$O$7,$M1798=$O$7)),"x","")</f>
        <v/>
      </c>
      <c r="P1798" s="51" t="str">
        <f>IF(AND($L1798=$O$7,$B1798&lt;'111'!$N$11),"x","")</f>
        <v/>
      </c>
      <c r="Q1798" s="51" t="str">
        <f>IF(AND($M1798=$O$7,$B1798&lt;'111'!$N$11),"x","")</f>
        <v/>
      </c>
      <c r="R1798" s="51" t="str">
        <f>IF(ISERROR(FIND('112'!$M$9,G1798,1)),"",IF((AND(FIND('112'!$M$9,G1798,1)&gt;=1,$B1798&gt;='112'!$N$8,$B1798&lt;='112'!$O$8,OR($L1798='112'!$I$6,$M1798='112'!$I$6))),"x",""))</f>
        <v/>
      </c>
      <c r="S1798" s="51" t="str">
        <f>IF(ISERROR(FIND('112'!$M$9,G1798,1)),"",IF((AND(LEFT(G1798,2)=LEFT('112'!$M$9,2),B1798&lt;'112'!$N$8,$L1798='112'!$I$6)),"x",""))</f>
        <v/>
      </c>
      <c r="T1798" s="51" t="str">
        <f>IF(ISERROR(FIND('112'!$M$9,G1798,1)),"",IF((AND(RIGHT(G1798,2)=RIGHT('112'!$M$9,2),B1798&lt;'112'!$N$8,$M1798='112'!$I$6)),"x",""))</f>
        <v/>
      </c>
      <c r="U1798" s="51" t="str">
        <f>IF(AND(L1798="154",'154'!$O$5&lt;=B1798,'154'!$P$5&gt;=B1798),"154",IF(AND(L1798="632",'632'!$L$5&lt;=B1798,'632'!$M$5&gt;=B1798),"632",IF(AND(L1798="642",'642'!$N$5&lt;=B1798,'642'!$O$5&gt;=B1798),"642",IF(AND(L1798="641",'641'!$N$5&lt;=B1798,'641'!$O$5&gt;=B1798),"641",""))))</f>
        <v/>
      </c>
      <c r="V1798" s="51" t="str">
        <f>IF(OR(TH!L1798=TH!$V$7,M1798=TH!$V$7),"x","")</f>
        <v/>
      </c>
      <c r="W1798" s="51" t="str">
        <f>IF(AND(B1798&gt;='IN-NX'!$P$3,B1798&lt;='IN-NX'!$Q$3,'IN-NX'!$D$7=D1798,OR(LEFT(L1798,2)="15",AND(LEFT(M1798,2)&lt;&gt;"15",LEFT(M1798,2)&lt;&gt;"33"))),"x","")</f>
        <v/>
      </c>
      <c r="X1798" s="51" t="str">
        <f>IF(AND(OR(LEFT(TH!L1798,2)="15",LEFT(TH!M1798,2)="15"),'152-CT'!$J$8=TH!F1798),"x","")</f>
        <v/>
      </c>
      <c r="Y1798" s="51" t="str">
        <f>IF(AND(OR(LEFT(TH!L1798,2)="15",LEFT(TH!M1798,2)="15"),TK!$E$7=TH!F1798),"x","")</f>
        <v/>
      </c>
      <c r="Z1798" s="51" t="str">
        <f>IF(AND(B1798&lt;=NKC!$N$8,B1798&gt;=NKC!$M$8),"x","")</f>
        <v/>
      </c>
      <c r="AA1798" s="803"/>
    </row>
    <row r="1799" spans="1:27" ht="15.75" customHeight="1">
      <c r="A1799" s="804" t="str">
        <f>IF(B1799&lt;&gt;"",IF(AND(B1799&gt;=_TM1,B1799&lt;=_TM2,OR(TH!L1799="1111",TH!M1799="1111")),TH!D1799,""),"")</f>
        <v/>
      </c>
      <c r="B1799" s="36">
        <f t="shared" si="123"/>
        <v>11</v>
      </c>
      <c r="C1799" s="189">
        <f t="shared" si="118"/>
        <v>42314</v>
      </c>
      <c r="D1799" s="830" t="s">
        <v>1285</v>
      </c>
      <c r="E1799" s="898">
        <v>42314</v>
      </c>
      <c r="F1799" s="843" t="s">
        <v>1244</v>
      </c>
      <c r="G1799" s="810" t="s">
        <v>1087</v>
      </c>
      <c r="H1799" s="833" t="s">
        <v>1259</v>
      </c>
      <c r="I1799" s="899">
        <v>12</v>
      </c>
      <c r="J1799" s="899">
        <v>52425.698143664245</v>
      </c>
      <c r="K1799" s="834">
        <f t="shared" si="122"/>
        <v>629108</v>
      </c>
      <c r="L1799" s="835" t="s">
        <v>162</v>
      </c>
      <c r="M1799" s="835" t="s">
        <v>417</v>
      </c>
      <c r="N1799" s="51" t="str">
        <f>IF(AND('331-CT'!$E$7=TH!H1799,OR(L1799="331",M1799="331")),"331",IF(AND(OR(L1799="131",M1799="131"),H1799='131-CT'!$E$7),"131",""))</f>
        <v/>
      </c>
      <c r="O1799" s="51" t="str">
        <f>IF(AND($B1799&gt;='111'!$N$11,$B1799&lt;='111'!$O$11,OR($L1799=$O$7,$M1799=$O$7)),"x","")</f>
        <v/>
      </c>
      <c r="P1799" s="51" t="str">
        <f>IF(AND($L1799=$O$7,$B1799&lt;'111'!$N$11),"x","")</f>
        <v/>
      </c>
      <c r="Q1799" s="51" t="str">
        <f>IF(AND($M1799=$O$7,$B1799&lt;'111'!$N$11),"x","")</f>
        <v/>
      </c>
      <c r="R1799" s="51" t="str">
        <f>IF(ISERROR(FIND('112'!$M$9,G1799,1)),"",IF((AND(FIND('112'!$M$9,G1799,1)&gt;=1,$B1799&gt;='112'!$N$8,$B1799&lt;='112'!$O$8,OR($L1799='112'!$I$6,$M1799='112'!$I$6))),"x",""))</f>
        <v/>
      </c>
      <c r="S1799" s="51" t="str">
        <f>IF(ISERROR(FIND('112'!$M$9,G1799,1)),"",IF((AND(LEFT(G1799,2)=LEFT('112'!$M$9,2),B1799&lt;'112'!$N$8,$L1799='112'!$I$6)),"x",""))</f>
        <v/>
      </c>
      <c r="T1799" s="51" t="str">
        <f>IF(ISERROR(FIND('112'!$M$9,G1799,1)),"",IF((AND(RIGHT(G1799,2)=RIGHT('112'!$M$9,2),B1799&lt;'112'!$N$8,$M1799='112'!$I$6)),"x",""))</f>
        <v/>
      </c>
      <c r="U1799" s="51" t="str">
        <f>IF(AND(L1799="154",'154'!$O$5&lt;=B1799,'154'!$P$5&gt;=B1799),"154",IF(AND(L1799="632",'632'!$L$5&lt;=B1799,'632'!$M$5&gt;=B1799),"632",IF(AND(L1799="642",'642'!$N$5&lt;=B1799,'642'!$O$5&gt;=B1799),"642",IF(AND(L1799="641",'641'!$N$5&lt;=B1799,'641'!$O$5&gt;=B1799),"641",""))))</f>
        <v/>
      </c>
      <c r="V1799" s="51" t="str">
        <f>IF(OR(TH!L1799=TH!$V$7,M1799=TH!$V$7),"x","")</f>
        <v/>
      </c>
      <c r="W1799" s="51" t="str">
        <f>IF(AND(B1799&gt;='IN-NX'!$P$3,B1799&lt;='IN-NX'!$Q$3,'IN-NX'!$D$7=D1799,OR(LEFT(L1799,2)="15",AND(LEFT(M1799,2)&lt;&gt;"15",LEFT(M1799,2)&lt;&gt;"33"))),"x","")</f>
        <v/>
      </c>
      <c r="X1799" s="51" t="str">
        <f>IF(AND(OR(LEFT(TH!L1799,2)="15",LEFT(TH!M1799,2)="15"),'152-CT'!$J$8=TH!F1799),"x","")</f>
        <v/>
      </c>
      <c r="Y1799" s="51" t="str">
        <f>IF(AND(OR(LEFT(TH!L1799,2)="15",LEFT(TH!M1799,2)="15"),TK!$E$7=TH!F1799),"x","")</f>
        <v/>
      </c>
      <c r="Z1799" s="51" t="str">
        <f>IF(AND(B1799&lt;=NKC!$N$8,B1799&gt;=NKC!$M$8),"x","")</f>
        <v/>
      </c>
      <c r="AA1799" s="803"/>
    </row>
    <row r="1800" spans="1:27" ht="15.75" customHeight="1">
      <c r="A1800" s="804" t="str">
        <f>IF(B1800&lt;&gt;"",IF(AND(B1800&gt;=_TM1,B1800&lt;=_TM2,OR(TH!L1800="1111",TH!M1800="1111")),TH!D1800,""),"")</f>
        <v/>
      </c>
      <c r="B1800" s="36">
        <f t="shared" si="123"/>
        <v>11</v>
      </c>
      <c r="C1800" s="189">
        <f t="shared" si="118"/>
        <v>42314</v>
      </c>
      <c r="D1800" s="830" t="s">
        <v>1285</v>
      </c>
      <c r="E1800" s="898">
        <v>42314</v>
      </c>
      <c r="F1800" s="843" t="s">
        <v>1245</v>
      </c>
      <c r="G1800" s="810" t="s">
        <v>1087</v>
      </c>
      <c r="H1800" s="833" t="s">
        <v>1259</v>
      </c>
      <c r="I1800" s="899">
        <v>45</v>
      </c>
      <c r="J1800" s="899">
        <v>39481.698143664245</v>
      </c>
      <c r="K1800" s="834">
        <f t="shared" si="122"/>
        <v>1776676</v>
      </c>
      <c r="L1800" s="835" t="s">
        <v>162</v>
      </c>
      <c r="M1800" s="835" t="s">
        <v>417</v>
      </c>
      <c r="N1800" s="51" t="str">
        <f>IF(AND('331-CT'!$E$7=TH!H1800,OR(L1800="331",M1800="331")),"331",IF(AND(OR(L1800="131",M1800="131"),H1800='131-CT'!$E$7),"131",""))</f>
        <v/>
      </c>
      <c r="O1800" s="51" t="str">
        <f>IF(AND($B1800&gt;='111'!$N$11,$B1800&lt;='111'!$O$11,OR($L1800=$O$7,$M1800=$O$7)),"x","")</f>
        <v/>
      </c>
      <c r="P1800" s="51" t="str">
        <f>IF(AND($L1800=$O$7,$B1800&lt;'111'!$N$11),"x","")</f>
        <v/>
      </c>
      <c r="Q1800" s="51" t="str">
        <f>IF(AND($M1800=$O$7,$B1800&lt;'111'!$N$11),"x","")</f>
        <v/>
      </c>
      <c r="R1800" s="51" t="str">
        <f>IF(ISERROR(FIND('112'!$M$9,G1800,1)),"",IF((AND(FIND('112'!$M$9,G1800,1)&gt;=1,$B1800&gt;='112'!$N$8,$B1800&lt;='112'!$O$8,OR($L1800='112'!$I$6,$M1800='112'!$I$6))),"x",""))</f>
        <v/>
      </c>
      <c r="S1800" s="51" t="str">
        <f>IF(ISERROR(FIND('112'!$M$9,G1800,1)),"",IF((AND(LEFT(G1800,2)=LEFT('112'!$M$9,2),B1800&lt;'112'!$N$8,$L1800='112'!$I$6)),"x",""))</f>
        <v/>
      </c>
      <c r="T1800" s="51" t="str">
        <f>IF(ISERROR(FIND('112'!$M$9,G1800,1)),"",IF((AND(RIGHT(G1800,2)=RIGHT('112'!$M$9,2),B1800&lt;'112'!$N$8,$M1800='112'!$I$6)),"x",""))</f>
        <v/>
      </c>
      <c r="U1800" s="51" t="str">
        <f>IF(AND(L1800="154",'154'!$O$5&lt;=B1800,'154'!$P$5&gt;=B1800),"154",IF(AND(L1800="632",'632'!$L$5&lt;=B1800,'632'!$M$5&gt;=B1800),"632",IF(AND(L1800="642",'642'!$N$5&lt;=B1800,'642'!$O$5&gt;=B1800),"642",IF(AND(L1800="641",'641'!$N$5&lt;=B1800,'641'!$O$5&gt;=B1800),"641",""))))</f>
        <v/>
      </c>
      <c r="V1800" s="51" t="str">
        <f>IF(OR(TH!L1800=TH!$V$7,M1800=TH!$V$7),"x","")</f>
        <v/>
      </c>
      <c r="W1800" s="51" t="str">
        <f>IF(AND(B1800&gt;='IN-NX'!$P$3,B1800&lt;='IN-NX'!$Q$3,'IN-NX'!$D$7=D1800,OR(LEFT(L1800,2)="15",AND(LEFT(M1800,2)&lt;&gt;"15",LEFT(M1800,2)&lt;&gt;"33"))),"x","")</f>
        <v/>
      </c>
      <c r="X1800" s="51" t="str">
        <f>IF(AND(OR(LEFT(TH!L1800,2)="15",LEFT(TH!M1800,2)="15"),'152-CT'!$J$8=TH!F1800),"x","")</f>
        <v/>
      </c>
      <c r="Y1800" s="51" t="str">
        <f>IF(AND(OR(LEFT(TH!L1800,2)="15",LEFT(TH!M1800,2)="15"),TK!$E$7=TH!F1800),"x","")</f>
        <v/>
      </c>
      <c r="Z1800" s="51" t="str">
        <f>IF(AND(B1800&lt;=NKC!$N$8,B1800&gt;=NKC!$M$8),"x","")</f>
        <v/>
      </c>
      <c r="AA1800" s="803"/>
    </row>
    <row r="1801" spans="1:27" ht="15.75" customHeight="1">
      <c r="A1801" s="804" t="str">
        <f>IF(B1801&lt;&gt;"",IF(AND(B1801&gt;=_TM1,B1801&lt;=_TM2,OR(TH!L1801="1111",TH!M1801="1111")),TH!D1801,""),"")</f>
        <v/>
      </c>
      <c r="B1801" s="36">
        <f t="shared" si="123"/>
        <v>11</v>
      </c>
      <c r="C1801" s="189">
        <f t="shared" si="118"/>
        <v>42314</v>
      </c>
      <c r="D1801" s="830" t="s">
        <v>1285</v>
      </c>
      <c r="E1801" s="898">
        <v>42314</v>
      </c>
      <c r="F1801" s="843" t="s">
        <v>1220</v>
      </c>
      <c r="G1801" s="810" t="s">
        <v>1087</v>
      </c>
      <c r="H1801" s="833" t="s">
        <v>1259</v>
      </c>
      <c r="I1801" s="899">
        <v>10</v>
      </c>
      <c r="J1801" s="899">
        <v>50741.698143664245</v>
      </c>
      <c r="K1801" s="834">
        <f t="shared" si="122"/>
        <v>507417</v>
      </c>
      <c r="L1801" s="835" t="s">
        <v>162</v>
      </c>
      <c r="M1801" s="835" t="s">
        <v>417</v>
      </c>
      <c r="N1801" s="51" t="str">
        <f>IF(AND('331-CT'!$E$7=TH!H1801,OR(L1801="331",M1801="331")),"331",IF(AND(OR(L1801="131",M1801="131"),H1801='131-CT'!$E$7),"131",""))</f>
        <v/>
      </c>
      <c r="O1801" s="51" t="str">
        <f>IF(AND($B1801&gt;='111'!$N$11,$B1801&lt;='111'!$O$11,OR($L1801=$O$7,$M1801=$O$7)),"x","")</f>
        <v/>
      </c>
      <c r="P1801" s="51" t="str">
        <f>IF(AND($L1801=$O$7,$B1801&lt;'111'!$N$11),"x","")</f>
        <v/>
      </c>
      <c r="Q1801" s="51" t="str">
        <f>IF(AND($M1801=$O$7,$B1801&lt;'111'!$N$11),"x","")</f>
        <v/>
      </c>
      <c r="R1801" s="51" t="str">
        <f>IF(ISERROR(FIND('112'!$M$9,G1801,1)),"",IF((AND(FIND('112'!$M$9,G1801,1)&gt;=1,$B1801&gt;='112'!$N$8,$B1801&lt;='112'!$O$8,OR($L1801='112'!$I$6,$M1801='112'!$I$6))),"x",""))</f>
        <v/>
      </c>
      <c r="S1801" s="51" t="str">
        <f>IF(ISERROR(FIND('112'!$M$9,G1801,1)),"",IF((AND(LEFT(G1801,2)=LEFT('112'!$M$9,2),B1801&lt;'112'!$N$8,$L1801='112'!$I$6)),"x",""))</f>
        <v/>
      </c>
      <c r="T1801" s="51" t="str">
        <f>IF(ISERROR(FIND('112'!$M$9,G1801,1)),"",IF((AND(RIGHT(G1801,2)=RIGHT('112'!$M$9,2),B1801&lt;'112'!$N$8,$M1801='112'!$I$6)),"x",""))</f>
        <v/>
      </c>
      <c r="U1801" s="51" t="str">
        <f>IF(AND(L1801="154",'154'!$O$5&lt;=B1801,'154'!$P$5&gt;=B1801),"154",IF(AND(L1801="632",'632'!$L$5&lt;=B1801,'632'!$M$5&gt;=B1801),"632",IF(AND(L1801="642",'642'!$N$5&lt;=B1801,'642'!$O$5&gt;=B1801),"642",IF(AND(L1801="641",'641'!$N$5&lt;=B1801,'641'!$O$5&gt;=B1801),"641",""))))</f>
        <v/>
      </c>
      <c r="V1801" s="51" t="str">
        <f>IF(OR(TH!L1801=TH!$V$7,M1801=TH!$V$7),"x","")</f>
        <v/>
      </c>
      <c r="W1801" s="51" t="str">
        <f>IF(AND(B1801&gt;='IN-NX'!$P$3,B1801&lt;='IN-NX'!$Q$3,'IN-NX'!$D$7=D1801,OR(LEFT(L1801,2)="15",AND(LEFT(M1801,2)&lt;&gt;"15",LEFT(M1801,2)&lt;&gt;"33"))),"x","")</f>
        <v/>
      </c>
      <c r="X1801" s="51" t="str">
        <f>IF(AND(OR(LEFT(TH!L1801,2)="15",LEFT(TH!M1801,2)="15"),'152-CT'!$J$8=TH!F1801),"x","")</f>
        <v/>
      </c>
      <c r="Y1801" s="51" t="str">
        <f>IF(AND(OR(LEFT(TH!L1801,2)="15",LEFT(TH!M1801,2)="15"),TK!$E$7=TH!F1801),"x","")</f>
        <v/>
      </c>
      <c r="Z1801" s="51" t="str">
        <f>IF(AND(B1801&lt;=NKC!$N$8,B1801&gt;=NKC!$M$8),"x","")</f>
        <v/>
      </c>
      <c r="AA1801" s="803"/>
    </row>
    <row r="1802" spans="1:27" ht="15.75" customHeight="1">
      <c r="A1802" s="804" t="str">
        <f>IF(B1802&lt;&gt;"",IF(AND(B1802&gt;=_TM1,B1802&lt;=_TM2,OR(TH!L1802="1111",TH!M1802="1111")),TH!D1802,""),"")</f>
        <v/>
      </c>
      <c r="B1802" s="36">
        <f t="shared" si="123"/>
        <v>11</v>
      </c>
      <c r="C1802" s="189">
        <f t="shared" si="118"/>
        <v>42318</v>
      </c>
      <c r="D1802" s="830" t="s">
        <v>1285</v>
      </c>
      <c r="E1802" s="898">
        <v>42318</v>
      </c>
      <c r="F1802" s="843" t="s">
        <v>1209</v>
      </c>
      <c r="G1802" s="810" t="s">
        <v>1088</v>
      </c>
      <c r="H1802" s="833" t="s">
        <v>1259</v>
      </c>
      <c r="I1802" s="899">
        <v>1000</v>
      </c>
      <c r="J1802" s="899">
        <v>11036.798143664244</v>
      </c>
      <c r="K1802" s="834">
        <f t="shared" si="122"/>
        <v>11036798</v>
      </c>
      <c r="L1802" s="835" t="s">
        <v>162</v>
      </c>
      <c r="M1802" s="835" t="s">
        <v>417</v>
      </c>
      <c r="N1802" s="51" t="str">
        <f>IF(AND('331-CT'!$E$7=TH!H1802,OR(L1802="331",M1802="331")),"331",IF(AND(OR(L1802="131",M1802="131"),H1802='131-CT'!$E$7),"131",""))</f>
        <v/>
      </c>
      <c r="O1802" s="51" t="str">
        <f>IF(AND($B1802&gt;='111'!$N$11,$B1802&lt;='111'!$O$11,OR($L1802=$O$7,$M1802=$O$7)),"x","")</f>
        <v/>
      </c>
      <c r="P1802" s="51" t="str">
        <f>IF(AND($L1802=$O$7,$B1802&lt;'111'!$N$11),"x","")</f>
        <v/>
      </c>
      <c r="Q1802" s="51" t="str">
        <f>IF(AND($M1802=$O$7,$B1802&lt;'111'!$N$11),"x","")</f>
        <v/>
      </c>
      <c r="R1802" s="51" t="str">
        <f>IF(ISERROR(FIND('112'!$M$9,G1802,1)),"",IF((AND(FIND('112'!$M$9,G1802,1)&gt;=1,$B1802&gt;='112'!$N$8,$B1802&lt;='112'!$O$8,OR($L1802='112'!$I$6,$M1802='112'!$I$6))),"x",""))</f>
        <v/>
      </c>
      <c r="S1802" s="51" t="str">
        <f>IF(ISERROR(FIND('112'!$M$9,G1802,1)),"",IF((AND(LEFT(G1802,2)=LEFT('112'!$M$9,2),B1802&lt;'112'!$N$8,$L1802='112'!$I$6)),"x",""))</f>
        <v/>
      </c>
      <c r="T1802" s="51" t="str">
        <f>IF(ISERROR(FIND('112'!$M$9,G1802,1)),"",IF((AND(RIGHT(G1802,2)=RIGHT('112'!$M$9,2),B1802&lt;'112'!$N$8,$M1802='112'!$I$6)),"x",""))</f>
        <v/>
      </c>
      <c r="U1802" s="51" t="str">
        <f>IF(AND(L1802="154",'154'!$O$5&lt;=B1802,'154'!$P$5&gt;=B1802),"154",IF(AND(L1802="632",'632'!$L$5&lt;=B1802,'632'!$M$5&gt;=B1802),"632",IF(AND(L1802="642",'642'!$N$5&lt;=B1802,'642'!$O$5&gt;=B1802),"642",IF(AND(L1802="641",'641'!$N$5&lt;=B1802,'641'!$O$5&gt;=B1802),"641",""))))</f>
        <v/>
      </c>
      <c r="V1802" s="51" t="str">
        <f>IF(OR(TH!L1802=TH!$V$7,M1802=TH!$V$7),"x","")</f>
        <v/>
      </c>
      <c r="W1802" s="51" t="str">
        <f>IF(AND(B1802&gt;='IN-NX'!$P$3,B1802&lt;='IN-NX'!$Q$3,'IN-NX'!$D$7=D1802,OR(LEFT(L1802,2)="15",AND(LEFT(M1802,2)&lt;&gt;"15",LEFT(M1802,2)&lt;&gt;"33"))),"x","")</f>
        <v/>
      </c>
      <c r="X1802" s="51" t="str">
        <f>IF(AND(OR(LEFT(TH!L1802,2)="15",LEFT(TH!M1802,2)="15"),'152-CT'!$J$8=TH!F1802),"x","")</f>
        <v/>
      </c>
      <c r="Y1802" s="51" t="str">
        <f>IF(AND(OR(LEFT(TH!L1802,2)="15",LEFT(TH!M1802,2)="15"),TK!$E$7=TH!F1802),"x","")</f>
        <v/>
      </c>
      <c r="Z1802" s="51" t="str">
        <f>IF(AND(B1802&lt;=NKC!$N$8,B1802&gt;=NKC!$M$8),"x","")</f>
        <v/>
      </c>
      <c r="AA1802" s="803"/>
    </row>
    <row r="1803" spans="1:27" ht="15.75" customHeight="1">
      <c r="A1803" s="804" t="str">
        <f>IF(B1803&lt;&gt;"",IF(AND(B1803&gt;=_TM1,B1803&lt;=_TM2,OR(TH!L1803="1111",TH!M1803="1111")),TH!D1803,""),"")</f>
        <v/>
      </c>
      <c r="B1803" s="36">
        <f t="shared" si="123"/>
        <v>11</v>
      </c>
      <c r="C1803" s="189">
        <f t="shared" si="118"/>
        <v>42328</v>
      </c>
      <c r="D1803" s="830" t="s">
        <v>1285</v>
      </c>
      <c r="E1803" s="898">
        <v>42328</v>
      </c>
      <c r="F1803" s="843" t="s">
        <v>1231</v>
      </c>
      <c r="G1803" s="810" t="s">
        <v>1095</v>
      </c>
      <c r="H1803" s="833" t="s">
        <v>1259</v>
      </c>
      <c r="I1803" s="899">
        <v>20</v>
      </c>
      <c r="J1803" s="899">
        <v>20600.698143664245</v>
      </c>
      <c r="K1803" s="834">
        <f t="shared" si="122"/>
        <v>412014</v>
      </c>
      <c r="L1803" s="835" t="s">
        <v>162</v>
      </c>
      <c r="M1803" s="835" t="s">
        <v>417</v>
      </c>
      <c r="N1803" s="51" t="str">
        <f>IF(AND('331-CT'!$E$7=TH!H1803,OR(L1803="331",M1803="331")),"331",IF(AND(OR(L1803="131",M1803="131"),H1803='131-CT'!$E$7),"131",""))</f>
        <v/>
      </c>
      <c r="O1803" s="51" t="str">
        <f>IF(AND($B1803&gt;='111'!$N$11,$B1803&lt;='111'!$O$11,OR($L1803=$O$7,$M1803=$O$7)),"x","")</f>
        <v/>
      </c>
      <c r="P1803" s="51" t="str">
        <f>IF(AND($L1803=$O$7,$B1803&lt;'111'!$N$11),"x","")</f>
        <v/>
      </c>
      <c r="Q1803" s="51" t="str">
        <f>IF(AND($M1803=$O$7,$B1803&lt;'111'!$N$11),"x","")</f>
        <v/>
      </c>
      <c r="R1803" s="51" t="str">
        <f>IF(ISERROR(FIND('112'!$M$9,G1803,1)),"",IF((AND(FIND('112'!$M$9,G1803,1)&gt;=1,$B1803&gt;='112'!$N$8,$B1803&lt;='112'!$O$8,OR($L1803='112'!$I$6,$M1803='112'!$I$6))),"x",""))</f>
        <v/>
      </c>
      <c r="S1803" s="51" t="str">
        <f>IF(ISERROR(FIND('112'!$M$9,G1803,1)),"",IF((AND(LEFT(G1803,2)=LEFT('112'!$M$9,2),B1803&lt;'112'!$N$8,$L1803='112'!$I$6)),"x",""))</f>
        <v/>
      </c>
      <c r="T1803" s="51" t="str">
        <f>IF(ISERROR(FIND('112'!$M$9,G1803,1)),"",IF((AND(RIGHT(G1803,2)=RIGHT('112'!$M$9,2),B1803&lt;'112'!$N$8,$M1803='112'!$I$6)),"x",""))</f>
        <v/>
      </c>
      <c r="U1803" s="51" t="str">
        <f>IF(AND(L1803="154",'154'!$O$5&lt;=B1803,'154'!$P$5&gt;=B1803),"154",IF(AND(L1803="632",'632'!$L$5&lt;=B1803,'632'!$M$5&gt;=B1803),"632",IF(AND(L1803="642",'642'!$N$5&lt;=B1803,'642'!$O$5&gt;=B1803),"642",IF(AND(L1803="641",'641'!$N$5&lt;=B1803,'641'!$O$5&gt;=B1803),"641",""))))</f>
        <v/>
      </c>
      <c r="V1803" s="51" t="str">
        <f>IF(OR(TH!L1803=TH!$V$7,M1803=TH!$V$7),"x","")</f>
        <v/>
      </c>
      <c r="W1803" s="51" t="str">
        <f>IF(AND(B1803&gt;='IN-NX'!$P$3,B1803&lt;='IN-NX'!$Q$3,'IN-NX'!$D$7=D1803,OR(LEFT(L1803,2)="15",AND(LEFT(M1803,2)&lt;&gt;"15",LEFT(M1803,2)&lt;&gt;"33"))),"x","")</f>
        <v/>
      </c>
      <c r="X1803" s="51" t="str">
        <f>IF(AND(OR(LEFT(TH!L1803,2)="15",LEFT(TH!M1803,2)="15"),'152-CT'!$J$8=TH!F1803),"x","")</f>
        <v/>
      </c>
      <c r="Y1803" s="51" t="str">
        <f>IF(AND(OR(LEFT(TH!L1803,2)="15",LEFT(TH!M1803,2)="15"),TK!$E$7=TH!F1803),"x","")</f>
        <v/>
      </c>
      <c r="Z1803" s="51" t="str">
        <f>IF(AND(B1803&lt;=NKC!$N$8,B1803&gt;=NKC!$M$8),"x","")</f>
        <v/>
      </c>
      <c r="AA1803" s="803"/>
    </row>
    <row r="1804" spans="1:27" ht="15.75" customHeight="1">
      <c r="A1804" s="804" t="str">
        <f>IF(B1804&lt;&gt;"",IF(AND(B1804&gt;=_TM1,B1804&lt;=_TM2,OR(TH!L1804="1111",TH!M1804="1111")),TH!D1804,""),"")</f>
        <v/>
      </c>
      <c r="B1804" s="36">
        <f t="shared" si="123"/>
        <v>11</v>
      </c>
      <c r="C1804" s="189">
        <f t="shared" si="118"/>
        <v>42329</v>
      </c>
      <c r="D1804" s="830" t="s">
        <v>1285</v>
      </c>
      <c r="E1804" s="898">
        <v>42329</v>
      </c>
      <c r="F1804" s="843" t="s">
        <v>692</v>
      </c>
      <c r="G1804" s="810" t="s">
        <v>1096</v>
      </c>
      <c r="H1804" s="833" t="s">
        <v>1259</v>
      </c>
      <c r="I1804" s="899">
        <v>400</v>
      </c>
      <c r="J1804" s="899">
        <v>13909.698143664245</v>
      </c>
      <c r="K1804" s="834">
        <f t="shared" si="122"/>
        <v>5563879</v>
      </c>
      <c r="L1804" s="835" t="s">
        <v>162</v>
      </c>
      <c r="M1804" s="835" t="s">
        <v>417</v>
      </c>
      <c r="N1804" s="51" t="str">
        <f>IF(AND('331-CT'!$E$7=TH!H1804,OR(L1804="331",M1804="331")),"331",IF(AND(OR(L1804="131",M1804="131"),H1804='131-CT'!$E$7),"131",""))</f>
        <v/>
      </c>
      <c r="O1804" s="51" t="str">
        <f>IF(AND($B1804&gt;='111'!$N$11,$B1804&lt;='111'!$O$11,OR($L1804=$O$7,$M1804=$O$7)),"x","")</f>
        <v/>
      </c>
      <c r="P1804" s="51" t="str">
        <f>IF(AND($L1804=$O$7,$B1804&lt;'111'!$N$11),"x","")</f>
        <v/>
      </c>
      <c r="Q1804" s="51" t="str">
        <f>IF(AND($M1804=$O$7,$B1804&lt;'111'!$N$11),"x","")</f>
        <v/>
      </c>
      <c r="R1804" s="51" t="str">
        <f>IF(ISERROR(FIND('112'!$M$9,G1804,1)),"",IF((AND(FIND('112'!$M$9,G1804,1)&gt;=1,$B1804&gt;='112'!$N$8,$B1804&lt;='112'!$O$8,OR($L1804='112'!$I$6,$M1804='112'!$I$6))),"x",""))</f>
        <v/>
      </c>
      <c r="S1804" s="51" t="str">
        <f>IF(ISERROR(FIND('112'!$M$9,G1804,1)),"",IF((AND(LEFT(G1804,2)=LEFT('112'!$M$9,2),B1804&lt;'112'!$N$8,$L1804='112'!$I$6)),"x",""))</f>
        <v/>
      </c>
      <c r="T1804" s="51" t="str">
        <f>IF(ISERROR(FIND('112'!$M$9,G1804,1)),"",IF((AND(RIGHT(G1804,2)=RIGHT('112'!$M$9,2),B1804&lt;'112'!$N$8,$M1804='112'!$I$6)),"x",""))</f>
        <v/>
      </c>
      <c r="U1804" s="51" t="str">
        <f>IF(AND(L1804="154",'154'!$O$5&lt;=B1804,'154'!$P$5&gt;=B1804),"154",IF(AND(L1804="632",'632'!$L$5&lt;=B1804,'632'!$M$5&gt;=B1804),"632",IF(AND(L1804="642",'642'!$N$5&lt;=B1804,'642'!$O$5&gt;=B1804),"642",IF(AND(L1804="641",'641'!$N$5&lt;=B1804,'641'!$O$5&gt;=B1804),"641",""))))</f>
        <v/>
      </c>
      <c r="V1804" s="51" t="str">
        <f>IF(OR(TH!L1804=TH!$V$7,M1804=TH!$V$7),"x","")</f>
        <v/>
      </c>
      <c r="W1804" s="51" t="str">
        <f>IF(AND(B1804&gt;='IN-NX'!$P$3,B1804&lt;='IN-NX'!$Q$3,'IN-NX'!$D$7=D1804,OR(LEFT(L1804,2)="15",AND(LEFT(M1804,2)&lt;&gt;"15",LEFT(M1804,2)&lt;&gt;"33"))),"x","")</f>
        <v/>
      </c>
      <c r="X1804" s="51" t="str">
        <f>IF(AND(OR(LEFT(TH!L1804,2)="15",LEFT(TH!M1804,2)="15"),'152-CT'!$J$8=TH!F1804),"x","")</f>
        <v/>
      </c>
      <c r="Y1804" s="51" t="str">
        <f>IF(AND(OR(LEFT(TH!L1804,2)="15",LEFT(TH!M1804,2)="15"),TK!$E$7=TH!F1804),"x","")</f>
        <v/>
      </c>
      <c r="Z1804" s="51" t="str">
        <f>IF(AND(B1804&lt;=NKC!$N$8,B1804&gt;=NKC!$M$8),"x","")</f>
        <v/>
      </c>
      <c r="AA1804" s="803"/>
    </row>
    <row r="1805" spans="1:27" ht="15.75" customHeight="1">
      <c r="A1805" s="804" t="str">
        <f>IF(B1805&lt;&gt;"",IF(AND(B1805&gt;=_TM1,B1805&lt;=_TM2,OR(TH!L1805="1111",TH!M1805="1111")),TH!D1805,""),"")</f>
        <v/>
      </c>
      <c r="B1805" s="36">
        <f t="shared" si="123"/>
        <v>12</v>
      </c>
      <c r="C1805" s="189">
        <f t="shared" si="118"/>
        <v>42360</v>
      </c>
      <c r="D1805" s="830" t="s">
        <v>1285</v>
      </c>
      <c r="E1805" s="898">
        <v>42360</v>
      </c>
      <c r="F1805" s="843" t="s">
        <v>1206</v>
      </c>
      <c r="G1805" s="810" t="s">
        <v>482</v>
      </c>
      <c r="H1805" s="833" t="s">
        <v>1259</v>
      </c>
      <c r="I1805" s="899">
        <v>150</v>
      </c>
      <c r="J1805" s="899">
        <v>8693.178143664245</v>
      </c>
      <c r="K1805" s="834">
        <f t="shared" si="122"/>
        <v>1303977</v>
      </c>
      <c r="L1805" s="835" t="s">
        <v>162</v>
      </c>
      <c r="M1805" s="835" t="s">
        <v>417</v>
      </c>
      <c r="N1805" s="51" t="str">
        <f>IF(AND('331-CT'!$E$7=TH!H1805,OR(L1805="331",M1805="331")),"331",IF(AND(OR(L1805="131",M1805="131"),H1805='131-CT'!$E$7),"131",""))</f>
        <v/>
      </c>
      <c r="O1805" s="51" t="str">
        <f>IF(AND($B1805&gt;='111'!$N$11,$B1805&lt;='111'!$O$11,OR($L1805=$O$7,$M1805=$O$7)),"x","")</f>
        <v/>
      </c>
      <c r="P1805" s="51" t="str">
        <f>IF(AND($L1805=$O$7,$B1805&lt;'111'!$N$11),"x","")</f>
        <v/>
      </c>
      <c r="Q1805" s="51" t="str">
        <f>IF(AND($M1805=$O$7,$B1805&lt;'111'!$N$11),"x","")</f>
        <v/>
      </c>
      <c r="R1805" s="51" t="str">
        <f>IF(ISERROR(FIND('112'!$M$9,G1805,1)),"",IF((AND(FIND('112'!$M$9,G1805,1)&gt;=1,$B1805&gt;='112'!$N$8,$B1805&lt;='112'!$O$8,OR($L1805='112'!$I$6,$M1805='112'!$I$6))),"x",""))</f>
        <v/>
      </c>
      <c r="S1805" s="51" t="str">
        <f>IF(ISERROR(FIND('112'!$M$9,G1805,1)),"",IF((AND(LEFT(G1805,2)=LEFT('112'!$M$9,2),B1805&lt;'112'!$N$8,$L1805='112'!$I$6)),"x",""))</f>
        <v/>
      </c>
      <c r="T1805" s="51" t="str">
        <f>IF(ISERROR(FIND('112'!$M$9,G1805,1)),"",IF((AND(RIGHT(G1805,2)=RIGHT('112'!$M$9,2),B1805&lt;'112'!$N$8,$M1805='112'!$I$6)),"x",""))</f>
        <v/>
      </c>
      <c r="U1805" s="51" t="str">
        <f>IF(AND(L1805="154",'154'!$O$5&lt;=B1805,'154'!$P$5&gt;=B1805),"154",IF(AND(L1805="632",'632'!$L$5&lt;=B1805,'632'!$M$5&gt;=B1805),"632",IF(AND(L1805="642",'642'!$N$5&lt;=B1805,'642'!$O$5&gt;=B1805),"642",IF(AND(L1805="641",'641'!$N$5&lt;=B1805,'641'!$O$5&gt;=B1805),"641",""))))</f>
        <v/>
      </c>
      <c r="V1805" s="51" t="str">
        <f>IF(OR(TH!L1805=TH!$V$7,M1805=TH!$V$7),"x","")</f>
        <v/>
      </c>
      <c r="W1805" s="51" t="str">
        <f>IF(AND(B1805&gt;='IN-NX'!$P$3,B1805&lt;='IN-NX'!$Q$3,'IN-NX'!$D$7=D1805,OR(LEFT(L1805,2)="15",AND(LEFT(M1805,2)&lt;&gt;"15",LEFT(M1805,2)&lt;&gt;"33"))),"x","")</f>
        <v/>
      </c>
      <c r="X1805" s="51" t="str">
        <f>IF(AND(OR(LEFT(TH!L1805,2)="15",LEFT(TH!M1805,2)="15"),'152-CT'!$J$8=TH!F1805),"x","")</f>
        <v/>
      </c>
      <c r="Y1805" s="51" t="str">
        <f>IF(AND(OR(LEFT(TH!L1805,2)="15",LEFT(TH!M1805,2)="15"),TK!$E$7=TH!F1805),"x","")</f>
        <v/>
      </c>
      <c r="Z1805" s="51" t="str">
        <f>IF(AND(B1805&lt;=NKC!$N$8,B1805&gt;=NKC!$M$8),"x","")</f>
        <v/>
      </c>
      <c r="AA1805" s="803"/>
    </row>
    <row r="1806" spans="1:27" ht="15.75" customHeight="1">
      <c r="A1806" s="804" t="str">
        <f>IF(B1806&lt;&gt;"",IF(AND(B1806&gt;=_TM1,B1806&lt;=_TM2,OR(TH!L1806="1111",TH!M1806="1111")),TH!D1806,""),"")</f>
        <v/>
      </c>
      <c r="B1806" s="36">
        <f t="shared" si="123"/>
        <v>1</v>
      </c>
      <c r="C1806" s="189">
        <f t="shared" si="118"/>
        <v>42013</v>
      </c>
      <c r="D1806" s="37" t="s">
        <v>1288</v>
      </c>
      <c r="E1806" s="885">
        <v>42013</v>
      </c>
      <c r="F1806" s="886" t="s">
        <v>499</v>
      </c>
      <c r="G1806" s="887" t="s">
        <v>961</v>
      </c>
      <c r="H1806" s="888" t="s">
        <v>1287</v>
      </c>
      <c r="I1806" s="889">
        <v>20</v>
      </c>
      <c r="J1806" s="889">
        <v>17614.477835051548</v>
      </c>
      <c r="K1806" s="890">
        <f t="shared" ref="K1806:K1821" si="124">ROUND(I1806*J1806,0)</f>
        <v>352290</v>
      </c>
      <c r="L1806" s="891" t="s">
        <v>417</v>
      </c>
      <c r="M1806" s="891" t="s">
        <v>160</v>
      </c>
      <c r="N1806" s="51" t="str">
        <f>IF(AND('331-CT'!$E$7=TH!H1806,OR(L1806="331",M1806="331")),"331",IF(AND(OR(L1806="131",M1806="131"),H1806='131-CT'!$E$7),"131",""))</f>
        <v/>
      </c>
      <c r="O1806" s="51" t="str">
        <f>IF(AND($B1806&gt;='111'!$N$11,$B1806&lt;='111'!$O$11,OR($L1806=$O$7,$M1806=$O$7)),"x","")</f>
        <v/>
      </c>
      <c r="P1806" s="51" t="str">
        <f>IF(AND($L1806=$O$7,$B1806&lt;'111'!$N$11),"x","")</f>
        <v/>
      </c>
      <c r="Q1806" s="51" t="str">
        <f>IF(AND($M1806=$O$7,$B1806&lt;'111'!$N$11),"x","")</f>
        <v/>
      </c>
      <c r="R1806" s="51" t="str">
        <f>IF(ISERROR(FIND('112'!$M$9,G1806,1)),"",IF((AND(FIND('112'!$M$9,G1806,1)&gt;=1,$B1806&gt;='112'!$N$8,$B1806&lt;='112'!$O$8,OR($L1806='112'!$I$6,$M1806='112'!$I$6))),"x",""))</f>
        <v/>
      </c>
      <c r="S1806" s="51" t="str">
        <f>IF(ISERROR(FIND('112'!$M$9,G1806,1)),"",IF((AND(LEFT(G1806,2)=LEFT('112'!$M$9,2),B1806&lt;'112'!$N$8,$L1806='112'!$I$6)),"x",""))</f>
        <v/>
      </c>
      <c r="T1806" s="51" t="str">
        <f>IF(ISERROR(FIND('112'!$M$9,G1806,1)),"",IF((AND(RIGHT(G1806,2)=RIGHT('112'!$M$9,2),B1806&lt;'112'!$N$8,$M1806='112'!$I$6)),"x",""))</f>
        <v/>
      </c>
      <c r="U1806" s="51" t="str">
        <f>IF(AND(L1806="154",'154'!$O$5&lt;=B1806,'154'!$P$5&gt;=B1806),"154",IF(AND(L1806="632",'632'!$L$5&lt;=B1806,'632'!$M$5&gt;=B1806),"632",IF(AND(L1806="642",'642'!$N$5&lt;=B1806,'642'!$O$5&gt;=B1806),"642",IF(AND(L1806="641",'641'!$N$5&lt;=B1806,'641'!$O$5&gt;=B1806),"641",""))))</f>
        <v/>
      </c>
      <c r="V1806" s="51" t="str">
        <f>IF(OR(TH!L1806=TH!$V$7,M1806=TH!$V$7),"x","")</f>
        <v/>
      </c>
      <c r="W1806" s="51" t="str">
        <f>IF(AND(B1806&gt;='IN-NX'!$P$3,B1806&lt;='IN-NX'!$Q$3,'IN-NX'!$D$7=D1806,OR(LEFT(L1806,2)="15",AND(LEFT(M1806,2)&lt;&gt;"15",LEFT(M1806,2)&lt;&gt;"33"))),"x","")</f>
        <v/>
      </c>
      <c r="X1806" s="51" t="str">
        <f>IF(AND(OR(LEFT(TH!L1806,2)="15",LEFT(TH!M1806,2)="15"),'152-CT'!$J$8=TH!F1806),"x","")</f>
        <v/>
      </c>
      <c r="Y1806" s="51" t="str">
        <f>IF(AND(OR(LEFT(TH!L1806,2)="15",LEFT(TH!M1806,2)="15"),TK!$E$7=TH!F1806),"x","")</f>
        <v/>
      </c>
      <c r="Z1806" s="51" t="str">
        <f>IF(AND(B1806&lt;=NKC!$N$8,B1806&gt;=NKC!$M$8),"x","")</f>
        <v/>
      </c>
      <c r="AA1806" s="803"/>
    </row>
    <row r="1807" spans="1:27" ht="15.75" customHeight="1">
      <c r="A1807" s="804" t="str">
        <f>IF(B1807&lt;&gt;"",IF(AND(B1807&gt;=_TM1,B1807&lt;=_TM2,OR(TH!L1807="1111",TH!M1807="1111")),TH!D1807,""),"")</f>
        <v/>
      </c>
      <c r="B1807" s="36">
        <f t="shared" si="123"/>
        <v>1</v>
      </c>
      <c r="C1807" s="189">
        <f t="shared" si="118"/>
        <v>42021</v>
      </c>
      <c r="D1807" s="37" t="s">
        <v>1288</v>
      </c>
      <c r="E1807" s="892">
        <v>42021</v>
      </c>
      <c r="F1807" s="893" t="s">
        <v>1176</v>
      </c>
      <c r="G1807" s="894" t="s">
        <v>967</v>
      </c>
      <c r="H1807" s="888" t="s">
        <v>1287</v>
      </c>
      <c r="I1807" s="889">
        <v>425</v>
      </c>
      <c r="J1807" s="889">
        <v>14774.163129169194</v>
      </c>
      <c r="K1807" s="890">
        <f t="shared" si="124"/>
        <v>6279019</v>
      </c>
      <c r="L1807" s="891" t="s">
        <v>417</v>
      </c>
      <c r="M1807" s="891" t="s">
        <v>160</v>
      </c>
      <c r="N1807" s="51" t="str">
        <f>IF(AND('331-CT'!$E$7=TH!H1807,OR(L1807="331",M1807="331")),"331",IF(AND(OR(L1807="131",M1807="131"),H1807='131-CT'!$E$7),"131",""))</f>
        <v/>
      </c>
      <c r="O1807" s="51" t="str">
        <f>IF(AND($B1807&gt;='111'!$N$11,$B1807&lt;='111'!$O$11,OR($L1807=$O$7,$M1807=$O$7)),"x","")</f>
        <v/>
      </c>
      <c r="P1807" s="51" t="str">
        <f>IF(AND($L1807=$O$7,$B1807&lt;'111'!$N$11),"x","")</f>
        <v/>
      </c>
      <c r="Q1807" s="51" t="str">
        <f>IF(AND($M1807=$O$7,$B1807&lt;'111'!$N$11),"x","")</f>
        <v/>
      </c>
      <c r="R1807" s="51" t="str">
        <f>IF(ISERROR(FIND('112'!$M$9,G1807,1)),"",IF((AND(FIND('112'!$M$9,G1807,1)&gt;=1,$B1807&gt;='112'!$N$8,$B1807&lt;='112'!$O$8,OR($L1807='112'!$I$6,$M1807='112'!$I$6))),"x",""))</f>
        <v/>
      </c>
      <c r="S1807" s="51" t="str">
        <f>IF(ISERROR(FIND('112'!$M$9,G1807,1)),"",IF((AND(LEFT(G1807,2)=LEFT('112'!$M$9,2),B1807&lt;'112'!$N$8,$L1807='112'!$I$6)),"x",""))</f>
        <v/>
      </c>
      <c r="T1807" s="51" t="str">
        <f>IF(ISERROR(FIND('112'!$M$9,G1807,1)),"",IF((AND(RIGHT(G1807,2)=RIGHT('112'!$M$9,2),B1807&lt;'112'!$N$8,$M1807='112'!$I$6)),"x",""))</f>
        <v/>
      </c>
      <c r="U1807" s="51" t="str">
        <f>IF(AND(L1807="154",'154'!$O$5&lt;=B1807,'154'!$P$5&gt;=B1807),"154",IF(AND(L1807="632",'632'!$L$5&lt;=B1807,'632'!$M$5&gt;=B1807),"632",IF(AND(L1807="642",'642'!$N$5&lt;=B1807,'642'!$O$5&gt;=B1807),"642",IF(AND(L1807="641",'641'!$N$5&lt;=B1807,'641'!$O$5&gt;=B1807),"641",""))))</f>
        <v/>
      </c>
      <c r="V1807" s="51" t="str">
        <f>IF(OR(TH!L1807=TH!$V$7,M1807=TH!$V$7),"x","")</f>
        <v/>
      </c>
      <c r="W1807" s="51" t="str">
        <f>IF(AND(B1807&gt;='IN-NX'!$P$3,B1807&lt;='IN-NX'!$Q$3,'IN-NX'!$D$7=D1807,OR(LEFT(L1807,2)="15",AND(LEFT(M1807,2)&lt;&gt;"15",LEFT(M1807,2)&lt;&gt;"33"))),"x","")</f>
        <v/>
      </c>
      <c r="X1807" s="51" t="str">
        <f>IF(AND(OR(LEFT(TH!L1807,2)="15",LEFT(TH!M1807,2)="15"),'152-CT'!$J$8=TH!F1807),"x","")</f>
        <v/>
      </c>
      <c r="Y1807" s="51" t="str">
        <f>IF(AND(OR(LEFT(TH!L1807,2)="15",LEFT(TH!M1807,2)="15"),TK!$E$7=TH!F1807),"x","")</f>
        <v/>
      </c>
      <c r="Z1807" s="51" t="str">
        <f>IF(AND(B1807&lt;=NKC!$N$8,B1807&gt;=NKC!$M$8),"x","")</f>
        <v/>
      </c>
      <c r="AA1807" s="803"/>
    </row>
    <row r="1808" spans="1:27" ht="15.75" customHeight="1">
      <c r="A1808" s="804" t="str">
        <f>IF(B1808&lt;&gt;"",IF(AND(B1808&gt;=_TM1,B1808&lt;=_TM2,OR(TH!L1808="1111",TH!M1808="1111")),TH!D1808,""),"")</f>
        <v/>
      </c>
      <c r="B1808" s="36">
        <f t="shared" si="123"/>
        <v>1</v>
      </c>
      <c r="C1808" s="189">
        <f t="shared" si="118"/>
        <v>42021</v>
      </c>
      <c r="D1808" s="37" t="s">
        <v>1288</v>
      </c>
      <c r="E1808" s="892">
        <v>42021</v>
      </c>
      <c r="F1808" s="893" t="s">
        <v>1177</v>
      </c>
      <c r="G1808" s="894" t="s">
        <v>967</v>
      </c>
      <c r="H1808" s="888" t="s">
        <v>1287</v>
      </c>
      <c r="I1808" s="889">
        <v>126</v>
      </c>
      <c r="J1808" s="889">
        <v>15970.213549337261</v>
      </c>
      <c r="K1808" s="890">
        <f t="shared" si="124"/>
        <v>2012247</v>
      </c>
      <c r="L1808" s="891" t="s">
        <v>417</v>
      </c>
      <c r="M1808" s="891" t="s">
        <v>160</v>
      </c>
      <c r="N1808" s="51" t="str">
        <f>IF(AND('331-CT'!$E$7=TH!H1808,OR(L1808="331",M1808="331")),"331",IF(AND(OR(L1808="131",M1808="131"),H1808='131-CT'!$E$7),"131",""))</f>
        <v/>
      </c>
      <c r="O1808" s="51" t="str">
        <f>IF(AND($B1808&gt;='111'!$N$11,$B1808&lt;='111'!$O$11,OR($L1808=$O$7,$M1808=$O$7)),"x","")</f>
        <v/>
      </c>
      <c r="P1808" s="51" t="str">
        <f>IF(AND($L1808=$O$7,$B1808&lt;'111'!$N$11),"x","")</f>
        <v/>
      </c>
      <c r="Q1808" s="51" t="str">
        <f>IF(AND($M1808=$O$7,$B1808&lt;'111'!$N$11),"x","")</f>
        <v/>
      </c>
      <c r="R1808" s="51" t="str">
        <f>IF(ISERROR(FIND('112'!$M$9,G1808,1)),"",IF((AND(FIND('112'!$M$9,G1808,1)&gt;=1,$B1808&gt;='112'!$N$8,$B1808&lt;='112'!$O$8,OR($L1808='112'!$I$6,$M1808='112'!$I$6))),"x",""))</f>
        <v/>
      </c>
      <c r="S1808" s="51" t="str">
        <f>IF(ISERROR(FIND('112'!$M$9,G1808,1)),"",IF((AND(LEFT(G1808,2)=LEFT('112'!$M$9,2),B1808&lt;'112'!$N$8,$L1808='112'!$I$6)),"x",""))</f>
        <v/>
      </c>
      <c r="T1808" s="51" t="str">
        <f>IF(ISERROR(FIND('112'!$M$9,G1808,1)),"",IF((AND(RIGHT(G1808,2)=RIGHT('112'!$M$9,2),B1808&lt;'112'!$N$8,$M1808='112'!$I$6)),"x",""))</f>
        <v/>
      </c>
      <c r="U1808" s="51" t="str">
        <f>IF(AND(L1808="154",'154'!$O$5&lt;=B1808,'154'!$P$5&gt;=B1808),"154",IF(AND(L1808="632",'632'!$L$5&lt;=B1808,'632'!$M$5&gt;=B1808),"632",IF(AND(L1808="642",'642'!$N$5&lt;=B1808,'642'!$O$5&gt;=B1808),"642",IF(AND(L1808="641",'641'!$N$5&lt;=B1808,'641'!$O$5&gt;=B1808),"641",""))))</f>
        <v/>
      </c>
      <c r="V1808" s="51" t="str">
        <f>IF(OR(TH!L1808=TH!$V$7,M1808=TH!$V$7),"x","")</f>
        <v/>
      </c>
      <c r="W1808" s="51" t="str">
        <f>IF(AND(B1808&gt;='IN-NX'!$P$3,B1808&lt;='IN-NX'!$Q$3,'IN-NX'!$D$7=D1808,OR(LEFT(L1808,2)="15",AND(LEFT(M1808,2)&lt;&gt;"15",LEFT(M1808,2)&lt;&gt;"33"))),"x","")</f>
        <v/>
      </c>
      <c r="X1808" s="51" t="str">
        <f>IF(AND(OR(LEFT(TH!L1808,2)="15",LEFT(TH!M1808,2)="15"),'152-CT'!$J$8=TH!F1808),"x","")</f>
        <v/>
      </c>
      <c r="Y1808" s="51" t="str">
        <f>IF(AND(OR(LEFT(TH!L1808,2)="15",LEFT(TH!M1808,2)="15"),TK!$E$7=TH!F1808),"x","")</f>
        <v/>
      </c>
      <c r="Z1808" s="51" t="str">
        <f>IF(AND(B1808&lt;=NKC!$N$8,B1808&gt;=NKC!$M$8),"x","")</f>
        <v/>
      </c>
      <c r="AA1808" s="803"/>
    </row>
    <row r="1809" spans="1:27" ht="15.75" customHeight="1">
      <c r="A1809" s="804" t="str">
        <f>IF(B1809&lt;&gt;"",IF(AND(B1809&gt;=_TM1,B1809&lt;=_TM2,OR(TH!L1809="1111",TH!M1809="1111")),TH!D1809,""),"")</f>
        <v/>
      </c>
      <c r="B1809" s="36">
        <f t="shared" si="123"/>
        <v>1</v>
      </c>
      <c r="C1809" s="189">
        <f t="shared" si="118"/>
        <v>42027</v>
      </c>
      <c r="D1809" s="37" t="s">
        <v>1288</v>
      </c>
      <c r="E1809" s="892">
        <v>42027</v>
      </c>
      <c r="F1809" s="893" t="s">
        <v>497</v>
      </c>
      <c r="G1809" s="894" t="s">
        <v>968</v>
      </c>
      <c r="H1809" s="888" t="s">
        <v>1287</v>
      </c>
      <c r="I1809" s="889">
        <v>290</v>
      </c>
      <c r="J1809" s="889">
        <v>47468.927835051545</v>
      </c>
      <c r="K1809" s="890">
        <f t="shared" si="124"/>
        <v>13765989</v>
      </c>
      <c r="L1809" s="891" t="s">
        <v>417</v>
      </c>
      <c r="M1809" s="891" t="s">
        <v>160</v>
      </c>
      <c r="N1809" s="51" t="str">
        <f>IF(AND('331-CT'!$E$7=TH!H1809,OR(L1809="331",M1809="331")),"331",IF(AND(OR(L1809="131",M1809="131"),H1809='131-CT'!$E$7),"131",""))</f>
        <v/>
      </c>
      <c r="O1809" s="51" t="str">
        <f>IF(AND($B1809&gt;='111'!$N$11,$B1809&lt;='111'!$O$11,OR($L1809=$O$7,$M1809=$O$7)),"x","")</f>
        <v/>
      </c>
      <c r="P1809" s="51" t="str">
        <f>IF(AND($L1809=$O$7,$B1809&lt;'111'!$N$11),"x","")</f>
        <v/>
      </c>
      <c r="Q1809" s="51" t="str">
        <f>IF(AND($M1809=$O$7,$B1809&lt;'111'!$N$11),"x","")</f>
        <v/>
      </c>
      <c r="R1809" s="51" t="str">
        <f>IF(ISERROR(FIND('112'!$M$9,G1809,1)),"",IF((AND(FIND('112'!$M$9,G1809,1)&gt;=1,$B1809&gt;='112'!$N$8,$B1809&lt;='112'!$O$8,OR($L1809='112'!$I$6,$M1809='112'!$I$6))),"x",""))</f>
        <v/>
      </c>
      <c r="S1809" s="51" t="str">
        <f>IF(ISERROR(FIND('112'!$M$9,G1809,1)),"",IF((AND(LEFT(G1809,2)=LEFT('112'!$M$9,2),B1809&lt;'112'!$N$8,$L1809='112'!$I$6)),"x",""))</f>
        <v/>
      </c>
      <c r="T1809" s="51" t="str">
        <f>IF(ISERROR(FIND('112'!$M$9,G1809,1)),"",IF((AND(RIGHT(G1809,2)=RIGHT('112'!$M$9,2),B1809&lt;'112'!$N$8,$M1809='112'!$I$6)),"x",""))</f>
        <v/>
      </c>
      <c r="U1809" s="51" t="str">
        <f>IF(AND(L1809="154",'154'!$O$5&lt;=B1809,'154'!$P$5&gt;=B1809),"154",IF(AND(L1809="632",'632'!$L$5&lt;=B1809,'632'!$M$5&gt;=B1809),"632",IF(AND(L1809="642",'642'!$N$5&lt;=B1809,'642'!$O$5&gt;=B1809),"642",IF(AND(L1809="641",'641'!$N$5&lt;=B1809,'641'!$O$5&gt;=B1809),"641",""))))</f>
        <v/>
      </c>
      <c r="V1809" s="51" t="str">
        <f>IF(OR(TH!L1809=TH!$V$7,M1809=TH!$V$7),"x","")</f>
        <v/>
      </c>
      <c r="W1809" s="51" t="str">
        <f>IF(AND(B1809&gt;='IN-NX'!$P$3,B1809&lt;='IN-NX'!$Q$3,'IN-NX'!$D$7=D1809,OR(LEFT(L1809,2)="15",AND(LEFT(M1809,2)&lt;&gt;"15",LEFT(M1809,2)&lt;&gt;"33"))),"x","")</f>
        <v/>
      </c>
      <c r="X1809" s="51" t="str">
        <f>IF(AND(OR(LEFT(TH!L1809,2)="15",LEFT(TH!M1809,2)="15"),'152-CT'!$J$8=TH!F1809),"x","")</f>
        <v/>
      </c>
      <c r="Y1809" s="51" t="str">
        <f>IF(AND(OR(LEFT(TH!L1809,2)="15",LEFT(TH!M1809,2)="15"),TK!$E$7=TH!F1809),"x","")</f>
        <v/>
      </c>
      <c r="Z1809" s="51" t="str">
        <f>IF(AND(B1809&lt;=NKC!$N$8,B1809&gt;=NKC!$M$8),"x","")</f>
        <v/>
      </c>
      <c r="AA1809" s="803"/>
    </row>
    <row r="1810" spans="1:27" ht="15.75" customHeight="1">
      <c r="A1810" s="804" t="str">
        <f>IF(B1810&lt;&gt;"",IF(AND(B1810&gt;=_TM1,B1810&lt;=_TM2,OR(TH!L1810="1111",TH!M1810="1111")),TH!D1810,""),"")</f>
        <v/>
      </c>
      <c r="B1810" s="36">
        <f t="shared" si="123"/>
        <v>1</v>
      </c>
      <c r="C1810" s="189">
        <f t="shared" si="118"/>
        <v>42028</v>
      </c>
      <c r="D1810" s="37" t="s">
        <v>1288</v>
      </c>
      <c r="E1810" s="892">
        <v>42028</v>
      </c>
      <c r="F1810" s="893" t="s">
        <v>1177</v>
      </c>
      <c r="G1810" s="894" t="s">
        <v>969</v>
      </c>
      <c r="H1810" s="888" t="s">
        <v>1287</v>
      </c>
      <c r="I1810" s="889">
        <v>30</v>
      </c>
      <c r="J1810" s="889">
        <v>14670.927835051547</v>
      </c>
      <c r="K1810" s="890">
        <f t="shared" si="124"/>
        <v>440128</v>
      </c>
      <c r="L1810" s="891" t="s">
        <v>417</v>
      </c>
      <c r="M1810" s="891" t="s">
        <v>160</v>
      </c>
      <c r="N1810" s="51" t="str">
        <f>IF(AND('331-CT'!$E$7=TH!H1810,OR(L1810="331",M1810="331")),"331",IF(AND(OR(L1810="131",M1810="131"),H1810='131-CT'!$E$7),"131",""))</f>
        <v/>
      </c>
      <c r="O1810" s="51" t="str">
        <f>IF(AND($B1810&gt;='111'!$N$11,$B1810&lt;='111'!$O$11,OR($L1810=$O$7,$M1810=$O$7)),"x","")</f>
        <v/>
      </c>
      <c r="P1810" s="51" t="str">
        <f>IF(AND($L1810=$O$7,$B1810&lt;'111'!$N$11),"x","")</f>
        <v/>
      </c>
      <c r="Q1810" s="51" t="str">
        <f>IF(AND($M1810=$O$7,$B1810&lt;'111'!$N$11),"x","")</f>
        <v/>
      </c>
      <c r="R1810" s="51" t="str">
        <f>IF(ISERROR(FIND('112'!$M$9,G1810,1)),"",IF((AND(FIND('112'!$M$9,G1810,1)&gt;=1,$B1810&gt;='112'!$N$8,$B1810&lt;='112'!$O$8,OR($L1810='112'!$I$6,$M1810='112'!$I$6))),"x",""))</f>
        <v/>
      </c>
      <c r="S1810" s="51" t="str">
        <f>IF(ISERROR(FIND('112'!$M$9,G1810,1)),"",IF((AND(LEFT(G1810,2)=LEFT('112'!$M$9,2),B1810&lt;'112'!$N$8,$L1810='112'!$I$6)),"x",""))</f>
        <v/>
      </c>
      <c r="T1810" s="51" t="str">
        <f>IF(ISERROR(FIND('112'!$M$9,G1810,1)),"",IF((AND(RIGHT(G1810,2)=RIGHT('112'!$M$9,2),B1810&lt;'112'!$N$8,$M1810='112'!$I$6)),"x",""))</f>
        <v/>
      </c>
      <c r="U1810" s="51" t="str">
        <f>IF(AND(L1810="154",'154'!$O$5&lt;=B1810,'154'!$P$5&gt;=B1810),"154",IF(AND(L1810="632",'632'!$L$5&lt;=B1810,'632'!$M$5&gt;=B1810),"632",IF(AND(L1810="642",'642'!$N$5&lt;=B1810,'642'!$O$5&gt;=B1810),"642",IF(AND(L1810="641",'641'!$N$5&lt;=B1810,'641'!$O$5&gt;=B1810),"641",""))))</f>
        <v/>
      </c>
      <c r="V1810" s="51" t="str">
        <f>IF(OR(TH!L1810=TH!$V$7,M1810=TH!$V$7),"x","")</f>
        <v/>
      </c>
      <c r="W1810" s="51" t="str">
        <f>IF(AND(B1810&gt;='IN-NX'!$P$3,B1810&lt;='IN-NX'!$Q$3,'IN-NX'!$D$7=D1810,OR(LEFT(L1810,2)="15",AND(LEFT(M1810,2)&lt;&gt;"15",LEFT(M1810,2)&lt;&gt;"33"))),"x","")</f>
        <v/>
      </c>
      <c r="X1810" s="51" t="str">
        <f>IF(AND(OR(LEFT(TH!L1810,2)="15",LEFT(TH!M1810,2)="15"),'152-CT'!$J$8=TH!F1810),"x","")</f>
        <v/>
      </c>
      <c r="Y1810" s="51" t="str">
        <f>IF(AND(OR(LEFT(TH!L1810,2)="15",LEFT(TH!M1810,2)="15"),TK!$E$7=TH!F1810),"x","")</f>
        <v/>
      </c>
      <c r="Z1810" s="51" t="str">
        <f>IF(AND(B1810&lt;=NKC!$N$8,B1810&gt;=NKC!$M$8),"x","")</f>
        <v/>
      </c>
      <c r="AA1810" s="803"/>
    </row>
    <row r="1811" spans="1:27" ht="15.75" customHeight="1">
      <c r="A1811" s="804" t="str">
        <f>IF(B1811&lt;&gt;"",IF(AND(B1811&gt;=_TM1,B1811&lt;=_TM2,OR(TH!L1811="1111",TH!M1811="1111")),TH!D1811,""),"")</f>
        <v/>
      </c>
      <c r="B1811" s="36">
        <f t="shared" ref="B1811:B1842" si="125">IF(C1811&lt;&gt;"",MONTH(C1811),"")</f>
        <v>1</v>
      </c>
      <c r="C1811" s="189">
        <f t="shared" si="118"/>
        <v>42028</v>
      </c>
      <c r="D1811" s="37" t="s">
        <v>1288</v>
      </c>
      <c r="E1811" s="892">
        <v>42028</v>
      </c>
      <c r="F1811" s="893" t="s">
        <v>1178</v>
      </c>
      <c r="G1811" s="894" t="s">
        <v>969</v>
      </c>
      <c r="H1811" s="888" t="s">
        <v>1287</v>
      </c>
      <c r="I1811" s="889">
        <v>42</v>
      </c>
      <c r="J1811" s="889">
        <v>12851.927835051547</v>
      </c>
      <c r="K1811" s="890">
        <f t="shared" si="124"/>
        <v>539781</v>
      </c>
      <c r="L1811" s="891" t="s">
        <v>417</v>
      </c>
      <c r="M1811" s="891" t="s">
        <v>160</v>
      </c>
      <c r="N1811" s="51" t="str">
        <f>IF(AND('331-CT'!$E$7=TH!H1811,OR(L1811="331",M1811="331")),"331",IF(AND(OR(L1811="131",M1811="131"),H1811='131-CT'!$E$7),"131",""))</f>
        <v/>
      </c>
      <c r="O1811" s="51" t="str">
        <f>IF(AND($B1811&gt;='111'!$N$11,$B1811&lt;='111'!$O$11,OR($L1811=$O$7,$M1811=$O$7)),"x","")</f>
        <v/>
      </c>
      <c r="P1811" s="51" t="str">
        <f>IF(AND($L1811=$O$7,$B1811&lt;'111'!$N$11),"x","")</f>
        <v/>
      </c>
      <c r="Q1811" s="51" t="str">
        <f>IF(AND($M1811=$O$7,$B1811&lt;'111'!$N$11),"x","")</f>
        <v/>
      </c>
      <c r="R1811" s="51" t="str">
        <f>IF(ISERROR(FIND('112'!$M$9,G1811,1)),"",IF((AND(FIND('112'!$M$9,G1811,1)&gt;=1,$B1811&gt;='112'!$N$8,$B1811&lt;='112'!$O$8,OR($L1811='112'!$I$6,$M1811='112'!$I$6))),"x",""))</f>
        <v/>
      </c>
      <c r="S1811" s="51" t="str">
        <f>IF(ISERROR(FIND('112'!$M$9,G1811,1)),"",IF((AND(LEFT(G1811,2)=LEFT('112'!$M$9,2),B1811&lt;'112'!$N$8,$L1811='112'!$I$6)),"x",""))</f>
        <v/>
      </c>
      <c r="T1811" s="51" t="str">
        <f>IF(ISERROR(FIND('112'!$M$9,G1811,1)),"",IF((AND(RIGHT(G1811,2)=RIGHT('112'!$M$9,2),B1811&lt;'112'!$N$8,$M1811='112'!$I$6)),"x",""))</f>
        <v/>
      </c>
      <c r="U1811" s="51" t="str">
        <f>IF(AND(L1811="154",'154'!$O$5&lt;=B1811,'154'!$P$5&gt;=B1811),"154",IF(AND(L1811="632",'632'!$L$5&lt;=B1811,'632'!$M$5&gt;=B1811),"632",IF(AND(L1811="642",'642'!$N$5&lt;=B1811,'642'!$O$5&gt;=B1811),"642",IF(AND(L1811="641",'641'!$N$5&lt;=B1811,'641'!$O$5&gt;=B1811),"641",""))))</f>
        <v/>
      </c>
      <c r="V1811" s="51" t="str">
        <f>IF(OR(TH!L1811=TH!$V$7,M1811=TH!$V$7),"x","")</f>
        <v/>
      </c>
      <c r="W1811" s="51" t="str">
        <f>IF(AND(B1811&gt;='IN-NX'!$P$3,B1811&lt;='IN-NX'!$Q$3,'IN-NX'!$D$7=D1811,OR(LEFT(L1811,2)="15",AND(LEFT(M1811,2)&lt;&gt;"15",LEFT(M1811,2)&lt;&gt;"33"))),"x","")</f>
        <v/>
      </c>
      <c r="X1811" s="51" t="str">
        <f>IF(AND(OR(LEFT(TH!L1811,2)="15",LEFT(TH!M1811,2)="15"),'152-CT'!$J$8=TH!F1811),"x","")</f>
        <v/>
      </c>
      <c r="Y1811" s="51" t="str">
        <f>IF(AND(OR(LEFT(TH!L1811,2)="15",LEFT(TH!M1811,2)="15"),TK!$E$7=TH!F1811),"x","")</f>
        <v/>
      </c>
      <c r="Z1811" s="51" t="str">
        <f>IF(AND(B1811&lt;=NKC!$N$8,B1811&gt;=NKC!$M$8),"x","")</f>
        <v/>
      </c>
      <c r="AA1811" s="803"/>
    </row>
    <row r="1812" spans="1:27" ht="15.75" customHeight="1">
      <c r="A1812" s="804" t="str">
        <f>IF(B1812&lt;&gt;"",IF(AND(B1812&gt;=_TM1,B1812&lt;=_TM2,OR(TH!L1812="1111",TH!M1812="1111")),TH!D1812,""),"")</f>
        <v/>
      </c>
      <c r="B1812" s="36">
        <f t="shared" si="125"/>
        <v>1</v>
      </c>
      <c r="C1812" s="189">
        <f t="shared" si="118"/>
        <v>42030</v>
      </c>
      <c r="D1812" s="37" t="s">
        <v>1288</v>
      </c>
      <c r="E1812" s="892">
        <v>42030</v>
      </c>
      <c r="F1812" s="893" t="s">
        <v>1179</v>
      </c>
      <c r="G1812" s="894" t="s">
        <v>542</v>
      </c>
      <c r="H1812" s="888" t="s">
        <v>1287</v>
      </c>
      <c r="I1812" s="889">
        <v>345</v>
      </c>
      <c r="J1812" s="889">
        <v>9601.9626176602414</v>
      </c>
      <c r="K1812" s="890">
        <f t="shared" si="124"/>
        <v>3312677</v>
      </c>
      <c r="L1812" s="891" t="s">
        <v>417</v>
      </c>
      <c r="M1812" s="891" t="s">
        <v>160</v>
      </c>
      <c r="N1812" s="51" t="str">
        <f>IF(AND('331-CT'!$E$7=TH!H1812,OR(L1812="331",M1812="331")),"331",IF(AND(OR(L1812="131",M1812="131"),H1812='131-CT'!$E$7),"131",""))</f>
        <v/>
      </c>
      <c r="O1812" s="51" t="str">
        <f>IF(AND($B1812&gt;='111'!$N$11,$B1812&lt;='111'!$O$11,OR($L1812=$O$7,$M1812=$O$7)),"x","")</f>
        <v/>
      </c>
      <c r="P1812" s="51" t="str">
        <f>IF(AND($L1812=$O$7,$B1812&lt;'111'!$N$11),"x","")</f>
        <v/>
      </c>
      <c r="Q1812" s="51" t="str">
        <f>IF(AND($M1812=$O$7,$B1812&lt;'111'!$N$11),"x","")</f>
        <v/>
      </c>
      <c r="R1812" s="51" t="str">
        <f>IF(ISERROR(FIND('112'!$M$9,G1812,1)),"",IF((AND(FIND('112'!$M$9,G1812,1)&gt;=1,$B1812&gt;='112'!$N$8,$B1812&lt;='112'!$O$8,OR($L1812='112'!$I$6,$M1812='112'!$I$6))),"x",""))</f>
        <v/>
      </c>
      <c r="S1812" s="51" t="str">
        <f>IF(ISERROR(FIND('112'!$M$9,G1812,1)),"",IF((AND(LEFT(G1812,2)=LEFT('112'!$M$9,2),B1812&lt;'112'!$N$8,$L1812='112'!$I$6)),"x",""))</f>
        <v/>
      </c>
      <c r="T1812" s="51" t="str">
        <f>IF(ISERROR(FIND('112'!$M$9,G1812,1)),"",IF((AND(RIGHT(G1812,2)=RIGHT('112'!$M$9,2),B1812&lt;'112'!$N$8,$M1812='112'!$I$6)),"x",""))</f>
        <v/>
      </c>
      <c r="U1812" s="51" t="str">
        <f>IF(AND(L1812="154",'154'!$O$5&lt;=B1812,'154'!$P$5&gt;=B1812),"154",IF(AND(L1812="632",'632'!$L$5&lt;=B1812,'632'!$M$5&gt;=B1812),"632",IF(AND(L1812="642",'642'!$N$5&lt;=B1812,'642'!$O$5&gt;=B1812),"642",IF(AND(L1812="641",'641'!$N$5&lt;=B1812,'641'!$O$5&gt;=B1812),"641",""))))</f>
        <v/>
      </c>
      <c r="V1812" s="51" t="str">
        <f>IF(OR(TH!L1812=TH!$V$7,M1812=TH!$V$7),"x","")</f>
        <v/>
      </c>
      <c r="W1812" s="51" t="str">
        <f>IF(AND(B1812&gt;='IN-NX'!$P$3,B1812&lt;='IN-NX'!$Q$3,'IN-NX'!$D$7=D1812,OR(LEFT(L1812,2)="15",AND(LEFT(M1812,2)&lt;&gt;"15",LEFT(M1812,2)&lt;&gt;"33"))),"x","")</f>
        <v/>
      </c>
      <c r="X1812" s="51" t="str">
        <f>IF(AND(OR(LEFT(TH!L1812,2)="15",LEFT(TH!M1812,2)="15"),'152-CT'!$J$8=TH!F1812),"x","")</f>
        <v/>
      </c>
      <c r="Y1812" s="51" t="str">
        <f>IF(AND(OR(LEFT(TH!L1812,2)="15",LEFT(TH!M1812,2)="15"),TK!$E$7=TH!F1812),"x","")</f>
        <v/>
      </c>
      <c r="Z1812" s="51" t="str">
        <f>IF(AND(B1812&lt;=NKC!$N$8,B1812&gt;=NKC!$M$8),"x","")</f>
        <v/>
      </c>
      <c r="AA1812" s="803"/>
    </row>
    <row r="1813" spans="1:27" ht="15.75" customHeight="1">
      <c r="A1813" s="804" t="str">
        <f>IF(B1813&lt;&gt;"",IF(AND(B1813&gt;=_TM1,B1813&lt;=_TM2,OR(TH!L1813="1111",TH!M1813="1111")),TH!D1813,""),"")</f>
        <v/>
      </c>
      <c r="B1813" s="36">
        <f t="shared" si="125"/>
        <v>1</v>
      </c>
      <c r="C1813" s="189">
        <f t="shared" si="118"/>
        <v>42030</v>
      </c>
      <c r="D1813" s="37" t="s">
        <v>1288</v>
      </c>
      <c r="E1813" s="892">
        <v>42030</v>
      </c>
      <c r="F1813" s="893" t="s">
        <v>1180</v>
      </c>
      <c r="G1813" s="894" t="s">
        <v>542</v>
      </c>
      <c r="H1813" s="888" t="s">
        <v>1287</v>
      </c>
      <c r="I1813" s="889">
        <v>276</v>
      </c>
      <c r="J1813" s="889">
        <v>10108.058269834157</v>
      </c>
      <c r="K1813" s="890">
        <f t="shared" si="124"/>
        <v>2789824</v>
      </c>
      <c r="L1813" s="891" t="s">
        <v>417</v>
      </c>
      <c r="M1813" s="891" t="s">
        <v>160</v>
      </c>
      <c r="N1813" s="51" t="str">
        <f>IF(AND('331-CT'!$E$7=TH!H1813,OR(L1813="331",M1813="331")),"331",IF(AND(OR(L1813="131",M1813="131"),H1813='131-CT'!$E$7),"131",""))</f>
        <v/>
      </c>
      <c r="O1813" s="51" t="str">
        <f>IF(AND($B1813&gt;='111'!$N$11,$B1813&lt;='111'!$O$11,OR($L1813=$O$7,$M1813=$O$7)),"x","")</f>
        <v/>
      </c>
      <c r="P1813" s="51" t="str">
        <f>IF(AND($L1813=$O$7,$B1813&lt;'111'!$N$11),"x","")</f>
        <v/>
      </c>
      <c r="Q1813" s="51" t="str">
        <f>IF(AND($M1813=$O$7,$B1813&lt;'111'!$N$11),"x","")</f>
        <v/>
      </c>
      <c r="R1813" s="51" t="str">
        <f>IF(ISERROR(FIND('112'!$M$9,G1813,1)),"",IF((AND(FIND('112'!$M$9,G1813,1)&gt;=1,$B1813&gt;='112'!$N$8,$B1813&lt;='112'!$O$8,OR($L1813='112'!$I$6,$M1813='112'!$I$6))),"x",""))</f>
        <v/>
      </c>
      <c r="S1813" s="51" t="str">
        <f>IF(ISERROR(FIND('112'!$M$9,G1813,1)),"",IF((AND(LEFT(G1813,2)=LEFT('112'!$M$9,2),B1813&lt;'112'!$N$8,$L1813='112'!$I$6)),"x",""))</f>
        <v/>
      </c>
      <c r="T1813" s="51" t="str">
        <f>IF(ISERROR(FIND('112'!$M$9,G1813,1)),"",IF((AND(RIGHT(G1813,2)=RIGHT('112'!$M$9,2),B1813&lt;'112'!$N$8,$M1813='112'!$I$6)),"x",""))</f>
        <v/>
      </c>
      <c r="U1813" s="51" t="str">
        <f>IF(AND(L1813="154",'154'!$O$5&lt;=B1813,'154'!$P$5&gt;=B1813),"154",IF(AND(L1813="632",'632'!$L$5&lt;=B1813,'632'!$M$5&gt;=B1813),"632",IF(AND(L1813="642",'642'!$N$5&lt;=B1813,'642'!$O$5&gt;=B1813),"642",IF(AND(L1813="641",'641'!$N$5&lt;=B1813,'641'!$O$5&gt;=B1813),"641",""))))</f>
        <v/>
      </c>
      <c r="V1813" s="51" t="str">
        <f>IF(OR(TH!L1813=TH!$V$7,M1813=TH!$V$7),"x","")</f>
        <v/>
      </c>
      <c r="W1813" s="51" t="str">
        <f>IF(AND(B1813&gt;='IN-NX'!$P$3,B1813&lt;='IN-NX'!$Q$3,'IN-NX'!$D$7=D1813,OR(LEFT(L1813,2)="15",AND(LEFT(M1813,2)&lt;&gt;"15",LEFT(M1813,2)&lt;&gt;"33"))),"x","")</f>
        <v/>
      </c>
      <c r="X1813" s="51" t="str">
        <f>IF(AND(OR(LEFT(TH!L1813,2)="15",LEFT(TH!M1813,2)="15"),'152-CT'!$J$8=TH!F1813),"x","")</f>
        <v/>
      </c>
      <c r="Y1813" s="51" t="str">
        <f>IF(AND(OR(LEFT(TH!L1813,2)="15",LEFT(TH!M1813,2)="15"),TK!$E$7=TH!F1813),"x","")</f>
        <v/>
      </c>
      <c r="Z1813" s="51" t="str">
        <f>IF(AND(B1813&lt;=NKC!$N$8,B1813&gt;=NKC!$M$8),"x","")</f>
        <v/>
      </c>
      <c r="AA1813" s="803"/>
    </row>
    <row r="1814" spans="1:27" ht="15.75" customHeight="1">
      <c r="A1814" s="804" t="str">
        <f>IF(B1814&lt;&gt;"",IF(AND(B1814&gt;=_TM1,B1814&lt;=_TM2,OR(TH!L1814="1111",TH!M1814="1111")),TH!D1814,""),"")</f>
        <v/>
      </c>
      <c r="B1814" s="36">
        <f t="shared" si="125"/>
        <v>1</v>
      </c>
      <c r="C1814" s="189">
        <f t="shared" si="118"/>
        <v>42031</v>
      </c>
      <c r="D1814" s="37" t="s">
        <v>1288</v>
      </c>
      <c r="E1814" s="892">
        <v>42031</v>
      </c>
      <c r="F1814" s="893" t="s">
        <v>1181</v>
      </c>
      <c r="G1814" s="894" t="s">
        <v>971</v>
      </c>
      <c r="H1814" s="888" t="s">
        <v>1287</v>
      </c>
      <c r="I1814" s="889">
        <v>309</v>
      </c>
      <c r="J1814" s="889">
        <v>7646.3809094852031</v>
      </c>
      <c r="K1814" s="890">
        <f t="shared" si="124"/>
        <v>2362732</v>
      </c>
      <c r="L1814" s="891" t="s">
        <v>417</v>
      </c>
      <c r="M1814" s="891" t="s">
        <v>160</v>
      </c>
      <c r="N1814" s="51" t="str">
        <f>IF(AND('331-CT'!$E$7=TH!H1814,OR(L1814="331",M1814="331")),"331",IF(AND(OR(L1814="131",M1814="131"),H1814='131-CT'!$E$7),"131",""))</f>
        <v/>
      </c>
      <c r="O1814" s="51" t="str">
        <f>IF(AND($B1814&gt;='111'!$N$11,$B1814&lt;='111'!$O$11,OR($L1814=$O$7,$M1814=$O$7)),"x","")</f>
        <v/>
      </c>
      <c r="P1814" s="51" t="str">
        <f>IF(AND($L1814=$O$7,$B1814&lt;'111'!$N$11),"x","")</f>
        <v/>
      </c>
      <c r="Q1814" s="51" t="str">
        <f>IF(AND($M1814=$O$7,$B1814&lt;'111'!$N$11),"x","")</f>
        <v/>
      </c>
      <c r="R1814" s="51" t="str">
        <f>IF(ISERROR(FIND('112'!$M$9,G1814,1)),"",IF((AND(FIND('112'!$M$9,G1814,1)&gt;=1,$B1814&gt;='112'!$N$8,$B1814&lt;='112'!$O$8,OR($L1814='112'!$I$6,$M1814='112'!$I$6))),"x",""))</f>
        <v/>
      </c>
      <c r="S1814" s="51" t="str">
        <f>IF(ISERROR(FIND('112'!$M$9,G1814,1)),"",IF((AND(LEFT(G1814,2)=LEFT('112'!$M$9,2),B1814&lt;'112'!$N$8,$L1814='112'!$I$6)),"x",""))</f>
        <v/>
      </c>
      <c r="T1814" s="51" t="str">
        <f>IF(ISERROR(FIND('112'!$M$9,G1814,1)),"",IF((AND(RIGHT(G1814,2)=RIGHT('112'!$M$9,2),B1814&lt;'112'!$N$8,$M1814='112'!$I$6)),"x",""))</f>
        <v/>
      </c>
      <c r="U1814" s="51" t="str">
        <f>IF(AND(L1814="154",'154'!$O$5&lt;=B1814,'154'!$P$5&gt;=B1814),"154",IF(AND(L1814="632",'632'!$L$5&lt;=B1814,'632'!$M$5&gt;=B1814),"632",IF(AND(L1814="642",'642'!$N$5&lt;=B1814,'642'!$O$5&gt;=B1814),"642",IF(AND(L1814="641",'641'!$N$5&lt;=B1814,'641'!$O$5&gt;=B1814),"641",""))))</f>
        <v/>
      </c>
      <c r="V1814" s="51" t="str">
        <f>IF(OR(TH!L1814=TH!$V$7,M1814=TH!$V$7),"x","")</f>
        <v/>
      </c>
      <c r="W1814" s="51" t="str">
        <f>IF(AND(B1814&gt;='IN-NX'!$P$3,B1814&lt;='IN-NX'!$Q$3,'IN-NX'!$D$7=D1814,OR(LEFT(L1814,2)="15",AND(LEFT(M1814,2)&lt;&gt;"15",LEFT(M1814,2)&lt;&gt;"33"))),"x","")</f>
        <v/>
      </c>
      <c r="X1814" s="51" t="str">
        <f>IF(AND(OR(LEFT(TH!L1814,2)="15",LEFT(TH!M1814,2)="15"),'152-CT'!$J$8=TH!F1814),"x","")</f>
        <v/>
      </c>
      <c r="Y1814" s="51" t="str">
        <f>IF(AND(OR(LEFT(TH!L1814,2)="15",LEFT(TH!M1814,2)="15"),TK!$E$7=TH!F1814),"x","")</f>
        <v/>
      </c>
      <c r="Z1814" s="51" t="str">
        <f>IF(AND(B1814&lt;=NKC!$N$8,B1814&gt;=NKC!$M$8),"x","")</f>
        <v/>
      </c>
      <c r="AA1814" s="803"/>
    </row>
    <row r="1815" spans="1:27" ht="15.75" customHeight="1">
      <c r="A1815" s="804" t="str">
        <f>IF(B1815&lt;&gt;"",IF(AND(B1815&gt;=_TM1,B1815&lt;=_TM2,OR(TH!L1815="1111",TH!M1815="1111")),TH!D1815,""),"")</f>
        <v/>
      </c>
      <c r="B1815" s="36">
        <f t="shared" si="125"/>
        <v>1</v>
      </c>
      <c r="C1815" s="189">
        <f t="shared" si="118"/>
        <v>42034</v>
      </c>
      <c r="D1815" s="37" t="s">
        <v>1288</v>
      </c>
      <c r="E1815" s="885">
        <v>42034</v>
      </c>
      <c r="F1815" s="886" t="s">
        <v>1182</v>
      </c>
      <c r="G1815" s="887" t="s">
        <v>973</v>
      </c>
      <c r="H1815" s="888" t="s">
        <v>1287</v>
      </c>
      <c r="I1815" s="889">
        <v>128</v>
      </c>
      <c r="J1815" s="889">
        <v>32410.177835051545</v>
      </c>
      <c r="K1815" s="890">
        <f t="shared" si="124"/>
        <v>4148503</v>
      </c>
      <c r="L1815" s="891" t="s">
        <v>417</v>
      </c>
      <c r="M1815" s="891" t="s">
        <v>160</v>
      </c>
      <c r="N1815" s="51" t="str">
        <f>IF(AND('331-CT'!$E$7=TH!H1815,OR(L1815="331",M1815="331")),"331",IF(AND(OR(L1815="131",M1815="131"),H1815='131-CT'!$E$7),"131",""))</f>
        <v/>
      </c>
      <c r="O1815" s="51" t="str">
        <f>IF(AND($B1815&gt;='111'!$N$11,$B1815&lt;='111'!$O$11,OR($L1815=$O$7,$M1815=$O$7)),"x","")</f>
        <v/>
      </c>
      <c r="P1815" s="51" t="str">
        <f>IF(AND($L1815=$O$7,$B1815&lt;'111'!$N$11),"x","")</f>
        <v/>
      </c>
      <c r="Q1815" s="51" t="str">
        <f>IF(AND($M1815=$O$7,$B1815&lt;'111'!$N$11),"x","")</f>
        <v/>
      </c>
      <c r="R1815" s="51" t="str">
        <f>IF(ISERROR(FIND('112'!$M$9,G1815,1)),"",IF((AND(FIND('112'!$M$9,G1815,1)&gt;=1,$B1815&gt;='112'!$N$8,$B1815&lt;='112'!$O$8,OR($L1815='112'!$I$6,$M1815='112'!$I$6))),"x",""))</f>
        <v/>
      </c>
      <c r="S1815" s="51" t="str">
        <f>IF(ISERROR(FIND('112'!$M$9,G1815,1)),"",IF((AND(LEFT(G1815,2)=LEFT('112'!$M$9,2),B1815&lt;'112'!$N$8,$L1815='112'!$I$6)),"x",""))</f>
        <v/>
      </c>
      <c r="T1815" s="51" t="str">
        <f>IF(ISERROR(FIND('112'!$M$9,G1815,1)),"",IF((AND(RIGHT(G1815,2)=RIGHT('112'!$M$9,2),B1815&lt;'112'!$N$8,$M1815='112'!$I$6)),"x",""))</f>
        <v/>
      </c>
      <c r="U1815" s="51" t="str">
        <f>IF(AND(L1815="154",'154'!$O$5&lt;=B1815,'154'!$P$5&gt;=B1815),"154",IF(AND(L1815="632",'632'!$L$5&lt;=B1815,'632'!$M$5&gt;=B1815),"632",IF(AND(L1815="642",'642'!$N$5&lt;=B1815,'642'!$O$5&gt;=B1815),"642",IF(AND(L1815="641",'641'!$N$5&lt;=B1815,'641'!$O$5&gt;=B1815),"641",""))))</f>
        <v/>
      </c>
      <c r="V1815" s="51" t="str">
        <f>IF(OR(TH!L1815=TH!$V$7,M1815=TH!$V$7),"x","")</f>
        <v/>
      </c>
      <c r="W1815" s="51" t="str">
        <f>IF(AND(B1815&gt;='IN-NX'!$P$3,B1815&lt;='IN-NX'!$Q$3,'IN-NX'!$D$7=D1815,OR(LEFT(L1815,2)="15",AND(LEFT(M1815,2)&lt;&gt;"15",LEFT(M1815,2)&lt;&gt;"33"))),"x","")</f>
        <v/>
      </c>
      <c r="X1815" s="51" t="str">
        <f>IF(AND(OR(LEFT(TH!L1815,2)="15",LEFT(TH!M1815,2)="15"),'152-CT'!$J$8=TH!F1815),"x","")</f>
        <v/>
      </c>
      <c r="Y1815" s="51" t="str">
        <f>IF(AND(OR(LEFT(TH!L1815,2)="15",LEFT(TH!M1815,2)="15"),TK!$E$7=TH!F1815),"x","")</f>
        <v/>
      </c>
      <c r="Z1815" s="51" t="str">
        <f>IF(AND(B1815&lt;=NKC!$N$8,B1815&gt;=NKC!$M$8),"x","")</f>
        <v/>
      </c>
      <c r="AA1815" s="803"/>
    </row>
    <row r="1816" spans="1:27" ht="15.75" customHeight="1">
      <c r="A1816" s="804" t="str">
        <f>IF(B1816&lt;&gt;"",IF(AND(B1816&gt;=_TM1,B1816&lt;=_TM2,OR(TH!L1816="1111",TH!M1816="1111")),TH!D1816,""),"")</f>
        <v/>
      </c>
      <c r="B1816" s="36">
        <f t="shared" si="125"/>
        <v>1</v>
      </c>
      <c r="C1816" s="189">
        <f t="shared" si="118"/>
        <v>42034</v>
      </c>
      <c r="D1816" s="37" t="s">
        <v>1288</v>
      </c>
      <c r="E1816" s="885">
        <v>42034</v>
      </c>
      <c r="F1816" s="886" t="s">
        <v>1183</v>
      </c>
      <c r="G1816" s="887" t="s">
        <v>973</v>
      </c>
      <c r="H1816" s="888" t="s">
        <v>1287</v>
      </c>
      <c r="I1816" s="889">
        <v>128</v>
      </c>
      <c r="J1816" s="889">
        <v>60630.920022551545</v>
      </c>
      <c r="K1816" s="890">
        <f t="shared" si="124"/>
        <v>7760758</v>
      </c>
      <c r="L1816" s="891" t="s">
        <v>417</v>
      </c>
      <c r="M1816" s="891" t="s">
        <v>160</v>
      </c>
      <c r="N1816" s="51" t="str">
        <f>IF(AND('331-CT'!$E$7=TH!H1816,OR(L1816="331",M1816="331")),"331",IF(AND(OR(L1816="131",M1816="131"),H1816='131-CT'!$E$7),"131",""))</f>
        <v/>
      </c>
      <c r="O1816" s="51" t="str">
        <f>IF(AND($B1816&gt;='111'!$N$11,$B1816&lt;='111'!$O$11,OR($L1816=$O$7,$M1816=$O$7)),"x","")</f>
        <v/>
      </c>
      <c r="P1816" s="51" t="str">
        <f>IF(AND($L1816=$O$7,$B1816&lt;'111'!$N$11),"x","")</f>
        <v/>
      </c>
      <c r="Q1816" s="51" t="str">
        <f>IF(AND($M1816=$O$7,$B1816&lt;'111'!$N$11),"x","")</f>
        <v/>
      </c>
      <c r="R1816" s="51" t="str">
        <f>IF(ISERROR(FIND('112'!$M$9,G1816,1)),"",IF((AND(FIND('112'!$M$9,G1816,1)&gt;=1,$B1816&gt;='112'!$N$8,$B1816&lt;='112'!$O$8,OR($L1816='112'!$I$6,$M1816='112'!$I$6))),"x",""))</f>
        <v/>
      </c>
      <c r="S1816" s="51" t="str">
        <f>IF(ISERROR(FIND('112'!$M$9,G1816,1)),"",IF((AND(LEFT(G1816,2)=LEFT('112'!$M$9,2),B1816&lt;'112'!$N$8,$L1816='112'!$I$6)),"x",""))</f>
        <v/>
      </c>
      <c r="T1816" s="51" t="str">
        <f>IF(ISERROR(FIND('112'!$M$9,G1816,1)),"",IF((AND(RIGHT(G1816,2)=RIGHT('112'!$M$9,2),B1816&lt;'112'!$N$8,$M1816='112'!$I$6)),"x",""))</f>
        <v/>
      </c>
      <c r="U1816" s="51" t="str">
        <f>IF(AND(L1816="154",'154'!$O$5&lt;=B1816,'154'!$P$5&gt;=B1816),"154",IF(AND(L1816="632",'632'!$L$5&lt;=B1816,'632'!$M$5&gt;=B1816),"632",IF(AND(L1816="642",'642'!$N$5&lt;=B1816,'642'!$O$5&gt;=B1816),"642",IF(AND(L1816="641",'641'!$N$5&lt;=B1816,'641'!$O$5&gt;=B1816),"641",""))))</f>
        <v/>
      </c>
      <c r="V1816" s="51" t="str">
        <f>IF(OR(TH!L1816=TH!$V$7,M1816=TH!$V$7),"x","")</f>
        <v/>
      </c>
      <c r="W1816" s="51" t="str">
        <f>IF(AND(B1816&gt;='IN-NX'!$P$3,B1816&lt;='IN-NX'!$Q$3,'IN-NX'!$D$7=D1816,OR(LEFT(L1816,2)="15",AND(LEFT(M1816,2)&lt;&gt;"15",LEFT(M1816,2)&lt;&gt;"33"))),"x","")</f>
        <v/>
      </c>
      <c r="X1816" s="51" t="str">
        <f>IF(AND(OR(LEFT(TH!L1816,2)="15",LEFT(TH!M1816,2)="15"),'152-CT'!$J$8=TH!F1816),"x","")</f>
        <v/>
      </c>
      <c r="Y1816" s="51" t="str">
        <f>IF(AND(OR(LEFT(TH!L1816,2)="15",LEFT(TH!M1816,2)="15"),TK!$E$7=TH!F1816),"x","")</f>
        <v/>
      </c>
      <c r="Z1816" s="51" t="str">
        <f>IF(AND(B1816&lt;=NKC!$N$8,B1816&gt;=NKC!$M$8),"x","")</f>
        <v/>
      </c>
      <c r="AA1816" s="803"/>
    </row>
    <row r="1817" spans="1:27" ht="15.75" customHeight="1">
      <c r="A1817" s="804" t="str">
        <f>IF(B1817&lt;&gt;"",IF(AND(B1817&gt;=_TM1,B1817&lt;=_TM2,OR(TH!L1817="1111",TH!M1817="1111")),TH!D1817,""),"")</f>
        <v/>
      </c>
      <c r="B1817" s="36">
        <f t="shared" si="125"/>
        <v>1</v>
      </c>
      <c r="C1817" s="189">
        <f t="shared" si="118"/>
        <v>42034</v>
      </c>
      <c r="D1817" s="37" t="s">
        <v>1288</v>
      </c>
      <c r="E1817" s="885">
        <v>42034</v>
      </c>
      <c r="F1817" s="893" t="s">
        <v>1184</v>
      </c>
      <c r="G1817" s="887" t="s">
        <v>973</v>
      </c>
      <c r="H1817" s="888" t="s">
        <v>1287</v>
      </c>
      <c r="I1817" s="889">
        <v>256</v>
      </c>
      <c r="J1817" s="889">
        <v>55076.779397551545</v>
      </c>
      <c r="K1817" s="890">
        <f t="shared" si="124"/>
        <v>14099656</v>
      </c>
      <c r="L1817" s="891" t="s">
        <v>417</v>
      </c>
      <c r="M1817" s="891" t="s">
        <v>160</v>
      </c>
      <c r="N1817" s="51" t="str">
        <f>IF(AND('331-CT'!$E$7=TH!H1817,OR(L1817="331",M1817="331")),"331",IF(AND(OR(L1817="131",M1817="131"),H1817='131-CT'!$E$7),"131",""))</f>
        <v/>
      </c>
      <c r="O1817" s="51" t="str">
        <f>IF(AND($B1817&gt;='111'!$N$11,$B1817&lt;='111'!$O$11,OR($L1817=$O$7,$M1817=$O$7)),"x","")</f>
        <v/>
      </c>
      <c r="P1817" s="51" t="str">
        <f>IF(AND($L1817=$O$7,$B1817&lt;'111'!$N$11),"x","")</f>
        <v/>
      </c>
      <c r="Q1817" s="51" t="str">
        <f>IF(AND($M1817=$O$7,$B1817&lt;'111'!$N$11),"x","")</f>
        <v/>
      </c>
      <c r="R1817" s="51" t="str">
        <f>IF(ISERROR(FIND('112'!$M$9,G1817,1)),"",IF((AND(FIND('112'!$M$9,G1817,1)&gt;=1,$B1817&gt;='112'!$N$8,$B1817&lt;='112'!$O$8,OR($L1817='112'!$I$6,$M1817='112'!$I$6))),"x",""))</f>
        <v/>
      </c>
      <c r="S1817" s="51" t="str">
        <f>IF(ISERROR(FIND('112'!$M$9,G1817,1)),"",IF((AND(LEFT(G1817,2)=LEFT('112'!$M$9,2),B1817&lt;'112'!$N$8,$L1817='112'!$I$6)),"x",""))</f>
        <v/>
      </c>
      <c r="T1817" s="51" t="str">
        <f>IF(ISERROR(FIND('112'!$M$9,G1817,1)),"",IF((AND(RIGHT(G1817,2)=RIGHT('112'!$M$9,2),B1817&lt;'112'!$N$8,$M1817='112'!$I$6)),"x",""))</f>
        <v/>
      </c>
      <c r="U1817" s="51" t="str">
        <f>IF(AND(L1817="154",'154'!$O$5&lt;=B1817,'154'!$P$5&gt;=B1817),"154",IF(AND(L1817="632",'632'!$L$5&lt;=B1817,'632'!$M$5&gt;=B1817),"632",IF(AND(L1817="642",'642'!$N$5&lt;=B1817,'642'!$O$5&gt;=B1817),"642",IF(AND(L1817="641",'641'!$N$5&lt;=B1817,'641'!$O$5&gt;=B1817),"641",""))))</f>
        <v/>
      </c>
      <c r="V1817" s="51" t="str">
        <f>IF(OR(TH!L1817=TH!$V$7,M1817=TH!$V$7),"x","")</f>
        <v/>
      </c>
      <c r="W1817" s="51" t="str">
        <f>IF(AND(B1817&gt;='IN-NX'!$P$3,B1817&lt;='IN-NX'!$Q$3,'IN-NX'!$D$7=D1817,OR(LEFT(L1817,2)="15",AND(LEFT(M1817,2)&lt;&gt;"15",LEFT(M1817,2)&lt;&gt;"33"))),"x","")</f>
        <v/>
      </c>
      <c r="X1817" s="51" t="str">
        <f>IF(AND(OR(LEFT(TH!L1817,2)="15",LEFT(TH!M1817,2)="15"),'152-CT'!$J$8=TH!F1817),"x","")</f>
        <v/>
      </c>
      <c r="Y1817" s="51" t="str">
        <f>IF(AND(OR(LEFT(TH!L1817,2)="15",LEFT(TH!M1817,2)="15"),TK!$E$7=TH!F1817),"x","")</f>
        <v/>
      </c>
      <c r="Z1817" s="51" t="str">
        <f>IF(AND(B1817&lt;=NKC!$N$8,B1817&gt;=NKC!$M$8),"x","")</f>
        <v/>
      </c>
      <c r="AA1817" s="803"/>
    </row>
    <row r="1818" spans="1:27" ht="15.75" customHeight="1">
      <c r="A1818" s="804" t="str">
        <f>IF(B1818&lt;&gt;"",IF(AND(B1818&gt;=_TM1,B1818&lt;=_TM2,OR(TH!L1818="1111",TH!M1818="1111")),TH!D1818,""),"")</f>
        <v/>
      </c>
      <c r="B1818" s="36">
        <f t="shared" si="125"/>
        <v>2</v>
      </c>
      <c r="C1818" s="189">
        <f t="shared" si="118"/>
        <v>42041</v>
      </c>
      <c r="D1818" s="37" t="s">
        <v>1288</v>
      </c>
      <c r="E1818" s="885">
        <v>42041</v>
      </c>
      <c r="F1818" s="886" t="s">
        <v>497</v>
      </c>
      <c r="G1818" s="887" t="s">
        <v>976</v>
      </c>
      <c r="H1818" s="888" t="s">
        <v>1287</v>
      </c>
      <c r="I1818" s="889">
        <v>509</v>
      </c>
      <c r="J1818" s="889">
        <v>49093.149838980818</v>
      </c>
      <c r="K1818" s="890">
        <f t="shared" si="124"/>
        <v>24988413</v>
      </c>
      <c r="L1818" s="891" t="s">
        <v>417</v>
      </c>
      <c r="M1818" s="891" t="s">
        <v>160</v>
      </c>
      <c r="N1818" s="51" t="str">
        <f>IF(AND('331-CT'!$E$7=TH!H1818,OR(L1818="331",M1818="331")),"331",IF(AND(OR(L1818="131",M1818="131"),H1818='131-CT'!$E$7),"131",""))</f>
        <v/>
      </c>
      <c r="O1818" s="51" t="str">
        <f>IF(AND($B1818&gt;='111'!$N$11,$B1818&lt;='111'!$O$11,OR($L1818=$O$7,$M1818=$O$7)),"x","")</f>
        <v/>
      </c>
      <c r="P1818" s="51" t="str">
        <f>IF(AND($L1818=$O$7,$B1818&lt;'111'!$N$11),"x","")</f>
        <v/>
      </c>
      <c r="Q1818" s="51" t="str">
        <f>IF(AND($M1818=$O$7,$B1818&lt;'111'!$N$11),"x","")</f>
        <v/>
      </c>
      <c r="R1818" s="51" t="str">
        <f>IF(ISERROR(FIND('112'!$M$9,G1818,1)),"",IF((AND(FIND('112'!$M$9,G1818,1)&gt;=1,$B1818&gt;='112'!$N$8,$B1818&lt;='112'!$O$8,OR($L1818='112'!$I$6,$M1818='112'!$I$6))),"x",""))</f>
        <v/>
      </c>
      <c r="S1818" s="51" t="str">
        <f>IF(ISERROR(FIND('112'!$M$9,G1818,1)),"",IF((AND(LEFT(G1818,2)=LEFT('112'!$M$9,2),B1818&lt;'112'!$N$8,$L1818='112'!$I$6)),"x",""))</f>
        <v/>
      </c>
      <c r="T1818" s="51" t="str">
        <f>IF(ISERROR(FIND('112'!$M$9,G1818,1)),"",IF((AND(RIGHT(G1818,2)=RIGHT('112'!$M$9,2),B1818&lt;'112'!$N$8,$M1818='112'!$I$6)),"x",""))</f>
        <v/>
      </c>
      <c r="U1818" s="51" t="str">
        <f>IF(AND(L1818="154",'154'!$O$5&lt;=B1818,'154'!$P$5&gt;=B1818),"154",IF(AND(L1818="632",'632'!$L$5&lt;=B1818,'632'!$M$5&gt;=B1818),"632",IF(AND(L1818="642",'642'!$N$5&lt;=B1818,'642'!$O$5&gt;=B1818),"642",IF(AND(L1818="641",'641'!$N$5&lt;=B1818,'641'!$O$5&gt;=B1818),"641",""))))</f>
        <v/>
      </c>
      <c r="V1818" s="51" t="str">
        <f>IF(OR(TH!L1818=TH!$V$7,M1818=TH!$V$7),"x","")</f>
        <v/>
      </c>
      <c r="W1818" s="51" t="str">
        <f>IF(AND(B1818&gt;='IN-NX'!$P$3,B1818&lt;='IN-NX'!$Q$3,'IN-NX'!$D$7=D1818,OR(LEFT(L1818,2)="15",AND(LEFT(M1818,2)&lt;&gt;"15",LEFT(M1818,2)&lt;&gt;"33"))),"x","")</f>
        <v/>
      </c>
      <c r="X1818" s="51" t="str">
        <f>IF(AND(OR(LEFT(TH!L1818,2)="15",LEFT(TH!M1818,2)="15"),'152-CT'!$J$8=TH!F1818),"x","")</f>
        <v/>
      </c>
      <c r="Y1818" s="51" t="str">
        <f>IF(AND(OR(LEFT(TH!L1818,2)="15",LEFT(TH!M1818,2)="15"),TK!$E$7=TH!F1818),"x","")</f>
        <v/>
      </c>
      <c r="Z1818" s="51" t="str">
        <f>IF(AND(B1818&lt;=NKC!$N$8,B1818&gt;=NKC!$M$8),"x","")</f>
        <v/>
      </c>
      <c r="AA1818" s="803"/>
    </row>
    <row r="1819" spans="1:27" ht="15.75" customHeight="1">
      <c r="A1819" s="804" t="str">
        <f>IF(B1819&lt;&gt;"",IF(AND(B1819&gt;=_TM1,B1819&lt;=_TM2,OR(TH!L1819="1111",TH!M1819="1111")),TH!D1819,""),"")</f>
        <v/>
      </c>
      <c r="B1819" s="36">
        <f t="shared" si="125"/>
        <v>2</v>
      </c>
      <c r="C1819" s="189">
        <f t="shared" si="118"/>
        <v>42041</v>
      </c>
      <c r="D1819" s="37" t="s">
        <v>1288</v>
      </c>
      <c r="E1819" s="885">
        <v>42041</v>
      </c>
      <c r="F1819" s="886" t="s">
        <v>1185</v>
      </c>
      <c r="G1819" s="887" t="s">
        <v>976</v>
      </c>
      <c r="H1819" s="888" t="s">
        <v>1287</v>
      </c>
      <c r="I1819" s="889">
        <v>20</v>
      </c>
      <c r="J1819" s="889">
        <v>51903.927835051545</v>
      </c>
      <c r="K1819" s="890">
        <f t="shared" si="124"/>
        <v>1038079</v>
      </c>
      <c r="L1819" s="891" t="s">
        <v>417</v>
      </c>
      <c r="M1819" s="891" t="s">
        <v>160</v>
      </c>
      <c r="N1819" s="51" t="str">
        <f>IF(AND('331-CT'!$E$7=TH!H1819,OR(L1819="331",M1819="331")),"331",IF(AND(OR(L1819="131",M1819="131"),H1819='131-CT'!$E$7),"131",""))</f>
        <v/>
      </c>
      <c r="O1819" s="51" t="str">
        <f>IF(AND($B1819&gt;='111'!$N$11,$B1819&lt;='111'!$O$11,OR($L1819=$O$7,$M1819=$O$7)),"x","")</f>
        <v/>
      </c>
      <c r="P1819" s="51" t="str">
        <f>IF(AND($L1819=$O$7,$B1819&lt;'111'!$N$11),"x","")</f>
        <v/>
      </c>
      <c r="Q1819" s="51" t="str">
        <f>IF(AND($M1819=$O$7,$B1819&lt;'111'!$N$11),"x","")</f>
        <v/>
      </c>
      <c r="R1819" s="51" t="str">
        <f>IF(ISERROR(FIND('112'!$M$9,G1819,1)),"",IF((AND(FIND('112'!$M$9,G1819,1)&gt;=1,$B1819&gt;='112'!$N$8,$B1819&lt;='112'!$O$8,OR($L1819='112'!$I$6,$M1819='112'!$I$6))),"x",""))</f>
        <v/>
      </c>
      <c r="S1819" s="51" t="str">
        <f>IF(ISERROR(FIND('112'!$M$9,G1819,1)),"",IF((AND(LEFT(G1819,2)=LEFT('112'!$M$9,2),B1819&lt;'112'!$N$8,$L1819='112'!$I$6)),"x",""))</f>
        <v/>
      </c>
      <c r="T1819" s="51" t="str">
        <f>IF(ISERROR(FIND('112'!$M$9,G1819,1)),"",IF((AND(RIGHT(G1819,2)=RIGHT('112'!$M$9,2),B1819&lt;'112'!$N$8,$M1819='112'!$I$6)),"x",""))</f>
        <v/>
      </c>
      <c r="U1819" s="51" t="str">
        <f>IF(AND(L1819="154",'154'!$O$5&lt;=B1819,'154'!$P$5&gt;=B1819),"154",IF(AND(L1819="632",'632'!$L$5&lt;=B1819,'632'!$M$5&gt;=B1819),"632",IF(AND(L1819="642",'642'!$N$5&lt;=B1819,'642'!$O$5&gt;=B1819),"642",IF(AND(L1819="641",'641'!$N$5&lt;=B1819,'641'!$O$5&gt;=B1819),"641",""))))</f>
        <v/>
      </c>
      <c r="V1819" s="51" t="str">
        <f>IF(OR(TH!L1819=TH!$V$7,M1819=TH!$V$7),"x","")</f>
        <v/>
      </c>
      <c r="W1819" s="51" t="str">
        <f>IF(AND(B1819&gt;='IN-NX'!$P$3,B1819&lt;='IN-NX'!$Q$3,'IN-NX'!$D$7=D1819,OR(LEFT(L1819,2)="15",AND(LEFT(M1819,2)&lt;&gt;"15",LEFT(M1819,2)&lt;&gt;"33"))),"x","")</f>
        <v/>
      </c>
      <c r="X1819" s="51" t="str">
        <f>IF(AND(OR(LEFT(TH!L1819,2)="15",LEFT(TH!M1819,2)="15"),'152-CT'!$J$8=TH!F1819),"x","")</f>
        <v/>
      </c>
      <c r="Y1819" s="51" t="str">
        <f>IF(AND(OR(LEFT(TH!L1819,2)="15",LEFT(TH!M1819,2)="15"),TK!$E$7=TH!F1819),"x","")</f>
        <v/>
      </c>
      <c r="Z1819" s="51" t="str">
        <f>IF(AND(B1819&lt;=NKC!$N$8,B1819&gt;=NKC!$M$8),"x","")</f>
        <v/>
      </c>
      <c r="AA1819" s="803"/>
    </row>
    <row r="1820" spans="1:27" ht="15.75" customHeight="1">
      <c r="A1820" s="804" t="str">
        <f>IF(B1820&lt;&gt;"",IF(AND(B1820&gt;=_TM1,B1820&lt;=_TM2,OR(TH!L1820="1111",TH!M1820="1111")),TH!D1820,""),"")</f>
        <v/>
      </c>
      <c r="B1820" s="36">
        <f t="shared" si="125"/>
        <v>2</v>
      </c>
      <c r="C1820" s="189">
        <f t="shared" si="118"/>
        <v>42041</v>
      </c>
      <c r="D1820" s="37" t="s">
        <v>1288</v>
      </c>
      <c r="E1820" s="885">
        <v>42041</v>
      </c>
      <c r="F1820" s="886" t="s">
        <v>1186</v>
      </c>
      <c r="G1820" s="887" t="s">
        <v>976</v>
      </c>
      <c r="H1820" s="888" t="s">
        <v>1287</v>
      </c>
      <c r="I1820" s="889">
        <v>90</v>
      </c>
      <c r="J1820" s="889">
        <v>22979.105612829324</v>
      </c>
      <c r="K1820" s="890">
        <f t="shared" si="124"/>
        <v>2068120</v>
      </c>
      <c r="L1820" s="891" t="s">
        <v>417</v>
      </c>
      <c r="M1820" s="891" t="s">
        <v>160</v>
      </c>
      <c r="N1820" s="51" t="str">
        <f>IF(AND('331-CT'!$E$7=TH!H1820,OR(L1820="331",M1820="331")),"331",IF(AND(OR(L1820="131",M1820="131"),H1820='131-CT'!$E$7),"131",""))</f>
        <v/>
      </c>
      <c r="O1820" s="51" t="str">
        <f>IF(AND($B1820&gt;='111'!$N$11,$B1820&lt;='111'!$O$11,OR($L1820=$O$7,$M1820=$O$7)),"x","")</f>
        <v/>
      </c>
      <c r="P1820" s="51" t="str">
        <f>IF(AND($L1820=$O$7,$B1820&lt;'111'!$N$11),"x","")</f>
        <v/>
      </c>
      <c r="Q1820" s="51" t="str">
        <f>IF(AND($M1820=$O$7,$B1820&lt;'111'!$N$11),"x","")</f>
        <v/>
      </c>
      <c r="R1820" s="51" t="str">
        <f>IF(ISERROR(FIND('112'!$M$9,G1820,1)),"",IF((AND(FIND('112'!$M$9,G1820,1)&gt;=1,$B1820&gt;='112'!$N$8,$B1820&lt;='112'!$O$8,OR($L1820='112'!$I$6,$M1820='112'!$I$6))),"x",""))</f>
        <v/>
      </c>
      <c r="S1820" s="51" t="str">
        <f>IF(ISERROR(FIND('112'!$M$9,G1820,1)),"",IF((AND(LEFT(G1820,2)=LEFT('112'!$M$9,2),B1820&lt;'112'!$N$8,$L1820='112'!$I$6)),"x",""))</f>
        <v/>
      </c>
      <c r="T1820" s="51" t="str">
        <f>IF(ISERROR(FIND('112'!$M$9,G1820,1)),"",IF((AND(RIGHT(G1820,2)=RIGHT('112'!$M$9,2),B1820&lt;'112'!$N$8,$M1820='112'!$I$6)),"x",""))</f>
        <v/>
      </c>
      <c r="U1820" s="51" t="str">
        <f>IF(AND(L1820="154",'154'!$O$5&lt;=B1820,'154'!$P$5&gt;=B1820),"154",IF(AND(L1820="632",'632'!$L$5&lt;=B1820,'632'!$M$5&gt;=B1820),"632",IF(AND(L1820="642",'642'!$N$5&lt;=B1820,'642'!$O$5&gt;=B1820),"642",IF(AND(L1820="641",'641'!$N$5&lt;=B1820,'641'!$O$5&gt;=B1820),"641",""))))</f>
        <v/>
      </c>
      <c r="V1820" s="51" t="str">
        <f>IF(OR(TH!L1820=TH!$V$7,M1820=TH!$V$7),"x","")</f>
        <v/>
      </c>
      <c r="W1820" s="51" t="str">
        <f>IF(AND(B1820&gt;='IN-NX'!$P$3,B1820&lt;='IN-NX'!$Q$3,'IN-NX'!$D$7=D1820,OR(LEFT(L1820,2)="15",AND(LEFT(M1820,2)&lt;&gt;"15",LEFT(M1820,2)&lt;&gt;"33"))),"x","")</f>
        <v/>
      </c>
      <c r="X1820" s="51" t="str">
        <f>IF(AND(OR(LEFT(TH!L1820,2)="15",LEFT(TH!M1820,2)="15"),'152-CT'!$J$8=TH!F1820),"x","")</f>
        <v/>
      </c>
      <c r="Y1820" s="51" t="str">
        <f>IF(AND(OR(LEFT(TH!L1820,2)="15",LEFT(TH!M1820,2)="15"),TK!$E$7=TH!F1820),"x","")</f>
        <v/>
      </c>
      <c r="Z1820" s="51" t="str">
        <f>IF(AND(B1820&lt;=NKC!$N$8,B1820&gt;=NKC!$M$8),"x","")</f>
        <v/>
      </c>
      <c r="AA1820" s="803"/>
    </row>
    <row r="1821" spans="1:27" ht="15.75" customHeight="1">
      <c r="A1821" s="804" t="str">
        <f>IF(B1821&lt;&gt;"",IF(AND(B1821&gt;=_TM1,B1821&lt;=_TM2,OR(TH!L1821="1111",TH!M1821="1111")),TH!D1821,""),"")</f>
        <v/>
      </c>
      <c r="B1821" s="36">
        <f t="shared" si="125"/>
        <v>3</v>
      </c>
      <c r="C1821" s="189">
        <f t="shared" si="118"/>
        <v>42083</v>
      </c>
      <c r="D1821" s="37" t="s">
        <v>1288</v>
      </c>
      <c r="E1821" s="885">
        <v>42083</v>
      </c>
      <c r="F1821" s="886" t="s">
        <v>499</v>
      </c>
      <c r="G1821" s="887" t="s">
        <v>981</v>
      </c>
      <c r="H1821" s="888" t="s">
        <v>1287</v>
      </c>
      <c r="I1821" s="889">
        <v>110</v>
      </c>
      <c r="J1821" s="889">
        <v>15795.727835051546</v>
      </c>
      <c r="K1821" s="890">
        <f t="shared" si="124"/>
        <v>1737530</v>
      </c>
      <c r="L1821" s="891" t="s">
        <v>417</v>
      </c>
      <c r="M1821" s="891" t="s">
        <v>160</v>
      </c>
      <c r="N1821" s="51" t="str">
        <f>IF(AND('331-CT'!$E$7=TH!H1821,OR(L1821="331",M1821="331")),"331",IF(AND(OR(L1821="131",M1821="131"),H1821='131-CT'!$E$7),"131",""))</f>
        <v/>
      </c>
      <c r="O1821" s="51" t="str">
        <f>IF(AND($B1821&gt;='111'!$N$11,$B1821&lt;='111'!$O$11,OR($L1821=$O$7,$M1821=$O$7)),"x","")</f>
        <v/>
      </c>
      <c r="P1821" s="51" t="str">
        <f>IF(AND($L1821=$O$7,$B1821&lt;'111'!$N$11),"x","")</f>
        <v/>
      </c>
      <c r="Q1821" s="51" t="str">
        <f>IF(AND($M1821=$O$7,$B1821&lt;'111'!$N$11),"x","")</f>
        <v/>
      </c>
      <c r="R1821" s="51" t="str">
        <f>IF(ISERROR(FIND('112'!$M$9,G1821,1)),"",IF((AND(FIND('112'!$M$9,G1821,1)&gt;=1,$B1821&gt;='112'!$N$8,$B1821&lt;='112'!$O$8,OR($L1821='112'!$I$6,$M1821='112'!$I$6))),"x",""))</f>
        <v/>
      </c>
      <c r="S1821" s="51" t="str">
        <f>IF(ISERROR(FIND('112'!$M$9,G1821,1)),"",IF((AND(LEFT(G1821,2)=LEFT('112'!$M$9,2),B1821&lt;'112'!$N$8,$L1821='112'!$I$6)),"x",""))</f>
        <v/>
      </c>
      <c r="T1821" s="51" t="str">
        <f>IF(ISERROR(FIND('112'!$M$9,G1821,1)),"",IF((AND(RIGHT(G1821,2)=RIGHT('112'!$M$9,2),B1821&lt;'112'!$N$8,$M1821='112'!$I$6)),"x",""))</f>
        <v/>
      </c>
      <c r="U1821" s="51" t="str">
        <f>IF(AND(L1821="154",'154'!$O$5&lt;=B1821,'154'!$P$5&gt;=B1821),"154",IF(AND(L1821="632",'632'!$L$5&lt;=B1821,'632'!$M$5&gt;=B1821),"632",IF(AND(L1821="642",'642'!$N$5&lt;=B1821,'642'!$O$5&gt;=B1821),"642",IF(AND(L1821="641",'641'!$N$5&lt;=B1821,'641'!$O$5&gt;=B1821),"641",""))))</f>
        <v/>
      </c>
      <c r="V1821" s="51" t="str">
        <f>IF(OR(TH!L1821=TH!$V$7,M1821=TH!$V$7),"x","")</f>
        <v/>
      </c>
      <c r="W1821" s="51" t="str">
        <f>IF(AND(B1821&gt;='IN-NX'!$P$3,B1821&lt;='IN-NX'!$Q$3,'IN-NX'!$D$7=D1821,OR(LEFT(L1821,2)="15",AND(LEFT(M1821,2)&lt;&gt;"15",LEFT(M1821,2)&lt;&gt;"33"))),"x","")</f>
        <v/>
      </c>
      <c r="X1821" s="51" t="str">
        <f>IF(AND(OR(LEFT(TH!L1821,2)="15",LEFT(TH!M1821,2)="15"),'152-CT'!$J$8=TH!F1821),"x","")</f>
        <v/>
      </c>
      <c r="Y1821" s="51" t="str">
        <f>IF(AND(OR(LEFT(TH!L1821,2)="15",LEFT(TH!M1821,2)="15"),TK!$E$7=TH!F1821),"x","")</f>
        <v/>
      </c>
      <c r="Z1821" s="51" t="str">
        <f>IF(AND(B1821&lt;=NKC!$N$8,B1821&gt;=NKC!$M$8),"x","")</f>
        <v/>
      </c>
      <c r="AA1821" s="803"/>
    </row>
    <row r="1822" spans="1:27" ht="15.75" customHeight="1">
      <c r="A1822" s="804" t="str">
        <f>IF(B1822&lt;&gt;"",IF(AND(B1822&gt;=_TM1,B1822&lt;=_TM2,OR(TH!L1822="1111",TH!M1822="1111")),TH!D1822,""),"")</f>
        <v/>
      </c>
      <c r="B1822" s="36">
        <f t="shared" si="125"/>
        <v>4</v>
      </c>
      <c r="C1822" s="189">
        <f t="shared" si="118"/>
        <v>42097</v>
      </c>
      <c r="D1822" s="37" t="s">
        <v>1288</v>
      </c>
      <c r="E1822" s="885">
        <v>42097</v>
      </c>
      <c r="F1822" s="886" t="s">
        <v>503</v>
      </c>
      <c r="G1822" s="887" t="s">
        <v>905</v>
      </c>
      <c r="H1822" s="888" t="s">
        <v>1287</v>
      </c>
      <c r="I1822" s="889">
        <v>52</v>
      </c>
      <c r="J1822" s="889">
        <v>3084.1630935366047</v>
      </c>
      <c r="K1822" s="890">
        <f t="shared" ref="K1822:K1857" si="126">ROUND(I1822*J1822,0)</f>
        <v>160376</v>
      </c>
      <c r="L1822" s="891" t="s">
        <v>417</v>
      </c>
      <c r="M1822" s="891" t="s">
        <v>160</v>
      </c>
      <c r="N1822" s="51" t="str">
        <f>IF(AND('331-CT'!$E$7=TH!H1822,OR(L1822="331",M1822="331")),"331",IF(AND(OR(L1822="131",M1822="131"),H1822='131-CT'!$E$7),"131",""))</f>
        <v/>
      </c>
      <c r="O1822" s="51" t="str">
        <f>IF(AND($B1822&gt;='111'!$N$11,$B1822&lt;='111'!$O$11,OR($L1822=$O$7,$M1822=$O$7)),"x","")</f>
        <v/>
      </c>
      <c r="P1822" s="51" t="str">
        <f>IF(AND($L1822=$O$7,$B1822&lt;'111'!$N$11),"x","")</f>
        <v/>
      </c>
      <c r="Q1822" s="51" t="str">
        <f>IF(AND($M1822=$O$7,$B1822&lt;'111'!$N$11),"x","")</f>
        <v/>
      </c>
      <c r="R1822" s="51" t="str">
        <f>IF(ISERROR(FIND('112'!$M$9,G1822,1)),"",IF((AND(FIND('112'!$M$9,G1822,1)&gt;=1,$B1822&gt;='112'!$N$8,$B1822&lt;='112'!$O$8,OR($L1822='112'!$I$6,$M1822='112'!$I$6))),"x",""))</f>
        <v/>
      </c>
      <c r="S1822" s="51" t="str">
        <f>IF(ISERROR(FIND('112'!$M$9,G1822,1)),"",IF((AND(LEFT(G1822,2)=LEFT('112'!$M$9,2),B1822&lt;'112'!$N$8,$L1822='112'!$I$6)),"x",""))</f>
        <v/>
      </c>
      <c r="T1822" s="51" t="str">
        <f>IF(ISERROR(FIND('112'!$M$9,G1822,1)),"",IF((AND(RIGHT(G1822,2)=RIGHT('112'!$M$9,2),B1822&lt;'112'!$N$8,$M1822='112'!$I$6)),"x",""))</f>
        <v/>
      </c>
      <c r="U1822" s="51" t="str">
        <f>IF(AND(L1822="154",'154'!$O$5&lt;=B1822,'154'!$P$5&gt;=B1822),"154",IF(AND(L1822="632",'632'!$L$5&lt;=B1822,'632'!$M$5&gt;=B1822),"632",IF(AND(L1822="642",'642'!$N$5&lt;=B1822,'642'!$O$5&gt;=B1822),"642",IF(AND(L1822="641",'641'!$N$5&lt;=B1822,'641'!$O$5&gt;=B1822),"641",""))))</f>
        <v/>
      </c>
      <c r="V1822" s="51" t="str">
        <f>IF(OR(TH!L1822=TH!$V$7,M1822=TH!$V$7),"x","")</f>
        <v/>
      </c>
      <c r="W1822" s="51" t="str">
        <f>IF(AND(B1822&gt;='IN-NX'!$P$3,B1822&lt;='IN-NX'!$Q$3,'IN-NX'!$D$7=D1822,OR(LEFT(L1822,2)="15",AND(LEFT(M1822,2)&lt;&gt;"15",LEFT(M1822,2)&lt;&gt;"33"))),"x","")</f>
        <v/>
      </c>
      <c r="X1822" s="51" t="str">
        <f>IF(AND(OR(LEFT(TH!L1822,2)="15",LEFT(TH!M1822,2)="15"),'152-CT'!$J$8=TH!F1822),"x","")</f>
        <v/>
      </c>
      <c r="Y1822" s="51" t="str">
        <f>IF(AND(OR(LEFT(TH!L1822,2)="15",LEFT(TH!M1822,2)="15"),TK!$E$7=TH!F1822),"x","")</f>
        <v/>
      </c>
      <c r="Z1822" s="51" t="str">
        <f>IF(AND(B1822&lt;=NKC!$N$8,B1822&gt;=NKC!$M$8),"x","")</f>
        <v/>
      </c>
      <c r="AA1822" s="803"/>
    </row>
    <row r="1823" spans="1:27" ht="15.75" customHeight="1">
      <c r="A1823" s="804" t="str">
        <f>IF(B1823&lt;&gt;"",IF(AND(B1823&gt;=_TM1,B1823&lt;=_TM2,OR(TH!L1823="1111",TH!M1823="1111")),TH!D1823,""),"")</f>
        <v/>
      </c>
      <c r="B1823" s="36">
        <f t="shared" si="125"/>
        <v>4</v>
      </c>
      <c r="C1823" s="189">
        <f t="shared" si="118"/>
        <v>42100</v>
      </c>
      <c r="D1823" s="37" t="s">
        <v>1288</v>
      </c>
      <c r="E1823" s="892">
        <v>42100</v>
      </c>
      <c r="F1823" s="893" t="s">
        <v>713</v>
      </c>
      <c r="G1823" s="894" t="s">
        <v>985</v>
      </c>
      <c r="H1823" s="888" t="s">
        <v>1287</v>
      </c>
      <c r="I1823" s="889">
        <v>450</v>
      </c>
      <c r="J1823" s="889">
        <v>14277.539161912673</v>
      </c>
      <c r="K1823" s="890">
        <f t="shared" si="126"/>
        <v>6424893</v>
      </c>
      <c r="L1823" s="891" t="s">
        <v>417</v>
      </c>
      <c r="M1823" s="891" t="s">
        <v>160</v>
      </c>
      <c r="N1823" s="51" t="str">
        <f>IF(AND('331-CT'!$E$7=TH!H1823,OR(L1823="331",M1823="331")),"331",IF(AND(OR(L1823="131",M1823="131"),H1823='131-CT'!$E$7),"131",""))</f>
        <v/>
      </c>
      <c r="O1823" s="51" t="str">
        <f>IF(AND($B1823&gt;='111'!$N$11,$B1823&lt;='111'!$O$11,OR($L1823=$O$7,$M1823=$O$7)),"x","")</f>
        <v/>
      </c>
      <c r="P1823" s="51" t="str">
        <f>IF(AND($L1823=$O$7,$B1823&lt;'111'!$N$11),"x","")</f>
        <v/>
      </c>
      <c r="Q1823" s="51" t="str">
        <f>IF(AND($M1823=$O$7,$B1823&lt;'111'!$N$11),"x","")</f>
        <v/>
      </c>
      <c r="R1823" s="51" t="str">
        <f>IF(ISERROR(FIND('112'!$M$9,G1823,1)),"",IF((AND(FIND('112'!$M$9,G1823,1)&gt;=1,$B1823&gt;='112'!$N$8,$B1823&lt;='112'!$O$8,OR($L1823='112'!$I$6,$M1823='112'!$I$6))),"x",""))</f>
        <v/>
      </c>
      <c r="S1823" s="51" t="str">
        <f>IF(ISERROR(FIND('112'!$M$9,G1823,1)),"",IF((AND(LEFT(G1823,2)=LEFT('112'!$M$9,2),B1823&lt;'112'!$N$8,$L1823='112'!$I$6)),"x",""))</f>
        <v/>
      </c>
      <c r="T1823" s="51" t="str">
        <f>IF(ISERROR(FIND('112'!$M$9,G1823,1)),"",IF((AND(RIGHT(G1823,2)=RIGHT('112'!$M$9,2),B1823&lt;'112'!$N$8,$M1823='112'!$I$6)),"x",""))</f>
        <v/>
      </c>
      <c r="U1823" s="51" t="str">
        <f>IF(AND(L1823="154",'154'!$O$5&lt;=B1823,'154'!$P$5&gt;=B1823),"154",IF(AND(L1823="632",'632'!$L$5&lt;=B1823,'632'!$M$5&gt;=B1823),"632",IF(AND(L1823="642",'642'!$N$5&lt;=B1823,'642'!$O$5&gt;=B1823),"642",IF(AND(L1823="641",'641'!$N$5&lt;=B1823,'641'!$O$5&gt;=B1823),"641",""))))</f>
        <v/>
      </c>
      <c r="V1823" s="51" t="str">
        <f>IF(OR(TH!L1823=TH!$V$7,M1823=TH!$V$7),"x","")</f>
        <v/>
      </c>
      <c r="W1823" s="51" t="str">
        <f>IF(AND(B1823&gt;='IN-NX'!$P$3,B1823&lt;='IN-NX'!$Q$3,'IN-NX'!$D$7=D1823,OR(LEFT(L1823,2)="15",AND(LEFT(M1823,2)&lt;&gt;"15",LEFT(M1823,2)&lt;&gt;"33"))),"x","")</f>
        <v/>
      </c>
      <c r="X1823" s="51" t="str">
        <f>IF(AND(OR(LEFT(TH!L1823,2)="15",LEFT(TH!M1823,2)="15"),'152-CT'!$J$8=TH!F1823),"x","")</f>
        <v/>
      </c>
      <c r="Y1823" s="51" t="str">
        <f>IF(AND(OR(LEFT(TH!L1823,2)="15",LEFT(TH!M1823,2)="15"),TK!$E$7=TH!F1823),"x","")</f>
        <v/>
      </c>
      <c r="Z1823" s="51" t="str">
        <f>IF(AND(B1823&lt;=NKC!$N$8,B1823&gt;=NKC!$M$8),"x","")</f>
        <v/>
      </c>
      <c r="AA1823" s="803"/>
    </row>
    <row r="1824" spans="1:27" ht="15.75" customHeight="1">
      <c r="A1824" s="804" t="str">
        <f>IF(B1824&lt;&gt;"",IF(AND(B1824&gt;=_TM1,B1824&lt;=_TM2,OR(TH!L1824="1111",TH!M1824="1111")),TH!D1824,""),"")</f>
        <v/>
      </c>
      <c r="B1824" s="36">
        <f t="shared" si="125"/>
        <v>4</v>
      </c>
      <c r="C1824" s="189">
        <f t="shared" si="118"/>
        <v>42100</v>
      </c>
      <c r="D1824" s="37" t="s">
        <v>1288</v>
      </c>
      <c r="E1824" s="892">
        <v>42100</v>
      </c>
      <c r="F1824" s="893" t="s">
        <v>1188</v>
      </c>
      <c r="G1824" s="894" t="s">
        <v>985</v>
      </c>
      <c r="H1824" s="888" t="s">
        <v>1287</v>
      </c>
      <c r="I1824" s="889">
        <v>210</v>
      </c>
      <c r="J1824" s="889">
        <v>12940.701555075066</v>
      </c>
      <c r="K1824" s="890">
        <f t="shared" si="126"/>
        <v>2717547</v>
      </c>
      <c r="L1824" s="891" t="s">
        <v>417</v>
      </c>
      <c r="M1824" s="891" t="s">
        <v>160</v>
      </c>
      <c r="N1824" s="51" t="str">
        <f>IF(AND('331-CT'!$E$7=TH!H1824,OR(L1824="331",M1824="331")),"331",IF(AND(OR(L1824="131",M1824="131"),H1824='131-CT'!$E$7),"131",""))</f>
        <v/>
      </c>
      <c r="O1824" s="51" t="str">
        <f>IF(AND($B1824&gt;='111'!$N$11,$B1824&lt;='111'!$O$11,OR($L1824=$O$7,$M1824=$O$7)),"x","")</f>
        <v/>
      </c>
      <c r="P1824" s="51" t="str">
        <f>IF(AND($L1824=$O$7,$B1824&lt;'111'!$N$11),"x","")</f>
        <v/>
      </c>
      <c r="Q1824" s="51" t="str">
        <f>IF(AND($M1824=$O$7,$B1824&lt;'111'!$N$11),"x","")</f>
        <v/>
      </c>
      <c r="R1824" s="51" t="str">
        <f>IF(ISERROR(FIND('112'!$M$9,G1824,1)),"",IF((AND(FIND('112'!$M$9,G1824,1)&gt;=1,$B1824&gt;='112'!$N$8,$B1824&lt;='112'!$O$8,OR($L1824='112'!$I$6,$M1824='112'!$I$6))),"x",""))</f>
        <v/>
      </c>
      <c r="S1824" s="51" t="str">
        <f>IF(ISERROR(FIND('112'!$M$9,G1824,1)),"",IF((AND(LEFT(G1824,2)=LEFT('112'!$M$9,2),B1824&lt;'112'!$N$8,$L1824='112'!$I$6)),"x",""))</f>
        <v/>
      </c>
      <c r="T1824" s="51" t="str">
        <f>IF(ISERROR(FIND('112'!$M$9,G1824,1)),"",IF((AND(RIGHT(G1824,2)=RIGHT('112'!$M$9,2),B1824&lt;'112'!$N$8,$M1824='112'!$I$6)),"x",""))</f>
        <v/>
      </c>
      <c r="U1824" s="51" t="str">
        <f>IF(AND(L1824="154",'154'!$O$5&lt;=B1824,'154'!$P$5&gt;=B1824),"154",IF(AND(L1824="632",'632'!$L$5&lt;=B1824,'632'!$M$5&gt;=B1824),"632",IF(AND(L1824="642",'642'!$N$5&lt;=B1824,'642'!$O$5&gt;=B1824),"642",IF(AND(L1824="641",'641'!$N$5&lt;=B1824,'641'!$O$5&gt;=B1824),"641",""))))</f>
        <v/>
      </c>
      <c r="V1824" s="51" t="str">
        <f>IF(OR(TH!L1824=TH!$V$7,M1824=TH!$V$7),"x","")</f>
        <v/>
      </c>
      <c r="W1824" s="51" t="str">
        <f>IF(AND(B1824&gt;='IN-NX'!$P$3,B1824&lt;='IN-NX'!$Q$3,'IN-NX'!$D$7=D1824,OR(LEFT(L1824,2)="15",AND(LEFT(M1824,2)&lt;&gt;"15",LEFT(M1824,2)&lt;&gt;"33"))),"x","")</f>
        <v/>
      </c>
      <c r="X1824" s="51" t="str">
        <f>IF(AND(OR(LEFT(TH!L1824,2)="15",LEFT(TH!M1824,2)="15"),'152-CT'!$J$8=TH!F1824),"x","")</f>
        <v/>
      </c>
      <c r="Y1824" s="51" t="str">
        <f>IF(AND(OR(LEFT(TH!L1824,2)="15",LEFT(TH!M1824,2)="15"),TK!$E$7=TH!F1824),"x","")</f>
        <v/>
      </c>
      <c r="Z1824" s="51" t="str">
        <f>IF(AND(B1824&lt;=NKC!$N$8,B1824&gt;=NKC!$M$8),"x","")</f>
        <v/>
      </c>
      <c r="AA1824" s="803"/>
    </row>
    <row r="1825" spans="1:27" ht="15.75" customHeight="1">
      <c r="A1825" s="804" t="str">
        <f>IF(B1825&lt;&gt;"",IF(AND(B1825&gt;=_TM1,B1825&lt;=_TM2,OR(TH!L1825="1111",TH!M1825="1111")),TH!D1825,""),"")</f>
        <v/>
      </c>
      <c r="B1825" s="36">
        <f t="shared" si="125"/>
        <v>4</v>
      </c>
      <c r="C1825" s="189">
        <f t="shared" si="118"/>
        <v>42108</v>
      </c>
      <c r="D1825" s="37" t="s">
        <v>1288</v>
      </c>
      <c r="E1825" s="892">
        <v>42108</v>
      </c>
      <c r="F1825" s="893" t="s">
        <v>1189</v>
      </c>
      <c r="G1825" s="894" t="s">
        <v>569</v>
      </c>
      <c r="H1825" s="888" t="s">
        <v>1287</v>
      </c>
      <c r="I1825" s="889">
        <v>285</v>
      </c>
      <c r="J1825" s="889">
        <v>31528.56309353661</v>
      </c>
      <c r="K1825" s="890">
        <f t="shared" si="126"/>
        <v>8985640</v>
      </c>
      <c r="L1825" s="891" t="s">
        <v>417</v>
      </c>
      <c r="M1825" s="891" t="s">
        <v>160</v>
      </c>
      <c r="N1825" s="51" t="str">
        <f>IF(AND('331-CT'!$E$7=TH!H1825,OR(L1825="331",M1825="331")),"331",IF(AND(OR(L1825="131",M1825="131"),H1825='131-CT'!$E$7),"131",""))</f>
        <v/>
      </c>
      <c r="O1825" s="51" t="str">
        <f>IF(AND($B1825&gt;='111'!$N$11,$B1825&lt;='111'!$O$11,OR($L1825=$O$7,$M1825=$O$7)),"x","")</f>
        <v/>
      </c>
      <c r="P1825" s="51" t="str">
        <f>IF(AND($L1825=$O$7,$B1825&lt;'111'!$N$11),"x","")</f>
        <v/>
      </c>
      <c r="Q1825" s="51" t="str">
        <f>IF(AND($M1825=$O$7,$B1825&lt;'111'!$N$11),"x","")</f>
        <v/>
      </c>
      <c r="R1825" s="51" t="str">
        <f>IF(ISERROR(FIND('112'!$M$9,G1825,1)),"",IF((AND(FIND('112'!$M$9,G1825,1)&gt;=1,$B1825&gt;='112'!$N$8,$B1825&lt;='112'!$O$8,OR($L1825='112'!$I$6,$M1825='112'!$I$6))),"x",""))</f>
        <v/>
      </c>
      <c r="S1825" s="51" t="str">
        <f>IF(ISERROR(FIND('112'!$M$9,G1825,1)),"",IF((AND(LEFT(G1825,2)=LEFT('112'!$M$9,2),B1825&lt;'112'!$N$8,$L1825='112'!$I$6)),"x",""))</f>
        <v/>
      </c>
      <c r="T1825" s="51" t="str">
        <f>IF(ISERROR(FIND('112'!$M$9,G1825,1)),"",IF((AND(RIGHT(G1825,2)=RIGHT('112'!$M$9,2),B1825&lt;'112'!$N$8,$M1825='112'!$I$6)),"x",""))</f>
        <v/>
      </c>
      <c r="U1825" s="51" t="str">
        <f>IF(AND(L1825="154",'154'!$O$5&lt;=B1825,'154'!$P$5&gt;=B1825),"154",IF(AND(L1825="632",'632'!$L$5&lt;=B1825,'632'!$M$5&gt;=B1825),"632",IF(AND(L1825="642",'642'!$N$5&lt;=B1825,'642'!$O$5&gt;=B1825),"642",IF(AND(L1825="641",'641'!$N$5&lt;=B1825,'641'!$O$5&gt;=B1825),"641",""))))</f>
        <v/>
      </c>
      <c r="V1825" s="51" t="str">
        <f>IF(OR(TH!L1825=TH!$V$7,M1825=TH!$V$7),"x","")</f>
        <v/>
      </c>
      <c r="W1825" s="51" t="str">
        <f>IF(AND(B1825&gt;='IN-NX'!$P$3,B1825&lt;='IN-NX'!$Q$3,'IN-NX'!$D$7=D1825,OR(LEFT(L1825,2)="15",AND(LEFT(M1825,2)&lt;&gt;"15",LEFT(M1825,2)&lt;&gt;"33"))),"x","")</f>
        <v/>
      </c>
      <c r="X1825" s="51" t="str">
        <f>IF(AND(OR(LEFT(TH!L1825,2)="15",LEFT(TH!M1825,2)="15"),'152-CT'!$J$8=TH!F1825),"x","")</f>
        <v/>
      </c>
      <c r="Y1825" s="51" t="str">
        <f>IF(AND(OR(LEFT(TH!L1825,2)="15",LEFT(TH!M1825,2)="15"),TK!$E$7=TH!F1825),"x","")</f>
        <v/>
      </c>
      <c r="Z1825" s="51" t="str">
        <f>IF(AND(B1825&lt;=NKC!$N$8,B1825&gt;=NKC!$M$8),"x","")</f>
        <v/>
      </c>
      <c r="AA1825" s="803"/>
    </row>
    <row r="1826" spans="1:27" ht="15.75" customHeight="1">
      <c r="A1826" s="804" t="str">
        <f>IF(B1826&lt;&gt;"",IF(AND(B1826&gt;=_TM1,B1826&lt;=_TM2,OR(TH!L1826="1111",TH!M1826="1111")),TH!D1826,""),"")</f>
        <v/>
      </c>
      <c r="B1826" s="36">
        <f t="shared" si="125"/>
        <v>4</v>
      </c>
      <c r="C1826" s="189">
        <f t="shared" si="118"/>
        <v>42108</v>
      </c>
      <c r="D1826" s="37" t="s">
        <v>1288</v>
      </c>
      <c r="E1826" s="892">
        <v>42108</v>
      </c>
      <c r="F1826" s="893" t="s">
        <v>1190</v>
      </c>
      <c r="G1826" s="894" t="s">
        <v>569</v>
      </c>
      <c r="H1826" s="888" t="s">
        <v>1287</v>
      </c>
      <c r="I1826" s="889">
        <v>133</v>
      </c>
      <c r="J1826" s="889">
        <v>18657.163093536605</v>
      </c>
      <c r="K1826" s="890">
        <f t="shared" si="126"/>
        <v>2481403</v>
      </c>
      <c r="L1826" s="891" t="s">
        <v>417</v>
      </c>
      <c r="M1826" s="891" t="s">
        <v>160</v>
      </c>
      <c r="N1826" s="51" t="str">
        <f>IF(AND('331-CT'!$E$7=TH!H1826,OR(L1826="331",M1826="331")),"331",IF(AND(OR(L1826="131",M1826="131"),H1826='131-CT'!$E$7),"131",""))</f>
        <v/>
      </c>
      <c r="O1826" s="51" t="str">
        <f>IF(AND($B1826&gt;='111'!$N$11,$B1826&lt;='111'!$O$11,OR($L1826=$O$7,$M1826=$O$7)),"x","")</f>
        <v/>
      </c>
      <c r="P1826" s="51" t="str">
        <f>IF(AND($L1826=$O$7,$B1826&lt;'111'!$N$11),"x","")</f>
        <v/>
      </c>
      <c r="Q1826" s="51" t="str">
        <f>IF(AND($M1826=$O$7,$B1826&lt;'111'!$N$11),"x","")</f>
        <v/>
      </c>
      <c r="R1826" s="51" t="str">
        <f>IF(ISERROR(FIND('112'!$M$9,G1826,1)),"",IF((AND(FIND('112'!$M$9,G1826,1)&gt;=1,$B1826&gt;='112'!$N$8,$B1826&lt;='112'!$O$8,OR($L1826='112'!$I$6,$M1826='112'!$I$6))),"x",""))</f>
        <v/>
      </c>
      <c r="S1826" s="51" t="str">
        <f>IF(ISERROR(FIND('112'!$M$9,G1826,1)),"",IF((AND(LEFT(G1826,2)=LEFT('112'!$M$9,2),B1826&lt;'112'!$N$8,$L1826='112'!$I$6)),"x",""))</f>
        <v/>
      </c>
      <c r="T1826" s="51" t="str">
        <f>IF(ISERROR(FIND('112'!$M$9,G1826,1)),"",IF((AND(RIGHT(G1826,2)=RIGHT('112'!$M$9,2),B1826&lt;'112'!$N$8,$M1826='112'!$I$6)),"x",""))</f>
        <v/>
      </c>
      <c r="U1826" s="51" t="str">
        <f>IF(AND(L1826="154",'154'!$O$5&lt;=B1826,'154'!$P$5&gt;=B1826),"154",IF(AND(L1826="632",'632'!$L$5&lt;=B1826,'632'!$M$5&gt;=B1826),"632",IF(AND(L1826="642",'642'!$N$5&lt;=B1826,'642'!$O$5&gt;=B1826),"642",IF(AND(L1826="641",'641'!$N$5&lt;=B1826,'641'!$O$5&gt;=B1826),"641",""))))</f>
        <v/>
      </c>
      <c r="V1826" s="51" t="str">
        <f>IF(OR(TH!L1826=TH!$V$7,M1826=TH!$V$7),"x","")</f>
        <v/>
      </c>
      <c r="W1826" s="51" t="str">
        <f>IF(AND(B1826&gt;='IN-NX'!$P$3,B1826&lt;='IN-NX'!$Q$3,'IN-NX'!$D$7=D1826,OR(LEFT(L1826,2)="15",AND(LEFT(M1826,2)&lt;&gt;"15",LEFT(M1826,2)&lt;&gt;"33"))),"x","")</f>
        <v/>
      </c>
      <c r="X1826" s="51" t="str">
        <f>IF(AND(OR(LEFT(TH!L1826,2)="15",LEFT(TH!M1826,2)="15"),'152-CT'!$J$8=TH!F1826),"x","")</f>
        <v/>
      </c>
      <c r="Y1826" s="51" t="str">
        <f>IF(AND(OR(LEFT(TH!L1826,2)="15",LEFT(TH!M1826,2)="15"),TK!$E$7=TH!F1826),"x","")</f>
        <v/>
      </c>
      <c r="Z1826" s="51" t="str">
        <f>IF(AND(B1826&lt;=NKC!$N$8,B1826&gt;=NKC!$M$8),"x","")</f>
        <v/>
      </c>
      <c r="AA1826" s="803"/>
    </row>
    <row r="1827" spans="1:27" ht="15.75" customHeight="1">
      <c r="A1827" s="804" t="str">
        <f>IF(B1827&lt;&gt;"",IF(AND(B1827&gt;=_TM1,B1827&lt;=_TM2,OR(TH!L1827="1111",TH!M1827="1111")),TH!D1827,""),"")</f>
        <v/>
      </c>
      <c r="B1827" s="36">
        <f t="shared" si="125"/>
        <v>5</v>
      </c>
      <c r="C1827" s="189">
        <f t="shared" si="118"/>
        <v>42131</v>
      </c>
      <c r="D1827" s="37" t="s">
        <v>1288</v>
      </c>
      <c r="E1827" s="892">
        <v>42131</v>
      </c>
      <c r="F1827" s="893" t="s">
        <v>1191</v>
      </c>
      <c r="G1827" s="894" t="s">
        <v>987</v>
      </c>
      <c r="H1827" s="888" t="s">
        <v>1287</v>
      </c>
      <c r="I1827" s="889">
        <v>200</v>
      </c>
      <c r="J1827" s="889">
        <v>4141.5780935366047</v>
      </c>
      <c r="K1827" s="890">
        <f t="shared" si="126"/>
        <v>828316</v>
      </c>
      <c r="L1827" s="891" t="s">
        <v>417</v>
      </c>
      <c r="M1827" s="891" t="s">
        <v>160</v>
      </c>
      <c r="N1827" s="51" t="str">
        <f>IF(AND('331-CT'!$E$7=TH!H1827,OR(L1827="331",M1827="331")),"331",IF(AND(OR(L1827="131",M1827="131"),H1827='131-CT'!$E$7),"131",""))</f>
        <v/>
      </c>
      <c r="O1827" s="51" t="str">
        <f>IF(AND($B1827&gt;='111'!$N$11,$B1827&lt;='111'!$O$11,OR($L1827=$O$7,$M1827=$O$7)),"x","")</f>
        <v/>
      </c>
      <c r="P1827" s="51" t="str">
        <f>IF(AND($L1827=$O$7,$B1827&lt;'111'!$N$11),"x","")</f>
        <v/>
      </c>
      <c r="Q1827" s="51" t="str">
        <f>IF(AND($M1827=$O$7,$B1827&lt;'111'!$N$11),"x","")</f>
        <v/>
      </c>
      <c r="R1827" s="51" t="str">
        <f>IF(ISERROR(FIND('112'!$M$9,G1827,1)),"",IF((AND(FIND('112'!$M$9,G1827,1)&gt;=1,$B1827&gt;='112'!$N$8,$B1827&lt;='112'!$O$8,OR($L1827='112'!$I$6,$M1827='112'!$I$6))),"x",""))</f>
        <v/>
      </c>
      <c r="S1827" s="51" t="str">
        <f>IF(ISERROR(FIND('112'!$M$9,G1827,1)),"",IF((AND(LEFT(G1827,2)=LEFT('112'!$M$9,2),B1827&lt;'112'!$N$8,$L1827='112'!$I$6)),"x",""))</f>
        <v/>
      </c>
      <c r="T1827" s="51" t="str">
        <f>IF(ISERROR(FIND('112'!$M$9,G1827,1)),"",IF((AND(RIGHT(G1827,2)=RIGHT('112'!$M$9,2),B1827&lt;'112'!$N$8,$M1827='112'!$I$6)),"x",""))</f>
        <v/>
      </c>
      <c r="U1827" s="51" t="str">
        <f>IF(AND(L1827="154",'154'!$O$5&lt;=B1827,'154'!$P$5&gt;=B1827),"154",IF(AND(L1827="632",'632'!$L$5&lt;=B1827,'632'!$M$5&gt;=B1827),"632",IF(AND(L1827="642",'642'!$N$5&lt;=B1827,'642'!$O$5&gt;=B1827),"642",IF(AND(L1827="641",'641'!$N$5&lt;=B1827,'641'!$O$5&gt;=B1827),"641",""))))</f>
        <v/>
      </c>
      <c r="V1827" s="51" t="str">
        <f>IF(OR(TH!L1827=TH!$V$7,M1827=TH!$V$7),"x","")</f>
        <v/>
      </c>
      <c r="W1827" s="51" t="str">
        <f>IF(AND(B1827&gt;='IN-NX'!$P$3,B1827&lt;='IN-NX'!$Q$3,'IN-NX'!$D$7=D1827,OR(LEFT(L1827,2)="15",AND(LEFT(M1827,2)&lt;&gt;"15",LEFT(M1827,2)&lt;&gt;"33"))),"x","")</f>
        <v/>
      </c>
      <c r="X1827" s="51" t="str">
        <f>IF(AND(OR(LEFT(TH!L1827,2)="15",LEFT(TH!M1827,2)="15"),'152-CT'!$J$8=TH!F1827),"x","")</f>
        <v/>
      </c>
      <c r="Y1827" s="51" t="str">
        <f>IF(AND(OR(LEFT(TH!L1827,2)="15",LEFT(TH!M1827,2)="15"),TK!$E$7=TH!F1827),"x","")</f>
        <v/>
      </c>
      <c r="Z1827" s="51" t="str">
        <f>IF(AND(B1827&lt;=NKC!$N$8,B1827&gt;=NKC!$M$8),"x","")</f>
        <v/>
      </c>
      <c r="AA1827" s="803"/>
    </row>
    <row r="1828" spans="1:27" ht="15.75" customHeight="1">
      <c r="A1828" s="804" t="str">
        <f>IF(B1828&lt;&gt;"",IF(AND(B1828&gt;=_TM1,B1828&lt;=_TM2,OR(TH!L1828="1111",TH!M1828="1111")),TH!D1828,""),"")</f>
        <v/>
      </c>
      <c r="B1828" s="36">
        <f t="shared" si="125"/>
        <v>5</v>
      </c>
      <c r="C1828" s="189">
        <f t="shared" si="118"/>
        <v>42131</v>
      </c>
      <c r="D1828" s="37" t="s">
        <v>1288</v>
      </c>
      <c r="E1828" s="892">
        <v>42131</v>
      </c>
      <c r="F1828" s="893" t="s">
        <v>1192</v>
      </c>
      <c r="G1828" s="894" t="s">
        <v>987</v>
      </c>
      <c r="H1828" s="888" t="s">
        <v>1287</v>
      </c>
      <c r="I1828" s="889">
        <v>300</v>
      </c>
      <c r="J1828" s="889">
        <v>4722.4964268699377</v>
      </c>
      <c r="K1828" s="890">
        <f t="shared" si="126"/>
        <v>1416749</v>
      </c>
      <c r="L1828" s="891" t="s">
        <v>417</v>
      </c>
      <c r="M1828" s="891" t="s">
        <v>160</v>
      </c>
      <c r="N1828" s="51" t="str">
        <f>IF(AND('331-CT'!$E$7=TH!H1828,OR(L1828="331",M1828="331")),"331",IF(AND(OR(L1828="131",M1828="131"),H1828='131-CT'!$E$7),"131",""))</f>
        <v/>
      </c>
      <c r="O1828" s="51" t="str">
        <f>IF(AND($B1828&gt;='111'!$N$11,$B1828&lt;='111'!$O$11,OR($L1828=$O$7,$M1828=$O$7)),"x","")</f>
        <v/>
      </c>
      <c r="P1828" s="51" t="str">
        <f>IF(AND($L1828=$O$7,$B1828&lt;'111'!$N$11),"x","")</f>
        <v/>
      </c>
      <c r="Q1828" s="51" t="str">
        <f>IF(AND($M1828=$O$7,$B1828&lt;'111'!$N$11),"x","")</f>
        <v/>
      </c>
      <c r="R1828" s="51" t="str">
        <f>IF(ISERROR(FIND('112'!$M$9,G1828,1)),"",IF((AND(FIND('112'!$M$9,G1828,1)&gt;=1,$B1828&gt;='112'!$N$8,$B1828&lt;='112'!$O$8,OR($L1828='112'!$I$6,$M1828='112'!$I$6))),"x",""))</f>
        <v/>
      </c>
      <c r="S1828" s="51" t="str">
        <f>IF(ISERROR(FIND('112'!$M$9,G1828,1)),"",IF((AND(LEFT(G1828,2)=LEFT('112'!$M$9,2),B1828&lt;'112'!$N$8,$L1828='112'!$I$6)),"x",""))</f>
        <v/>
      </c>
      <c r="T1828" s="51" t="str">
        <f>IF(ISERROR(FIND('112'!$M$9,G1828,1)),"",IF((AND(RIGHT(G1828,2)=RIGHT('112'!$M$9,2),B1828&lt;'112'!$N$8,$M1828='112'!$I$6)),"x",""))</f>
        <v/>
      </c>
      <c r="U1828" s="51" t="str">
        <f>IF(AND(L1828="154",'154'!$O$5&lt;=B1828,'154'!$P$5&gt;=B1828),"154",IF(AND(L1828="632",'632'!$L$5&lt;=B1828,'632'!$M$5&gt;=B1828),"632",IF(AND(L1828="642",'642'!$N$5&lt;=B1828,'642'!$O$5&gt;=B1828),"642",IF(AND(L1828="641",'641'!$N$5&lt;=B1828,'641'!$O$5&gt;=B1828),"641",""))))</f>
        <v/>
      </c>
      <c r="V1828" s="51" t="str">
        <f>IF(OR(TH!L1828=TH!$V$7,M1828=TH!$V$7),"x","")</f>
        <v/>
      </c>
      <c r="W1828" s="51" t="str">
        <f>IF(AND(B1828&gt;='IN-NX'!$P$3,B1828&lt;='IN-NX'!$Q$3,'IN-NX'!$D$7=D1828,OR(LEFT(L1828,2)="15",AND(LEFT(M1828,2)&lt;&gt;"15",LEFT(M1828,2)&lt;&gt;"33"))),"x","")</f>
        <v/>
      </c>
      <c r="X1828" s="51" t="str">
        <f>IF(AND(OR(LEFT(TH!L1828,2)="15",LEFT(TH!M1828,2)="15"),'152-CT'!$J$8=TH!F1828),"x","")</f>
        <v/>
      </c>
      <c r="Y1828" s="51" t="str">
        <f>IF(AND(OR(LEFT(TH!L1828,2)="15",LEFT(TH!M1828,2)="15"),TK!$E$7=TH!F1828),"x","")</f>
        <v/>
      </c>
      <c r="Z1828" s="51" t="str">
        <f>IF(AND(B1828&lt;=NKC!$N$8,B1828&gt;=NKC!$M$8),"x","")</f>
        <v/>
      </c>
      <c r="AA1828" s="803"/>
    </row>
    <row r="1829" spans="1:27" ht="15.75" customHeight="1">
      <c r="A1829" s="804" t="str">
        <f>IF(B1829&lt;&gt;"",IF(AND(B1829&gt;=_TM1,B1829&lt;=_TM2,OR(TH!L1829="1111",TH!M1829="1111")),TH!D1829,""),"")</f>
        <v/>
      </c>
      <c r="B1829" s="36">
        <f t="shared" si="125"/>
        <v>5</v>
      </c>
      <c r="C1829" s="189">
        <f t="shared" si="118"/>
        <v>42131</v>
      </c>
      <c r="D1829" s="37" t="s">
        <v>1288</v>
      </c>
      <c r="E1829" s="892">
        <v>42131</v>
      </c>
      <c r="F1829" s="893" t="s">
        <v>1193</v>
      </c>
      <c r="G1829" s="894" t="s">
        <v>987</v>
      </c>
      <c r="H1829" s="888" t="s">
        <v>1287</v>
      </c>
      <c r="I1829" s="889">
        <v>200</v>
      </c>
      <c r="J1829" s="889">
        <v>9110.1630935366047</v>
      </c>
      <c r="K1829" s="890">
        <f t="shared" si="126"/>
        <v>1822033</v>
      </c>
      <c r="L1829" s="891" t="s">
        <v>417</v>
      </c>
      <c r="M1829" s="891" t="s">
        <v>160</v>
      </c>
      <c r="N1829" s="51" t="str">
        <f>IF(AND('331-CT'!$E$7=TH!H1829,OR(L1829="331",M1829="331")),"331",IF(AND(OR(L1829="131",M1829="131"),H1829='131-CT'!$E$7),"131",""))</f>
        <v/>
      </c>
      <c r="O1829" s="51" t="str">
        <f>IF(AND($B1829&gt;='111'!$N$11,$B1829&lt;='111'!$O$11,OR($L1829=$O$7,$M1829=$O$7)),"x","")</f>
        <v/>
      </c>
      <c r="P1829" s="51" t="str">
        <f>IF(AND($L1829=$O$7,$B1829&lt;'111'!$N$11),"x","")</f>
        <v/>
      </c>
      <c r="Q1829" s="51" t="str">
        <f>IF(AND($M1829=$O$7,$B1829&lt;'111'!$N$11),"x","")</f>
        <v/>
      </c>
      <c r="R1829" s="51" t="str">
        <f>IF(ISERROR(FIND('112'!$M$9,G1829,1)),"",IF((AND(FIND('112'!$M$9,G1829,1)&gt;=1,$B1829&gt;='112'!$N$8,$B1829&lt;='112'!$O$8,OR($L1829='112'!$I$6,$M1829='112'!$I$6))),"x",""))</f>
        <v/>
      </c>
      <c r="S1829" s="51" t="str">
        <f>IF(ISERROR(FIND('112'!$M$9,G1829,1)),"",IF((AND(LEFT(G1829,2)=LEFT('112'!$M$9,2),B1829&lt;'112'!$N$8,$L1829='112'!$I$6)),"x",""))</f>
        <v/>
      </c>
      <c r="T1829" s="51" t="str">
        <f>IF(ISERROR(FIND('112'!$M$9,G1829,1)),"",IF((AND(RIGHT(G1829,2)=RIGHT('112'!$M$9,2),B1829&lt;'112'!$N$8,$M1829='112'!$I$6)),"x",""))</f>
        <v/>
      </c>
      <c r="U1829" s="51" t="str">
        <f>IF(AND(L1829="154",'154'!$O$5&lt;=B1829,'154'!$P$5&gt;=B1829),"154",IF(AND(L1829="632",'632'!$L$5&lt;=B1829,'632'!$M$5&gt;=B1829),"632",IF(AND(L1829="642",'642'!$N$5&lt;=B1829,'642'!$O$5&gt;=B1829),"642",IF(AND(L1829="641",'641'!$N$5&lt;=B1829,'641'!$O$5&gt;=B1829),"641",""))))</f>
        <v/>
      </c>
      <c r="V1829" s="51" t="str">
        <f>IF(OR(TH!L1829=TH!$V$7,M1829=TH!$V$7),"x","")</f>
        <v/>
      </c>
      <c r="W1829" s="51" t="str">
        <f>IF(AND(B1829&gt;='IN-NX'!$P$3,B1829&lt;='IN-NX'!$Q$3,'IN-NX'!$D$7=D1829,OR(LEFT(L1829,2)="15",AND(LEFT(M1829,2)&lt;&gt;"15",LEFT(M1829,2)&lt;&gt;"33"))),"x","")</f>
        <v/>
      </c>
      <c r="X1829" s="51" t="str">
        <f>IF(AND(OR(LEFT(TH!L1829,2)="15",LEFT(TH!M1829,2)="15"),'152-CT'!$J$8=TH!F1829),"x","")</f>
        <v/>
      </c>
      <c r="Y1829" s="51" t="str">
        <f>IF(AND(OR(LEFT(TH!L1829,2)="15",LEFT(TH!M1829,2)="15"),TK!$E$7=TH!F1829),"x","")</f>
        <v/>
      </c>
      <c r="Z1829" s="51" t="str">
        <f>IF(AND(B1829&lt;=NKC!$N$8,B1829&gt;=NKC!$M$8),"x","")</f>
        <v/>
      </c>
      <c r="AA1829" s="803"/>
    </row>
    <row r="1830" spans="1:27" ht="15.75" customHeight="1">
      <c r="A1830" s="804" t="str">
        <f>IF(B1830&lt;&gt;"",IF(AND(B1830&gt;=_TM1,B1830&lt;=_TM2,OR(TH!L1830="1111",TH!M1830="1111")),TH!D1830,""),"")</f>
        <v/>
      </c>
      <c r="B1830" s="36">
        <f t="shared" si="125"/>
        <v>5</v>
      </c>
      <c r="C1830" s="189">
        <f t="shared" si="118"/>
        <v>42131</v>
      </c>
      <c r="D1830" s="37" t="s">
        <v>1288</v>
      </c>
      <c r="E1830" s="892">
        <v>42131</v>
      </c>
      <c r="F1830" s="893" t="s">
        <v>1194</v>
      </c>
      <c r="G1830" s="894" t="s">
        <v>987</v>
      </c>
      <c r="H1830" s="888" t="s">
        <v>1287</v>
      </c>
      <c r="I1830" s="889">
        <v>200</v>
      </c>
      <c r="J1830" s="889">
        <v>8314.2880935366047</v>
      </c>
      <c r="K1830" s="890">
        <f t="shared" si="126"/>
        <v>1662858</v>
      </c>
      <c r="L1830" s="891" t="s">
        <v>417</v>
      </c>
      <c r="M1830" s="891" t="s">
        <v>160</v>
      </c>
      <c r="N1830" s="51" t="str">
        <f>IF(AND('331-CT'!$E$7=TH!H1830,OR(L1830="331",M1830="331")),"331",IF(AND(OR(L1830="131",M1830="131"),H1830='131-CT'!$E$7),"131",""))</f>
        <v/>
      </c>
      <c r="O1830" s="51" t="str">
        <f>IF(AND($B1830&gt;='111'!$N$11,$B1830&lt;='111'!$O$11,OR($L1830=$O$7,$M1830=$O$7)),"x","")</f>
        <v/>
      </c>
      <c r="P1830" s="51" t="str">
        <f>IF(AND($L1830=$O$7,$B1830&lt;'111'!$N$11),"x","")</f>
        <v/>
      </c>
      <c r="Q1830" s="51" t="str">
        <f>IF(AND($M1830=$O$7,$B1830&lt;'111'!$N$11),"x","")</f>
        <v/>
      </c>
      <c r="R1830" s="51" t="str">
        <f>IF(ISERROR(FIND('112'!$M$9,G1830,1)),"",IF((AND(FIND('112'!$M$9,G1830,1)&gt;=1,$B1830&gt;='112'!$N$8,$B1830&lt;='112'!$O$8,OR($L1830='112'!$I$6,$M1830='112'!$I$6))),"x",""))</f>
        <v/>
      </c>
      <c r="S1830" s="51" t="str">
        <f>IF(ISERROR(FIND('112'!$M$9,G1830,1)),"",IF((AND(LEFT(G1830,2)=LEFT('112'!$M$9,2),B1830&lt;'112'!$N$8,$L1830='112'!$I$6)),"x",""))</f>
        <v/>
      </c>
      <c r="T1830" s="51" t="str">
        <f>IF(ISERROR(FIND('112'!$M$9,G1830,1)),"",IF((AND(RIGHT(G1830,2)=RIGHT('112'!$M$9,2),B1830&lt;'112'!$N$8,$M1830='112'!$I$6)),"x",""))</f>
        <v/>
      </c>
      <c r="U1830" s="51" t="str">
        <f>IF(AND(L1830="154",'154'!$O$5&lt;=B1830,'154'!$P$5&gt;=B1830),"154",IF(AND(L1830="632",'632'!$L$5&lt;=B1830,'632'!$M$5&gt;=B1830),"632",IF(AND(L1830="642",'642'!$N$5&lt;=B1830,'642'!$O$5&gt;=B1830),"642",IF(AND(L1830="641",'641'!$N$5&lt;=B1830,'641'!$O$5&gt;=B1830),"641",""))))</f>
        <v/>
      </c>
      <c r="V1830" s="51" t="str">
        <f>IF(OR(TH!L1830=TH!$V$7,M1830=TH!$V$7),"x","")</f>
        <v/>
      </c>
      <c r="W1830" s="51" t="str">
        <f>IF(AND(B1830&gt;='IN-NX'!$P$3,B1830&lt;='IN-NX'!$Q$3,'IN-NX'!$D$7=D1830,OR(LEFT(L1830,2)="15",AND(LEFT(M1830,2)&lt;&gt;"15",LEFT(M1830,2)&lt;&gt;"33"))),"x","")</f>
        <v/>
      </c>
      <c r="X1830" s="51" t="str">
        <f>IF(AND(OR(LEFT(TH!L1830,2)="15",LEFT(TH!M1830,2)="15"),'152-CT'!$J$8=TH!F1830),"x","")</f>
        <v/>
      </c>
      <c r="Y1830" s="51" t="str">
        <f>IF(AND(OR(LEFT(TH!L1830,2)="15",LEFT(TH!M1830,2)="15"),TK!$E$7=TH!F1830),"x","")</f>
        <v/>
      </c>
      <c r="Z1830" s="51" t="str">
        <f>IF(AND(B1830&lt;=NKC!$N$8,B1830&gt;=NKC!$M$8),"x","")</f>
        <v/>
      </c>
      <c r="AA1830" s="803"/>
    </row>
    <row r="1831" spans="1:27" ht="15.75" customHeight="1">
      <c r="A1831" s="804" t="str">
        <f>IF(B1831&lt;&gt;"",IF(AND(B1831&gt;=_TM1,B1831&lt;=_TM2,OR(TH!L1831="1111",TH!M1831="1111")),TH!D1831,""),"")</f>
        <v/>
      </c>
      <c r="B1831" s="36">
        <f t="shared" si="125"/>
        <v>5</v>
      </c>
      <c r="C1831" s="189">
        <f t="shared" si="118"/>
        <v>42131</v>
      </c>
      <c r="D1831" s="37" t="s">
        <v>1288</v>
      </c>
      <c r="E1831" s="892">
        <v>42131</v>
      </c>
      <c r="F1831" s="893" t="s">
        <v>1195</v>
      </c>
      <c r="G1831" s="894" t="s">
        <v>987</v>
      </c>
      <c r="H1831" s="888" t="s">
        <v>1287</v>
      </c>
      <c r="I1831" s="889">
        <v>200</v>
      </c>
      <c r="J1831" s="889">
        <v>9110.1630935366047</v>
      </c>
      <c r="K1831" s="890">
        <f t="shared" si="126"/>
        <v>1822033</v>
      </c>
      <c r="L1831" s="891" t="s">
        <v>417</v>
      </c>
      <c r="M1831" s="891" t="s">
        <v>160</v>
      </c>
      <c r="N1831" s="51" t="str">
        <f>IF(AND('331-CT'!$E$7=TH!H1831,OR(L1831="331",M1831="331")),"331",IF(AND(OR(L1831="131",M1831="131"),H1831='131-CT'!$E$7),"131",""))</f>
        <v/>
      </c>
      <c r="O1831" s="51" t="str">
        <f>IF(AND($B1831&gt;='111'!$N$11,$B1831&lt;='111'!$O$11,OR($L1831=$O$7,$M1831=$O$7)),"x","")</f>
        <v/>
      </c>
      <c r="P1831" s="51" t="str">
        <f>IF(AND($L1831=$O$7,$B1831&lt;'111'!$N$11),"x","")</f>
        <v/>
      </c>
      <c r="Q1831" s="51" t="str">
        <f>IF(AND($M1831=$O$7,$B1831&lt;'111'!$N$11),"x","")</f>
        <v/>
      </c>
      <c r="R1831" s="51" t="str">
        <f>IF(ISERROR(FIND('112'!$M$9,G1831,1)),"",IF((AND(FIND('112'!$M$9,G1831,1)&gt;=1,$B1831&gt;='112'!$N$8,$B1831&lt;='112'!$O$8,OR($L1831='112'!$I$6,$M1831='112'!$I$6))),"x",""))</f>
        <v/>
      </c>
      <c r="S1831" s="51" t="str">
        <f>IF(ISERROR(FIND('112'!$M$9,G1831,1)),"",IF((AND(LEFT(G1831,2)=LEFT('112'!$M$9,2),B1831&lt;'112'!$N$8,$L1831='112'!$I$6)),"x",""))</f>
        <v/>
      </c>
      <c r="T1831" s="51" t="str">
        <f>IF(ISERROR(FIND('112'!$M$9,G1831,1)),"",IF((AND(RIGHT(G1831,2)=RIGHT('112'!$M$9,2),B1831&lt;'112'!$N$8,$M1831='112'!$I$6)),"x",""))</f>
        <v/>
      </c>
      <c r="U1831" s="51" t="str">
        <f>IF(AND(L1831="154",'154'!$O$5&lt;=B1831,'154'!$P$5&gt;=B1831),"154",IF(AND(L1831="632",'632'!$L$5&lt;=B1831,'632'!$M$5&gt;=B1831),"632",IF(AND(L1831="642",'642'!$N$5&lt;=B1831,'642'!$O$5&gt;=B1831),"642",IF(AND(L1831="641",'641'!$N$5&lt;=B1831,'641'!$O$5&gt;=B1831),"641",""))))</f>
        <v/>
      </c>
      <c r="V1831" s="51" t="str">
        <f>IF(OR(TH!L1831=TH!$V$7,M1831=TH!$V$7),"x","")</f>
        <v/>
      </c>
      <c r="W1831" s="51" t="str">
        <f>IF(AND(B1831&gt;='IN-NX'!$P$3,B1831&lt;='IN-NX'!$Q$3,'IN-NX'!$D$7=D1831,OR(LEFT(L1831,2)="15",AND(LEFT(M1831,2)&lt;&gt;"15",LEFT(M1831,2)&lt;&gt;"33"))),"x","")</f>
        <v/>
      </c>
      <c r="X1831" s="51" t="str">
        <f>IF(AND(OR(LEFT(TH!L1831,2)="15",LEFT(TH!M1831,2)="15"),'152-CT'!$J$8=TH!F1831),"x","")</f>
        <v/>
      </c>
      <c r="Y1831" s="51" t="str">
        <f>IF(AND(OR(LEFT(TH!L1831,2)="15",LEFT(TH!M1831,2)="15"),TK!$E$7=TH!F1831),"x","")</f>
        <v/>
      </c>
      <c r="Z1831" s="51" t="str">
        <f>IF(AND(B1831&lt;=NKC!$N$8,B1831&gt;=NKC!$M$8),"x","")</f>
        <v/>
      </c>
      <c r="AA1831" s="803"/>
    </row>
    <row r="1832" spans="1:27" ht="15.75" customHeight="1">
      <c r="A1832" s="804" t="str">
        <f>IF(B1832&lt;&gt;"",IF(AND(B1832&gt;=_TM1,B1832&lt;=_TM2,OR(TH!L1832="1111",TH!M1832="1111")),TH!D1832,""),"")</f>
        <v/>
      </c>
      <c r="B1832" s="36">
        <f t="shared" si="125"/>
        <v>6</v>
      </c>
      <c r="C1832" s="189">
        <f t="shared" si="118"/>
        <v>42158</v>
      </c>
      <c r="D1832" s="37" t="s">
        <v>1288</v>
      </c>
      <c r="E1832" s="892">
        <v>42158</v>
      </c>
      <c r="F1832" s="893" t="s">
        <v>1196</v>
      </c>
      <c r="G1832" s="894" t="s">
        <v>991</v>
      </c>
      <c r="H1832" s="888" t="s">
        <v>1287</v>
      </c>
      <c r="I1832" s="889">
        <v>500</v>
      </c>
      <c r="J1832" s="889">
        <v>11619.163093536605</v>
      </c>
      <c r="K1832" s="890">
        <f t="shared" si="126"/>
        <v>5809582</v>
      </c>
      <c r="L1832" s="891" t="s">
        <v>417</v>
      </c>
      <c r="M1832" s="891" t="s">
        <v>160</v>
      </c>
      <c r="N1832" s="51" t="str">
        <f>IF(AND('331-CT'!$E$7=TH!H1832,OR(L1832="331",M1832="331")),"331",IF(AND(OR(L1832="131",M1832="131"),H1832='131-CT'!$E$7),"131",""))</f>
        <v/>
      </c>
      <c r="O1832" s="51" t="str">
        <f>IF(AND($B1832&gt;='111'!$N$11,$B1832&lt;='111'!$O$11,OR($L1832=$O$7,$M1832=$O$7)),"x","")</f>
        <v/>
      </c>
      <c r="P1832" s="51" t="str">
        <f>IF(AND($L1832=$O$7,$B1832&lt;'111'!$N$11),"x","")</f>
        <v/>
      </c>
      <c r="Q1832" s="51" t="str">
        <f>IF(AND($M1832=$O$7,$B1832&lt;'111'!$N$11),"x","")</f>
        <v/>
      </c>
      <c r="R1832" s="51" t="str">
        <f>IF(ISERROR(FIND('112'!$M$9,G1832,1)),"",IF((AND(FIND('112'!$M$9,G1832,1)&gt;=1,$B1832&gt;='112'!$N$8,$B1832&lt;='112'!$O$8,OR($L1832='112'!$I$6,$M1832='112'!$I$6))),"x",""))</f>
        <v/>
      </c>
      <c r="S1832" s="51" t="str">
        <f>IF(ISERROR(FIND('112'!$M$9,G1832,1)),"",IF((AND(LEFT(G1832,2)=LEFT('112'!$M$9,2),B1832&lt;'112'!$N$8,$L1832='112'!$I$6)),"x",""))</f>
        <v/>
      </c>
      <c r="T1832" s="51" t="str">
        <f>IF(ISERROR(FIND('112'!$M$9,G1832,1)),"",IF((AND(RIGHT(G1832,2)=RIGHT('112'!$M$9,2),B1832&lt;'112'!$N$8,$M1832='112'!$I$6)),"x",""))</f>
        <v/>
      </c>
      <c r="U1832" s="51" t="str">
        <f>IF(AND(L1832="154",'154'!$O$5&lt;=B1832,'154'!$P$5&gt;=B1832),"154",IF(AND(L1832="632",'632'!$L$5&lt;=B1832,'632'!$M$5&gt;=B1832),"632",IF(AND(L1832="642",'642'!$N$5&lt;=B1832,'642'!$O$5&gt;=B1832),"642",IF(AND(L1832="641",'641'!$N$5&lt;=B1832,'641'!$O$5&gt;=B1832),"641",""))))</f>
        <v/>
      </c>
      <c r="V1832" s="51" t="str">
        <f>IF(OR(TH!L1832=TH!$V$7,M1832=TH!$V$7),"x","")</f>
        <v/>
      </c>
      <c r="W1832" s="51" t="str">
        <f>IF(AND(B1832&gt;='IN-NX'!$P$3,B1832&lt;='IN-NX'!$Q$3,'IN-NX'!$D$7=D1832,OR(LEFT(L1832,2)="15",AND(LEFT(M1832,2)&lt;&gt;"15",LEFT(M1832,2)&lt;&gt;"33"))),"x","")</f>
        <v/>
      </c>
      <c r="X1832" s="51" t="str">
        <f>IF(AND(OR(LEFT(TH!L1832,2)="15",LEFT(TH!M1832,2)="15"),'152-CT'!$J$8=TH!F1832),"x","")</f>
        <v/>
      </c>
      <c r="Y1832" s="51" t="str">
        <f>IF(AND(OR(LEFT(TH!L1832,2)="15",LEFT(TH!M1832,2)="15"),TK!$E$7=TH!F1832),"x","")</f>
        <v/>
      </c>
      <c r="Z1832" s="51" t="str">
        <f>IF(AND(B1832&lt;=NKC!$N$8,B1832&gt;=NKC!$M$8),"x","")</f>
        <v/>
      </c>
      <c r="AA1832" s="803"/>
    </row>
    <row r="1833" spans="1:27" ht="15.75" customHeight="1">
      <c r="A1833" s="804" t="str">
        <f>IF(B1833&lt;&gt;"",IF(AND(B1833&gt;=_TM1,B1833&lt;=_TM2,OR(TH!L1833="1111",TH!M1833="1111")),TH!D1833,""),"")</f>
        <v/>
      </c>
      <c r="B1833" s="36">
        <f t="shared" si="125"/>
        <v>6</v>
      </c>
      <c r="C1833" s="189">
        <f t="shared" si="118"/>
        <v>42170</v>
      </c>
      <c r="D1833" s="37" t="s">
        <v>1288</v>
      </c>
      <c r="E1833" s="892">
        <v>42170</v>
      </c>
      <c r="F1833" s="893" t="s">
        <v>1197</v>
      </c>
      <c r="G1833" s="894" t="s">
        <v>993</v>
      </c>
      <c r="H1833" s="888" t="s">
        <v>1287</v>
      </c>
      <c r="I1833" s="889">
        <v>900</v>
      </c>
      <c r="J1833" s="889">
        <v>2914.2630935366042</v>
      </c>
      <c r="K1833" s="890">
        <f t="shared" si="126"/>
        <v>2622837</v>
      </c>
      <c r="L1833" s="891" t="s">
        <v>417</v>
      </c>
      <c r="M1833" s="891" t="s">
        <v>160</v>
      </c>
      <c r="N1833" s="51" t="str">
        <f>IF(AND('331-CT'!$E$7=TH!H1833,OR(L1833="331",M1833="331")),"331",IF(AND(OR(L1833="131",M1833="131"),H1833='131-CT'!$E$7),"131",""))</f>
        <v/>
      </c>
      <c r="O1833" s="51" t="str">
        <f>IF(AND($B1833&gt;='111'!$N$11,$B1833&lt;='111'!$O$11,OR($L1833=$O$7,$M1833=$O$7)),"x","")</f>
        <v/>
      </c>
      <c r="P1833" s="51" t="str">
        <f>IF(AND($L1833=$O$7,$B1833&lt;'111'!$N$11),"x","")</f>
        <v/>
      </c>
      <c r="Q1833" s="51" t="str">
        <f>IF(AND($M1833=$O$7,$B1833&lt;'111'!$N$11),"x","")</f>
        <v/>
      </c>
      <c r="R1833" s="51" t="str">
        <f>IF(ISERROR(FIND('112'!$M$9,G1833,1)),"",IF((AND(FIND('112'!$M$9,G1833,1)&gt;=1,$B1833&gt;='112'!$N$8,$B1833&lt;='112'!$O$8,OR($L1833='112'!$I$6,$M1833='112'!$I$6))),"x",""))</f>
        <v/>
      </c>
      <c r="S1833" s="51" t="str">
        <f>IF(ISERROR(FIND('112'!$M$9,G1833,1)),"",IF((AND(LEFT(G1833,2)=LEFT('112'!$M$9,2),B1833&lt;'112'!$N$8,$L1833='112'!$I$6)),"x",""))</f>
        <v/>
      </c>
      <c r="T1833" s="51" t="str">
        <f>IF(ISERROR(FIND('112'!$M$9,G1833,1)),"",IF((AND(RIGHT(G1833,2)=RIGHT('112'!$M$9,2),B1833&lt;'112'!$N$8,$M1833='112'!$I$6)),"x",""))</f>
        <v/>
      </c>
      <c r="U1833" s="51" t="str">
        <f>IF(AND(L1833="154",'154'!$O$5&lt;=B1833,'154'!$P$5&gt;=B1833),"154",IF(AND(L1833="632",'632'!$L$5&lt;=B1833,'632'!$M$5&gt;=B1833),"632",IF(AND(L1833="642",'642'!$N$5&lt;=B1833,'642'!$O$5&gt;=B1833),"642",IF(AND(L1833="641",'641'!$N$5&lt;=B1833,'641'!$O$5&gt;=B1833),"641",""))))</f>
        <v/>
      </c>
      <c r="V1833" s="51" t="str">
        <f>IF(OR(TH!L1833=TH!$V$7,M1833=TH!$V$7),"x","")</f>
        <v/>
      </c>
      <c r="W1833" s="51" t="str">
        <f>IF(AND(B1833&gt;='IN-NX'!$P$3,B1833&lt;='IN-NX'!$Q$3,'IN-NX'!$D$7=D1833,OR(LEFT(L1833,2)="15",AND(LEFT(M1833,2)&lt;&gt;"15",LEFT(M1833,2)&lt;&gt;"33"))),"x","")</f>
        <v/>
      </c>
      <c r="X1833" s="51" t="str">
        <f>IF(AND(OR(LEFT(TH!L1833,2)="15",LEFT(TH!M1833,2)="15"),'152-CT'!$J$8=TH!F1833),"x","")</f>
        <v/>
      </c>
      <c r="Y1833" s="51" t="str">
        <f>IF(AND(OR(LEFT(TH!L1833,2)="15",LEFT(TH!M1833,2)="15"),TK!$E$7=TH!F1833),"x","")</f>
        <v/>
      </c>
      <c r="Z1833" s="51" t="str">
        <f>IF(AND(B1833&lt;=NKC!$N$8,B1833&gt;=NKC!$M$8),"x","")</f>
        <v/>
      </c>
      <c r="AA1833" s="803"/>
    </row>
    <row r="1834" spans="1:27" ht="15.75" customHeight="1">
      <c r="A1834" s="804" t="str">
        <f>IF(B1834&lt;&gt;"",IF(AND(B1834&gt;=_TM1,B1834&lt;=_TM2,OR(TH!L1834="1111",TH!M1834="1111")),TH!D1834,""),"")</f>
        <v/>
      </c>
      <c r="B1834" s="36">
        <f t="shared" si="125"/>
        <v>6</v>
      </c>
      <c r="C1834" s="189">
        <f t="shared" ref="C1834:C1936" si="127">E1834</f>
        <v>42175</v>
      </c>
      <c r="D1834" s="37" t="s">
        <v>1288</v>
      </c>
      <c r="E1834" s="892">
        <v>42175</v>
      </c>
      <c r="F1834" s="893" t="s">
        <v>1183</v>
      </c>
      <c r="G1834" s="894" t="s">
        <v>995</v>
      </c>
      <c r="H1834" s="888" t="s">
        <v>1287</v>
      </c>
      <c r="I1834" s="889">
        <v>8</v>
      </c>
      <c r="J1834" s="889">
        <v>56737.163093536605</v>
      </c>
      <c r="K1834" s="890">
        <f t="shared" si="126"/>
        <v>453897</v>
      </c>
      <c r="L1834" s="891" t="s">
        <v>417</v>
      </c>
      <c r="M1834" s="891" t="s">
        <v>160</v>
      </c>
      <c r="N1834" s="51" t="str">
        <f>IF(AND('331-CT'!$E$7=TH!H1834,OR(L1834="331",M1834="331")),"331",IF(AND(OR(L1834="131",M1834="131"),H1834='131-CT'!$E$7),"131",""))</f>
        <v/>
      </c>
      <c r="O1834" s="51" t="str">
        <f>IF(AND($B1834&gt;='111'!$N$11,$B1834&lt;='111'!$O$11,OR($L1834=$O$7,$M1834=$O$7)),"x","")</f>
        <v/>
      </c>
      <c r="P1834" s="51" t="str">
        <f>IF(AND($L1834=$O$7,$B1834&lt;'111'!$N$11),"x","")</f>
        <v/>
      </c>
      <c r="Q1834" s="51" t="str">
        <f>IF(AND($M1834=$O$7,$B1834&lt;'111'!$N$11),"x","")</f>
        <v/>
      </c>
      <c r="R1834" s="51" t="str">
        <f>IF(ISERROR(FIND('112'!$M$9,G1834,1)),"",IF((AND(FIND('112'!$M$9,G1834,1)&gt;=1,$B1834&gt;='112'!$N$8,$B1834&lt;='112'!$O$8,OR($L1834='112'!$I$6,$M1834='112'!$I$6))),"x",""))</f>
        <v/>
      </c>
      <c r="S1834" s="51" t="str">
        <f>IF(ISERROR(FIND('112'!$M$9,G1834,1)),"",IF((AND(LEFT(G1834,2)=LEFT('112'!$M$9,2),B1834&lt;'112'!$N$8,$L1834='112'!$I$6)),"x",""))</f>
        <v/>
      </c>
      <c r="T1834" s="51" t="str">
        <f>IF(ISERROR(FIND('112'!$M$9,G1834,1)),"",IF((AND(RIGHT(G1834,2)=RIGHT('112'!$M$9,2),B1834&lt;'112'!$N$8,$M1834='112'!$I$6)),"x",""))</f>
        <v/>
      </c>
      <c r="U1834" s="51" t="str">
        <f>IF(AND(L1834="154",'154'!$O$5&lt;=B1834,'154'!$P$5&gt;=B1834),"154",IF(AND(L1834="632",'632'!$L$5&lt;=B1834,'632'!$M$5&gt;=B1834),"632",IF(AND(L1834="642",'642'!$N$5&lt;=B1834,'642'!$O$5&gt;=B1834),"642",IF(AND(L1834="641",'641'!$N$5&lt;=B1834,'641'!$O$5&gt;=B1834),"641",""))))</f>
        <v/>
      </c>
      <c r="V1834" s="51" t="str">
        <f>IF(OR(TH!L1834=TH!$V$7,M1834=TH!$V$7),"x","")</f>
        <v/>
      </c>
      <c r="W1834" s="51" t="str">
        <f>IF(AND(B1834&gt;='IN-NX'!$P$3,B1834&lt;='IN-NX'!$Q$3,'IN-NX'!$D$7=D1834,OR(LEFT(L1834,2)="15",AND(LEFT(M1834,2)&lt;&gt;"15",LEFT(M1834,2)&lt;&gt;"33"))),"x","")</f>
        <v/>
      </c>
      <c r="X1834" s="51" t="str">
        <f>IF(AND(OR(LEFT(TH!L1834,2)="15",LEFT(TH!M1834,2)="15"),'152-CT'!$J$8=TH!F1834),"x","")</f>
        <v/>
      </c>
      <c r="Y1834" s="51" t="str">
        <f>IF(AND(OR(LEFT(TH!L1834,2)="15",LEFT(TH!M1834,2)="15"),TK!$E$7=TH!F1834),"x","")</f>
        <v/>
      </c>
      <c r="Z1834" s="51" t="str">
        <f>IF(AND(B1834&lt;=NKC!$N$8,B1834&gt;=NKC!$M$8),"x","")</f>
        <v/>
      </c>
      <c r="AA1834" s="803"/>
    </row>
    <row r="1835" spans="1:27" ht="15.75" customHeight="1">
      <c r="A1835" s="804" t="str">
        <f>IF(B1835&lt;&gt;"",IF(AND(B1835&gt;=_TM1,B1835&lt;=_TM2,OR(TH!L1835="1111",TH!M1835="1111")),TH!D1835,""),"")</f>
        <v/>
      </c>
      <c r="B1835" s="36">
        <f t="shared" si="125"/>
        <v>6</v>
      </c>
      <c r="C1835" s="189">
        <f t="shared" si="127"/>
        <v>42175</v>
      </c>
      <c r="D1835" s="37" t="s">
        <v>1288</v>
      </c>
      <c r="E1835" s="892">
        <v>42175</v>
      </c>
      <c r="F1835" s="893" t="s">
        <v>1198</v>
      </c>
      <c r="G1835" s="894" t="s">
        <v>995</v>
      </c>
      <c r="H1835" s="888" t="s">
        <v>1287</v>
      </c>
      <c r="I1835" s="889">
        <v>8</v>
      </c>
      <c r="J1835" s="889">
        <v>54225.413093536605</v>
      </c>
      <c r="K1835" s="890">
        <f t="shared" si="126"/>
        <v>433803</v>
      </c>
      <c r="L1835" s="891" t="s">
        <v>417</v>
      </c>
      <c r="M1835" s="891" t="s">
        <v>160</v>
      </c>
      <c r="N1835" s="51" t="str">
        <f>IF(AND('331-CT'!$E$7=TH!H1835,OR(L1835="331",M1835="331")),"331",IF(AND(OR(L1835="131",M1835="131"),H1835='131-CT'!$E$7),"131",""))</f>
        <v/>
      </c>
      <c r="O1835" s="51" t="str">
        <f>IF(AND($B1835&gt;='111'!$N$11,$B1835&lt;='111'!$O$11,OR($L1835=$O$7,$M1835=$O$7)),"x","")</f>
        <v/>
      </c>
      <c r="P1835" s="51" t="str">
        <f>IF(AND($L1835=$O$7,$B1835&lt;'111'!$N$11),"x","")</f>
        <v/>
      </c>
      <c r="Q1835" s="51" t="str">
        <f>IF(AND($M1835=$O$7,$B1835&lt;'111'!$N$11),"x","")</f>
        <v/>
      </c>
      <c r="R1835" s="51" t="str">
        <f>IF(ISERROR(FIND('112'!$M$9,G1835,1)),"",IF((AND(FIND('112'!$M$9,G1835,1)&gt;=1,$B1835&gt;='112'!$N$8,$B1835&lt;='112'!$O$8,OR($L1835='112'!$I$6,$M1835='112'!$I$6))),"x",""))</f>
        <v/>
      </c>
      <c r="S1835" s="51" t="str">
        <f>IF(ISERROR(FIND('112'!$M$9,G1835,1)),"",IF((AND(LEFT(G1835,2)=LEFT('112'!$M$9,2),B1835&lt;'112'!$N$8,$L1835='112'!$I$6)),"x",""))</f>
        <v/>
      </c>
      <c r="T1835" s="51" t="str">
        <f>IF(ISERROR(FIND('112'!$M$9,G1835,1)),"",IF((AND(RIGHT(G1835,2)=RIGHT('112'!$M$9,2),B1835&lt;'112'!$N$8,$M1835='112'!$I$6)),"x",""))</f>
        <v/>
      </c>
      <c r="U1835" s="51" t="str">
        <f>IF(AND(L1835="154",'154'!$O$5&lt;=B1835,'154'!$P$5&gt;=B1835),"154",IF(AND(L1835="632",'632'!$L$5&lt;=B1835,'632'!$M$5&gt;=B1835),"632",IF(AND(L1835="642",'642'!$N$5&lt;=B1835,'642'!$O$5&gt;=B1835),"642",IF(AND(L1835="641",'641'!$N$5&lt;=B1835,'641'!$O$5&gt;=B1835),"641",""))))</f>
        <v/>
      </c>
      <c r="V1835" s="51" t="str">
        <f>IF(OR(TH!L1835=TH!$V$7,M1835=TH!$V$7),"x","")</f>
        <v/>
      </c>
      <c r="W1835" s="51" t="str">
        <f>IF(AND(B1835&gt;='IN-NX'!$P$3,B1835&lt;='IN-NX'!$Q$3,'IN-NX'!$D$7=D1835,OR(LEFT(L1835,2)="15",AND(LEFT(M1835,2)&lt;&gt;"15",LEFT(M1835,2)&lt;&gt;"33"))),"x","")</f>
        <v/>
      </c>
      <c r="X1835" s="51" t="str">
        <f>IF(AND(OR(LEFT(TH!L1835,2)="15",LEFT(TH!M1835,2)="15"),'152-CT'!$J$8=TH!F1835),"x","")</f>
        <v/>
      </c>
      <c r="Y1835" s="51" t="str">
        <f>IF(AND(OR(LEFT(TH!L1835,2)="15",LEFT(TH!M1835,2)="15"),TK!$E$7=TH!F1835),"x","")</f>
        <v/>
      </c>
      <c r="Z1835" s="51" t="str">
        <f>IF(AND(B1835&lt;=NKC!$N$8,B1835&gt;=NKC!$M$8),"x","")</f>
        <v/>
      </c>
      <c r="AA1835" s="803"/>
    </row>
    <row r="1836" spans="1:27" ht="15.75" customHeight="1">
      <c r="A1836" s="804" t="str">
        <f>IF(B1836&lt;&gt;"",IF(AND(B1836&gt;=_TM1,B1836&lt;=_TM2,OR(TH!L1836="1111",TH!M1836="1111")),TH!D1836,""),"")</f>
        <v/>
      </c>
      <c r="B1836" s="36">
        <f t="shared" si="125"/>
        <v>6</v>
      </c>
      <c r="C1836" s="189">
        <f t="shared" si="127"/>
        <v>42175</v>
      </c>
      <c r="D1836" s="37" t="s">
        <v>1288</v>
      </c>
      <c r="E1836" s="892">
        <v>42175</v>
      </c>
      <c r="F1836" s="893" t="s">
        <v>1199</v>
      </c>
      <c r="G1836" s="894" t="s">
        <v>995</v>
      </c>
      <c r="H1836" s="888" t="s">
        <v>1287</v>
      </c>
      <c r="I1836" s="889">
        <v>10</v>
      </c>
      <c r="J1836" s="889">
        <v>82009.9630935366</v>
      </c>
      <c r="K1836" s="890">
        <f t="shared" si="126"/>
        <v>820100</v>
      </c>
      <c r="L1836" s="891" t="s">
        <v>417</v>
      </c>
      <c r="M1836" s="891" t="s">
        <v>160</v>
      </c>
      <c r="N1836" s="51" t="str">
        <f>IF(AND('331-CT'!$E$7=TH!H1836,OR(L1836="331",M1836="331")),"331",IF(AND(OR(L1836="131",M1836="131"),H1836='131-CT'!$E$7),"131",""))</f>
        <v/>
      </c>
      <c r="O1836" s="51" t="str">
        <f>IF(AND($B1836&gt;='111'!$N$11,$B1836&lt;='111'!$O$11,OR($L1836=$O$7,$M1836=$O$7)),"x","")</f>
        <v/>
      </c>
      <c r="P1836" s="51" t="str">
        <f>IF(AND($L1836=$O$7,$B1836&lt;'111'!$N$11),"x","")</f>
        <v/>
      </c>
      <c r="Q1836" s="51" t="str">
        <f>IF(AND($M1836=$O$7,$B1836&lt;'111'!$N$11),"x","")</f>
        <v/>
      </c>
      <c r="R1836" s="51" t="str">
        <f>IF(ISERROR(FIND('112'!$M$9,G1836,1)),"",IF((AND(FIND('112'!$M$9,G1836,1)&gt;=1,$B1836&gt;='112'!$N$8,$B1836&lt;='112'!$O$8,OR($L1836='112'!$I$6,$M1836='112'!$I$6))),"x",""))</f>
        <v/>
      </c>
      <c r="S1836" s="51" t="str">
        <f>IF(ISERROR(FIND('112'!$M$9,G1836,1)),"",IF((AND(LEFT(G1836,2)=LEFT('112'!$M$9,2),B1836&lt;'112'!$N$8,$L1836='112'!$I$6)),"x",""))</f>
        <v/>
      </c>
      <c r="T1836" s="51" t="str">
        <f>IF(ISERROR(FIND('112'!$M$9,G1836,1)),"",IF((AND(RIGHT(G1836,2)=RIGHT('112'!$M$9,2),B1836&lt;'112'!$N$8,$M1836='112'!$I$6)),"x",""))</f>
        <v/>
      </c>
      <c r="U1836" s="51" t="str">
        <f>IF(AND(L1836="154",'154'!$O$5&lt;=B1836,'154'!$P$5&gt;=B1836),"154",IF(AND(L1836="632",'632'!$L$5&lt;=B1836,'632'!$M$5&gt;=B1836),"632",IF(AND(L1836="642",'642'!$N$5&lt;=B1836,'642'!$O$5&gt;=B1836),"642",IF(AND(L1836="641",'641'!$N$5&lt;=B1836,'641'!$O$5&gt;=B1836),"641",""))))</f>
        <v/>
      </c>
      <c r="V1836" s="51" t="str">
        <f>IF(OR(TH!L1836=TH!$V$7,M1836=TH!$V$7),"x","")</f>
        <v/>
      </c>
      <c r="W1836" s="51" t="str">
        <f>IF(AND(B1836&gt;='IN-NX'!$P$3,B1836&lt;='IN-NX'!$Q$3,'IN-NX'!$D$7=D1836,OR(LEFT(L1836,2)="15",AND(LEFT(M1836,2)&lt;&gt;"15",LEFT(M1836,2)&lt;&gt;"33"))),"x","")</f>
        <v/>
      </c>
      <c r="X1836" s="51" t="str">
        <f>IF(AND(OR(LEFT(TH!L1836,2)="15",LEFT(TH!M1836,2)="15"),'152-CT'!$J$8=TH!F1836),"x","")</f>
        <v/>
      </c>
      <c r="Y1836" s="51" t="str">
        <f>IF(AND(OR(LEFT(TH!L1836,2)="15",LEFT(TH!M1836,2)="15"),TK!$E$7=TH!F1836),"x","")</f>
        <v/>
      </c>
      <c r="Z1836" s="51" t="str">
        <f>IF(AND(B1836&lt;=NKC!$N$8,B1836&gt;=NKC!$M$8),"x","")</f>
        <v/>
      </c>
      <c r="AA1836" s="803"/>
    </row>
    <row r="1837" spans="1:27" ht="15.75" customHeight="1">
      <c r="A1837" s="804" t="str">
        <f>IF(B1837&lt;&gt;"",IF(AND(B1837&gt;=_TM1,B1837&lt;=_TM2,OR(TH!L1837="1111",TH!M1837="1111")),TH!D1837,""),"")</f>
        <v/>
      </c>
      <c r="B1837" s="36">
        <f t="shared" si="125"/>
        <v>6</v>
      </c>
      <c r="C1837" s="189">
        <f t="shared" si="127"/>
        <v>42175</v>
      </c>
      <c r="D1837" s="37" t="s">
        <v>1288</v>
      </c>
      <c r="E1837" s="892">
        <v>42175</v>
      </c>
      <c r="F1837" s="893" t="s">
        <v>1200</v>
      </c>
      <c r="G1837" s="894" t="s">
        <v>995</v>
      </c>
      <c r="H1837" s="888" t="s">
        <v>1287</v>
      </c>
      <c r="I1837" s="889">
        <v>50</v>
      </c>
      <c r="J1837" s="889">
        <v>56665.963093536608</v>
      </c>
      <c r="K1837" s="890">
        <f t="shared" si="126"/>
        <v>2833298</v>
      </c>
      <c r="L1837" s="891" t="s">
        <v>417</v>
      </c>
      <c r="M1837" s="891" t="s">
        <v>160</v>
      </c>
      <c r="N1837" s="51" t="str">
        <f>IF(AND('331-CT'!$E$7=TH!H1837,OR(L1837="331",M1837="331")),"331",IF(AND(OR(L1837="131",M1837="131"),H1837='131-CT'!$E$7),"131",""))</f>
        <v/>
      </c>
      <c r="O1837" s="51" t="str">
        <f>IF(AND($B1837&gt;='111'!$N$11,$B1837&lt;='111'!$O$11,OR($L1837=$O$7,$M1837=$O$7)),"x","")</f>
        <v/>
      </c>
      <c r="P1837" s="51" t="str">
        <f>IF(AND($L1837=$O$7,$B1837&lt;'111'!$N$11),"x","")</f>
        <v/>
      </c>
      <c r="Q1837" s="51" t="str">
        <f>IF(AND($M1837=$O$7,$B1837&lt;'111'!$N$11),"x","")</f>
        <v/>
      </c>
      <c r="R1837" s="51" t="str">
        <f>IF(ISERROR(FIND('112'!$M$9,G1837,1)),"",IF((AND(FIND('112'!$M$9,G1837,1)&gt;=1,$B1837&gt;='112'!$N$8,$B1837&lt;='112'!$O$8,OR($L1837='112'!$I$6,$M1837='112'!$I$6))),"x",""))</f>
        <v/>
      </c>
      <c r="S1837" s="51" t="str">
        <f>IF(ISERROR(FIND('112'!$M$9,G1837,1)),"",IF((AND(LEFT(G1837,2)=LEFT('112'!$M$9,2),B1837&lt;'112'!$N$8,$L1837='112'!$I$6)),"x",""))</f>
        <v/>
      </c>
      <c r="T1837" s="51" t="str">
        <f>IF(ISERROR(FIND('112'!$M$9,G1837,1)),"",IF((AND(RIGHT(G1837,2)=RIGHT('112'!$M$9,2),B1837&lt;'112'!$N$8,$M1837='112'!$I$6)),"x",""))</f>
        <v/>
      </c>
      <c r="U1837" s="51" t="str">
        <f>IF(AND(L1837="154",'154'!$O$5&lt;=B1837,'154'!$P$5&gt;=B1837),"154",IF(AND(L1837="632",'632'!$L$5&lt;=B1837,'632'!$M$5&gt;=B1837),"632",IF(AND(L1837="642",'642'!$N$5&lt;=B1837,'642'!$O$5&gt;=B1837),"642",IF(AND(L1837="641",'641'!$N$5&lt;=B1837,'641'!$O$5&gt;=B1837),"641",""))))</f>
        <v/>
      </c>
      <c r="V1837" s="51" t="str">
        <f>IF(OR(TH!L1837=TH!$V$7,M1837=TH!$V$7),"x","")</f>
        <v/>
      </c>
      <c r="W1837" s="51" t="str">
        <f>IF(AND(B1837&gt;='IN-NX'!$P$3,B1837&lt;='IN-NX'!$Q$3,'IN-NX'!$D$7=D1837,OR(LEFT(L1837,2)="15",AND(LEFT(M1837,2)&lt;&gt;"15",LEFT(M1837,2)&lt;&gt;"33"))),"x","")</f>
        <v/>
      </c>
      <c r="X1837" s="51" t="str">
        <f>IF(AND(OR(LEFT(TH!L1837,2)="15",LEFT(TH!M1837,2)="15"),'152-CT'!$J$8=TH!F1837),"x","")</f>
        <v/>
      </c>
      <c r="Y1837" s="51" t="str">
        <f>IF(AND(OR(LEFT(TH!L1837,2)="15",LEFT(TH!M1837,2)="15"),TK!$E$7=TH!F1837),"x","")</f>
        <v/>
      </c>
      <c r="Z1837" s="51" t="str">
        <f>IF(AND(B1837&lt;=NKC!$N$8,B1837&gt;=NKC!$M$8),"x","")</f>
        <v/>
      </c>
      <c r="AA1837" s="803"/>
    </row>
    <row r="1838" spans="1:27" ht="15.75" customHeight="1">
      <c r="A1838" s="804" t="str">
        <f>IF(B1838&lt;&gt;"",IF(AND(B1838&gt;=_TM1,B1838&lt;=_TM2,OR(TH!L1838="1111",TH!M1838="1111")),TH!D1838,""),"")</f>
        <v/>
      </c>
      <c r="B1838" s="36">
        <f t="shared" si="125"/>
        <v>6</v>
      </c>
      <c r="C1838" s="189">
        <f t="shared" si="127"/>
        <v>42181</v>
      </c>
      <c r="D1838" s="37" t="s">
        <v>1288</v>
      </c>
      <c r="E1838" s="885">
        <v>42181</v>
      </c>
      <c r="F1838" s="886" t="s">
        <v>1189</v>
      </c>
      <c r="G1838" s="887" t="s">
        <v>996</v>
      </c>
      <c r="H1838" s="888" t="s">
        <v>1287</v>
      </c>
      <c r="I1838" s="889">
        <v>384</v>
      </c>
      <c r="J1838" s="889">
        <v>36088.124031036605</v>
      </c>
      <c r="K1838" s="890">
        <f t="shared" si="126"/>
        <v>13857840</v>
      </c>
      <c r="L1838" s="891" t="s">
        <v>417</v>
      </c>
      <c r="M1838" s="891" t="s">
        <v>160</v>
      </c>
      <c r="N1838" s="51" t="str">
        <f>IF(AND('331-CT'!$E$7=TH!H1838,OR(L1838="331",M1838="331")),"331",IF(AND(OR(L1838="131",M1838="131"),H1838='131-CT'!$E$7),"131",""))</f>
        <v/>
      </c>
      <c r="O1838" s="51" t="str">
        <f>IF(AND($B1838&gt;='111'!$N$11,$B1838&lt;='111'!$O$11,OR($L1838=$O$7,$M1838=$O$7)),"x","")</f>
        <v/>
      </c>
      <c r="P1838" s="51" t="str">
        <f>IF(AND($L1838=$O$7,$B1838&lt;'111'!$N$11),"x","")</f>
        <v/>
      </c>
      <c r="Q1838" s="51" t="str">
        <f>IF(AND($M1838=$O$7,$B1838&lt;'111'!$N$11),"x","")</f>
        <v/>
      </c>
      <c r="R1838" s="51" t="str">
        <f>IF(ISERROR(FIND('112'!$M$9,G1838,1)),"",IF((AND(FIND('112'!$M$9,G1838,1)&gt;=1,$B1838&gt;='112'!$N$8,$B1838&lt;='112'!$O$8,OR($L1838='112'!$I$6,$M1838='112'!$I$6))),"x",""))</f>
        <v/>
      </c>
      <c r="S1838" s="51" t="str">
        <f>IF(ISERROR(FIND('112'!$M$9,G1838,1)),"",IF((AND(LEFT(G1838,2)=LEFT('112'!$M$9,2),B1838&lt;'112'!$N$8,$L1838='112'!$I$6)),"x",""))</f>
        <v/>
      </c>
      <c r="T1838" s="51" t="str">
        <f>IF(ISERROR(FIND('112'!$M$9,G1838,1)),"",IF((AND(RIGHT(G1838,2)=RIGHT('112'!$M$9,2),B1838&lt;'112'!$N$8,$M1838='112'!$I$6)),"x",""))</f>
        <v/>
      </c>
      <c r="U1838" s="51" t="str">
        <f>IF(AND(L1838="154",'154'!$O$5&lt;=B1838,'154'!$P$5&gt;=B1838),"154",IF(AND(L1838="632",'632'!$L$5&lt;=B1838,'632'!$M$5&gt;=B1838),"632",IF(AND(L1838="642",'642'!$N$5&lt;=B1838,'642'!$O$5&gt;=B1838),"642",IF(AND(L1838="641",'641'!$N$5&lt;=B1838,'641'!$O$5&gt;=B1838),"641",""))))</f>
        <v/>
      </c>
      <c r="V1838" s="51" t="str">
        <f>IF(OR(TH!L1838=TH!$V$7,M1838=TH!$V$7),"x","")</f>
        <v/>
      </c>
      <c r="W1838" s="51" t="str">
        <f>IF(AND(B1838&gt;='IN-NX'!$P$3,B1838&lt;='IN-NX'!$Q$3,'IN-NX'!$D$7=D1838,OR(LEFT(L1838,2)="15",AND(LEFT(M1838,2)&lt;&gt;"15",LEFT(M1838,2)&lt;&gt;"33"))),"x","")</f>
        <v/>
      </c>
      <c r="X1838" s="51" t="str">
        <f>IF(AND(OR(LEFT(TH!L1838,2)="15",LEFT(TH!M1838,2)="15"),'152-CT'!$J$8=TH!F1838),"x","")</f>
        <v/>
      </c>
      <c r="Y1838" s="51" t="str">
        <f>IF(AND(OR(LEFT(TH!L1838,2)="15",LEFT(TH!M1838,2)="15"),TK!$E$7=TH!F1838),"x","")</f>
        <v/>
      </c>
      <c r="Z1838" s="51" t="str">
        <f>IF(AND(B1838&lt;=NKC!$N$8,B1838&gt;=NKC!$M$8),"x","")</f>
        <v/>
      </c>
      <c r="AA1838" s="803"/>
    </row>
    <row r="1839" spans="1:27" ht="15.75" customHeight="1">
      <c r="A1839" s="804" t="str">
        <f>IF(B1839&lt;&gt;"",IF(AND(B1839&gt;=_TM1,B1839&lt;=_TM2,OR(TH!L1839="1111",TH!M1839="1111")),TH!D1839,""),"")</f>
        <v/>
      </c>
      <c r="B1839" s="36">
        <f t="shared" si="125"/>
        <v>6</v>
      </c>
      <c r="C1839" s="189">
        <f t="shared" si="127"/>
        <v>42181</v>
      </c>
      <c r="D1839" s="37" t="s">
        <v>1288</v>
      </c>
      <c r="E1839" s="885">
        <v>42181</v>
      </c>
      <c r="F1839" s="886" t="s">
        <v>1183</v>
      </c>
      <c r="G1839" s="887" t="s">
        <v>997</v>
      </c>
      <c r="H1839" s="888" t="s">
        <v>1287</v>
      </c>
      <c r="I1839" s="889">
        <v>15</v>
      </c>
      <c r="J1839" s="889">
        <v>65055.829760203276</v>
      </c>
      <c r="K1839" s="890">
        <f t="shared" si="126"/>
        <v>975837</v>
      </c>
      <c r="L1839" s="891" t="s">
        <v>417</v>
      </c>
      <c r="M1839" s="891" t="s">
        <v>160</v>
      </c>
      <c r="N1839" s="51" t="str">
        <f>IF(AND('331-CT'!$E$7=TH!H1839,OR(L1839="331",M1839="331")),"331",IF(AND(OR(L1839="131",M1839="131"),H1839='131-CT'!$E$7),"131",""))</f>
        <v/>
      </c>
      <c r="O1839" s="51" t="str">
        <f>IF(AND($B1839&gt;='111'!$N$11,$B1839&lt;='111'!$O$11,OR($L1839=$O$7,$M1839=$O$7)),"x","")</f>
        <v/>
      </c>
      <c r="P1839" s="51" t="str">
        <f>IF(AND($L1839=$O$7,$B1839&lt;'111'!$N$11),"x","")</f>
        <v/>
      </c>
      <c r="Q1839" s="51" t="str">
        <f>IF(AND($M1839=$O$7,$B1839&lt;'111'!$N$11),"x","")</f>
        <v/>
      </c>
      <c r="R1839" s="51" t="str">
        <f>IF(ISERROR(FIND('112'!$M$9,G1839,1)),"",IF((AND(FIND('112'!$M$9,G1839,1)&gt;=1,$B1839&gt;='112'!$N$8,$B1839&lt;='112'!$O$8,OR($L1839='112'!$I$6,$M1839='112'!$I$6))),"x",""))</f>
        <v/>
      </c>
      <c r="S1839" s="51" t="str">
        <f>IF(ISERROR(FIND('112'!$M$9,G1839,1)),"",IF((AND(LEFT(G1839,2)=LEFT('112'!$M$9,2),B1839&lt;'112'!$N$8,$L1839='112'!$I$6)),"x",""))</f>
        <v/>
      </c>
      <c r="T1839" s="51" t="str">
        <f>IF(ISERROR(FIND('112'!$M$9,G1839,1)),"",IF((AND(RIGHT(G1839,2)=RIGHT('112'!$M$9,2),B1839&lt;'112'!$N$8,$M1839='112'!$I$6)),"x",""))</f>
        <v/>
      </c>
      <c r="U1839" s="51" t="str">
        <f>IF(AND(L1839="154",'154'!$O$5&lt;=B1839,'154'!$P$5&gt;=B1839),"154",IF(AND(L1839="632",'632'!$L$5&lt;=B1839,'632'!$M$5&gt;=B1839),"632",IF(AND(L1839="642",'642'!$N$5&lt;=B1839,'642'!$O$5&gt;=B1839),"642",IF(AND(L1839="641",'641'!$N$5&lt;=B1839,'641'!$O$5&gt;=B1839),"641",""))))</f>
        <v/>
      </c>
      <c r="V1839" s="51" t="str">
        <f>IF(OR(TH!L1839=TH!$V$7,M1839=TH!$V$7),"x","")</f>
        <v/>
      </c>
      <c r="W1839" s="51" t="str">
        <f>IF(AND(B1839&gt;='IN-NX'!$P$3,B1839&lt;='IN-NX'!$Q$3,'IN-NX'!$D$7=D1839,OR(LEFT(L1839,2)="15",AND(LEFT(M1839,2)&lt;&gt;"15",LEFT(M1839,2)&lt;&gt;"33"))),"x","")</f>
        <v/>
      </c>
      <c r="X1839" s="51" t="str">
        <f>IF(AND(OR(LEFT(TH!L1839,2)="15",LEFT(TH!M1839,2)="15"),'152-CT'!$J$8=TH!F1839),"x","")</f>
        <v/>
      </c>
      <c r="Y1839" s="51" t="str">
        <f>IF(AND(OR(LEFT(TH!L1839,2)="15",LEFT(TH!M1839,2)="15"),TK!$E$7=TH!F1839),"x","")</f>
        <v/>
      </c>
      <c r="Z1839" s="51" t="str">
        <f>IF(AND(B1839&lt;=NKC!$N$8,B1839&gt;=NKC!$M$8),"x","")</f>
        <v/>
      </c>
      <c r="AA1839" s="803"/>
    </row>
    <row r="1840" spans="1:27" ht="15.75" customHeight="1">
      <c r="A1840" s="804" t="str">
        <f>IF(B1840&lt;&gt;"",IF(AND(B1840&gt;=_TM1,B1840&lt;=_TM2,OR(TH!L1840="1111",TH!M1840="1111")),TH!D1840,""),"")</f>
        <v/>
      </c>
      <c r="B1840" s="36">
        <f t="shared" si="125"/>
        <v>6</v>
      </c>
      <c r="C1840" s="189">
        <f t="shared" si="127"/>
        <v>42181</v>
      </c>
      <c r="D1840" s="37" t="s">
        <v>1288</v>
      </c>
      <c r="E1840" s="885">
        <v>42181</v>
      </c>
      <c r="F1840" s="886" t="s">
        <v>1199</v>
      </c>
      <c r="G1840" s="887" t="s">
        <v>997</v>
      </c>
      <c r="H1840" s="888" t="s">
        <v>1287</v>
      </c>
      <c r="I1840" s="889">
        <v>6</v>
      </c>
      <c r="J1840" s="889">
        <v>54221.163093536597</v>
      </c>
      <c r="K1840" s="890">
        <f t="shared" si="126"/>
        <v>325327</v>
      </c>
      <c r="L1840" s="891" t="s">
        <v>417</v>
      </c>
      <c r="M1840" s="891" t="s">
        <v>160</v>
      </c>
      <c r="N1840" s="51" t="str">
        <f>IF(AND('331-CT'!$E$7=TH!H1840,OR(L1840="331",M1840="331")),"331",IF(AND(OR(L1840="131",M1840="131"),H1840='131-CT'!$E$7),"131",""))</f>
        <v/>
      </c>
      <c r="O1840" s="51" t="str">
        <f>IF(AND($B1840&gt;='111'!$N$11,$B1840&lt;='111'!$O$11,OR($L1840=$O$7,$M1840=$O$7)),"x","")</f>
        <v/>
      </c>
      <c r="P1840" s="51" t="str">
        <f>IF(AND($L1840=$O$7,$B1840&lt;'111'!$N$11),"x","")</f>
        <v/>
      </c>
      <c r="Q1840" s="51" t="str">
        <f>IF(AND($M1840=$O$7,$B1840&lt;'111'!$N$11),"x","")</f>
        <v/>
      </c>
      <c r="R1840" s="51" t="str">
        <f>IF(ISERROR(FIND('112'!$M$9,G1840,1)),"",IF((AND(FIND('112'!$M$9,G1840,1)&gt;=1,$B1840&gt;='112'!$N$8,$B1840&lt;='112'!$O$8,OR($L1840='112'!$I$6,$M1840='112'!$I$6))),"x",""))</f>
        <v/>
      </c>
      <c r="S1840" s="51" t="str">
        <f>IF(ISERROR(FIND('112'!$M$9,G1840,1)),"",IF((AND(LEFT(G1840,2)=LEFT('112'!$M$9,2),B1840&lt;'112'!$N$8,$L1840='112'!$I$6)),"x",""))</f>
        <v/>
      </c>
      <c r="T1840" s="51" t="str">
        <f>IF(ISERROR(FIND('112'!$M$9,G1840,1)),"",IF((AND(RIGHT(G1840,2)=RIGHT('112'!$M$9,2),B1840&lt;'112'!$N$8,$M1840='112'!$I$6)),"x",""))</f>
        <v/>
      </c>
      <c r="U1840" s="51" t="str">
        <f>IF(AND(L1840="154",'154'!$O$5&lt;=B1840,'154'!$P$5&gt;=B1840),"154",IF(AND(L1840="632",'632'!$L$5&lt;=B1840,'632'!$M$5&gt;=B1840),"632",IF(AND(L1840="642",'642'!$N$5&lt;=B1840,'642'!$O$5&gt;=B1840),"642",IF(AND(L1840="641",'641'!$N$5&lt;=B1840,'641'!$O$5&gt;=B1840),"641",""))))</f>
        <v/>
      </c>
      <c r="V1840" s="51" t="str">
        <f>IF(OR(TH!L1840=TH!$V$7,M1840=TH!$V$7),"x","")</f>
        <v/>
      </c>
      <c r="W1840" s="51" t="str">
        <f>IF(AND(B1840&gt;='IN-NX'!$P$3,B1840&lt;='IN-NX'!$Q$3,'IN-NX'!$D$7=D1840,OR(LEFT(L1840,2)="15",AND(LEFT(M1840,2)&lt;&gt;"15",LEFT(M1840,2)&lt;&gt;"33"))),"x","")</f>
        <v/>
      </c>
      <c r="X1840" s="51" t="str">
        <f>IF(AND(OR(LEFT(TH!L1840,2)="15",LEFT(TH!M1840,2)="15"),'152-CT'!$J$8=TH!F1840),"x","")</f>
        <v/>
      </c>
      <c r="Y1840" s="51" t="str">
        <f>IF(AND(OR(LEFT(TH!L1840,2)="15",LEFT(TH!M1840,2)="15"),TK!$E$7=TH!F1840),"x","")</f>
        <v/>
      </c>
      <c r="Z1840" s="51" t="str">
        <f>IF(AND(B1840&lt;=NKC!$N$8,B1840&gt;=NKC!$M$8),"x","")</f>
        <v/>
      </c>
      <c r="AA1840" s="803"/>
    </row>
    <row r="1841" spans="1:27" ht="15.75" customHeight="1">
      <c r="A1841" s="804" t="str">
        <f>IF(B1841&lt;&gt;"",IF(AND(B1841&gt;=_TM1,B1841&lt;=_TM2,OR(TH!L1841="1111",TH!M1841="1111")),TH!D1841,""),"")</f>
        <v/>
      </c>
      <c r="B1841" s="36">
        <f t="shared" si="125"/>
        <v>6</v>
      </c>
      <c r="C1841" s="189">
        <f t="shared" si="127"/>
        <v>42181</v>
      </c>
      <c r="D1841" s="37" t="s">
        <v>1288</v>
      </c>
      <c r="E1841" s="885">
        <v>42181</v>
      </c>
      <c r="F1841" s="886" t="s">
        <v>1200</v>
      </c>
      <c r="G1841" s="887" t="s">
        <v>997</v>
      </c>
      <c r="H1841" s="888" t="s">
        <v>1287</v>
      </c>
      <c r="I1841" s="889">
        <v>55</v>
      </c>
      <c r="J1841" s="889">
        <v>62140.0721844457</v>
      </c>
      <c r="K1841" s="890">
        <f t="shared" si="126"/>
        <v>3417704</v>
      </c>
      <c r="L1841" s="891" t="s">
        <v>417</v>
      </c>
      <c r="M1841" s="891" t="s">
        <v>160</v>
      </c>
      <c r="N1841" s="51" t="str">
        <f>IF(AND('331-CT'!$E$7=TH!H1841,OR(L1841="331",M1841="331")),"331",IF(AND(OR(L1841="131",M1841="131"),H1841='131-CT'!$E$7),"131",""))</f>
        <v/>
      </c>
      <c r="O1841" s="51" t="str">
        <f>IF(AND($B1841&gt;='111'!$N$11,$B1841&lt;='111'!$O$11,OR($L1841=$O$7,$M1841=$O$7)),"x","")</f>
        <v/>
      </c>
      <c r="P1841" s="51" t="str">
        <f>IF(AND($L1841=$O$7,$B1841&lt;'111'!$N$11),"x","")</f>
        <v/>
      </c>
      <c r="Q1841" s="51" t="str">
        <f>IF(AND($M1841=$O$7,$B1841&lt;'111'!$N$11),"x","")</f>
        <v/>
      </c>
      <c r="R1841" s="51" t="str">
        <f>IF(ISERROR(FIND('112'!$M$9,G1841,1)),"",IF((AND(FIND('112'!$M$9,G1841,1)&gt;=1,$B1841&gt;='112'!$N$8,$B1841&lt;='112'!$O$8,OR($L1841='112'!$I$6,$M1841='112'!$I$6))),"x",""))</f>
        <v/>
      </c>
      <c r="S1841" s="51" t="str">
        <f>IF(ISERROR(FIND('112'!$M$9,G1841,1)),"",IF((AND(LEFT(G1841,2)=LEFT('112'!$M$9,2),B1841&lt;'112'!$N$8,$L1841='112'!$I$6)),"x",""))</f>
        <v/>
      </c>
      <c r="T1841" s="51" t="str">
        <f>IF(ISERROR(FIND('112'!$M$9,G1841,1)),"",IF((AND(RIGHT(G1841,2)=RIGHT('112'!$M$9,2),B1841&lt;'112'!$N$8,$M1841='112'!$I$6)),"x",""))</f>
        <v/>
      </c>
      <c r="U1841" s="51" t="str">
        <f>IF(AND(L1841="154",'154'!$O$5&lt;=B1841,'154'!$P$5&gt;=B1841),"154",IF(AND(L1841="632",'632'!$L$5&lt;=B1841,'632'!$M$5&gt;=B1841),"632",IF(AND(L1841="642",'642'!$N$5&lt;=B1841,'642'!$O$5&gt;=B1841),"642",IF(AND(L1841="641",'641'!$N$5&lt;=B1841,'641'!$O$5&gt;=B1841),"641",""))))</f>
        <v/>
      </c>
      <c r="V1841" s="51" t="str">
        <f>IF(OR(TH!L1841=TH!$V$7,M1841=TH!$V$7),"x","")</f>
        <v/>
      </c>
      <c r="W1841" s="51" t="str">
        <f>IF(AND(B1841&gt;='IN-NX'!$P$3,B1841&lt;='IN-NX'!$Q$3,'IN-NX'!$D$7=D1841,OR(LEFT(L1841,2)="15",AND(LEFT(M1841,2)&lt;&gt;"15",LEFT(M1841,2)&lt;&gt;"33"))),"x","")</f>
        <v/>
      </c>
      <c r="X1841" s="51" t="str">
        <f>IF(AND(OR(LEFT(TH!L1841,2)="15",LEFT(TH!M1841,2)="15"),'152-CT'!$J$8=TH!F1841),"x","")</f>
        <v/>
      </c>
      <c r="Y1841" s="51" t="str">
        <f>IF(AND(OR(LEFT(TH!L1841,2)="15",LEFT(TH!M1841,2)="15"),TK!$E$7=TH!F1841),"x","")</f>
        <v/>
      </c>
      <c r="Z1841" s="51" t="str">
        <f>IF(AND(B1841&lt;=NKC!$N$8,B1841&gt;=NKC!$M$8),"x","")</f>
        <v/>
      </c>
      <c r="AA1841" s="803"/>
    </row>
    <row r="1842" spans="1:27" ht="15.75" customHeight="1">
      <c r="A1842" s="804" t="str">
        <f>IF(B1842&lt;&gt;"",IF(AND(B1842&gt;=_TM1,B1842&lt;=_TM2,OR(TH!L1842="1111",TH!M1842="1111")),TH!D1842,""),"")</f>
        <v/>
      </c>
      <c r="B1842" s="36">
        <f t="shared" si="125"/>
        <v>6</v>
      </c>
      <c r="C1842" s="189">
        <f t="shared" si="127"/>
        <v>42185</v>
      </c>
      <c r="D1842" s="37" t="s">
        <v>1288</v>
      </c>
      <c r="E1842" s="885">
        <v>42185</v>
      </c>
      <c r="F1842" s="886" t="s">
        <v>572</v>
      </c>
      <c r="G1842" s="887" t="s">
        <v>1000</v>
      </c>
      <c r="H1842" s="888" t="s">
        <v>1287</v>
      </c>
      <c r="I1842" s="889">
        <v>500</v>
      </c>
      <c r="J1842" s="889">
        <v>16589.163093536605</v>
      </c>
      <c r="K1842" s="890">
        <f t="shared" si="126"/>
        <v>8294582</v>
      </c>
      <c r="L1842" s="891" t="s">
        <v>417</v>
      </c>
      <c r="M1842" s="891" t="s">
        <v>160</v>
      </c>
      <c r="N1842" s="51" t="str">
        <f>IF(AND('331-CT'!$E$7=TH!H1842,OR(L1842="331",M1842="331")),"331",IF(AND(OR(L1842="131",M1842="131"),H1842='131-CT'!$E$7),"131",""))</f>
        <v/>
      </c>
      <c r="O1842" s="51" t="str">
        <f>IF(AND($B1842&gt;='111'!$N$11,$B1842&lt;='111'!$O$11,OR($L1842=$O$7,$M1842=$O$7)),"x","")</f>
        <v/>
      </c>
      <c r="P1842" s="51" t="str">
        <f>IF(AND($L1842=$O$7,$B1842&lt;'111'!$N$11),"x","")</f>
        <v/>
      </c>
      <c r="Q1842" s="51" t="str">
        <f>IF(AND($M1842=$O$7,$B1842&lt;'111'!$N$11),"x","")</f>
        <v/>
      </c>
      <c r="R1842" s="51" t="str">
        <f>IF(ISERROR(FIND('112'!$M$9,G1842,1)),"",IF((AND(FIND('112'!$M$9,G1842,1)&gt;=1,$B1842&gt;='112'!$N$8,$B1842&lt;='112'!$O$8,OR($L1842='112'!$I$6,$M1842='112'!$I$6))),"x",""))</f>
        <v/>
      </c>
      <c r="S1842" s="51" t="str">
        <f>IF(ISERROR(FIND('112'!$M$9,G1842,1)),"",IF((AND(LEFT(G1842,2)=LEFT('112'!$M$9,2),B1842&lt;'112'!$N$8,$L1842='112'!$I$6)),"x",""))</f>
        <v/>
      </c>
      <c r="T1842" s="51" t="str">
        <f>IF(ISERROR(FIND('112'!$M$9,G1842,1)),"",IF((AND(RIGHT(G1842,2)=RIGHT('112'!$M$9,2),B1842&lt;'112'!$N$8,$M1842='112'!$I$6)),"x",""))</f>
        <v/>
      </c>
      <c r="U1842" s="51" t="str">
        <f>IF(AND(L1842="154",'154'!$O$5&lt;=B1842,'154'!$P$5&gt;=B1842),"154",IF(AND(L1842="632",'632'!$L$5&lt;=B1842,'632'!$M$5&gt;=B1842),"632",IF(AND(L1842="642",'642'!$N$5&lt;=B1842,'642'!$O$5&gt;=B1842),"642",IF(AND(L1842="641",'641'!$N$5&lt;=B1842,'641'!$O$5&gt;=B1842),"641",""))))</f>
        <v/>
      </c>
      <c r="V1842" s="51" t="str">
        <f>IF(OR(TH!L1842=TH!$V$7,M1842=TH!$V$7),"x","")</f>
        <v/>
      </c>
      <c r="W1842" s="51" t="str">
        <f>IF(AND(B1842&gt;='IN-NX'!$P$3,B1842&lt;='IN-NX'!$Q$3,'IN-NX'!$D$7=D1842,OR(LEFT(L1842,2)="15",AND(LEFT(M1842,2)&lt;&gt;"15",LEFT(M1842,2)&lt;&gt;"33"))),"x","")</f>
        <v/>
      </c>
      <c r="X1842" s="51" t="str">
        <f>IF(AND(OR(LEFT(TH!L1842,2)="15",LEFT(TH!M1842,2)="15"),'152-CT'!$J$8=TH!F1842),"x","")</f>
        <v/>
      </c>
      <c r="Y1842" s="51" t="str">
        <f>IF(AND(OR(LEFT(TH!L1842,2)="15",LEFT(TH!M1842,2)="15"),TK!$E$7=TH!F1842),"x","")</f>
        <v/>
      </c>
      <c r="Z1842" s="51" t="str">
        <f>IF(AND(B1842&lt;=NKC!$N$8,B1842&gt;=NKC!$M$8),"x","")</f>
        <v/>
      </c>
      <c r="AA1842" s="803"/>
    </row>
    <row r="1843" spans="1:27" ht="15.75" customHeight="1">
      <c r="A1843" s="804" t="str">
        <f>IF(B1843&lt;&gt;"",IF(AND(B1843&gt;=_TM1,B1843&lt;=_TM2,OR(TH!L1843="1111",TH!M1843="1111")),TH!D1843,""),"")</f>
        <v/>
      </c>
      <c r="B1843" s="36">
        <f t="shared" ref="B1843:B1874" si="128">IF(C1843&lt;&gt;"",MONTH(C1843),"")</f>
        <v>6</v>
      </c>
      <c r="C1843" s="189">
        <f t="shared" si="127"/>
        <v>42185</v>
      </c>
      <c r="D1843" s="37" t="s">
        <v>1288</v>
      </c>
      <c r="E1843" s="885">
        <v>42185</v>
      </c>
      <c r="F1843" s="886" t="s">
        <v>573</v>
      </c>
      <c r="G1843" s="887" t="s">
        <v>1000</v>
      </c>
      <c r="H1843" s="888" t="s">
        <v>1287</v>
      </c>
      <c r="I1843" s="889">
        <v>500</v>
      </c>
      <c r="J1843" s="889">
        <v>17382.163093536605</v>
      </c>
      <c r="K1843" s="890">
        <f t="shared" si="126"/>
        <v>8691082</v>
      </c>
      <c r="L1843" s="891" t="s">
        <v>417</v>
      </c>
      <c r="M1843" s="891" t="s">
        <v>160</v>
      </c>
      <c r="N1843" s="51" t="str">
        <f>IF(AND('331-CT'!$E$7=TH!H1843,OR(L1843="331",M1843="331")),"331",IF(AND(OR(L1843="131",M1843="131"),H1843='131-CT'!$E$7),"131",""))</f>
        <v/>
      </c>
      <c r="O1843" s="51" t="str">
        <f>IF(AND($B1843&gt;='111'!$N$11,$B1843&lt;='111'!$O$11,OR($L1843=$O$7,$M1843=$O$7)),"x","")</f>
        <v/>
      </c>
      <c r="P1843" s="51" t="str">
        <f>IF(AND($L1843=$O$7,$B1843&lt;'111'!$N$11),"x","")</f>
        <v/>
      </c>
      <c r="Q1843" s="51" t="str">
        <f>IF(AND($M1843=$O$7,$B1843&lt;'111'!$N$11),"x","")</f>
        <v/>
      </c>
      <c r="R1843" s="51" t="str">
        <f>IF(ISERROR(FIND('112'!$M$9,G1843,1)),"",IF((AND(FIND('112'!$M$9,G1843,1)&gt;=1,$B1843&gt;='112'!$N$8,$B1843&lt;='112'!$O$8,OR($L1843='112'!$I$6,$M1843='112'!$I$6))),"x",""))</f>
        <v/>
      </c>
      <c r="S1843" s="51" t="str">
        <f>IF(ISERROR(FIND('112'!$M$9,G1843,1)),"",IF((AND(LEFT(G1843,2)=LEFT('112'!$M$9,2),B1843&lt;'112'!$N$8,$L1843='112'!$I$6)),"x",""))</f>
        <v/>
      </c>
      <c r="T1843" s="51" t="str">
        <f>IF(ISERROR(FIND('112'!$M$9,G1843,1)),"",IF((AND(RIGHT(G1843,2)=RIGHT('112'!$M$9,2),B1843&lt;'112'!$N$8,$M1843='112'!$I$6)),"x",""))</f>
        <v/>
      </c>
      <c r="U1843" s="51" t="str">
        <f>IF(AND(L1843="154",'154'!$O$5&lt;=B1843,'154'!$P$5&gt;=B1843),"154",IF(AND(L1843="632",'632'!$L$5&lt;=B1843,'632'!$M$5&gt;=B1843),"632",IF(AND(L1843="642",'642'!$N$5&lt;=B1843,'642'!$O$5&gt;=B1843),"642",IF(AND(L1843="641",'641'!$N$5&lt;=B1843,'641'!$O$5&gt;=B1843),"641",""))))</f>
        <v/>
      </c>
      <c r="V1843" s="51" t="str">
        <f>IF(OR(TH!L1843=TH!$V$7,M1843=TH!$V$7),"x","")</f>
        <v/>
      </c>
      <c r="W1843" s="51" t="str">
        <f>IF(AND(B1843&gt;='IN-NX'!$P$3,B1843&lt;='IN-NX'!$Q$3,'IN-NX'!$D$7=D1843,OR(LEFT(L1843,2)="15",AND(LEFT(M1843,2)&lt;&gt;"15",LEFT(M1843,2)&lt;&gt;"33"))),"x","")</f>
        <v/>
      </c>
      <c r="X1843" s="51" t="str">
        <f>IF(AND(OR(LEFT(TH!L1843,2)="15",LEFT(TH!M1843,2)="15"),'152-CT'!$J$8=TH!F1843),"x","")</f>
        <v/>
      </c>
      <c r="Y1843" s="51" t="str">
        <f>IF(AND(OR(LEFT(TH!L1843,2)="15",LEFT(TH!M1843,2)="15"),TK!$E$7=TH!F1843),"x","")</f>
        <v/>
      </c>
      <c r="Z1843" s="51" t="str">
        <f>IF(AND(B1843&lt;=NKC!$N$8,B1843&gt;=NKC!$M$8),"x","")</f>
        <v/>
      </c>
      <c r="AA1843" s="803"/>
    </row>
    <row r="1844" spans="1:27" ht="15.75" customHeight="1">
      <c r="A1844" s="804" t="str">
        <f>IF(B1844&lt;&gt;"",IF(AND(B1844&gt;=_TM1,B1844&lt;=_TM2,OR(TH!L1844="1111",TH!M1844="1111")),TH!D1844,""),"")</f>
        <v/>
      </c>
      <c r="B1844" s="36">
        <f t="shared" si="128"/>
        <v>6</v>
      </c>
      <c r="C1844" s="189">
        <f t="shared" si="127"/>
        <v>42185</v>
      </c>
      <c r="D1844" s="37" t="s">
        <v>1288</v>
      </c>
      <c r="E1844" s="885">
        <v>42185</v>
      </c>
      <c r="F1844" s="886" t="s">
        <v>570</v>
      </c>
      <c r="G1844" s="887" t="s">
        <v>1001</v>
      </c>
      <c r="H1844" s="888" t="s">
        <v>1287</v>
      </c>
      <c r="I1844" s="889">
        <v>400</v>
      </c>
      <c r="J1844" s="889">
        <v>25264.850593536608</v>
      </c>
      <c r="K1844" s="890">
        <f t="shared" si="126"/>
        <v>10105940</v>
      </c>
      <c r="L1844" s="891" t="s">
        <v>417</v>
      </c>
      <c r="M1844" s="891" t="s">
        <v>160</v>
      </c>
      <c r="N1844" s="51" t="str">
        <f>IF(AND('331-CT'!$E$7=TH!H1844,OR(L1844="331",M1844="331")),"331",IF(AND(OR(L1844="131",M1844="131"),H1844='131-CT'!$E$7),"131",""))</f>
        <v/>
      </c>
      <c r="O1844" s="51" t="str">
        <f>IF(AND($B1844&gt;='111'!$N$11,$B1844&lt;='111'!$O$11,OR($L1844=$O$7,$M1844=$O$7)),"x","")</f>
        <v/>
      </c>
      <c r="P1844" s="51" t="str">
        <f>IF(AND($L1844=$O$7,$B1844&lt;'111'!$N$11),"x","")</f>
        <v/>
      </c>
      <c r="Q1844" s="51" t="str">
        <f>IF(AND($M1844=$O$7,$B1844&lt;'111'!$N$11),"x","")</f>
        <v/>
      </c>
      <c r="R1844" s="51" t="str">
        <f>IF(ISERROR(FIND('112'!$M$9,G1844,1)),"",IF((AND(FIND('112'!$M$9,G1844,1)&gt;=1,$B1844&gt;='112'!$N$8,$B1844&lt;='112'!$O$8,OR($L1844='112'!$I$6,$M1844='112'!$I$6))),"x",""))</f>
        <v/>
      </c>
      <c r="S1844" s="51" t="str">
        <f>IF(ISERROR(FIND('112'!$M$9,G1844,1)),"",IF((AND(LEFT(G1844,2)=LEFT('112'!$M$9,2),B1844&lt;'112'!$N$8,$L1844='112'!$I$6)),"x",""))</f>
        <v/>
      </c>
      <c r="T1844" s="51" t="str">
        <f>IF(ISERROR(FIND('112'!$M$9,G1844,1)),"",IF((AND(RIGHT(G1844,2)=RIGHT('112'!$M$9,2),B1844&lt;'112'!$N$8,$M1844='112'!$I$6)),"x",""))</f>
        <v/>
      </c>
      <c r="U1844" s="51" t="str">
        <f>IF(AND(L1844="154",'154'!$O$5&lt;=B1844,'154'!$P$5&gt;=B1844),"154",IF(AND(L1844="632",'632'!$L$5&lt;=B1844,'632'!$M$5&gt;=B1844),"632",IF(AND(L1844="642",'642'!$N$5&lt;=B1844,'642'!$O$5&gt;=B1844),"642",IF(AND(L1844="641",'641'!$N$5&lt;=B1844,'641'!$O$5&gt;=B1844),"641",""))))</f>
        <v/>
      </c>
      <c r="V1844" s="51" t="str">
        <f>IF(OR(TH!L1844=TH!$V$7,M1844=TH!$V$7),"x","")</f>
        <v/>
      </c>
      <c r="W1844" s="51" t="str">
        <f>IF(AND(B1844&gt;='IN-NX'!$P$3,B1844&lt;='IN-NX'!$Q$3,'IN-NX'!$D$7=D1844,OR(LEFT(L1844,2)="15",AND(LEFT(M1844,2)&lt;&gt;"15",LEFT(M1844,2)&lt;&gt;"33"))),"x","")</f>
        <v/>
      </c>
      <c r="X1844" s="51" t="str">
        <f>IF(AND(OR(LEFT(TH!L1844,2)="15",LEFT(TH!M1844,2)="15"),'152-CT'!$J$8=TH!F1844),"x","")</f>
        <v/>
      </c>
      <c r="Y1844" s="51" t="str">
        <f>IF(AND(OR(LEFT(TH!L1844,2)="15",LEFT(TH!M1844,2)="15"),TK!$E$7=TH!F1844),"x","")</f>
        <v/>
      </c>
      <c r="Z1844" s="51" t="str">
        <f>IF(AND(B1844&lt;=NKC!$N$8,B1844&gt;=NKC!$M$8),"x","")</f>
        <v/>
      </c>
      <c r="AA1844" s="803"/>
    </row>
    <row r="1845" spans="1:27" ht="15.75" customHeight="1">
      <c r="A1845" s="804" t="str">
        <f>IF(B1845&lt;&gt;"",IF(AND(B1845&gt;=_TM1,B1845&lt;=_TM2,OR(TH!L1845="1111",TH!M1845="1111")),TH!D1845,""),"")</f>
        <v/>
      </c>
      <c r="B1845" s="36">
        <f t="shared" si="128"/>
        <v>6</v>
      </c>
      <c r="C1845" s="189">
        <f t="shared" si="127"/>
        <v>42185</v>
      </c>
      <c r="D1845" s="37" t="s">
        <v>1288</v>
      </c>
      <c r="E1845" s="885">
        <v>42185</v>
      </c>
      <c r="F1845" s="886" t="s">
        <v>571</v>
      </c>
      <c r="G1845" s="887" t="s">
        <v>1001</v>
      </c>
      <c r="H1845" s="888" t="s">
        <v>1287</v>
      </c>
      <c r="I1845" s="889">
        <v>600</v>
      </c>
      <c r="J1845" s="889">
        <v>13047.163093536605</v>
      </c>
      <c r="K1845" s="890">
        <f t="shared" si="126"/>
        <v>7828298</v>
      </c>
      <c r="L1845" s="891" t="s">
        <v>417</v>
      </c>
      <c r="M1845" s="891" t="s">
        <v>160</v>
      </c>
      <c r="N1845" s="51" t="str">
        <f>IF(AND('331-CT'!$E$7=TH!H1845,OR(L1845="331",M1845="331")),"331",IF(AND(OR(L1845="131",M1845="131"),H1845='131-CT'!$E$7),"131",""))</f>
        <v/>
      </c>
      <c r="O1845" s="51" t="str">
        <f>IF(AND($B1845&gt;='111'!$N$11,$B1845&lt;='111'!$O$11,OR($L1845=$O$7,$M1845=$O$7)),"x","")</f>
        <v/>
      </c>
      <c r="P1845" s="51" t="str">
        <f>IF(AND($L1845=$O$7,$B1845&lt;'111'!$N$11),"x","")</f>
        <v/>
      </c>
      <c r="Q1845" s="51" t="str">
        <f>IF(AND($M1845=$O$7,$B1845&lt;'111'!$N$11),"x","")</f>
        <v/>
      </c>
      <c r="R1845" s="51" t="str">
        <f>IF(ISERROR(FIND('112'!$M$9,G1845,1)),"",IF((AND(FIND('112'!$M$9,G1845,1)&gt;=1,$B1845&gt;='112'!$N$8,$B1845&lt;='112'!$O$8,OR($L1845='112'!$I$6,$M1845='112'!$I$6))),"x",""))</f>
        <v/>
      </c>
      <c r="S1845" s="51" t="str">
        <f>IF(ISERROR(FIND('112'!$M$9,G1845,1)),"",IF((AND(LEFT(G1845,2)=LEFT('112'!$M$9,2),B1845&lt;'112'!$N$8,$L1845='112'!$I$6)),"x",""))</f>
        <v/>
      </c>
      <c r="T1845" s="51" t="str">
        <f>IF(ISERROR(FIND('112'!$M$9,G1845,1)),"",IF((AND(RIGHT(G1845,2)=RIGHT('112'!$M$9,2),B1845&lt;'112'!$N$8,$M1845='112'!$I$6)),"x",""))</f>
        <v/>
      </c>
      <c r="U1845" s="51" t="str">
        <f>IF(AND(L1845="154",'154'!$O$5&lt;=B1845,'154'!$P$5&gt;=B1845),"154",IF(AND(L1845="632",'632'!$L$5&lt;=B1845,'632'!$M$5&gt;=B1845),"632",IF(AND(L1845="642",'642'!$N$5&lt;=B1845,'642'!$O$5&gt;=B1845),"642",IF(AND(L1845="641",'641'!$N$5&lt;=B1845,'641'!$O$5&gt;=B1845),"641",""))))</f>
        <v/>
      </c>
      <c r="V1845" s="51" t="str">
        <f>IF(OR(TH!L1845=TH!$V$7,M1845=TH!$V$7),"x","")</f>
        <v/>
      </c>
      <c r="W1845" s="51" t="str">
        <f>IF(AND(B1845&gt;='IN-NX'!$P$3,B1845&lt;='IN-NX'!$Q$3,'IN-NX'!$D$7=D1845,OR(LEFT(L1845,2)="15",AND(LEFT(M1845,2)&lt;&gt;"15",LEFT(M1845,2)&lt;&gt;"33"))),"x","")</f>
        <v/>
      </c>
      <c r="X1845" s="51" t="str">
        <f>IF(AND(OR(LEFT(TH!L1845,2)="15",LEFT(TH!M1845,2)="15"),'152-CT'!$J$8=TH!F1845),"x","")</f>
        <v/>
      </c>
      <c r="Y1845" s="51" t="str">
        <f>IF(AND(OR(LEFT(TH!L1845,2)="15",LEFT(TH!M1845,2)="15"),TK!$E$7=TH!F1845),"x","")</f>
        <v/>
      </c>
      <c r="Z1845" s="51" t="str">
        <f>IF(AND(B1845&lt;=NKC!$N$8,B1845&gt;=NKC!$M$8),"x","")</f>
        <v/>
      </c>
      <c r="AA1845" s="803"/>
    </row>
    <row r="1846" spans="1:27" ht="15.75" customHeight="1">
      <c r="A1846" s="804" t="str">
        <f>IF(B1846&lt;&gt;"",IF(AND(B1846&gt;=_TM1,B1846&lt;=_TM2,OR(TH!L1846="1111",TH!M1846="1111")),TH!D1846,""),"")</f>
        <v/>
      </c>
      <c r="B1846" s="36">
        <f t="shared" si="128"/>
        <v>6</v>
      </c>
      <c r="C1846" s="189">
        <f t="shared" si="127"/>
        <v>42185</v>
      </c>
      <c r="D1846" s="37" t="s">
        <v>1288</v>
      </c>
      <c r="E1846" s="885">
        <v>42185</v>
      </c>
      <c r="F1846" s="886" t="s">
        <v>574</v>
      </c>
      <c r="G1846" s="887" t="s">
        <v>1002</v>
      </c>
      <c r="H1846" s="888" t="s">
        <v>1287</v>
      </c>
      <c r="I1846" s="889">
        <v>500</v>
      </c>
      <c r="J1846" s="889">
        <v>15347.009247382759</v>
      </c>
      <c r="K1846" s="890">
        <f t="shared" si="126"/>
        <v>7673505</v>
      </c>
      <c r="L1846" s="891" t="s">
        <v>417</v>
      </c>
      <c r="M1846" s="891" t="s">
        <v>160</v>
      </c>
      <c r="N1846" s="51" t="str">
        <f>IF(AND('331-CT'!$E$7=TH!H1846,OR(L1846="331",M1846="331")),"331",IF(AND(OR(L1846="131",M1846="131"),H1846='131-CT'!$E$7),"131",""))</f>
        <v/>
      </c>
      <c r="O1846" s="51" t="str">
        <f>IF(AND($B1846&gt;='111'!$N$11,$B1846&lt;='111'!$O$11,OR($L1846=$O$7,$M1846=$O$7)),"x","")</f>
        <v/>
      </c>
      <c r="P1846" s="51" t="str">
        <f>IF(AND($L1846=$O$7,$B1846&lt;'111'!$N$11),"x","")</f>
        <v/>
      </c>
      <c r="Q1846" s="51" t="str">
        <f>IF(AND($M1846=$O$7,$B1846&lt;'111'!$N$11),"x","")</f>
        <v/>
      </c>
      <c r="R1846" s="51" t="str">
        <f>IF(ISERROR(FIND('112'!$M$9,G1846,1)),"",IF((AND(FIND('112'!$M$9,G1846,1)&gt;=1,$B1846&gt;='112'!$N$8,$B1846&lt;='112'!$O$8,OR($L1846='112'!$I$6,$M1846='112'!$I$6))),"x",""))</f>
        <v/>
      </c>
      <c r="S1846" s="51" t="str">
        <f>IF(ISERROR(FIND('112'!$M$9,G1846,1)),"",IF((AND(LEFT(G1846,2)=LEFT('112'!$M$9,2),B1846&lt;'112'!$N$8,$L1846='112'!$I$6)),"x",""))</f>
        <v/>
      </c>
      <c r="T1846" s="51" t="str">
        <f>IF(ISERROR(FIND('112'!$M$9,G1846,1)),"",IF((AND(RIGHT(G1846,2)=RIGHT('112'!$M$9,2),B1846&lt;'112'!$N$8,$M1846='112'!$I$6)),"x",""))</f>
        <v/>
      </c>
      <c r="U1846" s="51" t="str">
        <f>IF(AND(L1846="154",'154'!$O$5&lt;=B1846,'154'!$P$5&gt;=B1846),"154",IF(AND(L1846="632",'632'!$L$5&lt;=B1846,'632'!$M$5&gt;=B1846),"632",IF(AND(L1846="642",'642'!$N$5&lt;=B1846,'642'!$O$5&gt;=B1846),"642",IF(AND(L1846="641",'641'!$N$5&lt;=B1846,'641'!$O$5&gt;=B1846),"641",""))))</f>
        <v/>
      </c>
      <c r="V1846" s="51" t="str">
        <f>IF(OR(TH!L1846=TH!$V$7,M1846=TH!$V$7),"x","")</f>
        <v/>
      </c>
      <c r="W1846" s="51" t="str">
        <f>IF(AND(B1846&gt;='IN-NX'!$P$3,B1846&lt;='IN-NX'!$Q$3,'IN-NX'!$D$7=D1846,OR(LEFT(L1846,2)="15",AND(LEFT(M1846,2)&lt;&gt;"15",LEFT(M1846,2)&lt;&gt;"33"))),"x","")</f>
        <v/>
      </c>
      <c r="X1846" s="51" t="str">
        <f>IF(AND(OR(LEFT(TH!L1846,2)="15",LEFT(TH!M1846,2)="15"),'152-CT'!$J$8=TH!F1846),"x","")</f>
        <v/>
      </c>
      <c r="Y1846" s="51" t="str">
        <f>IF(AND(OR(LEFT(TH!L1846,2)="15",LEFT(TH!M1846,2)="15"),TK!$E$7=TH!F1846),"x","")</f>
        <v/>
      </c>
      <c r="Z1846" s="51" t="str">
        <f>IF(AND(B1846&lt;=NKC!$N$8,B1846&gt;=NKC!$M$8),"x","")</f>
        <v/>
      </c>
      <c r="AA1846" s="803"/>
    </row>
    <row r="1847" spans="1:27" ht="15.75" customHeight="1">
      <c r="A1847" s="804" t="str">
        <f>IF(B1847&lt;&gt;"",IF(AND(B1847&gt;=_TM1,B1847&lt;=_TM2,OR(TH!L1847="1111",TH!M1847="1111")),TH!D1847,""),"")</f>
        <v/>
      </c>
      <c r="B1847" s="36">
        <f t="shared" si="128"/>
        <v>6</v>
      </c>
      <c r="C1847" s="189">
        <f t="shared" si="127"/>
        <v>42185</v>
      </c>
      <c r="D1847" s="37" t="s">
        <v>1288</v>
      </c>
      <c r="E1847" s="885">
        <v>42185</v>
      </c>
      <c r="F1847" s="886" t="s">
        <v>575</v>
      </c>
      <c r="G1847" s="887" t="s">
        <v>1002</v>
      </c>
      <c r="H1847" s="888" t="s">
        <v>1287</v>
      </c>
      <c r="I1847" s="889">
        <v>550</v>
      </c>
      <c r="J1847" s="889">
        <v>16575.163093536605</v>
      </c>
      <c r="K1847" s="890">
        <f t="shared" si="126"/>
        <v>9116340</v>
      </c>
      <c r="L1847" s="891" t="s">
        <v>417</v>
      </c>
      <c r="M1847" s="891" t="s">
        <v>160</v>
      </c>
      <c r="N1847" s="51" t="str">
        <f>IF(AND('331-CT'!$E$7=TH!H1847,OR(L1847="331",M1847="331")),"331",IF(AND(OR(L1847="131",M1847="131"),H1847='131-CT'!$E$7),"131",""))</f>
        <v/>
      </c>
      <c r="O1847" s="51" t="str">
        <f>IF(AND($B1847&gt;='111'!$N$11,$B1847&lt;='111'!$O$11,OR($L1847=$O$7,$M1847=$O$7)),"x","")</f>
        <v/>
      </c>
      <c r="P1847" s="51" t="str">
        <f>IF(AND($L1847=$O$7,$B1847&lt;'111'!$N$11),"x","")</f>
        <v/>
      </c>
      <c r="Q1847" s="51" t="str">
        <f>IF(AND($M1847=$O$7,$B1847&lt;'111'!$N$11),"x","")</f>
        <v/>
      </c>
      <c r="R1847" s="51" t="str">
        <f>IF(ISERROR(FIND('112'!$M$9,G1847,1)),"",IF((AND(FIND('112'!$M$9,G1847,1)&gt;=1,$B1847&gt;='112'!$N$8,$B1847&lt;='112'!$O$8,OR($L1847='112'!$I$6,$M1847='112'!$I$6))),"x",""))</f>
        <v/>
      </c>
      <c r="S1847" s="51" t="str">
        <f>IF(ISERROR(FIND('112'!$M$9,G1847,1)),"",IF((AND(LEFT(G1847,2)=LEFT('112'!$M$9,2),B1847&lt;'112'!$N$8,$L1847='112'!$I$6)),"x",""))</f>
        <v/>
      </c>
      <c r="T1847" s="51" t="str">
        <f>IF(ISERROR(FIND('112'!$M$9,G1847,1)),"",IF((AND(RIGHT(G1847,2)=RIGHT('112'!$M$9,2),B1847&lt;'112'!$N$8,$M1847='112'!$I$6)),"x",""))</f>
        <v/>
      </c>
      <c r="U1847" s="51" t="str">
        <f>IF(AND(L1847="154",'154'!$O$5&lt;=B1847,'154'!$P$5&gt;=B1847),"154",IF(AND(L1847="632",'632'!$L$5&lt;=B1847,'632'!$M$5&gt;=B1847),"632",IF(AND(L1847="642",'642'!$N$5&lt;=B1847,'642'!$O$5&gt;=B1847),"642",IF(AND(L1847="641",'641'!$N$5&lt;=B1847,'641'!$O$5&gt;=B1847),"641",""))))</f>
        <v/>
      </c>
      <c r="V1847" s="51" t="str">
        <f>IF(OR(TH!L1847=TH!$V$7,M1847=TH!$V$7),"x","")</f>
        <v/>
      </c>
      <c r="W1847" s="51" t="str">
        <f>IF(AND(B1847&gt;='IN-NX'!$P$3,B1847&lt;='IN-NX'!$Q$3,'IN-NX'!$D$7=D1847,OR(LEFT(L1847,2)="15",AND(LEFT(M1847,2)&lt;&gt;"15",LEFT(M1847,2)&lt;&gt;"33"))),"x","")</f>
        <v/>
      </c>
      <c r="X1847" s="51" t="str">
        <f>IF(AND(OR(LEFT(TH!L1847,2)="15",LEFT(TH!M1847,2)="15"),'152-CT'!$J$8=TH!F1847),"x","")</f>
        <v/>
      </c>
      <c r="Y1847" s="51" t="str">
        <f>IF(AND(OR(LEFT(TH!L1847,2)="15",LEFT(TH!M1847,2)="15"),TK!$E$7=TH!F1847),"x","")</f>
        <v/>
      </c>
      <c r="Z1847" s="51" t="str">
        <f>IF(AND(B1847&lt;=NKC!$N$8,B1847&gt;=NKC!$M$8),"x","")</f>
        <v/>
      </c>
      <c r="AA1847" s="803"/>
    </row>
    <row r="1848" spans="1:27" ht="15.75" customHeight="1">
      <c r="A1848" s="804" t="str">
        <f>IF(B1848&lt;&gt;"",IF(AND(B1848&gt;=_TM1,B1848&lt;=_TM2,OR(TH!L1848="1111",TH!M1848="1111")),TH!D1848,""),"")</f>
        <v/>
      </c>
      <c r="B1848" s="36">
        <f t="shared" si="128"/>
        <v>6</v>
      </c>
      <c r="C1848" s="189">
        <f t="shared" si="127"/>
        <v>42185</v>
      </c>
      <c r="D1848" s="37" t="s">
        <v>1288</v>
      </c>
      <c r="E1848" s="885">
        <v>42185</v>
      </c>
      <c r="F1848" s="886" t="s">
        <v>578</v>
      </c>
      <c r="G1848" s="887" t="s">
        <v>1003</v>
      </c>
      <c r="H1848" s="888" t="s">
        <v>1287</v>
      </c>
      <c r="I1848" s="889">
        <v>490</v>
      </c>
      <c r="J1848" s="889">
        <v>22713.652889454974</v>
      </c>
      <c r="K1848" s="890">
        <f t="shared" si="126"/>
        <v>11129690</v>
      </c>
      <c r="L1848" s="891" t="s">
        <v>417</v>
      </c>
      <c r="M1848" s="891" t="s">
        <v>160</v>
      </c>
      <c r="N1848" s="51" t="str">
        <f>IF(AND('331-CT'!$E$7=TH!H1848,OR(L1848="331",M1848="331")),"331",IF(AND(OR(L1848="131",M1848="131"),H1848='131-CT'!$E$7),"131",""))</f>
        <v/>
      </c>
      <c r="O1848" s="51" t="str">
        <f>IF(AND($B1848&gt;='111'!$N$11,$B1848&lt;='111'!$O$11,OR($L1848=$O$7,$M1848=$O$7)),"x","")</f>
        <v/>
      </c>
      <c r="P1848" s="51" t="str">
        <f>IF(AND($L1848=$O$7,$B1848&lt;'111'!$N$11),"x","")</f>
        <v/>
      </c>
      <c r="Q1848" s="51" t="str">
        <f>IF(AND($M1848=$O$7,$B1848&lt;'111'!$N$11),"x","")</f>
        <v/>
      </c>
      <c r="R1848" s="51" t="str">
        <f>IF(ISERROR(FIND('112'!$M$9,G1848,1)),"",IF((AND(FIND('112'!$M$9,G1848,1)&gt;=1,$B1848&gt;='112'!$N$8,$B1848&lt;='112'!$O$8,OR($L1848='112'!$I$6,$M1848='112'!$I$6))),"x",""))</f>
        <v/>
      </c>
      <c r="S1848" s="51" t="str">
        <f>IF(ISERROR(FIND('112'!$M$9,G1848,1)),"",IF((AND(LEFT(G1848,2)=LEFT('112'!$M$9,2),B1848&lt;'112'!$N$8,$L1848='112'!$I$6)),"x",""))</f>
        <v/>
      </c>
      <c r="T1848" s="51" t="str">
        <f>IF(ISERROR(FIND('112'!$M$9,G1848,1)),"",IF((AND(RIGHT(G1848,2)=RIGHT('112'!$M$9,2),B1848&lt;'112'!$N$8,$M1848='112'!$I$6)),"x",""))</f>
        <v/>
      </c>
      <c r="U1848" s="51" t="str">
        <f>IF(AND(L1848="154",'154'!$O$5&lt;=B1848,'154'!$P$5&gt;=B1848),"154",IF(AND(L1848="632",'632'!$L$5&lt;=B1848,'632'!$M$5&gt;=B1848),"632",IF(AND(L1848="642",'642'!$N$5&lt;=B1848,'642'!$O$5&gt;=B1848),"642",IF(AND(L1848="641",'641'!$N$5&lt;=B1848,'641'!$O$5&gt;=B1848),"641",""))))</f>
        <v/>
      </c>
      <c r="V1848" s="51" t="str">
        <f>IF(OR(TH!L1848=TH!$V$7,M1848=TH!$V$7),"x","")</f>
        <v/>
      </c>
      <c r="W1848" s="51" t="str">
        <f>IF(AND(B1848&gt;='IN-NX'!$P$3,B1848&lt;='IN-NX'!$Q$3,'IN-NX'!$D$7=D1848,OR(LEFT(L1848,2)="15",AND(LEFT(M1848,2)&lt;&gt;"15",LEFT(M1848,2)&lt;&gt;"33"))),"x","")</f>
        <v/>
      </c>
      <c r="X1848" s="51" t="str">
        <f>IF(AND(OR(LEFT(TH!L1848,2)="15",LEFT(TH!M1848,2)="15"),'152-CT'!$J$8=TH!F1848),"x","")</f>
        <v/>
      </c>
      <c r="Y1848" s="51" t="str">
        <f>IF(AND(OR(LEFT(TH!L1848,2)="15",LEFT(TH!M1848,2)="15"),TK!$E$7=TH!F1848),"x","")</f>
        <v/>
      </c>
      <c r="Z1848" s="51" t="str">
        <f>IF(AND(B1848&lt;=NKC!$N$8,B1848&gt;=NKC!$M$8),"x","")</f>
        <v/>
      </c>
      <c r="AA1848" s="803"/>
    </row>
    <row r="1849" spans="1:27" ht="15.75" customHeight="1">
      <c r="A1849" s="804" t="str">
        <f>IF(B1849&lt;&gt;"",IF(AND(B1849&gt;=_TM1,B1849&lt;=_TM2,OR(TH!L1849="1111",TH!M1849="1111")),TH!D1849,""),"")</f>
        <v/>
      </c>
      <c r="B1849" s="36">
        <f t="shared" si="128"/>
        <v>6</v>
      </c>
      <c r="C1849" s="189">
        <f t="shared" si="127"/>
        <v>42185</v>
      </c>
      <c r="D1849" s="37" t="s">
        <v>1288</v>
      </c>
      <c r="E1849" s="885">
        <v>42185</v>
      </c>
      <c r="F1849" s="886" t="s">
        <v>576</v>
      </c>
      <c r="G1849" s="887" t="s">
        <v>1003</v>
      </c>
      <c r="H1849" s="888" t="s">
        <v>1287</v>
      </c>
      <c r="I1849" s="889">
        <v>500</v>
      </c>
      <c r="J1849" s="889">
        <v>12940.701555075064</v>
      </c>
      <c r="K1849" s="890">
        <f t="shared" si="126"/>
        <v>6470351</v>
      </c>
      <c r="L1849" s="891" t="s">
        <v>417</v>
      </c>
      <c r="M1849" s="891" t="s">
        <v>160</v>
      </c>
      <c r="N1849" s="51" t="str">
        <f>IF(AND('331-CT'!$E$7=TH!H1849,OR(L1849="331",M1849="331")),"331",IF(AND(OR(L1849="131",M1849="131"),H1849='131-CT'!$E$7),"131",""))</f>
        <v/>
      </c>
      <c r="O1849" s="51" t="str">
        <f>IF(AND($B1849&gt;='111'!$N$11,$B1849&lt;='111'!$O$11,OR($L1849=$O$7,$M1849=$O$7)),"x","")</f>
        <v/>
      </c>
      <c r="P1849" s="51" t="str">
        <f>IF(AND($L1849=$O$7,$B1849&lt;'111'!$N$11),"x","")</f>
        <v/>
      </c>
      <c r="Q1849" s="51" t="str">
        <f>IF(AND($M1849=$O$7,$B1849&lt;'111'!$N$11),"x","")</f>
        <v/>
      </c>
      <c r="R1849" s="51" t="str">
        <f>IF(ISERROR(FIND('112'!$M$9,G1849,1)),"",IF((AND(FIND('112'!$M$9,G1849,1)&gt;=1,$B1849&gt;='112'!$N$8,$B1849&lt;='112'!$O$8,OR($L1849='112'!$I$6,$M1849='112'!$I$6))),"x",""))</f>
        <v/>
      </c>
      <c r="S1849" s="51" t="str">
        <f>IF(ISERROR(FIND('112'!$M$9,G1849,1)),"",IF((AND(LEFT(G1849,2)=LEFT('112'!$M$9,2),B1849&lt;'112'!$N$8,$L1849='112'!$I$6)),"x",""))</f>
        <v/>
      </c>
      <c r="T1849" s="51" t="str">
        <f>IF(ISERROR(FIND('112'!$M$9,G1849,1)),"",IF((AND(RIGHT(G1849,2)=RIGHT('112'!$M$9,2),B1849&lt;'112'!$N$8,$M1849='112'!$I$6)),"x",""))</f>
        <v/>
      </c>
      <c r="U1849" s="51" t="str">
        <f>IF(AND(L1849="154",'154'!$O$5&lt;=B1849,'154'!$P$5&gt;=B1849),"154",IF(AND(L1849="632",'632'!$L$5&lt;=B1849,'632'!$M$5&gt;=B1849),"632",IF(AND(L1849="642",'642'!$N$5&lt;=B1849,'642'!$O$5&gt;=B1849),"642",IF(AND(L1849="641",'641'!$N$5&lt;=B1849,'641'!$O$5&gt;=B1849),"641",""))))</f>
        <v/>
      </c>
      <c r="V1849" s="51" t="str">
        <f>IF(OR(TH!L1849=TH!$V$7,M1849=TH!$V$7),"x","")</f>
        <v/>
      </c>
      <c r="W1849" s="51" t="str">
        <f>IF(AND(B1849&gt;='IN-NX'!$P$3,B1849&lt;='IN-NX'!$Q$3,'IN-NX'!$D$7=D1849,OR(LEFT(L1849,2)="15",AND(LEFT(M1849,2)&lt;&gt;"15",LEFT(M1849,2)&lt;&gt;"33"))),"x","")</f>
        <v/>
      </c>
      <c r="X1849" s="51" t="str">
        <f>IF(AND(OR(LEFT(TH!L1849,2)="15",LEFT(TH!M1849,2)="15"),'152-CT'!$J$8=TH!F1849),"x","")</f>
        <v/>
      </c>
      <c r="Y1849" s="51" t="str">
        <f>IF(AND(OR(LEFT(TH!L1849,2)="15",LEFT(TH!M1849,2)="15"),TK!$E$7=TH!F1849),"x","")</f>
        <v/>
      </c>
      <c r="Z1849" s="51" t="str">
        <f>IF(AND(B1849&lt;=NKC!$N$8,B1849&gt;=NKC!$M$8),"x","")</f>
        <v/>
      </c>
      <c r="AA1849" s="803"/>
    </row>
    <row r="1850" spans="1:27" ht="15.75" customHeight="1">
      <c r="A1850" s="804" t="str">
        <f>IF(B1850&lt;&gt;"",IF(AND(B1850&gt;=_TM1,B1850&lt;=_TM2,OR(TH!L1850="1111",TH!M1850="1111")),TH!D1850,""),"")</f>
        <v/>
      </c>
      <c r="B1850" s="36">
        <f t="shared" si="128"/>
        <v>6</v>
      </c>
      <c r="C1850" s="189">
        <f t="shared" si="127"/>
        <v>42185</v>
      </c>
      <c r="D1850" s="37" t="s">
        <v>1288</v>
      </c>
      <c r="E1850" s="885">
        <v>42185</v>
      </c>
      <c r="F1850" s="886" t="s">
        <v>520</v>
      </c>
      <c r="G1850" s="887" t="s">
        <v>1004</v>
      </c>
      <c r="H1850" s="888" t="s">
        <v>1287</v>
      </c>
      <c r="I1850" s="889">
        <v>1300</v>
      </c>
      <c r="J1850" s="889">
        <v>13319.143862767374</v>
      </c>
      <c r="K1850" s="890">
        <f t="shared" si="126"/>
        <v>17314887</v>
      </c>
      <c r="L1850" s="891" t="s">
        <v>417</v>
      </c>
      <c r="M1850" s="891" t="s">
        <v>160</v>
      </c>
      <c r="N1850" s="51" t="str">
        <f>IF(AND('331-CT'!$E$7=TH!H1850,OR(L1850="331",M1850="331")),"331",IF(AND(OR(L1850="131",M1850="131"),H1850='131-CT'!$E$7),"131",""))</f>
        <v/>
      </c>
      <c r="O1850" s="51" t="str">
        <f>IF(AND($B1850&gt;='111'!$N$11,$B1850&lt;='111'!$O$11,OR($L1850=$O$7,$M1850=$O$7)),"x","")</f>
        <v/>
      </c>
      <c r="P1850" s="51" t="str">
        <f>IF(AND($L1850=$O$7,$B1850&lt;'111'!$N$11),"x","")</f>
        <v/>
      </c>
      <c r="Q1850" s="51" t="str">
        <f>IF(AND($M1850=$O$7,$B1850&lt;'111'!$N$11),"x","")</f>
        <v/>
      </c>
      <c r="R1850" s="51" t="str">
        <f>IF(ISERROR(FIND('112'!$M$9,G1850,1)),"",IF((AND(FIND('112'!$M$9,G1850,1)&gt;=1,$B1850&gt;='112'!$N$8,$B1850&lt;='112'!$O$8,OR($L1850='112'!$I$6,$M1850='112'!$I$6))),"x",""))</f>
        <v/>
      </c>
      <c r="S1850" s="51" t="str">
        <f>IF(ISERROR(FIND('112'!$M$9,G1850,1)),"",IF((AND(LEFT(G1850,2)=LEFT('112'!$M$9,2),B1850&lt;'112'!$N$8,$L1850='112'!$I$6)),"x",""))</f>
        <v/>
      </c>
      <c r="T1850" s="51" t="str">
        <f>IF(ISERROR(FIND('112'!$M$9,G1850,1)),"",IF((AND(RIGHT(G1850,2)=RIGHT('112'!$M$9,2),B1850&lt;'112'!$N$8,$M1850='112'!$I$6)),"x",""))</f>
        <v/>
      </c>
      <c r="U1850" s="51" t="str">
        <f>IF(AND(L1850="154",'154'!$O$5&lt;=B1850,'154'!$P$5&gt;=B1850),"154",IF(AND(L1850="632",'632'!$L$5&lt;=B1850,'632'!$M$5&gt;=B1850),"632",IF(AND(L1850="642",'642'!$N$5&lt;=B1850,'642'!$O$5&gt;=B1850),"642",IF(AND(L1850="641",'641'!$N$5&lt;=B1850,'641'!$O$5&gt;=B1850),"641",""))))</f>
        <v/>
      </c>
      <c r="V1850" s="51" t="str">
        <f>IF(OR(TH!L1850=TH!$V$7,M1850=TH!$V$7),"x","")</f>
        <v/>
      </c>
      <c r="W1850" s="51" t="str">
        <f>IF(AND(B1850&gt;='IN-NX'!$P$3,B1850&lt;='IN-NX'!$Q$3,'IN-NX'!$D$7=D1850,OR(LEFT(L1850,2)="15",AND(LEFT(M1850,2)&lt;&gt;"15",LEFT(M1850,2)&lt;&gt;"33"))),"x","")</f>
        <v/>
      </c>
      <c r="X1850" s="51" t="str">
        <f>IF(AND(OR(LEFT(TH!L1850,2)="15",LEFT(TH!M1850,2)="15"),'152-CT'!$J$8=TH!F1850),"x","")</f>
        <v/>
      </c>
      <c r="Y1850" s="51" t="str">
        <f>IF(AND(OR(LEFT(TH!L1850,2)="15",LEFT(TH!M1850,2)="15"),TK!$E$7=TH!F1850),"x","")</f>
        <v/>
      </c>
      <c r="Z1850" s="51" t="str">
        <f>IF(AND(B1850&lt;=NKC!$N$8,B1850&gt;=NKC!$M$8),"x","")</f>
        <v/>
      </c>
      <c r="AA1850" s="803"/>
    </row>
    <row r="1851" spans="1:27" ht="15.75" customHeight="1">
      <c r="A1851" s="804" t="str">
        <f>IF(B1851&lt;&gt;"",IF(AND(B1851&gt;=_TM1,B1851&lt;=_TM2,OR(TH!L1851="1111",TH!M1851="1111")),TH!D1851,""),"")</f>
        <v/>
      </c>
      <c r="B1851" s="36">
        <f t="shared" si="128"/>
        <v>6</v>
      </c>
      <c r="C1851" s="189">
        <f t="shared" si="127"/>
        <v>42185</v>
      </c>
      <c r="D1851" s="37" t="s">
        <v>1288</v>
      </c>
      <c r="E1851" s="885">
        <v>42185</v>
      </c>
      <c r="F1851" s="886" t="s">
        <v>577</v>
      </c>
      <c r="G1851" s="887" t="s">
        <v>1005</v>
      </c>
      <c r="H1851" s="888" t="s">
        <v>1287</v>
      </c>
      <c r="I1851" s="889">
        <v>700</v>
      </c>
      <c r="J1851" s="889">
        <v>11619.163093536605</v>
      </c>
      <c r="K1851" s="890">
        <f t="shared" si="126"/>
        <v>8133414</v>
      </c>
      <c r="L1851" s="891" t="s">
        <v>417</v>
      </c>
      <c r="M1851" s="891" t="s">
        <v>160</v>
      </c>
      <c r="N1851" s="51" t="str">
        <f>IF(AND('331-CT'!$E$7=TH!H1851,OR(L1851="331",M1851="331")),"331",IF(AND(OR(L1851="131",M1851="131"),H1851='131-CT'!$E$7),"131",""))</f>
        <v/>
      </c>
      <c r="O1851" s="51" t="str">
        <f>IF(AND($B1851&gt;='111'!$N$11,$B1851&lt;='111'!$O$11,OR($L1851=$O$7,$M1851=$O$7)),"x","")</f>
        <v/>
      </c>
      <c r="P1851" s="51" t="str">
        <f>IF(AND($L1851=$O$7,$B1851&lt;'111'!$N$11),"x","")</f>
        <v/>
      </c>
      <c r="Q1851" s="51" t="str">
        <f>IF(AND($M1851=$O$7,$B1851&lt;'111'!$N$11),"x","")</f>
        <v/>
      </c>
      <c r="R1851" s="51" t="str">
        <f>IF(ISERROR(FIND('112'!$M$9,G1851,1)),"",IF((AND(FIND('112'!$M$9,G1851,1)&gt;=1,$B1851&gt;='112'!$N$8,$B1851&lt;='112'!$O$8,OR($L1851='112'!$I$6,$M1851='112'!$I$6))),"x",""))</f>
        <v/>
      </c>
      <c r="S1851" s="51" t="str">
        <f>IF(ISERROR(FIND('112'!$M$9,G1851,1)),"",IF((AND(LEFT(G1851,2)=LEFT('112'!$M$9,2),B1851&lt;'112'!$N$8,$L1851='112'!$I$6)),"x",""))</f>
        <v/>
      </c>
      <c r="T1851" s="51" t="str">
        <f>IF(ISERROR(FIND('112'!$M$9,G1851,1)),"",IF((AND(RIGHT(G1851,2)=RIGHT('112'!$M$9,2),B1851&lt;'112'!$N$8,$M1851='112'!$I$6)),"x",""))</f>
        <v/>
      </c>
      <c r="U1851" s="51" t="str">
        <f>IF(AND(L1851="154",'154'!$O$5&lt;=B1851,'154'!$P$5&gt;=B1851),"154",IF(AND(L1851="632",'632'!$L$5&lt;=B1851,'632'!$M$5&gt;=B1851),"632",IF(AND(L1851="642",'642'!$N$5&lt;=B1851,'642'!$O$5&gt;=B1851),"642",IF(AND(L1851="641",'641'!$N$5&lt;=B1851,'641'!$O$5&gt;=B1851),"641",""))))</f>
        <v/>
      </c>
      <c r="V1851" s="51" t="str">
        <f>IF(OR(TH!L1851=TH!$V$7,M1851=TH!$V$7),"x","")</f>
        <v/>
      </c>
      <c r="W1851" s="51" t="str">
        <f>IF(AND(B1851&gt;='IN-NX'!$P$3,B1851&lt;='IN-NX'!$Q$3,'IN-NX'!$D$7=D1851,OR(LEFT(L1851,2)="15",AND(LEFT(M1851,2)&lt;&gt;"15",LEFT(M1851,2)&lt;&gt;"33"))),"x","")</f>
        <v/>
      </c>
      <c r="X1851" s="51" t="str">
        <f>IF(AND(OR(LEFT(TH!L1851,2)="15",LEFT(TH!M1851,2)="15"),'152-CT'!$J$8=TH!F1851),"x","")</f>
        <v/>
      </c>
      <c r="Y1851" s="51" t="str">
        <f>IF(AND(OR(LEFT(TH!L1851,2)="15",LEFT(TH!M1851,2)="15"),TK!$E$7=TH!F1851),"x","")</f>
        <v/>
      </c>
      <c r="Z1851" s="51" t="str">
        <f>IF(AND(B1851&lt;=NKC!$N$8,B1851&gt;=NKC!$M$8),"x","")</f>
        <v/>
      </c>
      <c r="AA1851" s="803"/>
    </row>
    <row r="1852" spans="1:27" ht="15.75" customHeight="1">
      <c r="A1852" s="804" t="str">
        <f>IF(B1852&lt;&gt;"",IF(AND(B1852&gt;=_TM1,B1852&lt;=_TM2,OR(TH!L1852="1111",TH!M1852="1111")),TH!D1852,""),"")</f>
        <v/>
      </c>
      <c r="B1852" s="36">
        <f t="shared" si="128"/>
        <v>6</v>
      </c>
      <c r="C1852" s="189">
        <f t="shared" si="127"/>
        <v>42185</v>
      </c>
      <c r="D1852" s="37" t="s">
        <v>1288</v>
      </c>
      <c r="E1852" s="885">
        <v>42185</v>
      </c>
      <c r="F1852" s="886" t="s">
        <v>511</v>
      </c>
      <c r="G1852" s="887" t="s">
        <v>1005</v>
      </c>
      <c r="H1852" s="888" t="s">
        <v>1287</v>
      </c>
      <c r="I1852" s="889">
        <v>753</v>
      </c>
      <c r="J1852" s="889">
        <v>13353.163093536605</v>
      </c>
      <c r="K1852" s="890">
        <f t="shared" si="126"/>
        <v>10054932</v>
      </c>
      <c r="L1852" s="891" t="s">
        <v>417</v>
      </c>
      <c r="M1852" s="891" t="s">
        <v>160</v>
      </c>
      <c r="N1852" s="51" t="str">
        <f>IF(AND('331-CT'!$E$7=TH!H1852,OR(L1852="331",M1852="331")),"331",IF(AND(OR(L1852="131",M1852="131"),H1852='131-CT'!$E$7),"131",""))</f>
        <v/>
      </c>
      <c r="O1852" s="51" t="str">
        <f>IF(AND($B1852&gt;='111'!$N$11,$B1852&lt;='111'!$O$11,OR($L1852=$O$7,$M1852=$O$7)),"x","")</f>
        <v/>
      </c>
      <c r="P1852" s="51" t="str">
        <f>IF(AND($L1852=$O$7,$B1852&lt;'111'!$N$11),"x","")</f>
        <v/>
      </c>
      <c r="Q1852" s="51" t="str">
        <f>IF(AND($M1852=$O$7,$B1852&lt;'111'!$N$11),"x","")</f>
        <v/>
      </c>
      <c r="R1852" s="51" t="str">
        <f>IF(ISERROR(FIND('112'!$M$9,G1852,1)),"",IF((AND(FIND('112'!$M$9,G1852,1)&gt;=1,$B1852&gt;='112'!$N$8,$B1852&lt;='112'!$O$8,OR($L1852='112'!$I$6,$M1852='112'!$I$6))),"x",""))</f>
        <v/>
      </c>
      <c r="S1852" s="51" t="str">
        <f>IF(ISERROR(FIND('112'!$M$9,G1852,1)),"",IF((AND(LEFT(G1852,2)=LEFT('112'!$M$9,2),B1852&lt;'112'!$N$8,$L1852='112'!$I$6)),"x",""))</f>
        <v/>
      </c>
      <c r="T1852" s="51" t="str">
        <f>IF(ISERROR(FIND('112'!$M$9,G1852,1)),"",IF((AND(RIGHT(G1852,2)=RIGHT('112'!$M$9,2),B1852&lt;'112'!$N$8,$M1852='112'!$I$6)),"x",""))</f>
        <v/>
      </c>
      <c r="U1852" s="51" t="str">
        <f>IF(AND(L1852="154",'154'!$O$5&lt;=B1852,'154'!$P$5&gt;=B1852),"154",IF(AND(L1852="632",'632'!$L$5&lt;=B1852,'632'!$M$5&gt;=B1852),"632",IF(AND(L1852="642",'642'!$N$5&lt;=B1852,'642'!$O$5&gt;=B1852),"642",IF(AND(L1852="641",'641'!$N$5&lt;=B1852,'641'!$O$5&gt;=B1852),"641",""))))</f>
        <v/>
      </c>
      <c r="V1852" s="51" t="str">
        <f>IF(OR(TH!L1852=TH!$V$7,M1852=TH!$V$7),"x","")</f>
        <v/>
      </c>
      <c r="W1852" s="51" t="str">
        <f>IF(AND(B1852&gt;='IN-NX'!$P$3,B1852&lt;='IN-NX'!$Q$3,'IN-NX'!$D$7=D1852,OR(LEFT(L1852,2)="15",AND(LEFT(M1852,2)&lt;&gt;"15",LEFT(M1852,2)&lt;&gt;"33"))),"x","")</f>
        <v/>
      </c>
      <c r="X1852" s="51" t="str">
        <f>IF(AND(OR(LEFT(TH!L1852,2)="15",LEFT(TH!M1852,2)="15"),'152-CT'!$J$8=TH!F1852),"x","")</f>
        <v/>
      </c>
      <c r="Y1852" s="51" t="str">
        <f>IF(AND(OR(LEFT(TH!L1852,2)="15",LEFT(TH!M1852,2)="15"),TK!$E$7=TH!F1852),"x","")</f>
        <v/>
      </c>
      <c r="Z1852" s="51" t="str">
        <f>IF(AND(B1852&lt;=NKC!$N$8,B1852&gt;=NKC!$M$8),"x","")</f>
        <v/>
      </c>
      <c r="AA1852" s="803"/>
    </row>
    <row r="1853" spans="1:27" ht="15.75" customHeight="1">
      <c r="A1853" s="804" t="str">
        <f>IF(B1853&lt;&gt;"",IF(AND(B1853&gt;=_TM1,B1853&lt;=_TM2,OR(TH!L1853="1111",TH!M1853="1111")),TH!D1853,""),"")</f>
        <v/>
      </c>
      <c r="B1853" s="36">
        <f t="shared" si="128"/>
        <v>6</v>
      </c>
      <c r="C1853" s="189">
        <f t="shared" si="127"/>
        <v>42185</v>
      </c>
      <c r="D1853" s="37" t="s">
        <v>1288</v>
      </c>
      <c r="E1853" s="885">
        <v>42185</v>
      </c>
      <c r="F1853" s="886" t="s">
        <v>570</v>
      </c>
      <c r="G1853" s="887" t="s">
        <v>1006</v>
      </c>
      <c r="H1853" s="888" t="s">
        <v>1287</v>
      </c>
      <c r="I1853" s="889">
        <v>500</v>
      </c>
      <c r="J1853" s="889">
        <v>25445.263093536603</v>
      </c>
      <c r="K1853" s="890">
        <f t="shared" si="126"/>
        <v>12722632</v>
      </c>
      <c r="L1853" s="891" t="s">
        <v>417</v>
      </c>
      <c r="M1853" s="891" t="s">
        <v>160</v>
      </c>
      <c r="N1853" s="51" t="str">
        <f>IF(AND('331-CT'!$E$7=TH!H1853,OR(L1853="331",M1853="331")),"331",IF(AND(OR(L1853="131",M1853="131"),H1853='131-CT'!$E$7),"131",""))</f>
        <v/>
      </c>
      <c r="O1853" s="51" t="str">
        <f>IF(AND($B1853&gt;='111'!$N$11,$B1853&lt;='111'!$O$11,OR($L1853=$O$7,$M1853=$O$7)),"x","")</f>
        <v/>
      </c>
      <c r="P1853" s="51" t="str">
        <f>IF(AND($L1853=$O$7,$B1853&lt;'111'!$N$11),"x","")</f>
        <v/>
      </c>
      <c r="Q1853" s="51" t="str">
        <f>IF(AND($M1853=$O$7,$B1853&lt;'111'!$N$11),"x","")</f>
        <v/>
      </c>
      <c r="R1853" s="51" t="str">
        <f>IF(ISERROR(FIND('112'!$M$9,G1853,1)),"",IF((AND(FIND('112'!$M$9,G1853,1)&gt;=1,$B1853&gt;='112'!$N$8,$B1853&lt;='112'!$O$8,OR($L1853='112'!$I$6,$M1853='112'!$I$6))),"x",""))</f>
        <v/>
      </c>
      <c r="S1853" s="51" t="str">
        <f>IF(ISERROR(FIND('112'!$M$9,G1853,1)),"",IF((AND(LEFT(G1853,2)=LEFT('112'!$M$9,2),B1853&lt;'112'!$N$8,$L1853='112'!$I$6)),"x",""))</f>
        <v/>
      </c>
      <c r="T1853" s="51" t="str">
        <f>IF(ISERROR(FIND('112'!$M$9,G1853,1)),"",IF((AND(RIGHT(G1853,2)=RIGHT('112'!$M$9,2),B1853&lt;'112'!$N$8,$M1853='112'!$I$6)),"x",""))</f>
        <v/>
      </c>
      <c r="U1853" s="51" t="str">
        <f>IF(AND(L1853="154",'154'!$O$5&lt;=B1853,'154'!$P$5&gt;=B1853),"154",IF(AND(L1853="632",'632'!$L$5&lt;=B1853,'632'!$M$5&gt;=B1853),"632",IF(AND(L1853="642",'642'!$N$5&lt;=B1853,'642'!$O$5&gt;=B1853),"642",IF(AND(L1853="641",'641'!$N$5&lt;=B1853,'641'!$O$5&gt;=B1853),"641",""))))</f>
        <v/>
      </c>
      <c r="V1853" s="51" t="str">
        <f>IF(OR(TH!L1853=TH!$V$7,M1853=TH!$V$7),"x","")</f>
        <v/>
      </c>
      <c r="W1853" s="51" t="str">
        <f>IF(AND(B1853&gt;='IN-NX'!$P$3,B1853&lt;='IN-NX'!$Q$3,'IN-NX'!$D$7=D1853,OR(LEFT(L1853,2)="15",AND(LEFT(M1853,2)&lt;&gt;"15",LEFT(M1853,2)&lt;&gt;"33"))),"x","")</f>
        <v/>
      </c>
      <c r="X1853" s="51" t="str">
        <f>IF(AND(OR(LEFT(TH!L1853,2)="15",LEFT(TH!M1853,2)="15"),'152-CT'!$J$8=TH!F1853),"x","")</f>
        <v/>
      </c>
      <c r="Y1853" s="51" t="str">
        <f>IF(AND(OR(LEFT(TH!L1853,2)="15",LEFT(TH!M1853,2)="15"),TK!$E$7=TH!F1853),"x","")</f>
        <v/>
      </c>
      <c r="Z1853" s="51" t="str">
        <f>IF(AND(B1853&lt;=NKC!$N$8,B1853&gt;=NKC!$M$8),"x","")</f>
        <v/>
      </c>
      <c r="AA1853" s="803"/>
    </row>
    <row r="1854" spans="1:27" ht="15.75" customHeight="1">
      <c r="A1854" s="804" t="str">
        <f>IF(B1854&lt;&gt;"",IF(AND(B1854&gt;=_TM1,B1854&lt;=_TM2,OR(TH!L1854="1111",TH!M1854="1111")),TH!D1854,""),"")</f>
        <v/>
      </c>
      <c r="B1854" s="36">
        <f t="shared" si="128"/>
        <v>6</v>
      </c>
      <c r="C1854" s="189">
        <f t="shared" si="127"/>
        <v>42185</v>
      </c>
      <c r="D1854" s="37" t="s">
        <v>1288</v>
      </c>
      <c r="E1854" s="885">
        <v>42185</v>
      </c>
      <c r="F1854" s="886" t="s">
        <v>571</v>
      </c>
      <c r="G1854" s="887" t="s">
        <v>1006</v>
      </c>
      <c r="H1854" s="888" t="s">
        <v>1287</v>
      </c>
      <c r="I1854" s="889">
        <v>400</v>
      </c>
      <c r="J1854" s="889">
        <v>13047.163093536603</v>
      </c>
      <c r="K1854" s="890">
        <f t="shared" si="126"/>
        <v>5218865</v>
      </c>
      <c r="L1854" s="891" t="s">
        <v>417</v>
      </c>
      <c r="M1854" s="891" t="s">
        <v>160</v>
      </c>
      <c r="N1854" s="51" t="str">
        <f>IF(AND('331-CT'!$E$7=TH!H1854,OR(L1854="331",M1854="331")),"331",IF(AND(OR(L1854="131",M1854="131"),H1854='131-CT'!$E$7),"131",""))</f>
        <v/>
      </c>
      <c r="O1854" s="51" t="str">
        <f>IF(AND($B1854&gt;='111'!$N$11,$B1854&lt;='111'!$O$11,OR($L1854=$O$7,$M1854=$O$7)),"x","")</f>
        <v/>
      </c>
      <c r="P1854" s="51" t="str">
        <f>IF(AND($L1854=$O$7,$B1854&lt;'111'!$N$11),"x","")</f>
        <v/>
      </c>
      <c r="Q1854" s="51" t="str">
        <f>IF(AND($M1854=$O$7,$B1854&lt;'111'!$N$11),"x","")</f>
        <v/>
      </c>
      <c r="R1854" s="51" t="str">
        <f>IF(ISERROR(FIND('112'!$M$9,G1854,1)),"",IF((AND(FIND('112'!$M$9,G1854,1)&gt;=1,$B1854&gt;='112'!$N$8,$B1854&lt;='112'!$O$8,OR($L1854='112'!$I$6,$M1854='112'!$I$6))),"x",""))</f>
        <v/>
      </c>
      <c r="S1854" s="51" t="str">
        <f>IF(ISERROR(FIND('112'!$M$9,G1854,1)),"",IF((AND(LEFT(G1854,2)=LEFT('112'!$M$9,2),B1854&lt;'112'!$N$8,$L1854='112'!$I$6)),"x",""))</f>
        <v/>
      </c>
      <c r="T1854" s="51" t="str">
        <f>IF(ISERROR(FIND('112'!$M$9,G1854,1)),"",IF((AND(RIGHT(G1854,2)=RIGHT('112'!$M$9,2),B1854&lt;'112'!$N$8,$M1854='112'!$I$6)),"x",""))</f>
        <v/>
      </c>
      <c r="U1854" s="51" t="str">
        <f>IF(AND(L1854="154",'154'!$O$5&lt;=B1854,'154'!$P$5&gt;=B1854),"154",IF(AND(L1854="632",'632'!$L$5&lt;=B1854,'632'!$M$5&gt;=B1854),"632",IF(AND(L1854="642",'642'!$N$5&lt;=B1854,'642'!$O$5&gt;=B1854),"642",IF(AND(L1854="641",'641'!$N$5&lt;=B1854,'641'!$O$5&gt;=B1854),"641",""))))</f>
        <v/>
      </c>
      <c r="V1854" s="51" t="str">
        <f>IF(OR(TH!L1854=TH!$V$7,M1854=TH!$V$7),"x","")</f>
        <v/>
      </c>
      <c r="W1854" s="51" t="str">
        <f>IF(AND(B1854&gt;='IN-NX'!$P$3,B1854&lt;='IN-NX'!$Q$3,'IN-NX'!$D$7=D1854,OR(LEFT(L1854,2)="15",AND(LEFT(M1854,2)&lt;&gt;"15",LEFT(M1854,2)&lt;&gt;"33"))),"x","")</f>
        <v/>
      </c>
      <c r="X1854" s="51" t="str">
        <f>IF(AND(OR(LEFT(TH!L1854,2)="15",LEFT(TH!M1854,2)="15"),'152-CT'!$J$8=TH!F1854),"x","")</f>
        <v/>
      </c>
      <c r="Y1854" s="51" t="str">
        <f>IF(AND(OR(LEFT(TH!L1854,2)="15",LEFT(TH!M1854,2)="15"),TK!$E$7=TH!F1854),"x","")</f>
        <v/>
      </c>
      <c r="Z1854" s="51" t="str">
        <f>IF(AND(B1854&lt;=NKC!$N$8,B1854&gt;=NKC!$M$8),"x","")</f>
        <v/>
      </c>
      <c r="AA1854" s="803"/>
    </row>
    <row r="1855" spans="1:27" ht="15.75" customHeight="1">
      <c r="A1855" s="804" t="str">
        <f>IF(B1855&lt;&gt;"",IF(AND(B1855&gt;=_TM1,B1855&lt;=_TM2,OR(TH!L1855="1111",TH!M1855="1111")),TH!D1855,""),"")</f>
        <v/>
      </c>
      <c r="B1855" s="36">
        <f t="shared" si="128"/>
        <v>6</v>
      </c>
      <c r="C1855" s="189">
        <f t="shared" si="127"/>
        <v>42185</v>
      </c>
      <c r="D1855" s="37" t="s">
        <v>1288</v>
      </c>
      <c r="E1855" s="885">
        <v>42185</v>
      </c>
      <c r="F1855" s="886" t="s">
        <v>570</v>
      </c>
      <c r="G1855" s="887" t="s">
        <v>1007</v>
      </c>
      <c r="H1855" s="888" t="s">
        <v>1287</v>
      </c>
      <c r="I1855" s="889">
        <v>100</v>
      </c>
      <c r="J1855" s="889">
        <v>26166.913093536608</v>
      </c>
      <c r="K1855" s="890">
        <f t="shared" si="126"/>
        <v>2616691</v>
      </c>
      <c r="L1855" s="891" t="s">
        <v>417</v>
      </c>
      <c r="M1855" s="891" t="s">
        <v>160</v>
      </c>
      <c r="N1855" s="51" t="str">
        <f>IF(AND('331-CT'!$E$7=TH!H1855,OR(L1855="331",M1855="331")),"331",IF(AND(OR(L1855="131",M1855="131"),H1855='131-CT'!$E$7),"131",""))</f>
        <v/>
      </c>
      <c r="O1855" s="51" t="str">
        <f>IF(AND($B1855&gt;='111'!$N$11,$B1855&lt;='111'!$O$11,OR($L1855=$O$7,$M1855=$O$7)),"x","")</f>
        <v/>
      </c>
      <c r="P1855" s="51" t="str">
        <f>IF(AND($L1855=$O$7,$B1855&lt;'111'!$N$11),"x","")</f>
        <v/>
      </c>
      <c r="Q1855" s="51" t="str">
        <f>IF(AND($M1855=$O$7,$B1855&lt;'111'!$N$11),"x","")</f>
        <v/>
      </c>
      <c r="R1855" s="51" t="str">
        <f>IF(ISERROR(FIND('112'!$M$9,G1855,1)),"",IF((AND(FIND('112'!$M$9,G1855,1)&gt;=1,$B1855&gt;='112'!$N$8,$B1855&lt;='112'!$O$8,OR($L1855='112'!$I$6,$M1855='112'!$I$6))),"x",""))</f>
        <v/>
      </c>
      <c r="S1855" s="51" t="str">
        <f>IF(ISERROR(FIND('112'!$M$9,G1855,1)),"",IF((AND(LEFT(G1855,2)=LEFT('112'!$M$9,2),B1855&lt;'112'!$N$8,$L1855='112'!$I$6)),"x",""))</f>
        <v/>
      </c>
      <c r="T1855" s="51" t="str">
        <f>IF(ISERROR(FIND('112'!$M$9,G1855,1)),"",IF((AND(RIGHT(G1855,2)=RIGHT('112'!$M$9,2),B1855&lt;'112'!$N$8,$M1855='112'!$I$6)),"x",""))</f>
        <v/>
      </c>
      <c r="U1855" s="51" t="str">
        <f>IF(AND(L1855="154",'154'!$O$5&lt;=B1855,'154'!$P$5&gt;=B1855),"154",IF(AND(L1855="632",'632'!$L$5&lt;=B1855,'632'!$M$5&gt;=B1855),"632",IF(AND(L1855="642",'642'!$N$5&lt;=B1855,'642'!$O$5&gt;=B1855),"642",IF(AND(L1855="641",'641'!$N$5&lt;=B1855,'641'!$O$5&gt;=B1855),"641",""))))</f>
        <v/>
      </c>
      <c r="V1855" s="51" t="str">
        <f>IF(OR(TH!L1855=TH!$V$7,M1855=TH!$V$7),"x","")</f>
        <v/>
      </c>
      <c r="W1855" s="51" t="str">
        <f>IF(AND(B1855&gt;='IN-NX'!$P$3,B1855&lt;='IN-NX'!$Q$3,'IN-NX'!$D$7=D1855,OR(LEFT(L1855,2)="15",AND(LEFT(M1855,2)&lt;&gt;"15",LEFT(M1855,2)&lt;&gt;"33"))),"x","")</f>
        <v/>
      </c>
      <c r="X1855" s="51" t="str">
        <f>IF(AND(OR(LEFT(TH!L1855,2)="15",LEFT(TH!M1855,2)="15"),'152-CT'!$J$8=TH!F1855),"x","")</f>
        <v/>
      </c>
      <c r="Y1855" s="51" t="str">
        <f>IF(AND(OR(LEFT(TH!L1855,2)="15",LEFT(TH!M1855,2)="15"),TK!$E$7=TH!F1855),"x","")</f>
        <v/>
      </c>
      <c r="Z1855" s="51" t="str">
        <f>IF(AND(B1855&lt;=NKC!$N$8,B1855&gt;=NKC!$M$8),"x","")</f>
        <v/>
      </c>
      <c r="AA1855" s="803"/>
    </row>
    <row r="1856" spans="1:27" ht="15.75" customHeight="1">
      <c r="A1856" s="804" t="str">
        <f>IF(B1856&lt;&gt;"",IF(AND(B1856&gt;=_TM1,B1856&lt;=_TM2,OR(TH!L1856="1111",TH!M1856="1111")),TH!D1856,""),"")</f>
        <v/>
      </c>
      <c r="B1856" s="36">
        <f t="shared" si="128"/>
        <v>6</v>
      </c>
      <c r="C1856" s="189">
        <f t="shared" si="127"/>
        <v>42185</v>
      </c>
      <c r="D1856" s="37" t="s">
        <v>1288</v>
      </c>
      <c r="E1856" s="885">
        <v>42185</v>
      </c>
      <c r="F1856" s="886" t="s">
        <v>576</v>
      </c>
      <c r="G1856" s="887" t="s">
        <v>1007</v>
      </c>
      <c r="H1856" s="888" t="s">
        <v>1287</v>
      </c>
      <c r="I1856" s="889">
        <v>535</v>
      </c>
      <c r="J1856" s="889">
        <v>13278.034409136893</v>
      </c>
      <c r="K1856" s="890">
        <f t="shared" si="126"/>
        <v>7103748</v>
      </c>
      <c r="L1856" s="891" t="s">
        <v>417</v>
      </c>
      <c r="M1856" s="891" t="s">
        <v>160</v>
      </c>
      <c r="N1856" s="51" t="str">
        <f>IF(AND('331-CT'!$E$7=TH!H1856,OR(L1856="331",M1856="331")),"331",IF(AND(OR(L1856="131",M1856="131"),H1856='131-CT'!$E$7),"131",""))</f>
        <v/>
      </c>
      <c r="O1856" s="51" t="str">
        <f>IF(AND($B1856&gt;='111'!$N$11,$B1856&lt;='111'!$O$11,OR($L1856=$O$7,$M1856=$O$7)),"x","")</f>
        <v/>
      </c>
      <c r="P1856" s="51" t="str">
        <f>IF(AND($L1856=$O$7,$B1856&lt;'111'!$N$11),"x","")</f>
        <v/>
      </c>
      <c r="Q1856" s="51" t="str">
        <f>IF(AND($M1856=$O$7,$B1856&lt;'111'!$N$11),"x","")</f>
        <v/>
      </c>
      <c r="R1856" s="51" t="str">
        <f>IF(ISERROR(FIND('112'!$M$9,G1856,1)),"",IF((AND(FIND('112'!$M$9,G1856,1)&gt;=1,$B1856&gt;='112'!$N$8,$B1856&lt;='112'!$O$8,OR($L1856='112'!$I$6,$M1856='112'!$I$6))),"x",""))</f>
        <v/>
      </c>
      <c r="S1856" s="51" t="str">
        <f>IF(ISERROR(FIND('112'!$M$9,G1856,1)),"",IF((AND(LEFT(G1856,2)=LEFT('112'!$M$9,2),B1856&lt;'112'!$N$8,$L1856='112'!$I$6)),"x",""))</f>
        <v/>
      </c>
      <c r="T1856" s="51" t="str">
        <f>IF(ISERROR(FIND('112'!$M$9,G1856,1)),"",IF((AND(RIGHT(G1856,2)=RIGHT('112'!$M$9,2),B1856&lt;'112'!$N$8,$M1856='112'!$I$6)),"x",""))</f>
        <v/>
      </c>
      <c r="U1856" s="51" t="str">
        <f>IF(AND(L1856="154",'154'!$O$5&lt;=B1856,'154'!$P$5&gt;=B1856),"154",IF(AND(L1856="632",'632'!$L$5&lt;=B1856,'632'!$M$5&gt;=B1856),"632",IF(AND(L1856="642",'642'!$N$5&lt;=B1856,'642'!$O$5&gt;=B1856),"642",IF(AND(L1856="641",'641'!$N$5&lt;=B1856,'641'!$O$5&gt;=B1856),"641",""))))</f>
        <v/>
      </c>
      <c r="V1856" s="51" t="str">
        <f>IF(OR(TH!L1856=TH!$V$7,M1856=TH!$V$7),"x","")</f>
        <v/>
      </c>
      <c r="W1856" s="51" t="str">
        <f>IF(AND(B1856&gt;='IN-NX'!$P$3,B1856&lt;='IN-NX'!$Q$3,'IN-NX'!$D$7=D1856,OR(LEFT(L1856,2)="15",AND(LEFT(M1856,2)&lt;&gt;"15",LEFT(M1856,2)&lt;&gt;"33"))),"x","")</f>
        <v/>
      </c>
      <c r="X1856" s="51" t="str">
        <f>IF(AND(OR(LEFT(TH!L1856,2)="15",LEFT(TH!M1856,2)="15"),'152-CT'!$J$8=TH!F1856),"x","")</f>
        <v/>
      </c>
      <c r="Y1856" s="51" t="str">
        <f>IF(AND(OR(LEFT(TH!L1856,2)="15",LEFT(TH!M1856,2)="15"),TK!$E$7=TH!F1856),"x","")</f>
        <v/>
      </c>
      <c r="Z1856" s="51" t="str">
        <f>IF(AND(B1856&lt;=NKC!$N$8,B1856&gt;=NKC!$M$8),"x","")</f>
        <v/>
      </c>
      <c r="AA1856" s="803"/>
    </row>
    <row r="1857" spans="1:27" ht="15.75" customHeight="1">
      <c r="A1857" s="804" t="str">
        <f>IF(B1857&lt;&gt;"",IF(AND(B1857&gt;=_TM1,B1857&lt;=_TM2,OR(TH!L1857="1111",TH!M1857="1111")),TH!D1857,""),"")</f>
        <v/>
      </c>
      <c r="B1857" s="36">
        <f t="shared" si="128"/>
        <v>6</v>
      </c>
      <c r="C1857" s="189">
        <f t="shared" si="127"/>
        <v>42185</v>
      </c>
      <c r="D1857" s="37" t="s">
        <v>1288</v>
      </c>
      <c r="E1857" s="885">
        <v>42185</v>
      </c>
      <c r="F1857" s="886" t="s">
        <v>1201</v>
      </c>
      <c r="G1857" s="887" t="s">
        <v>1008</v>
      </c>
      <c r="H1857" s="888" t="s">
        <v>1287</v>
      </c>
      <c r="I1857" s="889">
        <v>100</v>
      </c>
      <c r="J1857" s="889">
        <v>18716.163093536605</v>
      </c>
      <c r="K1857" s="890">
        <f t="shared" si="126"/>
        <v>1871616</v>
      </c>
      <c r="L1857" s="891" t="s">
        <v>417</v>
      </c>
      <c r="M1857" s="891" t="s">
        <v>160</v>
      </c>
      <c r="N1857" s="51" t="str">
        <f>IF(AND('331-CT'!$E$7=TH!H1857,OR(L1857="331",M1857="331")),"331",IF(AND(OR(L1857="131",M1857="131"),H1857='131-CT'!$E$7),"131",""))</f>
        <v/>
      </c>
      <c r="O1857" s="51" t="str">
        <f>IF(AND($B1857&gt;='111'!$N$11,$B1857&lt;='111'!$O$11,OR($L1857=$O$7,$M1857=$O$7)),"x","")</f>
        <v/>
      </c>
      <c r="P1857" s="51" t="str">
        <f>IF(AND($L1857=$O$7,$B1857&lt;'111'!$N$11),"x","")</f>
        <v/>
      </c>
      <c r="Q1857" s="51" t="str">
        <f>IF(AND($M1857=$O$7,$B1857&lt;'111'!$N$11),"x","")</f>
        <v/>
      </c>
      <c r="R1857" s="51" t="str">
        <f>IF(ISERROR(FIND('112'!$M$9,G1857,1)),"",IF((AND(FIND('112'!$M$9,G1857,1)&gt;=1,$B1857&gt;='112'!$N$8,$B1857&lt;='112'!$O$8,OR($L1857='112'!$I$6,$M1857='112'!$I$6))),"x",""))</f>
        <v/>
      </c>
      <c r="S1857" s="51" t="str">
        <f>IF(ISERROR(FIND('112'!$M$9,G1857,1)),"",IF((AND(LEFT(G1857,2)=LEFT('112'!$M$9,2),B1857&lt;'112'!$N$8,$L1857='112'!$I$6)),"x",""))</f>
        <v/>
      </c>
      <c r="T1857" s="51" t="str">
        <f>IF(ISERROR(FIND('112'!$M$9,G1857,1)),"",IF((AND(RIGHT(G1857,2)=RIGHT('112'!$M$9,2),B1857&lt;'112'!$N$8,$M1857='112'!$I$6)),"x",""))</f>
        <v/>
      </c>
      <c r="U1857" s="51" t="str">
        <f>IF(AND(L1857="154",'154'!$O$5&lt;=B1857,'154'!$P$5&gt;=B1857),"154",IF(AND(L1857="632",'632'!$L$5&lt;=B1857,'632'!$M$5&gt;=B1857),"632",IF(AND(L1857="642",'642'!$N$5&lt;=B1857,'642'!$O$5&gt;=B1857),"642",IF(AND(L1857="641",'641'!$N$5&lt;=B1857,'641'!$O$5&gt;=B1857),"641",""))))</f>
        <v/>
      </c>
      <c r="V1857" s="51" t="str">
        <f>IF(OR(TH!L1857=TH!$V$7,M1857=TH!$V$7),"x","")</f>
        <v/>
      </c>
      <c r="W1857" s="51" t="str">
        <f>IF(AND(B1857&gt;='IN-NX'!$P$3,B1857&lt;='IN-NX'!$Q$3,'IN-NX'!$D$7=D1857,OR(LEFT(L1857,2)="15",AND(LEFT(M1857,2)&lt;&gt;"15",LEFT(M1857,2)&lt;&gt;"33"))),"x","")</f>
        <v/>
      </c>
      <c r="X1857" s="51" t="str">
        <f>IF(AND(OR(LEFT(TH!L1857,2)="15",LEFT(TH!M1857,2)="15"),'152-CT'!$J$8=TH!F1857),"x","")</f>
        <v/>
      </c>
      <c r="Y1857" s="51" t="str">
        <f>IF(AND(OR(LEFT(TH!L1857,2)="15",LEFT(TH!M1857,2)="15"),TK!$E$7=TH!F1857),"x","")</f>
        <v/>
      </c>
      <c r="Z1857" s="51" t="str">
        <f>IF(AND(B1857&lt;=NKC!$N$8,B1857&gt;=NKC!$M$8),"x","")</f>
        <v/>
      </c>
      <c r="AA1857" s="803"/>
    </row>
    <row r="1858" spans="1:27" ht="15.75" customHeight="1">
      <c r="A1858" s="804" t="str">
        <f>IF(B1858&lt;&gt;"",IF(AND(B1858&gt;=_TM1,B1858&lt;=_TM2,OR(TH!L1858="1111",TH!M1858="1111")),TH!D1858,""),"")</f>
        <v/>
      </c>
      <c r="B1858" s="36">
        <f t="shared" si="128"/>
        <v>7</v>
      </c>
      <c r="C1858" s="189">
        <f>E1858</f>
        <v>42205</v>
      </c>
      <c r="D1858" s="37" t="s">
        <v>1288</v>
      </c>
      <c r="E1858" s="892">
        <v>42205</v>
      </c>
      <c r="F1858" s="897" t="s">
        <v>1202</v>
      </c>
      <c r="G1858" s="894" t="s">
        <v>1009</v>
      </c>
      <c r="H1858" s="888" t="s">
        <v>1287</v>
      </c>
      <c r="I1858" s="889">
        <v>50</v>
      </c>
      <c r="J1858" s="889">
        <v>9858.3191489361707</v>
      </c>
      <c r="K1858" s="890">
        <f t="shared" ref="K1858:K1860" si="129">ROUND(I1858*J1858,0)</f>
        <v>492916</v>
      </c>
      <c r="L1858" s="891" t="s">
        <v>417</v>
      </c>
      <c r="M1858" s="891" t="s">
        <v>160</v>
      </c>
      <c r="N1858" s="51" t="str">
        <f>IF(AND('331-CT'!$E$7=TH!H1858,OR(L1858="331",M1858="331")),"331",IF(AND(OR(L1858="131",M1858="131"),H1858='131-CT'!$E$7),"131",""))</f>
        <v/>
      </c>
      <c r="O1858" s="51" t="str">
        <f>IF(AND($B1858&gt;='111'!$N$11,$B1858&lt;='111'!$O$11,OR($L1858=$O$7,$M1858=$O$7)),"x","")</f>
        <v/>
      </c>
      <c r="P1858" s="51" t="str">
        <f>IF(AND($L1858=$O$7,$B1858&lt;'111'!$N$11),"x","")</f>
        <v/>
      </c>
      <c r="Q1858" s="51" t="str">
        <f>IF(AND($M1858=$O$7,$B1858&lt;'111'!$N$11),"x","")</f>
        <v/>
      </c>
      <c r="R1858" s="51" t="str">
        <f>IF(ISERROR(FIND('112'!$M$9,G1858,1)),"",IF((AND(FIND('112'!$M$9,G1858,1)&gt;=1,$B1858&gt;='112'!$N$8,$B1858&lt;='112'!$O$8,OR($L1858='112'!$I$6,$M1858='112'!$I$6))),"x",""))</f>
        <v/>
      </c>
      <c r="S1858" s="51" t="str">
        <f>IF(ISERROR(FIND('112'!$M$9,G1858,1)),"",IF((AND(LEFT(G1858,2)=LEFT('112'!$M$9,2),B1858&lt;'112'!$N$8,$L1858='112'!$I$6)),"x",""))</f>
        <v/>
      </c>
      <c r="T1858" s="51" t="str">
        <f>IF(ISERROR(FIND('112'!$M$9,G1858,1)),"",IF((AND(RIGHT(G1858,2)=RIGHT('112'!$M$9,2),B1858&lt;'112'!$N$8,$M1858='112'!$I$6)),"x",""))</f>
        <v/>
      </c>
      <c r="U1858" s="51" t="str">
        <f>IF(AND(L1858="154",'154'!$O$5&lt;=B1858,'154'!$P$5&gt;=B1858),"154",IF(AND(L1858="632",'632'!$L$5&lt;=B1858,'632'!$M$5&gt;=B1858),"632",IF(AND(L1858="642",'642'!$N$5&lt;=B1858,'642'!$O$5&gt;=B1858),"642",IF(AND(L1858="641",'641'!$N$5&lt;=B1858,'641'!$O$5&gt;=B1858),"641",""))))</f>
        <v/>
      </c>
      <c r="V1858" s="51" t="str">
        <f>IF(OR(TH!L1858=TH!$V$7,M1858=TH!$V$7),"x","")</f>
        <v/>
      </c>
      <c r="W1858" s="51" t="str">
        <f>IF(AND(B1858&gt;='IN-NX'!$P$3,B1858&lt;='IN-NX'!$Q$3,'IN-NX'!$D$7=D1858,OR(LEFT(L1858,2)="15",AND(LEFT(M1858,2)&lt;&gt;"15",LEFT(M1858,2)&lt;&gt;"33"))),"x","")</f>
        <v/>
      </c>
      <c r="X1858" s="51" t="str">
        <f>IF(AND(OR(LEFT(TH!L1858,2)="15",LEFT(TH!M1858,2)="15"),'152-CT'!$J$8=TH!F1858),"x","")</f>
        <v/>
      </c>
      <c r="Y1858" s="51" t="str">
        <f>IF(AND(OR(LEFT(TH!L1858,2)="15",LEFT(TH!M1858,2)="15"),TK!$E$7=TH!F1858),"x","")</f>
        <v/>
      </c>
      <c r="Z1858" s="51" t="str">
        <f>IF(AND(B1858&lt;=NKC!$N$8,B1858&gt;=NKC!$M$8),"x","")</f>
        <v>x</v>
      </c>
      <c r="AA1858" s="803"/>
    </row>
    <row r="1859" spans="1:27" ht="15.75" customHeight="1">
      <c r="A1859" s="804" t="str">
        <f>IF(B1859&lt;&gt;"",IF(AND(B1859&gt;=_TM1,B1859&lt;=_TM2,OR(TH!L1859="1111",TH!M1859="1111")),TH!D1859,""),"")</f>
        <v/>
      </c>
      <c r="B1859" s="36">
        <f t="shared" si="128"/>
        <v>8</v>
      </c>
      <c r="C1859" s="189">
        <f>E1859</f>
        <v>42219</v>
      </c>
      <c r="D1859" s="37" t="s">
        <v>1288</v>
      </c>
      <c r="E1859" s="901">
        <v>42219</v>
      </c>
      <c r="F1859" s="902" t="s">
        <v>697</v>
      </c>
      <c r="G1859" s="903" t="s">
        <v>1012</v>
      </c>
      <c r="H1859" s="888" t="s">
        <v>1287</v>
      </c>
      <c r="I1859" s="904">
        <v>2000</v>
      </c>
      <c r="J1859" s="904">
        <v>21773.359148936172</v>
      </c>
      <c r="K1859" s="905">
        <f t="shared" si="129"/>
        <v>43546718</v>
      </c>
      <c r="L1859" s="906" t="s">
        <v>417</v>
      </c>
      <c r="M1859" s="906" t="s">
        <v>160</v>
      </c>
      <c r="N1859" s="51" t="str">
        <f>IF(AND('331-CT'!$E$7=TH!H1859,OR(L1859="331",M1859="331")),"331",IF(AND(OR(L1859="131",M1859="131"),H1859='131-CT'!$E$7),"131",""))</f>
        <v/>
      </c>
      <c r="O1859" s="51" t="str">
        <f>IF(AND($B1859&gt;='111'!$N$11,$B1859&lt;='111'!$O$11,OR($L1859=$O$7,$M1859=$O$7)),"x","")</f>
        <v/>
      </c>
      <c r="P1859" s="51" t="str">
        <f>IF(AND($L1859=$O$7,$B1859&lt;'111'!$N$11),"x","")</f>
        <v/>
      </c>
      <c r="Q1859" s="51" t="str">
        <f>IF(AND($M1859=$O$7,$B1859&lt;'111'!$N$11),"x","")</f>
        <v/>
      </c>
      <c r="R1859" s="51" t="str">
        <f>IF(ISERROR(FIND('112'!$M$9,G1859,1)),"",IF((AND(FIND('112'!$M$9,G1859,1)&gt;=1,$B1859&gt;='112'!$N$8,$B1859&lt;='112'!$O$8,OR($L1859='112'!$I$6,$M1859='112'!$I$6))),"x",""))</f>
        <v/>
      </c>
      <c r="S1859" s="51" t="str">
        <f>IF(ISERROR(FIND('112'!$M$9,G1859,1)),"",IF((AND(LEFT(G1859,2)=LEFT('112'!$M$9,2),B1859&lt;'112'!$N$8,$L1859='112'!$I$6)),"x",""))</f>
        <v/>
      </c>
      <c r="T1859" s="51" t="str">
        <f>IF(ISERROR(FIND('112'!$M$9,G1859,1)),"",IF((AND(RIGHT(G1859,2)=RIGHT('112'!$M$9,2),B1859&lt;'112'!$N$8,$M1859='112'!$I$6)),"x",""))</f>
        <v/>
      </c>
      <c r="U1859" s="51" t="str">
        <f>IF(AND(L1859="154",'154'!$O$5&lt;=B1859,'154'!$P$5&gt;=B1859),"154",IF(AND(L1859="632",'632'!$L$5&lt;=B1859,'632'!$M$5&gt;=B1859),"632",IF(AND(L1859="642",'642'!$N$5&lt;=B1859,'642'!$O$5&gt;=B1859),"642",IF(AND(L1859="641",'641'!$N$5&lt;=B1859,'641'!$O$5&gt;=B1859),"641",""))))</f>
        <v/>
      </c>
      <c r="V1859" s="51" t="str">
        <f>IF(OR(TH!L1859=TH!$V$7,M1859=TH!$V$7),"x","")</f>
        <v/>
      </c>
      <c r="W1859" s="51" t="str">
        <f>IF(AND(B1859&gt;='IN-NX'!$P$3,B1859&lt;='IN-NX'!$Q$3,'IN-NX'!$D$7=D1859,OR(LEFT(L1859,2)="15",AND(LEFT(M1859,2)&lt;&gt;"15",LEFT(M1859,2)&lt;&gt;"33"))),"x","")</f>
        <v/>
      </c>
      <c r="X1859" s="51" t="str">
        <f>IF(AND(OR(LEFT(TH!L1859,2)="15",LEFT(TH!M1859,2)="15"),'152-CT'!$J$8=TH!F1859),"x","")</f>
        <v/>
      </c>
      <c r="Y1859" s="51" t="str">
        <f>IF(AND(OR(LEFT(TH!L1859,2)="15",LEFT(TH!M1859,2)="15"),TK!$E$7=TH!F1859),"x","")</f>
        <v/>
      </c>
      <c r="Z1859" s="51" t="str">
        <f>IF(AND(B1859&lt;=NKC!$N$8,B1859&gt;=NKC!$M$8),"x","")</f>
        <v>x</v>
      </c>
      <c r="AA1859" s="803"/>
    </row>
    <row r="1860" spans="1:27" ht="15.75" customHeight="1">
      <c r="A1860" s="804" t="str">
        <f>IF(B1860&lt;&gt;"",IF(AND(B1860&gt;=_TM1,B1860&lt;=_TM2,OR(TH!L1860="1111",TH!M1860="1111")),TH!D1860,""),"")</f>
        <v/>
      </c>
      <c r="B1860" s="36">
        <f t="shared" si="128"/>
        <v>8</v>
      </c>
      <c r="C1860" s="189">
        <f>E1860</f>
        <v>42224</v>
      </c>
      <c r="D1860" s="37" t="s">
        <v>1288</v>
      </c>
      <c r="E1860" s="901">
        <v>42224</v>
      </c>
      <c r="F1860" s="907" t="s">
        <v>845</v>
      </c>
      <c r="G1860" s="908" t="s">
        <v>1013</v>
      </c>
      <c r="H1860" s="888" t="s">
        <v>1287</v>
      </c>
      <c r="I1860" s="909">
        <v>300</v>
      </c>
      <c r="J1860" s="909">
        <v>18492.319148936171</v>
      </c>
      <c r="K1860" s="905">
        <f t="shared" si="129"/>
        <v>5547696</v>
      </c>
      <c r="L1860" s="906" t="s">
        <v>417</v>
      </c>
      <c r="M1860" s="906" t="s">
        <v>160</v>
      </c>
      <c r="N1860" s="51" t="str">
        <f>IF(AND('331-CT'!$E$7=TH!H1860,OR(L1860="331",M1860="331")),"331",IF(AND(OR(L1860="131",M1860="131"),H1860='131-CT'!$E$7),"131",""))</f>
        <v/>
      </c>
      <c r="O1860" s="51" t="str">
        <f>IF(AND($B1860&gt;='111'!$N$11,$B1860&lt;='111'!$O$11,OR($L1860=$O$7,$M1860=$O$7)),"x","")</f>
        <v/>
      </c>
      <c r="P1860" s="51" t="str">
        <f>IF(AND($L1860=$O$7,$B1860&lt;'111'!$N$11),"x","")</f>
        <v/>
      </c>
      <c r="Q1860" s="51" t="str">
        <f>IF(AND($M1860=$O$7,$B1860&lt;'111'!$N$11),"x","")</f>
        <v/>
      </c>
      <c r="R1860" s="51" t="str">
        <f>IF(ISERROR(FIND('112'!$M$9,G1860,1)),"",IF((AND(FIND('112'!$M$9,G1860,1)&gt;=1,$B1860&gt;='112'!$N$8,$B1860&lt;='112'!$O$8,OR($L1860='112'!$I$6,$M1860='112'!$I$6))),"x",""))</f>
        <v/>
      </c>
      <c r="S1860" s="51" t="str">
        <f>IF(ISERROR(FIND('112'!$M$9,G1860,1)),"",IF((AND(LEFT(G1860,2)=LEFT('112'!$M$9,2),B1860&lt;'112'!$N$8,$L1860='112'!$I$6)),"x",""))</f>
        <v/>
      </c>
      <c r="T1860" s="51" t="str">
        <f>IF(ISERROR(FIND('112'!$M$9,G1860,1)),"",IF((AND(RIGHT(G1860,2)=RIGHT('112'!$M$9,2),B1860&lt;'112'!$N$8,$M1860='112'!$I$6)),"x",""))</f>
        <v/>
      </c>
      <c r="U1860" s="51" t="str">
        <f>IF(AND(L1860="154",'154'!$O$5&lt;=B1860,'154'!$P$5&gt;=B1860),"154",IF(AND(L1860="632",'632'!$L$5&lt;=B1860,'632'!$M$5&gt;=B1860),"632",IF(AND(L1860="642",'642'!$N$5&lt;=B1860,'642'!$O$5&gt;=B1860),"642",IF(AND(L1860="641",'641'!$N$5&lt;=B1860,'641'!$O$5&gt;=B1860),"641",""))))</f>
        <v/>
      </c>
      <c r="V1860" s="51" t="str">
        <f>IF(OR(TH!L1860=TH!$V$7,M1860=TH!$V$7),"x","")</f>
        <v/>
      </c>
      <c r="W1860" s="51" t="str">
        <f>IF(AND(B1860&gt;='IN-NX'!$P$3,B1860&lt;='IN-NX'!$Q$3,'IN-NX'!$D$7=D1860,OR(LEFT(L1860,2)="15",AND(LEFT(M1860,2)&lt;&gt;"15",LEFT(M1860,2)&lt;&gt;"33"))),"x","")</f>
        <v/>
      </c>
      <c r="X1860" s="51" t="str">
        <f>IF(AND(OR(LEFT(TH!L1860,2)="15",LEFT(TH!M1860,2)="15"),'152-CT'!$J$8=TH!F1860),"x","")</f>
        <v/>
      </c>
      <c r="Y1860" s="51" t="str">
        <f>IF(AND(OR(LEFT(TH!L1860,2)="15",LEFT(TH!M1860,2)="15"),TK!$E$7=TH!F1860),"x","")</f>
        <v/>
      </c>
      <c r="Z1860" s="51" t="str">
        <f>IF(AND(B1860&lt;=NKC!$N$8,B1860&gt;=NKC!$M$8),"x","")</f>
        <v>x</v>
      </c>
      <c r="AA1860" s="803"/>
    </row>
    <row r="1861" spans="1:27" ht="15.75" customHeight="1">
      <c r="A1861" s="804" t="str">
        <f>IF(B1861&lt;&gt;"",IF(AND(B1861&gt;=_TM1,B1861&lt;=_TM2,OR(TH!L1861="1111",TH!M1861="1111")),TH!D1861,""),"")</f>
        <v/>
      </c>
      <c r="B1861" s="36">
        <f t="shared" si="128"/>
        <v>10</v>
      </c>
      <c r="C1861" s="189">
        <f t="shared" ref="C1861:C1898" si="130">E1861</f>
        <v>42282</v>
      </c>
      <c r="D1861" s="37" t="s">
        <v>1288</v>
      </c>
      <c r="E1861" s="910">
        <v>42282</v>
      </c>
      <c r="F1861" s="902" t="s">
        <v>692</v>
      </c>
      <c r="G1861" s="908" t="s">
        <v>1054</v>
      </c>
      <c r="H1861" s="888" t="s">
        <v>1287</v>
      </c>
      <c r="I1861" s="911">
        <v>200</v>
      </c>
      <c r="J1861" s="911">
        <v>11748.233143664245</v>
      </c>
      <c r="K1861" s="905">
        <f t="shared" ref="K1861:K1896" si="131">ROUND(I1861*J1861,0)</f>
        <v>2349647</v>
      </c>
      <c r="L1861" s="906" t="s">
        <v>417</v>
      </c>
      <c r="M1861" s="906" t="s">
        <v>160</v>
      </c>
      <c r="N1861" s="51" t="str">
        <f>IF(AND('331-CT'!$E$7=TH!H1861,OR(L1861="331",M1861="331")),"331",IF(AND(OR(L1861="131",M1861="131"),H1861='131-CT'!$E$7),"131",""))</f>
        <v/>
      </c>
      <c r="O1861" s="51" t="str">
        <f>IF(AND($B1861&gt;='111'!$N$11,$B1861&lt;='111'!$O$11,OR($L1861=$O$7,$M1861=$O$7)),"x","")</f>
        <v/>
      </c>
      <c r="P1861" s="51" t="str">
        <f>IF(AND($L1861=$O$7,$B1861&lt;'111'!$N$11),"x","")</f>
        <v/>
      </c>
      <c r="Q1861" s="51" t="str">
        <f>IF(AND($M1861=$O$7,$B1861&lt;'111'!$N$11),"x","")</f>
        <v/>
      </c>
      <c r="R1861" s="51" t="str">
        <f>IF(ISERROR(FIND('112'!$M$9,G1861,1)),"",IF((AND(FIND('112'!$M$9,G1861,1)&gt;=1,$B1861&gt;='112'!$N$8,$B1861&lt;='112'!$O$8,OR($L1861='112'!$I$6,$M1861='112'!$I$6))),"x",""))</f>
        <v/>
      </c>
      <c r="S1861" s="51" t="str">
        <f>IF(ISERROR(FIND('112'!$M$9,G1861,1)),"",IF((AND(LEFT(G1861,2)=LEFT('112'!$M$9,2),B1861&lt;'112'!$N$8,$L1861='112'!$I$6)),"x",""))</f>
        <v/>
      </c>
      <c r="T1861" s="51" t="str">
        <f>IF(ISERROR(FIND('112'!$M$9,G1861,1)),"",IF((AND(RIGHT(G1861,2)=RIGHT('112'!$M$9,2),B1861&lt;'112'!$N$8,$M1861='112'!$I$6)),"x",""))</f>
        <v/>
      </c>
      <c r="U1861" s="51" t="str">
        <f>IF(AND(L1861="154",'154'!$O$5&lt;=B1861,'154'!$P$5&gt;=B1861),"154",IF(AND(L1861="632",'632'!$L$5&lt;=B1861,'632'!$M$5&gt;=B1861),"632",IF(AND(L1861="642",'642'!$N$5&lt;=B1861,'642'!$O$5&gt;=B1861),"642",IF(AND(L1861="641",'641'!$N$5&lt;=B1861,'641'!$O$5&gt;=B1861),"641",""))))</f>
        <v/>
      </c>
      <c r="V1861" s="51" t="str">
        <f>IF(OR(TH!L1861=TH!$V$7,M1861=TH!$V$7),"x","")</f>
        <v/>
      </c>
      <c r="W1861" s="51" t="str">
        <f>IF(AND(B1861&gt;='IN-NX'!$P$3,B1861&lt;='IN-NX'!$Q$3,'IN-NX'!$D$7=D1861,OR(LEFT(L1861,2)="15",AND(LEFT(M1861,2)&lt;&gt;"15",LEFT(M1861,2)&lt;&gt;"33"))),"x","")</f>
        <v/>
      </c>
      <c r="X1861" s="51" t="str">
        <f>IF(AND(OR(LEFT(TH!L1861,2)="15",LEFT(TH!M1861,2)="15"),'152-CT'!$J$8=TH!F1861),"x","")</f>
        <v/>
      </c>
      <c r="Y1861" s="51" t="str">
        <f>IF(AND(OR(LEFT(TH!L1861,2)="15",LEFT(TH!M1861,2)="15"),TK!$E$7=TH!F1861),"x","")</f>
        <v/>
      </c>
      <c r="Z1861" s="51" t="str">
        <f>IF(AND(B1861&lt;=NKC!$N$8,B1861&gt;=NKC!$M$8),"x","")</f>
        <v/>
      </c>
      <c r="AA1861" s="803"/>
    </row>
    <row r="1862" spans="1:27" ht="15.75" customHeight="1">
      <c r="A1862" s="804" t="str">
        <f>IF(B1862&lt;&gt;"",IF(AND(B1862&gt;=_TM1,B1862&lt;=_TM2,OR(TH!L1862="1111",TH!M1862="1111")),TH!D1862,""),"")</f>
        <v/>
      </c>
      <c r="B1862" s="36">
        <f t="shared" si="128"/>
        <v>10</v>
      </c>
      <c r="C1862" s="189">
        <f t="shared" si="130"/>
        <v>42285</v>
      </c>
      <c r="D1862" s="37" t="s">
        <v>1288</v>
      </c>
      <c r="E1862" s="910">
        <v>42285</v>
      </c>
      <c r="F1862" s="902" t="s">
        <v>1209</v>
      </c>
      <c r="G1862" s="908" t="s">
        <v>1062</v>
      </c>
      <c r="H1862" s="888" t="s">
        <v>1287</v>
      </c>
      <c r="I1862" s="911">
        <v>800</v>
      </c>
      <c r="J1862" s="911">
        <v>10179.259393664246</v>
      </c>
      <c r="K1862" s="905">
        <f t="shared" si="131"/>
        <v>8143408</v>
      </c>
      <c r="L1862" s="906" t="s">
        <v>417</v>
      </c>
      <c r="M1862" s="906" t="s">
        <v>160</v>
      </c>
      <c r="N1862" s="51" t="str">
        <f>IF(AND('331-CT'!$E$7=TH!H1862,OR(L1862="331",M1862="331")),"331",IF(AND(OR(L1862="131",M1862="131"),H1862='131-CT'!$E$7),"131",""))</f>
        <v/>
      </c>
      <c r="O1862" s="51" t="str">
        <f>IF(AND($B1862&gt;='111'!$N$11,$B1862&lt;='111'!$O$11,OR($L1862=$O$7,$M1862=$O$7)),"x","")</f>
        <v/>
      </c>
      <c r="P1862" s="51" t="str">
        <f>IF(AND($L1862=$O$7,$B1862&lt;'111'!$N$11),"x","")</f>
        <v/>
      </c>
      <c r="Q1862" s="51" t="str">
        <f>IF(AND($M1862=$O$7,$B1862&lt;'111'!$N$11),"x","")</f>
        <v/>
      </c>
      <c r="R1862" s="51" t="str">
        <f>IF(ISERROR(FIND('112'!$M$9,G1862,1)),"",IF((AND(FIND('112'!$M$9,G1862,1)&gt;=1,$B1862&gt;='112'!$N$8,$B1862&lt;='112'!$O$8,OR($L1862='112'!$I$6,$M1862='112'!$I$6))),"x",""))</f>
        <v/>
      </c>
      <c r="S1862" s="51" t="str">
        <f>IF(ISERROR(FIND('112'!$M$9,G1862,1)),"",IF((AND(LEFT(G1862,2)=LEFT('112'!$M$9,2),B1862&lt;'112'!$N$8,$L1862='112'!$I$6)),"x",""))</f>
        <v/>
      </c>
      <c r="T1862" s="51" t="str">
        <f>IF(ISERROR(FIND('112'!$M$9,G1862,1)),"",IF((AND(RIGHT(G1862,2)=RIGHT('112'!$M$9,2),B1862&lt;'112'!$N$8,$M1862='112'!$I$6)),"x",""))</f>
        <v/>
      </c>
      <c r="U1862" s="51" t="str">
        <f>IF(AND(L1862="154",'154'!$O$5&lt;=B1862,'154'!$P$5&gt;=B1862),"154",IF(AND(L1862="632",'632'!$L$5&lt;=B1862,'632'!$M$5&gt;=B1862),"632",IF(AND(L1862="642",'642'!$N$5&lt;=B1862,'642'!$O$5&gt;=B1862),"642",IF(AND(L1862="641",'641'!$N$5&lt;=B1862,'641'!$O$5&gt;=B1862),"641",""))))</f>
        <v/>
      </c>
      <c r="V1862" s="51" t="str">
        <f>IF(OR(TH!L1862=TH!$V$7,M1862=TH!$V$7),"x","")</f>
        <v/>
      </c>
      <c r="W1862" s="51" t="str">
        <f>IF(AND(B1862&gt;='IN-NX'!$P$3,B1862&lt;='IN-NX'!$Q$3,'IN-NX'!$D$7=D1862,OR(LEFT(L1862,2)="15",AND(LEFT(M1862,2)&lt;&gt;"15",LEFT(M1862,2)&lt;&gt;"33"))),"x","")</f>
        <v/>
      </c>
      <c r="X1862" s="51" t="str">
        <f>IF(AND(OR(LEFT(TH!L1862,2)="15",LEFT(TH!M1862,2)="15"),'152-CT'!$J$8=TH!F1862),"x","")</f>
        <v/>
      </c>
      <c r="Y1862" s="51" t="str">
        <f>IF(AND(OR(LEFT(TH!L1862,2)="15",LEFT(TH!M1862,2)="15"),TK!$E$7=TH!F1862),"x","")</f>
        <v/>
      </c>
      <c r="Z1862" s="51" t="str">
        <f>IF(AND(B1862&lt;=NKC!$N$8,B1862&gt;=NKC!$M$8),"x","")</f>
        <v/>
      </c>
      <c r="AA1862" s="803"/>
    </row>
    <row r="1863" spans="1:27" ht="15.75" customHeight="1">
      <c r="A1863" s="804" t="str">
        <f>IF(B1863&lt;&gt;"",IF(AND(B1863&gt;=_TM1,B1863&lt;=_TM2,OR(TH!L1863="1111",TH!M1863="1111")),TH!D1863,""),"")</f>
        <v/>
      </c>
      <c r="B1863" s="36">
        <f t="shared" si="128"/>
        <v>10</v>
      </c>
      <c r="C1863" s="189">
        <f t="shared" si="130"/>
        <v>42288</v>
      </c>
      <c r="D1863" s="37" t="s">
        <v>1288</v>
      </c>
      <c r="E1863" s="910">
        <v>42288</v>
      </c>
      <c r="F1863" s="902" t="s">
        <v>714</v>
      </c>
      <c r="G1863" s="908" t="s">
        <v>1065</v>
      </c>
      <c r="H1863" s="888" t="s">
        <v>1287</v>
      </c>
      <c r="I1863" s="911">
        <v>60</v>
      </c>
      <c r="J1863" s="911">
        <v>24340.981476997582</v>
      </c>
      <c r="K1863" s="905">
        <f t="shared" si="131"/>
        <v>1460459</v>
      </c>
      <c r="L1863" s="906" t="s">
        <v>417</v>
      </c>
      <c r="M1863" s="906" t="s">
        <v>160</v>
      </c>
      <c r="N1863" s="51" t="str">
        <f>IF(AND('331-CT'!$E$7=TH!H1863,OR(L1863="331",M1863="331")),"331",IF(AND(OR(L1863="131",M1863="131"),H1863='131-CT'!$E$7),"131",""))</f>
        <v/>
      </c>
      <c r="O1863" s="51" t="str">
        <f>IF(AND($B1863&gt;='111'!$N$11,$B1863&lt;='111'!$O$11,OR($L1863=$O$7,$M1863=$O$7)),"x","")</f>
        <v/>
      </c>
      <c r="P1863" s="51" t="str">
        <f>IF(AND($L1863=$O$7,$B1863&lt;'111'!$N$11),"x","")</f>
        <v/>
      </c>
      <c r="Q1863" s="51" t="str">
        <f>IF(AND($M1863=$O$7,$B1863&lt;'111'!$N$11),"x","")</f>
        <v/>
      </c>
      <c r="R1863" s="51" t="str">
        <f>IF(ISERROR(FIND('112'!$M$9,G1863,1)),"",IF((AND(FIND('112'!$M$9,G1863,1)&gt;=1,$B1863&gt;='112'!$N$8,$B1863&lt;='112'!$O$8,OR($L1863='112'!$I$6,$M1863='112'!$I$6))),"x",""))</f>
        <v/>
      </c>
      <c r="S1863" s="51" t="str">
        <f>IF(ISERROR(FIND('112'!$M$9,G1863,1)),"",IF((AND(LEFT(G1863,2)=LEFT('112'!$M$9,2),B1863&lt;'112'!$N$8,$L1863='112'!$I$6)),"x",""))</f>
        <v/>
      </c>
      <c r="T1863" s="51" t="str">
        <f>IF(ISERROR(FIND('112'!$M$9,G1863,1)),"",IF((AND(RIGHT(G1863,2)=RIGHT('112'!$M$9,2),B1863&lt;'112'!$N$8,$M1863='112'!$I$6)),"x",""))</f>
        <v/>
      </c>
      <c r="U1863" s="51" t="str">
        <f>IF(AND(L1863="154",'154'!$O$5&lt;=B1863,'154'!$P$5&gt;=B1863),"154",IF(AND(L1863="632",'632'!$L$5&lt;=B1863,'632'!$M$5&gt;=B1863),"632",IF(AND(L1863="642",'642'!$N$5&lt;=B1863,'642'!$O$5&gt;=B1863),"642",IF(AND(L1863="641",'641'!$N$5&lt;=B1863,'641'!$O$5&gt;=B1863),"641",""))))</f>
        <v/>
      </c>
      <c r="V1863" s="51" t="str">
        <f>IF(OR(TH!L1863=TH!$V$7,M1863=TH!$V$7),"x","")</f>
        <v/>
      </c>
      <c r="W1863" s="51" t="str">
        <f>IF(AND(B1863&gt;='IN-NX'!$P$3,B1863&lt;='IN-NX'!$Q$3,'IN-NX'!$D$7=D1863,OR(LEFT(L1863,2)="15",AND(LEFT(M1863,2)&lt;&gt;"15",LEFT(M1863,2)&lt;&gt;"33"))),"x","")</f>
        <v/>
      </c>
      <c r="X1863" s="51" t="str">
        <f>IF(AND(OR(LEFT(TH!L1863,2)="15",LEFT(TH!M1863,2)="15"),'152-CT'!$J$8=TH!F1863),"x","")</f>
        <v/>
      </c>
      <c r="Y1863" s="51" t="str">
        <f>IF(AND(OR(LEFT(TH!L1863,2)="15",LEFT(TH!M1863,2)="15"),TK!$E$7=TH!F1863),"x","")</f>
        <v/>
      </c>
      <c r="Z1863" s="51" t="str">
        <f>IF(AND(B1863&lt;=NKC!$N$8,B1863&gt;=NKC!$M$8),"x","")</f>
        <v/>
      </c>
      <c r="AA1863" s="803"/>
    </row>
    <row r="1864" spans="1:27" ht="15.75" customHeight="1">
      <c r="A1864" s="804" t="str">
        <f>IF(B1864&lt;&gt;"",IF(AND(B1864&gt;=_TM1,B1864&lt;=_TM2,OR(TH!L1864="1111",TH!M1864="1111")),TH!D1864,""),"")</f>
        <v/>
      </c>
      <c r="B1864" s="36">
        <f t="shared" si="128"/>
        <v>10</v>
      </c>
      <c r="C1864" s="189">
        <f t="shared" si="130"/>
        <v>42288</v>
      </c>
      <c r="D1864" s="37" t="s">
        <v>1288</v>
      </c>
      <c r="E1864" s="910">
        <v>42288</v>
      </c>
      <c r="F1864" s="902" t="s">
        <v>1210</v>
      </c>
      <c r="G1864" s="908" t="s">
        <v>1065</v>
      </c>
      <c r="H1864" s="888" t="s">
        <v>1287</v>
      </c>
      <c r="I1864" s="911">
        <v>190</v>
      </c>
      <c r="J1864" s="911">
        <v>21558.271827874771</v>
      </c>
      <c r="K1864" s="905">
        <f t="shared" si="131"/>
        <v>4096072</v>
      </c>
      <c r="L1864" s="906" t="s">
        <v>417</v>
      </c>
      <c r="M1864" s="906" t="s">
        <v>160</v>
      </c>
      <c r="N1864" s="51" t="str">
        <f>IF(AND('331-CT'!$E$7=TH!H1864,OR(L1864="331",M1864="331")),"331",IF(AND(OR(L1864="131",M1864="131"),H1864='131-CT'!$E$7),"131",""))</f>
        <v/>
      </c>
      <c r="O1864" s="51" t="str">
        <f>IF(AND($B1864&gt;='111'!$N$11,$B1864&lt;='111'!$O$11,OR($L1864=$O$7,$M1864=$O$7)),"x","")</f>
        <v/>
      </c>
      <c r="P1864" s="51" t="str">
        <f>IF(AND($L1864=$O$7,$B1864&lt;'111'!$N$11),"x","")</f>
        <v/>
      </c>
      <c r="Q1864" s="51" t="str">
        <f>IF(AND($M1864=$O$7,$B1864&lt;'111'!$N$11),"x","")</f>
        <v/>
      </c>
      <c r="R1864" s="51" t="str">
        <f>IF(ISERROR(FIND('112'!$M$9,G1864,1)),"",IF((AND(FIND('112'!$M$9,G1864,1)&gt;=1,$B1864&gt;='112'!$N$8,$B1864&lt;='112'!$O$8,OR($L1864='112'!$I$6,$M1864='112'!$I$6))),"x",""))</f>
        <v/>
      </c>
      <c r="S1864" s="51" t="str">
        <f>IF(ISERROR(FIND('112'!$M$9,G1864,1)),"",IF((AND(LEFT(G1864,2)=LEFT('112'!$M$9,2),B1864&lt;'112'!$N$8,$L1864='112'!$I$6)),"x",""))</f>
        <v/>
      </c>
      <c r="T1864" s="51" t="str">
        <f>IF(ISERROR(FIND('112'!$M$9,G1864,1)),"",IF((AND(RIGHT(G1864,2)=RIGHT('112'!$M$9,2),B1864&lt;'112'!$N$8,$M1864='112'!$I$6)),"x",""))</f>
        <v/>
      </c>
      <c r="U1864" s="51" t="str">
        <f>IF(AND(L1864="154",'154'!$O$5&lt;=B1864,'154'!$P$5&gt;=B1864),"154",IF(AND(L1864="632",'632'!$L$5&lt;=B1864,'632'!$M$5&gt;=B1864),"632",IF(AND(L1864="642",'642'!$N$5&lt;=B1864,'642'!$O$5&gt;=B1864),"642",IF(AND(L1864="641",'641'!$N$5&lt;=B1864,'641'!$O$5&gt;=B1864),"641",""))))</f>
        <v/>
      </c>
      <c r="V1864" s="51" t="str">
        <f>IF(OR(TH!L1864=TH!$V$7,M1864=TH!$V$7),"x","")</f>
        <v/>
      </c>
      <c r="W1864" s="51" t="str">
        <f>IF(AND(B1864&gt;='IN-NX'!$P$3,B1864&lt;='IN-NX'!$Q$3,'IN-NX'!$D$7=D1864,OR(LEFT(L1864,2)="15",AND(LEFT(M1864,2)&lt;&gt;"15",LEFT(M1864,2)&lt;&gt;"33"))),"x","")</f>
        <v/>
      </c>
      <c r="X1864" s="51" t="str">
        <f>IF(AND(OR(LEFT(TH!L1864,2)="15",LEFT(TH!M1864,2)="15"),'152-CT'!$J$8=TH!F1864),"x","")</f>
        <v/>
      </c>
      <c r="Y1864" s="51" t="str">
        <f>IF(AND(OR(LEFT(TH!L1864,2)="15",LEFT(TH!M1864,2)="15"),TK!$E$7=TH!F1864),"x","")</f>
        <v/>
      </c>
      <c r="Z1864" s="51" t="str">
        <f>IF(AND(B1864&lt;=NKC!$N$8,B1864&gt;=NKC!$M$8),"x","")</f>
        <v/>
      </c>
      <c r="AA1864" s="803"/>
    </row>
    <row r="1865" spans="1:27" ht="15.75" customHeight="1">
      <c r="A1865" s="804" t="str">
        <f>IF(B1865&lt;&gt;"",IF(AND(B1865&gt;=_TM1,B1865&lt;=_TM2,OR(TH!L1865="1111",TH!M1865="1111")),TH!D1865,""),"")</f>
        <v/>
      </c>
      <c r="B1865" s="36">
        <f t="shared" si="128"/>
        <v>10</v>
      </c>
      <c r="C1865" s="189">
        <f t="shared" si="130"/>
        <v>42289</v>
      </c>
      <c r="D1865" s="37" t="s">
        <v>1288</v>
      </c>
      <c r="E1865" s="910">
        <v>42289</v>
      </c>
      <c r="F1865" s="902" t="s">
        <v>1209</v>
      </c>
      <c r="G1865" s="908" t="s">
        <v>1067</v>
      </c>
      <c r="H1865" s="888" t="s">
        <v>1287</v>
      </c>
      <c r="I1865" s="911">
        <v>1200</v>
      </c>
      <c r="J1865" s="911">
        <v>11341.948143664245</v>
      </c>
      <c r="K1865" s="905">
        <f t="shared" si="131"/>
        <v>13610338</v>
      </c>
      <c r="L1865" s="906" t="s">
        <v>417</v>
      </c>
      <c r="M1865" s="906" t="s">
        <v>160</v>
      </c>
      <c r="N1865" s="51" t="str">
        <f>IF(AND('331-CT'!$E$7=TH!H1865,OR(L1865="331",M1865="331")),"331",IF(AND(OR(L1865="131",M1865="131"),H1865='131-CT'!$E$7),"131",""))</f>
        <v/>
      </c>
      <c r="O1865" s="51" t="str">
        <f>IF(AND($B1865&gt;='111'!$N$11,$B1865&lt;='111'!$O$11,OR($L1865=$O$7,$M1865=$O$7)),"x","")</f>
        <v/>
      </c>
      <c r="P1865" s="51" t="str">
        <f>IF(AND($L1865=$O$7,$B1865&lt;'111'!$N$11),"x","")</f>
        <v/>
      </c>
      <c r="Q1865" s="51" t="str">
        <f>IF(AND($M1865=$O$7,$B1865&lt;'111'!$N$11),"x","")</f>
        <v/>
      </c>
      <c r="R1865" s="51" t="str">
        <f>IF(ISERROR(FIND('112'!$M$9,G1865,1)),"",IF((AND(FIND('112'!$M$9,G1865,1)&gt;=1,$B1865&gt;='112'!$N$8,$B1865&lt;='112'!$O$8,OR($L1865='112'!$I$6,$M1865='112'!$I$6))),"x",""))</f>
        <v/>
      </c>
      <c r="S1865" s="51" t="str">
        <f>IF(ISERROR(FIND('112'!$M$9,G1865,1)),"",IF((AND(LEFT(G1865,2)=LEFT('112'!$M$9,2),B1865&lt;'112'!$N$8,$L1865='112'!$I$6)),"x",""))</f>
        <v/>
      </c>
      <c r="T1865" s="51" t="str">
        <f>IF(ISERROR(FIND('112'!$M$9,G1865,1)),"",IF((AND(RIGHT(G1865,2)=RIGHT('112'!$M$9,2),B1865&lt;'112'!$N$8,$M1865='112'!$I$6)),"x",""))</f>
        <v/>
      </c>
      <c r="U1865" s="51" t="str">
        <f>IF(AND(L1865="154",'154'!$O$5&lt;=B1865,'154'!$P$5&gt;=B1865),"154",IF(AND(L1865="632",'632'!$L$5&lt;=B1865,'632'!$M$5&gt;=B1865),"632",IF(AND(L1865="642",'642'!$N$5&lt;=B1865,'642'!$O$5&gt;=B1865),"642",IF(AND(L1865="641",'641'!$N$5&lt;=B1865,'641'!$O$5&gt;=B1865),"641",""))))</f>
        <v/>
      </c>
      <c r="V1865" s="51" t="str">
        <f>IF(OR(TH!L1865=TH!$V$7,M1865=TH!$V$7),"x","")</f>
        <v/>
      </c>
      <c r="W1865" s="51" t="str">
        <f>IF(AND(B1865&gt;='IN-NX'!$P$3,B1865&lt;='IN-NX'!$Q$3,'IN-NX'!$D$7=D1865,OR(LEFT(L1865,2)="15",AND(LEFT(M1865,2)&lt;&gt;"15",LEFT(M1865,2)&lt;&gt;"33"))),"x","")</f>
        <v/>
      </c>
      <c r="X1865" s="51" t="str">
        <f>IF(AND(OR(LEFT(TH!L1865,2)="15",LEFT(TH!M1865,2)="15"),'152-CT'!$J$8=TH!F1865),"x","")</f>
        <v/>
      </c>
      <c r="Y1865" s="51" t="str">
        <f>IF(AND(OR(LEFT(TH!L1865,2)="15",LEFT(TH!M1865,2)="15"),TK!$E$7=TH!F1865),"x","")</f>
        <v/>
      </c>
      <c r="Z1865" s="51" t="str">
        <f>IF(AND(B1865&lt;=NKC!$N$8,B1865&gt;=NKC!$M$8),"x","")</f>
        <v/>
      </c>
      <c r="AA1865" s="803"/>
    </row>
    <row r="1866" spans="1:27" ht="15.75" customHeight="1">
      <c r="A1866" s="804" t="str">
        <f>IF(B1866&lt;&gt;"",IF(AND(B1866&gt;=_TM1,B1866&lt;=_TM2,OR(TH!L1866="1111",TH!M1866="1111")),TH!D1866,""),"")</f>
        <v/>
      </c>
      <c r="B1866" s="36">
        <f t="shared" si="128"/>
        <v>10</v>
      </c>
      <c r="C1866" s="189">
        <f t="shared" si="130"/>
        <v>42290</v>
      </c>
      <c r="D1866" s="37" t="s">
        <v>1288</v>
      </c>
      <c r="E1866" s="910">
        <v>42290</v>
      </c>
      <c r="F1866" s="902" t="s">
        <v>1211</v>
      </c>
      <c r="G1866" s="912" t="s">
        <v>1068</v>
      </c>
      <c r="H1866" s="888" t="s">
        <v>1287</v>
      </c>
      <c r="I1866" s="911">
        <v>5</v>
      </c>
      <c r="J1866" s="911">
        <v>257177.69814366422</v>
      </c>
      <c r="K1866" s="905">
        <f t="shared" si="131"/>
        <v>1285888</v>
      </c>
      <c r="L1866" s="906" t="s">
        <v>417</v>
      </c>
      <c r="M1866" s="906" t="s">
        <v>160</v>
      </c>
      <c r="N1866" s="51" t="str">
        <f>IF(AND('331-CT'!$E$7=TH!H1866,OR(L1866="331",M1866="331")),"331",IF(AND(OR(L1866="131",M1866="131"),H1866='131-CT'!$E$7),"131",""))</f>
        <v/>
      </c>
      <c r="O1866" s="51" t="str">
        <f>IF(AND($B1866&gt;='111'!$N$11,$B1866&lt;='111'!$O$11,OR($L1866=$O$7,$M1866=$O$7)),"x","")</f>
        <v/>
      </c>
      <c r="P1866" s="51" t="str">
        <f>IF(AND($L1866=$O$7,$B1866&lt;'111'!$N$11),"x","")</f>
        <v/>
      </c>
      <c r="Q1866" s="51" t="str">
        <f>IF(AND($M1866=$O$7,$B1866&lt;'111'!$N$11),"x","")</f>
        <v/>
      </c>
      <c r="R1866" s="51" t="str">
        <f>IF(ISERROR(FIND('112'!$M$9,G1866,1)),"",IF((AND(FIND('112'!$M$9,G1866,1)&gt;=1,$B1866&gt;='112'!$N$8,$B1866&lt;='112'!$O$8,OR($L1866='112'!$I$6,$M1866='112'!$I$6))),"x",""))</f>
        <v/>
      </c>
      <c r="S1866" s="51" t="str">
        <f>IF(ISERROR(FIND('112'!$M$9,G1866,1)),"",IF((AND(LEFT(G1866,2)=LEFT('112'!$M$9,2),B1866&lt;'112'!$N$8,$L1866='112'!$I$6)),"x",""))</f>
        <v/>
      </c>
      <c r="T1866" s="51" t="str">
        <f>IF(ISERROR(FIND('112'!$M$9,G1866,1)),"",IF((AND(RIGHT(G1866,2)=RIGHT('112'!$M$9,2),B1866&lt;'112'!$N$8,$M1866='112'!$I$6)),"x",""))</f>
        <v/>
      </c>
      <c r="U1866" s="51" t="str">
        <f>IF(AND(L1866="154",'154'!$O$5&lt;=B1866,'154'!$P$5&gt;=B1866),"154",IF(AND(L1866="632",'632'!$L$5&lt;=B1866,'632'!$M$5&gt;=B1866),"632",IF(AND(L1866="642",'642'!$N$5&lt;=B1866,'642'!$O$5&gt;=B1866),"642",IF(AND(L1866="641",'641'!$N$5&lt;=B1866,'641'!$O$5&gt;=B1866),"641",""))))</f>
        <v/>
      </c>
      <c r="V1866" s="51" t="str">
        <f>IF(OR(TH!L1866=TH!$V$7,M1866=TH!$V$7),"x","")</f>
        <v/>
      </c>
      <c r="W1866" s="51" t="str">
        <f>IF(AND(B1866&gt;='IN-NX'!$P$3,B1866&lt;='IN-NX'!$Q$3,'IN-NX'!$D$7=D1866,OR(LEFT(L1866,2)="15",AND(LEFT(M1866,2)&lt;&gt;"15",LEFT(M1866,2)&lt;&gt;"33"))),"x","")</f>
        <v/>
      </c>
      <c r="X1866" s="51" t="str">
        <f>IF(AND(OR(LEFT(TH!L1866,2)="15",LEFT(TH!M1866,2)="15"),'152-CT'!$J$8=TH!F1866),"x","")</f>
        <v/>
      </c>
      <c r="Y1866" s="51" t="str">
        <f>IF(AND(OR(LEFT(TH!L1866,2)="15",LEFT(TH!M1866,2)="15"),TK!$E$7=TH!F1866),"x","")</f>
        <v/>
      </c>
      <c r="Z1866" s="51" t="str">
        <f>IF(AND(B1866&lt;=NKC!$N$8,B1866&gt;=NKC!$M$8),"x","")</f>
        <v/>
      </c>
      <c r="AA1866" s="803"/>
    </row>
    <row r="1867" spans="1:27" ht="15.75" customHeight="1">
      <c r="A1867" s="804" t="str">
        <f>IF(B1867&lt;&gt;"",IF(AND(B1867&gt;=_TM1,B1867&lt;=_TM2,OR(TH!L1867="1111",TH!M1867="1111")),TH!D1867,""),"")</f>
        <v/>
      </c>
      <c r="B1867" s="36">
        <f t="shared" si="128"/>
        <v>10</v>
      </c>
      <c r="C1867" s="189">
        <f t="shared" si="130"/>
        <v>42290</v>
      </c>
      <c r="D1867" s="37" t="s">
        <v>1288</v>
      </c>
      <c r="E1867" s="910">
        <v>42290</v>
      </c>
      <c r="F1867" s="902" t="s">
        <v>1212</v>
      </c>
      <c r="G1867" s="912" t="s">
        <v>1068</v>
      </c>
      <c r="H1867" s="888" t="s">
        <v>1287</v>
      </c>
      <c r="I1867" s="911">
        <v>7</v>
      </c>
      <c r="J1867" s="911">
        <v>131644.26957223567</v>
      </c>
      <c r="K1867" s="905">
        <f t="shared" si="131"/>
        <v>921510</v>
      </c>
      <c r="L1867" s="906" t="s">
        <v>417</v>
      </c>
      <c r="M1867" s="906" t="s">
        <v>160</v>
      </c>
      <c r="N1867" s="51" t="str">
        <f>IF(AND('331-CT'!$E$7=TH!H1867,OR(L1867="331",M1867="331")),"331",IF(AND(OR(L1867="131",M1867="131"),H1867='131-CT'!$E$7),"131",""))</f>
        <v/>
      </c>
      <c r="O1867" s="51" t="str">
        <f>IF(AND($B1867&gt;='111'!$N$11,$B1867&lt;='111'!$O$11,OR($L1867=$O$7,$M1867=$O$7)),"x","")</f>
        <v/>
      </c>
      <c r="P1867" s="51" t="str">
        <f>IF(AND($L1867=$O$7,$B1867&lt;'111'!$N$11),"x","")</f>
        <v/>
      </c>
      <c r="Q1867" s="51" t="str">
        <f>IF(AND($M1867=$O$7,$B1867&lt;'111'!$N$11),"x","")</f>
        <v/>
      </c>
      <c r="R1867" s="51" t="str">
        <f>IF(ISERROR(FIND('112'!$M$9,G1867,1)),"",IF((AND(FIND('112'!$M$9,G1867,1)&gt;=1,$B1867&gt;='112'!$N$8,$B1867&lt;='112'!$O$8,OR($L1867='112'!$I$6,$M1867='112'!$I$6))),"x",""))</f>
        <v/>
      </c>
      <c r="S1867" s="51" t="str">
        <f>IF(ISERROR(FIND('112'!$M$9,G1867,1)),"",IF((AND(LEFT(G1867,2)=LEFT('112'!$M$9,2),B1867&lt;'112'!$N$8,$L1867='112'!$I$6)),"x",""))</f>
        <v/>
      </c>
      <c r="T1867" s="51" t="str">
        <f>IF(ISERROR(FIND('112'!$M$9,G1867,1)),"",IF((AND(RIGHT(G1867,2)=RIGHT('112'!$M$9,2),B1867&lt;'112'!$N$8,$M1867='112'!$I$6)),"x",""))</f>
        <v/>
      </c>
      <c r="U1867" s="51" t="str">
        <f>IF(AND(L1867="154",'154'!$O$5&lt;=B1867,'154'!$P$5&gt;=B1867),"154",IF(AND(L1867="632",'632'!$L$5&lt;=B1867,'632'!$M$5&gt;=B1867),"632",IF(AND(L1867="642",'642'!$N$5&lt;=B1867,'642'!$O$5&gt;=B1867),"642",IF(AND(L1867="641",'641'!$N$5&lt;=B1867,'641'!$O$5&gt;=B1867),"641",""))))</f>
        <v/>
      </c>
      <c r="V1867" s="51" t="str">
        <f>IF(OR(TH!L1867=TH!$V$7,M1867=TH!$V$7),"x","")</f>
        <v/>
      </c>
      <c r="W1867" s="51" t="str">
        <f>IF(AND(B1867&gt;='IN-NX'!$P$3,B1867&lt;='IN-NX'!$Q$3,'IN-NX'!$D$7=D1867,OR(LEFT(L1867,2)="15",AND(LEFT(M1867,2)&lt;&gt;"15",LEFT(M1867,2)&lt;&gt;"33"))),"x","")</f>
        <v/>
      </c>
      <c r="X1867" s="51" t="str">
        <f>IF(AND(OR(LEFT(TH!L1867,2)="15",LEFT(TH!M1867,2)="15"),'152-CT'!$J$8=TH!F1867),"x","")</f>
        <v/>
      </c>
      <c r="Y1867" s="51" t="str">
        <f>IF(AND(OR(LEFT(TH!L1867,2)="15",LEFT(TH!M1867,2)="15"),TK!$E$7=TH!F1867),"x","")</f>
        <v/>
      </c>
      <c r="Z1867" s="51" t="str">
        <f>IF(AND(B1867&lt;=NKC!$N$8,B1867&gt;=NKC!$M$8),"x","")</f>
        <v/>
      </c>
      <c r="AA1867" s="803"/>
    </row>
    <row r="1868" spans="1:27" ht="15.75" customHeight="1">
      <c r="A1868" s="804" t="str">
        <f>IF(B1868&lt;&gt;"",IF(AND(B1868&gt;=_TM1,B1868&lt;=_TM2,OR(TH!L1868="1111",TH!M1868="1111")),TH!D1868,""),"")</f>
        <v/>
      </c>
      <c r="B1868" s="36">
        <f t="shared" si="128"/>
        <v>10</v>
      </c>
      <c r="C1868" s="189">
        <f t="shared" si="130"/>
        <v>42290</v>
      </c>
      <c r="D1868" s="37" t="s">
        <v>1288</v>
      </c>
      <c r="E1868" s="910">
        <v>42290</v>
      </c>
      <c r="F1868" s="902" t="s">
        <v>1213</v>
      </c>
      <c r="G1868" s="903" t="s">
        <v>1068</v>
      </c>
      <c r="H1868" s="888" t="s">
        <v>1287</v>
      </c>
      <c r="I1868" s="911">
        <v>3</v>
      </c>
      <c r="J1868" s="911">
        <v>140065.69814366425</v>
      </c>
      <c r="K1868" s="905">
        <f t="shared" si="131"/>
        <v>420197</v>
      </c>
      <c r="L1868" s="906" t="s">
        <v>417</v>
      </c>
      <c r="M1868" s="906" t="s">
        <v>160</v>
      </c>
      <c r="N1868" s="51" t="str">
        <f>IF(AND('331-CT'!$E$7=TH!H1868,OR(L1868="331",M1868="331")),"331",IF(AND(OR(L1868="131",M1868="131"),H1868='131-CT'!$E$7),"131",""))</f>
        <v/>
      </c>
      <c r="O1868" s="51" t="str">
        <f>IF(AND($B1868&gt;='111'!$N$11,$B1868&lt;='111'!$O$11,OR($L1868=$O$7,$M1868=$O$7)),"x","")</f>
        <v/>
      </c>
      <c r="P1868" s="51" t="str">
        <f>IF(AND($L1868=$O$7,$B1868&lt;'111'!$N$11),"x","")</f>
        <v/>
      </c>
      <c r="Q1868" s="51" t="str">
        <f>IF(AND($M1868=$O$7,$B1868&lt;'111'!$N$11),"x","")</f>
        <v/>
      </c>
      <c r="R1868" s="51" t="str">
        <f>IF(ISERROR(FIND('112'!$M$9,G1868,1)),"",IF((AND(FIND('112'!$M$9,G1868,1)&gt;=1,$B1868&gt;='112'!$N$8,$B1868&lt;='112'!$O$8,OR($L1868='112'!$I$6,$M1868='112'!$I$6))),"x",""))</f>
        <v/>
      </c>
      <c r="S1868" s="51" t="str">
        <f>IF(ISERROR(FIND('112'!$M$9,G1868,1)),"",IF((AND(LEFT(G1868,2)=LEFT('112'!$M$9,2),B1868&lt;'112'!$N$8,$L1868='112'!$I$6)),"x",""))</f>
        <v/>
      </c>
      <c r="T1868" s="51" t="str">
        <f>IF(ISERROR(FIND('112'!$M$9,G1868,1)),"",IF((AND(RIGHT(G1868,2)=RIGHT('112'!$M$9,2),B1868&lt;'112'!$N$8,$M1868='112'!$I$6)),"x",""))</f>
        <v/>
      </c>
      <c r="U1868" s="51" t="str">
        <f>IF(AND(L1868="154",'154'!$O$5&lt;=B1868,'154'!$P$5&gt;=B1868),"154",IF(AND(L1868="632",'632'!$L$5&lt;=B1868,'632'!$M$5&gt;=B1868),"632",IF(AND(L1868="642",'642'!$N$5&lt;=B1868,'642'!$O$5&gt;=B1868),"642",IF(AND(L1868="641",'641'!$N$5&lt;=B1868,'641'!$O$5&gt;=B1868),"641",""))))</f>
        <v/>
      </c>
      <c r="V1868" s="51" t="str">
        <f>IF(OR(TH!L1868=TH!$V$7,M1868=TH!$V$7),"x","")</f>
        <v/>
      </c>
      <c r="W1868" s="51" t="str">
        <f>IF(AND(B1868&gt;='IN-NX'!$P$3,B1868&lt;='IN-NX'!$Q$3,'IN-NX'!$D$7=D1868,OR(LEFT(L1868,2)="15",AND(LEFT(M1868,2)&lt;&gt;"15",LEFT(M1868,2)&lt;&gt;"33"))),"x","")</f>
        <v/>
      </c>
      <c r="X1868" s="51" t="str">
        <f>IF(AND(OR(LEFT(TH!L1868,2)="15",LEFT(TH!M1868,2)="15"),'152-CT'!$J$8=TH!F1868),"x","")</f>
        <v/>
      </c>
      <c r="Y1868" s="51" t="str">
        <f>IF(AND(OR(LEFT(TH!L1868,2)="15",LEFT(TH!M1868,2)="15"),TK!$E$7=TH!F1868),"x","")</f>
        <v/>
      </c>
      <c r="Z1868" s="51" t="str">
        <f>IF(AND(B1868&lt;=NKC!$N$8,B1868&gt;=NKC!$M$8),"x","")</f>
        <v/>
      </c>
      <c r="AA1868" s="803"/>
    </row>
    <row r="1869" spans="1:27" ht="15.75" customHeight="1">
      <c r="A1869" s="804" t="str">
        <f>IF(B1869&lt;&gt;"",IF(AND(B1869&gt;=_TM1,B1869&lt;=_TM2,OR(TH!L1869="1111",TH!M1869="1111")),TH!D1869,""),"")</f>
        <v/>
      </c>
      <c r="B1869" s="36">
        <f t="shared" si="128"/>
        <v>10</v>
      </c>
      <c r="C1869" s="189">
        <f t="shared" si="130"/>
        <v>42290</v>
      </c>
      <c r="D1869" s="37" t="s">
        <v>1288</v>
      </c>
      <c r="E1869" s="910">
        <v>42290</v>
      </c>
      <c r="F1869" s="902" t="s">
        <v>1185</v>
      </c>
      <c r="G1869" s="903" t="s">
        <v>1068</v>
      </c>
      <c r="H1869" s="888" t="s">
        <v>1287</v>
      </c>
      <c r="I1869" s="911">
        <v>15</v>
      </c>
      <c r="J1869" s="911">
        <v>75769.698143664253</v>
      </c>
      <c r="K1869" s="905">
        <f t="shared" si="131"/>
        <v>1136545</v>
      </c>
      <c r="L1869" s="906" t="s">
        <v>417</v>
      </c>
      <c r="M1869" s="906" t="s">
        <v>160</v>
      </c>
      <c r="N1869" s="51" t="str">
        <f>IF(AND('331-CT'!$E$7=TH!H1869,OR(L1869="331",M1869="331")),"331",IF(AND(OR(L1869="131",M1869="131"),H1869='131-CT'!$E$7),"131",""))</f>
        <v/>
      </c>
      <c r="O1869" s="51" t="str">
        <f>IF(AND($B1869&gt;='111'!$N$11,$B1869&lt;='111'!$O$11,OR($L1869=$O$7,$M1869=$O$7)),"x","")</f>
        <v/>
      </c>
      <c r="P1869" s="51" t="str">
        <f>IF(AND($L1869=$O$7,$B1869&lt;'111'!$N$11),"x","")</f>
        <v/>
      </c>
      <c r="Q1869" s="51" t="str">
        <f>IF(AND($M1869=$O$7,$B1869&lt;'111'!$N$11),"x","")</f>
        <v/>
      </c>
      <c r="R1869" s="51" t="str">
        <f>IF(ISERROR(FIND('112'!$M$9,G1869,1)),"",IF((AND(FIND('112'!$M$9,G1869,1)&gt;=1,$B1869&gt;='112'!$N$8,$B1869&lt;='112'!$O$8,OR($L1869='112'!$I$6,$M1869='112'!$I$6))),"x",""))</f>
        <v/>
      </c>
      <c r="S1869" s="51" t="str">
        <f>IF(ISERROR(FIND('112'!$M$9,G1869,1)),"",IF((AND(LEFT(G1869,2)=LEFT('112'!$M$9,2),B1869&lt;'112'!$N$8,$L1869='112'!$I$6)),"x",""))</f>
        <v/>
      </c>
      <c r="T1869" s="51" t="str">
        <f>IF(ISERROR(FIND('112'!$M$9,G1869,1)),"",IF((AND(RIGHT(G1869,2)=RIGHT('112'!$M$9,2),B1869&lt;'112'!$N$8,$M1869='112'!$I$6)),"x",""))</f>
        <v/>
      </c>
      <c r="U1869" s="51" t="str">
        <f>IF(AND(L1869="154",'154'!$O$5&lt;=B1869,'154'!$P$5&gt;=B1869),"154",IF(AND(L1869="632",'632'!$L$5&lt;=B1869,'632'!$M$5&gt;=B1869),"632",IF(AND(L1869="642",'642'!$N$5&lt;=B1869,'642'!$O$5&gt;=B1869),"642",IF(AND(L1869="641",'641'!$N$5&lt;=B1869,'641'!$O$5&gt;=B1869),"641",""))))</f>
        <v/>
      </c>
      <c r="V1869" s="51" t="str">
        <f>IF(OR(TH!L1869=TH!$V$7,M1869=TH!$V$7),"x","")</f>
        <v/>
      </c>
      <c r="W1869" s="51" t="str">
        <f>IF(AND(B1869&gt;='IN-NX'!$P$3,B1869&lt;='IN-NX'!$Q$3,'IN-NX'!$D$7=D1869,OR(LEFT(L1869,2)="15",AND(LEFT(M1869,2)&lt;&gt;"15",LEFT(M1869,2)&lt;&gt;"33"))),"x","")</f>
        <v/>
      </c>
      <c r="X1869" s="51" t="str">
        <f>IF(AND(OR(LEFT(TH!L1869,2)="15",LEFT(TH!M1869,2)="15"),'152-CT'!$J$8=TH!F1869),"x","")</f>
        <v/>
      </c>
      <c r="Y1869" s="51" t="str">
        <f>IF(AND(OR(LEFT(TH!L1869,2)="15",LEFT(TH!M1869,2)="15"),TK!$E$7=TH!F1869),"x","")</f>
        <v/>
      </c>
      <c r="Z1869" s="51" t="str">
        <f>IF(AND(B1869&lt;=NKC!$N$8,B1869&gt;=NKC!$M$8),"x","")</f>
        <v/>
      </c>
      <c r="AA1869" s="803"/>
    </row>
    <row r="1870" spans="1:27" ht="15.75" customHeight="1">
      <c r="A1870" s="804" t="str">
        <f>IF(B1870&lt;&gt;"",IF(AND(B1870&gt;=_TM1,B1870&lt;=_TM2,OR(TH!L1870="1111",TH!M1870="1111")),TH!D1870,""),"")</f>
        <v/>
      </c>
      <c r="B1870" s="36">
        <f t="shared" si="128"/>
        <v>10</v>
      </c>
      <c r="C1870" s="189">
        <f t="shared" si="130"/>
        <v>42290</v>
      </c>
      <c r="D1870" s="37" t="s">
        <v>1288</v>
      </c>
      <c r="E1870" s="910">
        <v>42290</v>
      </c>
      <c r="F1870" s="902" t="s">
        <v>1214</v>
      </c>
      <c r="G1870" s="903" t="s">
        <v>1068</v>
      </c>
      <c r="H1870" s="888" t="s">
        <v>1287</v>
      </c>
      <c r="I1870" s="911">
        <v>12</v>
      </c>
      <c r="J1870" s="911">
        <v>317209.69814366422</v>
      </c>
      <c r="K1870" s="905">
        <f t="shared" si="131"/>
        <v>3806516</v>
      </c>
      <c r="L1870" s="906" t="s">
        <v>417</v>
      </c>
      <c r="M1870" s="906" t="s">
        <v>160</v>
      </c>
      <c r="N1870" s="51" t="str">
        <f>IF(AND('331-CT'!$E$7=TH!H1870,OR(L1870="331",M1870="331")),"331",IF(AND(OR(L1870="131",M1870="131"),H1870='131-CT'!$E$7),"131",""))</f>
        <v/>
      </c>
      <c r="O1870" s="51" t="str">
        <f>IF(AND($B1870&gt;='111'!$N$11,$B1870&lt;='111'!$O$11,OR($L1870=$O$7,$M1870=$O$7)),"x","")</f>
        <v/>
      </c>
      <c r="P1870" s="51" t="str">
        <f>IF(AND($L1870=$O$7,$B1870&lt;'111'!$N$11),"x","")</f>
        <v/>
      </c>
      <c r="Q1870" s="51" t="str">
        <f>IF(AND($M1870=$O$7,$B1870&lt;'111'!$N$11),"x","")</f>
        <v/>
      </c>
      <c r="R1870" s="51" t="str">
        <f>IF(ISERROR(FIND('112'!$M$9,G1870,1)),"",IF((AND(FIND('112'!$M$9,G1870,1)&gt;=1,$B1870&gt;='112'!$N$8,$B1870&lt;='112'!$O$8,OR($L1870='112'!$I$6,$M1870='112'!$I$6))),"x",""))</f>
        <v/>
      </c>
      <c r="S1870" s="51" t="str">
        <f>IF(ISERROR(FIND('112'!$M$9,G1870,1)),"",IF((AND(LEFT(G1870,2)=LEFT('112'!$M$9,2),B1870&lt;'112'!$N$8,$L1870='112'!$I$6)),"x",""))</f>
        <v/>
      </c>
      <c r="T1870" s="51" t="str">
        <f>IF(ISERROR(FIND('112'!$M$9,G1870,1)),"",IF((AND(RIGHT(G1870,2)=RIGHT('112'!$M$9,2),B1870&lt;'112'!$N$8,$M1870='112'!$I$6)),"x",""))</f>
        <v/>
      </c>
      <c r="U1870" s="51" t="str">
        <f>IF(AND(L1870="154",'154'!$O$5&lt;=B1870,'154'!$P$5&gt;=B1870),"154",IF(AND(L1870="632",'632'!$L$5&lt;=B1870,'632'!$M$5&gt;=B1870),"632",IF(AND(L1870="642",'642'!$N$5&lt;=B1870,'642'!$O$5&gt;=B1870),"642",IF(AND(L1870="641",'641'!$N$5&lt;=B1870,'641'!$O$5&gt;=B1870),"641",""))))</f>
        <v/>
      </c>
      <c r="V1870" s="51" t="str">
        <f>IF(OR(TH!L1870=TH!$V$7,M1870=TH!$V$7),"x","")</f>
        <v/>
      </c>
      <c r="W1870" s="51" t="str">
        <f>IF(AND(B1870&gt;='IN-NX'!$P$3,B1870&lt;='IN-NX'!$Q$3,'IN-NX'!$D$7=D1870,OR(LEFT(L1870,2)="15",AND(LEFT(M1870,2)&lt;&gt;"15",LEFT(M1870,2)&lt;&gt;"33"))),"x","")</f>
        <v/>
      </c>
      <c r="X1870" s="51" t="str">
        <f>IF(AND(OR(LEFT(TH!L1870,2)="15",LEFT(TH!M1870,2)="15"),'152-CT'!$J$8=TH!F1870),"x","")</f>
        <v/>
      </c>
      <c r="Y1870" s="51" t="str">
        <f>IF(AND(OR(LEFT(TH!L1870,2)="15",LEFT(TH!M1870,2)="15"),TK!$E$7=TH!F1870),"x","")</f>
        <v/>
      </c>
      <c r="Z1870" s="51" t="str">
        <f>IF(AND(B1870&lt;=NKC!$N$8,B1870&gt;=NKC!$M$8),"x","")</f>
        <v/>
      </c>
      <c r="AA1870" s="803"/>
    </row>
    <row r="1871" spans="1:27" ht="15.75" customHeight="1">
      <c r="A1871" s="804" t="str">
        <f>IF(B1871&lt;&gt;"",IF(AND(B1871&gt;=_TM1,B1871&lt;=_TM2,OR(TH!L1871="1111",TH!M1871="1111")),TH!D1871,""),"")</f>
        <v/>
      </c>
      <c r="B1871" s="36">
        <f t="shared" si="128"/>
        <v>10</v>
      </c>
      <c r="C1871" s="189">
        <f t="shared" si="130"/>
        <v>42290</v>
      </c>
      <c r="D1871" s="37" t="s">
        <v>1288</v>
      </c>
      <c r="E1871" s="910">
        <v>42290</v>
      </c>
      <c r="F1871" s="902" t="s">
        <v>1215</v>
      </c>
      <c r="G1871" s="903" t="s">
        <v>1068</v>
      </c>
      <c r="H1871" s="888" t="s">
        <v>1287</v>
      </c>
      <c r="I1871" s="911">
        <v>17</v>
      </c>
      <c r="J1871" s="911">
        <v>171644.52167307603</v>
      </c>
      <c r="K1871" s="905">
        <f t="shared" si="131"/>
        <v>2917957</v>
      </c>
      <c r="L1871" s="906" t="s">
        <v>417</v>
      </c>
      <c r="M1871" s="906" t="s">
        <v>160</v>
      </c>
      <c r="N1871" s="51" t="str">
        <f>IF(AND('331-CT'!$E$7=TH!H1871,OR(L1871="331",M1871="331")),"331",IF(AND(OR(L1871="131",M1871="131"),H1871='131-CT'!$E$7),"131",""))</f>
        <v/>
      </c>
      <c r="O1871" s="51" t="str">
        <f>IF(AND($B1871&gt;='111'!$N$11,$B1871&lt;='111'!$O$11,OR($L1871=$O$7,$M1871=$O$7)),"x","")</f>
        <v/>
      </c>
      <c r="P1871" s="51" t="str">
        <f>IF(AND($L1871=$O$7,$B1871&lt;'111'!$N$11),"x","")</f>
        <v/>
      </c>
      <c r="Q1871" s="51" t="str">
        <f>IF(AND($M1871=$O$7,$B1871&lt;'111'!$N$11),"x","")</f>
        <v/>
      </c>
      <c r="R1871" s="51" t="str">
        <f>IF(ISERROR(FIND('112'!$M$9,G1871,1)),"",IF((AND(FIND('112'!$M$9,G1871,1)&gt;=1,$B1871&gt;='112'!$N$8,$B1871&lt;='112'!$O$8,OR($L1871='112'!$I$6,$M1871='112'!$I$6))),"x",""))</f>
        <v/>
      </c>
      <c r="S1871" s="51" t="str">
        <f>IF(ISERROR(FIND('112'!$M$9,G1871,1)),"",IF((AND(LEFT(G1871,2)=LEFT('112'!$M$9,2),B1871&lt;'112'!$N$8,$L1871='112'!$I$6)),"x",""))</f>
        <v/>
      </c>
      <c r="T1871" s="51" t="str">
        <f>IF(ISERROR(FIND('112'!$M$9,G1871,1)),"",IF((AND(RIGHT(G1871,2)=RIGHT('112'!$M$9,2),B1871&lt;'112'!$N$8,$M1871='112'!$I$6)),"x",""))</f>
        <v/>
      </c>
      <c r="U1871" s="51" t="str">
        <f>IF(AND(L1871="154",'154'!$O$5&lt;=B1871,'154'!$P$5&gt;=B1871),"154",IF(AND(L1871="632",'632'!$L$5&lt;=B1871,'632'!$M$5&gt;=B1871),"632",IF(AND(L1871="642",'642'!$N$5&lt;=B1871,'642'!$O$5&gt;=B1871),"642",IF(AND(L1871="641",'641'!$N$5&lt;=B1871,'641'!$O$5&gt;=B1871),"641",""))))</f>
        <v/>
      </c>
      <c r="V1871" s="51" t="str">
        <f>IF(OR(TH!L1871=TH!$V$7,M1871=TH!$V$7),"x","")</f>
        <v/>
      </c>
      <c r="W1871" s="51" t="str">
        <f>IF(AND(B1871&gt;='IN-NX'!$P$3,B1871&lt;='IN-NX'!$Q$3,'IN-NX'!$D$7=D1871,OR(LEFT(L1871,2)="15",AND(LEFT(M1871,2)&lt;&gt;"15",LEFT(M1871,2)&lt;&gt;"33"))),"x","")</f>
        <v/>
      </c>
      <c r="X1871" s="51" t="str">
        <f>IF(AND(OR(LEFT(TH!L1871,2)="15",LEFT(TH!M1871,2)="15"),'152-CT'!$J$8=TH!F1871),"x","")</f>
        <v/>
      </c>
      <c r="Y1871" s="51" t="str">
        <f>IF(AND(OR(LEFT(TH!L1871,2)="15",LEFT(TH!M1871,2)="15"),TK!$E$7=TH!F1871),"x","")</f>
        <v/>
      </c>
      <c r="Z1871" s="51" t="str">
        <f>IF(AND(B1871&lt;=NKC!$N$8,B1871&gt;=NKC!$M$8),"x","")</f>
        <v/>
      </c>
      <c r="AA1871" s="803"/>
    </row>
    <row r="1872" spans="1:27" ht="15.75" customHeight="1">
      <c r="A1872" s="804" t="str">
        <f>IF(B1872&lt;&gt;"",IF(AND(B1872&gt;=_TM1,B1872&lt;=_TM2,OR(TH!L1872="1111",TH!M1872="1111")),TH!D1872,""),"")</f>
        <v/>
      </c>
      <c r="B1872" s="36">
        <f t="shared" si="128"/>
        <v>10</v>
      </c>
      <c r="C1872" s="189">
        <f t="shared" si="130"/>
        <v>42290</v>
      </c>
      <c r="D1872" s="37" t="s">
        <v>1288</v>
      </c>
      <c r="E1872" s="910">
        <v>42290</v>
      </c>
      <c r="F1872" s="902" t="s">
        <v>1216</v>
      </c>
      <c r="G1872" s="903" t="s">
        <v>1068</v>
      </c>
      <c r="H1872" s="888" t="s">
        <v>1287</v>
      </c>
      <c r="I1872" s="911">
        <v>17</v>
      </c>
      <c r="J1872" s="911">
        <v>36788.051084840721</v>
      </c>
      <c r="K1872" s="905">
        <f t="shared" si="131"/>
        <v>625397</v>
      </c>
      <c r="L1872" s="906" t="s">
        <v>417</v>
      </c>
      <c r="M1872" s="906" t="s">
        <v>160</v>
      </c>
      <c r="N1872" s="51" t="str">
        <f>IF(AND('331-CT'!$E$7=TH!H1872,OR(L1872="331",M1872="331")),"331",IF(AND(OR(L1872="131",M1872="131"),H1872='131-CT'!$E$7),"131",""))</f>
        <v/>
      </c>
      <c r="O1872" s="51" t="str">
        <f>IF(AND($B1872&gt;='111'!$N$11,$B1872&lt;='111'!$O$11,OR($L1872=$O$7,$M1872=$O$7)),"x","")</f>
        <v/>
      </c>
      <c r="P1872" s="51" t="str">
        <f>IF(AND($L1872=$O$7,$B1872&lt;'111'!$N$11),"x","")</f>
        <v/>
      </c>
      <c r="Q1872" s="51" t="str">
        <f>IF(AND($M1872=$O$7,$B1872&lt;'111'!$N$11),"x","")</f>
        <v/>
      </c>
      <c r="R1872" s="51" t="str">
        <f>IF(ISERROR(FIND('112'!$M$9,G1872,1)),"",IF((AND(FIND('112'!$M$9,G1872,1)&gt;=1,$B1872&gt;='112'!$N$8,$B1872&lt;='112'!$O$8,OR($L1872='112'!$I$6,$M1872='112'!$I$6))),"x",""))</f>
        <v/>
      </c>
      <c r="S1872" s="51" t="str">
        <f>IF(ISERROR(FIND('112'!$M$9,G1872,1)),"",IF((AND(LEFT(G1872,2)=LEFT('112'!$M$9,2),B1872&lt;'112'!$N$8,$L1872='112'!$I$6)),"x",""))</f>
        <v/>
      </c>
      <c r="T1872" s="51" t="str">
        <f>IF(ISERROR(FIND('112'!$M$9,G1872,1)),"",IF((AND(RIGHT(G1872,2)=RIGHT('112'!$M$9,2),B1872&lt;'112'!$N$8,$M1872='112'!$I$6)),"x",""))</f>
        <v/>
      </c>
      <c r="U1872" s="51" t="str">
        <f>IF(AND(L1872="154",'154'!$O$5&lt;=B1872,'154'!$P$5&gt;=B1872),"154",IF(AND(L1872="632",'632'!$L$5&lt;=B1872,'632'!$M$5&gt;=B1872),"632",IF(AND(L1872="642",'642'!$N$5&lt;=B1872,'642'!$O$5&gt;=B1872),"642",IF(AND(L1872="641",'641'!$N$5&lt;=B1872,'641'!$O$5&gt;=B1872),"641",""))))</f>
        <v/>
      </c>
      <c r="V1872" s="51" t="str">
        <f>IF(OR(TH!L1872=TH!$V$7,M1872=TH!$V$7),"x","")</f>
        <v/>
      </c>
      <c r="W1872" s="51" t="str">
        <f>IF(AND(B1872&gt;='IN-NX'!$P$3,B1872&lt;='IN-NX'!$Q$3,'IN-NX'!$D$7=D1872,OR(LEFT(L1872,2)="15",AND(LEFT(M1872,2)&lt;&gt;"15",LEFT(M1872,2)&lt;&gt;"33"))),"x","")</f>
        <v/>
      </c>
      <c r="X1872" s="51" t="str">
        <f>IF(AND(OR(LEFT(TH!L1872,2)="15",LEFT(TH!M1872,2)="15"),'152-CT'!$J$8=TH!F1872),"x","")</f>
        <v/>
      </c>
      <c r="Y1872" s="51" t="str">
        <f>IF(AND(OR(LEFT(TH!L1872,2)="15",LEFT(TH!M1872,2)="15"),TK!$E$7=TH!F1872),"x","")</f>
        <v/>
      </c>
      <c r="Z1872" s="51" t="str">
        <f>IF(AND(B1872&lt;=NKC!$N$8,B1872&gt;=NKC!$M$8),"x","")</f>
        <v/>
      </c>
      <c r="AA1872" s="803"/>
    </row>
    <row r="1873" spans="1:27" ht="15.75" customHeight="1">
      <c r="A1873" s="804" t="str">
        <f>IF(B1873&lt;&gt;"",IF(AND(B1873&gt;=_TM1,B1873&lt;=_TM2,OR(TH!L1873="1111",TH!M1873="1111")),TH!D1873,""),"")</f>
        <v/>
      </c>
      <c r="B1873" s="36">
        <f t="shared" si="128"/>
        <v>10</v>
      </c>
      <c r="C1873" s="189">
        <f t="shared" si="130"/>
        <v>42292</v>
      </c>
      <c r="D1873" s="37" t="s">
        <v>1288</v>
      </c>
      <c r="E1873" s="910">
        <v>42292</v>
      </c>
      <c r="F1873" s="902" t="s">
        <v>621</v>
      </c>
      <c r="G1873" s="903" t="s">
        <v>1071</v>
      </c>
      <c r="H1873" s="888" t="s">
        <v>1287</v>
      </c>
      <c r="I1873" s="911">
        <v>177</v>
      </c>
      <c r="J1873" s="911">
        <v>15804.681194511702</v>
      </c>
      <c r="K1873" s="905">
        <f t="shared" si="131"/>
        <v>2797429</v>
      </c>
      <c r="L1873" s="906" t="s">
        <v>417</v>
      </c>
      <c r="M1873" s="906" t="s">
        <v>160</v>
      </c>
      <c r="N1873" s="51" t="str">
        <f>IF(AND('331-CT'!$E$7=TH!H1873,OR(L1873="331",M1873="331")),"331",IF(AND(OR(L1873="131",M1873="131"),H1873='131-CT'!$E$7),"131",""))</f>
        <v/>
      </c>
      <c r="O1873" s="51" t="str">
        <f>IF(AND($B1873&gt;='111'!$N$11,$B1873&lt;='111'!$O$11,OR($L1873=$O$7,$M1873=$O$7)),"x","")</f>
        <v/>
      </c>
      <c r="P1873" s="51" t="str">
        <f>IF(AND($L1873=$O$7,$B1873&lt;'111'!$N$11),"x","")</f>
        <v/>
      </c>
      <c r="Q1873" s="51" t="str">
        <f>IF(AND($M1873=$O$7,$B1873&lt;'111'!$N$11),"x","")</f>
        <v/>
      </c>
      <c r="R1873" s="51" t="str">
        <f>IF(ISERROR(FIND('112'!$M$9,G1873,1)),"",IF((AND(FIND('112'!$M$9,G1873,1)&gt;=1,$B1873&gt;='112'!$N$8,$B1873&lt;='112'!$O$8,OR($L1873='112'!$I$6,$M1873='112'!$I$6))),"x",""))</f>
        <v/>
      </c>
      <c r="S1873" s="51" t="str">
        <f>IF(ISERROR(FIND('112'!$M$9,G1873,1)),"",IF((AND(LEFT(G1873,2)=LEFT('112'!$M$9,2),B1873&lt;'112'!$N$8,$L1873='112'!$I$6)),"x",""))</f>
        <v/>
      </c>
      <c r="T1873" s="51" t="str">
        <f>IF(ISERROR(FIND('112'!$M$9,G1873,1)),"",IF((AND(RIGHT(G1873,2)=RIGHT('112'!$M$9,2),B1873&lt;'112'!$N$8,$M1873='112'!$I$6)),"x",""))</f>
        <v/>
      </c>
      <c r="U1873" s="51" t="str">
        <f>IF(AND(L1873="154",'154'!$O$5&lt;=B1873,'154'!$P$5&gt;=B1873),"154",IF(AND(L1873="632",'632'!$L$5&lt;=B1873,'632'!$M$5&gt;=B1873),"632",IF(AND(L1873="642",'642'!$N$5&lt;=B1873,'642'!$O$5&gt;=B1873),"642",IF(AND(L1873="641",'641'!$N$5&lt;=B1873,'641'!$O$5&gt;=B1873),"641",""))))</f>
        <v/>
      </c>
      <c r="V1873" s="51" t="str">
        <f>IF(OR(TH!L1873=TH!$V$7,M1873=TH!$V$7),"x","")</f>
        <v/>
      </c>
      <c r="W1873" s="51" t="str">
        <f>IF(AND(B1873&gt;='IN-NX'!$P$3,B1873&lt;='IN-NX'!$Q$3,'IN-NX'!$D$7=D1873,OR(LEFT(L1873,2)="15",AND(LEFT(M1873,2)&lt;&gt;"15",LEFT(M1873,2)&lt;&gt;"33"))),"x","")</f>
        <v/>
      </c>
      <c r="X1873" s="51" t="str">
        <f>IF(AND(OR(LEFT(TH!L1873,2)="15",LEFT(TH!M1873,2)="15"),'152-CT'!$J$8=TH!F1873),"x","")</f>
        <v/>
      </c>
      <c r="Y1873" s="51" t="str">
        <f>IF(AND(OR(LEFT(TH!L1873,2)="15",LEFT(TH!M1873,2)="15"),TK!$E$7=TH!F1873),"x","")</f>
        <v/>
      </c>
      <c r="Z1873" s="51" t="str">
        <f>IF(AND(B1873&lt;=NKC!$N$8,B1873&gt;=NKC!$M$8),"x","")</f>
        <v/>
      </c>
      <c r="AA1873" s="803"/>
    </row>
    <row r="1874" spans="1:27" ht="15.75" customHeight="1">
      <c r="A1874" s="804" t="str">
        <f>IF(B1874&lt;&gt;"",IF(AND(B1874&gt;=_TM1,B1874&lt;=_TM2,OR(TH!L1874="1111",TH!M1874="1111")),TH!D1874,""),"")</f>
        <v/>
      </c>
      <c r="B1874" s="36">
        <f t="shared" si="128"/>
        <v>10</v>
      </c>
      <c r="C1874" s="189">
        <f t="shared" si="130"/>
        <v>42301</v>
      </c>
      <c r="D1874" s="37" t="s">
        <v>1288</v>
      </c>
      <c r="E1874" s="910">
        <v>42301</v>
      </c>
      <c r="F1874" s="902" t="s">
        <v>1254</v>
      </c>
      <c r="G1874" s="903" t="s">
        <v>1078</v>
      </c>
      <c r="H1874" s="888" t="s">
        <v>1287</v>
      </c>
      <c r="I1874" s="911">
        <v>200</v>
      </c>
      <c r="J1874" s="911">
        <v>17938.698143664245</v>
      </c>
      <c r="K1874" s="905">
        <f t="shared" si="131"/>
        <v>3587740</v>
      </c>
      <c r="L1874" s="906" t="s">
        <v>417</v>
      </c>
      <c r="M1874" s="906" t="s">
        <v>160</v>
      </c>
      <c r="N1874" s="51" t="str">
        <f>IF(AND('331-CT'!$E$7=TH!H1874,OR(L1874="331",M1874="331")),"331",IF(AND(OR(L1874="131",M1874="131"),H1874='131-CT'!$E$7),"131",""))</f>
        <v/>
      </c>
      <c r="O1874" s="51" t="str">
        <f>IF(AND($B1874&gt;='111'!$N$11,$B1874&lt;='111'!$O$11,OR($L1874=$O$7,$M1874=$O$7)),"x","")</f>
        <v/>
      </c>
      <c r="P1874" s="51" t="str">
        <f>IF(AND($L1874=$O$7,$B1874&lt;'111'!$N$11),"x","")</f>
        <v/>
      </c>
      <c r="Q1874" s="51" t="str">
        <f>IF(AND($M1874=$O$7,$B1874&lt;'111'!$N$11),"x","")</f>
        <v/>
      </c>
      <c r="R1874" s="51" t="str">
        <f>IF(ISERROR(FIND('112'!$M$9,G1874,1)),"",IF((AND(FIND('112'!$M$9,G1874,1)&gt;=1,$B1874&gt;='112'!$N$8,$B1874&lt;='112'!$O$8,OR($L1874='112'!$I$6,$M1874='112'!$I$6))),"x",""))</f>
        <v/>
      </c>
      <c r="S1874" s="51" t="str">
        <f>IF(ISERROR(FIND('112'!$M$9,G1874,1)),"",IF((AND(LEFT(G1874,2)=LEFT('112'!$M$9,2),B1874&lt;'112'!$N$8,$L1874='112'!$I$6)),"x",""))</f>
        <v/>
      </c>
      <c r="T1874" s="51" t="str">
        <f>IF(ISERROR(FIND('112'!$M$9,G1874,1)),"",IF((AND(RIGHT(G1874,2)=RIGHT('112'!$M$9,2),B1874&lt;'112'!$N$8,$M1874='112'!$I$6)),"x",""))</f>
        <v/>
      </c>
      <c r="U1874" s="51" t="str">
        <f>IF(AND(L1874="154",'154'!$O$5&lt;=B1874,'154'!$P$5&gt;=B1874),"154",IF(AND(L1874="632",'632'!$L$5&lt;=B1874,'632'!$M$5&gt;=B1874),"632",IF(AND(L1874="642",'642'!$N$5&lt;=B1874,'642'!$O$5&gt;=B1874),"642",IF(AND(L1874="641",'641'!$N$5&lt;=B1874,'641'!$O$5&gt;=B1874),"641",""))))</f>
        <v/>
      </c>
      <c r="V1874" s="51" t="str">
        <f>IF(OR(TH!L1874=TH!$V$7,M1874=TH!$V$7),"x","")</f>
        <v/>
      </c>
      <c r="W1874" s="51" t="str">
        <f>IF(AND(B1874&gt;='IN-NX'!$P$3,B1874&lt;='IN-NX'!$Q$3,'IN-NX'!$D$7=D1874,OR(LEFT(L1874,2)="15",AND(LEFT(M1874,2)&lt;&gt;"15",LEFT(M1874,2)&lt;&gt;"33"))),"x","")</f>
        <v/>
      </c>
      <c r="X1874" s="51" t="str">
        <f>IF(AND(OR(LEFT(TH!L1874,2)="15",LEFT(TH!M1874,2)="15"),'152-CT'!$J$8=TH!F1874),"x","")</f>
        <v/>
      </c>
      <c r="Y1874" s="51" t="str">
        <f>IF(AND(OR(LEFT(TH!L1874,2)="15",LEFT(TH!M1874,2)="15"),TK!$E$7=TH!F1874),"x","")</f>
        <v/>
      </c>
      <c r="Z1874" s="51" t="str">
        <f>IF(AND(B1874&lt;=NKC!$N$8,B1874&gt;=NKC!$M$8),"x","")</f>
        <v/>
      </c>
      <c r="AA1874" s="803"/>
    </row>
    <row r="1875" spans="1:27" ht="15.75" customHeight="1">
      <c r="A1875" s="804" t="str">
        <f>IF(B1875&lt;&gt;"",IF(AND(B1875&gt;=_TM1,B1875&lt;=_TM2,OR(TH!L1875="1111",TH!M1875="1111")),TH!D1875,""),"")</f>
        <v/>
      </c>
      <c r="B1875" s="36">
        <f t="shared" ref="B1875:B1896" si="132">IF(C1875&lt;&gt;"",MONTH(C1875),"")</f>
        <v>10</v>
      </c>
      <c r="C1875" s="189">
        <f t="shared" si="130"/>
        <v>42308</v>
      </c>
      <c r="D1875" s="37" t="s">
        <v>1288</v>
      </c>
      <c r="E1875" s="910">
        <v>42308</v>
      </c>
      <c r="F1875" s="902" t="s">
        <v>1209</v>
      </c>
      <c r="G1875" s="912" t="s">
        <v>556</v>
      </c>
      <c r="H1875" s="888" t="s">
        <v>1287</v>
      </c>
      <c r="I1875" s="911">
        <v>1000</v>
      </c>
      <c r="J1875" s="911">
        <v>10238.198143664245</v>
      </c>
      <c r="K1875" s="905">
        <f t="shared" si="131"/>
        <v>10238198</v>
      </c>
      <c r="L1875" s="906" t="s">
        <v>417</v>
      </c>
      <c r="M1875" s="906" t="s">
        <v>160</v>
      </c>
      <c r="N1875" s="51" t="str">
        <f>IF(AND('331-CT'!$E$7=TH!H1875,OR(L1875="331",M1875="331")),"331",IF(AND(OR(L1875="131",M1875="131"),H1875='131-CT'!$E$7),"131",""))</f>
        <v/>
      </c>
      <c r="O1875" s="51" t="str">
        <f>IF(AND($B1875&gt;='111'!$N$11,$B1875&lt;='111'!$O$11,OR($L1875=$O$7,$M1875=$O$7)),"x","")</f>
        <v/>
      </c>
      <c r="P1875" s="51" t="str">
        <f>IF(AND($L1875=$O$7,$B1875&lt;'111'!$N$11),"x","")</f>
        <v/>
      </c>
      <c r="Q1875" s="51" t="str">
        <f>IF(AND($M1875=$O$7,$B1875&lt;'111'!$N$11),"x","")</f>
        <v/>
      </c>
      <c r="R1875" s="51" t="str">
        <f>IF(ISERROR(FIND('112'!$M$9,G1875,1)),"",IF((AND(FIND('112'!$M$9,G1875,1)&gt;=1,$B1875&gt;='112'!$N$8,$B1875&lt;='112'!$O$8,OR($L1875='112'!$I$6,$M1875='112'!$I$6))),"x",""))</f>
        <v/>
      </c>
      <c r="S1875" s="51" t="str">
        <f>IF(ISERROR(FIND('112'!$M$9,G1875,1)),"",IF((AND(LEFT(G1875,2)=LEFT('112'!$M$9,2),B1875&lt;'112'!$N$8,$L1875='112'!$I$6)),"x",""))</f>
        <v/>
      </c>
      <c r="T1875" s="51" t="str">
        <f>IF(ISERROR(FIND('112'!$M$9,G1875,1)),"",IF((AND(RIGHT(G1875,2)=RIGHT('112'!$M$9,2),B1875&lt;'112'!$N$8,$M1875='112'!$I$6)),"x",""))</f>
        <v/>
      </c>
      <c r="U1875" s="51" t="str">
        <f>IF(AND(L1875="154",'154'!$O$5&lt;=B1875,'154'!$P$5&gt;=B1875),"154",IF(AND(L1875="632",'632'!$L$5&lt;=B1875,'632'!$M$5&gt;=B1875),"632",IF(AND(L1875="642",'642'!$N$5&lt;=B1875,'642'!$O$5&gt;=B1875),"642",IF(AND(L1875="641",'641'!$N$5&lt;=B1875,'641'!$O$5&gt;=B1875),"641",""))))</f>
        <v/>
      </c>
      <c r="V1875" s="51" t="str">
        <f>IF(OR(TH!L1875=TH!$V$7,M1875=TH!$V$7),"x","")</f>
        <v/>
      </c>
      <c r="W1875" s="51" t="str">
        <f>IF(AND(B1875&gt;='IN-NX'!$P$3,B1875&lt;='IN-NX'!$Q$3,'IN-NX'!$D$7=D1875,OR(LEFT(L1875,2)="15",AND(LEFT(M1875,2)&lt;&gt;"15",LEFT(M1875,2)&lt;&gt;"33"))),"x","")</f>
        <v/>
      </c>
      <c r="X1875" s="51" t="str">
        <f>IF(AND(OR(LEFT(TH!L1875,2)="15",LEFT(TH!M1875,2)="15"),'152-CT'!$J$8=TH!F1875),"x","")</f>
        <v/>
      </c>
      <c r="Y1875" s="51" t="str">
        <f>IF(AND(OR(LEFT(TH!L1875,2)="15",LEFT(TH!M1875,2)="15"),TK!$E$7=TH!F1875),"x","")</f>
        <v/>
      </c>
      <c r="Z1875" s="51" t="str">
        <f>IF(AND(B1875&lt;=NKC!$N$8,B1875&gt;=NKC!$M$8),"x","")</f>
        <v/>
      </c>
      <c r="AA1875" s="803"/>
    </row>
    <row r="1876" spans="1:27" ht="15.75" customHeight="1">
      <c r="A1876" s="804" t="str">
        <f>IF(B1876&lt;&gt;"",IF(AND(B1876&gt;=_TM1,B1876&lt;=_TM2,OR(TH!L1876="1111",TH!M1876="1111")),TH!D1876,""),"")</f>
        <v/>
      </c>
      <c r="B1876" s="36">
        <f t="shared" si="132"/>
        <v>11</v>
      </c>
      <c r="C1876" s="189">
        <f t="shared" si="130"/>
        <v>42313</v>
      </c>
      <c r="D1876" s="37" t="s">
        <v>1288</v>
      </c>
      <c r="E1876" s="910">
        <v>42313</v>
      </c>
      <c r="F1876" s="902" t="s">
        <v>1083</v>
      </c>
      <c r="G1876" s="903" t="s">
        <v>1084</v>
      </c>
      <c r="H1876" s="888" t="s">
        <v>1287</v>
      </c>
      <c r="I1876" s="911">
        <v>68</v>
      </c>
      <c r="J1876" s="911">
        <v>12025.698143664245</v>
      </c>
      <c r="K1876" s="905">
        <f t="shared" si="131"/>
        <v>817747</v>
      </c>
      <c r="L1876" s="906" t="s">
        <v>417</v>
      </c>
      <c r="M1876" s="906" t="s">
        <v>160</v>
      </c>
      <c r="N1876" s="51" t="str">
        <f>IF(AND('331-CT'!$E$7=TH!H1876,OR(L1876="331",M1876="331")),"331",IF(AND(OR(L1876="131",M1876="131"),H1876='131-CT'!$E$7),"131",""))</f>
        <v/>
      </c>
      <c r="O1876" s="51" t="str">
        <f>IF(AND($B1876&gt;='111'!$N$11,$B1876&lt;='111'!$O$11,OR($L1876=$O$7,$M1876=$O$7)),"x","")</f>
        <v/>
      </c>
      <c r="P1876" s="51" t="str">
        <f>IF(AND($L1876=$O$7,$B1876&lt;'111'!$N$11),"x","")</f>
        <v/>
      </c>
      <c r="Q1876" s="51" t="str">
        <f>IF(AND($M1876=$O$7,$B1876&lt;'111'!$N$11),"x","")</f>
        <v/>
      </c>
      <c r="R1876" s="51" t="str">
        <f>IF(ISERROR(FIND('112'!$M$9,G1876,1)),"",IF((AND(FIND('112'!$M$9,G1876,1)&gt;=1,$B1876&gt;='112'!$N$8,$B1876&lt;='112'!$O$8,OR($L1876='112'!$I$6,$M1876='112'!$I$6))),"x",""))</f>
        <v/>
      </c>
      <c r="S1876" s="51" t="str">
        <f>IF(ISERROR(FIND('112'!$M$9,G1876,1)),"",IF((AND(LEFT(G1876,2)=LEFT('112'!$M$9,2),B1876&lt;'112'!$N$8,$L1876='112'!$I$6)),"x",""))</f>
        <v/>
      </c>
      <c r="T1876" s="51" t="str">
        <f>IF(ISERROR(FIND('112'!$M$9,G1876,1)),"",IF((AND(RIGHT(G1876,2)=RIGHT('112'!$M$9,2),B1876&lt;'112'!$N$8,$M1876='112'!$I$6)),"x",""))</f>
        <v/>
      </c>
      <c r="U1876" s="51" t="str">
        <f>IF(AND(L1876="154",'154'!$O$5&lt;=B1876,'154'!$P$5&gt;=B1876),"154",IF(AND(L1876="632",'632'!$L$5&lt;=B1876,'632'!$M$5&gt;=B1876),"632",IF(AND(L1876="642",'642'!$N$5&lt;=B1876,'642'!$O$5&gt;=B1876),"642",IF(AND(L1876="641",'641'!$N$5&lt;=B1876,'641'!$O$5&gt;=B1876),"641",""))))</f>
        <v/>
      </c>
      <c r="V1876" s="51" t="str">
        <f>IF(OR(TH!L1876=TH!$V$7,M1876=TH!$V$7),"x","")</f>
        <v/>
      </c>
      <c r="W1876" s="51" t="str">
        <f>IF(AND(B1876&gt;='IN-NX'!$P$3,B1876&lt;='IN-NX'!$Q$3,'IN-NX'!$D$7=D1876,OR(LEFT(L1876,2)="15",AND(LEFT(M1876,2)&lt;&gt;"15",LEFT(M1876,2)&lt;&gt;"33"))),"x","")</f>
        <v/>
      </c>
      <c r="X1876" s="51" t="str">
        <f>IF(AND(OR(LEFT(TH!L1876,2)="15",LEFT(TH!M1876,2)="15"),'152-CT'!$J$8=TH!F1876),"x","")</f>
        <v/>
      </c>
      <c r="Y1876" s="51" t="str">
        <f>IF(AND(OR(LEFT(TH!L1876,2)="15",LEFT(TH!M1876,2)="15"),TK!$E$7=TH!F1876),"x","")</f>
        <v/>
      </c>
      <c r="Z1876" s="51" t="str">
        <f>IF(AND(B1876&lt;=NKC!$N$8,B1876&gt;=NKC!$M$8),"x","")</f>
        <v/>
      </c>
      <c r="AA1876" s="803"/>
    </row>
    <row r="1877" spans="1:27" ht="15.75" customHeight="1">
      <c r="A1877" s="804" t="str">
        <f>IF(B1877&lt;&gt;"",IF(AND(B1877&gt;=_TM1,B1877&lt;=_TM2,OR(TH!L1877="1111",TH!M1877="1111")),TH!D1877,""),"")</f>
        <v/>
      </c>
      <c r="B1877" s="36">
        <f t="shared" si="132"/>
        <v>11</v>
      </c>
      <c r="C1877" s="189">
        <f t="shared" si="130"/>
        <v>42314</v>
      </c>
      <c r="D1877" s="37" t="s">
        <v>1288</v>
      </c>
      <c r="E1877" s="910">
        <v>42314</v>
      </c>
      <c r="F1877" s="902" t="s">
        <v>1246</v>
      </c>
      <c r="G1877" s="908" t="s">
        <v>1086</v>
      </c>
      <c r="H1877" s="888" t="s">
        <v>1287</v>
      </c>
      <c r="I1877" s="911">
        <v>35</v>
      </c>
      <c r="J1877" s="911">
        <v>30715.698143664249</v>
      </c>
      <c r="K1877" s="905">
        <f t="shared" si="131"/>
        <v>1075049</v>
      </c>
      <c r="L1877" s="906" t="s">
        <v>417</v>
      </c>
      <c r="M1877" s="906" t="s">
        <v>160</v>
      </c>
      <c r="N1877" s="51" t="str">
        <f>IF(AND('331-CT'!$E$7=TH!H1877,OR(L1877="331",M1877="331")),"331",IF(AND(OR(L1877="131",M1877="131"),H1877='131-CT'!$E$7),"131",""))</f>
        <v/>
      </c>
      <c r="O1877" s="51" t="str">
        <f>IF(AND($B1877&gt;='111'!$N$11,$B1877&lt;='111'!$O$11,OR($L1877=$O$7,$M1877=$O$7)),"x","")</f>
        <v/>
      </c>
      <c r="P1877" s="51" t="str">
        <f>IF(AND($L1877=$O$7,$B1877&lt;'111'!$N$11),"x","")</f>
        <v/>
      </c>
      <c r="Q1877" s="51" t="str">
        <f>IF(AND($M1877=$O$7,$B1877&lt;'111'!$N$11),"x","")</f>
        <v/>
      </c>
      <c r="R1877" s="51" t="str">
        <f>IF(ISERROR(FIND('112'!$M$9,G1877,1)),"",IF((AND(FIND('112'!$M$9,G1877,1)&gt;=1,$B1877&gt;='112'!$N$8,$B1877&lt;='112'!$O$8,OR($L1877='112'!$I$6,$M1877='112'!$I$6))),"x",""))</f>
        <v/>
      </c>
      <c r="S1877" s="51" t="str">
        <f>IF(ISERROR(FIND('112'!$M$9,G1877,1)),"",IF((AND(LEFT(G1877,2)=LEFT('112'!$M$9,2),B1877&lt;'112'!$N$8,$L1877='112'!$I$6)),"x",""))</f>
        <v/>
      </c>
      <c r="T1877" s="51" t="str">
        <f>IF(ISERROR(FIND('112'!$M$9,G1877,1)),"",IF((AND(RIGHT(G1877,2)=RIGHT('112'!$M$9,2),B1877&lt;'112'!$N$8,$M1877='112'!$I$6)),"x",""))</f>
        <v/>
      </c>
      <c r="U1877" s="51" t="str">
        <f>IF(AND(L1877="154",'154'!$O$5&lt;=B1877,'154'!$P$5&gt;=B1877),"154",IF(AND(L1877="632",'632'!$L$5&lt;=B1877,'632'!$M$5&gt;=B1877),"632",IF(AND(L1877="642",'642'!$N$5&lt;=B1877,'642'!$O$5&gt;=B1877),"642",IF(AND(L1877="641",'641'!$N$5&lt;=B1877,'641'!$O$5&gt;=B1877),"641",""))))</f>
        <v/>
      </c>
      <c r="V1877" s="51" t="str">
        <f>IF(OR(TH!L1877=TH!$V$7,M1877=TH!$V$7),"x","")</f>
        <v/>
      </c>
      <c r="W1877" s="51" t="str">
        <f>IF(AND(B1877&gt;='IN-NX'!$P$3,B1877&lt;='IN-NX'!$Q$3,'IN-NX'!$D$7=D1877,OR(LEFT(L1877,2)="15",AND(LEFT(M1877,2)&lt;&gt;"15",LEFT(M1877,2)&lt;&gt;"33"))),"x","")</f>
        <v/>
      </c>
      <c r="X1877" s="51" t="str">
        <f>IF(AND(OR(LEFT(TH!L1877,2)="15",LEFT(TH!M1877,2)="15"),'152-CT'!$J$8=TH!F1877),"x","")</f>
        <v/>
      </c>
      <c r="Y1877" s="51" t="str">
        <f>IF(AND(OR(LEFT(TH!L1877,2)="15",LEFT(TH!M1877,2)="15"),TK!$E$7=TH!F1877),"x","")</f>
        <v/>
      </c>
      <c r="Z1877" s="51" t="str">
        <f>IF(AND(B1877&lt;=NKC!$N$8,B1877&gt;=NKC!$M$8),"x","")</f>
        <v/>
      </c>
      <c r="AA1877" s="803"/>
    </row>
    <row r="1878" spans="1:27" ht="15.75" customHeight="1">
      <c r="A1878" s="804" t="str">
        <f>IF(B1878&lt;&gt;"",IF(AND(B1878&gt;=_TM1,B1878&lt;=_TM2,OR(TH!L1878="1111",TH!M1878="1111")),TH!D1878,""),"")</f>
        <v/>
      </c>
      <c r="B1878" s="36">
        <f t="shared" si="132"/>
        <v>11</v>
      </c>
      <c r="C1878" s="189">
        <f t="shared" si="130"/>
        <v>42314</v>
      </c>
      <c r="D1878" s="37" t="s">
        <v>1288</v>
      </c>
      <c r="E1878" s="910">
        <v>42314</v>
      </c>
      <c r="F1878" s="902" t="s">
        <v>1247</v>
      </c>
      <c r="G1878" s="913" t="s">
        <v>1086</v>
      </c>
      <c r="H1878" s="888" t="s">
        <v>1287</v>
      </c>
      <c r="I1878" s="911">
        <v>35</v>
      </c>
      <c r="J1878" s="911">
        <v>31353.241000807106</v>
      </c>
      <c r="K1878" s="905">
        <f t="shared" si="131"/>
        <v>1097363</v>
      </c>
      <c r="L1878" s="906" t="s">
        <v>417</v>
      </c>
      <c r="M1878" s="906" t="s">
        <v>160</v>
      </c>
      <c r="N1878" s="51" t="str">
        <f>IF(AND('331-CT'!$E$7=TH!H1878,OR(L1878="331",M1878="331")),"331",IF(AND(OR(L1878="131",M1878="131"),H1878='131-CT'!$E$7),"131",""))</f>
        <v/>
      </c>
      <c r="O1878" s="51" t="str">
        <f>IF(AND($B1878&gt;='111'!$N$11,$B1878&lt;='111'!$O$11,OR($L1878=$O$7,$M1878=$O$7)),"x","")</f>
        <v/>
      </c>
      <c r="P1878" s="51" t="str">
        <f>IF(AND($L1878=$O$7,$B1878&lt;'111'!$N$11),"x","")</f>
        <v/>
      </c>
      <c r="Q1878" s="51" t="str">
        <f>IF(AND($M1878=$O$7,$B1878&lt;'111'!$N$11),"x","")</f>
        <v/>
      </c>
      <c r="R1878" s="51" t="str">
        <f>IF(ISERROR(FIND('112'!$M$9,G1878,1)),"",IF((AND(FIND('112'!$M$9,G1878,1)&gt;=1,$B1878&gt;='112'!$N$8,$B1878&lt;='112'!$O$8,OR($L1878='112'!$I$6,$M1878='112'!$I$6))),"x",""))</f>
        <v/>
      </c>
      <c r="S1878" s="51" t="str">
        <f>IF(ISERROR(FIND('112'!$M$9,G1878,1)),"",IF((AND(LEFT(G1878,2)=LEFT('112'!$M$9,2),B1878&lt;'112'!$N$8,$L1878='112'!$I$6)),"x",""))</f>
        <v/>
      </c>
      <c r="T1878" s="51" t="str">
        <f>IF(ISERROR(FIND('112'!$M$9,G1878,1)),"",IF((AND(RIGHT(G1878,2)=RIGHT('112'!$M$9,2),B1878&lt;'112'!$N$8,$M1878='112'!$I$6)),"x",""))</f>
        <v/>
      </c>
      <c r="U1878" s="51" t="str">
        <f>IF(AND(L1878="154",'154'!$O$5&lt;=B1878,'154'!$P$5&gt;=B1878),"154",IF(AND(L1878="632",'632'!$L$5&lt;=B1878,'632'!$M$5&gt;=B1878),"632",IF(AND(L1878="642",'642'!$N$5&lt;=B1878,'642'!$O$5&gt;=B1878),"642",IF(AND(L1878="641",'641'!$N$5&lt;=B1878,'641'!$O$5&gt;=B1878),"641",""))))</f>
        <v/>
      </c>
      <c r="V1878" s="51" t="str">
        <f>IF(OR(TH!L1878=TH!$V$7,M1878=TH!$V$7),"x","")</f>
        <v/>
      </c>
      <c r="W1878" s="51" t="str">
        <f>IF(AND(B1878&gt;='IN-NX'!$P$3,B1878&lt;='IN-NX'!$Q$3,'IN-NX'!$D$7=D1878,OR(LEFT(L1878,2)="15",AND(LEFT(M1878,2)&lt;&gt;"15",LEFT(M1878,2)&lt;&gt;"33"))),"x","")</f>
        <v/>
      </c>
      <c r="X1878" s="51" t="str">
        <f>IF(AND(OR(LEFT(TH!L1878,2)="15",LEFT(TH!M1878,2)="15"),'152-CT'!$J$8=TH!F1878),"x","")</f>
        <v/>
      </c>
      <c r="Y1878" s="51" t="str">
        <f>IF(AND(OR(LEFT(TH!L1878,2)="15",LEFT(TH!M1878,2)="15"),TK!$E$7=TH!F1878),"x","")</f>
        <v/>
      </c>
      <c r="Z1878" s="51" t="str">
        <f>IF(AND(B1878&lt;=NKC!$N$8,B1878&gt;=NKC!$M$8),"x","")</f>
        <v/>
      </c>
      <c r="AA1878" s="803"/>
    </row>
    <row r="1879" spans="1:27" ht="15.75" customHeight="1">
      <c r="A1879" s="804" t="str">
        <f>IF(B1879&lt;&gt;"",IF(AND(B1879&gt;=_TM1,B1879&lt;=_TM2,OR(TH!L1879="1111",TH!M1879="1111")),TH!D1879,""),"")</f>
        <v/>
      </c>
      <c r="B1879" s="36">
        <f t="shared" si="132"/>
        <v>11</v>
      </c>
      <c r="C1879" s="189">
        <f t="shared" si="130"/>
        <v>42314</v>
      </c>
      <c r="D1879" s="37" t="s">
        <v>1288</v>
      </c>
      <c r="E1879" s="910">
        <v>42314</v>
      </c>
      <c r="F1879" s="902" t="s">
        <v>1248</v>
      </c>
      <c r="G1879" s="913" t="s">
        <v>1086</v>
      </c>
      <c r="H1879" s="888" t="s">
        <v>1287</v>
      </c>
      <c r="I1879" s="911">
        <v>35</v>
      </c>
      <c r="J1879" s="911">
        <v>34791.412429378535</v>
      </c>
      <c r="K1879" s="905">
        <f t="shared" si="131"/>
        <v>1217699</v>
      </c>
      <c r="L1879" s="906" t="s">
        <v>417</v>
      </c>
      <c r="M1879" s="906" t="s">
        <v>160</v>
      </c>
      <c r="N1879" s="51" t="str">
        <f>IF(AND('331-CT'!$E$7=TH!H1879,OR(L1879="331",M1879="331")),"331",IF(AND(OR(L1879="131",M1879="131"),H1879='131-CT'!$E$7),"131",""))</f>
        <v/>
      </c>
      <c r="O1879" s="51" t="str">
        <f>IF(AND($B1879&gt;='111'!$N$11,$B1879&lt;='111'!$O$11,OR($L1879=$O$7,$M1879=$O$7)),"x","")</f>
        <v/>
      </c>
      <c r="P1879" s="51" t="str">
        <f>IF(AND($L1879=$O$7,$B1879&lt;'111'!$N$11),"x","")</f>
        <v/>
      </c>
      <c r="Q1879" s="51" t="str">
        <f>IF(AND($M1879=$O$7,$B1879&lt;'111'!$N$11),"x","")</f>
        <v/>
      </c>
      <c r="R1879" s="51" t="str">
        <f>IF(ISERROR(FIND('112'!$M$9,G1879,1)),"",IF((AND(FIND('112'!$M$9,G1879,1)&gt;=1,$B1879&gt;='112'!$N$8,$B1879&lt;='112'!$O$8,OR($L1879='112'!$I$6,$M1879='112'!$I$6))),"x",""))</f>
        <v/>
      </c>
      <c r="S1879" s="51" t="str">
        <f>IF(ISERROR(FIND('112'!$M$9,G1879,1)),"",IF((AND(LEFT(G1879,2)=LEFT('112'!$M$9,2),B1879&lt;'112'!$N$8,$L1879='112'!$I$6)),"x",""))</f>
        <v/>
      </c>
      <c r="T1879" s="51" t="str">
        <f>IF(ISERROR(FIND('112'!$M$9,G1879,1)),"",IF((AND(RIGHT(G1879,2)=RIGHT('112'!$M$9,2),B1879&lt;'112'!$N$8,$M1879='112'!$I$6)),"x",""))</f>
        <v/>
      </c>
      <c r="U1879" s="51" t="str">
        <f>IF(AND(L1879="154",'154'!$O$5&lt;=B1879,'154'!$P$5&gt;=B1879),"154",IF(AND(L1879="632",'632'!$L$5&lt;=B1879,'632'!$M$5&gt;=B1879),"632",IF(AND(L1879="642",'642'!$N$5&lt;=B1879,'642'!$O$5&gt;=B1879),"642",IF(AND(L1879="641",'641'!$N$5&lt;=B1879,'641'!$O$5&gt;=B1879),"641",""))))</f>
        <v/>
      </c>
      <c r="V1879" s="51" t="str">
        <f>IF(OR(TH!L1879=TH!$V$7,M1879=TH!$V$7),"x","")</f>
        <v/>
      </c>
      <c r="W1879" s="51" t="str">
        <f>IF(AND(B1879&gt;='IN-NX'!$P$3,B1879&lt;='IN-NX'!$Q$3,'IN-NX'!$D$7=D1879,OR(LEFT(L1879,2)="15",AND(LEFT(M1879,2)&lt;&gt;"15",LEFT(M1879,2)&lt;&gt;"33"))),"x","")</f>
        <v/>
      </c>
      <c r="X1879" s="51" t="str">
        <f>IF(AND(OR(LEFT(TH!L1879,2)="15",LEFT(TH!M1879,2)="15"),'152-CT'!$J$8=TH!F1879),"x","")</f>
        <v/>
      </c>
      <c r="Y1879" s="51" t="str">
        <f>IF(AND(OR(LEFT(TH!L1879,2)="15",LEFT(TH!M1879,2)="15"),TK!$E$7=TH!F1879),"x","")</f>
        <v/>
      </c>
      <c r="Z1879" s="51" t="str">
        <f>IF(AND(B1879&lt;=NKC!$N$8,B1879&gt;=NKC!$M$8),"x","")</f>
        <v/>
      </c>
      <c r="AA1879" s="803"/>
    </row>
    <row r="1880" spans="1:27" ht="15.75" customHeight="1">
      <c r="A1880" s="804" t="str">
        <f>IF(B1880&lt;&gt;"",IF(AND(B1880&gt;=_TM1,B1880&lt;=_TM2,OR(TH!L1880="1111",TH!M1880="1111")),TH!D1880,""),"")</f>
        <v/>
      </c>
      <c r="B1880" s="36">
        <f t="shared" si="132"/>
        <v>11</v>
      </c>
      <c r="C1880" s="189">
        <f t="shared" si="130"/>
        <v>42314</v>
      </c>
      <c r="D1880" s="37" t="s">
        <v>1288</v>
      </c>
      <c r="E1880" s="910">
        <v>42314</v>
      </c>
      <c r="F1880" s="902" t="s">
        <v>1249</v>
      </c>
      <c r="G1880" s="913" t="s">
        <v>1086</v>
      </c>
      <c r="H1880" s="888" t="s">
        <v>1287</v>
      </c>
      <c r="I1880" s="911">
        <v>70</v>
      </c>
      <c r="J1880" s="911">
        <v>10989.498143664245</v>
      </c>
      <c r="K1880" s="905">
        <f t="shared" si="131"/>
        <v>769265</v>
      </c>
      <c r="L1880" s="906" t="s">
        <v>417</v>
      </c>
      <c r="M1880" s="906" t="s">
        <v>160</v>
      </c>
      <c r="N1880" s="51" t="str">
        <f>IF(AND('331-CT'!$E$7=TH!H1880,OR(L1880="331",M1880="331")),"331",IF(AND(OR(L1880="131",M1880="131"),H1880='131-CT'!$E$7),"131",""))</f>
        <v/>
      </c>
      <c r="O1880" s="51" t="str">
        <f>IF(AND($B1880&gt;='111'!$N$11,$B1880&lt;='111'!$O$11,OR($L1880=$O$7,$M1880=$O$7)),"x","")</f>
        <v/>
      </c>
      <c r="P1880" s="51" t="str">
        <f>IF(AND($L1880=$O$7,$B1880&lt;'111'!$N$11),"x","")</f>
        <v/>
      </c>
      <c r="Q1880" s="51" t="str">
        <f>IF(AND($M1880=$O$7,$B1880&lt;'111'!$N$11),"x","")</f>
        <v/>
      </c>
      <c r="R1880" s="51" t="str">
        <f>IF(ISERROR(FIND('112'!$M$9,G1880,1)),"",IF((AND(FIND('112'!$M$9,G1880,1)&gt;=1,$B1880&gt;='112'!$N$8,$B1880&lt;='112'!$O$8,OR($L1880='112'!$I$6,$M1880='112'!$I$6))),"x",""))</f>
        <v/>
      </c>
      <c r="S1880" s="51" t="str">
        <f>IF(ISERROR(FIND('112'!$M$9,G1880,1)),"",IF((AND(LEFT(G1880,2)=LEFT('112'!$M$9,2),B1880&lt;'112'!$N$8,$L1880='112'!$I$6)),"x",""))</f>
        <v/>
      </c>
      <c r="T1880" s="51" t="str">
        <f>IF(ISERROR(FIND('112'!$M$9,G1880,1)),"",IF((AND(RIGHT(G1880,2)=RIGHT('112'!$M$9,2),B1880&lt;'112'!$N$8,$M1880='112'!$I$6)),"x",""))</f>
        <v/>
      </c>
      <c r="U1880" s="51" t="str">
        <f>IF(AND(L1880="154",'154'!$O$5&lt;=B1880,'154'!$P$5&gt;=B1880),"154",IF(AND(L1880="632",'632'!$L$5&lt;=B1880,'632'!$M$5&gt;=B1880),"632",IF(AND(L1880="642",'642'!$N$5&lt;=B1880,'642'!$O$5&gt;=B1880),"642",IF(AND(L1880="641",'641'!$N$5&lt;=B1880,'641'!$O$5&gt;=B1880),"641",""))))</f>
        <v/>
      </c>
      <c r="V1880" s="51" t="str">
        <f>IF(OR(TH!L1880=TH!$V$7,M1880=TH!$V$7),"x","")</f>
        <v/>
      </c>
      <c r="W1880" s="51" t="str">
        <f>IF(AND(B1880&gt;='IN-NX'!$P$3,B1880&lt;='IN-NX'!$Q$3,'IN-NX'!$D$7=D1880,OR(LEFT(L1880,2)="15",AND(LEFT(M1880,2)&lt;&gt;"15",LEFT(M1880,2)&lt;&gt;"33"))),"x","")</f>
        <v/>
      </c>
      <c r="X1880" s="51" t="str">
        <f>IF(AND(OR(LEFT(TH!L1880,2)="15",LEFT(TH!M1880,2)="15"),'152-CT'!$J$8=TH!F1880),"x","")</f>
        <v/>
      </c>
      <c r="Y1880" s="51" t="str">
        <f>IF(AND(OR(LEFT(TH!L1880,2)="15",LEFT(TH!M1880,2)="15"),TK!$E$7=TH!F1880),"x","")</f>
        <v/>
      </c>
      <c r="Z1880" s="51" t="str">
        <f>IF(AND(B1880&lt;=NKC!$N$8,B1880&gt;=NKC!$M$8),"x","")</f>
        <v/>
      </c>
      <c r="AA1880" s="803"/>
    </row>
    <row r="1881" spans="1:27" ht="15.75" customHeight="1">
      <c r="A1881" s="804" t="str">
        <f>IF(B1881&lt;&gt;"",IF(AND(B1881&gt;=_TM1,B1881&lt;=_TM2,OR(TH!L1881="1111",TH!M1881="1111")),TH!D1881,""),"")</f>
        <v/>
      </c>
      <c r="B1881" s="36">
        <f t="shared" si="132"/>
        <v>11</v>
      </c>
      <c r="C1881" s="189">
        <f t="shared" si="130"/>
        <v>42314</v>
      </c>
      <c r="D1881" s="37" t="s">
        <v>1288</v>
      </c>
      <c r="E1881" s="910">
        <v>42314</v>
      </c>
      <c r="F1881" s="902" t="s">
        <v>1250</v>
      </c>
      <c r="G1881" s="903" t="s">
        <v>1086</v>
      </c>
      <c r="H1881" s="888" t="s">
        <v>1287</v>
      </c>
      <c r="I1881" s="911">
        <v>70</v>
      </c>
      <c r="J1881" s="911">
        <v>9790.6981436642454</v>
      </c>
      <c r="K1881" s="905">
        <f t="shared" si="131"/>
        <v>685349</v>
      </c>
      <c r="L1881" s="906" t="s">
        <v>417</v>
      </c>
      <c r="M1881" s="906" t="s">
        <v>160</v>
      </c>
      <c r="N1881" s="51" t="str">
        <f>IF(AND('331-CT'!$E$7=TH!H1881,OR(L1881="331",M1881="331")),"331",IF(AND(OR(L1881="131",M1881="131"),H1881='131-CT'!$E$7),"131",""))</f>
        <v/>
      </c>
      <c r="O1881" s="51" t="str">
        <f>IF(AND($B1881&gt;='111'!$N$11,$B1881&lt;='111'!$O$11,OR($L1881=$O$7,$M1881=$O$7)),"x","")</f>
        <v/>
      </c>
      <c r="P1881" s="51" t="str">
        <f>IF(AND($L1881=$O$7,$B1881&lt;'111'!$N$11),"x","")</f>
        <v/>
      </c>
      <c r="Q1881" s="51" t="str">
        <f>IF(AND($M1881=$O$7,$B1881&lt;'111'!$N$11),"x","")</f>
        <v/>
      </c>
      <c r="R1881" s="51" t="str">
        <f>IF(ISERROR(FIND('112'!$M$9,G1881,1)),"",IF((AND(FIND('112'!$M$9,G1881,1)&gt;=1,$B1881&gt;='112'!$N$8,$B1881&lt;='112'!$O$8,OR($L1881='112'!$I$6,$M1881='112'!$I$6))),"x",""))</f>
        <v/>
      </c>
      <c r="S1881" s="51" t="str">
        <f>IF(ISERROR(FIND('112'!$M$9,G1881,1)),"",IF((AND(LEFT(G1881,2)=LEFT('112'!$M$9,2),B1881&lt;'112'!$N$8,$L1881='112'!$I$6)),"x",""))</f>
        <v/>
      </c>
      <c r="T1881" s="51" t="str">
        <f>IF(ISERROR(FIND('112'!$M$9,G1881,1)),"",IF((AND(RIGHT(G1881,2)=RIGHT('112'!$M$9,2),B1881&lt;'112'!$N$8,$M1881='112'!$I$6)),"x",""))</f>
        <v/>
      </c>
      <c r="U1881" s="51" t="str">
        <f>IF(AND(L1881="154",'154'!$O$5&lt;=B1881,'154'!$P$5&gt;=B1881),"154",IF(AND(L1881="632",'632'!$L$5&lt;=B1881,'632'!$M$5&gt;=B1881),"632",IF(AND(L1881="642",'642'!$N$5&lt;=B1881,'642'!$O$5&gt;=B1881),"642",IF(AND(L1881="641",'641'!$N$5&lt;=B1881,'641'!$O$5&gt;=B1881),"641",""))))</f>
        <v/>
      </c>
      <c r="V1881" s="51" t="str">
        <f>IF(OR(TH!L1881=TH!$V$7,M1881=TH!$V$7),"x","")</f>
        <v/>
      </c>
      <c r="W1881" s="51" t="str">
        <f>IF(AND(B1881&gt;='IN-NX'!$P$3,B1881&lt;='IN-NX'!$Q$3,'IN-NX'!$D$7=D1881,OR(LEFT(L1881,2)="15",AND(LEFT(M1881,2)&lt;&gt;"15",LEFT(M1881,2)&lt;&gt;"33"))),"x","")</f>
        <v/>
      </c>
      <c r="X1881" s="51" t="str">
        <f>IF(AND(OR(LEFT(TH!L1881,2)="15",LEFT(TH!M1881,2)="15"),'152-CT'!$J$8=TH!F1881),"x","")</f>
        <v/>
      </c>
      <c r="Y1881" s="51" t="str">
        <f>IF(AND(OR(LEFT(TH!L1881,2)="15",LEFT(TH!M1881,2)="15"),TK!$E$7=TH!F1881),"x","")</f>
        <v/>
      </c>
      <c r="Z1881" s="51" t="str">
        <f>IF(AND(B1881&lt;=NKC!$N$8,B1881&gt;=NKC!$M$8),"x","")</f>
        <v/>
      </c>
      <c r="AA1881" s="803"/>
    </row>
    <row r="1882" spans="1:27" ht="15.75" customHeight="1">
      <c r="A1882" s="804" t="str">
        <f>IF(B1882&lt;&gt;"",IF(AND(B1882&gt;=_TM1,B1882&lt;=_TM2,OR(TH!L1882="1111",TH!M1882="1111")),TH!D1882,""),"")</f>
        <v/>
      </c>
      <c r="B1882" s="36">
        <f t="shared" si="132"/>
        <v>11</v>
      </c>
      <c r="C1882" s="189">
        <f t="shared" si="130"/>
        <v>42314</v>
      </c>
      <c r="D1882" s="37" t="s">
        <v>1288</v>
      </c>
      <c r="E1882" s="910">
        <v>42314</v>
      </c>
      <c r="F1882" s="902" t="s">
        <v>1251</v>
      </c>
      <c r="G1882" s="912" t="s">
        <v>1086</v>
      </c>
      <c r="H1882" s="888" t="s">
        <v>1287</v>
      </c>
      <c r="I1882" s="911">
        <v>54</v>
      </c>
      <c r="J1882" s="911">
        <v>30397.698143664249</v>
      </c>
      <c r="K1882" s="905">
        <f t="shared" si="131"/>
        <v>1641476</v>
      </c>
      <c r="L1882" s="906" t="s">
        <v>417</v>
      </c>
      <c r="M1882" s="906" t="s">
        <v>160</v>
      </c>
      <c r="N1882" s="51" t="str">
        <f>IF(AND('331-CT'!$E$7=TH!H1882,OR(L1882="331",M1882="331")),"331",IF(AND(OR(L1882="131",M1882="131"),H1882='131-CT'!$E$7),"131",""))</f>
        <v/>
      </c>
      <c r="O1882" s="51" t="str">
        <f>IF(AND($B1882&gt;='111'!$N$11,$B1882&lt;='111'!$O$11,OR($L1882=$O$7,$M1882=$O$7)),"x","")</f>
        <v/>
      </c>
      <c r="P1882" s="51" t="str">
        <f>IF(AND($L1882=$O$7,$B1882&lt;'111'!$N$11),"x","")</f>
        <v/>
      </c>
      <c r="Q1882" s="51" t="str">
        <f>IF(AND($M1882=$O$7,$B1882&lt;'111'!$N$11),"x","")</f>
        <v/>
      </c>
      <c r="R1882" s="51" t="str">
        <f>IF(ISERROR(FIND('112'!$M$9,G1882,1)),"",IF((AND(FIND('112'!$M$9,G1882,1)&gt;=1,$B1882&gt;='112'!$N$8,$B1882&lt;='112'!$O$8,OR($L1882='112'!$I$6,$M1882='112'!$I$6))),"x",""))</f>
        <v/>
      </c>
      <c r="S1882" s="51" t="str">
        <f>IF(ISERROR(FIND('112'!$M$9,G1882,1)),"",IF((AND(LEFT(G1882,2)=LEFT('112'!$M$9,2),B1882&lt;'112'!$N$8,$L1882='112'!$I$6)),"x",""))</f>
        <v/>
      </c>
      <c r="T1882" s="51" t="str">
        <f>IF(ISERROR(FIND('112'!$M$9,G1882,1)),"",IF((AND(RIGHT(G1882,2)=RIGHT('112'!$M$9,2),B1882&lt;'112'!$N$8,$M1882='112'!$I$6)),"x",""))</f>
        <v/>
      </c>
      <c r="U1882" s="51" t="str">
        <f>IF(AND(L1882="154",'154'!$O$5&lt;=B1882,'154'!$P$5&gt;=B1882),"154",IF(AND(L1882="632",'632'!$L$5&lt;=B1882,'632'!$M$5&gt;=B1882),"632",IF(AND(L1882="642",'642'!$N$5&lt;=B1882,'642'!$O$5&gt;=B1882),"642",IF(AND(L1882="641",'641'!$N$5&lt;=B1882,'641'!$O$5&gt;=B1882),"641",""))))</f>
        <v/>
      </c>
      <c r="V1882" s="51" t="str">
        <f>IF(OR(TH!L1882=TH!$V$7,M1882=TH!$V$7),"x","")</f>
        <v/>
      </c>
      <c r="W1882" s="51" t="str">
        <f>IF(AND(B1882&gt;='IN-NX'!$P$3,B1882&lt;='IN-NX'!$Q$3,'IN-NX'!$D$7=D1882,OR(LEFT(L1882,2)="15",AND(LEFT(M1882,2)&lt;&gt;"15",LEFT(M1882,2)&lt;&gt;"33"))),"x","")</f>
        <v/>
      </c>
      <c r="X1882" s="51" t="str">
        <f>IF(AND(OR(LEFT(TH!L1882,2)="15",LEFT(TH!M1882,2)="15"),'152-CT'!$J$8=TH!F1882),"x","")</f>
        <v/>
      </c>
      <c r="Y1882" s="51" t="str">
        <f>IF(AND(OR(LEFT(TH!L1882,2)="15",LEFT(TH!M1882,2)="15"),TK!$E$7=TH!F1882),"x","")</f>
        <v/>
      </c>
      <c r="Z1882" s="51" t="str">
        <f>IF(AND(B1882&lt;=NKC!$N$8,B1882&gt;=NKC!$M$8),"x","")</f>
        <v/>
      </c>
      <c r="AA1882" s="803"/>
    </row>
    <row r="1883" spans="1:27" ht="15.75" customHeight="1">
      <c r="A1883" s="804" t="str">
        <f>IF(B1883&lt;&gt;"",IF(AND(B1883&gt;=_TM1,B1883&lt;=_TM2,OR(TH!L1883="1111",TH!M1883="1111")),TH!D1883,""),"")</f>
        <v/>
      </c>
      <c r="B1883" s="36">
        <f t="shared" si="132"/>
        <v>11</v>
      </c>
      <c r="C1883" s="189">
        <f t="shared" si="130"/>
        <v>42314</v>
      </c>
      <c r="D1883" s="37" t="s">
        <v>1288</v>
      </c>
      <c r="E1883" s="910">
        <v>42314</v>
      </c>
      <c r="F1883" s="902" t="s">
        <v>1252</v>
      </c>
      <c r="G1883" s="903" t="s">
        <v>1086</v>
      </c>
      <c r="H1883" s="888" t="s">
        <v>1287</v>
      </c>
      <c r="I1883" s="911">
        <v>54</v>
      </c>
      <c r="J1883" s="911">
        <v>26971.698143664249</v>
      </c>
      <c r="K1883" s="905">
        <f t="shared" si="131"/>
        <v>1456472</v>
      </c>
      <c r="L1883" s="906" t="s">
        <v>417</v>
      </c>
      <c r="M1883" s="906" t="s">
        <v>160</v>
      </c>
      <c r="N1883" s="51" t="str">
        <f>IF(AND('331-CT'!$E$7=TH!H1883,OR(L1883="331",M1883="331")),"331",IF(AND(OR(L1883="131",M1883="131"),H1883='131-CT'!$E$7),"131",""))</f>
        <v/>
      </c>
      <c r="O1883" s="51" t="str">
        <f>IF(AND($B1883&gt;='111'!$N$11,$B1883&lt;='111'!$O$11,OR($L1883=$O$7,$M1883=$O$7)),"x","")</f>
        <v/>
      </c>
      <c r="P1883" s="51" t="str">
        <f>IF(AND($L1883=$O$7,$B1883&lt;'111'!$N$11),"x","")</f>
        <v/>
      </c>
      <c r="Q1883" s="51" t="str">
        <f>IF(AND($M1883=$O$7,$B1883&lt;'111'!$N$11),"x","")</f>
        <v/>
      </c>
      <c r="R1883" s="51" t="str">
        <f>IF(ISERROR(FIND('112'!$M$9,G1883,1)),"",IF((AND(FIND('112'!$M$9,G1883,1)&gt;=1,$B1883&gt;='112'!$N$8,$B1883&lt;='112'!$O$8,OR($L1883='112'!$I$6,$M1883='112'!$I$6))),"x",""))</f>
        <v/>
      </c>
      <c r="S1883" s="51" t="str">
        <f>IF(ISERROR(FIND('112'!$M$9,G1883,1)),"",IF((AND(LEFT(G1883,2)=LEFT('112'!$M$9,2),B1883&lt;'112'!$N$8,$L1883='112'!$I$6)),"x",""))</f>
        <v/>
      </c>
      <c r="T1883" s="51" t="str">
        <f>IF(ISERROR(FIND('112'!$M$9,G1883,1)),"",IF((AND(RIGHT(G1883,2)=RIGHT('112'!$M$9,2),B1883&lt;'112'!$N$8,$M1883='112'!$I$6)),"x",""))</f>
        <v/>
      </c>
      <c r="U1883" s="51" t="str">
        <f>IF(AND(L1883="154",'154'!$O$5&lt;=B1883,'154'!$P$5&gt;=B1883),"154",IF(AND(L1883="632",'632'!$L$5&lt;=B1883,'632'!$M$5&gt;=B1883),"632",IF(AND(L1883="642",'642'!$N$5&lt;=B1883,'642'!$O$5&gt;=B1883),"642",IF(AND(L1883="641",'641'!$N$5&lt;=B1883,'641'!$O$5&gt;=B1883),"641",""))))</f>
        <v/>
      </c>
      <c r="V1883" s="51" t="str">
        <f>IF(OR(TH!L1883=TH!$V$7,M1883=TH!$V$7),"x","")</f>
        <v/>
      </c>
      <c r="W1883" s="51" t="str">
        <f>IF(AND(B1883&gt;='IN-NX'!$P$3,B1883&lt;='IN-NX'!$Q$3,'IN-NX'!$D$7=D1883,OR(LEFT(L1883,2)="15",AND(LEFT(M1883,2)&lt;&gt;"15",LEFT(M1883,2)&lt;&gt;"33"))),"x","")</f>
        <v/>
      </c>
      <c r="X1883" s="51" t="str">
        <f>IF(AND(OR(LEFT(TH!L1883,2)="15",LEFT(TH!M1883,2)="15"),'152-CT'!$J$8=TH!F1883),"x","")</f>
        <v/>
      </c>
      <c r="Y1883" s="51" t="str">
        <f>IF(AND(OR(LEFT(TH!L1883,2)="15",LEFT(TH!M1883,2)="15"),TK!$E$7=TH!F1883),"x","")</f>
        <v/>
      </c>
      <c r="Z1883" s="51" t="str">
        <f>IF(AND(B1883&lt;=NKC!$N$8,B1883&gt;=NKC!$M$8),"x","")</f>
        <v/>
      </c>
      <c r="AA1883" s="803"/>
    </row>
    <row r="1884" spans="1:27" ht="15.75" customHeight="1">
      <c r="A1884" s="804" t="str">
        <f>IF(B1884&lt;&gt;"",IF(AND(B1884&gt;=_TM1,B1884&lt;=_TM2,OR(TH!L1884="1111",TH!M1884="1111")),TH!D1884,""),"")</f>
        <v/>
      </c>
      <c r="B1884" s="36">
        <f t="shared" si="132"/>
        <v>11</v>
      </c>
      <c r="C1884" s="189">
        <f t="shared" si="130"/>
        <v>42314</v>
      </c>
      <c r="D1884" s="37" t="s">
        <v>1288</v>
      </c>
      <c r="E1884" s="910">
        <v>42314</v>
      </c>
      <c r="F1884" s="902" t="s">
        <v>1253</v>
      </c>
      <c r="G1884" s="903" t="s">
        <v>1086</v>
      </c>
      <c r="H1884" s="888" t="s">
        <v>1287</v>
      </c>
      <c r="I1884" s="911">
        <v>80</v>
      </c>
      <c r="J1884" s="911">
        <v>10476.948143664245</v>
      </c>
      <c r="K1884" s="905">
        <f t="shared" si="131"/>
        <v>838156</v>
      </c>
      <c r="L1884" s="906" t="s">
        <v>417</v>
      </c>
      <c r="M1884" s="906" t="s">
        <v>160</v>
      </c>
      <c r="N1884" s="51" t="str">
        <f>IF(AND('331-CT'!$E$7=TH!H1884,OR(L1884="331",M1884="331")),"331",IF(AND(OR(L1884="131",M1884="131"),H1884='131-CT'!$E$7),"131",""))</f>
        <v/>
      </c>
      <c r="O1884" s="51" t="str">
        <f>IF(AND($B1884&gt;='111'!$N$11,$B1884&lt;='111'!$O$11,OR($L1884=$O$7,$M1884=$O$7)),"x","")</f>
        <v/>
      </c>
      <c r="P1884" s="51" t="str">
        <f>IF(AND($L1884=$O$7,$B1884&lt;'111'!$N$11),"x","")</f>
        <v/>
      </c>
      <c r="Q1884" s="51" t="str">
        <f>IF(AND($M1884=$O$7,$B1884&lt;'111'!$N$11),"x","")</f>
        <v/>
      </c>
      <c r="R1884" s="51" t="str">
        <f>IF(ISERROR(FIND('112'!$M$9,G1884,1)),"",IF((AND(FIND('112'!$M$9,G1884,1)&gt;=1,$B1884&gt;='112'!$N$8,$B1884&lt;='112'!$O$8,OR($L1884='112'!$I$6,$M1884='112'!$I$6))),"x",""))</f>
        <v/>
      </c>
      <c r="S1884" s="51" t="str">
        <f>IF(ISERROR(FIND('112'!$M$9,G1884,1)),"",IF((AND(LEFT(G1884,2)=LEFT('112'!$M$9,2),B1884&lt;'112'!$N$8,$L1884='112'!$I$6)),"x",""))</f>
        <v/>
      </c>
      <c r="T1884" s="51" t="str">
        <f>IF(ISERROR(FIND('112'!$M$9,G1884,1)),"",IF((AND(RIGHT(G1884,2)=RIGHT('112'!$M$9,2),B1884&lt;'112'!$N$8,$M1884='112'!$I$6)),"x",""))</f>
        <v/>
      </c>
      <c r="U1884" s="51" t="str">
        <f>IF(AND(L1884="154",'154'!$O$5&lt;=B1884,'154'!$P$5&gt;=B1884),"154",IF(AND(L1884="632",'632'!$L$5&lt;=B1884,'632'!$M$5&gt;=B1884),"632",IF(AND(L1884="642",'642'!$N$5&lt;=B1884,'642'!$O$5&gt;=B1884),"642",IF(AND(L1884="641",'641'!$N$5&lt;=B1884,'641'!$O$5&gt;=B1884),"641",""))))</f>
        <v/>
      </c>
      <c r="V1884" s="51" t="str">
        <f>IF(OR(TH!L1884=TH!$V$7,M1884=TH!$V$7),"x","")</f>
        <v/>
      </c>
      <c r="W1884" s="51" t="str">
        <f>IF(AND(B1884&gt;='IN-NX'!$P$3,B1884&lt;='IN-NX'!$Q$3,'IN-NX'!$D$7=D1884,OR(LEFT(L1884,2)="15",AND(LEFT(M1884,2)&lt;&gt;"15",LEFT(M1884,2)&lt;&gt;"33"))),"x","")</f>
        <v/>
      </c>
      <c r="X1884" s="51" t="str">
        <f>IF(AND(OR(LEFT(TH!L1884,2)="15",LEFT(TH!M1884,2)="15"),'152-CT'!$J$8=TH!F1884),"x","")</f>
        <v/>
      </c>
      <c r="Y1884" s="51" t="str">
        <f>IF(AND(OR(LEFT(TH!L1884,2)="15",LEFT(TH!M1884,2)="15"),TK!$E$7=TH!F1884),"x","")</f>
        <v/>
      </c>
      <c r="Z1884" s="51" t="str">
        <f>IF(AND(B1884&lt;=NKC!$N$8,B1884&gt;=NKC!$M$8),"x","")</f>
        <v/>
      </c>
      <c r="AA1884" s="803"/>
    </row>
    <row r="1885" spans="1:27" ht="15.75" customHeight="1">
      <c r="A1885" s="804" t="str">
        <f>IF(B1885&lt;&gt;"",IF(AND(B1885&gt;=_TM1,B1885&lt;=_TM2,OR(TH!L1885="1111",TH!M1885="1111")),TH!D1885,""),"")</f>
        <v/>
      </c>
      <c r="B1885" s="36">
        <f t="shared" si="132"/>
        <v>11</v>
      </c>
      <c r="C1885" s="189">
        <f t="shared" si="130"/>
        <v>42314</v>
      </c>
      <c r="D1885" s="37" t="s">
        <v>1288</v>
      </c>
      <c r="E1885" s="910">
        <v>42314</v>
      </c>
      <c r="F1885" s="902" t="s">
        <v>1239</v>
      </c>
      <c r="G1885" s="903" t="s">
        <v>1087</v>
      </c>
      <c r="H1885" s="888" t="s">
        <v>1287</v>
      </c>
      <c r="I1885" s="911">
        <v>80</v>
      </c>
      <c r="J1885" s="911">
        <v>7101.9481436642454</v>
      </c>
      <c r="K1885" s="905">
        <f t="shared" si="131"/>
        <v>568156</v>
      </c>
      <c r="L1885" s="906" t="s">
        <v>417</v>
      </c>
      <c r="M1885" s="906" t="s">
        <v>160</v>
      </c>
      <c r="N1885" s="51" t="str">
        <f>IF(AND('331-CT'!$E$7=TH!H1885,OR(L1885="331",M1885="331")),"331",IF(AND(OR(L1885="131",M1885="131"),H1885='131-CT'!$E$7),"131",""))</f>
        <v/>
      </c>
      <c r="O1885" s="51" t="str">
        <f>IF(AND($B1885&gt;='111'!$N$11,$B1885&lt;='111'!$O$11,OR($L1885=$O$7,$M1885=$O$7)),"x","")</f>
        <v/>
      </c>
      <c r="P1885" s="51" t="str">
        <f>IF(AND($L1885=$O$7,$B1885&lt;'111'!$N$11),"x","")</f>
        <v/>
      </c>
      <c r="Q1885" s="51" t="str">
        <f>IF(AND($M1885=$O$7,$B1885&lt;'111'!$N$11),"x","")</f>
        <v/>
      </c>
      <c r="R1885" s="51" t="str">
        <f>IF(ISERROR(FIND('112'!$M$9,G1885,1)),"",IF((AND(FIND('112'!$M$9,G1885,1)&gt;=1,$B1885&gt;='112'!$N$8,$B1885&lt;='112'!$O$8,OR($L1885='112'!$I$6,$M1885='112'!$I$6))),"x",""))</f>
        <v/>
      </c>
      <c r="S1885" s="51" t="str">
        <f>IF(ISERROR(FIND('112'!$M$9,G1885,1)),"",IF((AND(LEFT(G1885,2)=LEFT('112'!$M$9,2),B1885&lt;'112'!$N$8,$L1885='112'!$I$6)),"x",""))</f>
        <v/>
      </c>
      <c r="T1885" s="51" t="str">
        <f>IF(ISERROR(FIND('112'!$M$9,G1885,1)),"",IF((AND(RIGHT(G1885,2)=RIGHT('112'!$M$9,2),B1885&lt;'112'!$N$8,$M1885='112'!$I$6)),"x",""))</f>
        <v/>
      </c>
      <c r="U1885" s="51" t="str">
        <f>IF(AND(L1885="154",'154'!$O$5&lt;=B1885,'154'!$P$5&gt;=B1885),"154",IF(AND(L1885="632",'632'!$L$5&lt;=B1885,'632'!$M$5&gt;=B1885),"632",IF(AND(L1885="642",'642'!$N$5&lt;=B1885,'642'!$O$5&gt;=B1885),"642",IF(AND(L1885="641",'641'!$N$5&lt;=B1885,'641'!$O$5&gt;=B1885),"641",""))))</f>
        <v/>
      </c>
      <c r="V1885" s="51" t="str">
        <f>IF(OR(TH!L1885=TH!$V$7,M1885=TH!$V$7),"x","")</f>
        <v/>
      </c>
      <c r="W1885" s="51" t="str">
        <f>IF(AND(B1885&gt;='IN-NX'!$P$3,B1885&lt;='IN-NX'!$Q$3,'IN-NX'!$D$7=D1885,OR(LEFT(L1885,2)="15",AND(LEFT(M1885,2)&lt;&gt;"15",LEFT(M1885,2)&lt;&gt;"33"))),"x","")</f>
        <v/>
      </c>
      <c r="X1885" s="51" t="str">
        <f>IF(AND(OR(LEFT(TH!L1885,2)="15",LEFT(TH!M1885,2)="15"),'152-CT'!$J$8=TH!F1885),"x","")</f>
        <v/>
      </c>
      <c r="Y1885" s="51" t="str">
        <f>IF(AND(OR(LEFT(TH!L1885,2)="15",LEFT(TH!M1885,2)="15"),TK!$E$7=TH!F1885),"x","")</f>
        <v/>
      </c>
      <c r="Z1885" s="51" t="str">
        <f>IF(AND(B1885&lt;=NKC!$N$8,B1885&gt;=NKC!$M$8),"x","")</f>
        <v/>
      </c>
      <c r="AA1885" s="803"/>
    </row>
    <row r="1886" spans="1:27" ht="15.75" customHeight="1">
      <c r="A1886" s="804" t="str">
        <f>IF(B1886&lt;&gt;"",IF(AND(B1886&gt;=_TM1,B1886&lt;=_TM2,OR(TH!L1886="1111",TH!M1886="1111")),TH!D1886,""),"")</f>
        <v/>
      </c>
      <c r="B1886" s="36">
        <f t="shared" si="132"/>
        <v>11</v>
      </c>
      <c r="C1886" s="189">
        <f t="shared" si="130"/>
        <v>42314</v>
      </c>
      <c r="D1886" s="37" t="s">
        <v>1288</v>
      </c>
      <c r="E1886" s="910">
        <v>42314</v>
      </c>
      <c r="F1886" s="902" t="s">
        <v>1240</v>
      </c>
      <c r="G1886" s="903" t="s">
        <v>1087</v>
      </c>
      <c r="H1886" s="888" t="s">
        <v>1287</v>
      </c>
      <c r="I1886" s="911">
        <v>20</v>
      </c>
      <c r="J1886" s="911">
        <v>66481.698143664253</v>
      </c>
      <c r="K1886" s="905">
        <f t="shared" si="131"/>
        <v>1329634</v>
      </c>
      <c r="L1886" s="906" t="s">
        <v>417</v>
      </c>
      <c r="M1886" s="906" t="s">
        <v>160</v>
      </c>
      <c r="N1886" s="51" t="str">
        <f>IF(AND('331-CT'!$E$7=TH!H1886,OR(L1886="331",M1886="331")),"331",IF(AND(OR(L1886="131",M1886="131"),H1886='131-CT'!$E$7),"131",""))</f>
        <v/>
      </c>
      <c r="O1886" s="51" t="str">
        <f>IF(AND($B1886&gt;='111'!$N$11,$B1886&lt;='111'!$O$11,OR($L1886=$O$7,$M1886=$O$7)),"x","")</f>
        <v/>
      </c>
      <c r="P1886" s="51" t="str">
        <f>IF(AND($L1886=$O$7,$B1886&lt;'111'!$N$11),"x","")</f>
        <v/>
      </c>
      <c r="Q1886" s="51" t="str">
        <f>IF(AND($M1886=$O$7,$B1886&lt;'111'!$N$11),"x","")</f>
        <v/>
      </c>
      <c r="R1886" s="51" t="str">
        <f>IF(ISERROR(FIND('112'!$M$9,G1886,1)),"",IF((AND(FIND('112'!$M$9,G1886,1)&gt;=1,$B1886&gt;='112'!$N$8,$B1886&lt;='112'!$O$8,OR($L1886='112'!$I$6,$M1886='112'!$I$6))),"x",""))</f>
        <v/>
      </c>
      <c r="S1886" s="51" t="str">
        <f>IF(ISERROR(FIND('112'!$M$9,G1886,1)),"",IF((AND(LEFT(G1886,2)=LEFT('112'!$M$9,2),B1886&lt;'112'!$N$8,$L1886='112'!$I$6)),"x",""))</f>
        <v/>
      </c>
      <c r="T1886" s="51" t="str">
        <f>IF(ISERROR(FIND('112'!$M$9,G1886,1)),"",IF((AND(RIGHT(G1886,2)=RIGHT('112'!$M$9,2),B1886&lt;'112'!$N$8,$M1886='112'!$I$6)),"x",""))</f>
        <v/>
      </c>
      <c r="U1886" s="51" t="str">
        <f>IF(AND(L1886="154",'154'!$O$5&lt;=B1886,'154'!$P$5&gt;=B1886),"154",IF(AND(L1886="632",'632'!$L$5&lt;=B1886,'632'!$M$5&gt;=B1886),"632",IF(AND(L1886="642",'642'!$N$5&lt;=B1886,'642'!$O$5&gt;=B1886),"642",IF(AND(L1886="641",'641'!$N$5&lt;=B1886,'641'!$O$5&gt;=B1886),"641",""))))</f>
        <v/>
      </c>
      <c r="V1886" s="51" t="str">
        <f>IF(OR(TH!L1886=TH!$V$7,M1886=TH!$V$7),"x","")</f>
        <v/>
      </c>
      <c r="W1886" s="51" t="str">
        <f>IF(AND(B1886&gt;='IN-NX'!$P$3,B1886&lt;='IN-NX'!$Q$3,'IN-NX'!$D$7=D1886,OR(LEFT(L1886,2)="15",AND(LEFT(M1886,2)&lt;&gt;"15",LEFT(M1886,2)&lt;&gt;"33"))),"x","")</f>
        <v/>
      </c>
      <c r="X1886" s="51" t="str">
        <f>IF(AND(OR(LEFT(TH!L1886,2)="15",LEFT(TH!M1886,2)="15"),'152-CT'!$J$8=TH!F1886),"x","")</f>
        <v/>
      </c>
      <c r="Y1886" s="51" t="str">
        <f>IF(AND(OR(LEFT(TH!L1886,2)="15",LEFT(TH!M1886,2)="15"),TK!$E$7=TH!F1886),"x","")</f>
        <v/>
      </c>
      <c r="Z1886" s="51" t="str">
        <f>IF(AND(B1886&lt;=NKC!$N$8,B1886&gt;=NKC!$M$8),"x","")</f>
        <v/>
      </c>
      <c r="AA1886" s="803"/>
    </row>
    <row r="1887" spans="1:27" ht="15.75" customHeight="1">
      <c r="A1887" s="804" t="str">
        <f>IF(B1887&lt;&gt;"",IF(AND(B1887&gt;=_TM1,B1887&lt;=_TM2,OR(TH!L1887="1111",TH!M1887="1111")),TH!D1887,""),"")</f>
        <v/>
      </c>
      <c r="B1887" s="36">
        <f t="shared" si="132"/>
        <v>11</v>
      </c>
      <c r="C1887" s="189">
        <f t="shared" si="130"/>
        <v>42314</v>
      </c>
      <c r="D1887" s="37" t="s">
        <v>1288</v>
      </c>
      <c r="E1887" s="910">
        <v>42314</v>
      </c>
      <c r="F1887" s="902" t="s">
        <v>1241</v>
      </c>
      <c r="G1887" s="903" t="s">
        <v>1087</v>
      </c>
      <c r="H1887" s="888" t="s">
        <v>1287</v>
      </c>
      <c r="I1887" s="911">
        <v>11</v>
      </c>
      <c r="J1887" s="911">
        <v>60171.152689118797</v>
      </c>
      <c r="K1887" s="905">
        <f t="shared" si="131"/>
        <v>661883</v>
      </c>
      <c r="L1887" s="906" t="s">
        <v>417</v>
      </c>
      <c r="M1887" s="906" t="s">
        <v>160</v>
      </c>
      <c r="N1887" s="51" t="str">
        <f>IF(AND('331-CT'!$E$7=TH!H1887,OR(L1887="331",M1887="331")),"331",IF(AND(OR(L1887="131",M1887="131"),H1887='131-CT'!$E$7),"131",""))</f>
        <v/>
      </c>
      <c r="O1887" s="51" t="str">
        <f>IF(AND($B1887&gt;='111'!$N$11,$B1887&lt;='111'!$O$11,OR($L1887=$O$7,$M1887=$O$7)),"x","")</f>
        <v/>
      </c>
      <c r="P1887" s="51" t="str">
        <f>IF(AND($L1887=$O$7,$B1887&lt;'111'!$N$11),"x","")</f>
        <v/>
      </c>
      <c r="Q1887" s="51" t="str">
        <f>IF(AND($M1887=$O$7,$B1887&lt;'111'!$N$11),"x","")</f>
        <v/>
      </c>
      <c r="R1887" s="51" t="str">
        <f>IF(ISERROR(FIND('112'!$M$9,G1887,1)),"",IF((AND(FIND('112'!$M$9,G1887,1)&gt;=1,$B1887&gt;='112'!$N$8,$B1887&lt;='112'!$O$8,OR($L1887='112'!$I$6,$M1887='112'!$I$6))),"x",""))</f>
        <v/>
      </c>
      <c r="S1887" s="51" t="str">
        <f>IF(ISERROR(FIND('112'!$M$9,G1887,1)),"",IF((AND(LEFT(G1887,2)=LEFT('112'!$M$9,2),B1887&lt;'112'!$N$8,$L1887='112'!$I$6)),"x",""))</f>
        <v/>
      </c>
      <c r="T1887" s="51" t="str">
        <f>IF(ISERROR(FIND('112'!$M$9,G1887,1)),"",IF((AND(RIGHT(G1887,2)=RIGHT('112'!$M$9,2),B1887&lt;'112'!$N$8,$M1887='112'!$I$6)),"x",""))</f>
        <v/>
      </c>
      <c r="U1887" s="51" t="str">
        <f>IF(AND(L1887="154",'154'!$O$5&lt;=B1887,'154'!$P$5&gt;=B1887),"154",IF(AND(L1887="632",'632'!$L$5&lt;=B1887,'632'!$M$5&gt;=B1887),"632",IF(AND(L1887="642",'642'!$N$5&lt;=B1887,'642'!$O$5&gt;=B1887),"642",IF(AND(L1887="641",'641'!$N$5&lt;=B1887,'641'!$O$5&gt;=B1887),"641",""))))</f>
        <v/>
      </c>
      <c r="V1887" s="51" t="str">
        <f>IF(OR(TH!L1887=TH!$V$7,M1887=TH!$V$7),"x","")</f>
        <v/>
      </c>
      <c r="W1887" s="51" t="str">
        <f>IF(AND(B1887&gt;='IN-NX'!$P$3,B1887&lt;='IN-NX'!$Q$3,'IN-NX'!$D$7=D1887,OR(LEFT(L1887,2)="15",AND(LEFT(M1887,2)&lt;&gt;"15",LEFT(M1887,2)&lt;&gt;"33"))),"x","")</f>
        <v/>
      </c>
      <c r="X1887" s="51" t="str">
        <f>IF(AND(OR(LEFT(TH!L1887,2)="15",LEFT(TH!M1887,2)="15"),'152-CT'!$J$8=TH!F1887),"x","")</f>
        <v/>
      </c>
      <c r="Y1887" s="51" t="str">
        <f>IF(AND(OR(LEFT(TH!L1887,2)="15",LEFT(TH!M1887,2)="15"),TK!$E$7=TH!F1887),"x","")</f>
        <v/>
      </c>
      <c r="Z1887" s="51" t="str">
        <f>IF(AND(B1887&lt;=NKC!$N$8,B1887&gt;=NKC!$M$8),"x","")</f>
        <v/>
      </c>
      <c r="AA1887" s="803"/>
    </row>
    <row r="1888" spans="1:27" ht="15.75" customHeight="1">
      <c r="A1888" s="804" t="str">
        <f>IF(B1888&lt;&gt;"",IF(AND(B1888&gt;=_TM1,B1888&lt;=_TM2,OR(TH!L1888="1111",TH!M1888="1111")),TH!D1888,""),"")</f>
        <v/>
      </c>
      <c r="B1888" s="36">
        <f t="shared" si="132"/>
        <v>11</v>
      </c>
      <c r="C1888" s="189">
        <f t="shared" si="130"/>
        <v>42314</v>
      </c>
      <c r="D1888" s="37" t="s">
        <v>1288</v>
      </c>
      <c r="E1888" s="910">
        <v>42314</v>
      </c>
      <c r="F1888" s="902" t="s">
        <v>1242</v>
      </c>
      <c r="G1888" s="903" t="s">
        <v>1087</v>
      </c>
      <c r="H1888" s="888" t="s">
        <v>1287</v>
      </c>
      <c r="I1888" s="911">
        <v>3</v>
      </c>
      <c r="J1888" s="911">
        <v>72341.698143664238</v>
      </c>
      <c r="K1888" s="905">
        <f t="shared" si="131"/>
        <v>217025</v>
      </c>
      <c r="L1888" s="906" t="s">
        <v>417</v>
      </c>
      <c r="M1888" s="906" t="s">
        <v>160</v>
      </c>
      <c r="N1888" s="51" t="str">
        <f>IF(AND('331-CT'!$E$7=TH!H1888,OR(L1888="331",M1888="331")),"331",IF(AND(OR(L1888="131",M1888="131"),H1888='131-CT'!$E$7),"131",""))</f>
        <v/>
      </c>
      <c r="O1888" s="51" t="str">
        <f>IF(AND($B1888&gt;='111'!$N$11,$B1888&lt;='111'!$O$11,OR($L1888=$O$7,$M1888=$O$7)),"x","")</f>
        <v/>
      </c>
      <c r="P1888" s="51" t="str">
        <f>IF(AND($L1888=$O$7,$B1888&lt;'111'!$N$11),"x","")</f>
        <v/>
      </c>
      <c r="Q1888" s="51" t="str">
        <f>IF(AND($M1888=$O$7,$B1888&lt;'111'!$N$11),"x","")</f>
        <v/>
      </c>
      <c r="R1888" s="51" t="str">
        <f>IF(ISERROR(FIND('112'!$M$9,G1888,1)),"",IF((AND(FIND('112'!$M$9,G1888,1)&gt;=1,$B1888&gt;='112'!$N$8,$B1888&lt;='112'!$O$8,OR($L1888='112'!$I$6,$M1888='112'!$I$6))),"x",""))</f>
        <v/>
      </c>
      <c r="S1888" s="51" t="str">
        <f>IF(ISERROR(FIND('112'!$M$9,G1888,1)),"",IF((AND(LEFT(G1888,2)=LEFT('112'!$M$9,2),B1888&lt;'112'!$N$8,$L1888='112'!$I$6)),"x",""))</f>
        <v/>
      </c>
      <c r="T1888" s="51" t="str">
        <f>IF(ISERROR(FIND('112'!$M$9,G1888,1)),"",IF((AND(RIGHT(G1888,2)=RIGHT('112'!$M$9,2),B1888&lt;'112'!$N$8,$M1888='112'!$I$6)),"x",""))</f>
        <v/>
      </c>
      <c r="U1888" s="51" t="str">
        <f>IF(AND(L1888="154",'154'!$O$5&lt;=B1888,'154'!$P$5&gt;=B1888),"154",IF(AND(L1888="632",'632'!$L$5&lt;=B1888,'632'!$M$5&gt;=B1888),"632",IF(AND(L1888="642",'642'!$N$5&lt;=B1888,'642'!$O$5&gt;=B1888),"642",IF(AND(L1888="641",'641'!$N$5&lt;=B1888,'641'!$O$5&gt;=B1888),"641",""))))</f>
        <v/>
      </c>
      <c r="V1888" s="51" t="str">
        <f>IF(OR(TH!L1888=TH!$V$7,M1888=TH!$V$7),"x","")</f>
        <v/>
      </c>
      <c r="W1888" s="51" t="str">
        <f>IF(AND(B1888&gt;='IN-NX'!$P$3,B1888&lt;='IN-NX'!$Q$3,'IN-NX'!$D$7=D1888,OR(LEFT(L1888,2)="15",AND(LEFT(M1888,2)&lt;&gt;"15",LEFT(M1888,2)&lt;&gt;"33"))),"x","")</f>
        <v/>
      </c>
      <c r="X1888" s="51" t="str">
        <f>IF(AND(OR(LEFT(TH!L1888,2)="15",LEFT(TH!M1888,2)="15"),'152-CT'!$J$8=TH!F1888),"x","")</f>
        <v/>
      </c>
      <c r="Y1888" s="51" t="str">
        <f>IF(AND(OR(LEFT(TH!L1888,2)="15",LEFT(TH!M1888,2)="15"),TK!$E$7=TH!F1888),"x","")</f>
        <v/>
      </c>
      <c r="Z1888" s="51" t="str">
        <f>IF(AND(B1888&lt;=NKC!$N$8,B1888&gt;=NKC!$M$8),"x","")</f>
        <v/>
      </c>
      <c r="AA1888" s="803"/>
    </row>
    <row r="1889" spans="1:27" ht="15.75" customHeight="1">
      <c r="A1889" s="804" t="str">
        <f>IF(B1889&lt;&gt;"",IF(AND(B1889&gt;=_TM1,B1889&lt;=_TM2,OR(TH!L1889="1111",TH!M1889="1111")),TH!D1889,""),"")</f>
        <v/>
      </c>
      <c r="B1889" s="36">
        <f t="shared" si="132"/>
        <v>11</v>
      </c>
      <c r="C1889" s="189">
        <f t="shared" si="130"/>
        <v>42314</v>
      </c>
      <c r="D1889" s="37" t="s">
        <v>1288</v>
      </c>
      <c r="E1889" s="910">
        <v>42314</v>
      </c>
      <c r="F1889" s="902" t="s">
        <v>1243</v>
      </c>
      <c r="G1889" s="912" t="s">
        <v>1087</v>
      </c>
      <c r="H1889" s="888" t="s">
        <v>1287</v>
      </c>
      <c r="I1889" s="911">
        <v>40</v>
      </c>
      <c r="J1889" s="911">
        <v>75715.698143664253</v>
      </c>
      <c r="K1889" s="905">
        <f t="shared" si="131"/>
        <v>3028628</v>
      </c>
      <c r="L1889" s="906" t="s">
        <v>417</v>
      </c>
      <c r="M1889" s="906" t="s">
        <v>160</v>
      </c>
      <c r="N1889" s="51" t="str">
        <f>IF(AND('331-CT'!$E$7=TH!H1889,OR(L1889="331",M1889="331")),"331",IF(AND(OR(L1889="131",M1889="131"),H1889='131-CT'!$E$7),"131",""))</f>
        <v/>
      </c>
      <c r="O1889" s="51" t="str">
        <f>IF(AND($B1889&gt;='111'!$N$11,$B1889&lt;='111'!$O$11,OR($L1889=$O$7,$M1889=$O$7)),"x","")</f>
        <v/>
      </c>
      <c r="P1889" s="51" t="str">
        <f>IF(AND($L1889=$O$7,$B1889&lt;'111'!$N$11),"x","")</f>
        <v/>
      </c>
      <c r="Q1889" s="51" t="str">
        <f>IF(AND($M1889=$O$7,$B1889&lt;'111'!$N$11),"x","")</f>
        <v/>
      </c>
      <c r="R1889" s="51" t="str">
        <f>IF(ISERROR(FIND('112'!$M$9,G1889,1)),"",IF((AND(FIND('112'!$M$9,G1889,1)&gt;=1,$B1889&gt;='112'!$N$8,$B1889&lt;='112'!$O$8,OR($L1889='112'!$I$6,$M1889='112'!$I$6))),"x",""))</f>
        <v/>
      </c>
      <c r="S1889" s="51" t="str">
        <f>IF(ISERROR(FIND('112'!$M$9,G1889,1)),"",IF((AND(LEFT(G1889,2)=LEFT('112'!$M$9,2),B1889&lt;'112'!$N$8,$L1889='112'!$I$6)),"x",""))</f>
        <v/>
      </c>
      <c r="T1889" s="51" t="str">
        <f>IF(ISERROR(FIND('112'!$M$9,G1889,1)),"",IF((AND(RIGHT(G1889,2)=RIGHT('112'!$M$9,2),B1889&lt;'112'!$N$8,$M1889='112'!$I$6)),"x",""))</f>
        <v/>
      </c>
      <c r="U1889" s="51" t="str">
        <f>IF(AND(L1889="154",'154'!$O$5&lt;=B1889,'154'!$P$5&gt;=B1889),"154",IF(AND(L1889="632",'632'!$L$5&lt;=B1889,'632'!$M$5&gt;=B1889),"632",IF(AND(L1889="642",'642'!$N$5&lt;=B1889,'642'!$O$5&gt;=B1889),"642",IF(AND(L1889="641",'641'!$N$5&lt;=B1889,'641'!$O$5&gt;=B1889),"641",""))))</f>
        <v/>
      </c>
      <c r="V1889" s="51" t="str">
        <f>IF(OR(TH!L1889=TH!$V$7,M1889=TH!$V$7),"x","")</f>
        <v/>
      </c>
      <c r="W1889" s="51" t="str">
        <f>IF(AND(B1889&gt;='IN-NX'!$P$3,B1889&lt;='IN-NX'!$Q$3,'IN-NX'!$D$7=D1889,OR(LEFT(L1889,2)="15",AND(LEFT(M1889,2)&lt;&gt;"15",LEFT(M1889,2)&lt;&gt;"33"))),"x","")</f>
        <v/>
      </c>
      <c r="X1889" s="51" t="str">
        <f>IF(AND(OR(LEFT(TH!L1889,2)="15",LEFT(TH!M1889,2)="15"),'152-CT'!$J$8=TH!F1889),"x","")</f>
        <v/>
      </c>
      <c r="Y1889" s="51" t="str">
        <f>IF(AND(OR(LEFT(TH!L1889,2)="15",LEFT(TH!M1889,2)="15"),TK!$E$7=TH!F1889),"x","")</f>
        <v/>
      </c>
      <c r="Z1889" s="51" t="str">
        <f>IF(AND(B1889&lt;=NKC!$N$8,B1889&gt;=NKC!$M$8),"x","")</f>
        <v/>
      </c>
      <c r="AA1889" s="803"/>
    </row>
    <row r="1890" spans="1:27" ht="15.75" customHeight="1">
      <c r="A1890" s="804" t="str">
        <f>IF(B1890&lt;&gt;"",IF(AND(B1890&gt;=_TM1,B1890&lt;=_TM2,OR(TH!L1890="1111",TH!M1890="1111")),TH!D1890,""),"")</f>
        <v/>
      </c>
      <c r="B1890" s="36">
        <f t="shared" si="132"/>
        <v>11</v>
      </c>
      <c r="C1890" s="189">
        <f t="shared" si="130"/>
        <v>42314</v>
      </c>
      <c r="D1890" s="37" t="s">
        <v>1288</v>
      </c>
      <c r="E1890" s="910">
        <v>42314</v>
      </c>
      <c r="F1890" s="902" t="s">
        <v>1244</v>
      </c>
      <c r="G1890" s="912" t="s">
        <v>1087</v>
      </c>
      <c r="H1890" s="888" t="s">
        <v>1287</v>
      </c>
      <c r="I1890" s="911">
        <v>12</v>
      </c>
      <c r="J1890" s="911">
        <v>52425.698143664245</v>
      </c>
      <c r="K1890" s="905">
        <f t="shared" si="131"/>
        <v>629108</v>
      </c>
      <c r="L1890" s="906" t="s">
        <v>417</v>
      </c>
      <c r="M1890" s="906" t="s">
        <v>160</v>
      </c>
      <c r="N1890" s="51" t="str">
        <f>IF(AND('331-CT'!$E$7=TH!H1890,OR(L1890="331",M1890="331")),"331",IF(AND(OR(L1890="131",M1890="131"),H1890='131-CT'!$E$7),"131",""))</f>
        <v/>
      </c>
      <c r="O1890" s="51" t="str">
        <f>IF(AND($B1890&gt;='111'!$N$11,$B1890&lt;='111'!$O$11,OR($L1890=$O$7,$M1890=$O$7)),"x","")</f>
        <v/>
      </c>
      <c r="P1890" s="51" t="str">
        <f>IF(AND($L1890=$O$7,$B1890&lt;'111'!$N$11),"x","")</f>
        <v/>
      </c>
      <c r="Q1890" s="51" t="str">
        <f>IF(AND($M1890=$O$7,$B1890&lt;'111'!$N$11),"x","")</f>
        <v/>
      </c>
      <c r="R1890" s="51" t="str">
        <f>IF(ISERROR(FIND('112'!$M$9,G1890,1)),"",IF((AND(FIND('112'!$M$9,G1890,1)&gt;=1,$B1890&gt;='112'!$N$8,$B1890&lt;='112'!$O$8,OR($L1890='112'!$I$6,$M1890='112'!$I$6))),"x",""))</f>
        <v/>
      </c>
      <c r="S1890" s="51" t="str">
        <f>IF(ISERROR(FIND('112'!$M$9,G1890,1)),"",IF((AND(LEFT(G1890,2)=LEFT('112'!$M$9,2),B1890&lt;'112'!$N$8,$L1890='112'!$I$6)),"x",""))</f>
        <v/>
      </c>
      <c r="T1890" s="51" t="str">
        <f>IF(ISERROR(FIND('112'!$M$9,G1890,1)),"",IF((AND(RIGHT(G1890,2)=RIGHT('112'!$M$9,2),B1890&lt;'112'!$N$8,$M1890='112'!$I$6)),"x",""))</f>
        <v/>
      </c>
      <c r="U1890" s="51" t="str">
        <f>IF(AND(L1890="154",'154'!$O$5&lt;=B1890,'154'!$P$5&gt;=B1890),"154",IF(AND(L1890="632",'632'!$L$5&lt;=B1890,'632'!$M$5&gt;=B1890),"632",IF(AND(L1890="642",'642'!$N$5&lt;=B1890,'642'!$O$5&gt;=B1890),"642",IF(AND(L1890="641",'641'!$N$5&lt;=B1890,'641'!$O$5&gt;=B1890),"641",""))))</f>
        <v/>
      </c>
      <c r="V1890" s="51" t="str">
        <f>IF(OR(TH!L1890=TH!$V$7,M1890=TH!$V$7),"x","")</f>
        <v/>
      </c>
      <c r="W1890" s="51" t="str">
        <f>IF(AND(B1890&gt;='IN-NX'!$P$3,B1890&lt;='IN-NX'!$Q$3,'IN-NX'!$D$7=D1890,OR(LEFT(L1890,2)="15",AND(LEFT(M1890,2)&lt;&gt;"15",LEFT(M1890,2)&lt;&gt;"33"))),"x","")</f>
        <v/>
      </c>
      <c r="X1890" s="51" t="str">
        <f>IF(AND(OR(LEFT(TH!L1890,2)="15",LEFT(TH!M1890,2)="15"),'152-CT'!$J$8=TH!F1890),"x","")</f>
        <v/>
      </c>
      <c r="Y1890" s="51" t="str">
        <f>IF(AND(OR(LEFT(TH!L1890,2)="15",LEFT(TH!M1890,2)="15"),TK!$E$7=TH!F1890),"x","")</f>
        <v/>
      </c>
      <c r="Z1890" s="51" t="str">
        <f>IF(AND(B1890&lt;=NKC!$N$8,B1890&gt;=NKC!$M$8),"x","")</f>
        <v/>
      </c>
      <c r="AA1890" s="803"/>
    </row>
    <row r="1891" spans="1:27" ht="15.75" customHeight="1">
      <c r="A1891" s="804" t="str">
        <f>IF(B1891&lt;&gt;"",IF(AND(B1891&gt;=_TM1,B1891&lt;=_TM2,OR(TH!L1891="1111",TH!M1891="1111")),TH!D1891,""),"")</f>
        <v/>
      </c>
      <c r="B1891" s="36">
        <f t="shared" si="132"/>
        <v>11</v>
      </c>
      <c r="C1891" s="189">
        <f t="shared" si="130"/>
        <v>42314</v>
      </c>
      <c r="D1891" s="37" t="s">
        <v>1288</v>
      </c>
      <c r="E1891" s="910">
        <v>42314</v>
      </c>
      <c r="F1891" s="902" t="s">
        <v>1245</v>
      </c>
      <c r="G1891" s="912" t="s">
        <v>1087</v>
      </c>
      <c r="H1891" s="888" t="s">
        <v>1287</v>
      </c>
      <c r="I1891" s="911">
        <v>45</v>
      </c>
      <c r="J1891" s="911">
        <v>39481.698143664245</v>
      </c>
      <c r="K1891" s="905">
        <f t="shared" si="131"/>
        <v>1776676</v>
      </c>
      <c r="L1891" s="906" t="s">
        <v>417</v>
      </c>
      <c r="M1891" s="906" t="s">
        <v>160</v>
      </c>
      <c r="N1891" s="51" t="str">
        <f>IF(AND('331-CT'!$E$7=TH!H1891,OR(L1891="331",M1891="331")),"331",IF(AND(OR(L1891="131",M1891="131"),H1891='131-CT'!$E$7),"131",""))</f>
        <v/>
      </c>
      <c r="O1891" s="51" t="str">
        <f>IF(AND($B1891&gt;='111'!$N$11,$B1891&lt;='111'!$O$11,OR($L1891=$O$7,$M1891=$O$7)),"x","")</f>
        <v/>
      </c>
      <c r="P1891" s="51" t="str">
        <f>IF(AND($L1891=$O$7,$B1891&lt;'111'!$N$11),"x","")</f>
        <v/>
      </c>
      <c r="Q1891" s="51" t="str">
        <f>IF(AND($M1891=$O$7,$B1891&lt;'111'!$N$11),"x","")</f>
        <v/>
      </c>
      <c r="R1891" s="51" t="str">
        <f>IF(ISERROR(FIND('112'!$M$9,G1891,1)),"",IF((AND(FIND('112'!$M$9,G1891,1)&gt;=1,$B1891&gt;='112'!$N$8,$B1891&lt;='112'!$O$8,OR($L1891='112'!$I$6,$M1891='112'!$I$6))),"x",""))</f>
        <v/>
      </c>
      <c r="S1891" s="51" t="str">
        <f>IF(ISERROR(FIND('112'!$M$9,G1891,1)),"",IF((AND(LEFT(G1891,2)=LEFT('112'!$M$9,2),B1891&lt;'112'!$N$8,$L1891='112'!$I$6)),"x",""))</f>
        <v/>
      </c>
      <c r="T1891" s="51" t="str">
        <f>IF(ISERROR(FIND('112'!$M$9,G1891,1)),"",IF((AND(RIGHT(G1891,2)=RIGHT('112'!$M$9,2),B1891&lt;'112'!$N$8,$M1891='112'!$I$6)),"x",""))</f>
        <v/>
      </c>
      <c r="U1891" s="51" t="str">
        <f>IF(AND(L1891="154",'154'!$O$5&lt;=B1891,'154'!$P$5&gt;=B1891),"154",IF(AND(L1891="632",'632'!$L$5&lt;=B1891,'632'!$M$5&gt;=B1891),"632",IF(AND(L1891="642",'642'!$N$5&lt;=B1891,'642'!$O$5&gt;=B1891),"642",IF(AND(L1891="641",'641'!$N$5&lt;=B1891,'641'!$O$5&gt;=B1891),"641",""))))</f>
        <v/>
      </c>
      <c r="V1891" s="51" t="str">
        <f>IF(OR(TH!L1891=TH!$V$7,M1891=TH!$V$7),"x","")</f>
        <v/>
      </c>
      <c r="W1891" s="51" t="str">
        <f>IF(AND(B1891&gt;='IN-NX'!$P$3,B1891&lt;='IN-NX'!$Q$3,'IN-NX'!$D$7=D1891,OR(LEFT(L1891,2)="15",AND(LEFT(M1891,2)&lt;&gt;"15",LEFT(M1891,2)&lt;&gt;"33"))),"x","")</f>
        <v/>
      </c>
      <c r="X1891" s="51" t="str">
        <f>IF(AND(OR(LEFT(TH!L1891,2)="15",LEFT(TH!M1891,2)="15"),'152-CT'!$J$8=TH!F1891),"x","")</f>
        <v/>
      </c>
      <c r="Y1891" s="51" t="str">
        <f>IF(AND(OR(LEFT(TH!L1891,2)="15",LEFT(TH!M1891,2)="15"),TK!$E$7=TH!F1891),"x","")</f>
        <v/>
      </c>
      <c r="Z1891" s="51" t="str">
        <f>IF(AND(B1891&lt;=NKC!$N$8,B1891&gt;=NKC!$M$8),"x","")</f>
        <v/>
      </c>
      <c r="AA1891" s="803"/>
    </row>
    <row r="1892" spans="1:27" ht="15.75" customHeight="1">
      <c r="A1892" s="804" t="str">
        <f>IF(B1892&lt;&gt;"",IF(AND(B1892&gt;=_TM1,B1892&lt;=_TM2,OR(TH!L1892="1111",TH!M1892="1111")),TH!D1892,""),"")</f>
        <v/>
      </c>
      <c r="B1892" s="36">
        <f t="shared" si="132"/>
        <v>11</v>
      </c>
      <c r="C1892" s="189">
        <f t="shared" si="130"/>
        <v>42314</v>
      </c>
      <c r="D1892" s="37" t="s">
        <v>1288</v>
      </c>
      <c r="E1892" s="910">
        <v>42314</v>
      </c>
      <c r="F1892" s="902" t="s">
        <v>1220</v>
      </c>
      <c r="G1892" s="912" t="s">
        <v>1087</v>
      </c>
      <c r="H1892" s="888" t="s">
        <v>1287</v>
      </c>
      <c r="I1892" s="911">
        <v>10</v>
      </c>
      <c r="J1892" s="911">
        <v>50741.698143664245</v>
      </c>
      <c r="K1892" s="905">
        <f t="shared" si="131"/>
        <v>507417</v>
      </c>
      <c r="L1892" s="906" t="s">
        <v>417</v>
      </c>
      <c r="M1892" s="906" t="s">
        <v>160</v>
      </c>
      <c r="N1892" s="51" t="str">
        <f>IF(AND('331-CT'!$E$7=TH!H1892,OR(L1892="331",M1892="331")),"331",IF(AND(OR(L1892="131",M1892="131"),H1892='131-CT'!$E$7),"131",""))</f>
        <v/>
      </c>
      <c r="O1892" s="51" t="str">
        <f>IF(AND($B1892&gt;='111'!$N$11,$B1892&lt;='111'!$O$11,OR($L1892=$O$7,$M1892=$O$7)),"x","")</f>
        <v/>
      </c>
      <c r="P1892" s="51" t="str">
        <f>IF(AND($L1892=$O$7,$B1892&lt;'111'!$N$11),"x","")</f>
        <v/>
      </c>
      <c r="Q1892" s="51" t="str">
        <f>IF(AND($M1892=$O$7,$B1892&lt;'111'!$N$11),"x","")</f>
        <v/>
      </c>
      <c r="R1892" s="51" t="str">
        <f>IF(ISERROR(FIND('112'!$M$9,G1892,1)),"",IF((AND(FIND('112'!$M$9,G1892,1)&gt;=1,$B1892&gt;='112'!$N$8,$B1892&lt;='112'!$O$8,OR($L1892='112'!$I$6,$M1892='112'!$I$6))),"x",""))</f>
        <v/>
      </c>
      <c r="S1892" s="51" t="str">
        <f>IF(ISERROR(FIND('112'!$M$9,G1892,1)),"",IF((AND(LEFT(G1892,2)=LEFT('112'!$M$9,2),B1892&lt;'112'!$N$8,$L1892='112'!$I$6)),"x",""))</f>
        <v/>
      </c>
      <c r="T1892" s="51" t="str">
        <f>IF(ISERROR(FIND('112'!$M$9,G1892,1)),"",IF((AND(RIGHT(G1892,2)=RIGHT('112'!$M$9,2),B1892&lt;'112'!$N$8,$M1892='112'!$I$6)),"x",""))</f>
        <v/>
      </c>
      <c r="U1892" s="51" t="str">
        <f>IF(AND(L1892="154",'154'!$O$5&lt;=B1892,'154'!$P$5&gt;=B1892),"154",IF(AND(L1892="632",'632'!$L$5&lt;=B1892,'632'!$M$5&gt;=B1892),"632",IF(AND(L1892="642",'642'!$N$5&lt;=B1892,'642'!$O$5&gt;=B1892),"642",IF(AND(L1892="641",'641'!$N$5&lt;=B1892,'641'!$O$5&gt;=B1892),"641",""))))</f>
        <v/>
      </c>
      <c r="V1892" s="51" t="str">
        <f>IF(OR(TH!L1892=TH!$V$7,M1892=TH!$V$7),"x","")</f>
        <v/>
      </c>
      <c r="W1892" s="51" t="str">
        <f>IF(AND(B1892&gt;='IN-NX'!$P$3,B1892&lt;='IN-NX'!$Q$3,'IN-NX'!$D$7=D1892,OR(LEFT(L1892,2)="15",AND(LEFT(M1892,2)&lt;&gt;"15",LEFT(M1892,2)&lt;&gt;"33"))),"x","")</f>
        <v/>
      </c>
      <c r="X1892" s="51" t="str">
        <f>IF(AND(OR(LEFT(TH!L1892,2)="15",LEFT(TH!M1892,2)="15"),'152-CT'!$J$8=TH!F1892),"x","")</f>
        <v/>
      </c>
      <c r="Y1892" s="51" t="str">
        <f>IF(AND(OR(LEFT(TH!L1892,2)="15",LEFT(TH!M1892,2)="15"),TK!$E$7=TH!F1892),"x","")</f>
        <v/>
      </c>
      <c r="Z1892" s="51" t="str">
        <f>IF(AND(B1892&lt;=NKC!$N$8,B1892&gt;=NKC!$M$8),"x","")</f>
        <v/>
      </c>
      <c r="AA1892" s="803"/>
    </row>
    <row r="1893" spans="1:27" ht="15.75" customHeight="1">
      <c r="A1893" s="804" t="str">
        <f>IF(B1893&lt;&gt;"",IF(AND(B1893&gt;=_TM1,B1893&lt;=_TM2,OR(TH!L1893="1111",TH!M1893="1111")),TH!D1893,""),"")</f>
        <v/>
      </c>
      <c r="B1893" s="36">
        <f t="shared" si="132"/>
        <v>11</v>
      </c>
      <c r="C1893" s="189">
        <f t="shared" si="130"/>
        <v>42318</v>
      </c>
      <c r="D1893" s="37" t="s">
        <v>1288</v>
      </c>
      <c r="E1893" s="910">
        <v>42318</v>
      </c>
      <c r="F1893" s="902" t="s">
        <v>1209</v>
      </c>
      <c r="G1893" s="912" t="s">
        <v>1088</v>
      </c>
      <c r="H1893" s="888" t="s">
        <v>1287</v>
      </c>
      <c r="I1893" s="911">
        <v>1000</v>
      </c>
      <c r="J1893" s="911">
        <v>11036.798143664244</v>
      </c>
      <c r="K1893" s="905">
        <f t="shared" si="131"/>
        <v>11036798</v>
      </c>
      <c r="L1893" s="906" t="s">
        <v>417</v>
      </c>
      <c r="M1893" s="906" t="s">
        <v>160</v>
      </c>
      <c r="N1893" s="51" t="str">
        <f>IF(AND('331-CT'!$E$7=TH!H1893,OR(L1893="331",M1893="331")),"331",IF(AND(OR(L1893="131",M1893="131"),H1893='131-CT'!$E$7),"131",""))</f>
        <v/>
      </c>
      <c r="O1893" s="51" t="str">
        <f>IF(AND($B1893&gt;='111'!$N$11,$B1893&lt;='111'!$O$11,OR($L1893=$O$7,$M1893=$O$7)),"x","")</f>
        <v/>
      </c>
      <c r="P1893" s="51" t="str">
        <f>IF(AND($L1893=$O$7,$B1893&lt;'111'!$N$11),"x","")</f>
        <v/>
      </c>
      <c r="Q1893" s="51" t="str">
        <f>IF(AND($M1893=$O$7,$B1893&lt;'111'!$N$11),"x","")</f>
        <v/>
      </c>
      <c r="R1893" s="51" t="str">
        <f>IF(ISERROR(FIND('112'!$M$9,G1893,1)),"",IF((AND(FIND('112'!$M$9,G1893,1)&gt;=1,$B1893&gt;='112'!$N$8,$B1893&lt;='112'!$O$8,OR($L1893='112'!$I$6,$M1893='112'!$I$6))),"x",""))</f>
        <v/>
      </c>
      <c r="S1893" s="51" t="str">
        <f>IF(ISERROR(FIND('112'!$M$9,G1893,1)),"",IF((AND(LEFT(G1893,2)=LEFT('112'!$M$9,2),B1893&lt;'112'!$N$8,$L1893='112'!$I$6)),"x",""))</f>
        <v/>
      </c>
      <c r="T1893" s="51" t="str">
        <f>IF(ISERROR(FIND('112'!$M$9,G1893,1)),"",IF((AND(RIGHT(G1893,2)=RIGHT('112'!$M$9,2),B1893&lt;'112'!$N$8,$M1893='112'!$I$6)),"x",""))</f>
        <v/>
      </c>
      <c r="U1893" s="51" t="str">
        <f>IF(AND(L1893="154",'154'!$O$5&lt;=B1893,'154'!$P$5&gt;=B1893),"154",IF(AND(L1893="632",'632'!$L$5&lt;=B1893,'632'!$M$5&gt;=B1893),"632",IF(AND(L1893="642",'642'!$N$5&lt;=B1893,'642'!$O$5&gt;=B1893),"642",IF(AND(L1893="641",'641'!$N$5&lt;=B1893,'641'!$O$5&gt;=B1893),"641",""))))</f>
        <v/>
      </c>
      <c r="V1893" s="51" t="str">
        <f>IF(OR(TH!L1893=TH!$V$7,M1893=TH!$V$7),"x","")</f>
        <v/>
      </c>
      <c r="W1893" s="51" t="str">
        <f>IF(AND(B1893&gt;='IN-NX'!$P$3,B1893&lt;='IN-NX'!$Q$3,'IN-NX'!$D$7=D1893,OR(LEFT(L1893,2)="15",AND(LEFT(M1893,2)&lt;&gt;"15",LEFT(M1893,2)&lt;&gt;"33"))),"x","")</f>
        <v/>
      </c>
      <c r="X1893" s="51" t="str">
        <f>IF(AND(OR(LEFT(TH!L1893,2)="15",LEFT(TH!M1893,2)="15"),'152-CT'!$J$8=TH!F1893),"x","")</f>
        <v/>
      </c>
      <c r="Y1893" s="51" t="str">
        <f>IF(AND(OR(LEFT(TH!L1893,2)="15",LEFT(TH!M1893,2)="15"),TK!$E$7=TH!F1893),"x","")</f>
        <v/>
      </c>
      <c r="Z1893" s="51" t="str">
        <f>IF(AND(B1893&lt;=NKC!$N$8,B1893&gt;=NKC!$M$8),"x","")</f>
        <v/>
      </c>
      <c r="AA1893" s="803"/>
    </row>
    <row r="1894" spans="1:27" ht="15.75" customHeight="1">
      <c r="A1894" s="804" t="str">
        <f>IF(B1894&lt;&gt;"",IF(AND(B1894&gt;=_TM1,B1894&lt;=_TM2,OR(TH!L1894="1111",TH!M1894="1111")),TH!D1894,""),"")</f>
        <v/>
      </c>
      <c r="B1894" s="36">
        <f t="shared" si="132"/>
        <v>11</v>
      </c>
      <c r="C1894" s="189">
        <f t="shared" si="130"/>
        <v>42328</v>
      </c>
      <c r="D1894" s="37" t="s">
        <v>1288</v>
      </c>
      <c r="E1894" s="910">
        <v>42328</v>
      </c>
      <c r="F1894" s="902" t="s">
        <v>1231</v>
      </c>
      <c r="G1894" s="912" t="s">
        <v>1095</v>
      </c>
      <c r="H1894" s="888" t="s">
        <v>1287</v>
      </c>
      <c r="I1894" s="911">
        <v>20</v>
      </c>
      <c r="J1894" s="911">
        <v>20600.698143664245</v>
      </c>
      <c r="K1894" s="905">
        <f t="shared" si="131"/>
        <v>412014</v>
      </c>
      <c r="L1894" s="906" t="s">
        <v>417</v>
      </c>
      <c r="M1894" s="906" t="s">
        <v>160</v>
      </c>
      <c r="N1894" s="51" t="str">
        <f>IF(AND('331-CT'!$E$7=TH!H1894,OR(L1894="331",M1894="331")),"331",IF(AND(OR(L1894="131",M1894="131"),H1894='131-CT'!$E$7),"131",""))</f>
        <v/>
      </c>
      <c r="O1894" s="51" t="str">
        <f>IF(AND($B1894&gt;='111'!$N$11,$B1894&lt;='111'!$O$11,OR($L1894=$O$7,$M1894=$O$7)),"x","")</f>
        <v/>
      </c>
      <c r="P1894" s="51" t="str">
        <f>IF(AND($L1894=$O$7,$B1894&lt;'111'!$N$11),"x","")</f>
        <v/>
      </c>
      <c r="Q1894" s="51" t="str">
        <f>IF(AND($M1894=$O$7,$B1894&lt;'111'!$N$11),"x","")</f>
        <v/>
      </c>
      <c r="R1894" s="51" t="str">
        <f>IF(ISERROR(FIND('112'!$M$9,G1894,1)),"",IF((AND(FIND('112'!$M$9,G1894,1)&gt;=1,$B1894&gt;='112'!$N$8,$B1894&lt;='112'!$O$8,OR($L1894='112'!$I$6,$M1894='112'!$I$6))),"x",""))</f>
        <v/>
      </c>
      <c r="S1894" s="51" t="str">
        <f>IF(ISERROR(FIND('112'!$M$9,G1894,1)),"",IF((AND(LEFT(G1894,2)=LEFT('112'!$M$9,2),B1894&lt;'112'!$N$8,$L1894='112'!$I$6)),"x",""))</f>
        <v/>
      </c>
      <c r="T1894" s="51" t="str">
        <f>IF(ISERROR(FIND('112'!$M$9,G1894,1)),"",IF((AND(RIGHT(G1894,2)=RIGHT('112'!$M$9,2),B1894&lt;'112'!$N$8,$M1894='112'!$I$6)),"x",""))</f>
        <v/>
      </c>
      <c r="U1894" s="51" t="str">
        <f>IF(AND(L1894="154",'154'!$O$5&lt;=B1894,'154'!$P$5&gt;=B1894),"154",IF(AND(L1894="632",'632'!$L$5&lt;=B1894,'632'!$M$5&gt;=B1894),"632",IF(AND(L1894="642",'642'!$N$5&lt;=B1894,'642'!$O$5&gt;=B1894),"642",IF(AND(L1894="641",'641'!$N$5&lt;=B1894,'641'!$O$5&gt;=B1894),"641",""))))</f>
        <v/>
      </c>
      <c r="V1894" s="51" t="str">
        <f>IF(OR(TH!L1894=TH!$V$7,M1894=TH!$V$7),"x","")</f>
        <v/>
      </c>
      <c r="W1894" s="51" t="str">
        <f>IF(AND(B1894&gt;='IN-NX'!$P$3,B1894&lt;='IN-NX'!$Q$3,'IN-NX'!$D$7=D1894,OR(LEFT(L1894,2)="15",AND(LEFT(M1894,2)&lt;&gt;"15",LEFT(M1894,2)&lt;&gt;"33"))),"x","")</f>
        <v/>
      </c>
      <c r="X1894" s="51" t="str">
        <f>IF(AND(OR(LEFT(TH!L1894,2)="15",LEFT(TH!M1894,2)="15"),'152-CT'!$J$8=TH!F1894),"x","")</f>
        <v/>
      </c>
      <c r="Y1894" s="51" t="str">
        <f>IF(AND(OR(LEFT(TH!L1894,2)="15",LEFT(TH!M1894,2)="15"),TK!$E$7=TH!F1894),"x","")</f>
        <v/>
      </c>
      <c r="Z1894" s="51" t="str">
        <f>IF(AND(B1894&lt;=NKC!$N$8,B1894&gt;=NKC!$M$8),"x","")</f>
        <v/>
      </c>
      <c r="AA1894" s="803"/>
    </row>
    <row r="1895" spans="1:27" ht="15.75" customHeight="1">
      <c r="A1895" s="804" t="str">
        <f>IF(B1895&lt;&gt;"",IF(AND(B1895&gt;=_TM1,B1895&lt;=_TM2,OR(TH!L1895="1111",TH!M1895="1111")),TH!D1895,""),"")</f>
        <v/>
      </c>
      <c r="B1895" s="36">
        <f t="shared" si="132"/>
        <v>11</v>
      </c>
      <c r="C1895" s="189">
        <f t="shared" si="130"/>
        <v>42329</v>
      </c>
      <c r="D1895" s="37" t="s">
        <v>1288</v>
      </c>
      <c r="E1895" s="910">
        <v>42329</v>
      </c>
      <c r="F1895" s="902" t="s">
        <v>692</v>
      </c>
      <c r="G1895" s="912" t="s">
        <v>1096</v>
      </c>
      <c r="H1895" s="888" t="s">
        <v>1287</v>
      </c>
      <c r="I1895" s="911">
        <v>400</v>
      </c>
      <c r="J1895" s="911">
        <v>13909.698143664245</v>
      </c>
      <c r="K1895" s="905">
        <f t="shared" si="131"/>
        <v>5563879</v>
      </c>
      <c r="L1895" s="906" t="s">
        <v>417</v>
      </c>
      <c r="M1895" s="906" t="s">
        <v>160</v>
      </c>
      <c r="N1895" s="51" t="str">
        <f>IF(AND('331-CT'!$E$7=TH!H1895,OR(L1895="331",M1895="331")),"331",IF(AND(OR(L1895="131",M1895="131"),H1895='131-CT'!$E$7),"131",""))</f>
        <v/>
      </c>
      <c r="O1895" s="51" t="str">
        <f>IF(AND($B1895&gt;='111'!$N$11,$B1895&lt;='111'!$O$11,OR($L1895=$O$7,$M1895=$O$7)),"x","")</f>
        <v/>
      </c>
      <c r="P1895" s="51" t="str">
        <f>IF(AND($L1895=$O$7,$B1895&lt;'111'!$N$11),"x","")</f>
        <v/>
      </c>
      <c r="Q1895" s="51" t="str">
        <f>IF(AND($M1895=$O$7,$B1895&lt;'111'!$N$11),"x","")</f>
        <v/>
      </c>
      <c r="R1895" s="51" t="str">
        <f>IF(ISERROR(FIND('112'!$M$9,G1895,1)),"",IF((AND(FIND('112'!$M$9,G1895,1)&gt;=1,$B1895&gt;='112'!$N$8,$B1895&lt;='112'!$O$8,OR($L1895='112'!$I$6,$M1895='112'!$I$6))),"x",""))</f>
        <v/>
      </c>
      <c r="S1895" s="51" t="str">
        <f>IF(ISERROR(FIND('112'!$M$9,G1895,1)),"",IF((AND(LEFT(G1895,2)=LEFT('112'!$M$9,2),B1895&lt;'112'!$N$8,$L1895='112'!$I$6)),"x",""))</f>
        <v/>
      </c>
      <c r="T1895" s="51" t="str">
        <f>IF(ISERROR(FIND('112'!$M$9,G1895,1)),"",IF((AND(RIGHT(G1895,2)=RIGHT('112'!$M$9,2),B1895&lt;'112'!$N$8,$M1895='112'!$I$6)),"x",""))</f>
        <v/>
      </c>
      <c r="U1895" s="51" t="str">
        <f>IF(AND(L1895="154",'154'!$O$5&lt;=B1895,'154'!$P$5&gt;=B1895),"154",IF(AND(L1895="632",'632'!$L$5&lt;=B1895,'632'!$M$5&gt;=B1895),"632",IF(AND(L1895="642",'642'!$N$5&lt;=B1895,'642'!$O$5&gt;=B1895),"642",IF(AND(L1895="641",'641'!$N$5&lt;=B1895,'641'!$O$5&gt;=B1895),"641",""))))</f>
        <v/>
      </c>
      <c r="V1895" s="51" t="str">
        <f>IF(OR(TH!L1895=TH!$V$7,M1895=TH!$V$7),"x","")</f>
        <v/>
      </c>
      <c r="W1895" s="51" t="str">
        <f>IF(AND(B1895&gt;='IN-NX'!$P$3,B1895&lt;='IN-NX'!$Q$3,'IN-NX'!$D$7=D1895,OR(LEFT(L1895,2)="15",AND(LEFT(M1895,2)&lt;&gt;"15",LEFT(M1895,2)&lt;&gt;"33"))),"x","")</f>
        <v/>
      </c>
      <c r="X1895" s="51" t="str">
        <f>IF(AND(OR(LEFT(TH!L1895,2)="15",LEFT(TH!M1895,2)="15"),'152-CT'!$J$8=TH!F1895),"x","")</f>
        <v/>
      </c>
      <c r="Y1895" s="51" t="str">
        <f>IF(AND(OR(LEFT(TH!L1895,2)="15",LEFT(TH!M1895,2)="15"),TK!$E$7=TH!F1895),"x","")</f>
        <v/>
      </c>
      <c r="Z1895" s="51" t="str">
        <f>IF(AND(B1895&lt;=NKC!$N$8,B1895&gt;=NKC!$M$8),"x","")</f>
        <v/>
      </c>
      <c r="AA1895" s="803"/>
    </row>
    <row r="1896" spans="1:27" ht="15.75" customHeight="1">
      <c r="A1896" s="804" t="str">
        <f>IF(B1896&lt;&gt;"",IF(AND(B1896&gt;=_TM1,B1896&lt;=_TM2,OR(TH!L1896="1111",TH!M1896="1111")),TH!D1896,""),"")</f>
        <v/>
      </c>
      <c r="B1896" s="36">
        <f t="shared" si="132"/>
        <v>12</v>
      </c>
      <c r="C1896" s="189">
        <f t="shared" si="130"/>
        <v>42360</v>
      </c>
      <c r="D1896" s="37" t="s">
        <v>1288</v>
      </c>
      <c r="E1896" s="910">
        <v>42360</v>
      </c>
      <c r="F1896" s="902" t="s">
        <v>1206</v>
      </c>
      <c r="G1896" s="912" t="s">
        <v>482</v>
      </c>
      <c r="H1896" s="888" t="s">
        <v>1287</v>
      </c>
      <c r="I1896" s="911">
        <v>150</v>
      </c>
      <c r="J1896" s="911">
        <v>8693.178143664245</v>
      </c>
      <c r="K1896" s="905">
        <f t="shared" si="131"/>
        <v>1303977</v>
      </c>
      <c r="L1896" s="906" t="s">
        <v>417</v>
      </c>
      <c r="M1896" s="906" t="s">
        <v>160</v>
      </c>
      <c r="N1896" s="51" t="str">
        <f>IF(AND('331-CT'!$E$7=TH!H1896,OR(L1896="331",M1896="331")),"331",IF(AND(OR(L1896="131",M1896="131"),H1896='131-CT'!$E$7),"131",""))</f>
        <v/>
      </c>
      <c r="O1896" s="51" t="str">
        <f>IF(AND($B1896&gt;='111'!$N$11,$B1896&lt;='111'!$O$11,OR($L1896=$O$7,$M1896=$O$7)),"x","")</f>
        <v/>
      </c>
      <c r="P1896" s="51" t="str">
        <f>IF(AND($L1896=$O$7,$B1896&lt;'111'!$N$11),"x","")</f>
        <v/>
      </c>
      <c r="Q1896" s="51" t="str">
        <f>IF(AND($M1896=$O$7,$B1896&lt;'111'!$N$11),"x","")</f>
        <v/>
      </c>
      <c r="R1896" s="51" t="str">
        <f>IF(ISERROR(FIND('112'!$M$9,G1896,1)),"",IF((AND(FIND('112'!$M$9,G1896,1)&gt;=1,$B1896&gt;='112'!$N$8,$B1896&lt;='112'!$O$8,OR($L1896='112'!$I$6,$M1896='112'!$I$6))),"x",""))</f>
        <v/>
      </c>
      <c r="S1896" s="51" t="str">
        <f>IF(ISERROR(FIND('112'!$M$9,G1896,1)),"",IF((AND(LEFT(G1896,2)=LEFT('112'!$M$9,2),B1896&lt;'112'!$N$8,$L1896='112'!$I$6)),"x",""))</f>
        <v/>
      </c>
      <c r="T1896" s="51" t="str">
        <f>IF(ISERROR(FIND('112'!$M$9,G1896,1)),"",IF((AND(RIGHT(G1896,2)=RIGHT('112'!$M$9,2),B1896&lt;'112'!$N$8,$M1896='112'!$I$6)),"x",""))</f>
        <v/>
      </c>
      <c r="U1896" s="51" t="str">
        <f>IF(AND(L1896="154",'154'!$O$5&lt;=B1896,'154'!$P$5&gt;=B1896),"154",IF(AND(L1896="632",'632'!$L$5&lt;=B1896,'632'!$M$5&gt;=B1896),"632",IF(AND(L1896="642",'642'!$N$5&lt;=B1896,'642'!$O$5&gt;=B1896),"642",IF(AND(L1896="641",'641'!$N$5&lt;=B1896,'641'!$O$5&gt;=B1896),"641",""))))</f>
        <v/>
      </c>
      <c r="V1896" s="51" t="str">
        <f>IF(OR(TH!L1896=TH!$V$7,M1896=TH!$V$7),"x","")</f>
        <v/>
      </c>
      <c r="W1896" s="51" t="str">
        <f>IF(AND(B1896&gt;='IN-NX'!$P$3,B1896&lt;='IN-NX'!$Q$3,'IN-NX'!$D$7=D1896,OR(LEFT(L1896,2)="15",AND(LEFT(M1896,2)&lt;&gt;"15",LEFT(M1896,2)&lt;&gt;"33"))),"x","")</f>
        <v/>
      </c>
      <c r="X1896" s="51" t="str">
        <f>IF(AND(OR(LEFT(TH!L1896,2)="15",LEFT(TH!M1896,2)="15"),'152-CT'!$J$8=TH!F1896),"x","")</f>
        <v/>
      </c>
      <c r="Y1896" s="51" t="str">
        <f>IF(AND(OR(LEFT(TH!L1896,2)="15",LEFT(TH!M1896,2)="15"),TK!$E$7=TH!F1896),"x","")</f>
        <v/>
      </c>
      <c r="Z1896" s="51" t="str">
        <f>IF(AND(B1896&lt;=NKC!$N$8,B1896&gt;=NKC!$M$8),"x","")</f>
        <v/>
      </c>
      <c r="AA1896" s="803"/>
    </row>
    <row r="1897" spans="1:27" ht="15.75" customHeight="1">
      <c r="A1897" s="804" t="str">
        <f>IF(B1897&lt;&gt;"",IF(AND(B1897&gt;=_TM1,B1897&lt;=_TM2,OR(TH!L1897="1111",TH!M1897="1111")),TH!D1897,""),"")</f>
        <v/>
      </c>
      <c r="B1897" s="36">
        <f t="shared" si="113"/>
        <v>1</v>
      </c>
      <c r="C1897" s="189">
        <f t="shared" si="130"/>
        <v>42011</v>
      </c>
      <c r="D1897" s="189" t="s">
        <v>1289</v>
      </c>
      <c r="E1897" s="870">
        <v>42011</v>
      </c>
      <c r="F1897" s="871" t="s">
        <v>1125</v>
      </c>
      <c r="G1897" s="872" t="s">
        <v>961</v>
      </c>
      <c r="H1897" s="873" t="s">
        <v>1286</v>
      </c>
      <c r="I1897" s="874">
        <v>25</v>
      </c>
      <c r="J1897" s="874">
        <v>11766.88</v>
      </c>
      <c r="K1897" s="875">
        <f t="shared" ref="K1897:K1934" si="133">ROUND(I1897*J1897,0)</f>
        <v>294172</v>
      </c>
      <c r="L1897" s="876" t="s">
        <v>160</v>
      </c>
      <c r="M1897" s="876" t="s">
        <v>417</v>
      </c>
      <c r="N1897" s="51" t="str">
        <f>IF(AND('331-CT'!$E$7=TH!H1897,OR(L1897="331",M1897="331")),"331",IF(AND(OR(L1897="131",M1897="131"),H1897='131-CT'!$E$7),"131",""))</f>
        <v/>
      </c>
      <c r="O1897" s="51" t="str">
        <f>IF(AND($B1897&gt;='111'!$N$11,$B1897&lt;='111'!$O$11,OR($L1897=$O$7,$M1897=$O$7)),"x","")</f>
        <v/>
      </c>
      <c r="P1897" s="51" t="str">
        <f>IF(AND($L1897=$O$7,$B1897&lt;'111'!$N$11),"x","")</f>
        <v/>
      </c>
      <c r="Q1897" s="51" t="str">
        <f>IF(AND($M1897=$O$7,$B1897&lt;'111'!$N$11),"x","")</f>
        <v/>
      </c>
      <c r="R1897" s="51" t="str">
        <f>IF(ISERROR(FIND('112'!$M$9,G1897,1)),"",IF((AND(FIND('112'!$M$9,G1897,1)&gt;=1,$B1897&gt;='112'!$N$8,$B1897&lt;='112'!$O$8,OR($L1897='112'!$I$6,$M1897='112'!$I$6))),"x",""))</f>
        <v/>
      </c>
      <c r="S1897" s="51" t="str">
        <f>IF(ISERROR(FIND('112'!$M$9,G1897,1)),"",IF((AND(LEFT(G1897,2)=LEFT('112'!$M$9,2),B1897&lt;'112'!$N$8,$L1897='112'!$I$6)),"x",""))</f>
        <v/>
      </c>
      <c r="T1897" s="51" t="str">
        <f>IF(ISERROR(FIND('112'!$M$9,G1897,1)),"",IF((AND(RIGHT(G1897,2)=RIGHT('112'!$M$9,2),B1897&lt;'112'!$N$8,$M1897='112'!$I$6)),"x",""))</f>
        <v/>
      </c>
      <c r="U1897" s="51" t="str">
        <f>IF(AND(L1897="154",'154'!$O$5&lt;=B1897,'154'!$P$5&gt;=B1897),"154",IF(AND(L1897="632",'632'!$L$5&lt;=B1897,'632'!$M$5&gt;=B1897),"632",IF(AND(L1897="642",'642'!$N$5&lt;=B1897,'642'!$O$5&gt;=B1897),"642",IF(AND(L1897="641",'641'!$N$5&lt;=B1897,'641'!$O$5&gt;=B1897),"641",""))))</f>
        <v/>
      </c>
      <c r="V1897" s="51" t="str">
        <f>IF(OR(TH!L1897=TH!$V$7,M1897=TH!$V$7),"x","")</f>
        <v/>
      </c>
      <c r="W1897" s="51" t="str">
        <f>IF(AND(B1897&gt;='IN-NX'!$P$3,B1897&lt;='IN-NX'!$Q$3,'IN-NX'!$D$7=D1897,OR(LEFT(L1897,2)="15",AND(LEFT(M1897,2)&lt;&gt;"15",LEFT(M1897,2)&lt;&gt;"33"))),"x","")</f>
        <v/>
      </c>
      <c r="X1897" s="51" t="str">
        <f>IF(AND(OR(LEFT(TH!L1897,2)="15",LEFT(TH!M1897,2)="15"),'152-CT'!$J$8=TH!F1897),"x","")</f>
        <v/>
      </c>
      <c r="Y1897" s="51" t="str">
        <f>IF(AND(OR(LEFT(TH!L1897,2)="15",LEFT(TH!M1897,2)="15"),TK!$E$7=TH!F1897),"x","")</f>
        <v/>
      </c>
      <c r="Z1897" s="51" t="str">
        <f>IF(AND(B1897&lt;=NKC!$N$8,B1897&gt;=NKC!$M$8),"x","")</f>
        <v/>
      </c>
      <c r="AA1897" s="803"/>
    </row>
    <row r="1898" spans="1:27" ht="15.75" customHeight="1">
      <c r="A1898" s="804" t="str">
        <f>IF(B1898&lt;&gt;"",IF(AND(B1898&gt;=_TM1,B1898&lt;=_TM2,OR(TH!L1898="1111",TH!M1898="1111")),TH!D1898,""),"")</f>
        <v/>
      </c>
      <c r="B1898" s="36">
        <f t="shared" si="113"/>
        <v>1</v>
      </c>
      <c r="C1898" s="189">
        <f t="shared" si="130"/>
        <v>42019</v>
      </c>
      <c r="D1898" s="189" t="s">
        <v>1289</v>
      </c>
      <c r="E1898" s="870">
        <v>42019</v>
      </c>
      <c r="F1898" s="877" t="s">
        <v>1118</v>
      </c>
      <c r="G1898" s="872" t="s">
        <v>967</v>
      </c>
      <c r="H1898" s="873" t="s">
        <v>1286</v>
      </c>
      <c r="I1898" s="874">
        <v>250</v>
      </c>
      <c r="J1898" s="874">
        <v>20176</v>
      </c>
      <c r="K1898" s="875">
        <f t="shared" si="133"/>
        <v>5044000</v>
      </c>
      <c r="L1898" s="876" t="s">
        <v>160</v>
      </c>
      <c r="M1898" s="876" t="s">
        <v>417</v>
      </c>
      <c r="N1898" s="51" t="str">
        <f>IF(AND('331-CT'!$E$7=TH!H1898,OR(L1898="331",M1898="331")),"331",IF(AND(OR(L1898="131",M1898="131"),H1898='131-CT'!$E$7),"131",""))</f>
        <v/>
      </c>
      <c r="O1898" s="51" t="str">
        <f>IF(AND($B1898&gt;='111'!$N$11,$B1898&lt;='111'!$O$11,OR($L1898=$O$7,$M1898=$O$7)),"x","")</f>
        <v/>
      </c>
      <c r="P1898" s="51" t="str">
        <f>IF(AND($L1898=$O$7,$B1898&lt;'111'!$N$11),"x","")</f>
        <v/>
      </c>
      <c r="Q1898" s="51" t="str">
        <f>IF(AND($M1898=$O$7,$B1898&lt;'111'!$N$11),"x","")</f>
        <v/>
      </c>
      <c r="R1898" s="51" t="str">
        <f>IF(ISERROR(FIND('112'!$M$9,G1898,1)),"",IF((AND(FIND('112'!$M$9,G1898,1)&gt;=1,$B1898&gt;='112'!$N$8,$B1898&lt;='112'!$O$8,OR($L1898='112'!$I$6,$M1898='112'!$I$6))),"x",""))</f>
        <v/>
      </c>
      <c r="S1898" s="51" t="str">
        <f>IF(ISERROR(FIND('112'!$M$9,G1898,1)),"",IF((AND(LEFT(G1898,2)=LEFT('112'!$M$9,2),B1898&lt;'112'!$N$8,$L1898='112'!$I$6)),"x",""))</f>
        <v/>
      </c>
      <c r="T1898" s="51" t="str">
        <f>IF(ISERROR(FIND('112'!$M$9,G1898,1)),"",IF((AND(RIGHT(G1898,2)=RIGHT('112'!$M$9,2),B1898&lt;'112'!$N$8,$M1898='112'!$I$6)),"x",""))</f>
        <v/>
      </c>
      <c r="U1898" s="51" t="str">
        <f>IF(AND(L1898="154",'154'!$O$5&lt;=B1898,'154'!$P$5&gt;=B1898),"154",IF(AND(L1898="632",'632'!$L$5&lt;=B1898,'632'!$M$5&gt;=B1898),"632",IF(AND(L1898="642",'642'!$N$5&lt;=B1898,'642'!$O$5&gt;=B1898),"642",IF(AND(L1898="641",'641'!$N$5&lt;=B1898,'641'!$O$5&gt;=B1898),"641",""))))</f>
        <v/>
      </c>
      <c r="V1898" s="51" t="str">
        <f>IF(OR(TH!L1898=TH!$V$7,M1898=TH!$V$7),"x","")</f>
        <v/>
      </c>
      <c r="W1898" s="51" t="str">
        <f>IF(AND(B1898&gt;='IN-NX'!$P$3,B1898&lt;='IN-NX'!$Q$3,'IN-NX'!$D$7=D1898,OR(LEFT(L1898,2)="15",AND(LEFT(M1898,2)&lt;&gt;"15",LEFT(M1898,2)&lt;&gt;"33"))),"x","")</f>
        <v/>
      </c>
      <c r="X1898" s="51" t="str">
        <f>IF(AND(OR(LEFT(TH!L1898,2)="15",LEFT(TH!M1898,2)="15"),'152-CT'!$J$8=TH!F1898),"x","")</f>
        <v/>
      </c>
      <c r="Y1898" s="51" t="str">
        <f>IF(AND(OR(LEFT(TH!L1898,2)="15",LEFT(TH!M1898,2)="15"),TK!$E$7=TH!F1898),"x","")</f>
        <v/>
      </c>
      <c r="Z1898" s="51" t="str">
        <f>IF(AND(B1898&lt;=NKC!$N$8,B1898&gt;=NKC!$M$8),"x","")</f>
        <v/>
      </c>
      <c r="AA1898" s="803"/>
    </row>
    <row r="1899" spans="1:27" ht="15.75" customHeight="1">
      <c r="A1899" s="804" t="str">
        <f>IF(B1899&lt;&gt;"",IF(AND(B1899&gt;=_TM1,B1899&lt;=_TM2,OR(TH!L1899="1111",TH!M1899="1111")),TH!D1899,""),"")</f>
        <v/>
      </c>
      <c r="B1899" s="36">
        <f t="shared" si="113"/>
        <v>1</v>
      </c>
      <c r="C1899" s="189">
        <f t="shared" si="127"/>
        <v>42019</v>
      </c>
      <c r="D1899" s="189" t="s">
        <v>1289</v>
      </c>
      <c r="E1899" s="870">
        <v>42019</v>
      </c>
      <c r="F1899" s="877" t="s">
        <v>1134</v>
      </c>
      <c r="G1899" s="872" t="s">
        <v>967</v>
      </c>
      <c r="H1899" s="873" t="s">
        <v>1286</v>
      </c>
      <c r="I1899" s="874">
        <v>150</v>
      </c>
      <c r="J1899" s="874">
        <v>10974</v>
      </c>
      <c r="K1899" s="875">
        <f t="shared" si="133"/>
        <v>1646100</v>
      </c>
      <c r="L1899" s="876" t="s">
        <v>160</v>
      </c>
      <c r="M1899" s="876" t="s">
        <v>417</v>
      </c>
      <c r="N1899" s="51" t="str">
        <f>IF(AND('331-CT'!$E$7=TH!H1899,OR(L1899="331",M1899="331")),"331",IF(AND(OR(L1899="131",M1899="131"),H1899='131-CT'!$E$7),"131",""))</f>
        <v/>
      </c>
      <c r="O1899" s="51" t="str">
        <f>IF(AND($B1899&gt;='111'!$N$11,$B1899&lt;='111'!$O$11,OR($L1899=$O$7,$M1899=$O$7)),"x","")</f>
        <v/>
      </c>
      <c r="P1899" s="51" t="str">
        <f>IF(AND($L1899=$O$7,$B1899&lt;'111'!$N$11),"x","")</f>
        <v/>
      </c>
      <c r="Q1899" s="51" t="str">
        <f>IF(AND($M1899=$O$7,$B1899&lt;'111'!$N$11),"x","")</f>
        <v/>
      </c>
      <c r="R1899" s="51" t="str">
        <f>IF(ISERROR(FIND('112'!$M$9,G1899,1)),"",IF((AND(FIND('112'!$M$9,G1899,1)&gt;=1,$B1899&gt;='112'!$N$8,$B1899&lt;='112'!$O$8,OR($L1899='112'!$I$6,$M1899='112'!$I$6))),"x",""))</f>
        <v/>
      </c>
      <c r="S1899" s="51" t="str">
        <f>IF(ISERROR(FIND('112'!$M$9,G1899,1)),"",IF((AND(LEFT(G1899,2)=LEFT('112'!$M$9,2),B1899&lt;'112'!$N$8,$L1899='112'!$I$6)),"x",""))</f>
        <v/>
      </c>
      <c r="T1899" s="51" t="str">
        <f>IF(ISERROR(FIND('112'!$M$9,G1899,1)),"",IF((AND(RIGHT(G1899,2)=RIGHT('112'!$M$9,2),B1899&lt;'112'!$N$8,$M1899='112'!$I$6)),"x",""))</f>
        <v/>
      </c>
      <c r="U1899" s="51" t="str">
        <f>IF(AND(L1899="154",'154'!$O$5&lt;=B1899,'154'!$P$5&gt;=B1899),"154",IF(AND(L1899="632",'632'!$L$5&lt;=B1899,'632'!$M$5&gt;=B1899),"632",IF(AND(L1899="642",'642'!$N$5&lt;=B1899,'642'!$O$5&gt;=B1899),"642",IF(AND(L1899="641",'641'!$N$5&lt;=B1899,'641'!$O$5&gt;=B1899),"641",""))))</f>
        <v/>
      </c>
      <c r="V1899" s="51" t="str">
        <f>IF(OR(TH!L1899=TH!$V$7,M1899=TH!$V$7),"x","")</f>
        <v/>
      </c>
      <c r="W1899" s="51" t="str">
        <f>IF(AND(B1899&gt;='IN-NX'!$P$3,B1899&lt;='IN-NX'!$Q$3,'IN-NX'!$D$7=D1899,OR(LEFT(L1899,2)="15",AND(LEFT(M1899,2)&lt;&gt;"15",LEFT(M1899,2)&lt;&gt;"33"))),"x","")</f>
        <v/>
      </c>
      <c r="X1899" s="51" t="str">
        <f>IF(AND(OR(LEFT(TH!L1899,2)="15",LEFT(TH!M1899,2)="15"),'152-CT'!$J$8=TH!F1899),"x","")</f>
        <v/>
      </c>
      <c r="Y1899" s="51" t="str">
        <f>IF(AND(OR(LEFT(TH!L1899,2)="15",LEFT(TH!M1899,2)="15"),TK!$E$7=TH!F1899),"x","")</f>
        <v/>
      </c>
      <c r="Z1899" s="51" t="str">
        <f>IF(AND(B1899&lt;=NKC!$N$8,B1899&gt;=NKC!$M$8),"x","")</f>
        <v/>
      </c>
      <c r="AA1899" s="803"/>
    </row>
    <row r="1900" spans="1:27" ht="15.75" customHeight="1">
      <c r="A1900" s="804" t="str">
        <f>IF(B1900&lt;&gt;"",IF(AND(B1900&gt;=_TM1,B1900&lt;=_TM2,OR(TH!L1900="1111",TH!M1900="1111")),TH!D1900,""),"")</f>
        <v/>
      </c>
      <c r="B1900" s="36">
        <f t="shared" si="113"/>
        <v>1</v>
      </c>
      <c r="C1900" s="189">
        <f t="shared" si="127"/>
        <v>42025</v>
      </c>
      <c r="D1900" s="189" t="s">
        <v>1289</v>
      </c>
      <c r="E1900" s="870">
        <v>42025</v>
      </c>
      <c r="F1900" s="878" t="s">
        <v>1121</v>
      </c>
      <c r="G1900" s="872" t="s">
        <v>968</v>
      </c>
      <c r="H1900" s="873" t="s">
        <v>1286</v>
      </c>
      <c r="I1900" s="874">
        <v>290</v>
      </c>
      <c r="J1900" s="874">
        <v>25344</v>
      </c>
      <c r="K1900" s="875">
        <f t="shared" si="133"/>
        <v>7349760</v>
      </c>
      <c r="L1900" s="876" t="s">
        <v>160</v>
      </c>
      <c r="M1900" s="876" t="s">
        <v>417</v>
      </c>
      <c r="N1900" s="51" t="str">
        <f>IF(AND('331-CT'!$E$7=TH!H1900,OR(L1900="331",M1900="331")),"331",IF(AND(OR(L1900="131",M1900="131"),H1900='131-CT'!$E$7),"131",""))</f>
        <v/>
      </c>
      <c r="O1900" s="51" t="str">
        <f>IF(AND($B1900&gt;='111'!$N$11,$B1900&lt;='111'!$O$11,OR($L1900=$O$7,$M1900=$O$7)),"x","")</f>
        <v/>
      </c>
      <c r="P1900" s="51" t="str">
        <f>IF(AND($L1900=$O$7,$B1900&lt;'111'!$N$11),"x","")</f>
        <v/>
      </c>
      <c r="Q1900" s="51" t="str">
        <f>IF(AND($M1900=$O$7,$B1900&lt;'111'!$N$11),"x","")</f>
        <v/>
      </c>
      <c r="R1900" s="51" t="str">
        <f>IF(ISERROR(FIND('112'!$M$9,G1900,1)),"",IF((AND(FIND('112'!$M$9,G1900,1)&gt;=1,$B1900&gt;='112'!$N$8,$B1900&lt;='112'!$O$8,OR($L1900='112'!$I$6,$M1900='112'!$I$6))),"x",""))</f>
        <v/>
      </c>
      <c r="S1900" s="51" t="str">
        <f>IF(ISERROR(FIND('112'!$M$9,G1900,1)),"",IF((AND(LEFT(G1900,2)=LEFT('112'!$M$9,2),B1900&lt;'112'!$N$8,$L1900='112'!$I$6)),"x",""))</f>
        <v/>
      </c>
      <c r="T1900" s="51" t="str">
        <f>IF(ISERROR(FIND('112'!$M$9,G1900,1)),"",IF((AND(RIGHT(G1900,2)=RIGHT('112'!$M$9,2),B1900&lt;'112'!$N$8,$M1900='112'!$I$6)),"x",""))</f>
        <v/>
      </c>
      <c r="U1900" s="51" t="str">
        <f>IF(AND(L1900="154",'154'!$O$5&lt;=B1900,'154'!$P$5&gt;=B1900),"154",IF(AND(L1900="632",'632'!$L$5&lt;=B1900,'632'!$M$5&gt;=B1900),"632",IF(AND(L1900="642",'642'!$N$5&lt;=B1900,'642'!$O$5&gt;=B1900),"642",IF(AND(L1900="641",'641'!$N$5&lt;=B1900,'641'!$O$5&gt;=B1900),"641",""))))</f>
        <v/>
      </c>
      <c r="V1900" s="51" t="str">
        <f>IF(OR(TH!L1900=TH!$V$7,M1900=TH!$V$7),"x","")</f>
        <v/>
      </c>
      <c r="W1900" s="51" t="str">
        <f>IF(AND(B1900&gt;='IN-NX'!$P$3,B1900&lt;='IN-NX'!$Q$3,'IN-NX'!$D$7=D1900,OR(LEFT(L1900,2)="15",AND(LEFT(M1900,2)&lt;&gt;"15",LEFT(M1900,2)&lt;&gt;"33"))),"x","")</f>
        <v/>
      </c>
      <c r="X1900" s="51" t="str">
        <f>IF(AND(OR(LEFT(TH!L1900,2)="15",LEFT(TH!M1900,2)="15"),'152-CT'!$J$8=TH!F1900),"x","")</f>
        <v/>
      </c>
      <c r="Y1900" s="51" t="str">
        <f>IF(AND(OR(LEFT(TH!L1900,2)="15",LEFT(TH!M1900,2)="15"),TK!$E$7=TH!F1900),"x","")</f>
        <v/>
      </c>
      <c r="Z1900" s="51" t="str">
        <f>IF(AND(B1900&lt;=NKC!$N$8,B1900&gt;=NKC!$M$8),"x","")</f>
        <v/>
      </c>
      <c r="AA1900" s="803"/>
    </row>
    <row r="1901" spans="1:27" ht="15.75" customHeight="1">
      <c r="A1901" s="804" t="str">
        <f>IF(B1901&lt;&gt;"",IF(AND(B1901&gt;=_TM1,B1901&lt;=_TM2,OR(TH!L1901="1111",TH!M1901="1111")),TH!D1901,""),"")</f>
        <v/>
      </c>
      <c r="B1901" s="36">
        <f t="shared" si="113"/>
        <v>1</v>
      </c>
      <c r="C1901" s="189">
        <f t="shared" si="127"/>
        <v>42025</v>
      </c>
      <c r="D1901" s="189" t="s">
        <v>1289</v>
      </c>
      <c r="E1901" s="870">
        <v>42025</v>
      </c>
      <c r="F1901" s="878" t="s">
        <v>478</v>
      </c>
      <c r="G1901" s="872" t="s">
        <v>968</v>
      </c>
      <c r="H1901" s="873" t="s">
        <v>1286</v>
      </c>
      <c r="I1901" s="874">
        <v>290</v>
      </c>
      <c r="J1901" s="874">
        <v>19219</v>
      </c>
      <c r="K1901" s="875">
        <f t="shared" si="133"/>
        <v>5573510</v>
      </c>
      <c r="L1901" s="876" t="s">
        <v>160</v>
      </c>
      <c r="M1901" s="876" t="s">
        <v>417</v>
      </c>
      <c r="N1901" s="51" t="str">
        <f>IF(AND('331-CT'!$E$7=TH!H1901,OR(L1901="331",M1901="331")),"331",IF(AND(OR(L1901="131",M1901="131"),H1901='131-CT'!$E$7),"131",""))</f>
        <v/>
      </c>
      <c r="O1901" s="51" t="str">
        <f>IF(AND($B1901&gt;='111'!$N$11,$B1901&lt;='111'!$O$11,OR($L1901=$O$7,$M1901=$O$7)),"x","")</f>
        <v/>
      </c>
      <c r="P1901" s="51" t="str">
        <f>IF(AND($L1901=$O$7,$B1901&lt;'111'!$N$11),"x","")</f>
        <v/>
      </c>
      <c r="Q1901" s="51" t="str">
        <f>IF(AND($M1901=$O$7,$B1901&lt;'111'!$N$11),"x","")</f>
        <v/>
      </c>
      <c r="R1901" s="51" t="str">
        <f>IF(ISERROR(FIND('112'!$M$9,G1901,1)),"",IF((AND(FIND('112'!$M$9,G1901,1)&gt;=1,$B1901&gt;='112'!$N$8,$B1901&lt;='112'!$O$8,OR($L1901='112'!$I$6,$M1901='112'!$I$6))),"x",""))</f>
        <v/>
      </c>
      <c r="S1901" s="51" t="str">
        <f>IF(ISERROR(FIND('112'!$M$9,G1901,1)),"",IF((AND(LEFT(G1901,2)=LEFT('112'!$M$9,2),B1901&lt;'112'!$N$8,$L1901='112'!$I$6)),"x",""))</f>
        <v/>
      </c>
      <c r="T1901" s="51" t="str">
        <f>IF(ISERROR(FIND('112'!$M$9,G1901,1)),"",IF((AND(RIGHT(G1901,2)=RIGHT('112'!$M$9,2),B1901&lt;'112'!$N$8,$M1901='112'!$I$6)),"x",""))</f>
        <v/>
      </c>
      <c r="U1901" s="51" t="str">
        <f>IF(AND(L1901="154",'154'!$O$5&lt;=B1901,'154'!$P$5&gt;=B1901),"154",IF(AND(L1901="632",'632'!$L$5&lt;=B1901,'632'!$M$5&gt;=B1901),"632",IF(AND(L1901="642",'642'!$N$5&lt;=B1901,'642'!$O$5&gt;=B1901),"642",IF(AND(L1901="641",'641'!$N$5&lt;=B1901,'641'!$O$5&gt;=B1901),"641",""))))</f>
        <v/>
      </c>
      <c r="V1901" s="51" t="str">
        <f>IF(OR(TH!L1901=TH!$V$7,M1901=TH!$V$7),"x","")</f>
        <v/>
      </c>
      <c r="W1901" s="51" t="str">
        <f>IF(AND(B1901&gt;='IN-NX'!$P$3,B1901&lt;='IN-NX'!$Q$3,'IN-NX'!$D$7=D1901,OR(LEFT(L1901,2)="15",AND(LEFT(M1901,2)&lt;&gt;"15",LEFT(M1901,2)&lt;&gt;"33"))),"x","")</f>
        <v/>
      </c>
      <c r="X1901" s="51" t="str">
        <f>IF(AND(OR(LEFT(TH!L1901,2)="15",LEFT(TH!M1901,2)="15"),'152-CT'!$J$8=TH!F1901),"x","")</f>
        <v/>
      </c>
      <c r="Y1901" s="51" t="str">
        <f>IF(AND(OR(LEFT(TH!L1901,2)="15",LEFT(TH!M1901,2)="15"),TK!$E$7=TH!F1901),"x","")</f>
        <v/>
      </c>
      <c r="Z1901" s="51" t="str">
        <f>IF(AND(B1901&lt;=NKC!$N$8,B1901&gt;=NKC!$M$8),"x","")</f>
        <v/>
      </c>
      <c r="AA1901" s="803"/>
    </row>
    <row r="1902" spans="1:27" ht="15.75" customHeight="1">
      <c r="A1902" s="804" t="str">
        <f>IF(B1902&lt;&gt;"",IF(AND(B1902&gt;=_TM1,B1902&lt;=_TM2,OR(TH!L1902="1111",TH!M1902="1111")),TH!D1902,""),"")</f>
        <v/>
      </c>
      <c r="B1902" s="36">
        <f t="shared" si="113"/>
        <v>1</v>
      </c>
      <c r="C1902" s="189">
        <f t="shared" si="127"/>
        <v>42026</v>
      </c>
      <c r="D1902" s="189" t="s">
        <v>1289</v>
      </c>
      <c r="E1902" s="879">
        <v>42026</v>
      </c>
      <c r="F1902" s="871" t="s">
        <v>473</v>
      </c>
      <c r="G1902" s="872" t="s">
        <v>969</v>
      </c>
      <c r="H1902" s="873" t="s">
        <v>1286</v>
      </c>
      <c r="I1902" s="874">
        <v>30</v>
      </c>
      <c r="J1902" s="874">
        <v>11765</v>
      </c>
      <c r="K1902" s="875">
        <f t="shared" si="133"/>
        <v>352950</v>
      </c>
      <c r="L1902" s="876" t="s">
        <v>160</v>
      </c>
      <c r="M1902" s="876" t="s">
        <v>417</v>
      </c>
      <c r="N1902" s="51" t="str">
        <f>IF(AND('331-CT'!$E$7=TH!H1902,OR(L1902="331",M1902="331")),"331",IF(AND(OR(L1902="131",M1902="131"),H1902='131-CT'!$E$7),"131",""))</f>
        <v/>
      </c>
      <c r="O1902" s="51" t="str">
        <f>IF(AND($B1902&gt;='111'!$N$11,$B1902&lt;='111'!$O$11,OR($L1902=$O$7,$M1902=$O$7)),"x","")</f>
        <v/>
      </c>
      <c r="P1902" s="51" t="str">
        <f>IF(AND($L1902=$O$7,$B1902&lt;'111'!$N$11),"x","")</f>
        <v/>
      </c>
      <c r="Q1902" s="51" t="str">
        <f>IF(AND($M1902=$O$7,$B1902&lt;'111'!$N$11),"x","")</f>
        <v/>
      </c>
      <c r="R1902" s="51" t="str">
        <f>IF(ISERROR(FIND('112'!$M$9,G1902,1)),"",IF((AND(FIND('112'!$M$9,G1902,1)&gt;=1,$B1902&gt;='112'!$N$8,$B1902&lt;='112'!$O$8,OR($L1902='112'!$I$6,$M1902='112'!$I$6))),"x",""))</f>
        <v/>
      </c>
      <c r="S1902" s="51" t="str">
        <f>IF(ISERROR(FIND('112'!$M$9,G1902,1)),"",IF((AND(LEFT(G1902,2)=LEFT('112'!$M$9,2),B1902&lt;'112'!$N$8,$L1902='112'!$I$6)),"x",""))</f>
        <v/>
      </c>
      <c r="T1902" s="51" t="str">
        <f>IF(ISERROR(FIND('112'!$M$9,G1902,1)),"",IF((AND(RIGHT(G1902,2)=RIGHT('112'!$M$9,2),B1902&lt;'112'!$N$8,$M1902='112'!$I$6)),"x",""))</f>
        <v/>
      </c>
      <c r="U1902" s="51" t="str">
        <f>IF(AND(L1902="154",'154'!$O$5&lt;=B1902,'154'!$P$5&gt;=B1902),"154",IF(AND(L1902="632",'632'!$L$5&lt;=B1902,'632'!$M$5&gt;=B1902),"632",IF(AND(L1902="642",'642'!$N$5&lt;=B1902,'642'!$O$5&gt;=B1902),"642",IF(AND(L1902="641",'641'!$N$5&lt;=B1902,'641'!$O$5&gt;=B1902),"641",""))))</f>
        <v/>
      </c>
      <c r="V1902" s="51" t="str">
        <f>IF(OR(TH!L1902=TH!$V$7,M1902=TH!$V$7),"x","")</f>
        <v/>
      </c>
      <c r="W1902" s="51" t="str">
        <f>IF(AND(B1902&gt;='IN-NX'!$P$3,B1902&lt;='IN-NX'!$Q$3,'IN-NX'!$D$7=D1902,OR(LEFT(L1902,2)="15",AND(LEFT(M1902,2)&lt;&gt;"15",LEFT(M1902,2)&lt;&gt;"33"))),"x","")</f>
        <v/>
      </c>
      <c r="X1902" s="51" t="str">
        <f>IF(AND(OR(LEFT(TH!L1902,2)="15",LEFT(TH!M1902,2)="15"),'152-CT'!$J$8=TH!F1902),"x","")</f>
        <v/>
      </c>
      <c r="Y1902" s="51" t="str">
        <f>IF(AND(OR(LEFT(TH!L1902,2)="15",LEFT(TH!M1902,2)="15"),TK!$E$7=TH!F1902),"x","")</f>
        <v/>
      </c>
      <c r="Z1902" s="51" t="str">
        <f>IF(AND(B1902&lt;=NKC!$N$8,B1902&gt;=NKC!$M$8),"x","")</f>
        <v/>
      </c>
      <c r="AA1902" s="803"/>
    </row>
    <row r="1903" spans="1:27" ht="15.75" customHeight="1">
      <c r="A1903" s="804" t="str">
        <f>IF(B1903&lt;&gt;"",IF(AND(B1903&gt;=_TM1,B1903&lt;=_TM2,OR(TH!L1903="1111",TH!M1903="1111")),TH!D1903,""),"")</f>
        <v/>
      </c>
      <c r="B1903" s="36">
        <f t="shared" si="113"/>
        <v>1</v>
      </c>
      <c r="C1903" s="189">
        <f t="shared" si="127"/>
        <v>42026</v>
      </c>
      <c r="D1903" s="189" t="s">
        <v>1289</v>
      </c>
      <c r="E1903" s="879">
        <v>42026</v>
      </c>
      <c r="F1903" s="880" t="s">
        <v>474</v>
      </c>
      <c r="G1903" s="872" t="s">
        <v>969</v>
      </c>
      <c r="H1903" s="873" t="s">
        <v>1286</v>
      </c>
      <c r="I1903" s="874">
        <v>42</v>
      </c>
      <c r="J1903" s="874">
        <v>9946</v>
      </c>
      <c r="K1903" s="875">
        <f t="shared" si="133"/>
        <v>417732</v>
      </c>
      <c r="L1903" s="876" t="s">
        <v>160</v>
      </c>
      <c r="M1903" s="876" t="s">
        <v>417</v>
      </c>
      <c r="N1903" s="51" t="str">
        <f>IF(AND('331-CT'!$E$7=TH!H1903,OR(L1903="331",M1903="331")),"331",IF(AND(OR(L1903="131",M1903="131"),H1903='131-CT'!$E$7),"131",""))</f>
        <v/>
      </c>
      <c r="O1903" s="51" t="str">
        <f>IF(AND($B1903&gt;='111'!$N$11,$B1903&lt;='111'!$O$11,OR($L1903=$O$7,$M1903=$O$7)),"x","")</f>
        <v/>
      </c>
      <c r="P1903" s="51" t="str">
        <f>IF(AND($L1903=$O$7,$B1903&lt;'111'!$N$11),"x","")</f>
        <v/>
      </c>
      <c r="Q1903" s="51" t="str">
        <f>IF(AND($M1903=$O$7,$B1903&lt;'111'!$N$11),"x","")</f>
        <v/>
      </c>
      <c r="R1903" s="51" t="str">
        <f>IF(ISERROR(FIND('112'!$M$9,G1903,1)),"",IF((AND(FIND('112'!$M$9,G1903,1)&gt;=1,$B1903&gt;='112'!$N$8,$B1903&lt;='112'!$O$8,OR($L1903='112'!$I$6,$M1903='112'!$I$6))),"x",""))</f>
        <v/>
      </c>
      <c r="S1903" s="51" t="str">
        <f>IF(ISERROR(FIND('112'!$M$9,G1903,1)),"",IF((AND(LEFT(G1903,2)=LEFT('112'!$M$9,2),B1903&lt;'112'!$N$8,$L1903='112'!$I$6)),"x",""))</f>
        <v/>
      </c>
      <c r="T1903" s="51" t="str">
        <f>IF(ISERROR(FIND('112'!$M$9,G1903,1)),"",IF((AND(RIGHT(G1903,2)=RIGHT('112'!$M$9,2),B1903&lt;'112'!$N$8,$M1903='112'!$I$6)),"x",""))</f>
        <v/>
      </c>
      <c r="U1903" s="51" t="str">
        <f>IF(AND(L1903="154",'154'!$O$5&lt;=B1903,'154'!$P$5&gt;=B1903),"154",IF(AND(L1903="632",'632'!$L$5&lt;=B1903,'632'!$M$5&gt;=B1903),"632",IF(AND(L1903="642",'642'!$N$5&lt;=B1903,'642'!$O$5&gt;=B1903),"642",IF(AND(L1903="641",'641'!$N$5&lt;=B1903,'641'!$O$5&gt;=B1903),"641",""))))</f>
        <v/>
      </c>
      <c r="V1903" s="51" t="str">
        <f>IF(OR(TH!L1903=TH!$V$7,M1903=TH!$V$7),"x","")</f>
        <v/>
      </c>
      <c r="W1903" s="51" t="str">
        <f>IF(AND(B1903&gt;='IN-NX'!$P$3,B1903&lt;='IN-NX'!$Q$3,'IN-NX'!$D$7=D1903,OR(LEFT(L1903,2)="15",AND(LEFT(M1903,2)&lt;&gt;"15",LEFT(M1903,2)&lt;&gt;"33"))),"x","")</f>
        <v/>
      </c>
      <c r="X1903" s="51" t="str">
        <f>IF(AND(OR(LEFT(TH!L1903,2)="15",LEFT(TH!M1903,2)="15"),'152-CT'!$J$8=TH!F1903),"x","")</f>
        <v/>
      </c>
      <c r="Y1903" s="51" t="str">
        <f>IF(AND(OR(LEFT(TH!L1903,2)="15",LEFT(TH!M1903,2)="15"),TK!$E$7=TH!F1903),"x","")</f>
        <v/>
      </c>
      <c r="Z1903" s="51" t="str">
        <f>IF(AND(B1903&lt;=NKC!$N$8,B1903&gt;=NKC!$M$8),"x","")</f>
        <v/>
      </c>
      <c r="AA1903" s="803"/>
    </row>
    <row r="1904" spans="1:27" ht="15.75" customHeight="1">
      <c r="A1904" s="804" t="str">
        <f>IF(B1904&lt;&gt;"",IF(AND(B1904&gt;=_TM1,B1904&lt;=_TM2,OR(TH!L1904="1111",TH!M1904="1111")),TH!D1904,""),"")</f>
        <v/>
      </c>
      <c r="B1904" s="36">
        <f t="shared" si="113"/>
        <v>1</v>
      </c>
      <c r="C1904" s="189">
        <f t="shared" si="127"/>
        <v>42028</v>
      </c>
      <c r="D1904" s="189" t="s">
        <v>1289</v>
      </c>
      <c r="E1904" s="879">
        <v>42028</v>
      </c>
      <c r="F1904" s="878" t="s">
        <v>1256</v>
      </c>
      <c r="G1904" s="872" t="s">
        <v>542</v>
      </c>
      <c r="H1904" s="873" t="s">
        <v>1286</v>
      </c>
      <c r="I1904" s="874">
        <v>215</v>
      </c>
      <c r="J1904" s="874">
        <v>10744.8</v>
      </c>
      <c r="K1904" s="875">
        <f t="shared" si="133"/>
        <v>2310132</v>
      </c>
      <c r="L1904" s="876" t="s">
        <v>160</v>
      </c>
      <c r="M1904" s="876" t="s">
        <v>417</v>
      </c>
      <c r="N1904" s="51" t="str">
        <f>IF(AND('331-CT'!$E$7=TH!H1904,OR(L1904="331",M1904="331")),"331",IF(AND(OR(L1904="131",M1904="131"),H1904='131-CT'!$E$7),"131",""))</f>
        <v/>
      </c>
      <c r="O1904" s="51" t="str">
        <f>IF(AND($B1904&gt;='111'!$N$11,$B1904&lt;='111'!$O$11,OR($L1904=$O$7,$M1904=$O$7)),"x","")</f>
        <v/>
      </c>
      <c r="P1904" s="51" t="str">
        <f>IF(AND($L1904=$O$7,$B1904&lt;'111'!$N$11),"x","")</f>
        <v/>
      </c>
      <c r="Q1904" s="51" t="str">
        <f>IF(AND($M1904=$O$7,$B1904&lt;'111'!$N$11),"x","")</f>
        <v/>
      </c>
      <c r="R1904" s="51" t="str">
        <f>IF(ISERROR(FIND('112'!$M$9,G1904,1)),"",IF((AND(FIND('112'!$M$9,G1904,1)&gt;=1,$B1904&gt;='112'!$N$8,$B1904&lt;='112'!$O$8,OR($L1904='112'!$I$6,$M1904='112'!$I$6))),"x",""))</f>
        <v/>
      </c>
      <c r="S1904" s="51" t="str">
        <f>IF(ISERROR(FIND('112'!$M$9,G1904,1)),"",IF((AND(LEFT(G1904,2)=LEFT('112'!$M$9,2),B1904&lt;'112'!$N$8,$L1904='112'!$I$6)),"x",""))</f>
        <v/>
      </c>
      <c r="T1904" s="51" t="str">
        <f>IF(ISERROR(FIND('112'!$M$9,G1904,1)),"",IF((AND(RIGHT(G1904,2)=RIGHT('112'!$M$9,2),B1904&lt;'112'!$N$8,$M1904='112'!$I$6)),"x",""))</f>
        <v/>
      </c>
      <c r="U1904" s="51" t="str">
        <f>IF(AND(L1904="154",'154'!$O$5&lt;=B1904,'154'!$P$5&gt;=B1904),"154",IF(AND(L1904="632",'632'!$L$5&lt;=B1904,'632'!$M$5&gt;=B1904),"632",IF(AND(L1904="642",'642'!$N$5&lt;=B1904,'642'!$O$5&gt;=B1904),"642",IF(AND(L1904="641",'641'!$N$5&lt;=B1904,'641'!$O$5&gt;=B1904),"641",""))))</f>
        <v/>
      </c>
      <c r="V1904" s="51" t="str">
        <f>IF(OR(TH!L1904=TH!$V$7,M1904=TH!$V$7),"x","")</f>
        <v/>
      </c>
      <c r="W1904" s="51" t="str">
        <f>IF(AND(B1904&gt;='IN-NX'!$P$3,B1904&lt;='IN-NX'!$Q$3,'IN-NX'!$D$7=D1904,OR(LEFT(L1904,2)="15",AND(LEFT(M1904,2)&lt;&gt;"15",LEFT(M1904,2)&lt;&gt;"33"))),"x","")</f>
        <v/>
      </c>
      <c r="X1904" s="51" t="str">
        <f>IF(AND(OR(LEFT(TH!L1904,2)="15",LEFT(TH!M1904,2)="15"),'152-CT'!$J$8=TH!F1904),"x","")</f>
        <v/>
      </c>
      <c r="Y1904" s="51" t="str">
        <f>IF(AND(OR(LEFT(TH!L1904,2)="15",LEFT(TH!M1904,2)="15"),TK!$E$7=TH!F1904),"x","")</f>
        <v/>
      </c>
      <c r="Z1904" s="51" t="str">
        <f>IF(AND(B1904&lt;=NKC!$N$8,B1904&gt;=NKC!$M$8),"x","")</f>
        <v/>
      </c>
      <c r="AA1904" s="803"/>
    </row>
    <row r="1905" spans="1:27" ht="15.75" customHeight="1">
      <c r="A1905" s="804" t="str">
        <f>IF(B1905&lt;&gt;"",IF(AND(B1905&gt;=_TM1,B1905&lt;=_TM2,OR(TH!L1905="1111",TH!M1905="1111")),TH!D1905,""),"")</f>
        <v/>
      </c>
      <c r="B1905" s="36">
        <f t="shared" si="113"/>
        <v>1</v>
      </c>
      <c r="C1905" s="189">
        <f t="shared" si="127"/>
        <v>42028</v>
      </c>
      <c r="D1905" s="189" t="s">
        <v>1289</v>
      </c>
      <c r="E1905" s="879">
        <v>42028</v>
      </c>
      <c r="F1905" s="878" t="s">
        <v>1256</v>
      </c>
      <c r="G1905" s="872" t="s">
        <v>542</v>
      </c>
      <c r="H1905" s="873" t="s">
        <v>1286</v>
      </c>
      <c r="I1905" s="874">
        <v>185</v>
      </c>
      <c r="J1905" s="874">
        <v>10744.8</v>
      </c>
      <c r="K1905" s="875">
        <f t="shared" si="133"/>
        <v>1987788</v>
      </c>
      <c r="L1905" s="876" t="s">
        <v>160</v>
      </c>
      <c r="M1905" s="876" t="s">
        <v>417</v>
      </c>
      <c r="N1905" s="51" t="str">
        <f>IF(AND('331-CT'!$E$7=TH!H1905,OR(L1905="331",M1905="331")),"331",IF(AND(OR(L1905="131",M1905="131"),H1905='131-CT'!$E$7),"131",""))</f>
        <v/>
      </c>
      <c r="O1905" s="51" t="str">
        <f>IF(AND($B1905&gt;='111'!$N$11,$B1905&lt;='111'!$O$11,OR($L1905=$O$7,$M1905=$O$7)),"x","")</f>
        <v/>
      </c>
      <c r="P1905" s="51" t="str">
        <f>IF(AND($L1905=$O$7,$B1905&lt;'111'!$N$11),"x","")</f>
        <v/>
      </c>
      <c r="Q1905" s="51" t="str">
        <f>IF(AND($M1905=$O$7,$B1905&lt;'111'!$N$11),"x","")</f>
        <v/>
      </c>
      <c r="R1905" s="51" t="str">
        <f>IF(ISERROR(FIND('112'!$M$9,G1905,1)),"",IF((AND(FIND('112'!$M$9,G1905,1)&gt;=1,$B1905&gt;='112'!$N$8,$B1905&lt;='112'!$O$8,OR($L1905='112'!$I$6,$M1905='112'!$I$6))),"x",""))</f>
        <v/>
      </c>
      <c r="S1905" s="51" t="str">
        <f>IF(ISERROR(FIND('112'!$M$9,G1905,1)),"",IF((AND(LEFT(G1905,2)=LEFT('112'!$M$9,2),B1905&lt;'112'!$N$8,$L1905='112'!$I$6)),"x",""))</f>
        <v/>
      </c>
      <c r="T1905" s="51" t="str">
        <f>IF(ISERROR(FIND('112'!$M$9,G1905,1)),"",IF((AND(RIGHT(G1905,2)=RIGHT('112'!$M$9,2),B1905&lt;'112'!$N$8,$M1905='112'!$I$6)),"x",""))</f>
        <v/>
      </c>
      <c r="U1905" s="51" t="str">
        <f>IF(AND(L1905="154",'154'!$O$5&lt;=B1905,'154'!$P$5&gt;=B1905),"154",IF(AND(L1905="632",'632'!$L$5&lt;=B1905,'632'!$M$5&gt;=B1905),"632",IF(AND(L1905="642",'642'!$N$5&lt;=B1905,'642'!$O$5&gt;=B1905),"642",IF(AND(L1905="641",'641'!$N$5&lt;=B1905,'641'!$O$5&gt;=B1905),"641",""))))</f>
        <v/>
      </c>
      <c r="V1905" s="51" t="str">
        <f>IF(OR(TH!L1905=TH!$V$7,M1905=TH!$V$7),"x","")</f>
        <v/>
      </c>
      <c r="W1905" s="51" t="str">
        <f>IF(AND(B1905&gt;='IN-NX'!$P$3,B1905&lt;='IN-NX'!$Q$3,'IN-NX'!$D$7=D1905,OR(LEFT(L1905,2)="15",AND(LEFT(M1905,2)&lt;&gt;"15",LEFT(M1905,2)&lt;&gt;"33"))),"x","")</f>
        <v/>
      </c>
      <c r="X1905" s="51" t="str">
        <f>IF(AND(OR(LEFT(TH!L1905,2)="15",LEFT(TH!M1905,2)="15"),'152-CT'!$J$8=TH!F1905),"x","")</f>
        <v/>
      </c>
      <c r="Y1905" s="51" t="str">
        <f>IF(AND(OR(LEFT(TH!L1905,2)="15",LEFT(TH!M1905,2)="15"),TK!$E$7=TH!F1905),"x","")</f>
        <v/>
      </c>
      <c r="Z1905" s="51" t="str">
        <f>IF(AND(B1905&lt;=NKC!$N$8,B1905&gt;=NKC!$M$8),"x","")</f>
        <v/>
      </c>
      <c r="AA1905" s="803"/>
    </row>
    <row r="1906" spans="1:27" ht="15.75" customHeight="1">
      <c r="A1906" s="804" t="str">
        <f>IF(B1906&lt;&gt;"",IF(AND(B1906&gt;=_TM1,B1906&lt;=_TM2,OR(TH!L1906="1111",TH!M1906="1111")),TH!D1906,""),"")</f>
        <v/>
      </c>
      <c r="B1906" s="36">
        <f t="shared" si="113"/>
        <v>1</v>
      </c>
      <c r="C1906" s="189">
        <f t="shared" si="127"/>
        <v>42029</v>
      </c>
      <c r="D1906" s="189" t="s">
        <v>1289</v>
      </c>
      <c r="E1906" s="879">
        <v>42029</v>
      </c>
      <c r="F1906" s="878" t="s">
        <v>1136</v>
      </c>
      <c r="G1906" s="872" t="s">
        <v>971</v>
      </c>
      <c r="H1906" s="873" t="s">
        <v>1286</v>
      </c>
      <c r="I1906" s="874">
        <v>100</v>
      </c>
      <c r="J1906" s="874">
        <v>14648</v>
      </c>
      <c r="K1906" s="875">
        <f t="shared" si="133"/>
        <v>1464800</v>
      </c>
      <c r="L1906" s="876" t="s">
        <v>160</v>
      </c>
      <c r="M1906" s="876" t="s">
        <v>417</v>
      </c>
      <c r="N1906" s="51" t="str">
        <f>IF(AND('331-CT'!$E$7=TH!H1906,OR(L1906="331",M1906="331")),"331",IF(AND(OR(L1906="131",M1906="131"),H1906='131-CT'!$E$7),"131",""))</f>
        <v/>
      </c>
      <c r="O1906" s="51" t="str">
        <f>IF(AND($B1906&gt;='111'!$N$11,$B1906&lt;='111'!$O$11,OR($L1906=$O$7,$M1906=$O$7)),"x","")</f>
        <v/>
      </c>
      <c r="P1906" s="51" t="str">
        <f>IF(AND($L1906=$O$7,$B1906&lt;'111'!$N$11),"x","")</f>
        <v/>
      </c>
      <c r="Q1906" s="51" t="str">
        <f>IF(AND($M1906=$O$7,$B1906&lt;'111'!$N$11),"x","")</f>
        <v/>
      </c>
      <c r="R1906" s="51" t="str">
        <f>IF(ISERROR(FIND('112'!$M$9,G1906,1)),"",IF((AND(FIND('112'!$M$9,G1906,1)&gt;=1,$B1906&gt;='112'!$N$8,$B1906&lt;='112'!$O$8,OR($L1906='112'!$I$6,$M1906='112'!$I$6))),"x",""))</f>
        <v/>
      </c>
      <c r="S1906" s="51" t="str">
        <f>IF(ISERROR(FIND('112'!$M$9,G1906,1)),"",IF((AND(LEFT(G1906,2)=LEFT('112'!$M$9,2),B1906&lt;'112'!$N$8,$L1906='112'!$I$6)),"x",""))</f>
        <v/>
      </c>
      <c r="T1906" s="51" t="str">
        <f>IF(ISERROR(FIND('112'!$M$9,G1906,1)),"",IF((AND(RIGHT(G1906,2)=RIGHT('112'!$M$9,2),B1906&lt;'112'!$N$8,$M1906='112'!$I$6)),"x",""))</f>
        <v/>
      </c>
      <c r="U1906" s="51" t="str">
        <f>IF(AND(L1906="154",'154'!$O$5&lt;=B1906,'154'!$P$5&gt;=B1906),"154",IF(AND(L1906="632",'632'!$L$5&lt;=B1906,'632'!$M$5&gt;=B1906),"632",IF(AND(L1906="642",'642'!$N$5&lt;=B1906,'642'!$O$5&gt;=B1906),"642",IF(AND(L1906="641",'641'!$N$5&lt;=B1906,'641'!$O$5&gt;=B1906),"641",""))))</f>
        <v/>
      </c>
      <c r="V1906" s="51" t="str">
        <f>IF(OR(TH!L1906=TH!$V$7,M1906=TH!$V$7),"x","")</f>
        <v/>
      </c>
      <c r="W1906" s="51" t="str">
        <f>IF(AND(B1906&gt;='IN-NX'!$P$3,B1906&lt;='IN-NX'!$Q$3,'IN-NX'!$D$7=D1906,OR(LEFT(L1906,2)="15",AND(LEFT(M1906,2)&lt;&gt;"15",LEFT(M1906,2)&lt;&gt;"33"))),"x","")</f>
        <v/>
      </c>
      <c r="X1906" s="51" t="str">
        <f>IF(AND(OR(LEFT(TH!L1906,2)="15",LEFT(TH!M1906,2)="15"),'152-CT'!$J$8=TH!F1906),"x","")</f>
        <v/>
      </c>
      <c r="Y1906" s="51" t="str">
        <f>IF(AND(OR(LEFT(TH!L1906,2)="15",LEFT(TH!M1906,2)="15"),TK!$E$7=TH!F1906),"x","")</f>
        <v/>
      </c>
      <c r="Z1906" s="51" t="str">
        <f>IF(AND(B1906&lt;=NKC!$N$8,B1906&gt;=NKC!$M$8),"x","")</f>
        <v/>
      </c>
      <c r="AA1906" s="803"/>
    </row>
    <row r="1907" spans="1:27" ht="15.75" customHeight="1">
      <c r="A1907" s="804" t="str">
        <f>IF(B1907&lt;&gt;"",IF(AND(B1907&gt;=_TM1,B1907&lt;=_TM2,OR(TH!L1907="1111",TH!M1907="1111")),TH!D1907,""),"")</f>
        <v/>
      </c>
      <c r="B1907" s="36">
        <f t="shared" si="113"/>
        <v>1</v>
      </c>
      <c r="C1907" s="189">
        <f t="shared" si="127"/>
        <v>42032</v>
      </c>
      <c r="D1907" s="189" t="s">
        <v>1289</v>
      </c>
      <c r="E1907" s="879">
        <v>42032</v>
      </c>
      <c r="F1907" s="877" t="s">
        <v>1257</v>
      </c>
      <c r="G1907" s="872" t="s">
        <v>973</v>
      </c>
      <c r="H1907" s="873" t="s">
        <v>1286</v>
      </c>
      <c r="I1907" s="874">
        <v>141</v>
      </c>
      <c r="J1907" s="874">
        <v>26784</v>
      </c>
      <c r="K1907" s="875">
        <f t="shared" si="133"/>
        <v>3776544</v>
      </c>
      <c r="L1907" s="876" t="s">
        <v>160</v>
      </c>
      <c r="M1907" s="876" t="s">
        <v>417</v>
      </c>
      <c r="N1907" s="51" t="str">
        <f>IF(AND('331-CT'!$E$7=TH!H1907,OR(L1907="331",M1907="331")),"331",IF(AND(OR(L1907="131",M1907="131"),H1907='131-CT'!$E$7),"131",""))</f>
        <v/>
      </c>
      <c r="O1907" s="51" t="str">
        <f>IF(AND($B1907&gt;='111'!$N$11,$B1907&lt;='111'!$O$11,OR($L1907=$O$7,$M1907=$O$7)),"x","")</f>
        <v/>
      </c>
      <c r="P1907" s="51" t="str">
        <f>IF(AND($L1907=$O$7,$B1907&lt;'111'!$N$11),"x","")</f>
        <v/>
      </c>
      <c r="Q1907" s="51" t="str">
        <f>IF(AND($M1907=$O$7,$B1907&lt;'111'!$N$11),"x","")</f>
        <v/>
      </c>
      <c r="R1907" s="51" t="str">
        <f>IF(ISERROR(FIND('112'!$M$9,G1907,1)),"",IF((AND(FIND('112'!$M$9,G1907,1)&gt;=1,$B1907&gt;='112'!$N$8,$B1907&lt;='112'!$O$8,OR($L1907='112'!$I$6,$M1907='112'!$I$6))),"x",""))</f>
        <v/>
      </c>
      <c r="S1907" s="51" t="str">
        <f>IF(ISERROR(FIND('112'!$M$9,G1907,1)),"",IF((AND(LEFT(G1907,2)=LEFT('112'!$M$9,2),B1907&lt;'112'!$N$8,$L1907='112'!$I$6)),"x",""))</f>
        <v/>
      </c>
      <c r="T1907" s="51" t="str">
        <f>IF(ISERROR(FIND('112'!$M$9,G1907,1)),"",IF((AND(RIGHT(G1907,2)=RIGHT('112'!$M$9,2),B1907&lt;'112'!$N$8,$M1907='112'!$I$6)),"x",""))</f>
        <v/>
      </c>
      <c r="U1907" s="51" t="str">
        <f>IF(AND(L1907="154",'154'!$O$5&lt;=B1907,'154'!$P$5&gt;=B1907),"154",IF(AND(L1907="632",'632'!$L$5&lt;=B1907,'632'!$M$5&gt;=B1907),"632",IF(AND(L1907="642",'642'!$N$5&lt;=B1907,'642'!$O$5&gt;=B1907),"642",IF(AND(L1907="641",'641'!$N$5&lt;=B1907,'641'!$O$5&gt;=B1907),"641",""))))</f>
        <v/>
      </c>
      <c r="V1907" s="51" t="str">
        <f>IF(OR(TH!L1907=TH!$V$7,M1907=TH!$V$7),"x","")</f>
        <v/>
      </c>
      <c r="W1907" s="51" t="str">
        <f>IF(AND(B1907&gt;='IN-NX'!$P$3,B1907&lt;='IN-NX'!$Q$3,'IN-NX'!$D$7=D1907,OR(LEFT(L1907,2)="15",AND(LEFT(M1907,2)&lt;&gt;"15",LEFT(M1907,2)&lt;&gt;"33"))),"x","")</f>
        <v/>
      </c>
      <c r="X1907" s="51" t="str">
        <f>IF(AND(OR(LEFT(TH!L1907,2)="15",LEFT(TH!M1907,2)="15"),'152-CT'!$J$8=TH!F1907),"x","")</f>
        <v/>
      </c>
      <c r="Y1907" s="51" t="str">
        <f>IF(AND(OR(LEFT(TH!L1907,2)="15",LEFT(TH!M1907,2)="15"),TK!$E$7=TH!F1907),"x","")</f>
        <v/>
      </c>
      <c r="Z1907" s="51" t="str">
        <f>IF(AND(B1907&lt;=NKC!$N$8,B1907&gt;=NKC!$M$8),"x","")</f>
        <v/>
      </c>
      <c r="AA1907" s="803"/>
    </row>
    <row r="1908" spans="1:27" ht="15.75" customHeight="1">
      <c r="A1908" s="804" t="str">
        <f>IF(B1908&lt;&gt;"",IF(AND(B1908&gt;=_TM1,B1908&lt;=_TM2,OR(TH!L1908="1111",TH!M1908="1111")),TH!D1908,""),"")</f>
        <v/>
      </c>
      <c r="B1908" s="36">
        <f t="shared" si="113"/>
        <v>1</v>
      </c>
      <c r="C1908" s="189">
        <f t="shared" si="127"/>
        <v>42032</v>
      </c>
      <c r="D1908" s="189" t="s">
        <v>1289</v>
      </c>
      <c r="E1908" s="879">
        <v>42032</v>
      </c>
      <c r="F1908" s="880" t="s">
        <v>1133</v>
      </c>
      <c r="G1908" s="872" t="s">
        <v>973</v>
      </c>
      <c r="H1908" s="873" t="s">
        <v>1286</v>
      </c>
      <c r="I1908" s="874">
        <v>145</v>
      </c>
      <c r="J1908" s="874">
        <v>33991.496551724136</v>
      </c>
      <c r="K1908" s="875">
        <f t="shared" si="133"/>
        <v>4928767</v>
      </c>
      <c r="L1908" s="876" t="s">
        <v>160</v>
      </c>
      <c r="M1908" s="876" t="s">
        <v>417</v>
      </c>
      <c r="N1908" s="51" t="str">
        <f>IF(AND('331-CT'!$E$7=TH!H1908,OR(L1908="331",M1908="331")),"331",IF(AND(OR(L1908="131",M1908="131"),H1908='131-CT'!$E$7),"131",""))</f>
        <v/>
      </c>
      <c r="O1908" s="51" t="str">
        <f>IF(AND($B1908&gt;='111'!$N$11,$B1908&lt;='111'!$O$11,OR($L1908=$O$7,$M1908=$O$7)),"x","")</f>
        <v/>
      </c>
      <c r="P1908" s="51" t="str">
        <f>IF(AND($L1908=$O$7,$B1908&lt;'111'!$N$11),"x","")</f>
        <v/>
      </c>
      <c r="Q1908" s="51" t="str">
        <f>IF(AND($M1908=$O$7,$B1908&lt;'111'!$N$11),"x","")</f>
        <v/>
      </c>
      <c r="R1908" s="51" t="str">
        <f>IF(ISERROR(FIND('112'!$M$9,G1908,1)),"",IF((AND(FIND('112'!$M$9,G1908,1)&gt;=1,$B1908&gt;='112'!$N$8,$B1908&lt;='112'!$O$8,OR($L1908='112'!$I$6,$M1908='112'!$I$6))),"x",""))</f>
        <v/>
      </c>
      <c r="S1908" s="51" t="str">
        <f>IF(ISERROR(FIND('112'!$M$9,G1908,1)),"",IF((AND(LEFT(G1908,2)=LEFT('112'!$M$9,2),B1908&lt;'112'!$N$8,$L1908='112'!$I$6)),"x",""))</f>
        <v/>
      </c>
      <c r="T1908" s="51" t="str">
        <f>IF(ISERROR(FIND('112'!$M$9,G1908,1)),"",IF((AND(RIGHT(G1908,2)=RIGHT('112'!$M$9,2),B1908&lt;'112'!$N$8,$M1908='112'!$I$6)),"x",""))</f>
        <v/>
      </c>
      <c r="U1908" s="51" t="str">
        <f>IF(AND(L1908="154",'154'!$O$5&lt;=B1908,'154'!$P$5&gt;=B1908),"154",IF(AND(L1908="632",'632'!$L$5&lt;=B1908,'632'!$M$5&gt;=B1908),"632",IF(AND(L1908="642",'642'!$N$5&lt;=B1908,'642'!$O$5&gt;=B1908),"642",IF(AND(L1908="641",'641'!$N$5&lt;=B1908,'641'!$O$5&gt;=B1908),"641",""))))</f>
        <v/>
      </c>
      <c r="V1908" s="51" t="str">
        <f>IF(OR(TH!L1908=TH!$V$7,M1908=TH!$V$7),"x","")</f>
        <v/>
      </c>
      <c r="W1908" s="51" t="str">
        <f>IF(AND(B1908&gt;='IN-NX'!$P$3,B1908&lt;='IN-NX'!$Q$3,'IN-NX'!$D$7=D1908,OR(LEFT(L1908,2)="15",AND(LEFT(M1908,2)&lt;&gt;"15",LEFT(M1908,2)&lt;&gt;"33"))),"x","")</f>
        <v/>
      </c>
      <c r="X1908" s="51" t="str">
        <f>IF(AND(OR(LEFT(TH!L1908,2)="15",LEFT(TH!M1908,2)="15"),'152-CT'!$J$8=TH!F1908),"x","")</f>
        <v/>
      </c>
      <c r="Y1908" s="51" t="str">
        <f>IF(AND(OR(LEFT(TH!L1908,2)="15",LEFT(TH!M1908,2)="15"),TK!$E$7=TH!F1908),"x","")</f>
        <v/>
      </c>
      <c r="Z1908" s="51" t="str">
        <f>IF(AND(B1908&lt;=NKC!$N$8,B1908&gt;=NKC!$M$8),"x","")</f>
        <v/>
      </c>
      <c r="AA1908" s="803"/>
    </row>
    <row r="1909" spans="1:27" ht="15.75" customHeight="1">
      <c r="A1909" s="804" t="str">
        <f>IF(B1909&lt;&gt;"",IF(AND(B1909&gt;=_TM1,B1909&lt;=_TM2,OR(TH!L1909="1111",TH!M1909="1111")),TH!D1909,""),"")</f>
        <v/>
      </c>
      <c r="B1909" s="36">
        <f t="shared" si="113"/>
        <v>1</v>
      </c>
      <c r="C1909" s="189">
        <f t="shared" si="127"/>
        <v>42032</v>
      </c>
      <c r="D1909" s="189" t="s">
        <v>1289</v>
      </c>
      <c r="E1909" s="879">
        <v>42032</v>
      </c>
      <c r="F1909" s="878" t="s">
        <v>478</v>
      </c>
      <c r="G1909" s="872" t="s">
        <v>973</v>
      </c>
      <c r="H1909" s="873" t="s">
        <v>1286</v>
      </c>
      <c r="I1909" s="874">
        <v>128</v>
      </c>
      <c r="J1909" s="874">
        <v>19219</v>
      </c>
      <c r="K1909" s="875">
        <f t="shared" si="133"/>
        <v>2460032</v>
      </c>
      <c r="L1909" s="876" t="s">
        <v>160</v>
      </c>
      <c r="M1909" s="876" t="s">
        <v>417</v>
      </c>
      <c r="N1909" s="51" t="str">
        <f>IF(AND('331-CT'!$E$7=TH!H1909,OR(L1909="331",M1909="331")),"331",IF(AND(OR(L1909="131",M1909="131"),H1909='131-CT'!$E$7),"131",""))</f>
        <v/>
      </c>
      <c r="O1909" s="51" t="str">
        <f>IF(AND($B1909&gt;='111'!$N$11,$B1909&lt;='111'!$O$11,OR($L1909=$O$7,$M1909=$O$7)),"x","")</f>
        <v/>
      </c>
      <c r="P1909" s="51" t="str">
        <f>IF(AND($L1909=$O$7,$B1909&lt;'111'!$N$11),"x","")</f>
        <v/>
      </c>
      <c r="Q1909" s="51" t="str">
        <f>IF(AND($M1909=$O$7,$B1909&lt;'111'!$N$11),"x","")</f>
        <v/>
      </c>
      <c r="R1909" s="51" t="str">
        <f>IF(ISERROR(FIND('112'!$M$9,G1909,1)),"",IF((AND(FIND('112'!$M$9,G1909,1)&gt;=1,$B1909&gt;='112'!$N$8,$B1909&lt;='112'!$O$8,OR($L1909='112'!$I$6,$M1909='112'!$I$6))),"x",""))</f>
        <v/>
      </c>
      <c r="S1909" s="51" t="str">
        <f>IF(ISERROR(FIND('112'!$M$9,G1909,1)),"",IF((AND(LEFT(G1909,2)=LEFT('112'!$M$9,2),B1909&lt;'112'!$N$8,$L1909='112'!$I$6)),"x",""))</f>
        <v/>
      </c>
      <c r="T1909" s="51" t="str">
        <f>IF(ISERROR(FIND('112'!$M$9,G1909,1)),"",IF((AND(RIGHT(G1909,2)=RIGHT('112'!$M$9,2),B1909&lt;'112'!$N$8,$M1909='112'!$I$6)),"x",""))</f>
        <v/>
      </c>
      <c r="U1909" s="51" t="str">
        <f>IF(AND(L1909="154",'154'!$O$5&lt;=B1909,'154'!$P$5&gt;=B1909),"154",IF(AND(L1909="632",'632'!$L$5&lt;=B1909,'632'!$M$5&gt;=B1909),"632",IF(AND(L1909="642",'642'!$N$5&lt;=B1909,'642'!$O$5&gt;=B1909),"642",IF(AND(L1909="641",'641'!$N$5&lt;=B1909,'641'!$O$5&gt;=B1909),"641",""))))</f>
        <v/>
      </c>
      <c r="V1909" s="51" t="str">
        <f>IF(OR(TH!L1909=TH!$V$7,M1909=TH!$V$7),"x","")</f>
        <v/>
      </c>
      <c r="W1909" s="51" t="str">
        <f>IF(AND(B1909&gt;='IN-NX'!$P$3,B1909&lt;='IN-NX'!$Q$3,'IN-NX'!$D$7=D1909,OR(LEFT(L1909,2)="15",AND(LEFT(M1909,2)&lt;&gt;"15",LEFT(M1909,2)&lt;&gt;"33"))),"x","")</f>
        <v/>
      </c>
      <c r="X1909" s="51" t="str">
        <f>IF(AND(OR(LEFT(TH!L1909,2)="15",LEFT(TH!M1909,2)="15"),'152-CT'!$J$8=TH!F1909),"x","")</f>
        <v/>
      </c>
      <c r="Y1909" s="51" t="str">
        <f>IF(AND(OR(LEFT(TH!L1909,2)="15",LEFT(TH!M1909,2)="15"),TK!$E$7=TH!F1909),"x","")</f>
        <v/>
      </c>
      <c r="Z1909" s="51" t="str">
        <f>IF(AND(B1909&lt;=NKC!$N$8,B1909&gt;=NKC!$M$8),"x","")</f>
        <v/>
      </c>
      <c r="AA1909" s="803"/>
    </row>
    <row r="1910" spans="1:27" ht="15.75" customHeight="1">
      <c r="A1910" s="804" t="str">
        <f>IF(B1910&lt;&gt;"",IF(AND(B1910&gt;=_TM1,B1910&lt;=_TM2,OR(TH!L1910="1111",TH!M1910="1111")),TH!D1910,""),"")</f>
        <v/>
      </c>
      <c r="B1910" s="36">
        <f t="shared" si="113"/>
        <v>1</v>
      </c>
      <c r="C1910" s="189">
        <f t="shared" si="127"/>
        <v>42032</v>
      </c>
      <c r="D1910" s="189" t="s">
        <v>1289</v>
      </c>
      <c r="E1910" s="879">
        <v>42032</v>
      </c>
      <c r="F1910" s="880" t="s">
        <v>479</v>
      </c>
      <c r="G1910" s="872" t="s">
        <v>973</v>
      </c>
      <c r="H1910" s="873" t="s">
        <v>1286</v>
      </c>
      <c r="I1910" s="874">
        <v>256</v>
      </c>
      <c r="J1910" s="874">
        <v>23461</v>
      </c>
      <c r="K1910" s="875">
        <f t="shared" si="133"/>
        <v>6006016</v>
      </c>
      <c r="L1910" s="876" t="s">
        <v>160</v>
      </c>
      <c r="M1910" s="876" t="s">
        <v>417</v>
      </c>
      <c r="N1910" s="51" t="str">
        <f>IF(AND('331-CT'!$E$7=TH!H1910,OR(L1910="331",M1910="331")),"331",IF(AND(OR(L1910="131",M1910="131"),H1910='131-CT'!$E$7),"131",""))</f>
        <v/>
      </c>
      <c r="O1910" s="51" t="str">
        <f>IF(AND($B1910&gt;='111'!$N$11,$B1910&lt;='111'!$O$11,OR($L1910=$O$7,$M1910=$O$7)),"x","")</f>
        <v/>
      </c>
      <c r="P1910" s="51" t="str">
        <f>IF(AND($L1910=$O$7,$B1910&lt;'111'!$N$11),"x","")</f>
        <v/>
      </c>
      <c r="Q1910" s="51" t="str">
        <f>IF(AND($M1910=$O$7,$B1910&lt;'111'!$N$11),"x","")</f>
        <v/>
      </c>
      <c r="R1910" s="51" t="str">
        <f>IF(ISERROR(FIND('112'!$M$9,G1910,1)),"",IF((AND(FIND('112'!$M$9,G1910,1)&gt;=1,$B1910&gt;='112'!$N$8,$B1910&lt;='112'!$O$8,OR($L1910='112'!$I$6,$M1910='112'!$I$6))),"x",""))</f>
        <v/>
      </c>
      <c r="S1910" s="51" t="str">
        <f>IF(ISERROR(FIND('112'!$M$9,G1910,1)),"",IF((AND(LEFT(G1910,2)=LEFT('112'!$M$9,2),B1910&lt;'112'!$N$8,$L1910='112'!$I$6)),"x",""))</f>
        <v/>
      </c>
      <c r="T1910" s="51" t="str">
        <f>IF(ISERROR(FIND('112'!$M$9,G1910,1)),"",IF((AND(RIGHT(G1910,2)=RIGHT('112'!$M$9,2),B1910&lt;'112'!$N$8,$M1910='112'!$I$6)),"x",""))</f>
        <v/>
      </c>
      <c r="U1910" s="51" t="str">
        <f>IF(AND(L1910="154",'154'!$O$5&lt;=B1910,'154'!$P$5&gt;=B1910),"154",IF(AND(L1910="632",'632'!$L$5&lt;=B1910,'632'!$M$5&gt;=B1910),"632",IF(AND(L1910="642",'642'!$N$5&lt;=B1910,'642'!$O$5&gt;=B1910),"642",IF(AND(L1910="641",'641'!$N$5&lt;=B1910,'641'!$O$5&gt;=B1910),"641",""))))</f>
        <v/>
      </c>
      <c r="V1910" s="51" t="str">
        <f>IF(OR(TH!L1910=TH!$V$7,M1910=TH!$V$7),"x","")</f>
        <v/>
      </c>
      <c r="W1910" s="51" t="str">
        <f>IF(AND(B1910&gt;='IN-NX'!$P$3,B1910&lt;='IN-NX'!$Q$3,'IN-NX'!$D$7=D1910,OR(LEFT(L1910,2)="15",AND(LEFT(M1910,2)&lt;&gt;"15",LEFT(M1910,2)&lt;&gt;"33"))),"x","")</f>
        <v/>
      </c>
      <c r="X1910" s="51" t="str">
        <f>IF(AND(OR(LEFT(TH!L1910,2)="15",LEFT(TH!M1910,2)="15"),'152-CT'!$J$8=TH!F1910),"x","")</f>
        <v/>
      </c>
      <c r="Y1910" s="51" t="str">
        <f>IF(AND(OR(LEFT(TH!L1910,2)="15",LEFT(TH!M1910,2)="15"),TK!$E$7=TH!F1910),"x","")</f>
        <v/>
      </c>
      <c r="Z1910" s="51" t="str">
        <f>IF(AND(B1910&lt;=NKC!$N$8,B1910&gt;=NKC!$M$8),"x","")</f>
        <v/>
      </c>
      <c r="AA1910" s="803"/>
    </row>
    <row r="1911" spans="1:27" ht="15.75" customHeight="1">
      <c r="A1911" s="804" t="str">
        <f>IF(B1911&lt;&gt;"",IF(AND(B1911&gt;=_TM1,B1911&lt;=_TM2,OR(TH!L1911="1111",TH!M1911="1111")),TH!D1911,""),"")</f>
        <v/>
      </c>
      <c r="B1911" s="36">
        <f t="shared" si="113"/>
        <v>1</v>
      </c>
      <c r="C1911" s="189">
        <f t="shared" si="127"/>
        <v>42032</v>
      </c>
      <c r="D1911" s="189" t="s">
        <v>1289</v>
      </c>
      <c r="E1911" s="879">
        <v>42032</v>
      </c>
      <c r="F1911" s="878" t="s">
        <v>470</v>
      </c>
      <c r="G1911" s="872" t="s">
        <v>973</v>
      </c>
      <c r="H1911" s="873" t="s">
        <v>1286</v>
      </c>
      <c r="I1911" s="874">
        <v>681</v>
      </c>
      <c r="J1911" s="874">
        <v>10792.543318649046</v>
      </c>
      <c r="K1911" s="875">
        <f t="shared" si="133"/>
        <v>7349722</v>
      </c>
      <c r="L1911" s="876" t="s">
        <v>160</v>
      </c>
      <c r="M1911" s="876" t="s">
        <v>417</v>
      </c>
      <c r="N1911" s="51" t="str">
        <f>IF(AND('331-CT'!$E$7=TH!H1911,OR(L1911="331",M1911="331")),"331",IF(AND(OR(L1911="131",M1911="131"),H1911='131-CT'!$E$7),"131",""))</f>
        <v/>
      </c>
      <c r="O1911" s="51" t="str">
        <f>IF(AND($B1911&gt;='111'!$N$11,$B1911&lt;='111'!$O$11,OR($L1911=$O$7,$M1911=$O$7)),"x","")</f>
        <v/>
      </c>
      <c r="P1911" s="51" t="str">
        <f>IF(AND($L1911=$O$7,$B1911&lt;'111'!$N$11),"x","")</f>
        <v/>
      </c>
      <c r="Q1911" s="51" t="str">
        <f>IF(AND($M1911=$O$7,$B1911&lt;'111'!$N$11),"x","")</f>
        <v/>
      </c>
      <c r="R1911" s="51" t="str">
        <f>IF(ISERROR(FIND('112'!$M$9,G1911,1)),"",IF((AND(FIND('112'!$M$9,G1911,1)&gt;=1,$B1911&gt;='112'!$N$8,$B1911&lt;='112'!$O$8,OR($L1911='112'!$I$6,$M1911='112'!$I$6))),"x",""))</f>
        <v/>
      </c>
      <c r="S1911" s="51" t="str">
        <f>IF(ISERROR(FIND('112'!$M$9,G1911,1)),"",IF((AND(LEFT(G1911,2)=LEFT('112'!$M$9,2),B1911&lt;'112'!$N$8,$L1911='112'!$I$6)),"x",""))</f>
        <v/>
      </c>
      <c r="T1911" s="51" t="str">
        <f>IF(ISERROR(FIND('112'!$M$9,G1911,1)),"",IF((AND(RIGHT(G1911,2)=RIGHT('112'!$M$9,2),B1911&lt;'112'!$N$8,$M1911='112'!$I$6)),"x",""))</f>
        <v/>
      </c>
      <c r="U1911" s="51" t="str">
        <f>IF(AND(L1911="154",'154'!$O$5&lt;=B1911,'154'!$P$5&gt;=B1911),"154",IF(AND(L1911="632",'632'!$L$5&lt;=B1911,'632'!$M$5&gt;=B1911),"632",IF(AND(L1911="642",'642'!$N$5&lt;=B1911,'642'!$O$5&gt;=B1911),"642",IF(AND(L1911="641",'641'!$N$5&lt;=B1911,'641'!$O$5&gt;=B1911),"641",""))))</f>
        <v/>
      </c>
      <c r="V1911" s="51" t="str">
        <f>IF(OR(TH!L1911=TH!$V$7,M1911=TH!$V$7),"x","")</f>
        <v/>
      </c>
      <c r="W1911" s="51" t="str">
        <f>IF(AND(B1911&gt;='IN-NX'!$P$3,B1911&lt;='IN-NX'!$Q$3,'IN-NX'!$D$7=D1911,OR(LEFT(L1911,2)="15",AND(LEFT(M1911,2)&lt;&gt;"15",LEFT(M1911,2)&lt;&gt;"33"))),"x","")</f>
        <v/>
      </c>
      <c r="X1911" s="51" t="str">
        <f>IF(AND(OR(LEFT(TH!L1911,2)="15",LEFT(TH!M1911,2)="15"),'152-CT'!$J$8=TH!F1911),"x","")</f>
        <v/>
      </c>
      <c r="Y1911" s="51" t="str">
        <f>IF(AND(OR(LEFT(TH!L1911,2)="15",LEFT(TH!M1911,2)="15"),TK!$E$7=TH!F1911),"x","")</f>
        <v/>
      </c>
      <c r="Z1911" s="51" t="str">
        <f>IF(AND(B1911&lt;=NKC!$N$8,B1911&gt;=NKC!$M$8),"x","")</f>
        <v/>
      </c>
      <c r="AA1911" s="803"/>
    </row>
    <row r="1912" spans="1:27" ht="15.75" customHeight="1">
      <c r="A1912" s="804" t="str">
        <f>IF(B1912&lt;&gt;"",IF(AND(B1912&gt;=_TM1,B1912&lt;=_TM2,OR(TH!L1912="1111",TH!M1912="1111")),TH!D1912,""),"")</f>
        <v/>
      </c>
      <c r="B1912" s="36">
        <f t="shared" si="113"/>
        <v>2</v>
      </c>
      <c r="C1912" s="189">
        <f t="shared" si="127"/>
        <v>42039</v>
      </c>
      <c r="D1912" s="189" t="s">
        <v>1289</v>
      </c>
      <c r="E1912" s="879">
        <v>42039</v>
      </c>
      <c r="F1912" s="877" t="s">
        <v>1257</v>
      </c>
      <c r="G1912" s="872" t="s">
        <v>976</v>
      </c>
      <c r="H1912" s="873" t="s">
        <v>1286</v>
      </c>
      <c r="I1912" s="874">
        <v>509</v>
      </c>
      <c r="J1912" s="874">
        <v>26784</v>
      </c>
      <c r="K1912" s="875">
        <f t="shared" si="133"/>
        <v>13633056</v>
      </c>
      <c r="L1912" s="876" t="s">
        <v>160</v>
      </c>
      <c r="M1912" s="876" t="s">
        <v>417</v>
      </c>
      <c r="N1912" s="51" t="str">
        <f>IF(AND('331-CT'!$E$7=TH!H1912,OR(L1912="331",M1912="331")),"331",IF(AND(OR(L1912="131",M1912="131"),H1912='131-CT'!$E$7),"131",""))</f>
        <v/>
      </c>
      <c r="O1912" s="51" t="str">
        <f>IF(AND($B1912&gt;='111'!$N$11,$B1912&lt;='111'!$O$11,OR($L1912=$O$7,$M1912=$O$7)),"x","")</f>
        <v/>
      </c>
      <c r="P1912" s="51" t="str">
        <f>IF(AND($L1912=$O$7,$B1912&lt;'111'!$N$11),"x","")</f>
        <v/>
      </c>
      <c r="Q1912" s="51" t="str">
        <f>IF(AND($M1912=$O$7,$B1912&lt;'111'!$N$11),"x","")</f>
        <v/>
      </c>
      <c r="R1912" s="51" t="str">
        <f>IF(ISERROR(FIND('112'!$M$9,G1912,1)),"",IF((AND(FIND('112'!$M$9,G1912,1)&gt;=1,$B1912&gt;='112'!$N$8,$B1912&lt;='112'!$O$8,OR($L1912='112'!$I$6,$M1912='112'!$I$6))),"x",""))</f>
        <v/>
      </c>
      <c r="S1912" s="51" t="str">
        <f>IF(ISERROR(FIND('112'!$M$9,G1912,1)),"",IF((AND(LEFT(G1912,2)=LEFT('112'!$M$9,2),B1912&lt;'112'!$N$8,$L1912='112'!$I$6)),"x",""))</f>
        <v/>
      </c>
      <c r="T1912" s="51" t="str">
        <f>IF(ISERROR(FIND('112'!$M$9,G1912,1)),"",IF((AND(RIGHT(G1912,2)=RIGHT('112'!$M$9,2),B1912&lt;'112'!$N$8,$M1912='112'!$I$6)),"x",""))</f>
        <v/>
      </c>
      <c r="U1912" s="51" t="str">
        <f>IF(AND(L1912="154",'154'!$O$5&lt;=B1912,'154'!$P$5&gt;=B1912),"154",IF(AND(L1912="632",'632'!$L$5&lt;=B1912,'632'!$M$5&gt;=B1912),"632",IF(AND(L1912="642",'642'!$N$5&lt;=B1912,'642'!$O$5&gt;=B1912),"642",IF(AND(L1912="641",'641'!$N$5&lt;=B1912,'641'!$O$5&gt;=B1912),"641",""))))</f>
        <v/>
      </c>
      <c r="V1912" s="51" t="str">
        <f>IF(OR(TH!L1912=TH!$V$7,M1912=TH!$V$7),"x","")</f>
        <v/>
      </c>
      <c r="W1912" s="51" t="str">
        <f>IF(AND(B1912&gt;='IN-NX'!$P$3,B1912&lt;='IN-NX'!$Q$3,'IN-NX'!$D$7=D1912,OR(LEFT(L1912,2)="15",AND(LEFT(M1912,2)&lt;&gt;"15",LEFT(M1912,2)&lt;&gt;"33"))),"x","")</f>
        <v/>
      </c>
      <c r="X1912" s="51" t="str">
        <f>IF(AND(OR(LEFT(TH!L1912,2)="15",LEFT(TH!M1912,2)="15"),'152-CT'!$J$8=TH!F1912),"x","")</f>
        <v/>
      </c>
      <c r="Y1912" s="51" t="str">
        <f>IF(AND(OR(LEFT(TH!L1912,2)="15",LEFT(TH!M1912,2)="15"),TK!$E$7=TH!F1912),"x","")</f>
        <v/>
      </c>
      <c r="Z1912" s="51" t="str">
        <f>IF(AND(B1912&lt;=NKC!$N$8,B1912&gt;=NKC!$M$8),"x","")</f>
        <v/>
      </c>
      <c r="AA1912" s="803"/>
    </row>
    <row r="1913" spans="1:27" ht="15.75" customHeight="1">
      <c r="A1913" s="804" t="str">
        <f>IF(B1913&lt;&gt;"",IF(AND(B1913&gt;=_TM1,B1913&lt;=_TM2,OR(TH!L1913="1111",TH!M1913="1111")),TH!D1913,""),"")</f>
        <v/>
      </c>
      <c r="B1913" s="36">
        <f t="shared" si="113"/>
        <v>2</v>
      </c>
      <c r="C1913" s="189">
        <f t="shared" si="127"/>
        <v>42039</v>
      </c>
      <c r="D1913" s="189" t="s">
        <v>1289</v>
      </c>
      <c r="E1913" s="879">
        <v>42039</v>
      </c>
      <c r="F1913" s="878" t="s">
        <v>472</v>
      </c>
      <c r="G1913" s="872" t="s">
        <v>976</v>
      </c>
      <c r="H1913" s="873" t="s">
        <v>1286</v>
      </c>
      <c r="I1913" s="874">
        <v>580</v>
      </c>
      <c r="J1913" s="874">
        <v>17028</v>
      </c>
      <c r="K1913" s="875">
        <f t="shared" si="133"/>
        <v>9876240</v>
      </c>
      <c r="L1913" s="876" t="s">
        <v>160</v>
      </c>
      <c r="M1913" s="876" t="s">
        <v>417</v>
      </c>
      <c r="N1913" s="51" t="str">
        <f>IF(AND('331-CT'!$E$7=TH!H1913,OR(L1913="331",M1913="331")),"331",IF(AND(OR(L1913="131",M1913="131"),H1913='131-CT'!$E$7),"131",""))</f>
        <v/>
      </c>
      <c r="O1913" s="51" t="str">
        <f>IF(AND($B1913&gt;='111'!$N$11,$B1913&lt;='111'!$O$11,OR($L1913=$O$7,$M1913=$O$7)),"x","")</f>
        <v/>
      </c>
      <c r="P1913" s="51" t="str">
        <f>IF(AND($L1913=$O$7,$B1913&lt;'111'!$N$11),"x","")</f>
        <v/>
      </c>
      <c r="Q1913" s="51" t="str">
        <f>IF(AND($M1913=$O$7,$B1913&lt;'111'!$N$11),"x","")</f>
        <v/>
      </c>
      <c r="R1913" s="51" t="str">
        <f>IF(ISERROR(FIND('112'!$M$9,G1913,1)),"",IF((AND(FIND('112'!$M$9,G1913,1)&gt;=1,$B1913&gt;='112'!$N$8,$B1913&lt;='112'!$O$8,OR($L1913='112'!$I$6,$M1913='112'!$I$6))),"x",""))</f>
        <v/>
      </c>
      <c r="S1913" s="51" t="str">
        <f>IF(ISERROR(FIND('112'!$M$9,G1913,1)),"",IF((AND(LEFT(G1913,2)=LEFT('112'!$M$9,2),B1913&lt;'112'!$N$8,$L1913='112'!$I$6)),"x",""))</f>
        <v/>
      </c>
      <c r="T1913" s="51" t="str">
        <f>IF(ISERROR(FIND('112'!$M$9,G1913,1)),"",IF((AND(RIGHT(G1913,2)=RIGHT('112'!$M$9,2),B1913&lt;'112'!$N$8,$M1913='112'!$I$6)),"x",""))</f>
        <v/>
      </c>
      <c r="U1913" s="51" t="str">
        <f>IF(AND(L1913="154",'154'!$O$5&lt;=B1913,'154'!$P$5&gt;=B1913),"154",IF(AND(L1913="632",'632'!$L$5&lt;=B1913,'632'!$M$5&gt;=B1913),"632",IF(AND(L1913="642",'642'!$N$5&lt;=B1913,'642'!$O$5&gt;=B1913),"642",IF(AND(L1913="641",'641'!$N$5&lt;=B1913,'641'!$O$5&gt;=B1913),"641",""))))</f>
        <v/>
      </c>
      <c r="V1913" s="51" t="str">
        <f>IF(OR(TH!L1913=TH!$V$7,M1913=TH!$V$7),"x","")</f>
        <v/>
      </c>
      <c r="W1913" s="51" t="str">
        <f>IF(AND(B1913&gt;='IN-NX'!$P$3,B1913&lt;='IN-NX'!$Q$3,'IN-NX'!$D$7=D1913,OR(LEFT(L1913,2)="15",AND(LEFT(M1913,2)&lt;&gt;"15",LEFT(M1913,2)&lt;&gt;"33"))),"x","")</f>
        <v/>
      </c>
      <c r="X1913" s="51" t="str">
        <f>IF(AND(OR(LEFT(TH!L1913,2)="15",LEFT(TH!M1913,2)="15"),'152-CT'!$J$8=TH!F1913),"x","")</f>
        <v/>
      </c>
      <c r="Y1913" s="51" t="str">
        <f>IF(AND(OR(LEFT(TH!L1913,2)="15",LEFT(TH!M1913,2)="15"),TK!$E$7=TH!F1913),"x","")</f>
        <v/>
      </c>
      <c r="Z1913" s="51" t="str">
        <f>IF(AND(B1913&lt;=NKC!$N$8,B1913&gt;=NKC!$M$8),"x","")</f>
        <v/>
      </c>
      <c r="AA1913" s="803"/>
    </row>
    <row r="1914" spans="1:27" ht="15.75" customHeight="1">
      <c r="A1914" s="804" t="str">
        <f>IF(B1914&lt;&gt;"",IF(AND(B1914&gt;=_TM1,B1914&lt;=_TM2,OR(TH!L1914="1111",TH!M1914="1111")),TH!D1914,""),"")</f>
        <v/>
      </c>
      <c r="B1914" s="36">
        <f t="shared" ref="B1914:B1952" si="134">IF(C1914&lt;&gt;"",MONTH(C1914),"")</f>
        <v>2</v>
      </c>
      <c r="C1914" s="189">
        <f t="shared" si="127"/>
        <v>42039</v>
      </c>
      <c r="D1914" s="189" t="s">
        <v>1289</v>
      </c>
      <c r="E1914" s="879">
        <v>42039</v>
      </c>
      <c r="F1914" s="878" t="s">
        <v>484</v>
      </c>
      <c r="G1914" s="872" t="s">
        <v>976</v>
      </c>
      <c r="H1914" s="873" t="s">
        <v>1286</v>
      </c>
      <c r="I1914" s="874">
        <v>40</v>
      </c>
      <c r="J1914" s="874">
        <v>24499</v>
      </c>
      <c r="K1914" s="875">
        <f t="shared" si="133"/>
        <v>979960</v>
      </c>
      <c r="L1914" s="876" t="s">
        <v>160</v>
      </c>
      <c r="M1914" s="876" t="s">
        <v>417</v>
      </c>
      <c r="N1914" s="51" t="str">
        <f>IF(AND('331-CT'!$E$7=TH!H1914,OR(L1914="331",M1914="331")),"331",IF(AND(OR(L1914="131",M1914="131"),H1914='131-CT'!$E$7),"131",""))</f>
        <v/>
      </c>
      <c r="O1914" s="51" t="str">
        <f>IF(AND($B1914&gt;='111'!$N$11,$B1914&lt;='111'!$O$11,OR($L1914=$O$7,$M1914=$O$7)),"x","")</f>
        <v/>
      </c>
      <c r="P1914" s="51" t="str">
        <f>IF(AND($L1914=$O$7,$B1914&lt;'111'!$N$11),"x","")</f>
        <v/>
      </c>
      <c r="Q1914" s="51" t="str">
        <f>IF(AND($M1914=$O$7,$B1914&lt;'111'!$N$11),"x","")</f>
        <v/>
      </c>
      <c r="R1914" s="51" t="str">
        <f>IF(ISERROR(FIND('112'!$M$9,G1914,1)),"",IF((AND(FIND('112'!$M$9,G1914,1)&gt;=1,$B1914&gt;='112'!$N$8,$B1914&lt;='112'!$O$8,OR($L1914='112'!$I$6,$M1914='112'!$I$6))),"x",""))</f>
        <v/>
      </c>
      <c r="S1914" s="51" t="str">
        <f>IF(ISERROR(FIND('112'!$M$9,G1914,1)),"",IF((AND(LEFT(G1914,2)=LEFT('112'!$M$9,2),B1914&lt;'112'!$N$8,$L1914='112'!$I$6)),"x",""))</f>
        <v/>
      </c>
      <c r="T1914" s="51" t="str">
        <f>IF(ISERROR(FIND('112'!$M$9,G1914,1)),"",IF((AND(RIGHT(G1914,2)=RIGHT('112'!$M$9,2),B1914&lt;'112'!$N$8,$M1914='112'!$I$6)),"x",""))</f>
        <v/>
      </c>
      <c r="U1914" s="51" t="str">
        <f>IF(AND(L1914="154",'154'!$O$5&lt;=B1914,'154'!$P$5&gt;=B1914),"154",IF(AND(L1914="632",'632'!$L$5&lt;=B1914,'632'!$M$5&gt;=B1914),"632",IF(AND(L1914="642",'642'!$N$5&lt;=B1914,'642'!$O$5&gt;=B1914),"642",IF(AND(L1914="641",'641'!$N$5&lt;=B1914,'641'!$O$5&gt;=B1914),"641",""))))</f>
        <v/>
      </c>
      <c r="V1914" s="51" t="str">
        <f>IF(OR(TH!L1914=TH!$V$7,M1914=TH!$V$7),"x","")</f>
        <v/>
      </c>
      <c r="W1914" s="51" t="str">
        <f>IF(AND(B1914&gt;='IN-NX'!$P$3,B1914&lt;='IN-NX'!$Q$3,'IN-NX'!$D$7=D1914,OR(LEFT(L1914,2)="15",AND(LEFT(M1914,2)&lt;&gt;"15",LEFT(M1914,2)&lt;&gt;"33"))),"x","")</f>
        <v/>
      </c>
      <c r="X1914" s="51" t="str">
        <f>IF(AND(OR(LEFT(TH!L1914,2)="15",LEFT(TH!M1914,2)="15"),'152-CT'!$J$8=TH!F1914),"x","")</f>
        <v/>
      </c>
      <c r="Y1914" s="51" t="str">
        <f>IF(AND(OR(LEFT(TH!L1914,2)="15",LEFT(TH!M1914,2)="15"),TK!$E$7=TH!F1914),"x","")</f>
        <v/>
      </c>
      <c r="Z1914" s="51" t="str">
        <f>IF(AND(B1914&lt;=NKC!$N$8,B1914&gt;=NKC!$M$8),"x","")</f>
        <v/>
      </c>
      <c r="AA1914" s="803"/>
    </row>
    <row r="1915" spans="1:27" ht="15.75" customHeight="1">
      <c r="A1915" s="804" t="str">
        <f>IF(B1915&lt;&gt;"",IF(AND(B1915&gt;=_TM1,B1915&lt;=_TM2,OR(TH!L1915="1111",TH!M1915="1111")),TH!D1915,""),"")</f>
        <v/>
      </c>
      <c r="B1915" s="36">
        <f t="shared" si="134"/>
        <v>2</v>
      </c>
      <c r="C1915" s="189">
        <f t="shared" si="127"/>
        <v>42039</v>
      </c>
      <c r="D1915" s="189" t="s">
        <v>1289</v>
      </c>
      <c r="E1915" s="879">
        <v>42039</v>
      </c>
      <c r="F1915" s="878" t="s">
        <v>478</v>
      </c>
      <c r="G1915" s="872" t="s">
        <v>976</v>
      </c>
      <c r="H1915" s="873" t="s">
        <v>1286</v>
      </c>
      <c r="I1915" s="874">
        <v>94</v>
      </c>
      <c r="J1915" s="874">
        <v>19219</v>
      </c>
      <c r="K1915" s="875">
        <f t="shared" si="133"/>
        <v>1806586</v>
      </c>
      <c r="L1915" s="876" t="s">
        <v>160</v>
      </c>
      <c r="M1915" s="876" t="s">
        <v>417</v>
      </c>
      <c r="N1915" s="51" t="str">
        <f>IF(AND('331-CT'!$E$7=TH!H1915,OR(L1915="331",M1915="331")),"331",IF(AND(OR(L1915="131",M1915="131"),H1915='131-CT'!$E$7),"131",""))</f>
        <v/>
      </c>
      <c r="O1915" s="51" t="str">
        <f>IF(AND($B1915&gt;='111'!$N$11,$B1915&lt;='111'!$O$11,OR($L1915=$O$7,$M1915=$O$7)),"x","")</f>
        <v/>
      </c>
      <c r="P1915" s="51" t="str">
        <f>IF(AND($L1915=$O$7,$B1915&lt;'111'!$N$11),"x","")</f>
        <v/>
      </c>
      <c r="Q1915" s="51" t="str">
        <f>IF(AND($M1915=$O$7,$B1915&lt;'111'!$N$11),"x","")</f>
        <v/>
      </c>
      <c r="R1915" s="51" t="str">
        <f>IF(ISERROR(FIND('112'!$M$9,G1915,1)),"",IF((AND(FIND('112'!$M$9,G1915,1)&gt;=1,$B1915&gt;='112'!$N$8,$B1915&lt;='112'!$O$8,OR($L1915='112'!$I$6,$M1915='112'!$I$6))),"x",""))</f>
        <v/>
      </c>
      <c r="S1915" s="51" t="str">
        <f>IF(ISERROR(FIND('112'!$M$9,G1915,1)),"",IF((AND(LEFT(G1915,2)=LEFT('112'!$M$9,2),B1915&lt;'112'!$N$8,$L1915='112'!$I$6)),"x",""))</f>
        <v/>
      </c>
      <c r="T1915" s="51" t="str">
        <f>IF(ISERROR(FIND('112'!$M$9,G1915,1)),"",IF((AND(RIGHT(G1915,2)=RIGHT('112'!$M$9,2),B1915&lt;'112'!$N$8,$M1915='112'!$I$6)),"x",""))</f>
        <v/>
      </c>
      <c r="U1915" s="51" t="str">
        <f>IF(AND(L1915="154",'154'!$O$5&lt;=B1915,'154'!$P$5&gt;=B1915),"154",IF(AND(L1915="632",'632'!$L$5&lt;=B1915,'632'!$M$5&gt;=B1915),"632",IF(AND(L1915="642",'642'!$N$5&lt;=B1915,'642'!$O$5&gt;=B1915),"642",IF(AND(L1915="641",'641'!$N$5&lt;=B1915,'641'!$O$5&gt;=B1915),"641",""))))</f>
        <v/>
      </c>
      <c r="V1915" s="51" t="str">
        <f>IF(OR(TH!L1915=TH!$V$7,M1915=TH!$V$7),"x","")</f>
        <v/>
      </c>
      <c r="W1915" s="51" t="str">
        <f>IF(AND(B1915&gt;='IN-NX'!$P$3,B1915&lt;='IN-NX'!$Q$3,'IN-NX'!$D$7=D1915,OR(LEFT(L1915,2)="15",AND(LEFT(M1915,2)&lt;&gt;"15",LEFT(M1915,2)&lt;&gt;"33"))),"x","")</f>
        <v/>
      </c>
      <c r="X1915" s="51" t="str">
        <f>IF(AND(OR(LEFT(TH!L1915,2)="15",LEFT(TH!M1915,2)="15"),'152-CT'!$J$8=TH!F1915),"x","")</f>
        <v/>
      </c>
      <c r="Y1915" s="51" t="str">
        <f>IF(AND(OR(LEFT(TH!L1915,2)="15",LEFT(TH!M1915,2)="15"),TK!$E$7=TH!F1915),"x","")</f>
        <v/>
      </c>
      <c r="Z1915" s="51" t="str">
        <f>IF(AND(B1915&lt;=NKC!$N$8,B1915&gt;=NKC!$M$8),"x","")</f>
        <v/>
      </c>
      <c r="AA1915" s="803"/>
    </row>
    <row r="1916" spans="1:27" ht="15.75" customHeight="1">
      <c r="A1916" s="804" t="str">
        <f>IF(B1916&lt;&gt;"",IF(AND(B1916&gt;=_TM1,B1916&lt;=_TM2,OR(TH!L1916="1111",TH!M1916="1111")),TH!D1916,""),"")</f>
        <v/>
      </c>
      <c r="B1916" s="36">
        <f t="shared" si="134"/>
        <v>3</v>
      </c>
      <c r="C1916" s="189">
        <f t="shared" si="127"/>
        <v>42081</v>
      </c>
      <c r="D1916" s="189" t="s">
        <v>1289</v>
      </c>
      <c r="E1916" s="879">
        <v>42081</v>
      </c>
      <c r="F1916" s="878" t="s">
        <v>471</v>
      </c>
      <c r="G1916" s="872" t="s">
        <v>981</v>
      </c>
      <c r="H1916" s="873" t="s">
        <v>1286</v>
      </c>
      <c r="I1916" s="874">
        <v>126</v>
      </c>
      <c r="J1916" s="874">
        <v>11253</v>
      </c>
      <c r="K1916" s="875">
        <f t="shared" si="133"/>
        <v>1417878</v>
      </c>
      <c r="L1916" s="876" t="s">
        <v>160</v>
      </c>
      <c r="M1916" s="876" t="s">
        <v>417</v>
      </c>
      <c r="N1916" s="51" t="str">
        <f>IF(AND('331-CT'!$E$7=TH!H1916,OR(L1916="331",M1916="331")),"331",IF(AND(OR(L1916="131",M1916="131"),H1916='131-CT'!$E$7),"131",""))</f>
        <v/>
      </c>
      <c r="O1916" s="51" t="str">
        <f>IF(AND($B1916&gt;='111'!$N$11,$B1916&lt;='111'!$O$11,OR($L1916=$O$7,$M1916=$O$7)),"x","")</f>
        <v/>
      </c>
      <c r="P1916" s="51" t="str">
        <f>IF(AND($L1916=$O$7,$B1916&lt;'111'!$N$11),"x","")</f>
        <v/>
      </c>
      <c r="Q1916" s="51" t="str">
        <f>IF(AND($M1916=$O$7,$B1916&lt;'111'!$N$11),"x","")</f>
        <v/>
      </c>
      <c r="R1916" s="51" t="str">
        <f>IF(ISERROR(FIND('112'!$M$9,G1916,1)),"",IF((AND(FIND('112'!$M$9,G1916,1)&gt;=1,$B1916&gt;='112'!$N$8,$B1916&lt;='112'!$O$8,OR($L1916='112'!$I$6,$M1916='112'!$I$6))),"x",""))</f>
        <v/>
      </c>
      <c r="S1916" s="51" t="str">
        <f>IF(ISERROR(FIND('112'!$M$9,G1916,1)),"",IF((AND(LEFT(G1916,2)=LEFT('112'!$M$9,2),B1916&lt;'112'!$N$8,$L1916='112'!$I$6)),"x",""))</f>
        <v/>
      </c>
      <c r="T1916" s="51" t="str">
        <f>IF(ISERROR(FIND('112'!$M$9,G1916,1)),"",IF((AND(RIGHT(G1916,2)=RIGHT('112'!$M$9,2),B1916&lt;'112'!$N$8,$M1916='112'!$I$6)),"x",""))</f>
        <v/>
      </c>
      <c r="U1916" s="51" t="str">
        <f>IF(AND(L1916="154",'154'!$O$5&lt;=B1916,'154'!$P$5&gt;=B1916),"154",IF(AND(L1916="632",'632'!$L$5&lt;=B1916,'632'!$M$5&gt;=B1916),"632",IF(AND(L1916="642",'642'!$N$5&lt;=B1916,'642'!$O$5&gt;=B1916),"642",IF(AND(L1916="641",'641'!$N$5&lt;=B1916,'641'!$O$5&gt;=B1916),"641",""))))</f>
        <v/>
      </c>
      <c r="V1916" s="51" t="str">
        <f>IF(OR(TH!L1916=TH!$V$7,M1916=TH!$V$7),"x","")</f>
        <v/>
      </c>
      <c r="W1916" s="51" t="str">
        <f>IF(AND(B1916&gt;='IN-NX'!$P$3,B1916&lt;='IN-NX'!$Q$3,'IN-NX'!$D$7=D1916,OR(LEFT(L1916,2)="15",AND(LEFT(M1916,2)&lt;&gt;"15",LEFT(M1916,2)&lt;&gt;"33"))),"x","")</f>
        <v/>
      </c>
      <c r="X1916" s="51" t="str">
        <f>IF(AND(OR(LEFT(TH!L1916,2)="15",LEFT(TH!M1916,2)="15"),'152-CT'!$J$8=TH!F1916),"x","")</f>
        <v/>
      </c>
      <c r="Y1916" s="51" t="str">
        <f>IF(AND(OR(LEFT(TH!L1916,2)="15",LEFT(TH!M1916,2)="15"),TK!$E$7=TH!F1916),"x","")</f>
        <v/>
      </c>
      <c r="Z1916" s="51" t="str">
        <f>IF(AND(B1916&lt;=NKC!$N$8,B1916&gt;=NKC!$M$8),"x","")</f>
        <v/>
      </c>
      <c r="AA1916" s="803"/>
    </row>
    <row r="1917" spans="1:27" ht="15.75" customHeight="1">
      <c r="A1917" s="804" t="str">
        <f>IF(B1917&lt;&gt;"",IF(AND(B1917&gt;=_TM1,B1917&lt;=_TM2,OR(TH!L1917="1111",TH!M1917="1111")),TH!D1917,""),"")</f>
        <v/>
      </c>
      <c r="B1917" s="36">
        <f t="shared" si="134"/>
        <v>4</v>
      </c>
      <c r="C1917" s="189">
        <f t="shared" si="127"/>
        <v>42095</v>
      </c>
      <c r="D1917" s="189" t="s">
        <v>1289</v>
      </c>
      <c r="E1917" s="879">
        <v>42095</v>
      </c>
      <c r="F1917" s="187" t="s">
        <v>1120</v>
      </c>
      <c r="G1917" s="882" t="s">
        <v>905</v>
      </c>
      <c r="H1917" s="873" t="s">
        <v>1286</v>
      </c>
      <c r="I1917" s="874">
        <v>15</v>
      </c>
      <c r="J1917" s="874">
        <v>7540</v>
      </c>
      <c r="K1917" s="875">
        <f t="shared" si="133"/>
        <v>113100</v>
      </c>
      <c r="L1917" s="876" t="s">
        <v>160</v>
      </c>
      <c r="M1917" s="876" t="s">
        <v>417</v>
      </c>
      <c r="N1917" s="51" t="str">
        <f>IF(AND('331-CT'!$E$7=TH!H1917,OR(L1917="331",M1917="331")),"331",IF(AND(OR(L1917="131",M1917="131"),H1917='131-CT'!$E$7),"131",""))</f>
        <v/>
      </c>
      <c r="O1917" s="51" t="str">
        <f>IF(AND($B1917&gt;='111'!$N$11,$B1917&lt;='111'!$O$11,OR($L1917=$O$7,$M1917=$O$7)),"x","")</f>
        <v/>
      </c>
      <c r="P1917" s="51" t="str">
        <f>IF(AND($L1917=$O$7,$B1917&lt;'111'!$N$11),"x","")</f>
        <v/>
      </c>
      <c r="Q1917" s="51" t="str">
        <f>IF(AND($M1917=$O$7,$B1917&lt;'111'!$N$11),"x","")</f>
        <v/>
      </c>
      <c r="R1917" s="51" t="str">
        <f>IF(ISERROR(FIND('112'!$M$9,G1917,1)),"",IF((AND(FIND('112'!$M$9,G1917,1)&gt;=1,$B1917&gt;='112'!$N$8,$B1917&lt;='112'!$O$8,OR($L1917='112'!$I$6,$M1917='112'!$I$6))),"x",""))</f>
        <v/>
      </c>
      <c r="S1917" s="51" t="str">
        <f>IF(ISERROR(FIND('112'!$M$9,G1917,1)),"",IF((AND(LEFT(G1917,2)=LEFT('112'!$M$9,2),B1917&lt;'112'!$N$8,$L1917='112'!$I$6)),"x",""))</f>
        <v/>
      </c>
      <c r="T1917" s="51" t="str">
        <f>IF(ISERROR(FIND('112'!$M$9,G1917,1)),"",IF((AND(RIGHT(G1917,2)=RIGHT('112'!$M$9,2),B1917&lt;'112'!$N$8,$M1917='112'!$I$6)),"x",""))</f>
        <v/>
      </c>
      <c r="U1917" s="51" t="str">
        <f>IF(AND(L1917="154",'154'!$O$5&lt;=B1917,'154'!$P$5&gt;=B1917),"154",IF(AND(L1917="632",'632'!$L$5&lt;=B1917,'632'!$M$5&gt;=B1917),"632",IF(AND(L1917="642",'642'!$N$5&lt;=B1917,'642'!$O$5&gt;=B1917),"642",IF(AND(L1917="641",'641'!$N$5&lt;=B1917,'641'!$O$5&gt;=B1917),"641",""))))</f>
        <v>154</v>
      </c>
      <c r="V1917" s="51" t="str">
        <f>IF(OR(TH!L1917=TH!$V$7,M1917=TH!$V$7),"x","")</f>
        <v/>
      </c>
      <c r="W1917" s="51" t="str">
        <f>IF(AND(B1917&gt;='IN-NX'!$P$3,B1917&lt;='IN-NX'!$Q$3,'IN-NX'!$D$7=D1917,OR(LEFT(L1917,2)="15",AND(LEFT(M1917,2)&lt;&gt;"15",LEFT(M1917,2)&lt;&gt;"33"))),"x","")</f>
        <v/>
      </c>
      <c r="X1917" s="51" t="str">
        <f>IF(AND(OR(LEFT(TH!L1917,2)="15",LEFT(TH!M1917,2)="15"),'152-CT'!$J$8=TH!F1917),"x","")</f>
        <v/>
      </c>
      <c r="Y1917" s="51" t="str">
        <f>IF(AND(OR(LEFT(TH!L1917,2)="15",LEFT(TH!M1917,2)="15"),TK!$E$7=TH!F1917),"x","")</f>
        <v/>
      </c>
      <c r="Z1917" s="51" t="str">
        <f>IF(AND(B1917&lt;=NKC!$N$8,B1917&gt;=NKC!$M$8),"x","")</f>
        <v/>
      </c>
      <c r="AA1917" s="803"/>
    </row>
    <row r="1918" spans="1:27" ht="15.75" customHeight="1">
      <c r="A1918" s="804" t="str">
        <f>IF(B1918&lt;&gt;"",IF(AND(B1918&gt;=_TM1,B1918&lt;=_TM2,OR(TH!L1918="1111",TH!M1918="1111")),TH!D1918,""),"")</f>
        <v/>
      </c>
      <c r="B1918" s="36">
        <f t="shared" si="134"/>
        <v>4</v>
      </c>
      <c r="C1918" s="189">
        <f t="shared" si="127"/>
        <v>42098</v>
      </c>
      <c r="D1918" s="189" t="s">
        <v>1289</v>
      </c>
      <c r="E1918" s="879">
        <v>42098</v>
      </c>
      <c r="F1918" s="868" t="s">
        <v>511</v>
      </c>
      <c r="G1918" s="882" t="s">
        <v>985</v>
      </c>
      <c r="H1918" s="873" t="s">
        <v>1286</v>
      </c>
      <c r="I1918" s="874">
        <v>500</v>
      </c>
      <c r="J1918" s="874">
        <v>12031.538461538461</v>
      </c>
      <c r="K1918" s="875">
        <f t="shared" si="133"/>
        <v>6015769</v>
      </c>
      <c r="L1918" s="876" t="s">
        <v>160</v>
      </c>
      <c r="M1918" s="876" t="s">
        <v>417</v>
      </c>
      <c r="N1918" s="51" t="str">
        <f>IF(AND('331-CT'!$E$7=TH!H1918,OR(L1918="331",M1918="331")),"331",IF(AND(OR(L1918="131",M1918="131"),H1918='131-CT'!$E$7),"131",""))</f>
        <v/>
      </c>
      <c r="O1918" s="51" t="str">
        <f>IF(AND($B1918&gt;='111'!$N$11,$B1918&lt;='111'!$O$11,OR($L1918=$O$7,$M1918=$O$7)),"x","")</f>
        <v/>
      </c>
      <c r="P1918" s="51" t="str">
        <f>IF(AND($L1918=$O$7,$B1918&lt;'111'!$N$11),"x","")</f>
        <v/>
      </c>
      <c r="Q1918" s="51" t="str">
        <f>IF(AND($M1918=$O$7,$B1918&lt;'111'!$N$11),"x","")</f>
        <v/>
      </c>
      <c r="R1918" s="51" t="str">
        <f>IF(ISERROR(FIND('112'!$M$9,G1918,1)),"",IF((AND(FIND('112'!$M$9,G1918,1)&gt;=1,$B1918&gt;='112'!$N$8,$B1918&lt;='112'!$O$8,OR($L1918='112'!$I$6,$M1918='112'!$I$6))),"x",""))</f>
        <v/>
      </c>
      <c r="S1918" s="51" t="str">
        <f>IF(ISERROR(FIND('112'!$M$9,G1918,1)),"",IF((AND(LEFT(G1918,2)=LEFT('112'!$M$9,2),B1918&lt;'112'!$N$8,$L1918='112'!$I$6)),"x",""))</f>
        <v/>
      </c>
      <c r="T1918" s="51" t="str">
        <f>IF(ISERROR(FIND('112'!$M$9,G1918,1)),"",IF((AND(RIGHT(G1918,2)=RIGHT('112'!$M$9,2),B1918&lt;'112'!$N$8,$M1918='112'!$I$6)),"x",""))</f>
        <v/>
      </c>
      <c r="U1918" s="51" t="str">
        <f>IF(AND(L1918="154",'154'!$O$5&lt;=B1918,'154'!$P$5&gt;=B1918),"154",IF(AND(L1918="632",'632'!$L$5&lt;=B1918,'632'!$M$5&gt;=B1918),"632",IF(AND(L1918="642",'642'!$N$5&lt;=B1918,'642'!$O$5&gt;=B1918),"642",IF(AND(L1918="641",'641'!$N$5&lt;=B1918,'641'!$O$5&gt;=B1918),"641",""))))</f>
        <v>154</v>
      </c>
      <c r="V1918" s="51" t="str">
        <f>IF(OR(TH!L1918=TH!$V$7,M1918=TH!$V$7),"x","")</f>
        <v/>
      </c>
      <c r="W1918" s="51" t="str">
        <f>IF(AND(B1918&gt;='IN-NX'!$P$3,B1918&lt;='IN-NX'!$Q$3,'IN-NX'!$D$7=D1918,OR(LEFT(L1918,2)="15",AND(LEFT(M1918,2)&lt;&gt;"15",LEFT(M1918,2)&lt;&gt;"33"))),"x","")</f>
        <v/>
      </c>
      <c r="X1918" s="51" t="str">
        <f>IF(AND(OR(LEFT(TH!L1918,2)="15",LEFT(TH!M1918,2)="15"),'152-CT'!$J$8=TH!F1918),"x","")</f>
        <v/>
      </c>
      <c r="Y1918" s="51" t="str">
        <f>IF(AND(OR(LEFT(TH!L1918,2)="15",LEFT(TH!M1918,2)="15"),TK!$E$7=TH!F1918),"x","")</f>
        <v/>
      </c>
      <c r="Z1918" s="51" t="str">
        <f>IF(AND(B1918&lt;=NKC!$N$8,B1918&gt;=NKC!$M$8),"x","")</f>
        <v/>
      </c>
      <c r="AA1918" s="803"/>
    </row>
    <row r="1919" spans="1:27" ht="15.75" customHeight="1">
      <c r="A1919" s="804" t="str">
        <f>IF(B1919&lt;&gt;"",IF(AND(B1919&gt;=_TM1,B1919&lt;=_TM2,OR(TH!L1919="1111",TH!M1919="1111")),TH!D1919,""),"")</f>
        <v/>
      </c>
      <c r="B1919" s="36">
        <f t="shared" si="134"/>
        <v>4</v>
      </c>
      <c r="C1919" s="189">
        <f t="shared" si="127"/>
        <v>42098</v>
      </c>
      <c r="D1919" s="189" t="s">
        <v>1289</v>
      </c>
      <c r="E1919" s="879">
        <v>42098</v>
      </c>
      <c r="F1919" s="868" t="s">
        <v>511</v>
      </c>
      <c r="G1919" s="882" t="s">
        <v>985</v>
      </c>
      <c r="H1919" s="873" t="s">
        <v>1286</v>
      </c>
      <c r="I1919" s="874">
        <v>210</v>
      </c>
      <c r="J1919" s="874">
        <v>12031.538461538461</v>
      </c>
      <c r="K1919" s="875">
        <f t="shared" si="133"/>
        <v>2526623</v>
      </c>
      <c r="L1919" s="876" t="s">
        <v>160</v>
      </c>
      <c r="M1919" s="876" t="s">
        <v>417</v>
      </c>
      <c r="N1919" s="51" t="str">
        <f>IF(AND('331-CT'!$E$7=TH!H1919,OR(L1919="331",M1919="331")),"331",IF(AND(OR(L1919="131",M1919="131"),H1919='131-CT'!$E$7),"131",""))</f>
        <v/>
      </c>
      <c r="O1919" s="51" t="str">
        <f>IF(AND($B1919&gt;='111'!$N$11,$B1919&lt;='111'!$O$11,OR($L1919=$O$7,$M1919=$O$7)),"x","")</f>
        <v/>
      </c>
      <c r="P1919" s="51" t="str">
        <f>IF(AND($L1919=$O$7,$B1919&lt;'111'!$N$11),"x","")</f>
        <v/>
      </c>
      <c r="Q1919" s="51" t="str">
        <f>IF(AND($M1919=$O$7,$B1919&lt;'111'!$N$11),"x","")</f>
        <v/>
      </c>
      <c r="R1919" s="51" t="str">
        <f>IF(ISERROR(FIND('112'!$M$9,G1919,1)),"",IF((AND(FIND('112'!$M$9,G1919,1)&gt;=1,$B1919&gt;='112'!$N$8,$B1919&lt;='112'!$O$8,OR($L1919='112'!$I$6,$M1919='112'!$I$6))),"x",""))</f>
        <v/>
      </c>
      <c r="S1919" s="51" t="str">
        <f>IF(ISERROR(FIND('112'!$M$9,G1919,1)),"",IF((AND(LEFT(G1919,2)=LEFT('112'!$M$9,2),B1919&lt;'112'!$N$8,$L1919='112'!$I$6)),"x",""))</f>
        <v/>
      </c>
      <c r="T1919" s="51" t="str">
        <f>IF(ISERROR(FIND('112'!$M$9,G1919,1)),"",IF((AND(RIGHT(G1919,2)=RIGHT('112'!$M$9,2),B1919&lt;'112'!$N$8,$M1919='112'!$I$6)),"x",""))</f>
        <v/>
      </c>
      <c r="U1919" s="51" t="str">
        <f>IF(AND(L1919="154",'154'!$O$5&lt;=B1919,'154'!$P$5&gt;=B1919),"154",IF(AND(L1919="632",'632'!$L$5&lt;=B1919,'632'!$M$5&gt;=B1919),"632",IF(AND(L1919="642",'642'!$N$5&lt;=B1919,'642'!$O$5&gt;=B1919),"642",IF(AND(L1919="641",'641'!$N$5&lt;=B1919,'641'!$O$5&gt;=B1919),"641",""))))</f>
        <v>154</v>
      </c>
      <c r="V1919" s="51" t="str">
        <f>IF(OR(TH!L1919=TH!$V$7,M1919=TH!$V$7),"x","")</f>
        <v/>
      </c>
      <c r="W1919" s="51" t="str">
        <f>IF(AND(B1919&gt;='IN-NX'!$P$3,B1919&lt;='IN-NX'!$Q$3,'IN-NX'!$D$7=D1919,OR(LEFT(L1919,2)="15",AND(LEFT(M1919,2)&lt;&gt;"15",LEFT(M1919,2)&lt;&gt;"33"))),"x","")</f>
        <v/>
      </c>
      <c r="X1919" s="51" t="str">
        <f>IF(AND(OR(LEFT(TH!L1919,2)="15",LEFT(TH!M1919,2)="15"),'152-CT'!$J$8=TH!F1919),"x","")</f>
        <v/>
      </c>
      <c r="Y1919" s="51" t="str">
        <f>IF(AND(OR(LEFT(TH!L1919,2)="15",LEFT(TH!M1919,2)="15"),TK!$E$7=TH!F1919),"x","")</f>
        <v/>
      </c>
      <c r="Z1919" s="51" t="str">
        <f>IF(AND(B1919&lt;=NKC!$N$8,B1919&gt;=NKC!$M$8),"x","")</f>
        <v/>
      </c>
      <c r="AA1919" s="803"/>
    </row>
    <row r="1920" spans="1:27" ht="15.75" customHeight="1">
      <c r="A1920" s="804" t="str">
        <f>IF(B1920&lt;&gt;"",IF(AND(B1920&gt;=_TM1,B1920&lt;=_TM2,OR(TH!L1920="1111",TH!M1920="1111")),TH!D1920,""),"")</f>
        <v/>
      </c>
      <c r="B1920" s="36">
        <f t="shared" si="134"/>
        <v>4</v>
      </c>
      <c r="C1920" s="189">
        <f t="shared" si="127"/>
        <v>42106</v>
      </c>
      <c r="D1920" s="189" t="s">
        <v>1289</v>
      </c>
      <c r="E1920" s="870">
        <v>42106</v>
      </c>
      <c r="F1920" s="868" t="s">
        <v>578</v>
      </c>
      <c r="G1920" s="883" t="s">
        <v>569</v>
      </c>
      <c r="H1920" s="873" t="s">
        <v>1286</v>
      </c>
      <c r="I1920" s="874">
        <v>399</v>
      </c>
      <c r="J1920" s="874">
        <v>21871</v>
      </c>
      <c r="K1920" s="875">
        <f t="shared" si="133"/>
        <v>8726529</v>
      </c>
      <c r="L1920" s="876" t="s">
        <v>160</v>
      </c>
      <c r="M1920" s="876" t="s">
        <v>417</v>
      </c>
      <c r="N1920" s="51" t="str">
        <f>IF(AND('331-CT'!$E$7=TH!H1920,OR(L1920="331",M1920="331")),"331",IF(AND(OR(L1920="131",M1920="131"),H1920='131-CT'!$E$7),"131",""))</f>
        <v/>
      </c>
      <c r="O1920" s="51" t="str">
        <f>IF(AND($B1920&gt;='111'!$N$11,$B1920&lt;='111'!$O$11,OR($L1920=$O$7,$M1920=$O$7)),"x","")</f>
        <v/>
      </c>
      <c r="P1920" s="51" t="str">
        <f>IF(AND($L1920=$O$7,$B1920&lt;'111'!$N$11),"x","")</f>
        <v/>
      </c>
      <c r="Q1920" s="51" t="str">
        <f>IF(AND($M1920=$O$7,$B1920&lt;'111'!$N$11),"x","")</f>
        <v/>
      </c>
      <c r="R1920" s="51" t="str">
        <f>IF(ISERROR(FIND('112'!$M$9,G1920,1)),"",IF((AND(FIND('112'!$M$9,G1920,1)&gt;=1,$B1920&gt;='112'!$N$8,$B1920&lt;='112'!$O$8,OR($L1920='112'!$I$6,$M1920='112'!$I$6))),"x",""))</f>
        <v/>
      </c>
      <c r="S1920" s="51" t="str">
        <f>IF(ISERROR(FIND('112'!$M$9,G1920,1)),"",IF((AND(LEFT(G1920,2)=LEFT('112'!$M$9,2),B1920&lt;'112'!$N$8,$L1920='112'!$I$6)),"x",""))</f>
        <v/>
      </c>
      <c r="T1920" s="51" t="str">
        <f>IF(ISERROR(FIND('112'!$M$9,G1920,1)),"",IF((AND(RIGHT(G1920,2)=RIGHT('112'!$M$9,2),B1920&lt;'112'!$N$8,$M1920='112'!$I$6)),"x",""))</f>
        <v/>
      </c>
      <c r="U1920" s="51" t="str">
        <f>IF(AND(L1920="154",'154'!$O$5&lt;=B1920,'154'!$P$5&gt;=B1920),"154",IF(AND(L1920="632",'632'!$L$5&lt;=B1920,'632'!$M$5&gt;=B1920),"632",IF(AND(L1920="642",'642'!$N$5&lt;=B1920,'642'!$O$5&gt;=B1920),"642",IF(AND(L1920="641",'641'!$N$5&lt;=B1920,'641'!$O$5&gt;=B1920),"641",""))))</f>
        <v>154</v>
      </c>
      <c r="V1920" s="51" t="str">
        <f>IF(OR(TH!L1920=TH!$V$7,M1920=TH!$V$7),"x","")</f>
        <v/>
      </c>
      <c r="W1920" s="51" t="str">
        <f>IF(AND(B1920&gt;='IN-NX'!$P$3,B1920&lt;='IN-NX'!$Q$3,'IN-NX'!$D$7=D1920,OR(LEFT(L1920,2)="15",AND(LEFT(M1920,2)&lt;&gt;"15",LEFT(M1920,2)&lt;&gt;"33"))),"x","")</f>
        <v/>
      </c>
      <c r="X1920" s="51" t="str">
        <f>IF(AND(OR(LEFT(TH!L1920,2)="15",LEFT(TH!M1920,2)="15"),'152-CT'!$J$8=TH!F1920),"x","")</f>
        <v/>
      </c>
      <c r="Y1920" s="51" t="str">
        <f>IF(AND(OR(LEFT(TH!L1920,2)="15",LEFT(TH!M1920,2)="15"),TK!$E$7=TH!F1920),"x","")</f>
        <v/>
      </c>
      <c r="Z1920" s="51" t="str">
        <f>IF(AND(B1920&lt;=NKC!$N$8,B1920&gt;=NKC!$M$8),"x","")</f>
        <v/>
      </c>
      <c r="AA1920" s="803"/>
    </row>
    <row r="1921" spans="1:27" ht="15.75" customHeight="1">
      <c r="A1921" s="804" t="str">
        <f>IF(B1921&lt;&gt;"",IF(AND(B1921&gt;=_TM1,B1921&lt;=_TM2,OR(TH!L1921="1111",TH!M1921="1111")),TH!D1921,""),"")</f>
        <v/>
      </c>
      <c r="B1921" s="36">
        <f t="shared" si="134"/>
        <v>4</v>
      </c>
      <c r="C1921" s="189">
        <f t="shared" si="127"/>
        <v>42106</v>
      </c>
      <c r="D1921" s="189" t="s">
        <v>1289</v>
      </c>
      <c r="E1921" s="870">
        <v>42106</v>
      </c>
      <c r="F1921" s="187" t="s">
        <v>522</v>
      </c>
      <c r="G1921" s="883" t="s">
        <v>569</v>
      </c>
      <c r="H1921" s="873" t="s">
        <v>1286</v>
      </c>
      <c r="I1921" s="874">
        <v>133</v>
      </c>
      <c r="J1921" s="874">
        <v>17748</v>
      </c>
      <c r="K1921" s="875">
        <f t="shared" si="133"/>
        <v>2360484</v>
      </c>
      <c r="L1921" s="876" t="s">
        <v>160</v>
      </c>
      <c r="M1921" s="876" t="s">
        <v>417</v>
      </c>
      <c r="N1921" s="51" t="str">
        <f>IF(AND('331-CT'!$E$7=TH!H1921,OR(L1921="331",M1921="331")),"331",IF(AND(OR(L1921="131",M1921="131"),H1921='131-CT'!$E$7),"131",""))</f>
        <v/>
      </c>
      <c r="O1921" s="51" t="str">
        <f>IF(AND($B1921&gt;='111'!$N$11,$B1921&lt;='111'!$O$11,OR($L1921=$O$7,$M1921=$O$7)),"x","")</f>
        <v/>
      </c>
      <c r="P1921" s="51" t="str">
        <f>IF(AND($L1921=$O$7,$B1921&lt;'111'!$N$11),"x","")</f>
        <v/>
      </c>
      <c r="Q1921" s="51" t="str">
        <f>IF(AND($M1921=$O$7,$B1921&lt;'111'!$N$11),"x","")</f>
        <v/>
      </c>
      <c r="R1921" s="51" t="str">
        <f>IF(ISERROR(FIND('112'!$M$9,G1921,1)),"",IF((AND(FIND('112'!$M$9,G1921,1)&gt;=1,$B1921&gt;='112'!$N$8,$B1921&lt;='112'!$O$8,OR($L1921='112'!$I$6,$M1921='112'!$I$6))),"x",""))</f>
        <v/>
      </c>
      <c r="S1921" s="51" t="str">
        <f>IF(ISERROR(FIND('112'!$M$9,G1921,1)),"",IF((AND(LEFT(G1921,2)=LEFT('112'!$M$9,2),B1921&lt;'112'!$N$8,$L1921='112'!$I$6)),"x",""))</f>
        <v/>
      </c>
      <c r="T1921" s="51" t="str">
        <f>IF(ISERROR(FIND('112'!$M$9,G1921,1)),"",IF((AND(RIGHT(G1921,2)=RIGHT('112'!$M$9,2),B1921&lt;'112'!$N$8,$M1921='112'!$I$6)),"x",""))</f>
        <v/>
      </c>
      <c r="U1921" s="51" t="str">
        <f>IF(AND(L1921="154",'154'!$O$5&lt;=B1921,'154'!$P$5&gt;=B1921),"154",IF(AND(L1921="632",'632'!$L$5&lt;=B1921,'632'!$M$5&gt;=B1921),"632",IF(AND(L1921="642",'642'!$N$5&lt;=B1921,'642'!$O$5&gt;=B1921),"642",IF(AND(L1921="641",'641'!$N$5&lt;=B1921,'641'!$O$5&gt;=B1921),"641",""))))</f>
        <v>154</v>
      </c>
      <c r="V1921" s="51" t="str">
        <f>IF(OR(TH!L1921=TH!$V$7,M1921=TH!$V$7),"x","")</f>
        <v/>
      </c>
      <c r="W1921" s="51" t="str">
        <f>IF(AND(B1921&gt;='IN-NX'!$P$3,B1921&lt;='IN-NX'!$Q$3,'IN-NX'!$D$7=D1921,OR(LEFT(L1921,2)="15",AND(LEFT(M1921,2)&lt;&gt;"15",LEFT(M1921,2)&lt;&gt;"33"))),"x","")</f>
        <v/>
      </c>
      <c r="X1921" s="51" t="str">
        <f>IF(AND(OR(LEFT(TH!L1921,2)="15",LEFT(TH!M1921,2)="15"),'152-CT'!$J$8=TH!F1921),"x","")</f>
        <v/>
      </c>
      <c r="Y1921" s="51" t="str">
        <f>IF(AND(OR(LEFT(TH!L1921,2)="15",LEFT(TH!M1921,2)="15"),TK!$E$7=TH!F1921),"x","")</f>
        <v/>
      </c>
      <c r="Z1921" s="51" t="str">
        <f>IF(AND(B1921&lt;=NKC!$N$8,B1921&gt;=NKC!$M$8),"x","")</f>
        <v/>
      </c>
      <c r="AA1921" s="803"/>
    </row>
    <row r="1922" spans="1:27" ht="15.75" customHeight="1">
      <c r="A1922" s="804" t="str">
        <f>IF(B1922&lt;&gt;"",IF(AND(B1922&gt;=_TM1,B1922&lt;=_TM2,OR(TH!L1922="1111",TH!M1922="1111")),TH!D1922,""),"")</f>
        <v/>
      </c>
      <c r="B1922" s="36">
        <f t="shared" si="134"/>
        <v>5</v>
      </c>
      <c r="C1922" s="189">
        <f t="shared" si="127"/>
        <v>42129</v>
      </c>
      <c r="D1922" s="189" t="s">
        <v>1289</v>
      </c>
      <c r="E1922" s="870">
        <v>42129</v>
      </c>
      <c r="F1922" s="187" t="s">
        <v>1127</v>
      </c>
      <c r="G1922" s="883" t="s">
        <v>987</v>
      </c>
      <c r="H1922" s="873" t="s">
        <v>1286</v>
      </c>
      <c r="I1922" s="874">
        <v>67</v>
      </c>
      <c r="J1922" s="874">
        <v>9649</v>
      </c>
      <c r="K1922" s="875">
        <f t="shared" si="133"/>
        <v>646483</v>
      </c>
      <c r="L1922" s="876" t="s">
        <v>160</v>
      </c>
      <c r="M1922" s="876" t="s">
        <v>417</v>
      </c>
      <c r="N1922" s="51" t="str">
        <f>IF(AND('331-CT'!$E$7=TH!H1922,OR(L1922="331",M1922="331")),"331",IF(AND(OR(L1922="131",M1922="131"),H1922='131-CT'!$E$7),"131",""))</f>
        <v/>
      </c>
      <c r="O1922" s="51" t="str">
        <f>IF(AND($B1922&gt;='111'!$N$11,$B1922&lt;='111'!$O$11,OR($L1922=$O$7,$M1922=$O$7)),"x","")</f>
        <v/>
      </c>
      <c r="P1922" s="51" t="str">
        <f>IF(AND($L1922=$O$7,$B1922&lt;'111'!$N$11),"x","")</f>
        <v/>
      </c>
      <c r="Q1922" s="51" t="str">
        <f>IF(AND($M1922=$O$7,$B1922&lt;'111'!$N$11),"x","")</f>
        <v/>
      </c>
      <c r="R1922" s="51" t="str">
        <f>IF(ISERROR(FIND('112'!$M$9,G1922,1)),"",IF((AND(FIND('112'!$M$9,G1922,1)&gt;=1,$B1922&gt;='112'!$N$8,$B1922&lt;='112'!$O$8,OR($L1922='112'!$I$6,$M1922='112'!$I$6))),"x",""))</f>
        <v/>
      </c>
      <c r="S1922" s="51" t="str">
        <f>IF(ISERROR(FIND('112'!$M$9,G1922,1)),"",IF((AND(LEFT(G1922,2)=LEFT('112'!$M$9,2),B1922&lt;'112'!$N$8,$L1922='112'!$I$6)),"x",""))</f>
        <v/>
      </c>
      <c r="T1922" s="51" t="str">
        <f>IF(ISERROR(FIND('112'!$M$9,G1922,1)),"",IF((AND(RIGHT(G1922,2)=RIGHT('112'!$M$9,2),B1922&lt;'112'!$N$8,$M1922='112'!$I$6)),"x",""))</f>
        <v/>
      </c>
      <c r="U1922" s="51" t="str">
        <f>IF(AND(L1922="154",'154'!$O$5&lt;=B1922,'154'!$P$5&gt;=B1922),"154",IF(AND(L1922="632",'632'!$L$5&lt;=B1922,'632'!$M$5&gt;=B1922),"632",IF(AND(L1922="642",'642'!$N$5&lt;=B1922,'642'!$O$5&gt;=B1922),"642",IF(AND(L1922="641",'641'!$N$5&lt;=B1922,'641'!$O$5&gt;=B1922),"641",""))))</f>
        <v>154</v>
      </c>
      <c r="V1922" s="51" t="str">
        <f>IF(OR(TH!L1922=TH!$V$7,M1922=TH!$V$7),"x","")</f>
        <v/>
      </c>
      <c r="W1922" s="51" t="str">
        <f>IF(AND(B1922&gt;='IN-NX'!$P$3,B1922&lt;='IN-NX'!$Q$3,'IN-NX'!$D$7=D1922,OR(LEFT(L1922,2)="15",AND(LEFT(M1922,2)&lt;&gt;"15",LEFT(M1922,2)&lt;&gt;"33"))),"x","")</f>
        <v/>
      </c>
      <c r="X1922" s="51" t="str">
        <f>IF(AND(OR(LEFT(TH!L1922,2)="15",LEFT(TH!M1922,2)="15"),'152-CT'!$J$8=TH!F1922),"x","")</f>
        <v/>
      </c>
      <c r="Y1922" s="51" t="str">
        <f>IF(AND(OR(LEFT(TH!L1922,2)="15",LEFT(TH!M1922,2)="15"),TK!$E$7=TH!F1922),"x","")</f>
        <v/>
      </c>
      <c r="Z1922" s="51" t="str">
        <f>IF(AND(B1922&lt;=NKC!$N$8,B1922&gt;=NKC!$M$8),"x","")</f>
        <v/>
      </c>
      <c r="AA1922" s="803"/>
    </row>
    <row r="1923" spans="1:27" ht="15.75" customHeight="1">
      <c r="A1923" s="804" t="str">
        <f>IF(B1923&lt;&gt;"",IF(AND(B1923&gt;=_TM1,B1923&lt;=_TM2,OR(TH!L1923="1111",TH!M1923="1111")),TH!D1923,""),"")</f>
        <v/>
      </c>
      <c r="B1923" s="36">
        <f t="shared" si="134"/>
        <v>5</v>
      </c>
      <c r="C1923" s="189">
        <f t="shared" si="127"/>
        <v>42129</v>
      </c>
      <c r="D1923" s="189" t="s">
        <v>1289</v>
      </c>
      <c r="E1923" s="870">
        <v>42129</v>
      </c>
      <c r="F1923" s="282" t="s">
        <v>476</v>
      </c>
      <c r="G1923" s="883" t="s">
        <v>987</v>
      </c>
      <c r="H1923" s="873" t="s">
        <v>1286</v>
      </c>
      <c r="I1923" s="874">
        <v>100</v>
      </c>
      <c r="J1923" s="874">
        <v>11440</v>
      </c>
      <c r="K1923" s="875">
        <f t="shared" si="133"/>
        <v>1144000</v>
      </c>
      <c r="L1923" s="876" t="s">
        <v>160</v>
      </c>
      <c r="M1923" s="876" t="s">
        <v>417</v>
      </c>
      <c r="N1923" s="51" t="str">
        <f>IF(AND('331-CT'!$E$7=TH!H1923,OR(L1923="331",M1923="331")),"331",IF(AND(OR(L1923="131",M1923="131"),H1923='131-CT'!$E$7),"131",""))</f>
        <v/>
      </c>
      <c r="O1923" s="51" t="str">
        <f>IF(AND($B1923&gt;='111'!$N$11,$B1923&lt;='111'!$O$11,OR($L1923=$O$7,$M1923=$O$7)),"x","")</f>
        <v/>
      </c>
      <c r="P1923" s="51" t="str">
        <f>IF(AND($L1923=$O$7,$B1923&lt;'111'!$N$11),"x","")</f>
        <v/>
      </c>
      <c r="Q1923" s="51" t="str">
        <f>IF(AND($M1923=$O$7,$B1923&lt;'111'!$N$11),"x","")</f>
        <v/>
      </c>
      <c r="R1923" s="51" t="str">
        <f>IF(ISERROR(FIND('112'!$M$9,G1923,1)),"",IF((AND(FIND('112'!$M$9,G1923,1)&gt;=1,$B1923&gt;='112'!$N$8,$B1923&lt;='112'!$O$8,OR($L1923='112'!$I$6,$M1923='112'!$I$6))),"x",""))</f>
        <v/>
      </c>
      <c r="S1923" s="51" t="str">
        <f>IF(ISERROR(FIND('112'!$M$9,G1923,1)),"",IF((AND(LEFT(G1923,2)=LEFT('112'!$M$9,2),B1923&lt;'112'!$N$8,$L1923='112'!$I$6)),"x",""))</f>
        <v/>
      </c>
      <c r="T1923" s="51" t="str">
        <f>IF(ISERROR(FIND('112'!$M$9,G1923,1)),"",IF((AND(RIGHT(G1923,2)=RIGHT('112'!$M$9,2),B1923&lt;'112'!$N$8,$M1923='112'!$I$6)),"x",""))</f>
        <v/>
      </c>
      <c r="U1923" s="51" t="str">
        <f>IF(AND(L1923="154",'154'!$O$5&lt;=B1923,'154'!$P$5&gt;=B1923),"154",IF(AND(L1923="632",'632'!$L$5&lt;=B1923,'632'!$M$5&gt;=B1923),"632",IF(AND(L1923="642",'642'!$N$5&lt;=B1923,'642'!$O$5&gt;=B1923),"642",IF(AND(L1923="641",'641'!$N$5&lt;=B1923,'641'!$O$5&gt;=B1923),"641",""))))</f>
        <v>154</v>
      </c>
      <c r="V1923" s="51" t="str">
        <f>IF(OR(TH!L1923=TH!$V$7,M1923=TH!$V$7),"x","")</f>
        <v/>
      </c>
      <c r="W1923" s="51" t="str">
        <f>IF(AND(B1923&gt;='IN-NX'!$P$3,B1923&lt;='IN-NX'!$Q$3,'IN-NX'!$D$7=D1923,OR(LEFT(L1923,2)="15",AND(LEFT(M1923,2)&lt;&gt;"15",LEFT(M1923,2)&lt;&gt;"33"))),"x","")</f>
        <v/>
      </c>
      <c r="X1923" s="51" t="str">
        <f>IF(AND(OR(LEFT(TH!L1923,2)="15",LEFT(TH!M1923,2)="15"),'152-CT'!$J$8=TH!F1923),"x","")</f>
        <v/>
      </c>
      <c r="Y1923" s="51" t="str">
        <f>IF(AND(OR(LEFT(TH!L1923,2)="15",LEFT(TH!M1923,2)="15"),TK!$E$7=TH!F1923),"x","")</f>
        <v/>
      </c>
      <c r="Z1923" s="51" t="str">
        <f>IF(AND(B1923&lt;=NKC!$N$8,B1923&gt;=NKC!$M$8),"x","")</f>
        <v/>
      </c>
      <c r="AA1923" s="803"/>
    </row>
    <row r="1924" spans="1:27" ht="15.75" customHeight="1">
      <c r="A1924" s="804" t="str">
        <f>IF(B1924&lt;&gt;"",IF(AND(B1924&gt;=_TM1,B1924&lt;=_TM2,OR(TH!L1924="1111",TH!M1924="1111")),TH!D1924,""),"")</f>
        <v/>
      </c>
      <c r="B1924" s="36">
        <f t="shared" si="134"/>
        <v>5</v>
      </c>
      <c r="C1924" s="189">
        <f t="shared" si="127"/>
        <v>42129</v>
      </c>
      <c r="D1924" s="189" t="s">
        <v>1289</v>
      </c>
      <c r="E1924" s="870">
        <v>42129</v>
      </c>
      <c r="F1924" s="187" t="s">
        <v>544</v>
      </c>
      <c r="G1924" s="883" t="s">
        <v>987</v>
      </c>
      <c r="H1924" s="873" t="s">
        <v>1286</v>
      </c>
      <c r="I1924" s="874">
        <v>200</v>
      </c>
      <c r="J1924" s="874">
        <v>8201</v>
      </c>
      <c r="K1924" s="875">
        <f t="shared" si="133"/>
        <v>1640200</v>
      </c>
      <c r="L1924" s="876" t="s">
        <v>160</v>
      </c>
      <c r="M1924" s="876" t="s">
        <v>417</v>
      </c>
      <c r="N1924" s="51" t="str">
        <f>IF(AND('331-CT'!$E$7=TH!H1924,OR(L1924="331",M1924="331")),"331",IF(AND(OR(L1924="131",M1924="131"),H1924='131-CT'!$E$7),"131",""))</f>
        <v/>
      </c>
      <c r="O1924" s="51" t="str">
        <f>IF(AND($B1924&gt;='111'!$N$11,$B1924&lt;='111'!$O$11,OR($L1924=$O$7,$M1924=$O$7)),"x","")</f>
        <v/>
      </c>
      <c r="P1924" s="51" t="str">
        <f>IF(AND($L1924=$O$7,$B1924&lt;'111'!$N$11),"x","")</f>
        <v/>
      </c>
      <c r="Q1924" s="51" t="str">
        <f>IF(AND($M1924=$O$7,$B1924&lt;'111'!$N$11),"x","")</f>
        <v/>
      </c>
      <c r="R1924" s="51" t="str">
        <f>IF(ISERROR(FIND('112'!$M$9,G1924,1)),"",IF((AND(FIND('112'!$M$9,G1924,1)&gt;=1,$B1924&gt;='112'!$N$8,$B1924&lt;='112'!$O$8,OR($L1924='112'!$I$6,$M1924='112'!$I$6))),"x",""))</f>
        <v/>
      </c>
      <c r="S1924" s="51" t="str">
        <f>IF(ISERROR(FIND('112'!$M$9,G1924,1)),"",IF((AND(LEFT(G1924,2)=LEFT('112'!$M$9,2),B1924&lt;'112'!$N$8,$L1924='112'!$I$6)),"x",""))</f>
        <v/>
      </c>
      <c r="T1924" s="51" t="str">
        <f>IF(ISERROR(FIND('112'!$M$9,G1924,1)),"",IF((AND(RIGHT(G1924,2)=RIGHT('112'!$M$9,2),B1924&lt;'112'!$N$8,$M1924='112'!$I$6)),"x",""))</f>
        <v/>
      </c>
      <c r="U1924" s="51" t="str">
        <f>IF(AND(L1924="154",'154'!$O$5&lt;=B1924,'154'!$P$5&gt;=B1924),"154",IF(AND(L1924="632",'632'!$L$5&lt;=B1924,'632'!$M$5&gt;=B1924),"632",IF(AND(L1924="642",'642'!$N$5&lt;=B1924,'642'!$O$5&gt;=B1924),"642",IF(AND(L1924="641",'641'!$N$5&lt;=B1924,'641'!$O$5&gt;=B1924),"641",""))))</f>
        <v>154</v>
      </c>
      <c r="V1924" s="51" t="str">
        <f>IF(OR(TH!L1924=TH!$V$7,M1924=TH!$V$7),"x","")</f>
        <v/>
      </c>
      <c r="W1924" s="51" t="str">
        <f>IF(AND(B1924&gt;='IN-NX'!$P$3,B1924&lt;='IN-NX'!$Q$3,'IN-NX'!$D$7=D1924,OR(LEFT(L1924,2)="15",AND(LEFT(M1924,2)&lt;&gt;"15",LEFT(M1924,2)&lt;&gt;"33"))),"x","")</f>
        <v/>
      </c>
      <c r="X1924" s="51" t="str">
        <f>IF(AND(OR(LEFT(TH!L1924,2)="15",LEFT(TH!M1924,2)="15"),'152-CT'!$J$8=TH!F1924),"x","")</f>
        <v/>
      </c>
      <c r="Y1924" s="51" t="str">
        <f>IF(AND(OR(LEFT(TH!L1924,2)="15",LEFT(TH!M1924,2)="15"),TK!$E$7=TH!F1924),"x","")</f>
        <v/>
      </c>
      <c r="Z1924" s="51" t="str">
        <f>IF(AND(B1924&lt;=NKC!$N$8,B1924&gt;=NKC!$M$8),"x","")</f>
        <v/>
      </c>
      <c r="AA1924" s="803"/>
    </row>
    <row r="1925" spans="1:27" ht="15.75" customHeight="1">
      <c r="A1925" s="804" t="str">
        <f>IF(B1925&lt;&gt;"",IF(AND(B1925&gt;=_TM1,B1925&lt;=_TM2,OR(TH!L1925="1111",TH!M1925="1111")),TH!D1925,""),"")</f>
        <v/>
      </c>
      <c r="B1925" s="36">
        <f t="shared" si="134"/>
        <v>5</v>
      </c>
      <c r="C1925" s="189">
        <f t="shared" si="127"/>
        <v>42129</v>
      </c>
      <c r="D1925" s="189" t="s">
        <v>1289</v>
      </c>
      <c r="E1925" s="870">
        <v>42129</v>
      </c>
      <c r="F1925" s="868" t="s">
        <v>469</v>
      </c>
      <c r="G1925" s="883" t="s">
        <v>987</v>
      </c>
      <c r="H1925" s="873" t="s">
        <v>1286</v>
      </c>
      <c r="I1925" s="874">
        <v>65</v>
      </c>
      <c r="J1925" s="874">
        <v>22785</v>
      </c>
      <c r="K1925" s="875">
        <f t="shared" si="133"/>
        <v>1481025</v>
      </c>
      <c r="L1925" s="876" t="s">
        <v>160</v>
      </c>
      <c r="M1925" s="876" t="s">
        <v>417</v>
      </c>
      <c r="N1925" s="51" t="str">
        <f>IF(AND('331-CT'!$E$7=TH!H1925,OR(L1925="331",M1925="331")),"331",IF(AND(OR(L1925="131",M1925="131"),H1925='131-CT'!$E$7),"131",""))</f>
        <v/>
      </c>
      <c r="O1925" s="51" t="str">
        <f>IF(AND($B1925&gt;='111'!$N$11,$B1925&lt;='111'!$O$11,OR($L1925=$O$7,$M1925=$O$7)),"x","")</f>
        <v/>
      </c>
      <c r="P1925" s="51" t="str">
        <f>IF(AND($L1925=$O$7,$B1925&lt;'111'!$N$11),"x","")</f>
        <v/>
      </c>
      <c r="Q1925" s="51" t="str">
        <f>IF(AND($M1925=$O$7,$B1925&lt;'111'!$N$11),"x","")</f>
        <v/>
      </c>
      <c r="R1925" s="51" t="str">
        <f>IF(ISERROR(FIND('112'!$M$9,G1925,1)),"",IF((AND(FIND('112'!$M$9,G1925,1)&gt;=1,$B1925&gt;='112'!$N$8,$B1925&lt;='112'!$O$8,OR($L1925='112'!$I$6,$M1925='112'!$I$6))),"x",""))</f>
        <v/>
      </c>
      <c r="S1925" s="51" t="str">
        <f>IF(ISERROR(FIND('112'!$M$9,G1925,1)),"",IF((AND(LEFT(G1925,2)=LEFT('112'!$M$9,2),B1925&lt;'112'!$N$8,$L1925='112'!$I$6)),"x",""))</f>
        <v/>
      </c>
      <c r="T1925" s="51" t="str">
        <f>IF(ISERROR(FIND('112'!$M$9,G1925,1)),"",IF((AND(RIGHT(G1925,2)=RIGHT('112'!$M$9,2),B1925&lt;'112'!$N$8,$M1925='112'!$I$6)),"x",""))</f>
        <v/>
      </c>
      <c r="U1925" s="51" t="str">
        <f>IF(AND(L1925="154",'154'!$O$5&lt;=B1925,'154'!$P$5&gt;=B1925),"154",IF(AND(L1925="632",'632'!$L$5&lt;=B1925,'632'!$M$5&gt;=B1925),"632",IF(AND(L1925="642",'642'!$N$5&lt;=B1925,'642'!$O$5&gt;=B1925),"642",IF(AND(L1925="641",'641'!$N$5&lt;=B1925,'641'!$O$5&gt;=B1925),"641",""))))</f>
        <v>154</v>
      </c>
      <c r="V1925" s="51" t="str">
        <f>IF(OR(TH!L1925=TH!$V$7,M1925=TH!$V$7),"x","")</f>
        <v/>
      </c>
      <c r="W1925" s="51" t="str">
        <f>IF(AND(B1925&gt;='IN-NX'!$P$3,B1925&lt;='IN-NX'!$Q$3,'IN-NX'!$D$7=D1925,OR(LEFT(L1925,2)="15",AND(LEFT(M1925,2)&lt;&gt;"15",LEFT(M1925,2)&lt;&gt;"33"))),"x","")</f>
        <v/>
      </c>
      <c r="X1925" s="51" t="str">
        <f>IF(AND(OR(LEFT(TH!L1925,2)="15",LEFT(TH!M1925,2)="15"),'152-CT'!$J$8=TH!F1925),"x","")</f>
        <v/>
      </c>
      <c r="Y1925" s="51" t="str">
        <f>IF(AND(OR(LEFT(TH!L1925,2)="15",LEFT(TH!M1925,2)="15"),TK!$E$7=TH!F1925),"x","")</f>
        <v/>
      </c>
      <c r="Z1925" s="51" t="str">
        <f>IF(AND(B1925&lt;=NKC!$N$8,B1925&gt;=NKC!$M$8),"x","")</f>
        <v/>
      </c>
      <c r="AA1925" s="803"/>
    </row>
    <row r="1926" spans="1:27" ht="15.75" customHeight="1">
      <c r="A1926" s="804" t="str">
        <f>IF(B1926&lt;&gt;"",IF(AND(B1926&gt;=_TM1,B1926&lt;=_TM2,OR(TH!L1926="1111",TH!M1926="1111")),TH!D1926,""),"")</f>
        <v/>
      </c>
      <c r="B1926" s="36">
        <f t="shared" si="134"/>
        <v>5</v>
      </c>
      <c r="C1926" s="189">
        <f t="shared" si="127"/>
        <v>42129</v>
      </c>
      <c r="D1926" s="189" t="s">
        <v>1289</v>
      </c>
      <c r="E1926" s="870">
        <v>42129</v>
      </c>
      <c r="F1926" s="187" t="s">
        <v>544</v>
      </c>
      <c r="G1926" s="883" t="s">
        <v>987</v>
      </c>
      <c r="H1926" s="873" t="s">
        <v>1286</v>
      </c>
      <c r="I1926" s="874">
        <v>200</v>
      </c>
      <c r="J1926" s="874">
        <v>8201</v>
      </c>
      <c r="K1926" s="875">
        <f t="shared" si="133"/>
        <v>1640200</v>
      </c>
      <c r="L1926" s="876" t="s">
        <v>160</v>
      </c>
      <c r="M1926" s="876" t="s">
        <v>417</v>
      </c>
      <c r="N1926" s="51" t="str">
        <f>IF(AND('331-CT'!$E$7=TH!H1926,OR(L1926="331",M1926="331")),"331",IF(AND(OR(L1926="131",M1926="131"),H1926='131-CT'!$E$7),"131",""))</f>
        <v/>
      </c>
      <c r="O1926" s="51" t="str">
        <f>IF(AND($B1926&gt;='111'!$N$11,$B1926&lt;='111'!$O$11,OR($L1926=$O$7,$M1926=$O$7)),"x","")</f>
        <v/>
      </c>
      <c r="P1926" s="51" t="str">
        <f>IF(AND($L1926=$O$7,$B1926&lt;'111'!$N$11),"x","")</f>
        <v/>
      </c>
      <c r="Q1926" s="51" t="str">
        <f>IF(AND($M1926=$O$7,$B1926&lt;'111'!$N$11),"x","")</f>
        <v/>
      </c>
      <c r="R1926" s="51" t="str">
        <f>IF(ISERROR(FIND('112'!$M$9,G1926,1)),"",IF((AND(FIND('112'!$M$9,G1926,1)&gt;=1,$B1926&gt;='112'!$N$8,$B1926&lt;='112'!$O$8,OR($L1926='112'!$I$6,$M1926='112'!$I$6))),"x",""))</f>
        <v/>
      </c>
      <c r="S1926" s="51" t="str">
        <f>IF(ISERROR(FIND('112'!$M$9,G1926,1)),"",IF((AND(LEFT(G1926,2)=LEFT('112'!$M$9,2),B1926&lt;'112'!$N$8,$L1926='112'!$I$6)),"x",""))</f>
        <v/>
      </c>
      <c r="T1926" s="51" t="str">
        <f>IF(ISERROR(FIND('112'!$M$9,G1926,1)),"",IF((AND(RIGHT(G1926,2)=RIGHT('112'!$M$9,2),B1926&lt;'112'!$N$8,$M1926='112'!$I$6)),"x",""))</f>
        <v/>
      </c>
      <c r="U1926" s="51" t="str">
        <f>IF(AND(L1926="154",'154'!$O$5&lt;=B1926,'154'!$P$5&gt;=B1926),"154",IF(AND(L1926="632",'632'!$L$5&lt;=B1926,'632'!$M$5&gt;=B1926),"632",IF(AND(L1926="642",'642'!$N$5&lt;=B1926,'642'!$O$5&gt;=B1926),"642",IF(AND(L1926="641",'641'!$N$5&lt;=B1926,'641'!$O$5&gt;=B1926),"641",""))))</f>
        <v>154</v>
      </c>
      <c r="V1926" s="51" t="str">
        <f>IF(OR(TH!L1926=TH!$V$7,M1926=TH!$V$7),"x","")</f>
        <v/>
      </c>
      <c r="W1926" s="51" t="str">
        <f>IF(AND(B1926&gt;='IN-NX'!$P$3,B1926&lt;='IN-NX'!$Q$3,'IN-NX'!$D$7=D1926,OR(LEFT(L1926,2)="15",AND(LEFT(M1926,2)&lt;&gt;"15",LEFT(M1926,2)&lt;&gt;"33"))),"x","")</f>
        <v/>
      </c>
      <c r="X1926" s="51" t="str">
        <f>IF(AND(OR(LEFT(TH!L1926,2)="15",LEFT(TH!M1926,2)="15"),'152-CT'!$J$8=TH!F1926),"x","")</f>
        <v/>
      </c>
      <c r="Y1926" s="51" t="str">
        <f>IF(AND(OR(LEFT(TH!L1926,2)="15",LEFT(TH!M1926,2)="15"),TK!$E$7=TH!F1926),"x","")</f>
        <v/>
      </c>
      <c r="Z1926" s="51" t="str">
        <f>IF(AND(B1926&lt;=NKC!$N$8,B1926&gt;=NKC!$M$8),"x","")</f>
        <v/>
      </c>
      <c r="AA1926" s="803"/>
    </row>
    <row r="1927" spans="1:27" ht="15.75" customHeight="1">
      <c r="A1927" s="804" t="str">
        <f>IF(B1927&lt;&gt;"",IF(AND(B1927&gt;=_TM1,B1927&lt;=_TM2,OR(TH!L1927="1111",TH!M1927="1111")),TH!D1927,""),"")</f>
        <v/>
      </c>
      <c r="B1927" s="36">
        <f t="shared" si="134"/>
        <v>6</v>
      </c>
      <c r="C1927" s="189">
        <f t="shared" si="127"/>
        <v>42156</v>
      </c>
      <c r="D1927" s="189" t="s">
        <v>1289</v>
      </c>
      <c r="E1927" s="870">
        <v>42156</v>
      </c>
      <c r="F1927" s="868" t="s">
        <v>577</v>
      </c>
      <c r="G1927" s="883" t="s">
        <v>991</v>
      </c>
      <c r="H1927" s="873" t="s">
        <v>1286</v>
      </c>
      <c r="I1927" s="874">
        <v>500</v>
      </c>
      <c r="J1927" s="874">
        <v>10710</v>
      </c>
      <c r="K1927" s="875">
        <f t="shared" si="133"/>
        <v>5355000</v>
      </c>
      <c r="L1927" s="876" t="s">
        <v>160</v>
      </c>
      <c r="M1927" s="876" t="s">
        <v>417</v>
      </c>
      <c r="N1927" s="51" t="str">
        <f>IF(AND('331-CT'!$E$7=TH!H1927,OR(L1927="331",M1927="331")),"331",IF(AND(OR(L1927="131",M1927="131"),H1927='131-CT'!$E$7),"131",""))</f>
        <v/>
      </c>
      <c r="O1927" s="51" t="str">
        <f>IF(AND($B1927&gt;='111'!$N$11,$B1927&lt;='111'!$O$11,OR($L1927=$O$7,$M1927=$O$7)),"x","")</f>
        <v/>
      </c>
      <c r="P1927" s="51" t="str">
        <f>IF(AND($L1927=$O$7,$B1927&lt;'111'!$N$11),"x","")</f>
        <v/>
      </c>
      <c r="Q1927" s="51" t="str">
        <f>IF(AND($M1927=$O$7,$B1927&lt;'111'!$N$11),"x","")</f>
        <v/>
      </c>
      <c r="R1927" s="51" t="str">
        <f>IF(ISERROR(FIND('112'!$M$9,G1927,1)),"",IF((AND(FIND('112'!$M$9,G1927,1)&gt;=1,$B1927&gt;='112'!$N$8,$B1927&lt;='112'!$O$8,OR($L1927='112'!$I$6,$M1927='112'!$I$6))),"x",""))</f>
        <v/>
      </c>
      <c r="S1927" s="51" t="str">
        <f>IF(ISERROR(FIND('112'!$M$9,G1927,1)),"",IF((AND(LEFT(G1927,2)=LEFT('112'!$M$9,2),B1927&lt;'112'!$N$8,$L1927='112'!$I$6)),"x",""))</f>
        <v/>
      </c>
      <c r="T1927" s="51" t="str">
        <f>IF(ISERROR(FIND('112'!$M$9,G1927,1)),"",IF((AND(RIGHT(G1927,2)=RIGHT('112'!$M$9,2),B1927&lt;'112'!$N$8,$M1927='112'!$I$6)),"x",""))</f>
        <v/>
      </c>
      <c r="U1927" s="51" t="str">
        <f>IF(AND(L1927="154",'154'!$O$5&lt;=B1927,'154'!$P$5&gt;=B1927),"154",IF(AND(L1927="632",'632'!$L$5&lt;=B1927,'632'!$M$5&gt;=B1927),"632",IF(AND(L1927="642",'642'!$N$5&lt;=B1927,'642'!$O$5&gt;=B1927),"642",IF(AND(L1927="641",'641'!$N$5&lt;=B1927,'641'!$O$5&gt;=B1927),"641",""))))</f>
        <v>154</v>
      </c>
      <c r="V1927" s="51" t="str">
        <f>IF(OR(TH!L1927=TH!$V$7,M1927=TH!$V$7),"x","")</f>
        <v/>
      </c>
      <c r="W1927" s="51" t="str">
        <f>IF(AND(B1927&gt;='IN-NX'!$P$3,B1927&lt;='IN-NX'!$Q$3,'IN-NX'!$D$7=D1927,OR(LEFT(L1927,2)="15",AND(LEFT(M1927,2)&lt;&gt;"15",LEFT(M1927,2)&lt;&gt;"33"))),"x","")</f>
        <v/>
      </c>
      <c r="X1927" s="51" t="str">
        <f>IF(AND(OR(LEFT(TH!L1927,2)="15",LEFT(TH!M1927,2)="15"),'152-CT'!$J$8=TH!F1927),"x","")</f>
        <v/>
      </c>
      <c r="Y1927" s="51" t="str">
        <f>IF(AND(OR(LEFT(TH!L1927,2)="15",LEFT(TH!M1927,2)="15"),TK!$E$7=TH!F1927),"x","")</f>
        <v/>
      </c>
      <c r="Z1927" s="51" t="str">
        <f>IF(AND(B1927&lt;=NKC!$N$8,B1927&gt;=NKC!$M$8),"x","")</f>
        <v/>
      </c>
      <c r="AA1927" s="803"/>
    </row>
    <row r="1928" spans="1:27" ht="15.75" customHeight="1">
      <c r="A1928" s="804" t="str">
        <f>IF(B1928&lt;&gt;"",IF(AND(B1928&gt;=_TM1,B1928&lt;=_TM2,OR(TH!L1928="1111",TH!M1928="1111")),TH!D1928,""),"")</f>
        <v/>
      </c>
      <c r="B1928" s="36">
        <f t="shared" si="134"/>
        <v>6</v>
      </c>
      <c r="C1928" s="189">
        <f t="shared" si="127"/>
        <v>42168</v>
      </c>
      <c r="D1928" s="189" t="s">
        <v>1289</v>
      </c>
      <c r="E1928" s="870">
        <v>42168</v>
      </c>
      <c r="F1928" s="282" t="s">
        <v>483</v>
      </c>
      <c r="G1928" s="883" t="s">
        <v>993</v>
      </c>
      <c r="H1928" s="873" t="s">
        <v>1286</v>
      </c>
      <c r="I1928" s="874">
        <v>90</v>
      </c>
      <c r="J1928" s="874">
        <v>20051</v>
      </c>
      <c r="K1928" s="875">
        <f t="shared" si="133"/>
        <v>1804590</v>
      </c>
      <c r="L1928" s="876" t="s">
        <v>160</v>
      </c>
      <c r="M1928" s="876" t="s">
        <v>417</v>
      </c>
      <c r="N1928" s="51" t="str">
        <f>IF(AND('331-CT'!$E$7=TH!H1928,OR(L1928="331",M1928="331")),"331",IF(AND(OR(L1928="131",M1928="131"),H1928='131-CT'!$E$7),"131",""))</f>
        <v/>
      </c>
      <c r="O1928" s="51" t="str">
        <f>IF(AND($B1928&gt;='111'!$N$11,$B1928&lt;='111'!$O$11,OR($L1928=$O$7,$M1928=$O$7)),"x","")</f>
        <v/>
      </c>
      <c r="P1928" s="51" t="str">
        <f>IF(AND($L1928=$O$7,$B1928&lt;'111'!$N$11),"x","")</f>
        <v/>
      </c>
      <c r="Q1928" s="51" t="str">
        <f>IF(AND($M1928=$O$7,$B1928&lt;'111'!$N$11),"x","")</f>
        <v/>
      </c>
      <c r="R1928" s="51" t="str">
        <f>IF(ISERROR(FIND('112'!$M$9,G1928,1)),"",IF((AND(FIND('112'!$M$9,G1928,1)&gt;=1,$B1928&gt;='112'!$N$8,$B1928&lt;='112'!$O$8,OR($L1928='112'!$I$6,$M1928='112'!$I$6))),"x",""))</f>
        <v/>
      </c>
      <c r="S1928" s="51" t="str">
        <f>IF(ISERROR(FIND('112'!$M$9,G1928,1)),"",IF((AND(LEFT(G1928,2)=LEFT('112'!$M$9,2),B1928&lt;'112'!$N$8,$L1928='112'!$I$6)),"x",""))</f>
        <v/>
      </c>
      <c r="T1928" s="51" t="str">
        <f>IF(ISERROR(FIND('112'!$M$9,G1928,1)),"",IF((AND(RIGHT(G1928,2)=RIGHT('112'!$M$9,2),B1928&lt;'112'!$N$8,$M1928='112'!$I$6)),"x",""))</f>
        <v/>
      </c>
      <c r="U1928" s="51" t="str">
        <f>IF(AND(L1928="154",'154'!$O$5&lt;=B1928,'154'!$P$5&gt;=B1928),"154",IF(AND(L1928="632",'632'!$L$5&lt;=B1928,'632'!$M$5&gt;=B1928),"632",IF(AND(L1928="642",'642'!$N$5&lt;=B1928,'642'!$O$5&gt;=B1928),"642",IF(AND(L1928="641",'641'!$N$5&lt;=B1928,'641'!$O$5&gt;=B1928),"641",""))))</f>
        <v>154</v>
      </c>
      <c r="V1928" s="51" t="str">
        <f>IF(OR(TH!L1928=TH!$V$7,M1928=TH!$V$7),"x","")</f>
        <v/>
      </c>
      <c r="W1928" s="51" t="str">
        <f>IF(AND(B1928&gt;='IN-NX'!$P$3,B1928&lt;='IN-NX'!$Q$3,'IN-NX'!$D$7=D1928,OR(LEFT(L1928,2)="15",AND(LEFT(M1928,2)&lt;&gt;"15",LEFT(M1928,2)&lt;&gt;"33"))),"x","")</f>
        <v/>
      </c>
      <c r="X1928" s="51" t="str">
        <f>IF(AND(OR(LEFT(TH!L1928,2)="15",LEFT(TH!M1928,2)="15"),'152-CT'!$J$8=TH!F1928),"x","")</f>
        <v/>
      </c>
      <c r="Y1928" s="51" t="str">
        <f>IF(AND(OR(LEFT(TH!L1928,2)="15",LEFT(TH!M1928,2)="15"),TK!$E$7=TH!F1928),"x","")</f>
        <v/>
      </c>
      <c r="Z1928" s="51" t="str">
        <f>IF(AND(B1928&lt;=NKC!$N$8,B1928&gt;=NKC!$M$8),"x","")</f>
        <v/>
      </c>
      <c r="AA1928" s="803"/>
    </row>
    <row r="1929" spans="1:27" ht="15.75" customHeight="1">
      <c r="A1929" s="804" t="str">
        <f>IF(B1929&lt;&gt;"",IF(AND(B1929&gt;=_TM1,B1929&lt;=_TM2,OR(TH!L1929="1111",TH!M1929="1111")),TH!D1929,""),"")</f>
        <v/>
      </c>
      <c r="B1929" s="36">
        <f t="shared" si="134"/>
        <v>6</v>
      </c>
      <c r="C1929" s="189">
        <f t="shared" si="127"/>
        <v>42173</v>
      </c>
      <c r="D1929" s="189" t="s">
        <v>1289</v>
      </c>
      <c r="E1929" s="884">
        <v>42173</v>
      </c>
      <c r="F1929" s="187" t="s">
        <v>1135</v>
      </c>
      <c r="G1929" s="882" t="s">
        <v>995</v>
      </c>
      <c r="H1929" s="873" t="s">
        <v>1286</v>
      </c>
      <c r="I1929" s="874">
        <v>16</v>
      </c>
      <c r="J1929" s="874">
        <v>27914</v>
      </c>
      <c r="K1929" s="875">
        <f t="shared" si="133"/>
        <v>446624</v>
      </c>
      <c r="L1929" s="876" t="s">
        <v>160</v>
      </c>
      <c r="M1929" s="876" t="s">
        <v>417</v>
      </c>
      <c r="N1929" s="51" t="str">
        <f>IF(AND('331-CT'!$E$7=TH!H1929,OR(L1929="331",M1929="331")),"331",IF(AND(OR(L1929="131",M1929="131"),H1929='131-CT'!$E$7),"131",""))</f>
        <v/>
      </c>
      <c r="O1929" s="51" t="str">
        <f>IF(AND($B1929&gt;='111'!$N$11,$B1929&lt;='111'!$O$11,OR($L1929=$O$7,$M1929=$O$7)),"x","")</f>
        <v/>
      </c>
      <c r="P1929" s="51" t="str">
        <f>IF(AND($L1929=$O$7,$B1929&lt;'111'!$N$11),"x","")</f>
        <v/>
      </c>
      <c r="Q1929" s="51" t="str">
        <f>IF(AND($M1929=$O$7,$B1929&lt;'111'!$N$11),"x","")</f>
        <v/>
      </c>
      <c r="R1929" s="51" t="str">
        <f>IF(ISERROR(FIND('112'!$M$9,G1929,1)),"",IF((AND(FIND('112'!$M$9,G1929,1)&gt;=1,$B1929&gt;='112'!$N$8,$B1929&lt;='112'!$O$8,OR($L1929='112'!$I$6,$M1929='112'!$I$6))),"x",""))</f>
        <v/>
      </c>
      <c r="S1929" s="51" t="str">
        <f>IF(ISERROR(FIND('112'!$M$9,G1929,1)),"",IF((AND(LEFT(G1929,2)=LEFT('112'!$M$9,2),B1929&lt;'112'!$N$8,$L1929='112'!$I$6)),"x",""))</f>
        <v/>
      </c>
      <c r="T1929" s="51" t="str">
        <f>IF(ISERROR(FIND('112'!$M$9,G1929,1)),"",IF((AND(RIGHT(G1929,2)=RIGHT('112'!$M$9,2),B1929&lt;'112'!$N$8,$M1929='112'!$I$6)),"x",""))</f>
        <v/>
      </c>
      <c r="U1929" s="51" t="str">
        <f>IF(AND(L1929="154",'154'!$O$5&lt;=B1929,'154'!$P$5&gt;=B1929),"154",IF(AND(L1929="632",'632'!$L$5&lt;=B1929,'632'!$M$5&gt;=B1929),"632",IF(AND(L1929="642",'642'!$N$5&lt;=B1929,'642'!$O$5&gt;=B1929),"642",IF(AND(L1929="641",'641'!$N$5&lt;=B1929,'641'!$O$5&gt;=B1929),"641",""))))</f>
        <v>154</v>
      </c>
      <c r="V1929" s="51" t="str">
        <f>IF(OR(TH!L1929=TH!$V$7,M1929=TH!$V$7),"x","")</f>
        <v/>
      </c>
      <c r="W1929" s="51" t="str">
        <f>IF(AND(B1929&gt;='IN-NX'!$P$3,B1929&lt;='IN-NX'!$Q$3,'IN-NX'!$D$7=D1929,OR(LEFT(L1929,2)="15",AND(LEFT(M1929,2)&lt;&gt;"15",LEFT(M1929,2)&lt;&gt;"33"))),"x","")</f>
        <v/>
      </c>
      <c r="X1929" s="51" t="str">
        <f>IF(AND(OR(LEFT(TH!L1929,2)="15",LEFT(TH!M1929,2)="15"),'152-CT'!$J$8=TH!F1929),"x","")</f>
        <v/>
      </c>
      <c r="Y1929" s="51" t="str">
        <f>IF(AND(OR(LEFT(TH!L1929,2)="15",LEFT(TH!M1929,2)="15"),TK!$E$7=TH!F1929),"x","")</f>
        <v/>
      </c>
      <c r="Z1929" s="51" t="str">
        <f>IF(AND(B1929&lt;=NKC!$N$8,B1929&gt;=NKC!$M$8),"x","")</f>
        <v/>
      </c>
      <c r="AA1929" s="803"/>
    </row>
    <row r="1930" spans="1:27" ht="15.75" customHeight="1">
      <c r="A1930" s="804" t="str">
        <f>IF(B1930&lt;&gt;"",IF(AND(B1930&gt;=_TM1,B1930&lt;=_TM2,OR(TH!L1930="1111",TH!M1930="1111")),TH!D1930,""),"")</f>
        <v/>
      </c>
      <c r="B1930" s="36">
        <f t="shared" si="134"/>
        <v>6</v>
      </c>
      <c r="C1930" s="189">
        <f t="shared" si="127"/>
        <v>42173</v>
      </c>
      <c r="D1930" s="189" t="s">
        <v>1289</v>
      </c>
      <c r="E1930" s="884">
        <v>42173</v>
      </c>
      <c r="F1930" s="868" t="s">
        <v>601</v>
      </c>
      <c r="G1930" s="882" t="s">
        <v>995</v>
      </c>
      <c r="H1930" s="873" t="s">
        <v>1286</v>
      </c>
      <c r="I1930" s="874">
        <v>20</v>
      </c>
      <c r="J1930" s="874">
        <v>21326.5</v>
      </c>
      <c r="K1930" s="875">
        <f t="shared" si="133"/>
        <v>426530</v>
      </c>
      <c r="L1930" s="876" t="s">
        <v>160</v>
      </c>
      <c r="M1930" s="876" t="s">
        <v>417</v>
      </c>
      <c r="N1930" s="51" t="str">
        <f>IF(AND('331-CT'!$E$7=TH!H1930,OR(L1930="331",M1930="331")),"331",IF(AND(OR(L1930="131",M1930="131"),H1930='131-CT'!$E$7),"131",""))</f>
        <v/>
      </c>
      <c r="O1930" s="51" t="str">
        <f>IF(AND($B1930&gt;='111'!$N$11,$B1930&lt;='111'!$O$11,OR($L1930=$O$7,$M1930=$O$7)),"x","")</f>
        <v/>
      </c>
      <c r="P1930" s="51" t="str">
        <f>IF(AND($L1930=$O$7,$B1930&lt;'111'!$N$11),"x","")</f>
        <v/>
      </c>
      <c r="Q1930" s="51" t="str">
        <f>IF(AND($M1930=$O$7,$B1930&lt;'111'!$N$11),"x","")</f>
        <v/>
      </c>
      <c r="R1930" s="51" t="str">
        <f>IF(ISERROR(FIND('112'!$M$9,G1930,1)),"",IF((AND(FIND('112'!$M$9,G1930,1)&gt;=1,$B1930&gt;='112'!$N$8,$B1930&lt;='112'!$O$8,OR($L1930='112'!$I$6,$M1930='112'!$I$6))),"x",""))</f>
        <v/>
      </c>
      <c r="S1930" s="51" t="str">
        <f>IF(ISERROR(FIND('112'!$M$9,G1930,1)),"",IF((AND(LEFT(G1930,2)=LEFT('112'!$M$9,2),B1930&lt;'112'!$N$8,$L1930='112'!$I$6)),"x",""))</f>
        <v/>
      </c>
      <c r="T1930" s="51" t="str">
        <f>IF(ISERROR(FIND('112'!$M$9,G1930,1)),"",IF((AND(RIGHT(G1930,2)=RIGHT('112'!$M$9,2),B1930&lt;'112'!$N$8,$M1930='112'!$I$6)),"x",""))</f>
        <v/>
      </c>
      <c r="U1930" s="51" t="str">
        <f>IF(AND(L1930="154",'154'!$O$5&lt;=B1930,'154'!$P$5&gt;=B1930),"154",IF(AND(L1930="632",'632'!$L$5&lt;=B1930,'632'!$M$5&gt;=B1930),"632",IF(AND(L1930="642",'642'!$N$5&lt;=B1930,'642'!$O$5&gt;=B1930),"642",IF(AND(L1930="641",'641'!$N$5&lt;=B1930,'641'!$O$5&gt;=B1930),"641",""))))</f>
        <v>154</v>
      </c>
      <c r="V1930" s="51" t="str">
        <f>IF(OR(TH!L1930=TH!$V$7,M1930=TH!$V$7),"x","")</f>
        <v/>
      </c>
      <c r="W1930" s="51" t="str">
        <f>IF(AND(B1930&gt;='IN-NX'!$P$3,B1930&lt;='IN-NX'!$Q$3,'IN-NX'!$D$7=D1930,OR(LEFT(L1930,2)="15",AND(LEFT(M1930,2)&lt;&gt;"15",LEFT(M1930,2)&lt;&gt;"33"))),"x","")</f>
        <v/>
      </c>
      <c r="X1930" s="51" t="str">
        <f>IF(AND(OR(LEFT(TH!L1930,2)="15",LEFT(TH!M1930,2)="15"),'152-CT'!$J$8=TH!F1930),"x","")</f>
        <v/>
      </c>
      <c r="Y1930" s="51" t="str">
        <f>IF(AND(OR(LEFT(TH!L1930,2)="15",LEFT(TH!M1930,2)="15"),TK!$E$7=TH!F1930),"x","")</f>
        <v/>
      </c>
      <c r="Z1930" s="51" t="str">
        <f>IF(AND(B1930&lt;=NKC!$N$8,B1930&gt;=NKC!$M$8),"x","")</f>
        <v/>
      </c>
      <c r="AA1930" s="803"/>
    </row>
    <row r="1931" spans="1:27" ht="15.75" customHeight="1">
      <c r="A1931" s="804" t="str">
        <f>IF(B1931&lt;&gt;"",IF(AND(B1931&gt;=_TM1,B1931&lt;=_TM2,OR(TH!L1931="1111",TH!M1931="1111")),TH!D1931,""),"")</f>
        <v/>
      </c>
      <c r="B1931" s="36">
        <f t="shared" si="134"/>
        <v>6</v>
      </c>
      <c r="C1931" s="189">
        <f t="shared" si="127"/>
        <v>42173</v>
      </c>
      <c r="D1931" s="189" t="s">
        <v>1289</v>
      </c>
      <c r="E1931" s="884">
        <v>42173</v>
      </c>
      <c r="F1931" s="868" t="s">
        <v>1121</v>
      </c>
      <c r="G1931" s="882" t="s">
        <v>995</v>
      </c>
      <c r="H1931" s="873" t="s">
        <v>1286</v>
      </c>
      <c r="I1931" s="874">
        <v>32</v>
      </c>
      <c r="J1931" s="874">
        <v>25344</v>
      </c>
      <c r="K1931" s="875">
        <f t="shared" si="133"/>
        <v>811008</v>
      </c>
      <c r="L1931" s="876" t="s">
        <v>160</v>
      </c>
      <c r="M1931" s="876" t="s">
        <v>417</v>
      </c>
      <c r="N1931" s="51" t="str">
        <f>IF(AND('331-CT'!$E$7=TH!H1931,OR(L1931="331",M1931="331")),"331",IF(AND(OR(L1931="131",M1931="131"),H1931='131-CT'!$E$7),"131",""))</f>
        <v/>
      </c>
      <c r="O1931" s="51" t="str">
        <f>IF(AND($B1931&gt;='111'!$N$11,$B1931&lt;='111'!$O$11,OR($L1931=$O$7,$M1931=$O$7)),"x","")</f>
        <v/>
      </c>
      <c r="P1931" s="51" t="str">
        <f>IF(AND($L1931=$O$7,$B1931&lt;'111'!$N$11),"x","")</f>
        <v/>
      </c>
      <c r="Q1931" s="51" t="str">
        <f>IF(AND($M1931=$O$7,$B1931&lt;'111'!$N$11),"x","")</f>
        <v/>
      </c>
      <c r="R1931" s="51" t="str">
        <f>IF(ISERROR(FIND('112'!$M$9,G1931,1)),"",IF((AND(FIND('112'!$M$9,G1931,1)&gt;=1,$B1931&gt;='112'!$N$8,$B1931&lt;='112'!$O$8,OR($L1931='112'!$I$6,$M1931='112'!$I$6))),"x",""))</f>
        <v/>
      </c>
      <c r="S1931" s="51" t="str">
        <f>IF(ISERROR(FIND('112'!$M$9,G1931,1)),"",IF((AND(LEFT(G1931,2)=LEFT('112'!$M$9,2),B1931&lt;'112'!$N$8,$L1931='112'!$I$6)),"x",""))</f>
        <v/>
      </c>
      <c r="T1931" s="51" t="str">
        <f>IF(ISERROR(FIND('112'!$M$9,G1931,1)),"",IF((AND(RIGHT(G1931,2)=RIGHT('112'!$M$9,2),B1931&lt;'112'!$N$8,$M1931='112'!$I$6)),"x",""))</f>
        <v/>
      </c>
      <c r="U1931" s="51" t="str">
        <f>IF(AND(L1931="154",'154'!$O$5&lt;=B1931,'154'!$P$5&gt;=B1931),"154",IF(AND(L1931="632",'632'!$L$5&lt;=B1931,'632'!$M$5&gt;=B1931),"632",IF(AND(L1931="642",'642'!$N$5&lt;=B1931,'642'!$O$5&gt;=B1931),"642",IF(AND(L1931="641",'641'!$N$5&lt;=B1931,'641'!$O$5&gt;=B1931),"641",""))))</f>
        <v>154</v>
      </c>
      <c r="V1931" s="51" t="str">
        <f>IF(OR(TH!L1931=TH!$V$7,M1931=TH!$V$7),"x","")</f>
        <v/>
      </c>
      <c r="W1931" s="51" t="str">
        <f>IF(AND(B1931&gt;='IN-NX'!$P$3,B1931&lt;='IN-NX'!$Q$3,'IN-NX'!$D$7=D1931,OR(LEFT(L1931,2)="15",AND(LEFT(M1931,2)&lt;&gt;"15",LEFT(M1931,2)&lt;&gt;"33"))),"x","")</f>
        <v/>
      </c>
      <c r="X1931" s="51" t="str">
        <f>IF(AND(OR(LEFT(TH!L1931,2)="15",LEFT(TH!M1931,2)="15"),'152-CT'!$J$8=TH!F1931),"x","")</f>
        <v/>
      </c>
      <c r="Y1931" s="51" t="str">
        <f>IF(AND(OR(LEFT(TH!L1931,2)="15",LEFT(TH!M1931,2)="15"),TK!$E$7=TH!F1931),"x","")</f>
        <v/>
      </c>
      <c r="Z1931" s="51" t="str">
        <f>IF(AND(B1931&lt;=NKC!$N$8,B1931&gt;=NKC!$M$8),"x","")</f>
        <v/>
      </c>
      <c r="AA1931" s="803"/>
    </row>
    <row r="1932" spans="1:27" ht="15.75" customHeight="1">
      <c r="A1932" s="804" t="str">
        <f>IF(B1932&lt;&gt;"",IF(AND(B1932&gt;=_TM1,B1932&lt;=_TM2,OR(TH!L1932="1111",TH!M1932="1111")),TH!D1932,""),"")</f>
        <v/>
      </c>
      <c r="B1932" s="36">
        <f t="shared" si="134"/>
        <v>6</v>
      </c>
      <c r="C1932" s="189">
        <f t="shared" si="127"/>
        <v>42173</v>
      </c>
      <c r="D1932" s="189" t="s">
        <v>1289</v>
      </c>
      <c r="E1932" s="884">
        <v>42173</v>
      </c>
      <c r="F1932" s="868" t="s">
        <v>1121</v>
      </c>
      <c r="G1932" s="882" t="s">
        <v>995</v>
      </c>
      <c r="H1932" s="873" t="s">
        <v>1286</v>
      </c>
      <c r="I1932" s="874">
        <v>110</v>
      </c>
      <c r="J1932" s="874">
        <v>25344</v>
      </c>
      <c r="K1932" s="875">
        <f t="shared" si="133"/>
        <v>2787840</v>
      </c>
      <c r="L1932" s="876" t="s">
        <v>160</v>
      </c>
      <c r="M1932" s="876" t="s">
        <v>417</v>
      </c>
      <c r="N1932" s="51" t="str">
        <f>IF(AND('331-CT'!$E$7=TH!H1932,OR(L1932="331",M1932="331")),"331",IF(AND(OR(L1932="131",M1932="131"),H1932='131-CT'!$E$7),"131",""))</f>
        <v/>
      </c>
      <c r="O1932" s="51" t="str">
        <f>IF(AND($B1932&gt;='111'!$N$11,$B1932&lt;='111'!$O$11,OR($L1932=$O$7,$M1932=$O$7)),"x","")</f>
        <v/>
      </c>
      <c r="P1932" s="51" t="str">
        <f>IF(AND($L1932=$O$7,$B1932&lt;'111'!$N$11),"x","")</f>
        <v/>
      </c>
      <c r="Q1932" s="51" t="str">
        <f>IF(AND($M1932=$O$7,$B1932&lt;'111'!$N$11),"x","")</f>
        <v/>
      </c>
      <c r="R1932" s="51" t="str">
        <f>IF(ISERROR(FIND('112'!$M$9,G1932,1)),"",IF((AND(FIND('112'!$M$9,G1932,1)&gt;=1,$B1932&gt;='112'!$N$8,$B1932&lt;='112'!$O$8,OR($L1932='112'!$I$6,$M1932='112'!$I$6))),"x",""))</f>
        <v/>
      </c>
      <c r="S1932" s="51" t="str">
        <f>IF(ISERROR(FIND('112'!$M$9,G1932,1)),"",IF((AND(LEFT(G1932,2)=LEFT('112'!$M$9,2),B1932&lt;'112'!$N$8,$L1932='112'!$I$6)),"x",""))</f>
        <v/>
      </c>
      <c r="T1932" s="51" t="str">
        <f>IF(ISERROR(FIND('112'!$M$9,G1932,1)),"",IF((AND(RIGHT(G1932,2)=RIGHT('112'!$M$9,2),B1932&lt;'112'!$N$8,$M1932='112'!$I$6)),"x",""))</f>
        <v/>
      </c>
      <c r="U1932" s="51" t="str">
        <f>IF(AND(L1932="154",'154'!$O$5&lt;=B1932,'154'!$P$5&gt;=B1932),"154",IF(AND(L1932="632",'632'!$L$5&lt;=B1932,'632'!$M$5&gt;=B1932),"632",IF(AND(L1932="642",'642'!$N$5&lt;=B1932,'642'!$O$5&gt;=B1932),"642",IF(AND(L1932="641",'641'!$N$5&lt;=B1932,'641'!$O$5&gt;=B1932),"641",""))))</f>
        <v>154</v>
      </c>
      <c r="V1932" s="51" t="str">
        <f>IF(OR(TH!L1932=TH!$V$7,M1932=TH!$V$7),"x","")</f>
        <v/>
      </c>
      <c r="W1932" s="51" t="str">
        <f>IF(AND(B1932&gt;='IN-NX'!$P$3,B1932&lt;='IN-NX'!$Q$3,'IN-NX'!$D$7=D1932,OR(LEFT(L1932,2)="15",AND(LEFT(M1932,2)&lt;&gt;"15",LEFT(M1932,2)&lt;&gt;"33"))),"x","")</f>
        <v/>
      </c>
      <c r="X1932" s="51" t="str">
        <f>IF(AND(OR(LEFT(TH!L1932,2)="15",LEFT(TH!M1932,2)="15"),'152-CT'!$J$8=TH!F1932),"x","")</f>
        <v/>
      </c>
      <c r="Y1932" s="51" t="str">
        <f>IF(AND(OR(LEFT(TH!L1932,2)="15",LEFT(TH!M1932,2)="15"),TK!$E$7=TH!F1932),"x","")</f>
        <v/>
      </c>
      <c r="Z1932" s="51" t="str">
        <f>IF(AND(B1932&lt;=NKC!$N$8,B1932&gt;=NKC!$M$8),"x","")</f>
        <v/>
      </c>
      <c r="AA1932" s="803"/>
    </row>
    <row r="1933" spans="1:27" ht="15.75" customHeight="1">
      <c r="A1933" s="804" t="str">
        <f>IF(B1933&lt;&gt;"",IF(AND(B1933&gt;=_TM1,B1933&lt;=_TM2,OR(TH!L1933="1111",TH!M1933="1111")),TH!D1933,""),"")</f>
        <v/>
      </c>
      <c r="B1933" s="36">
        <f t="shared" si="134"/>
        <v>6</v>
      </c>
      <c r="C1933" s="189">
        <f t="shared" si="127"/>
        <v>42179</v>
      </c>
      <c r="D1933" s="189" t="s">
        <v>1289</v>
      </c>
      <c r="E1933" s="879">
        <v>42179</v>
      </c>
      <c r="F1933" s="868" t="s">
        <v>578</v>
      </c>
      <c r="G1933" s="882" t="s">
        <v>996</v>
      </c>
      <c r="H1933" s="873" t="s">
        <v>1286</v>
      </c>
      <c r="I1933" s="874">
        <v>501</v>
      </c>
      <c r="J1933" s="874">
        <v>21871</v>
      </c>
      <c r="K1933" s="875">
        <f t="shared" si="133"/>
        <v>10957371</v>
      </c>
      <c r="L1933" s="876" t="s">
        <v>160</v>
      </c>
      <c r="M1933" s="876" t="s">
        <v>417</v>
      </c>
      <c r="N1933" s="51" t="str">
        <f>IF(AND('331-CT'!$E$7=TH!H1933,OR(L1933="331",M1933="331")),"331",IF(AND(OR(L1933="131",M1933="131"),H1933='131-CT'!$E$7),"131",""))</f>
        <v/>
      </c>
      <c r="O1933" s="51" t="str">
        <f>IF(AND($B1933&gt;='111'!$N$11,$B1933&lt;='111'!$O$11,OR($L1933=$O$7,$M1933=$O$7)),"x","")</f>
        <v/>
      </c>
      <c r="P1933" s="51" t="str">
        <f>IF(AND($L1933=$O$7,$B1933&lt;'111'!$N$11),"x","")</f>
        <v/>
      </c>
      <c r="Q1933" s="51" t="str">
        <f>IF(AND($M1933=$O$7,$B1933&lt;'111'!$N$11),"x","")</f>
        <v/>
      </c>
      <c r="R1933" s="51" t="str">
        <f>IF(ISERROR(FIND('112'!$M$9,G1933,1)),"",IF((AND(FIND('112'!$M$9,G1933,1)&gt;=1,$B1933&gt;='112'!$N$8,$B1933&lt;='112'!$O$8,OR($L1933='112'!$I$6,$M1933='112'!$I$6))),"x",""))</f>
        <v/>
      </c>
      <c r="S1933" s="51" t="str">
        <f>IF(ISERROR(FIND('112'!$M$9,G1933,1)),"",IF((AND(LEFT(G1933,2)=LEFT('112'!$M$9,2),B1933&lt;'112'!$N$8,$L1933='112'!$I$6)),"x",""))</f>
        <v/>
      </c>
      <c r="T1933" s="51" t="str">
        <f>IF(ISERROR(FIND('112'!$M$9,G1933,1)),"",IF((AND(RIGHT(G1933,2)=RIGHT('112'!$M$9,2),B1933&lt;'112'!$N$8,$M1933='112'!$I$6)),"x",""))</f>
        <v/>
      </c>
      <c r="U1933" s="51" t="str">
        <f>IF(AND(L1933="154",'154'!$O$5&lt;=B1933,'154'!$P$5&gt;=B1933),"154",IF(AND(L1933="632",'632'!$L$5&lt;=B1933,'632'!$M$5&gt;=B1933),"632",IF(AND(L1933="642",'642'!$N$5&lt;=B1933,'642'!$O$5&gt;=B1933),"642",IF(AND(L1933="641",'641'!$N$5&lt;=B1933,'641'!$O$5&gt;=B1933),"641",""))))</f>
        <v>154</v>
      </c>
      <c r="V1933" s="51" t="str">
        <f>IF(OR(TH!L1933=TH!$V$7,M1933=TH!$V$7),"x","")</f>
        <v/>
      </c>
      <c r="W1933" s="51" t="str">
        <f>IF(AND(B1933&gt;='IN-NX'!$P$3,B1933&lt;='IN-NX'!$Q$3,'IN-NX'!$D$7=D1933,OR(LEFT(L1933,2)="15",AND(LEFT(M1933,2)&lt;&gt;"15",LEFT(M1933,2)&lt;&gt;"33"))),"x","")</f>
        <v/>
      </c>
      <c r="X1933" s="51" t="str">
        <f>IF(AND(OR(LEFT(TH!L1933,2)="15",LEFT(TH!M1933,2)="15"),'152-CT'!$J$8=TH!F1933),"x","")</f>
        <v/>
      </c>
      <c r="Y1933" s="51" t="str">
        <f>IF(AND(OR(LEFT(TH!L1933,2)="15",LEFT(TH!M1933,2)="15"),TK!$E$7=TH!F1933),"x","")</f>
        <v/>
      </c>
      <c r="Z1933" s="51" t="str">
        <f>IF(AND(B1933&lt;=NKC!$N$8,B1933&gt;=NKC!$M$8),"x","")</f>
        <v/>
      </c>
      <c r="AA1933" s="803"/>
    </row>
    <row r="1934" spans="1:27" ht="15.75" customHeight="1">
      <c r="A1934" s="804" t="str">
        <f>IF(B1934&lt;&gt;"",IF(AND(B1934&gt;=_TM1,B1934&lt;=_TM2,OR(TH!L1934="1111",TH!M1934="1111")),TH!D1934,""),"")</f>
        <v/>
      </c>
      <c r="B1934" s="36">
        <f t="shared" si="134"/>
        <v>6</v>
      </c>
      <c r="C1934" s="189">
        <f t="shared" si="127"/>
        <v>42179</v>
      </c>
      <c r="D1934" s="189" t="s">
        <v>1289</v>
      </c>
      <c r="E1934" s="879">
        <v>42179</v>
      </c>
      <c r="F1934" s="868" t="s">
        <v>1116</v>
      </c>
      <c r="G1934" s="882" t="s">
        <v>996</v>
      </c>
      <c r="H1934" s="873" t="s">
        <v>1286</v>
      </c>
      <c r="I1934" s="874">
        <v>150</v>
      </c>
      <c r="J1934" s="874">
        <v>17009</v>
      </c>
      <c r="K1934" s="875">
        <f t="shared" si="133"/>
        <v>2551350</v>
      </c>
      <c r="L1934" s="876" t="s">
        <v>160</v>
      </c>
      <c r="M1934" s="876" t="s">
        <v>417</v>
      </c>
      <c r="N1934" s="51" t="str">
        <f>IF(AND('331-CT'!$E$7=TH!H1934,OR(L1934="331",M1934="331")),"331",IF(AND(OR(L1934="131",M1934="131"),H1934='131-CT'!$E$7),"131",""))</f>
        <v/>
      </c>
      <c r="O1934" s="51" t="str">
        <f>IF(AND($B1934&gt;='111'!$N$11,$B1934&lt;='111'!$O$11,OR($L1934=$O$7,$M1934=$O$7)),"x","")</f>
        <v/>
      </c>
      <c r="P1934" s="51" t="str">
        <f>IF(AND($L1934=$O$7,$B1934&lt;'111'!$N$11),"x","")</f>
        <v/>
      </c>
      <c r="Q1934" s="51" t="str">
        <f>IF(AND($M1934=$O$7,$B1934&lt;'111'!$N$11),"x","")</f>
        <v/>
      </c>
      <c r="R1934" s="51" t="str">
        <f>IF(ISERROR(FIND('112'!$M$9,G1934,1)),"",IF((AND(FIND('112'!$M$9,G1934,1)&gt;=1,$B1934&gt;='112'!$N$8,$B1934&lt;='112'!$O$8,OR($L1934='112'!$I$6,$M1934='112'!$I$6))),"x",""))</f>
        <v/>
      </c>
      <c r="S1934" s="51" t="str">
        <f>IF(ISERROR(FIND('112'!$M$9,G1934,1)),"",IF((AND(LEFT(G1934,2)=LEFT('112'!$M$9,2),B1934&lt;'112'!$N$8,$L1934='112'!$I$6)),"x",""))</f>
        <v/>
      </c>
      <c r="T1934" s="51" t="str">
        <f>IF(ISERROR(FIND('112'!$M$9,G1934,1)),"",IF((AND(RIGHT(G1934,2)=RIGHT('112'!$M$9,2),B1934&lt;'112'!$N$8,$M1934='112'!$I$6)),"x",""))</f>
        <v/>
      </c>
      <c r="U1934" s="51" t="str">
        <f>IF(AND(L1934="154",'154'!$O$5&lt;=B1934,'154'!$P$5&gt;=B1934),"154",IF(AND(L1934="632",'632'!$L$5&lt;=B1934,'632'!$M$5&gt;=B1934),"632",IF(AND(L1934="642",'642'!$N$5&lt;=B1934,'642'!$O$5&gt;=B1934),"642",IF(AND(L1934="641",'641'!$N$5&lt;=B1934,'641'!$O$5&gt;=B1934),"641",""))))</f>
        <v>154</v>
      </c>
      <c r="V1934" s="51" t="str">
        <f>IF(OR(TH!L1934=TH!$V$7,M1934=TH!$V$7),"x","")</f>
        <v/>
      </c>
      <c r="W1934" s="51" t="str">
        <f>IF(AND(B1934&gt;='IN-NX'!$P$3,B1934&lt;='IN-NX'!$Q$3,'IN-NX'!$D$7=D1934,OR(LEFT(L1934,2)="15",AND(LEFT(M1934,2)&lt;&gt;"15",LEFT(M1934,2)&lt;&gt;"33"))),"x","")</f>
        <v/>
      </c>
      <c r="X1934" s="51" t="str">
        <f>IF(AND(OR(LEFT(TH!L1934,2)="15",LEFT(TH!M1934,2)="15"),'152-CT'!$J$8=TH!F1934),"x","")</f>
        <v/>
      </c>
      <c r="Y1934" s="51" t="str">
        <f>IF(AND(OR(LEFT(TH!L1934,2)="15",LEFT(TH!M1934,2)="15"),TK!$E$7=TH!F1934),"x","")</f>
        <v/>
      </c>
      <c r="Z1934" s="51" t="str">
        <f>IF(AND(B1934&lt;=NKC!$N$8,B1934&gt;=NKC!$M$8),"x","")</f>
        <v/>
      </c>
      <c r="AA1934" s="803"/>
    </row>
    <row r="1935" spans="1:27" ht="15.75" customHeight="1">
      <c r="A1935" s="804" t="str">
        <f>IF(B1935&lt;&gt;"",IF(AND(B1935&gt;=_TM1,B1935&lt;=_TM2,OR(TH!L1935="1111",TH!M1935="1111")),TH!D1935,""),"")</f>
        <v/>
      </c>
      <c r="B1935" s="36">
        <f t="shared" si="134"/>
        <v>6</v>
      </c>
      <c r="C1935" s="189">
        <f t="shared" si="127"/>
        <v>42179</v>
      </c>
      <c r="D1935" s="189" t="s">
        <v>1289</v>
      </c>
      <c r="E1935" s="879">
        <v>42179</v>
      </c>
      <c r="F1935" s="868" t="s">
        <v>570</v>
      </c>
      <c r="G1935" s="882" t="s">
        <v>997</v>
      </c>
      <c r="H1935" s="873" t="s">
        <v>1286</v>
      </c>
      <c r="I1935" s="874">
        <v>40</v>
      </c>
      <c r="J1935" s="874">
        <v>24055</v>
      </c>
      <c r="K1935" s="875">
        <f t="shared" ref="K1935:K1952" si="135">ROUND(I1935*J1935,0)</f>
        <v>962200</v>
      </c>
      <c r="L1935" s="876" t="s">
        <v>160</v>
      </c>
      <c r="M1935" s="876" t="s">
        <v>417</v>
      </c>
      <c r="N1935" s="51" t="str">
        <f>IF(AND('331-CT'!$E$7=TH!H1935,OR(L1935="331",M1935="331")),"331",IF(AND(OR(L1935="131",M1935="131"),H1935='131-CT'!$E$7),"131",""))</f>
        <v/>
      </c>
      <c r="O1935" s="51" t="str">
        <f>IF(AND($B1935&gt;='111'!$N$11,$B1935&lt;='111'!$O$11,OR($L1935=$O$7,$M1935=$O$7)),"x","")</f>
        <v/>
      </c>
      <c r="P1935" s="51" t="str">
        <f>IF(AND($L1935=$O$7,$B1935&lt;'111'!$N$11),"x","")</f>
        <v/>
      </c>
      <c r="Q1935" s="51" t="str">
        <f>IF(AND($M1935=$O$7,$B1935&lt;'111'!$N$11),"x","")</f>
        <v/>
      </c>
      <c r="R1935" s="51" t="str">
        <f>IF(ISERROR(FIND('112'!$M$9,G1935,1)),"",IF((AND(FIND('112'!$M$9,G1935,1)&gt;=1,$B1935&gt;='112'!$N$8,$B1935&lt;='112'!$O$8,OR($L1935='112'!$I$6,$M1935='112'!$I$6))),"x",""))</f>
        <v/>
      </c>
      <c r="S1935" s="51" t="str">
        <f>IF(ISERROR(FIND('112'!$M$9,G1935,1)),"",IF((AND(LEFT(G1935,2)=LEFT('112'!$M$9,2),B1935&lt;'112'!$N$8,$L1935='112'!$I$6)),"x",""))</f>
        <v/>
      </c>
      <c r="T1935" s="51" t="str">
        <f>IF(ISERROR(FIND('112'!$M$9,G1935,1)),"",IF((AND(RIGHT(G1935,2)=RIGHT('112'!$M$9,2),B1935&lt;'112'!$N$8,$M1935='112'!$I$6)),"x",""))</f>
        <v/>
      </c>
      <c r="U1935" s="51" t="str">
        <f>IF(AND(L1935="154",'154'!$O$5&lt;=B1935,'154'!$P$5&gt;=B1935),"154",IF(AND(L1935="632",'632'!$L$5&lt;=B1935,'632'!$M$5&gt;=B1935),"632",IF(AND(L1935="642",'642'!$N$5&lt;=B1935,'642'!$O$5&gt;=B1935),"642",IF(AND(L1935="641",'641'!$N$5&lt;=B1935,'641'!$O$5&gt;=B1935),"641",""))))</f>
        <v>154</v>
      </c>
      <c r="V1935" s="51" t="str">
        <f>IF(OR(TH!L1935=TH!$V$7,M1935=TH!$V$7),"x","")</f>
        <v/>
      </c>
      <c r="W1935" s="51" t="str">
        <f>IF(AND(B1935&gt;='IN-NX'!$P$3,B1935&lt;='IN-NX'!$Q$3,'IN-NX'!$D$7=D1935,OR(LEFT(L1935,2)="15",AND(LEFT(M1935,2)&lt;&gt;"15",LEFT(M1935,2)&lt;&gt;"33"))),"x","")</f>
        <v/>
      </c>
      <c r="X1935" s="51" t="str">
        <f>IF(AND(OR(LEFT(TH!L1935,2)="15",LEFT(TH!M1935,2)="15"),'152-CT'!$J$8=TH!F1935),"x","")</f>
        <v/>
      </c>
      <c r="Y1935" s="51" t="str">
        <f>IF(AND(OR(LEFT(TH!L1935,2)="15",LEFT(TH!M1935,2)="15"),TK!$E$7=TH!F1935),"x","")</f>
        <v/>
      </c>
      <c r="Z1935" s="51" t="str">
        <f>IF(AND(B1935&lt;=NKC!$N$8,B1935&gt;=NKC!$M$8),"x","")</f>
        <v/>
      </c>
      <c r="AA1935" s="803"/>
    </row>
    <row r="1936" spans="1:27" ht="15.75" customHeight="1">
      <c r="A1936" s="804" t="str">
        <f>IF(B1936&lt;&gt;"",IF(AND(B1936&gt;=_TM1,B1936&lt;=_TM2,OR(TH!L1936="1111",TH!M1936="1111")),TH!D1936,""),"")</f>
        <v/>
      </c>
      <c r="B1936" s="36">
        <f t="shared" si="134"/>
        <v>6</v>
      </c>
      <c r="C1936" s="189">
        <f t="shared" si="127"/>
        <v>42179</v>
      </c>
      <c r="D1936" s="189" t="s">
        <v>1289</v>
      </c>
      <c r="E1936" s="879">
        <v>42179</v>
      </c>
      <c r="F1936" s="868" t="s">
        <v>581</v>
      </c>
      <c r="G1936" s="882" t="s">
        <v>997</v>
      </c>
      <c r="H1936" s="873" t="s">
        <v>1286</v>
      </c>
      <c r="I1936" s="874">
        <v>16</v>
      </c>
      <c r="J1936" s="874">
        <v>19992</v>
      </c>
      <c r="K1936" s="875">
        <f t="shared" si="135"/>
        <v>319872</v>
      </c>
      <c r="L1936" s="876" t="s">
        <v>160</v>
      </c>
      <c r="M1936" s="876" t="s">
        <v>417</v>
      </c>
      <c r="N1936" s="51" t="str">
        <f>IF(AND('331-CT'!$E$7=TH!H1936,OR(L1936="331",M1936="331")),"331",IF(AND(OR(L1936="131",M1936="131"),H1936='131-CT'!$E$7),"131",""))</f>
        <v/>
      </c>
      <c r="O1936" s="51" t="str">
        <f>IF(AND($B1936&gt;='111'!$N$11,$B1936&lt;='111'!$O$11,OR($L1936=$O$7,$M1936=$O$7)),"x","")</f>
        <v/>
      </c>
      <c r="P1936" s="51" t="str">
        <f>IF(AND($L1936=$O$7,$B1936&lt;'111'!$N$11),"x","")</f>
        <v/>
      </c>
      <c r="Q1936" s="51" t="str">
        <f>IF(AND($M1936=$O$7,$B1936&lt;'111'!$N$11),"x","")</f>
        <v/>
      </c>
      <c r="R1936" s="51" t="str">
        <f>IF(ISERROR(FIND('112'!$M$9,G1936,1)),"",IF((AND(FIND('112'!$M$9,G1936,1)&gt;=1,$B1936&gt;='112'!$N$8,$B1936&lt;='112'!$O$8,OR($L1936='112'!$I$6,$M1936='112'!$I$6))),"x",""))</f>
        <v/>
      </c>
      <c r="S1936" s="51" t="str">
        <f>IF(ISERROR(FIND('112'!$M$9,G1936,1)),"",IF((AND(LEFT(G1936,2)=LEFT('112'!$M$9,2),B1936&lt;'112'!$N$8,$L1936='112'!$I$6)),"x",""))</f>
        <v/>
      </c>
      <c r="T1936" s="51" t="str">
        <f>IF(ISERROR(FIND('112'!$M$9,G1936,1)),"",IF((AND(RIGHT(G1936,2)=RIGHT('112'!$M$9,2),B1936&lt;'112'!$N$8,$M1936='112'!$I$6)),"x",""))</f>
        <v/>
      </c>
      <c r="U1936" s="51" t="str">
        <f>IF(AND(L1936="154",'154'!$O$5&lt;=B1936,'154'!$P$5&gt;=B1936),"154",IF(AND(L1936="632",'632'!$L$5&lt;=B1936,'632'!$M$5&gt;=B1936),"632",IF(AND(L1936="642",'642'!$N$5&lt;=B1936,'642'!$O$5&gt;=B1936),"642",IF(AND(L1936="641",'641'!$N$5&lt;=B1936,'641'!$O$5&gt;=B1936),"641",""))))</f>
        <v>154</v>
      </c>
      <c r="V1936" s="51" t="str">
        <f>IF(OR(TH!L1936=TH!$V$7,M1936=TH!$V$7),"x","")</f>
        <v/>
      </c>
      <c r="W1936" s="51" t="str">
        <f>IF(AND(B1936&gt;='IN-NX'!$P$3,B1936&lt;='IN-NX'!$Q$3,'IN-NX'!$D$7=D1936,OR(LEFT(L1936,2)="15",AND(LEFT(M1936,2)&lt;&gt;"15",LEFT(M1936,2)&lt;&gt;"33"))),"x","")</f>
        <v/>
      </c>
      <c r="X1936" s="51" t="str">
        <f>IF(AND(OR(LEFT(TH!L1936,2)="15",LEFT(TH!M1936,2)="15"),'152-CT'!$J$8=TH!F1936),"x","")</f>
        <v/>
      </c>
      <c r="Y1936" s="51" t="str">
        <f>IF(AND(OR(LEFT(TH!L1936,2)="15",LEFT(TH!M1936,2)="15"),TK!$E$7=TH!F1936),"x","")</f>
        <v/>
      </c>
      <c r="Z1936" s="51" t="str">
        <f>IF(AND(B1936&lt;=NKC!$N$8,B1936&gt;=NKC!$M$8),"x","")</f>
        <v/>
      </c>
      <c r="AA1936" s="803"/>
    </row>
    <row r="1937" spans="1:27" ht="15.75" customHeight="1">
      <c r="A1937" s="804" t="str">
        <f>IF(B1937&lt;&gt;"",IF(AND(B1937&gt;=_TM1,B1937&lt;=_TM2,OR(TH!L1937="1111",TH!M1937="1111")),TH!D1937,""),"")</f>
        <v/>
      </c>
      <c r="B1937" s="36">
        <f t="shared" si="134"/>
        <v>6</v>
      </c>
      <c r="C1937" s="189">
        <f t="shared" ref="C1937:C1997" si="136">E1937</f>
        <v>42179</v>
      </c>
      <c r="D1937" s="189" t="s">
        <v>1289</v>
      </c>
      <c r="E1937" s="879">
        <v>42179</v>
      </c>
      <c r="F1937" s="868" t="s">
        <v>570</v>
      </c>
      <c r="G1937" s="882" t="s">
        <v>997</v>
      </c>
      <c r="H1937" s="873" t="s">
        <v>1286</v>
      </c>
      <c r="I1937" s="874">
        <v>140</v>
      </c>
      <c r="J1937" s="874">
        <v>24055</v>
      </c>
      <c r="K1937" s="875">
        <f t="shared" si="135"/>
        <v>3367700</v>
      </c>
      <c r="L1937" s="876" t="s">
        <v>160</v>
      </c>
      <c r="M1937" s="876" t="s">
        <v>417</v>
      </c>
      <c r="N1937" s="51" t="str">
        <f>IF(AND('331-CT'!$E$7=TH!H1937,OR(L1937="331",M1937="331")),"331",IF(AND(OR(L1937="131",M1937="131"),H1937='131-CT'!$E$7),"131",""))</f>
        <v/>
      </c>
      <c r="O1937" s="51" t="str">
        <f>IF(AND($B1937&gt;='111'!$N$11,$B1937&lt;='111'!$O$11,OR($L1937=$O$7,$M1937=$O$7)),"x","")</f>
        <v/>
      </c>
      <c r="P1937" s="51" t="str">
        <f>IF(AND($L1937=$O$7,$B1937&lt;'111'!$N$11),"x","")</f>
        <v/>
      </c>
      <c r="Q1937" s="51" t="str">
        <f>IF(AND($M1937=$O$7,$B1937&lt;'111'!$N$11),"x","")</f>
        <v/>
      </c>
      <c r="R1937" s="51" t="str">
        <f>IF(ISERROR(FIND('112'!$M$9,G1937,1)),"",IF((AND(FIND('112'!$M$9,G1937,1)&gt;=1,$B1937&gt;='112'!$N$8,$B1937&lt;='112'!$O$8,OR($L1937='112'!$I$6,$M1937='112'!$I$6))),"x",""))</f>
        <v/>
      </c>
      <c r="S1937" s="51" t="str">
        <f>IF(ISERROR(FIND('112'!$M$9,G1937,1)),"",IF((AND(LEFT(G1937,2)=LEFT('112'!$M$9,2),B1937&lt;'112'!$N$8,$L1937='112'!$I$6)),"x",""))</f>
        <v/>
      </c>
      <c r="T1937" s="51" t="str">
        <f>IF(ISERROR(FIND('112'!$M$9,G1937,1)),"",IF((AND(RIGHT(G1937,2)=RIGHT('112'!$M$9,2),B1937&lt;'112'!$N$8,$M1937='112'!$I$6)),"x",""))</f>
        <v/>
      </c>
      <c r="U1937" s="51" t="str">
        <f>IF(AND(L1937="154",'154'!$O$5&lt;=B1937,'154'!$P$5&gt;=B1937),"154",IF(AND(L1937="632",'632'!$L$5&lt;=B1937,'632'!$M$5&gt;=B1937),"632",IF(AND(L1937="642",'642'!$N$5&lt;=B1937,'642'!$O$5&gt;=B1937),"642",IF(AND(L1937="641",'641'!$N$5&lt;=B1937,'641'!$O$5&gt;=B1937),"641",""))))</f>
        <v>154</v>
      </c>
      <c r="V1937" s="51" t="str">
        <f>IF(OR(TH!L1937=TH!$V$7,M1937=TH!$V$7),"x","")</f>
        <v/>
      </c>
      <c r="W1937" s="51" t="str">
        <f>IF(AND(B1937&gt;='IN-NX'!$P$3,B1937&lt;='IN-NX'!$Q$3,'IN-NX'!$D$7=D1937,OR(LEFT(L1937,2)="15",AND(LEFT(M1937,2)&lt;&gt;"15",LEFT(M1937,2)&lt;&gt;"33"))),"x","")</f>
        <v/>
      </c>
      <c r="X1937" s="51" t="str">
        <f>IF(AND(OR(LEFT(TH!L1937,2)="15",LEFT(TH!M1937,2)="15"),'152-CT'!$J$8=TH!F1937),"x","")</f>
        <v/>
      </c>
      <c r="Y1937" s="51" t="str">
        <f>IF(AND(OR(LEFT(TH!L1937,2)="15",LEFT(TH!M1937,2)="15"),TK!$E$7=TH!F1937),"x","")</f>
        <v/>
      </c>
      <c r="Z1937" s="51" t="str">
        <f>IF(AND(B1937&lt;=NKC!$N$8,B1937&gt;=NKC!$M$8),"x","")</f>
        <v/>
      </c>
      <c r="AA1937" s="803"/>
    </row>
    <row r="1938" spans="1:27" ht="15.75" customHeight="1">
      <c r="A1938" s="804" t="str">
        <f>IF(B1938&lt;&gt;"",IF(AND(B1938&gt;=_TM1,B1938&lt;=_TM2,OR(TH!L1938="1111",TH!M1938="1111")),TH!D1938,""),"")</f>
        <v/>
      </c>
      <c r="B1938" s="36">
        <f t="shared" si="134"/>
        <v>6</v>
      </c>
      <c r="C1938" s="189">
        <f t="shared" si="136"/>
        <v>42183</v>
      </c>
      <c r="D1938" s="189" t="s">
        <v>1289</v>
      </c>
      <c r="E1938" s="879">
        <v>42183</v>
      </c>
      <c r="F1938" s="187" t="s">
        <v>551</v>
      </c>
      <c r="G1938" s="882" t="s">
        <v>1000</v>
      </c>
      <c r="H1938" s="873" t="s">
        <v>1286</v>
      </c>
      <c r="I1938" s="874">
        <v>250</v>
      </c>
      <c r="J1938" s="874">
        <v>31360</v>
      </c>
      <c r="K1938" s="875">
        <f t="shared" si="135"/>
        <v>7840000</v>
      </c>
      <c r="L1938" s="876" t="s">
        <v>160</v>
      </c>
      <c r="M1938" s="876" t="s">
        <v>417</v>
      </c>
      <c r="N1938" s="51" t="str">
        <f>IF(AND('331-CT'!$E$7=TH!H1938,OR(L1938="331",M1938="331")),"331",IF(AND(OR(L1938="131",M1938="131"),H1938='131-CT'!$E$7),"131",""))</f>
        <v/>
      </c>
      <c r="O1938" s="51" t="str">
        <f>IF(AND($B1938&gt;='111'!$N$11,$B1938&lt;='111'!$O$11,OR($L1938=$O$7,$M1938=$O$7)),"x","")</f>
        <v/>
      </c>
      <c r="P1938" s="51" t="str">
        <f>IF(AND($L1938=$O$7,$B1938&lt;'111'!$N$11),"x","")</f>
        <v/>
      </c>
      <c r="Q1938" s="51" t="str">
        <f>IF(AND($M1938=$O$7,$B1938&lt;'111'!$N$11),"x","")</f>
        <v/>
      </c>
      <c r="R1938" s="51" t="str">
        <f>IF(ISERROR(FIND('112'!$M$9,G1938,1)),"",IF((AND(FIND('112'!$M$9,G1938,1)&gt;=1,$B1938&gt;='112'!$N$8,$B1938&lt;='112'!$O$8,OR($L1938='112'!$I$6,$M1938='112'!$I$6))),"x",""))</f>
        <v/>
      </c>
      <c r="S1938" s="51" t="str">
        <f>IF(ISERROR(FIND('112'!$M$9,G1938,1)),"",IF((AND(LEFT(G1938,2)=LEFT('112'!$M$9,2),B1938&lt;'112'!$N$8,$L1938='112'!$I$6)),"x",""))</f>
        <v/>
      </c>
      <c r="T1938" s="51" t="str">
        <f>IF(ISERROR(FIND('112'!$M$9,G1938,1)),"",IF((AND(RIGHT(G1938,2)=RIGHT('112'!$M$9,2),B1938&lt;'112'!$N$8,$M1938='112'!$I$6)),"x",""))</f>
        <v/>
      </c>
      <c r="U1938" s="51" t="str">
        <f>IF(AND(L1938="154",'154'!$O$5&lt;=B1938,'154'!$P$5&gt;=B1938),"154",IF(AND(L1938="632",'632'!$L$5&lt;=B1938,'632'!$M$5&gt;=B1938),"632",IF(AND(L1938="642",'642'!$N$5&lt;=B1938,'642'!$O$5&gt;=B1938),"642",IF(AND(L1938="641",'641'!$N$5&lt;=B1938,'641'!$O$5&gt;=B1938),"641",""))))</f>
        <v>154</v>
      </c>
      <c r="V1938" s="51" t="str">
        <f>IF(OR(TH!L1938=TH!$V$7,M1938=TH!$V$7),"x","")</f>
        <v/>
      </c>
      <c r="W1938" s="51" t="str">
        <f>IF(AND(B1938&gt;='IN-NX'!$P$3,B1938&lt;='IN-NX'!$Q$3,'IN-NX'!$D$7=D1938,OR(LEFT(L1938,2)="15",AND(LEFT(M1938,2)&lt;&gt;"15",LEFT(M1938,2)&lt;&gt;"33"))),"x","")</f>
        <v/>
      </c>
      <c r="X1938" s="51" t="str">
        <f>IF(AND(OR(LEFT(TH!L1938,2)="15",LEFT(TH!M1938,2)="15"),'152-CT'!$J$8=TH!F1938),"x","")</f>
        <v/>
      </c>
      <c r="Y1938" s="51" t="str">
        <f>IF(AND(OR(LEFT(TH!L1938,2)="15",LEFT(TH!M1938,2)="15"),TK!$E$7=TH!F1938),"x","")</f>
        <v/>
      </c>
      <c r="Z1938" s="51" t="str">
        <f>IF(AND(B1938&lt;=NKC!$N$8,B1938&gt;=NKC!$M$8),"x","")</f>
        <v/>
      </c>
      <c r="AA1938" s="803"/>
    </row>
    <row r="1939" spans="1:27" ht="15.75" customHeight="1">
      <c r="A1939" s="804" t="str">
        <f>IF(B1939&lt;&gt;"",IF(AND(B1939&gt;=_TM1,B1939&lt;=_TM2,OR(TH!L1939="1111",TH!M1939="1111")),TH!D1939,""),"")</f>
        <v/>
      </c>
      <c r="B1939" s="36">
        <f t="shared" si="134"/>
        <v>6</v>
      </c>
      <c r="C1939" s="189">
        <f t="shared" si="136"/>
        <v>42183</v>
      </c>
      <c r="D1939" s="189" t="s">
        <v>1289</v>
      </c>
      <c r="E1939" s="879">
        <v>42183</v>
      </c>
      <c r="F1939" s="868" t="s">
        <v>573</v>
      </c>
      <c r="G1939" s="882" t="s">
        <v>1000</v>
      </c>
      <c r="H1939" s="873" t="s">
        <v>1286</v>
      </c>
      <c r="I1939" s="874">
        <v>500</v>
      </c>
      <c r="J1939" s="874">
        <v>16473</v>
      </c>
      <c r="K1939" s="875">
        <f t="shared" si="135"/>
        <v>8236500</v>
      </c>
      <c r="L1939" s="876" t="s">
        <v>160</v>
      </c>
      <c r="M1939" s="876" t="s">
        <v>417</v>
      </c>
      <c r="N1939" s="51" t="str">
        <f>IF(AND('331-CT'!$E$7=TH!H1939,OR(L1939="331",M1939="331")),"331",IF(AND(OR(L1939="131",M1939="131"),H1939='131-CT'!$E$7),"131",""))</f>
        <v/>
      </c>
      <c r="O1939" s="51" t="str">
        <f>IF(AND($B1939&gt;='111'!$N$11,$B1939&lt;='111'!$O$11,OR($L1939=$O$7,$M1939=$O$7)),"x","")</f>
        <v/>
      </c>
      <c r="P1939" s="51" t="str">
        <f>IF(AND($L1939=$O$7,$B1939&lt;'111'!$N$11),"x","")</f>
        <v/>
      </c>
      <c r="Q1939" s="51" t="str">
        <f>IF(AND($M1939=$O$7,$B1939&lt;'111'!$N$11),"x","")</f>
        <v/>
      </c>
      <c r="R1939" s="51" t="str">
        <f>IF(ISERROR(FIND('112'!$M$9,G1939,1)),"",IF((AND(FIND('112'!$M$9,G1939,1)&gt;=1,$B1939&gt;='112'!$N$8,$B1939&lt;='112'!$O$8,OR($L1939='112'!$I$6,$M1939='112'!$I$6))),"x",""))</f>
        <v/>
      </c>
      <c r="S1939" s="51" t="str">
        <f>IF(ISERROR(FIND('112'!$M$9,G1939,1)),"",IF((AND(LEFT(G1939,2)=LEFT('112'!$M$9,2),B1939&lt;'112'!$N$8,$L1939='112'!$I$6)),"x",""))</f>
        <v/>
      </c>
      <c r="T1939" s="51" t="str">
        <f>IF(ISERROR(FIND('112'!$M$9,G1939,1)),"",IF((AND(RIGHT(G1939,2)=RIGHT('112'!$M$9,2),B1939&lt;'112'!$N$8,$M1939='112'!$I$6)),"x",""))</f>
        <v/>
      </c>
      <c r="U1939" s="51" t="str">
        <f>IF(AND(L1939="154",'154'!$O$5&lt;=B1939,'154'!$P$5&gt;=B1939),"154",IF(AND(L1939="632",'632'!$L$5&lt;=B1939,'632'!$M$5&gt;=B1939),"632",IF(AND(L1939="642",'642'!$N$5&lt;=B1939,'642'!$O$5&gt;=B1939),"642",IF(AND(L1939="641",'641'!$N$5&lt;=B1939,'641'!$O$5&gt;=B1939),"641",""))))</f>
        <v>154</v>
      </c>
      <c r="V1939" s="51" t="str">
        <f>IF(OR(TH!L1939=TH!$V$7,M1939=TH!$V$7),"x","")</f>
        <v/>
      </c>
      <c r="W1939" s="51" t="str">
        <f>IF(AND(B1939&gt;='IN-NX'!$P$3,B1939&lt;='IN-NX'!$Q$3,'IN-NX'!$D$7=D1939,OR(LEFT(L1939,2)="15",AND(LEFT(M1939,2)&lt;&gt;"15",LEFT(M1939,2)&lt;&gt;"33"))),"x","")</f>
        <v/>
      </c>
      <c r="X1939" s="51" t="str">
        <f>IF(AND(OR(LEFT(TH!L1939,2)="15",LEFT(TH!M1939,2)="15"),'152-CT'!$J$8=TH!F1939),"x","")</f>
        <v/>
      </c>
      <c r="Y1939" s="51" t="str">
        <f>IF(AND(OR(LEFT(TH!L1939,2)="15",LEFT(TH!M1939,2)="15"),TK!$E$7=TH!F1939),"x","")</f>
        <v/>
      </c>
      <c r="Z1939" s="51" t="str">
        <f>IF(AND(B1939&lt;=NKC!$N$8,B1939&gt;=NKC!$M$8),"x","")</f>
        <v/>
      </c>
      <c r="AA1939" s="803"/>
    </row>
    <row r="1940" spans="1:27" ht="15.75" customHeight="1">
      <c r="A1940" s="804" t="str">
        <f>IF(B1940&lt;&gt;"",IF(AND(B1940&gt;=_TM1,B1940&lt;=_TM2,OR(TH!L1940="1111",TH!M1940="1111")),TH!D1940,""),"")</f>
        <v/>
      </c>
      <c r="B1940" s="36">
        <f t="shared" si="134"/>
        <v>6</v>
      </c>
      <c r="C1940" s="189">
        <f t="shared" si="136"/>
        <v>42183</v>
      </c>
      <c r="D1940" s="189" t="s">
        <v>1289</v>
      </c>
      <c r="E1940" s="879">
        <v>42183</v>
      </c>
      <c r="F1940" s="868" t="s">
        <v>570</v>
      </c>
      <c r="G1940" s="882" t="s">
        <v>1001</v>
      </c>
      <c r="H1940" s="873" t="s">
        <v>1286</v>
      </c>
      <c r="I1940" s="874">
        <v>405</v>
      </c>
      <c r="J1940" s="874">
        <v>24055</v>
      </c>
      <c r="K1940" s="875">
        <f t="shared" si="135"/>
        <v>9742275</v>
      </c>
      <c r="L1940" s="876" t="s">
        <v>160</v>
      </c>
      <c r="M1940" s="876" t="s">
        <v>417</v>
      </c>
      <c r="N1940" s="51" t="str">
        <f>IF(AND('331-CT'!$E$7=TH!H1940,OR(L1940="331",M1940="331")),"331",IF(AND(OR(L1940="131",M1940="131"),H1940='131-CT'!$E$7),"131",""))</f>
        <v/>
      </c>
      <c r="O1940" s="51" t="str">
        <f>IF(AND($B1940&gt;='111'!$N$11,$B1940&lt;='111'!$O$11,OR($L1940=$O$7,$M1940=$O$7)),"x","")</f>
        <v/>
      </c>
      <c r="P1940" s="51" t="str">
        <f>IF(AND($L1940=$O$7,$B1940&lt;'111'!$N$11),"x","")</f>
        <v/>
      </c>
      <c r="Q1940" s="51" t="str">
        <f>IF(AND($M1940=$O$7,$B1940&lt;'111'!$N$11),"x","")</f>
        <v/>
      </c>
      <c r="R1940" s="51" t="str">
        <f>IF(ISERROR(FIND('112'!$M$9,G1940,1)),"",IF((AND(FIND('112'!$M$9,G1940,1)&gt;=1,$B1940&gt;='112'!$N$8,$B1940&lt;='112'!$O$8,OR($L1940='112'!$I$6,$M1940='112'!$I$6))),"x",""))</f>
        <v/>
      </c>
      <c r="S1940" s="51" t="str">
        <f>IF(ISERROR(FIND('112'!$M$9,G1940,1)),"",IF((AND(LEFT(G1940,2)=LEFT('112'!$M$9,2),B1940&lt;'112'!$N$8,$L1940='112'!$I$6)),"x",""))</f>
        <v/>
      </c>
      <c r="T1940" s="51" t="str">
        <f>IF(ISERROR(FIND('112'!$M$9,G1940,1)),"",IF((AND(RIGHT(G1940,2)=RIGHT('112'!$M$9,2),B1940&lt;'112'!$N$8,$M1940='112'!$I$6)),"x",""))</f>
        <v/>
      </c>
      <c r="U1940" s="51" t="str">
        <f>IF(AND(L1940="154",'154'!$O$5&lt;=B1940,'154'!$P$5&gt;=B1940),"154",IF(AND(L1940="632",'632'!$L$5&lt;=B1940,'632'!$M$5&gt;=B1940),"632",IF(AND(L1940="642",'642'!$N$5&lt;=B1940,'642'!$O$5&gt;=B1940),"642",IF(AND(L1940="641",'641'!$N$5&lt;=B1940,'641'!$O$5&gt;=B1940),"641",""))))</f>
        <v>154</v>
      </c>
      <c r="V1940" s="51" t="str">
        <f>IF(OR(TH!L1940=TH!$V$7,M1940=TH!$V$7),"x","")</f>
        <v/>
      </c>
      <c r="W1940" s="51" t="str">
        <f>IF(AND(B1940&gt;='IN-NX'!$P$3,B1940&lt;='IN-NX'!$Q$3,'IN-NX'!$D$7=D1940,OR(LEFT(L1940,2)="15",AND(LEFT(M1940,2)&lt;&gt;"15",LEFT(M1940,2)&lt;&gt;"33"))),"x","")</f>
        <v/>
      </c>
      <c r="X1940" s="51" t="str">
        <f>IF(AND(OR(LEFT(TH!L1940,2)="15",LEFT(TH!M1940,2)="15"),'152-CT'!$J$8=TH!F1940),"x","")</f>
        <v/>
      </c>
      <c r="Y1940" s="51" t="str">
        <f>IF(AND(OR(LEFT(TH!L1940,2)="15",LEFT(TH!M1940,2)="15"),TK!$E$7=TH!F1940),"x","")</f>
        <v/>
      </c>
      <c r="Z1940" s="51" t="str">
        <f>IF(AND(B1940&lt;=NKC!$N$8,B1940&gt;=NKC!$M$8),"x","")</f>
        <v/>
      </c>
      <c r="AA1940" s="803"/>
    </row>
    <row r="1941" spans="1:27" ht="15.75" customHeight="1">
      <c r="A1941" s="804" t="str">
        <f>IF(B1941&lt;&gt;"",IF(AND(B1941&gt;=_TM1,B1941&lt;=_TM2,OR(TH!L1941="1111",TH!M1941="1111")),TH!D1941,""),"")</f>
        <v/>
      </c>
      <c r="B1941" s="36">
        <f t="shared" si="134"/>
        <v>6</v>
      </c>
      <c r="C1941" s="189">
        <f t="shared" si="136"/>
        <v>42183</v>
      </c>
      <c r="D1941" s="189" t="s">
        <v>1289</v>
      </c>
      <c r="E1941" s="879">
        <v>42183</v>
      </c>
      <c r="F1941" s="187" t="s">
        <v>520</v>
      </c>
      <c r="G1941" s="882" t="s">
        <v>1001</v>
      </c>
      <c r="H1941" s="873" t="s">
        <v>1286</v>
      </c>
      <c r="I1941" s="874">
        <v>600</v>
      </c>
      <c r="J1941" s="874">
        <v>12138</v>
      </c>
      <c r="K1941" s="875">
        <f t="shared" si="135"/>
        <v>7282800</v>
      </c>
      <c r="L1941" s="876" t="s">
        <v>160</v>
      </c>
      <c r="M1941" s="876" t="s">
        <v>417</v>
      </c>
      <c r="N1941" s="51" t="str">
        <f>IF(AND('331-CT'!$E$7=TH!H1941,OR(L1941="331",M1941="331")),"331",IF(AND(OR(L1941="131",M1941="131"),H1941='131-CT'!$E$7),"131",""))</f>
        <v/>
      </c>
      <c r="O1941" s="51" t="str">
        <f>IF(AND($B1941&gt;='111'!$N$11,$B1941&lt;='111'!$O$11,OR($L1941=$O$7,$M1941=$O$7)),"x","")</f>
        <v/>
      </c>
      <c r="P1941" s="51" t="str">
        <f>IF(AND($L1941=$O$7,$B1941&lt;'111'!$N$11),"x","")</f>
        <v/>
      </c>
      <c r="Q1941" s="51" t="str">
        <f>IF(AND($M1941=$O$7,$B1941&lt;'111'!$N$11),"x","")</f>
        <v/>
      </c>
      <c r="R1941" s="51" t="str">
        <f>IF(ISERROR(FIND('112'!$M$9,G1941,1)),"",IF((AND(FIND('112'!$M$9,G1941,1)&gt;=1,$B1941&gt;='112'!$N$8,$B1941&lt;='112'!$O$8,OR($L1941='112'!$I$6,$M1941='112'!$I$6))),"x",""))</f>
        <v/>
      </c>
      <c r="S1941" s="51" t="str">
        <f>IF(ISERROR(FIND('112'!$M$9,G1941,1)),"",IF((AND(LEFT(G1941,2)=LEFT('112'!$M$9,2),B1941&lt;'112'!$N$8,$L1941='112'!$I$6)),"x",""))</f>
        <v/>
      </c>
      <c r="T1941" s="51" t="str">
        <f>IF(ISERROR(FIND('112'!$M$9,G1941,1)),"",IF((AND(RIGHT(G1941,2)=RIGHT('112'!$M$9,2),B1941&lt;'112'!$N$8,$M1941='112'!$I$6)),"x",""))</f>
        <v/>
      </c>
      <c r="U1941" s="51" t="str">
        <f>IF(AND(L1941="154",'154'!$O$5&lt;=B1941,'154'!$P$5&gt;=B1941),"154",IF(AND(L1941="632",'632'!$L$5&lt;=B1941,'632'!$M$5&gt;=B1941),"632",IF(AND(L1941="642",'642'!$N$5&lt;=B1941,'642'!$O$5&gt;=B1941),"642",IF(AND(L1941="641",'641'!$N$5&lt;=B1941,'641'!$O$5&gt;=B1941),"641",""))))</f>
        <v>154</v>
      </c>
      <c r="V1941" s="51" t="str">
        <f>IF(OR(TH!L1941=TH!$V$7,M1941=TH!$V$7),"x","")</f>
        <v/>
      </c>
      <c r="W1941" s="51" t="str">
        <f>IF(AND(B1941&gt;='IN-NX'!$P$3,B1941&lt;='IN-NX'!$Q$3,'IN-NX'!$D$7=D1941,OR(LEFT(L1941,2)="15",AND(LEFT(M1941,2)&lt;&gt;"15",LEFT(M1941,2)&lt;&gt;"33"))),"x","")</f>
        <v/>
      </c>
      <c r="X1941" s="51" t="str">
        <f>IF(AND(OR(LEFT(TH!L1941,2)="15",LEFT(TH!M1941,2)="15"),'152-CT'!$J$8=TH!F1941),"x","")</f>
        <v/>
      </c>
      <c r="Y1941" s="51" t="str">
        <f>IF(AND(OR(LEFT(TH!L1941,2)="15",LEFT(TH!M1941,2)="15"),TK!$E$7=TH!F1941),"x","")</f>
        <v/>
      </c>
      <c r="Z1941" s="51" t="str">
        <f>IF(AND(B1941&lt;=NKC!$N$8,B1941&gt;=NKC!$M$8),"x","")</f>
        <v/>
      </c>
      <c r="AA1941" s="803"/>
    </row>
    <row r="1942" spans="1:27" ht="15.75" customHeight="1">
      <c r="A1942" s="804" t="str">
        <f>IF(B1942&lt;&gt;"",IF(AND(B1942&gt;=_TM1,B1942&lt;=_TM2,OR(TH!L1942="1111",TH!M1942="1111")),TH!D1942,""),"")</f>
        <v/>
      </c>
      <c r="B1942" s="36">
        <f t="shared" si="134"/>
        <v>6</v>
      </c>
      <c r="C1942" s="189">
        <f t="shared" si="136"/>
        <v>42183</v>
      </c>
      <c r="D1942" s="189" t="s">
        <v>1289</v>
      </c>
      <c r="E1942" s="879">
        <v>42183</v>
      </c>
      <c r="F1942" s="868" t="s">
        <v>511</v>
      </c>
      <c r="G1942" s="882" t="s">
        <v>1002</v>
      </c>
      <c r="H1942" s="873" t="s">
        <v>1286</v>
      </c>
      <c r="I1942" s="874">
        <v>600</v>
      </c>
      <c r="J1942" s="874">
        <v>12031.538461538461</v>
      </c>
      <c r="K1942" s="875">
        <f t="shared" si="135"/>
        <v>7218923</v>
      </c>
      <c r="L1942" s="876" t="s">
        <v>160</v>
      </c>
      <c r="M1942" s="876" t="s">
        <v>417</v>
      </c>
      <c r="N1942" s="51" t="str">
        <f>IF(AND('331-CT'!$E$7=TH!H1942,OR(L1942="331",M1942="331")),"331",IF(AND(OR(L1942="131",M1942="131"),H1942='131-CT'!$E$7),"131",""))</f>
        <v/>
      </c>
      <c r="O1942" s="51" t="str">
        <f>IF(AND($B1942&gt;='111'!$N$11,$B1942&lt;='111'!$O$11,OR($L1942=$O$7,$M1942=$O$7)),"x","")</f>
        <v/>
      </c>
      <c r="P1942" s="51" t="str">
        <f>IF(AND($L1942=$O$7,$B1942&lt;'111'!$N$11),"x","")</f>
        <v/>
      </c>
      <c r="Q1942" s="51" t="str">
        <f>IF(AND($M1942=$O$7,$B1942&lt;'111'!$N$11),"x","")</f>
        <v/>
      </c>
      <c r="R1942" s="51" t="str">
        <f>IF(ISERROR(FIND('112'!$M$9,G1942,1)),"",IF((AND(FIND('112'!$M$9,G1942,1)&gt;=1,$B1942&gt;='112'!$N$8,$B1942&lt;='112'!$O$8,OR($L1942='112'!$I$6,$M1942='112'!$I$6))),"x",""))</f>
        <v/>
      </c>
      <c r="S1942" s="51" t="str">
        <f>IF(ISERROR(FIND('112'!$M$9,G1942,1)),"",IF((AND(LEFT(G1942,2)=LEFT('112'!$M$9,2),B1942&lt;'112'!$N$8,$L1942='112'!$I$6)),"x",""))</f>
        <v/>
      </c>
      <c r="T1942" s="51" t="str">
        <f>IF(ISERROR(FIND('112'!$M$9,G1942,1)),"",IF((AND(RIGHT(G1942,2)=RIGHT('112'!$M$9,2),B1942&lt;'112'!$N$8,$M1942='112'!$I$6)),"x",""))</f>
        <v/>
      </c>
      <c r="U1942" s="51" t="str">
        <f>IF(AND(L1942="154",'154'!$O$5&lt;=B1942,'154'!$P$5&gt;=B1942),"154",IF(AND(L1942="632",'632'!$L$5&lt;=B1942,'632'!$M$5&gt;=B1942),"632",IF(AND(L1942="642",'642'!$N$5&lt;=B1942,'642'!$O$5&gt;=B1942),"642",IF(AND(L1942="641",'641'!$N$5&lt;=B1942,'641'!$O$5&gt;=B1942),"641",""))))</f>
        <v>154</v>
      </c>
      <c r="V1942" s="51" t="str">
        <f>IF(OR(TH!L1942=TH!$V$7,M1942=TH!$V$7),"x","")</f>
        <v/>
      </c>
      <c r="W1942" s="51" t="str">
        <f>IF(AND(B1942&gt;='IN-NX'!$P$3,B1942&lt;='IN-NX'!$Q$3,'IN-NX'!$D$7=D1942,OR(LEFT(L1942,2)="15",AND(LEFT(M1942,2)&lt;&gt;"15",LEFT(M1942,2)&lt;&gt;"33"))),"x","")</f>
        <v/>
      </c>
      <c r="X1942" s="51" t="str">
        <f>IF(AND(OR(LEFT(TH!L1942,2)="15",LEFT(TH!M1942,2)="15"),'152-CT'!$J$8=TH!F1942),"x","")</f>
        <v/>
      </c>
      <c r="Y1942" s="51" t="str">
        <f>IF(AND(OR(LEFT(TH!L1942,2)="15",LEFT(TH!M1942,2)="15"),TK!$E$7=TH!F1942),"x","")</f>
        <v/>
      </c>
      <c r="Z1942" s="51" t="str">
        <f>IF(AND(B1942&lt;=NKC!$N$8,B1942&gt;=NKC!$M$8),"x","")</f>
        <v/>
      </c>
      <c r="AA1942" s="803"/>
    </row>
    <row r="1943" spans="1:27" ht="15.75" customHeight="1">
      <c r="A1943" s="804" t="str">
        <f>IF(B1943&lt;&gt;"",IF(AND(B1943&gt;=_TM1,B1943&lt;=_TM2,OR(TH!L1943="1111",TH!M1943="1111")),TH!D1943,""),"")</f>
        <v/>
      </c>
      <c r="B1943" s="36">
        <f t="shared" si="134"/>
        <v>6</v>
      </c>
      <c r="C1943" s="189">
        <f t="shared" si="136"/>
        <v>42183</v>
      </c>
      <c r="D1943" s="189" t="s">
        <v>1289</v>
      </c>
      <c r="E1943" s="879">
        <v>42183</v>
      </c>
      <c r="F1943" s="868" t="s">
        <v>572</v>
      </c>
      <c r="G1943" s="882" t="s">
        <v>1002</v>
      </c>
      <c r="H1943" s="873" t="s">
        <v>1286</v>
      </c>
      <c r="I1943" s="874">
        <v>550</v>
      </c>
      <c r="J1943" s="874">
        <v>15666</v>
      </c>
      <c r="K1943" s="875">
        <f t="shared" si="135"/>
        <v>8616300</v>
      </c>
      <c r="L1943" s="876" t="s">
        <v>160</v>
      </c>
      <c r="M1943" s="876" t="s">
        <v>417</v>
      </c>
      <c r="N1943" s="51" t="str">
        <f>IF(AND('331-CT'!$E$7=TH!H1943,OR(L1943="331",M1943="331")),"331",IF(AND(OR(L1943="131",M1943="131"),H1943='131-CT'!$E$7),"131",""))</f>
        <v/>
      </c>
      <c r="O1943" s="51" t="str">
        <f>IF(AND($B1943&gt;='111'!$N$11,$B1943&lt;='111'!$O$11,OR($L1943=$O$7,$M1943=$O$7)),"x","")</f>
        <v/>
      </c>
      <c r="P1943" s="51" t="str">
        <f>IF(AND($L1943=$O$7,$B1943&lt;'111'!$N$11),"x","")</f>
        <v/>
      </c>
      <c r="Q1943" s="51" t="str">
        <f>IF(AND($M1943=$O$7,$B1943&lt;'111'!$N$11),"x","")</f>
        <v/>
      </c>
      <c r="R1943" s="51" t="str">
        <f>IF(ISERROR(FIND('112'!$M$9,G1943,1)),"",IF((AND(FIND('112'!$M$9,G1943,1)&gt;=1,$B1943&gt;='112'!$N$8,$B1943&lt;='112'!$O$8,OR($L1943='112'!$I$6,$M1943='112'!$I$6))),"x",""))</f>
        <v/>
      </c>
      <c r="S1943" s="51" t="str">
        <f>IF(ISERROR(FIND('112'!$M$9,G1943,1)),"",IF((AND(LEFT(G1943,2)=LEFT('112'!$M$9,2),B1943&lt;'112'!$N$8,$L1943='112'!$I$6)),"x",""))</f>
        <v/>
      </c>
      <c r="T1943" s="51" t="str">
        <f>IF(ISERROR(FIND('112'!$M$9,G1943,1)),"",IF((AND(RIGHT(G1943,2)=RIGHT('112'!$M$9,2),B1943&lt;'112'!$N$8,$M1943='112'!$I$6)),"x",""))</f>
        <v/>
      </c>
      <c r="U1943" s="51" t="str">
        <f>IF(AND(L1943="154",'154'!$O$5&lt;=B1943,'154'!$P$5&gt;=B1943),"154",IF(AND(L1943="632",'632'!$L$5&lt;=B1943,'632'!$M$5&gt;=B1943),"632",IF(AND(L1943="642",'642'!$N$5&lt;=B1943,'642'!$O$5&gt;=B1943),"642",IF(AND(L1943="641",'641'!$N$5&lt;=B1943,'641'!$O$5&gt;=B1943),"641",""))))</f>
        <v>154</v>
      </c>
      <c r="V1943" s="51" t="str">
        <f>IF(OR(TH!L1943=TH!$V$7,M1943=TH!$V$7),"x","")</f>
        <v/>
      </c>
      <c r="W1943" s="51" t="str">
        <f>IF(AND(B1943&gt;='IN-NX'!$P$3,B1943&lt;='IN-NX'!$Q$3,'IN-NX'!$D$7=D1943,OR(LEFT(L1943,2)="15",AND(LEFT(M1943,2)&lt;&gt;"15",LEFT(M1943,2)&lt;&gt;"33"))),"x","")</f>
        <v/>
      </c>
      <c r="X1943" s="51" t="str">
        <f>IF(AND(OR(LEFT(TH!L1943,2)="15",LEFT(TH!M1943,2)="15"),'152-CT'!$J$8=TH!F1943),"x","")</f>
        <v/>
      </c>
      <c r="Y1943" s="51" t="str">
        <f>IF(AND(OR(LEFT(TH!L1943,2)="15",LEFT(TH!M1943,2)="15"),TK!$E$7=TH!F1943),"x","")</f>
        <v/>
      </c>
      <c r="Z1943" s="51" t="str">
        <f>IF(AND(B1943&lt;=NKC!$N$8,B1943&gt;=NKC!$M$8),"x","")</f>
        <v/>
      </c>
      <c r="AA1943" s="803"/>
    </row>
    <row r="1944" spans="1:27" ht="15.75" customHeight="1">
      <c r="A1944" s="804" t="str">
        <f>IF(B1944&lt;&gt;"",IF(AND(B1944&gt;=_TM1,B1944&lt;=_TM2,OR(TH!L1944="1111",TH!M1944="1111")),TH!D1944,""),"")</f>
        <v/>
      </c>
      <c r="B1944" s="36">
        <f t="shared" si="134"/>
        <v>6</v>
      </c>
      <c r="C1944" s="189">
        <f t="shared" si="136"/>
        <v>42183</v>
      </c>
      <c r="D1944" s="189" t="s">
        <v>1289</v>
      </c>
      <c r="E1944" s="879">
        <v>42183</v>
      </c>
      <c r="F1944" s="868" t="s">
        <v>481</v>
      </c>
      <c r="G1944" s="882" t="s">
        <v>1003</v>
      </c>
      <c r="H1944" s="873" t="s">
        <v>1286</v>
      </c>
      <c r="I1944" s="874">
        <v>600</v>
      </c>
      <c r="J1944" s="874">
        <v>17807</v>
      </c>
      <c r="K1944" s="875">
        <f t="shared" si="135"/>
        <v>10684200</v>
      </c>
      <c r="L1944" s="876" t="s">
        <v>160</v>
      </c>
      <c r="M1944" s="876" t="s">
        <v>417</v>
      </c>
      <c r="N1944" s="51" t="str">
        <f>IF(AND('331-CT'!$E$7=TH!H1944,OR(L1944="331",M1944="331")),"331",IF(AND(OR(L1944="131",M1944="131"),H1944='131-CT'!$E$7),"131",""))</f>
        <v/>
      </c>
      <c r="O1944" s="51" t="str">
        <f>IF(AND($B1944&gt;='111'!$N$11,$B1944&lt;='111'!$O$11,OR($L1944=$O$7,$M1944=$O$7)),"x","")</f>
        <v/>
      </c>
      <c r="P1944" s="51" t="str">
        <f>IF(AND($L1944=$O$7,$B1944&lt;'111'!$N$11),"x","")</f>
        <v/>
      </c>
      <c r="Q1944" s="51" t="str">
        <f>IF(AND($M1944=$O$7,$B1944&lt;'111'!$N$11),"x","")</f>
        <v/>
      </c>
      <c r="R1944" s="51" t="str">
        <f>IF(ISERROR(FIND('112'!$M$9,G1944,1)),"",IF((AND(FIND('112'!$M$9,G1944,1)&gt;=1,$B1944&gt;='112'!$N$8,$B1944&lt;='112'!$O$8,OR($L1944='112'!$I$6,$M1944='112'!$I$6))),"x",""))</f>
        <v/>
      </c>
      <c r="S1944" s="51" t="str">
        <f>IF(ISERROR(FIND('112'!$M$9,G1944,1)),"",IF((AND(LEFT(G1944,2)=LEFT('112'!$M$9,2),B1944&lt;'112'!$N$8,$L1944='112'!$I$6)),"x",""))</f>
        <v/>
      </c>
      <c r="T1944" s="51" t="str">
        <f>IF(ISERROR(FIND('112'!$M$9,G1944,1)),"",IF((AND(RIGHT(G1944,2)=RIGHT('112'!$M$9,2),B1944&lt;'112'!$N$8,$M1944='112'!$I$6)),"x",""))</f>
        <v/>
      </c>
      <c r="U1944" s="51" t="str">
        <f>IF(AND(L1944="154",'154'!$O$5&lt;=B1944,'154'!$P$5&gt;=B1944),"154",IF(AND(L1944="632",'632'!$L$5&lt;=B1944,'632'!$M$5&gt;=B1944),"632",IF(AND(L1944="642",'642'!$N$5&lt;=B1944,'642'!$O$5&gt;=B1944),"642",IF(AND(L1944="641",'641'!$N$5&lt;=B1944,'641'!$O$5&gt;=B1944),"641",""))))</f>
        <v>154</v>
      </c>
      <c r="V1944" s="51" t="str">
        <f>IF(OR(TH!L1944=TH!$V$7,M1944=TH!$V$7),"x","")</f>
        <v/>
      </c>
      <c r="W1944" s="51" t="str">
        <f>IF(AND(B1944&gt;='IN-NX'!$P$3,B1944&lt;='IN-NX'!$Q$3,'IN-NX'!$D$7=D1944,OR(LEFT(L1944,2)="15",AND(LEFT(M1944,2)&lt;&gt;"15",LEFT(M1944,2)&lt;&gt;"33"))),"x","")</f>
        <v/>
      </c>
      <c r="X1944" s="51" t="str">
        <f>IF(AND(OR(LEFT(TH!L1944,2)="15",LEFT(TH!M1944,2)="15"),'152-CT'!$J$8=TH!F1944),"x","")</f>
        <v/>
      </c>
      <c r="Y1944" s="51" t="str">
        <f>IF(AND(OR(LEFT(TH!L1944,2)="15",LEFT(TH!M1944,2)="15"),TK!$E$7=TH!F1944),"x","")</f>
        <v/>
      </c>
      <c r="Z1944" s="51" t="str">
        <f>IF(AND(B1944&lt;=NKC!$N$8,B1944&gt;=NKC!$M$8),"x","")</f>
        <v/>
      </c>
      <c r="AA1944" s="803"/>
    </row>
    <row r="1945" spans="1:27" ht="15.75" customHeight="1">
      <c r="A1945" s="804" t="str">
        <f>IF(B1945&lt;&gt;"",IF(AND(B1945&gt;=_TM1,B1945&lt;=_TM2,OR(TH!L1945="1111",TH!M1945="1111")),TH!D1945,""),"")</f>
        <v/>
      </c>
      <c r="B1945" s="36">
        <f t="shared" si="134"/>
        <v>6</v>
      </c>
      <c r="C1945" s="189">
        <f t="shared" si="136"/>
        <v>42183</v>
      </c>
      <c r="D1945" s="189" t="s">
        <v>1289</v>
      </c>
      <c r="E1945" s="879">
        <v>42183</v>
      </c>
      <c r="F1945" s="868" t="s">
        <v>511</v>
      </c>
      <c r="G1945" s="882" t="s">
        <v>1003</v>
      </c>
      <c r="H1945" s="873" t="s">
        <v>1286</v>
      </c>
      <c r="I1945" s="874">
        <v>500</v>
      </c>
      <c r="J1945" s="874">
        <v>12031.538461538461</v>
      </c>
      <c r="K1945" s="875">
        <f t="shared" si="135"/>
        <v>6015769</v>
      </c>
      <c r="L1945" s="876" t="s">
        <v>160</v>
      </c>
      <c r="M1945" s="876" t="s">
        <v>417</v>
      </c>
      <c r="N1945" s="51" t="str">
        <f>IF(AND('331-CT'!$E$7=TH!H1945,OR(L1945="331",M1945="331")),"331",IF(AND(OR(L1945="131",M1945="131"),H1945='131-CT'!$E$7),"131",""))</f>
        <v/>
      </c>
      <c r="O1945" s="51" t="str">
        <f>IF(AND($B1945&gt;='111'!$N$11,$B1945&lt;='111'!$O$11,OR($L1945=$O$7,$M1945=$O$7)),"x","")</f>
        <v/>
      </c>
      <c r="P1945" s="51" t="str">
        <f>IF(AND($L1945=$O$7,$B1945&lt;'111'!$N$11),"x","")</f>
        <v/>
      </c>
      <c r="Q1945" s="51" t="str">
        <f>IF(AND($M1945=$O$7,$B1945&lt;'111'!$N$11),"x","")</f>
        <v/>
      </c>
      <c r="R1945" s="51" t="str">
        <f>IF(ISERROR(FIND('112'!$M$9,G1945,1)),"",IF((AND(FIND('112'!$M$9,G1945,1)&gt;=1,$B1945&gt;='112'!$N$8,$B1945&lt;='112'!$O$8,OR($L1945='112'!$I$6,$M1945='112'!$I$6))),"x",""))</f>
        <v/>
      </c>
      <c r="S1945" s="51" t="str">
        <f>IF(ISERROR(FIND('112'!$M$9,G1945,1)),"",IF((AND(LEFT(G1945,2)=LEFT('112'!$M$9,2),B1945&lt;'112'!$N$8,$L1945='112'!$I$6)),"x",""))</f>
        <v/>
      </c>
      <c r="T1945" s="51" t="str">
        <f>IF(ISERROR(FIND('112'!$M$9,G1945,1)),"",IF((AND(RIGHT(G1945,2)=RIGHT('112'!$M$9,2),B1945&lt;'112'!$N$8,$M1945='112'!$I$6)),"x",""))</f>
        <v/>
      </c>
      <c r="U1945" s="51" t="str">
        <f>IF(AND(L1945="154",'154'!$O$5&lt;=B1945,'154'!$P$5&gt;=B1945),"154",IF(AND(L1945="632",'632'!$L$5&lt;=B1945,'632'!$M$5&gt;=B1945),"632",IF(AND(L1945="642",'642'!$N$5&lt;=B1945,'642'!$O$5&gt;=B1945),"642",IF(AND(L1945="641",'641'!$N$5&lt;=B1945,'641'!$O$5&gt;=B1945),"641",""))))</f>
        <v>154</v>
      </c>
      <c r="V1945" s="51" t="str">
        <f>IF(OR(TH!L1945=TH!$V$7,M1945=TH!$V$7),"x","")</f>
        <v/>
      </c>
      <c r="W1945" s="51" t="str">
        <f>IF(AND(B1945&gt;='IN-NX'!$P$3,B1945&lt;='IN-NX'!$Q$3,'IN-NX'!$D$7=D1945,OR(LEFT(L1945,2)="15",AND(LEFT(M1945,2)&lt;&gt;"15",LEFT(M1945,2)&lt;&gt;"33"))),"x","")</f>
        <v/>
      </c>
      <c r="X1945" s="51" t="str">
        <f>IF(AND(OR(LEFT(TH!L1945,2)="15",LEFT(TH!M1945,2)="15"),'152-CT'!$J$8=TH!F1945),"x","")</f>
        <v/>
      </c>
      <c r="Y1945" s="51" t="str">
        <f>IF(AND(OR(LEFT(TH!L1945,2)="15",LEFT(TH!M1945,2)="15"),TK!$E$7=TH!F1945),"x","")</f>
        <v/>
      </c>
      <c r="Z1945" s="51" t="str">
        <f>IF(AND(B1945&lt;=NKC!$N$8,B1945&gt;=NKC!$M$8),"x","")</f>
        <v/>
      </c>
      <c r="AA1945" s="803"/>
    </row>
    <row r="1946" spans="1:27" ht="15.75" customHeight="1">
      <c r="A1946" s="804" t="str">
        <f>IF(B1946&lt;&gt;"",IF(AND(B1946&gt;=_TM1,B1946&lt;=_TM2,OR(TH!L1946="1111",TH!M1946="1111")),TH!D1946,""),"")</f>
        <v/>
      </c>
      <c r="B1946" s="36">
        <f t="shared" si="134"/>
        <v>6</v>
      </c>
      <c r="C1946" s="189">
        <f t="shared" si="136"/>
        <v>42183</v>
      </c>
      <c r="D1946" s="189" t="s">
        <v>1289</v>
      </c>
      <c r="E1946" s="879">
        <v>42183</v>
      </c>
      <c r="F1946" s="868" t="s">
        <v>571</v>
      </c>
      <c r="G1946" s="882" t="s">
        <v>1004</v>
      </c>
      <c r="H1946" s="873" t="s">
        <v>1286</v>
      </c>
      <c r="I1946" s="874">
        <v>1300</v>
      </c>
      <c r="J1946" s="874">
        <v>11815</v>
      </c>
      <c r="K1946" s="875">
        <f t="shared" si="135"/>
        <v>15359500</v>
      </c>
      <c r="L1946" s="876" t="s">
        <v>160</v>
      </c>
      <c r="M1946" s="876" t="s">
        <v>417</v>
      </c>
      <c r="N1946" s="51" t="str">
        <f>IF(AND('331-CT'!$E$7=TH!H1946,OR(L1946="331",M1946="331")),"331",IF(AND(OR(L1946="131",M1946="131"),H1946='131-CT'!$E$7),"131",""))</f>
        <v/>
      </c>
      <c r="O1946" s="51" t="str">
        <f>IF(AND($B1946&gt;='111'!$N$11,$B1946&lt;='111'!$O$11,OR($L1946=$O$7,$M1946=$O$7)),"x","")</f>
        <v/>
      </c>
      <c r="P1946" s="51" t="str">
        <f>IF(AND($L1946=$O$7,$B1946&lt;'111'!$N$11),"x","")</f>
        <v/>
      </c>
      <c r="Q1946" s="51" t="str">
        <f>IF(AND($M1946=$O$7,$B1946&lt;'111'!$N$11),"x","")</f>
        <v/>
      </c>
      <c r="R1946" s="51" t="str">
        <f>IF(ISERROR(FIND('112'!$M$9,G1946,1)),"",IF((AND(FIND('112'!$M$9,G1946,1)&gt;=1,$B1946&gt;='112'!$N$8,$B1946&lt;='112'!$O$8,OR($L1946='112'!$I$6,$M1946='112'!$I$6))),"x",""))</f>
        <v/>
      </c>
      <c r="S1946" s="51" t="str">
        <f>IF(ISERROR(FIND('112'!$M$9,G1946,1)),"",IF((AND(LEFT(G1946,2)=LEFT('112'!$M$9,2),B1946&lt;'112'!$N$8,$L1946='112'!$I$6)),"x",""))</f>
        <v/>
      </c>
      <c r="T1946" s="51" t="str">
        <f>IF(ISERROR(FIND('112'!$M$9,G1946,1)),"",IF((AND(RIGHT(G1946,2)=RIGHT('112'!$M$9,2),B1946&lt;'112'!$N$8,$M1946='112'!$I$6)),"x",""))</f>
        <v/>
      </c>
      <c r="U1946" s="51" t="str">
        <f>IF(AND(L1946="154",'154'!$O$5&lt;=B1946,'154'!$P$5&gt;=B1946),"154",IF(AND(L1946="632",'632'!$L$5&lt;=B1946,'632'!$M$5&gt;=B1946),"632",IF(AND(L1946="642",'642'!$N$5&lt;=B1946,'642'!$O$5&gt;=B1946),"642",IF(AND(L1946="641",'641'!$N$5&lt;=B1946,'641'!$O$5&gt;=B1946),"641",""))))</f>
        <v>154</v>
      </c>
      <c r="V1946" s="51" t="str">
        <f>IF(OR(TH!L1946=TH!$V$7,M1946=TH!$V$7),"x","")</f>
        <v/>
      </c>
      <c r="W1946" s="51" t="str">
        <f>IF(AND(B1946&gt;='IN-NX'!$P$3,B1946&lt;='IN-NX'!$Q$3,'IN-NX'!$D$7=D1946,OR(LEFT(L1946,2)="15",AND(LEFT(M1946,2)&lt;&gt;"15",LEFT(M1946,2)&lt;&gt;"33"))),"x","")</f>
        <v/>
      </c>
      <c r="X1946" s="51" t="str">
        <f>IF(AND(OR(LEFT(TH!L1946,2)="15",LEFT(TH!M1946,2)="15"),'152-CT'!$J$8=TH!F1946),"x","")</f>
        <v/>
      </c>
      <c r="Y1946" s="51" t="str">
        <f>IF(AND(OR(LEFT(TH!L1946,2)="15",LEFT(TH!M1946,2)="15"),TK!$E$7=TH!F1946),"x","")</f>
        <v/>
      </c>
      <c r="Z1946" s="51" t="str">
        <f>IF(AND(B1946&lt;=NKC!$N$8,B1946&gt;=NKC!$M$8),"x","")</f>
        <v/>
      </c>
      <c r="AA1946" s="803"/>
    </row>
    <row r="1947" spans="1:27" ht="15.75" customHeight="1">
      <c r="A1947" s="804" t="str">
        <f>IF(B1947&lt;&gt;"",IF(AND(B1947&gt;=_TM1,B1947&lt;=_TM2,OR(TH!L1947="1111",TH!M1947="1111")),TH!D1947,""),"")</f>
        <v/>
      </c>
      <c r="B1947" s="36">
        <f t="shared" si="134"/>
        <v>6</v>
      </c>
      <c r="C1947" s="189">
        <f t="shared" si="136"/>
        <v>42183</v>
      </c>
      <c r="D1947" s="189" t="s">
        <v>1289</v>
      </c>
      <c r="E1947" s="879">
        <v>42183</v>
      </c>
      <c r="F1947" s="868" t="s">
        <v>1117</v>
      </c>
      <c r="G1947" s="882" t="s">
        <v>1004</v>
      </c>
      <c r="H1947" s="873" t="s">
        <v>1286</v>
      </c>
      <c r="I1947" s="874">
        <v>75</v>
      </c>
      <c r="J1947" s="874">
        <v>10313</v>
      </c>
      <c r="K1947" s="875">
        <f t="shared" si="135"/>
        <v>773475</v>
      </c>
      <c r="L1947" s="876" t="s">
        <v>160</v>
      </c>
      <c r="M1947" s="876" t="s">
        <v>417</v>
      </c>
      <c r="N1947" s="51" t="str">
        <f>IF(AND('331-CT'!$E$7=TH!H1947,OR(L1947="331",M1947="331")),"331",IF(AND(OR(L1947="131",M1947="131"),H1947='131-CT'!$E$7),"131",""))</f>
        <v/>
      </c>
      <c r="O1947" s="51" t="str">
        <f>IF(AND($B1947&gt;='111'!$N$11,$B1947&lt;='111'!$O$11,OR($L1947=$O$7,$M1947=$O$7)),"x","")</f>
        <v/>
      </c>
      <c r="P1947" s="51" t="str">
        <f>IF(AND($L1947=$O$7,$B1947&lt;'111'!$N$11),"x","")</f>
        <v/>
      </c>
      <c r="Q1947" s="51" t="str">
        <f>IF(AND($M1947=$O$7,$B1947&lt;'111'!$N$11),"x","")</f>
        <v/>
      </c>
      <c r="R1947" s="51" t="str">
        <f>IF(ISERROR(FIND('112'!$M$9,G1947,1)),"",IF((AND(FIND('112'!$M$9,G1947,1)&gt;=1,$B1947&gt;='112'!$N$8,$B1947&lt;='112'!$O$8,OR($L1947='112'!$I$6,$M1947='112'!$I$6))),"x",""))</f>
        <v/>
      </c>
      <c r="S1947" s="51" t="str">
        <f>IF(ISERROR(FIND('112'!$M$9,G1947,1)),"",IF((AND(LEFT(G1947,2)=LEFT('112'!$M$9,2),B1947&lt;'112'!$N$8,$L1947='112'!$I$6)),"x",""))</f>
        <v/>
      </c>
      <c r="T1947" s="51" t="str">
        <f>IF(ISERROR(FIND('112'!$M$9,G1947,1)),"",IF((AND(RIGHT(G1947,2)=RIGHT('112'!$M$9,2),B1947&lt;'112'!$N$8,$M1947='112'!$I$6)),"x",""))</f>
        <v/>
      </c>
      <c r="U1947" s="51" t="str">
        <f>IF(AND(L1947="154",'154'!$O$5&lt;=B1947,'154'!$P$5&gt;=B1947),"154",IF(AND(L1947="632",'632'!$L$5&lt;=B1947,'632'!$M$5&gt;=B1947),"632",IF(AND(L1947="642",'642'!$N$5&lt;=B1947,'642'!$O$5&gt;=B1947),"642",IF(AND(L1947="641",'641'!$N$5&lt;=B1947,'641'!$O$5&gt;=B1947),"641",""))))</f>
        <v>154</v>
      </c>
      <c r="V1947" s="51" t="str">
        <f>IF(OR(TH!L1947=TH!$V$7,M1947=TH!$V$7),"x","")</f>
        <v/>
      </c>
      <c r="W1947" s="51" t="str">
        <f>IF(AND(B1947&gt;='IN-NX'!$P$3,B1947&lt;='IN-NX'!$Q$3,'IN-NX'!$D$7=D1947,OR(LEFT(L1947,2)="15",AND(LEFT(M1947,2)&lt;&gt;"15",LEFT(M1947,2)&lt;&gt;"33"))),"x","")</f>
        <v/>
      </c>
      <c r="X1947" s="51" t="str">
        <f>IF(AND(OR(LEFT(TH!L1947,2)="15",LEFT(TH!M1947,2)="15"),'152-CT'!$J$8=TH!F1947),"x","")</f>
        <v/>
      </c>
      <c r="Y1947" s="51" t="str">
        <f>IF(AND(OR(LEFT(TH!L1947,2)="15",LEFT(TH!M1947,2)="15"),TK!$E$7=TH!F1947),"x","")</f>
        <v/>
      </c>
      <c r="Z1947" s="51" t="str">
        <f>IF(AND(B1947&lt;=NKC!$N$8,B1947&gt;=NKC!$M$8),"x","")</f>
        <v/>
      </c>
      <c r="AA1947" s="803"/>
    </row>
    <row r="1948" spans="1:27" ht="15.75" customHeight="1">
      <c r="A1948" s="804" t="str">
        <f>IF(B1948&lt;&gt;"",IF(AND(B1948&gt;=_TM1,B1948&lt;=_TM2,OR(TH!L1948="1111",TH!M1948="1111")),TH!D1948,""),"")</f>
        <v/>
      </c>
      <c r="B1948" s="36">
        <f t="shared" si="134"/>
        <v>6</v>
      </c>
      <c r="C1948" s="189">
        <f t="shared" si="136"/>
        <v>42183</v>
      </c>
      <c r="D1948" s="189" t="s">
        <v>1289</v>
      </c>
      <c r="E1948" s="879">
        <v>42183</v>
      </c>
      <c r="F1948" s="868" t="s">
        <v>577</v>
      </c>
      <c r="G1948" s="882" t="s">
        <v>1005</v>
      </c>
      <c r="H1948" s="873" t="s">
        <v>1286</v>
      </c>
      <c r="I1948" s="874">
        <v>700</v>
      </c>
      <c r="J1948" s="874">
        <v>10710</v>
      </c>
      <c r="K1948" s="875">
        <f t="shared" si="135"/>
        <v>7497000</v>
      </c>
      <c r="L1948" s="876" t="s">
        <v>160</v>
      </c>
      <c r="M1948" s="876" t="s">
        <v>417</v>
      </c>
      <c r="N1948" s="51" t="str">
        <f>IF(AND('331-CT'!$E$7=TH!H1948,OR(L1948="331",M1948="331")),"331",IF(AND(OR(L1948="131",M1948="131"),H1948='131-CT'!$E$7),"131",""))</f>
        <v/>
      </c>
      <c r="O1948" s="51" t="str">
        <f>IF(AND($B1948&gt;='111'!$N$11,$B1948&lt;='111'!$O$11,OR($L1948=$O$7,$M1948=$O$7)),"x","")</f>
        <v/>
      </c>
      <c r="P1948" s="51" t="str">
        <f>IF(AND($L1948=$O$7,$B1948&lt;'111'!$N$11),"x","")</f>
        <v/>
      </c>
      <c r="Q1948" s="51" t="str">
        <f>IF(AND($M1948=$O$7,$B1948&lt;'111'!$N$11),"x","")</f>
        <v/>
      </c>
      <c r="R1948" s="51" t="str">
        <f>IF(ISERROR(FIND('112'!$M$9,G1948,1)),"",IF((AND(FIND('112'!$M$9,G1948,1)&gt;=1,$B1948&gt;='112'!$N$8,$B1948&lt;='112'!$O$8,OR($L1948='112'!$I$6,$M1948='112'!$I$6))),"x",""))</f>
        <v/>
      </c>
      <c r="S1948" s="51" t="str">
        <f>IF(ISERROR(FIND('112'!$M$9,G1948,1)),"",IF((AND(LEFT(G1948,2)=LEFT('112'!$M$9,2),B1948&lt;'112'!$N$8,$L1948='112'!$I$6)),"x",""))</f>
        <v/>
      </c>
      <c r="T1948" s="51" t="str">
        <f>IF(ISERROR(FIND('112'!$M$9,G1948,1)),"",IF((AND(RIGHT(G1948,2)=RIGHT('112'!$M$9,2),B1948&lt;'112'!$N$8,$M1948='112'!$I$6)),"x",""))</f>
        <v/>
      </c>
      <c r="U1948" s="51" t="str">
        <f>IF(AND(L1948="154",'154'!$O$5&lt;=B1948,'154'!$P$5&gt;=B1948),"154",IF(AND(L1948="632",'632'!$L$5&lt;=B1948,'632'!$M$5&gt;=B1948),"632",IF(AND(L1948="642",'642'!$N$5&lt;=B1948,'642'!$O$5&gt;=B1948),"642",IF(AND(L1948="641",'641'!$N$5&lt;=B1948,'641'!$O$5&gt;=B1948),"641",""))))</f>
        <v>154</v>
      </c>
      <c r="V1948" s="51" t="str">
        <f>IF(OR(TH!L1948=TH!$V$7,M1948=TH!$V$7),"x","")</f>
        <v/>
      </c>
      <c r="W1948" s="51" t="str">
        <f>IF(AND(B1948&gt;='IN-NX'!$P$3,B1948&lt;='IN-NX'!$Q$3,'IN-NX'!$D$7=D1948,OR(LEFT(L1948,2)="15",AND(LEFT(M1948,2)&lt;&gt;"15",LEFT(M1948,2)&lt;&gt;"33"))),"x","")</f>
        <v/>
      </c>
      <c r="X1948" s="51" t="str">
        <f>IF(AND(OR(LEFT(TH!L1948,2)="15",LEFT(TH!M1948,2)="15"),'152-CT'!$J$8=TH!F1948),"x","")</f>
        <v/>
      </c>
      <c r="Y1948" s="51" t="str">
        <f>IF(AND(OR(LEFT(TH!L1948,2)="15",LEFT(TH!M1948,2)="15"),TK!$E$7=TH!F1948),"x","")</f>
        <v/>
      </c>
      <c r="Z1948" s="51" t="str">
        <f>IF(AND(B1948&lt;=NKC!$N$8,B1948&gt;=NKC!$M$8),"x","")</f>
        <v/>
      </c>
      <c r="AA1948" s="803"/>
    </row>
    <row r="1949" spans="1:27" ht="15.75" customHeight="1">
      <c r="A1949" s="804" t="str">
        <f>IF(B1949&lt;&gt;"",IF(AND(B1949&gt;=_TM1,B1949&lt;=_TM2,OR(TH!L1949="1111",TH!M1949="1111")),TH!D1949,""),"")</f>
        <v/>
      </c>
      <c r="B1949" s="36">
        <f t="shared" si="134"/>
        <v>6</v>
      </c>
      <c r="C1949" s="189">
        <f t="shared" si="136"/>
        <v>42183</v>
      </c>
      <c r="D1949" s="189" t="s">
        <v>1289</v>
      </c>
      <c r="E1949" s="879">
        <v>42183</v>
      </c>
      <c r="F1949" s="868" t="s">
        <v>576</v>
      </c>
      <c r="G1949" s="882" t="s">
        <v>1005</v>
      </c>
      <c r="H1949" s="873" t="s">
        <v>1286</v>
      </c>
      <c r="I1949" s="874">
        <v>753</v>
      </c>
      <c r="J1949" s="874">
        <v>12444</v>
      </c>
      <c r="K1949" s="875">
        <f t="shared" si="135"/>
        <v>9370332</v>
      </c>
      <c r="L1949" s="876" t="s">
        <v>160</v>
      </c>
      <c r="M1949" s="876" t="s">
        <v>417</v>
      </c>
      <c r="N1949" s="51" t="str">
        <f>IF(AND('331-CT'!$E$7=TH!H1949,OR(L1949="331",M1949="331")),"331",IF(AND(OR(L1949="131",M1949="131"),H1949='131-CT'!$E$7),"131",""))</f>
        <v/>
      </c>
      <c r="O1949" s="51" t="str">
        <f>IF(AND($B1949&gt;='111'!$N$11,$B1949&lt;='111'!$O$11,OR($L1949=$O$7,$M1949=$O$7)),"x","")</f>
        <v/>
      </c>
      <c r="P1949" s="51" t="str">
        <f>IF(AND($L1949=$O$7,$B1949&lt;'111'!$N$11),"x","")</f>
        <v/>
      </c>
      <c r="Q1949" s="51" t="str">
        <f>IF(AND($M1949=$O$7,$B1949&lt;'111'!$N$11),"x","")</f>
        <v/>
      </c>
      <c r="R1949" s="51" t="str">
        <f>IF(ISERROR(FIND('112'!$M$9,G1949,1)),"",IF((AND(FIND('112'!$M$9,G1949,1)&gt;=1,$B1949&gt;='112'!$N$8,$B1949&lt;='112'!$O$8,OR($L1949='112'!$I$6,$M1949='112'!$I$6))),"x",""))</f>
        <v/>
      </c>
      <c r="S1949" s="51" t="str">
        <f>IF(ISERROR(FIND('112'!$M$9,G1949,1)),"",IF((AND(LEFT(G1949,2)=LEFT('112'!$M$9,2),B1949&lt;'112'!$N$8,$L1949='112'!$I$6)),"x",""))</f>
        <v/>
      </c>
      <c r="T1949" s="51" t="str">
        <f>IF(ISERROR(FIND('112'!$M$9,G1949,1)),"",IF((AND(RIGHT(G1949,2)=RIGHT('112'!$M$9,2),B1949&lt;'112'!$N$8,$M1949='112'!$I$6)),"x",""))</f>
        <v/>
      </c>
      <c r="U1949" s="51" t="str">
        <f>IF(AND(L1949="154",'154'!$O$5&lt;=B1949,'154'!$P$5&gt;=B1949),"154",IF(AND(L1949="632",'632'!$L$5&lt;=B1949,'632'!$M$5&gt;=B1949),"632",IF(AND(L1949="642",'642'!$N$5&lt;=B1949,'642'!$O$5&gt;=B1949),"642",IF(AND(L1949="641",'641'!$N$5&lt;=B1949,'641'!$O$5&gt;=B1949),"641",""))))</f>
        <v>154</v>
      </c>
      <c r="V1949" s="51" t="str">
        <f>IF(OR(TH!L1949=TH!$V$7,M1949=TH!$V$7),"x","")</f>
        <v/>
      </c>
      <c r="W1949" s="51" t="str">
        <f>IF(AND(B1949&gt;='IN-NX'!$P$3,B1949&lt;='IN-NX'!$Q$3,'IN-NX'!$D$7=D1949,OR(LEFT(L1949,2)="15",AND(LEFT(M1949,2)&lt;&gt;"15",LEFT(M1949,2)&lt;&gt;"33"))),"x","")</f>
        <v/>
      </c>
      <c r="X1949" s="51" t="str">
        <f>IF(AND(OR(LEFT(TH!L1949,2)="15",LEFT(TH!M1949,2)="15"),'152-CT'!$J$8=TH!F1949),"x","")</f>
        <v/>
      </c>
      <c r="Y1949" s="51" t="str">
        <f>IF(AND(OR(LEFT(TH!L1949,2)="15",LEFT(TH!M1949,2)="15"),TK!$E$7=TH!F1949),"x","")</f>
        <v/>
      </c>
      <c r="Z1949" s="51" t="str">
        <f>IF(AND(B1949&lt;=NKC!$N$8,B1949&gt;=NKC!$M$8),"x","")</f>
        <v/>
      </c>
      <c r="AA1949" s="803"/>
    </row>
    <row r="1950" spans="1:27" ht="15.75" customHeight="1">
      <c r="A1950" s="804" t="str">
        <f>IF(B1950&lt;&gt;"",IF(AND(B1950&gt;=_TM1,B1950&lt;=_TM2,OR(TH!L1950="1111",TH!M1950="1111")),TH!D1950,""),"")</f>
        <v/>
      </c>
      <c r="B1950" s="36">
        <f t="shared" si="134"/>
        <v>6</v>
      </c>
      <c r="C1950" s="189">
        <f t="shared" si="136"/>
        <v>42183</v>
      </c>
      <c r="D1950" s="189" t="s">
        <v>1289</v>
      </c>
      <c r="E1950" s="879">
        <v>42183</v>
      </c>
      <c r="F1950" s="868" t="s">
        <v>570</v>
      </c>
      <c r="G1950" s="882" t="s">
        <v>1006</v>
      </c>
      <c r="H1950" s="873" t="s">
        <v>1286</v>
      </c>
      <c r="I1950" s="874">
        <v>510</v>
      </c>
      <c r="J1950" s="874">
        <v>24055</v>
      </c>
      <c r="K1950" s="875">
        <f t="shared" si="135"/>
        <v>12268050</v>
      </c>
      <c r="L1950" s="876" t="s">
        <v>160</v>
      </c>
      <c r="M1950" s="876" t="s">
        <v>417</v>
      </c>
      <c r="N1950" s="51" t="str">
        <f>IF(AND('331-CT'!$E$7=TH!H1950,OR(L1950="331",M1950="331")),"331",IF(AND(OR(L1950="131",M1950="131"),H1950='131-CT'!$E$7),"131",""))</f>
        <v/>
      </c>
      <c r="O1950" s="51" t="str">
        <f>IF(AND($B1950&gt;='111'!$N$11,$B1950&lt;='111'!$O$11,OR($L1950=$O$7,$M1950=$O$7)),"x","")</f>
        <v/>
      </c>
      <c r="P1950" s="51" t="str">
        <f>IF(AND($L1950=$O$7,$B1950&lt;'111'!$N$11),"x","")</f>
        <v/>
      </c>
      <c r="Q1950" s="51" t="str">
        <f>IF(AND($M1950=$O$7,$B1950&lt;'111'!$N$11),"x","")</f>
        <v/>
      </c>
      <c r="R1950" s="51" t="str">
        <f>IF(ISERROR(FIND('112'!$M$9,G1950,1)),"",IF((AND(FIND('112'!$M$9,G1950,1)&gt;=1,$B1950&gt;='112'!$N$8,$B1950&lt;='112'!$O$8,OR($L1950='112'!$I$6,$M1950='112'!$I$6))),"x",""))</f>
        <v/>
      </c>
      <c r="S1950" s="51" t="str">
        <f>IF(ISERROR(FIND('112'!$M$9,G1950,1)),"",IF((AND(LEFT(G1950,2)=LEFT('112'!$M$9,2),B1950&lt;'112'!$N$8,$L1950='112'!$I$6)),"x",""))</f>
        <v/>
      </c>
      <c r="T1950" s="51" t="str">
        <f>IF(ISERROR(FIND('112'!$M$9,G1950,1)),"",IF((AND(RIGHT(G1950,2)=RIGHT('112'!$M$9,2),B1950&lt;'112'!$N$8,$M1950='112'!$I$6)),"x",""))</f>
        <v/>
      </c>
      <c r="U1950" s="51" t="str">
        <f>IF(AND(L1950="154",'154'!$O$5&lt;=B1950,'154'!$P$5&gt;=B1950),"154",IF(AND(L1950="632",'632'!$L$5&lt;=B1950,'632'!$M$5&gt;=B1950),"632",IF(AND(L1950="642",'642'!$N$5&lt;=B1950,'642'!$O$5&gt;=B1950),"642",IF(AND(L1950="641",'641'!$N$5&lt;=B1950,'641'!$O$5&gt;=B1950),"641",""))))</f>
        <v>154</v>
      </c>
      <c r="V1950" s="51" t="str">
        <f>IF(OR(TH!L1950=TH!$V$7,M1950=TH!$V$7),"x","")</f>
        <v/>
      </c>
      <c r="W1950" s="51" t="str">
        <f>IF(AND(B1950&gt;='IN-NX'!$P$3,B1950&lt;='IN-NX'!$Q$3,'IN-NX'!$D$7=D1950,OR(LEFT(L1950,2)="15",AND(LEFT(M1950,2)&lt;&gt;"15",LEFT(M1950,2)&lt;&gt;"33"))),"x","")</f>
        <v/>
      </c>
      <c r="X1950" s="51" t="str">
        <f>IF(AND(OR(LEFT(TH!L1950,2)="15",LEFT(TH!M1950,2)="15"),'152-CT'!$J$8=TH!F1950),"x","")</f>
        <v/>
      </c>
      <c r="Y1950" s="51" t="str">
        <f>IF(AND(OR(LEFT(TH!L1950,2)="15",LEFT(TH!M1950,2)="15"),TK!$E$7=TH!F1950),"x","")</f>
        <v/>
      </c>
      <c r="Z1950" s="51" t="str">
        <f>IF(AND(B1950&lt;=NKC!$N$8,B1950&gt;=NKC!$M$8),"x","")</f>
        <v/>
      </c>
      <c r="AA1950" s="803"/>
    </row>
    <row r="1951" spans="1:27" ht="15.75" customHeight="1">
      <c r="A1951" s="804" t="str">
        <f>IF(B1951&lt;&gt;"",IF(AND(B1951&gt;=_TM1,B1951&lt;=_TM2,OR(TH!L1951="1111",TH!M1951="1111")),TH!D1951,""),"")</f>
        <v/>
      </c>
      <c r="B1951" s="36">
        <f t="shared" si="134"/>
        <v>6</v>
      </c>
      <c r="C1951" s="189">
        <f t="shared" si="136"/>
        <v>42183</v>
      </c>
      <c r="D1951" s="189" t="s">
        <v>1289</v>
      </c>
      <c r="E1951" s="879">
        <v>42183</v>
      </c>
      <c r="F1951" s="187" t="s">
        <v>520</v>
      </c>
      <c r="G1951" s="882" t="s">
        <v>1006</v>
      </c>
      <c r="H1951" s="873" t="s">
        <v>1286</v>
      </c>
      <c r="I1951" s="874">
        <v>400</v>
      </c>
      <c r="J1951" s="874">
        <v>12138</v>
      </c>
      <c r="K1951" s="875">
        <f t="shared" si="135"/>
        <v>4855200</v>
      </c>
      <c r="L1951" s="876" t="s">
        <v>160</v>
      </c>
      <c r="M1951" s="876" t="s">
        <v>417</v>
      </c>
      <c r="N1951" s="51" t="str">
        <f>IF(AND('331-CT'!$E$7=TH!H1951,OR(L1951="331",M1951="331")),"331",IF(AND(OR(L1951="131",M1951="131"),H1951='131-CT'!$E$7),"131",""))</f>
        <v/>
      </c>
      <c r="O1951" s="51" t="str">
        <f>IF(AND($B1951&gt;='111'!$N$11,$B1951&lt;='111'!$O$11,OR($L1951=$O$7,$M1951=$O$7)),"x","")</f>
        <v/>
      </c>
      <c r="P1951" s="51" t="str">
        <f>IF(AND($L1951=$O$7,$B1951&lt;'111'!$N$11),"x","")</f>
        <v/>
      </c>
      <c r="Q1951" s="51" t="str">
        <f>IF(AND($M1951=$O$7,$B1951&lt;'111'!$N$11),"x","")</f>
        <v/>
      </c>
      <c r="R1951" s="51" t="str">
        <f>IF(ISERROR(FIND('112'!$M$9,G1951,1)),"",IF((AND(FIND('112'!$M$9,G1951,1)&gt;=1,$B1951&gt;='112'!$N$8,$B1951&lt;='112'!$O$8,OR($L1951='112'!$I$6,$M1951='112'!$I$6))),"x",""))</f>
        <v/>
      </c>
      <c r="S1951" s="51" t="str">
        <f>IF(ISERROR(FIND('112'!$M$9,G1951,1)),"",IF((AND(LEFT(G1951,2)=LEFT('112'!$M$9,2),B1951&lt;'112'!$N$8,$L1951='112'!$I$6)),"x",""))</f>
        <v/>
      </c>
      <c r="T1951" s="51" t="str">
        <f>IF(ISERROR(FIND('112'!$M$9,G1951,1)),"",IF((AND(RIGHT(G1951,2)=RIGHT('112'!$M$9,2),B1951&lt;'112'!$N$8,$M1951='112'!$I$6)),"x",""))</f>
        <v/>
      </c>
      <c r="U1951" s="51" t="str">
        <f>IF(AND(L1951="154",'154'!$O$5&lt;=B1951,'154'!$P$5&gt;=B1951),"154",IF(AND(L1951="632",'632'!$L$5&lt;=B1951,'632'!$M$5&gt;=B1951),"632",IF(AND(L1951="642",'642'!$N$5&lt;=B1951,'642'!$O$5&gt;=B1951),"642",IF(AND(L1951="641",'641'!$N$5&lt;=B1951,'641'!$O$5&gt;=B1951),"641",""))))</f>
        <v>154</v>
      </c>
      <c r="V1951" s="51" t="str">
        <f>IF(OR(TH!L1951=TH!$V$7,M1951=TH!$V$7),"x","")</f>
        <v/>
      </c>
      <c r="W1951" s="51" t="str">
        <f>IF(AND(B1951&gt;='IN-NX'!$P$3,B1951&lt;='IN-NX'!$Q$3,'IN-NX'!$D$7=D1951,OR(LEFT(L1951,2)="15",AND(LEFT(M1951,2)&lt;&gt;"15",LEFT(M1951,2)&lt;&gt;"33"))),"x","")</f>
        <v/>
      </c>
      <c r="X1951" s="51" t="str">
        <f>IF(AND(OR(LEFT(TH!L1951,2)="15",LEFT(TH!M1951,2)="15"),'152-CT'!$J$8=TH!F1951),"x","")</f>
        <v/>
      </c>
      <c r="Y1951" s="51" t="str">
        <f>IF(AND(OR(LEFT(TH!L1951,2)="15",LEFT(TH!M1951,2)="15"),TK!$E$7=TH!F1951),"x","")</f>
        <v/>
      </c>
      <c r="Z1951" s="51" t="str">
        <f>IF(AND(B1951&lt;=NKC!$N$8,B1951&gt;=NKC!$M$8),"x","")</f>
        <v/>
      </c>
      <c r="AA1951" s="803"/>
    </row>
    <row r="1952" spans="1:27" ht="15.75" customHeight="1">
      <c r="A1952" s="804" t="str">
        <f>IF(B1952&lt;&gt;"",IF(AND(B1952&gt;=_TM1,B1952&lt;=_TM2,OR(TH!L1952="1111",TH!M1952="1111")),TH!D1952,""),"")</f>
        <v/>
      </c>
      <c r="B1952" s="36">
        <f t="shared" si="134"/>
        <v>6</v>
      </c>
      <c r="C1952" s="189">
        <f t="shared" si="136"/>
        <v>42183</v>
      </c>
      <c r="D1952" s="189" t="s">
        <v>1289</v>
      </c>
      <c r="E1952" s="879">
        <v>42183</v>
      </c>
      <c r="F1952" s="868" t="s">
        <v>570</v>
      </c>
      <c r="G1952" s="882" t="s">
        <v>1007</v>
      </c>
      <c r="H1952" s="873" t="s">
        <v>1286</v>
      </c>
      <c r="I1952" s="874">
        <v>105</v>
      </c>
      <c r="J1952" s="874">
        <v>24055</v>
      </c>
      <c r="K1952" s="875">
        <f t="shared" si="135"/>
        <v>2525775</v>
      </c>
      <c r="L1952" s="876" t="s">
        <v>160</v>
      </c>
      <c r="M1952" s="876" t="s">
        <v>417</v>
      </c>
      <c r="N1952" s="51" t="str">
        <f>IF(AND('331-CT'!$E$7=TH!H1952,OR(L1952="331",M1952="331")),"331",IF(AND(OR(L1952="131",M1952="131"),H1952='131-CT'!$E$7),"131",""))</f>
        <v/>
      </c>
      <c r="O1952" s="51" t="str">
        <f>IF(AND($B1952&gt;='111'!$N$11,$B1952&lt;='111'!$O$11,OR($L1952=$O$7,$M1952=$O$7)),"x","")</f>
        <v/>
      </c>
      <c r="P1952" s="51" t="str">
        <f>IF(AND($L1952=$O$7,$B1952&lt;'111'!$N$11),"x","")</f>
        <v/>
      </c>
      <c r="Q1952" s="51" t="str">
        <f>IF(AND($M1952=$O$7,$B1952&lt;'111'!$N$11),"x","")</f>
        <v/>
      </c>
      <c r="R1952" s="51" t="str">
        <f>IF(ISERROR(FIND('112'!$M$9,G1952,1)),"",IF((AND(FIND('112'!$M$9,G1952,1)&gt;=1,$B1952&gt;='112'!$N$8,$B1952&lt;='112'!$O$8,OR($L1952='112'!$I$6,$M1952='112'!$I$6))),"x",""))</f>
        <v/>
      </c>
      <c r="S1952" s="51" t="str">
        <f>IF(ISERROR(FIND('112'!$M$9,G1952,1)),"",IF((AND(LEFT(G1952,2)=LEFT('112'!$M$9,2),B1952&lt;'112'!$N$8,$L1952='112'!$I$6)),"x",""))</f>
        <v/>
      </c>
      <c r="T1952" s="51" t="str">
        <f>IF(ISERROR(FIND('112'!$M$9,G1952,1)),"",IF((AND(RIGHT(G1952,2)=RIGHT('112'!$M$9,2),B1952&lt;'112'!$N$8,$M1952='112'!$I$6)),"x",""))</f>
        <v/>
      </c>
      <c r="U1952" s="51" t="str">
        <f>IF(AND(L1952="154",'154'!$O$5&lt;=B1952,'154'!$P$5&gt;=B1952),"154",IF(AND(L1952="632",'632'!$L$5&lt;=B1952,'632'!$M$5&gt;=B1952),"632",IF(AND(L1952="642",'642'!$N$5&lt;=B1952,'642'!$O$5&gt;=B1952),"642",IF(AND(L1952="641",'641'!$N$5&lt;=B1952,'641'!$O$5&gt;=B1952),"641",""))))</f>
        <v>154</v>
      </c>
      <c r="V1952" s="51" t="str">
        <f>IF(OR(TH!L1952=TH!$V$7,M1952=TH!$V$7),"x","")</f>
        <v/>
      </c>
      <c r="W1952" s="51" t="str">
        <f>IF(AND(B1952&gt;='IN-NX'!$P$3,B1952&lt;='IN-NX'!$Q$3,'IN-NX'!$D$7=D1952,OR(LEFT(L1952,2)="15",AND(LEFT(M1952,2)&lt;&gt;"15",LEFT(M1952,2)&lt;&gt;"33"))),"x","")</f>
        <v/>
      </c>
      <c r="X1952" s="51" t="str">
        <f>IF(AND(OR(LEFT(TH!L1952,2)="15",LEFT(TH!M1952,2)="15"),'152-CT'!$J$8=TH!F1952),"x","")</f>
        <v/>
      </c>
      <c r="Y1952" s="51" t="str">
        <f>IF(AND(OR(LEFT(TH!L1952,2)="15",LEFT(TH!M1952,2)="15"),TK!$E$7=TH!F1952),"x","")</f>
        <v/>
      </c>
      <c r="Z1952" s="51" t="str">
        <f>IF(AND(B1952&lt;=NKC!$N$8,B1952&gt;=NKC!$M$8),"x","")</f>
        <v/>
      </c>
      <c r="AA1952" s="803"/>
    </row>
    <row r="1953" spans="1:27" ht="15.75" customHeight="1">
      <c r="A1953" s="804" t="str">
        <f>IF(B1953&lt;&gt;"",IF(AND(B1953&gt;=_TM1,B1953&lt;=_TM2,OR(TH!L1953="1111",TH!M1953="1111")),TH!D1953,""),"")</f>
        <v/>
      </c>
      <c r="B1953" s="36">
        <f t="shared" ref="B1953:B1954" si="137">IF(C1953&lt;&gt;"",MONTH(C1953),"")</f>
        <v>6</v>
      </c>
      <c r="C1953" s="189">
        <f t="shared" ref="C1953:C1954" si="138">E1953</f>
        <v>42183</v>
      </c>
      <c r="D1953" s="189" t="s">
        <v>1289</v>
      </c>
      <c r="E1953" s="879">
        <v>42183</v>
      </c>
      <c r="F1953" s="868" t="s">
        <v>511</v>
      </c>
      <c r="G1953" s="882" t="s">
        <v>1007</v>
      </c>
      <c r="H1953" s="873" t="s">
        <v>1286</v>
      </c>
      <c r="I1953" s="874">
        <v>550</v>
      </c>
      <c r="J1953" s="874">
        <v>12031.538461538461</v>
      </c>
      <c r="K1953" s="875">
        <f t="shared" ref="K1953:K1954" si="139">ROUND(I1953*J1953,0)</f>
        <v>6617346</v>
      </c>
      <c r="L1953" s="876" t="s">
        <v>160</v>
      </c>
      <c r="M1953" s="876" t="s">
        <v>417</v>
      </c>
      <c r="N1953" s="51" t="str">
        <f>IF(AND('331-CT'!$E$7=TH!H1953,OR(L1953="331",M1953="331")),"331",IF(AND(OR(L1953="131",M1953="131"),H1953='131-CT'!$E$7),"131",""))</f>
        <v/>
      </c>
      <c r="O1953" s="51" t="str">
        <f>IF(AND($B1953&gt;='111'!$N$11,$B1953&lt;='111'!$O$11,OR($L1953=$O$7,$M1953=$O$7)),"x","")</f>
        <v/>
      </c>
      <c r="P1953" s="51" t="str">
        <f>IF(AND($L1953=$O$7,$B1953&lt;'111'!$N$11),"x","")</f>
        <v/>
      </c>
      <c r="Q1953" s="51" t="str">
        <f>IF(AND($M1953=$O$7,$B1953&lt;'111'!$N$11),"x","")</f>
        <v/>
      </c>
      <c r="R1953" s="51" t="str">
        <f>IF(ISERROR(FIND('112'!$M$9,G1953,1)),"",IF((AND(FIND('112'!$M$9,G1953,1)&gt;=1,$B1953&gt;='112'!$N$8,$B1953&lt;='112'!$O$8,OR($L1953='112'!$I$6,$M1953='112'!$I$6))),"x",""))</f>
        <v/>
      </c>
      <c r="S1953" s="51" t="str">
        <f>IF(ISERROR(FIND('112'!$M$9,G1953,1)),"",IF((AND(LEFT(G1953,2)=LEFT('112'!$M$9,2),B1953&lt;'112'!$N$8,$L1953='112'!$I$6)),"x",""))</f>
        <v/>
      </c>
      <c r="T1953" s="51" t="str">
        <f>IF(ISERROR(FIND('112'!$M$9,G1953,1)),"",IF((AND(RIGHT(G1953,2)=RIGHT('112'!$M$9,2),B1953&lt;'112'!$N$8,$M1953='112'!$I$6)),"x",""))</f>
        <v/>
      </c>
      <c r="U1953" s="51" t="str">
        <f>IF(AND(L1953="154",'154'!$O$5&lt;=B1953,'154'!$P$5&gt;=B1953),"154",IF(AND(L1953="632",'632'!$L$5&lt;=B1953,'632'!$M$5&gt;=B1953),"632",IF(AND(L1953="642",'642'!$N$5&lt;=B1953,'642'!$O$5&gt;=B1953),"642",IF(AND(L1953="641",'641'!$N$5&lt;=B1953,'641'!$O$5&gt;=B1953),"641",""))))</f>
        <v>154</v>
      </c>
      <c r="V1953" s="51" t="str">
        <f>IF(OR(TH!L1953=TH!$V$7,M1953=TH!$V$7),"x","")</f>
        <v/>
      </c>
      <c r="W1953" s="51" t="str">
        <f>IF(AND(B1953&gt;='IN-NX'!$P$3,B1953&lt;='IN-NX'!$Q$3,'IN-NX'!$D$7=D1953,OR(LEFT(L1953,2)="15",AND(LEFT(M1953,2)&lt;&gt;"15",LEFT(M1953,2)&lt;&gt;"33"))),"x","")</f>
        <v/>
      </c>
      <c r="X1953" s="51" t="str">
        <f>IF(AND(OR(LEFT(TH!L1953,2)="15",LEFT(TH!M1953,2)="15"),'152-CT'!$J$8=TH!F1953),"x","")</f>
        <v/>
      </c>
      <c r="Y1953" s="51" t="str">
        <f>IF(AND(OR(LEFT(TH!L1953,2)="15",LEFT(TH!M1953,2)="15"),TK!$E$7=TH!F1953),"x","")</f>
        <v/>
      </c>
      <c r="Z1953" s="51" t="str">
        <f>IF(AND(B1953&lt;=NKC!$N$8,B1953&gt;=NKC!$M$8),"x","")</f>
        <v/>
      </c>
      <c r="AA1953" s="803"/>
    </row>
    <row r="1954" spans="1:27" ht="15.75" customHeight="1">
      <c r="A1954" s="804" t="str">
        <f>IF(B1954&lt;&gt;"",IF(AND(B1954&gt;=_TM1,B1954&lt;=_TM2,OR(TH!L1954="1111",TH!M1954="1111")),TH!D1954,""),"")</f>
        <v/>
      </c>
      <c r="B1954" s="36">
        <f t="shared" si="137"/>
        <v>6</v>
      </c>
      <c r="C1954" s="189">
        <f t="shared" si="138"/>
        <v>42183</v>
      </c>
      <c r="D1954" s="189" t="s">
        <v>1289</v>
      </c>
      <c r="E1954" s="879">
        <v>42183</v>
      </c>
      <c r="F1954" s="868" t="s">
        <v>481</v>
      </c>
      <c r="G1954" s="882" t="s">
        <v>1008</v>
      </c>
      <c r="H1954" s="873" t="s">
        <v>1286</v>
      </c>
      <c r="I1954" s="874">
        <v>100</v>
      </c>
      <c r="J1954" s="874">
        <v>17807</v>
      </c>
      <c r="K1954" s="875">
        <f t="shared" si="139"/>
        <v>1780700</v>
      </c>
      <c r="L1954" s="876" t="s">
        <v>160</v>
      </c>
      <c r="M1954" s="876" t="s">
        <v>417</v>
      </c>
      <c r="N1954" s="51" t="str">
        <f>IF(AND('331-CT'!$E$7=TH!H1954,OR(L1954="331",M1954="331")),"331",IF(AND(OR(L1954="131",M1954="131"),H1954='131-CT'!$E$7),"131",""))</f>
        <v/>
      </c>
      <c r="O1954" s="51" t="str">
        <f>IF(AND($B1954&gt;='111'!$N$11,$B1954&lt;='111'!$O$11,OR($L1954=$O$7,$M1954=$O$7)),"x","")</f>
        <v/>
      </c>
      <c r="P1954" s="51" t="str">
        <f>IF(AND($L1954=$O$7,$B1954&lt;'111'!$N$11),"x","")</f>
        <v/>
      </c>
      <c r="Q1954" s="51" t="str">
        <f>IF(AND($M1954=$O$7,$B1954&lt;'111'!$N$11),"x","")</f>
        <v/>
      </c>
      <c r="R1954" s="51" t="str">
        <f>IF(ISERROR(FIND('112'!$M$9,G1954,1)),"",IF((AND(FIND('112'!$M$9,G1954,1)&gt;=1,$B1954&gt;='112'!$N$8,$B1954&lt;='112'!$O$8,OR($L1954='112'!$I$6,$M1954='112'!$I$6))),"x",""))</f>
        <v/>
      </c>
      <c r="S1954" s="51" t="str">
        <f>IF(ISERROR(FIND('112'!$M$9,G1954,1)),"",IF((AND(LEFT(G1954,2)=LEFT('112'!$M$9,2),B1954&lt;'112'!$N$8,$L1954='112'!$I$6)),"x",""))</f>
        <v/>
      </c>
      <c r="T1954" s="51" t="str">
        <f>IF(ISERROR(FIND('112'!$M$9,G1954,1)),"",IF((AND(RIGHT(G1954,2)=RIGHT('112'!$M$9,2),B1954&lt;'112'!$N$8,$M1954='112'!$I$6)),"x",""))</f>
        <v/>
      </c>
      <c r="U1954" s="51" t="str">
        <f>IF(AND(L1954="154",'154'!$O$5&lt;=B1954,'154'!$P$5&gt;=B1954),"154",IF(AND(L1954="632",'632'!$L$5&lt;=B1954,'632'!$M$5&gt;=B1954),"632",IF(AND(L1954="642",'642'!$N$5&lt;=B1954,'642'!$O$5&gt;=B1954),"642",IF(AND(L1954="641",'641'!$N$5&lt;=B1954,'641'!$O$5&gt;=B1954),"641",""))))</f>
        <v>154</v>
      </c>
      <c r="V1954" s="51" t="str">
        <f>IF(OR(TH!L1954=TH!$V$7,M1954=TH!$V$7),"x","")</f>
        <v/>
      </c>
      <c r="W1954" s="51" t="str">
        <f>IF(AND(B1954&gt;='IN-NX'!$P$3,B1954&lt;='IN-NX'!$Q$3,'IN-NX'!$D$7=D1954,OR(LEFT(L1954,2)="15",AND(LEFT(M1954,2)&lt;&gt;"15",LEFT(M1954,2)&lt;&gt;"33"))),"x","")</f>
        <v/>
      </c>
      <c r="X1954" s="51" t="str">
        <f>IF(AND(OR(LEFT(TH!L1954,2)="15",LEFT(TH!M1954,2)="15"),'152-CT'!$J$8=TH!F1954),"x","")</f>
        <v/>
      </c>
      <c r="Y1954" s="51" t="str">
        <f>IF(AND(OR(LEFT(TH!L1954,2)="15",LEFT(TH!M1954,2)="15"),TK!$E$7=TH!F1954),"x","")</f>
        <v/>
      </c>
      <c r="Z1954" s="51" t="str">
        <f>IF(AND(B1954&lt;=NKC!$N$8,B1954&gt;=NKC!$M$8),"x","")</f>
        <v/>
      </c>
      <c r="AA1954" s="803"/>
    </row>
    <row r="1955" spans="1:27" ht="15.75" customHeight="1">
      <c r="A1955" s="804" t="str">
        <f>IF(B1955&lt;&gt;"",IF(AND(B1955&gt;=_TM1,B1955&lt;=_TM2,OR(TH!L1955="1111",TH!M1955="1111")),TH!D1955,""),"")</f>
        <v/>
      </c>
      <c r="B1955" s="36">
        <f t="shared" ref="B1955:B1983" si="140">IF(C1955&lt;&gt;"",MONTH(C1955),"")</f>
        <v>7</v>
      </c>
      <c r="C1955" s="189">
        <f t="shared" si="136"/>
        <v>42203</v>
      </c>
      <c r="D1955" s="189" t="s">
        <v>1289</v>
      </c>
      <c r="E1955" s="879">
        <v>42203</v>
      </c>
      <c r="F1955" s="881" t="s">
        <v>1119</v>
      </c>
      <c r="G1955" s="882" t="s">
        <v>1009</v>
      </c>
      <c r="H1955" s="873" t="s">
        <v>1286</v>
      </c>
      <c r="I1955" s="874">
        <v>15</v>
      </c>
      <c r="J1955" s="874">
        <v>20010</v>
      </c>
      <c r="K1955" s="875">
        <f t="shared" ref="K1955:K1958" si="141">ROUND(I1955*J1955,0)</f>
        <v>300150</v>
      </c>
      <c r="L1955" s="876" t="s">
        <v>160</v>
      </c>
      <c r="M1955" s="876" t="s">
        <v>417</v>
      </c>
      <c r="N1955" s="51" t="str">
        <f>IF(AND('331-CT'!$E$7=TH!H1955,OR(L1955="331",M1955="331")),"331",IF(AND(OR(L1955="131",M1955="131"),H1955='131-CT'!$E$7),"131",""))</f>
        <v/>
      </c>
      <c r="O1955" s="51" t="str">
        <f>IF(AND($B1955&gt;='111'!$N$11,$B1955&lt;='111'!$O$11,OR($L1955=$O$7,$M1955=$O$7)),"x","")</f>
        <v/>
      </c>
      <c r="P1955" s="51" t="str">
        <f>IF(AND($L1955=$O$7,$B1955&lt;'111'!$N$11),"x","")</f>
        <v/>
      </c>
      <c r="Q1955" s="51" t="str">
        <f>IF(AND($M1955=$O$7,$B1955&lt;'111'!$N$11),"x","")</f>
        <v/>
      </c>
      <c r="R1955" s="51" t="str">
        <f>IF(ISERROR(FIND('112'!$M$9,G1955,1)),"",IF((AND(FIND('112'!$M$9,G1955,1)&gt;=1,$B1955&gt;='112'!$N$8,$B1955&lt;='112'!$O$8,OR($L1955='112'!$I$6,$M1955='112'!$I$6))),"x",""))</f>
        <v/>
      </c>
      <c r="S1955" s="51" t="str">
        <f>IF(ISERROR(FIND('112'!$M$9,G1955,1)),"",IF((AND(LEFT(G1955,2)=LEFT('112'!$M$9,2),B1955&lt;'112'!$N$8,$L1955='112'!$I$6)),"x",""))</f>
        <v/>
      </c>
      <c r="T1955" s="51" t="str">
        <f>IF(ISERROR(FIND('112'!$M$9,G1955,1)),"",IF((AND(RIGHT(G1955,2)=RIGHT('112'!$M$9,2),B1955&lt;'112'!$N$8,$M1955='112'!$I$6)),"x",""))</f>
        <v/>
      </c>
      <c r="U1955" s="51" t="str">
        <f>IF(AND(L1955="154",'154'!$O$5&lt;=B1955,'154'!$P$5&gt;=B1955),"154",IF(AND(L1955="632",'632'!$L$5&lt;=B1955,'632'!$M$5&gt;=B1955),"632",IF(AND(L1955="642",'642'!$N$5&lt;=B1955,'642'!$O$5&gt;=B1955),"642",IF(AND(L1955="641",'641'!$N$5&lt;=B1955,'641'!$O$5&gt;=B1955),"641",""))))</f>
        <v/>
      </c>
      <c r="V1955" s="51" t="str">
        <f>IF(OR(TH!L1955=TH!$V$7,M1955=TH!$V$7),"x","")</f>
        <v/>
      </c>
      <c r="W1955" s="51" t="str">
        <f>IF(AND(B1955&gt;='IN-NX'!$P$3,B1955&lt;='IN-NX'!$Q$3,'IN-NX'!$D$7=D1955,OR(LEFT(L1955,2)="15",AND(LEFT(M1955,2)&lt;&gt;"15",LEFT(M1955,2)&lt;&gt;"33"))),"x","")</f>
        <v/>
      </c>
      <c r="X1955" s="51" t="str">
        <f>IF(AND(OR(LEFT(TH!L1955,2)="15",LEFT(TH!M1955,2)="15"),'152-CT'!$J$8=TH!F1955),"x","")</f>
        <v/>
      </c>
      <c r="Y1955" s="51" t="str">
        <f>IF(AND(OR(LEFT(TH!L1955,2)="15",LEFT(TH!M1955,2)="15"),TK!$E$7=TH!F1955),"x","")</f>
        <v/>
      </c>
      <c r="Z1955" s="51" t="str">
        <f>IF(AND(B1955&lt;=NKC!$N$8,B1955&gt;=NKC!$M$8),"x","")</f>
        <v>x</v>
      </c>
      <c r="AA1955" s="803"/>
    </row>
    <row r="1956" spans="1:27" ht="15.75" customHeight="1">
      <c r="A1956" s="804" t="str">
        <f>IF(B1956&lt;&gt;"",IF(AND(B1956&gt;=_TM1,B1956&lt;=_TM2,OR(TH!L1956="1111",TH!M1956="1111")),TH!D1956,""),"")</f>
        <v/>
      </c>
      <c r="B1956" s="36">
        <f t="shared" si="140"/>
        <v>8</v>
      </c>
      <c r="C1956" s="189">
        <f t="shared" si="136"/>
        <v>42217</v>
      </c>
      <c r="D1956" s="189" t="s">
        <v>1289</v>
      </c>
      <c r="E1956" s="879">
        <v>42217</v>
      </c>
      <c r="F1956" s="881" t="s">
        <v>608</v>
      </c>
      <c r="G1956" s="882" t="s">
        <v>1012</v>
      </c>
      <c r="H1956" s="873" t="s">
        <v>1286</v>
      </c>
      <c r="I1956" s="874">
        <v>1000</v>
      </c>
      <c r="J1956" s="874">
        <v>32109</v>
      </c>
      <c r="K1956" s="875">
        <f t="shared" si="141"/>
        <v>32109000</v>
      </c>
      <c r="L1956" s="876" t="s">
        <v>160</v>
      </c>
      <c r="M1956" s="876" t="s">
        <v>417</v>
      </c>
      <c r="N1956" s="51" t="str">
        <f>IF(AND('331-CT'!$E$7=TH!H1956,OR(L1956="331",M1956="331")),"331",IF(AND(OR(L1956="131",M1956="131"),H1956='131-CT'!$E$7),"131",""))</f>
        <v/>
      </c>
      <c r="O1956" s="51" t="str">
        <f>IF(AND($B1956&gt;='111'!$N$11,$B1956&lt;='111'!$O$11,OR($L1956=$O$7,$M1956=$O$7)),"x","")</f>
        <v/>
      </c>
      <c r="P1956" s="51" t="str">
        <f>IF(AND($L1956=$O$7,$B1956&lt;'111'!$N$11),"x","")</f>
        <v/>
      </c>
      <c r="Q1956" s="51" t="str">
        <f>IF(AND($M1956=$O$7,$B1956&lt;'111'!$N$11),"x","")</f>
        <v/>
      </c>
      <c r="R1956" s="51" t="str">
        <f>IF(ISERROR(FIND('112'!$M$9,G1956,1)),"",IF((AND(FIND('112'!$M$9,G1956,1)&gt;=1,$B1956&gt;='112'!$N$8,$B1956&lt;='112'!$O$8,OR($L1956='112'!$I$6,$M1956='112'!$I$6))),"x",""))</f>
        <v/>
      </c>
      <c r="S1956" s="51" t="str">
        <f>IF(ISERROR(FIND('112'!$M$9,G1956,1)),"",IF((AND(LEFT(G1956,2)=LEFT('112'!$M$9,2),B1956&lt;'112'!$N$8,$L1956='112'!$I$6)),"x",""))</f>
        <v/>
      </c>
      <c r="T1956" s="51" t="str">
        <f>IF(ISERROR(FIND('112'!$M$9,G1956,1)),"",IF((AND(RIGHT(G1956,2)=RIGHT('112'!$M$9,2),B1956&lt;'112'!$N$8,$M1956='112'!$I$6)),"x",""))</f>
        <v/>
      </c>
      <c r="U1956" s="51" t="str">
        <f>IF(AND(L1956="154",'154'!$O$5&lt;=B1956,'154'!$P$5&gt;=B1956),"154",IF(AND(L1956="632",'632'!$L$5&lt;=B1956,'632'!$M$5&gt;=B1956),"632",IF(AND(L1956="642",'642'!$N$5&lt;=B1956,'642'!$O$5&gt;=B1956),"642",IF(AND(L1956="641",'641'!$N$5&lt;=B1956,'641'!$O$5&gt;=B1956),"641",""))))</f>
        <v/>
      </c>
      <c r="V1956" s="51" t="str">
        <f>IF(OR(TH!L1956=TH!$V$7,M1956=TH!$V$7),"x","")</f>
        <v/>
      </c>
      <c r="W1956" s="51" t="str">
        <f>IF(AND(B1956&gt;='IN-NX'!$P$3,B1956&lt;='IN-NX'!$Q$3,'IN-NX'!$D$7=D1956,OR(LEFT(L1956,2)="15",AND(LEFT(M1956,2)&lt;&gt;"15",LEFT(M1956,2)&lt;&gt;"33"))),"x","")</f>
        <v/>
      </c>
      <c r="X1956" s="51" t="str">
        <f>IF(AND(OR(LEFT(TH!L1956,2)="15",LEFT(TH!M1956,2)="15"),'152-CT'!$J$8=TH!F1956),"x","")</f>
        <v/>
      </c>
      <c r="Y1956" s="51" t="str">
        <f>IF(AND(OR(LEFT(TH!L1956,2)="15",LEFT(TH!M1956,2)="15"),TK!$E$7=TH!F1956),"x","")</f>
        <v/>
      </c>
      <c r="Z1956" s="51" t="str">
        <f>IF(AND(B1956&lt;=NKC!$N$8,B1956&gt;=NKC!$M$8),"x","")</f>
        <v>x</v>
      </c>
      <c r="AA1956" s="803"/>
    </row>
    <row r="1957" spans="1:27" ht="15.75" customHeight="1">
      <c r="A1957" s="804" t="str">
        <f>IF(B1957&lt;&gt;"",IF(AND(B1957&gt;=_TM1,B1957&lt;=_TM2,OR(TH!L1957="1111",TH!M1957="1111")),TH!D1957,""),"")</f>
        <v/>
      </c>
      <c r="B1957" s="36">
        <f t="shared" si="140"/>
        <v>8</v>
      </c>
      <c r="C1957" s="189">
        <f t="shared" si="136"/>
        <v>42217</v>
      </c>
      <c r="D1957" s="189" t="s">
        <v>1289</v>
      </c>
      <c r="E1957" s="870">
        <v>42217</v>
      </c>
      <c r="F1957" s="880" t="s">
        <v>1130</v>
      </c>
      <c r="G1957" s="895" t="s">
        <v>1012</v>
      </c>
      <c r="H1957" s="873" t="s">
        <v>1286</v>
      </c>
      <c r="I1957" s="874">
        <v>400</v>
      </c>
      <c r="J1957" s="874">
        <v>9317.7000000000007</v>
      </c>
      <c r="K1957" s="875">
        <f t="shared" si="141"/>
        <v>3727080</v>
      </c>
      <c r="L1957" s="876" t="s">
        <v>160</v>
      </c>
      <c r="M1957" s="876" t="s">
        <v>417</v>
      </c>
      <c r="N1957" s="51" t="str">
        <f>IF(AND('331-CT'!$E$7=TH!H1957,OR(L1957="331",M1957="331")),"331",IF(AND(OR(L1957="131",M1957="131"),H1957='131-CT'!$E$7),"131",""))</f>
        <v/>
      </c>
      <c r="O1957" s="51" t="str">
        <f>IF(AND($B1957&gt;='111'!$N$11,$B1957&lt;='111'!$O$11,OR($L1957=$O$7,$M1957=$O$7)),"x","")</f>
        <v/>
      </c>
      <c r="P1957" s="51" t="str">
        <f>IF(AND($L1957=$O$7,$B1957&lt;'111'!$N$11),"x","")</f>
        <v/>
      </c>
      <c r="Q1957" s="51" t="str">
        <f>IF(AND($M1957=$O$7,$B1957&lt;'111'!$N$11),"x","")</f>
        <v/>
      </c>
      <c r="R1957" s="51" t="str">
        <f>IF(ISERROR(FIND('112'!$M$9,G1957,1)),"",IF((AND(FIND('112'!$M$9,G1957,1)&gt;=1,$B1957&gt;='112'!$N$8,$B1957&lt;='112'!$O$8,OR($L1957='112'!$I$6,$M1957='112'!$I$6))),"x",""))</f>
        <v/>
      </c>
      <c r="S1957" s="51" t="str">
        <f>IF(ISERROR(FIND('112'!$M$9,G1957,1)),"",IF((AND(LEFT(G1957,2)=LEFT('112'!$M$9,2),B1957&lt;'112'!$N$8,$L1957='112'!$I$6)),"x",""))</f>
        <v/>
      </c>
      <c r="T1957" s="51" t="str">
        <f>IF(ISERROR(FIND('112'!$M$9,G1957,1)),"",IF((AND(RIGHT(G1957,2)=RIGHT('112'!$M$9,2),B1957&lt;'112'!$N$8,$M1957='112'!$I$6)),"x",""))</f>
        <v/>
      </c>
      <c r="U1957" s="51" t="str">
        <f>IF(AND(L1957="154",'154'!$O$5&lt;=B1957,'154'!$P$5&gt;=B1957),"154",IF(AND(L1957="632",'632'!$L$5&lt;=B1957,'632'!$M$5&gt;=B1957),"632",IF(AND(L1957="642",'642'!$N$5&lt;=B1957,'642'!$O$5&gt;=B1957),"642",IF(AND(L1957="641",'641'!$N$5&lt;=B1957,'641'!$O$5&gt;=B1957),"641",""))))</f>
        <v/>
      </c>
      <c r="V1957" s="51" t="str">
        <f>IF(OR(TH!L1957=TH!$V$7,M1957=TH!$V$7),"x","")</f>
        <v/>
      </c>
      <c r="W1957" s="51" t="str">
        <f>IF(AND(B1957&gt;='IN-NX'!$P$3,B1957&lt;='IN-NX'!$Q$3,'IN-NX'!$D$7=D1957,OR(LEFT(L1957,2)="15",AND(LEFT(M1957,2)&lt;&gt;"15",LEFT(M1957,2)&lt;&gt;"33"))),"x","")</f>
        <v/>
      </c>
      <c r="X1957" s="51" t="str">
        <f>IF(AND(OR(LEFT(TH!L1957,2)="15",LEFT(TH!M1957,2)="15"),'152-CT'!$J$8=TH!F1957),"x","")</f>
        <v/>
      </c>
      <c r="Y1957" s="51" t="str">
        <f>IF(AND(OR(LEFT(TH!L1957,2)="15",LEFT(TH!M1957,2)="15"),TK!$E$7=TH!F1957),"x","")</f>
        <v/>
      </c>
      <c r="Z1957" s="51" t="str">
        <f>IF(AND(B1957&lt;=NKC!$N$8,B1957&gt;=NKC!$M$8),"x","")</f>
        <v>x</v>
      </c>
      <c r="AA1957" s="803"/>
    </row>
    <row r="1958" spans="1:27" ht="15.75" customHeight="1">
      <c r="A1958" s="804" t="str">
        <f>IF(B1958&lt;&gt;"",IF(AND(B1958&gt;=_TM1,B1958&lt;=_TM2,OR(TH!L1958="1111",TH!M1958="1111")),TH!D1958,""),"")</f>
        <v/>
      </c>
      <c r="B1958" s="36">
        <f t="shared" si="140"/>
        <v>8</v>
      </c>
      <c r="C1958" s="189">
        <f t="shared" si="136"/>
        <v>42222</v>
      </c>
      <c r="D1958" s="189" t="s">
        <v>1289</v>
      </c>
      <c r="E1958" s="896">
        <v>42222</v>
      </c>
      <c r="F1958" s="880" t="s">
        <v>670</v>
      </c>
      <c r="G1958" s="895" t="s">
        <v>1013</v>
      </c>
      <c r="H1958" s="873" t="s">
        <v>1286</v>
      </c>
      <c r="I1958" s="874">
        <v>350</v>
      </c>
      <c r="J1958" s="874">
        <v>12546</v>
      </c>
      <c r="K1958" s="875">
        <f t="shared" si="141"/>
        <v>4391100</v>
      </c>
      <c r="L1958" s="876" t="s">
        <v>160</v>
      </c>
      <c r="M1958" s="876" t="s">
        <v>417</v>
      </c>
      <c r="N1958" s="51" t="str">
        <f>IF(AND('331-CT'!$E$7=TH!H1958,OR(L1958="331",M1958="331")),"331",IF(AND(OR(L1958="131",M1958="131"),H1958='131-CT'!$E$7),"131",""))</f>
        <v/>
      </c>
      <c r="O1958" s="51" t="str">
        <f>IF(AND($B1958&gt;='111'!$N$11,$B1958&lt;='111'!$O$11,OR($L1958=$O$7,$M1958=$O$7)),"x","")</f>
        <v/>
      </c>
      <c r="P1958" s="51" t="str">
        <f>IF(AND($L1958=$O$7,$B1958&lt;'111'!$N$11),"x","")</f>
        <v/>
      </c>
      <c r="Q1958" s="51" t="str">
        <f>IF(AND($M1958=$O$7,$B1958&lt;'111'!$N$11),"x","")</f>
        <v/>
      </c>
      <c r="R1958" s="51" t="str">
        <f>IF(ISERROR(FIND('112'!$M$9,G1958,1)),"",IF((AND(FIND('112'!$M$9,G1958,1)&gt;=1,$B1958&gt;='112'!$N$8,$B1958&lt;='112'!$O$8,OR($L1958='112'!$I$6,$M1958='112'!$I$6))),"x",""))</f>
        <v/>
      </c>
      <c r="S1958" s="51" t="str">
        <f>IF(ISERROR(FIND('112'!$M$9,G1958,1)),"",IF((AND(LEFT(G1958,2)=LEFT('112'!$M$9,2),B1958&lt;'112'!$N$8,$L1958='112'!$I$6)),"x",""))</f>
        <v/>
      </c>
      <c r="T1958" s="51" t="str">
        <f>IF(ISERROR(FIND('112'!$M$9,G1958,1)),"",IF((AND(RIGHT(G1958,2)=RIGHT('112'!$M$9,2),B1958&lt;'112'!$N$8,$M1958='112'!$I$6)),"x",""))</f>
        <v/>
      </c>
      <c r="U1958" s="51" t="str">
        <f>IF(AND(L1958="154",'154'!$O$5&lt;=B1958,'154'!$P$5&gt;=B1958),"154",IF(AND(L1958="632",'632'!$L$5&lt;=B1958,'632'!$M$5&gt;=B1958),"632",IF(AND(L1958="642",'642'!$N$5&lt;=B1958,'642'!$O$5&gt;=B1958),"642",IF(AND(L1958="641",'641'!$N$5&lt;=B1958,'641'!$O$5&gt;=B1958),"641",""))))</f>
        <v/>
      </c>
      <c r="V1958" s="51" t="str">
        <f>IF(OR(TH!L1958=TH!$V$7,M1958=TH!$V$7),"x","")</f>
        <v/>
      </c>
      <c r="W1958" s="51" t="str">
        <f>IF(AND(B1958&gt;='IN-NX'!$P$3,B1958&lt;='IN-NX'!$Q$3,'IN-NX'!$D$7=D1958,OR(LEFT(L1958,2)="15",AND(LEFT(M1958,2)&lt;&gt;"15",LEFT(M1958,2)&lt;&gt;"33"))),"x","")</f>
        <v/>
      </c>
      <c r="X1958" s="51" t="str">
        <f>IF(AND(OR(LEFT(TH!L1958,2)="15",LEFT(TH!M1958,2)="15"),'152-CT'!$J$8=TH!F1958),"x","")</f>
        <v/>
      </c>
      <c r="Y1958" s="51" t="str">
        <f>IF(AND(OR(LEFT(TH!L1958,2)="15",LEFT(TH!M1958,2)="15"),TK!$E$7=TH!F1958),"x","")</f>
        <v/>
      </c>
      <c r="Z1958" s="51" t="str">
        <f>IF(AND(B1958&lt;=NKC!$N$8,B1958&gt;=NKC!$M$8),"x","")</f>
        <v>x</v>
      </c>
      <c r="AA1958" s="803"/>
    </row>
    <row r="1959" spans="1:27" ht="15.75" customHeight="1">
      <c r="A1959" s="804" t="str">
        <f>IF(B1959&lt;&gt;"",IF(AND(B1959&gt;=_TM1,B1959&lt;=_TM2,OR(TH!L1959="1111",TH!M1959="1111")),TH!D1959,""),"")</f>
        <v/>
      </c>
      <c r="B1959" s="36">
        <f t="shared" si="140"/>
        <v>10</v>
      </c>
      <c r="C1959" s="189">
        <f t="shared" si="136"/>
        <v>42280</v>
      </c>
      <c r="D1959" s="189" t="s">
        <v>1289</v>
      </c>
      <c r="E1959" s="727">
        <v>42280</v>
      </c>
      <c r="F1959" s="282" t="s">
        <v>477</v>
      </c>
      <c r="G1959" s="815" t="s">
        <v>1054</v>
      </c>
      <c r="H1959" s="873" t="s">
        <v>1286</v>
      </c>
      <c r="I1959" s="243">
        <v>200</v>
      </c>
      <c r="J1959" s="243">
        <v>10282.540000000001</v>
      </c>
      <c r="K1959" s="875">
        <f t="shared" ref="K1959:K1994" si="142">ROUND(I1959*J1959,0)</f>
        <v>2056508</v>
      </c>
      <c r="L1959" s="876" t="s">
        <v>160</v>
      </c>
      <c r="M1959" s="876" t="s">
        <v>417</v>
      </c>
      <c r="N1959" s="51" t="str">
        <f>IF(AND('331-CT'!$E$7=TH!H1959,OR(L1959="331",M1959="331")),"331",IF(AND(OR(L1959="131",M1959="131"),H1959='131-CT'!$E$7),"131",""))</f>
        <v/>
      </c>
      <c r="O1959" s="51" t="str">
        <f>IF(AND($B1959&gt;='111'!$N$11,$B1959&lt;='111'!$O$11,OR($L1959=$O$7,$M1959=$O$7)),"x","")</f>
        <v/>
      </c>
      <c r="P1959" s="51" t="str">
        <f>IF(AND($L1959=$O$7,$B1959&lt;'111'!$N$11),"x","")</f>
        <v/>
      </c>
      <c r="Q1959" s="51" t="str">
        <f>IF(AND($M1959=$O$7,$B1959&lt;'111'!$N$11),"x","")</f>
        <v/>
      </c>
      <c r="R1959" s="51" t="str">
        <f>IF(ISERROR(FIND('112'!$M$9,G1959,1)),"",IF((AND(FIND('112'!$M$9,G1959,1)&gt;=1,$B1959&gt;='112'!$N$8,$B1959&lt;='112'!$O$8,OR($L1959='112'!$I$6,$M1959='112'!$I$6))),"x",""))</f>
        <v/>
      </c>
      <c r="S1959" s="51" t="str">
        <f>IF(ISERROR(FIND('112'!$M$9,G1959,1)),"",IF((AND(LEFT(G1959,2)=LEFT('112'!$M$9,2),B1959&lt;'112'!$N$8,$L1959='112'!$I$6)),"x",""))</f>
        <v/>
      </c>
      <c r="T1959" s="51" t="str">
        <f>IF(ISERROR(FIND('112'!$M$9,G1959,1)),"",IF((AND(RIGHT(G1959,2)=RIGHT('112'!$M$9,2),B1959&lt;'112'!$N$8,$M1959='112'!$I$6)),"x",""))</f>
        <v/>
      </c>
      <c r="U1959" s="51" t="str">
        <f>IF(AND(L1959="154",'154'!$O$5&lt;=B1959,'154'!$P$5&gt;=B1959),"154",IF(AND(L1959="632",'632'!$L$5&lt;=B1959,'632'!$M$5&gt;=B1959),"632",IF(AND(L1959="642",'642'!$N$5&lt;=B1959,'642'!$O$5&gt;=B1959),"642",IF(AND(L1959="641",'641'!$N$5&lt;=B1959,'641'!$O$5&gt;=B1959),"641",""))))</f>
        <v/>
      </c>
      <c r="V1959" s="51" t="str">
        <f>IF(OR(TH!L1959=TH!$V$7,M1959=TH!$V$7),"x","")</f>
        <v/>
      </c>
      <c r="W1959" s="51" t="str">
        <f>IF(AND(B1959&gt;='IN-NX'!$P$3,B1959&lt;='IN-NX'!$Q$3,'IN-NX'!$D$7=D1959,OR(LEFT(L1959,2)="15",AND(LEFT(M1959,2)&lt;&gt;"15",LEFT(M1959,2)&lt;&gt;"33"))),"x","")</f>
        <v/>
      </c>
      <c r="X1959" s="51" t="str">
        <f>IF(AND(OR(LEFT(TH!L1959,2)="15",LEFT(TH!M1959,2)="15"),'152-CT'!$J$8=TH!F1959),"x","")</f>
        <v/>
      </c>
      <c r="Y1959" s="51" t="str">
        <f>IF(AND(OR(LEFT(TH!L1959,2)="15",LEFT(TH!M1959,2)="15"),TK!$E$7=TH!F1959),"x","")</f>
        <v/>
      </c>
      <c r="Z1959" s="51" t="str">
        <f>IF(AND(B1959&lt;=NKC!$N$8,B1959&gt;=NKC!$M$8),"x","")</f>
        <v/>
      </c>
      <c r="AA1959" s="803"/>
    </row>
    <row r="1960" spans="1:27" ht="15.75" customHeight="1">
      <c r="A1960" s="804" t="str">
        <f>IF(B1960&lt;&gt;"",IF(AND(B1960&gt;=_TM1,B1960&lt;=_TM2,OR(TH!L1960="1111",TH!M1960="1111")),TH!D1960,""),"")</f>
        <v/>
      </c>
      <c r="B1960" s="36">
        <f t="shared" si="140"/>
        <v>10</v>
      </c>
      <c r="C1960" s="189">
        <f t="shared" si="136"/>
        <v>42283</v>
      </c>
      <c r="D1960" s="189" t="s">
        <v>1289</v>
      </c>
      <c r="E1960" s="727">
        <v>42283</v>
      </c>
      <c r="F1960" s="868" t="s">
        <v>571</v>
      </c>
      <c r="G1960" s="815" t="s">
        <v>1062</v>
      </c>
      <c r="H1960" s="873" t="s">
        <v>1286</v>
      </c>
      <c r="I1960" s="243">
        <v>590</v>
      </c>
      <c r="J1960" s="243">
        <v>11815</v>
      </c>
      <c r="K1960" s="875">
        <f t="shared" si="142"/>
        <v>6970850</v>
      </c>
      <c r="L1960" s="876" t="s">
        <v>160</v>
      </c>
      <c r="M1960" s="876" t="s">
        <v>417</v>
      </c>
      <c r="N1960" s="51" t="str">
        <f>IF(AND('331-CT'!$E$7=TH!H1960,OR(L1960="331",M1960="331")),"331",IF(AND(OR(L1960="131",M1960="131"),H1960='131-CT'!$E$7),"131",""))</f>
        <v/>
      </c>
      <c r="O1960" s="51" t="str">
        <f>IF(AND($B1960&gt;='111'!$N$11,$B1960&lt;='111'!$O$11,OR($L1960=$O$7,$M1960=$O$7)),"x","")</f>
        <v/>
      </c>
      <c r="P1960" s="51" t="str">
        <f>IF(AND($L1960=$O$7,$B1960&lt;'111'!$N$11),"x","")</f>
        <v/>
      </c>
      <c r="Q1960" s="51" t="str">
        <f>IF(AND($M1960=$O$7,$B1960&lt;'111'!$N$11),"x","")</f>
        <v/>
      </c>
      <c r="R1960" s="51" t="str">
        <f>IF(ISERROR(FIND('112'!$M$9,G1960,1)),"",IF((AND(FIND('112'!$M$9,G1960,1)&gt;=1,$B1960&gt;='112'!$N$8,$B1960&lt;='112'!$O$8,OR($L1960='112'!$I$6,$M1960='112'!$I$6))),"x",""))</f>
        <v/>
      </c>
      <c r="S1960" s="51" t="str">
        <f>IF(ISERROR(FIND('112'!$M$9,G1960,1)),"",IF((AND(LEFT(G1960,2)=LEFT('112'!$M$9,2),B1960&lt;'112'!$N$8,$L1960='112'!$I$6)),"x",""))</f>
        <v/>
      </c>
      <c r="T1960" s="51" t="str">
        <f>IF(ISERROR(FIND('112'!$M$9,G1960,1)),"",IF((AND(RIGHT(G1960,2)=RIGHT('112'!$M$9,2),B1960&lt;'112'!$N$8,$M1960='112'!$I$6)),"x",""))</f>
        <v/>
      </c>
      <c r="U1960" s="51" t="str">
        <f>IF(AND(L1960="154",'154'!$O$5&lt;=B1960,'154'!$P$5&gt;=B1960),"154",IF(AND(L1960="632",'632'!$L$5&lt;=B1960,'632'!$M$5&gt;=B1960),"632",IF(AND(L1960="642",'642'!$N$5&lt;=B1960,'642'!$O$5&gt;=B1960),"642",IF(AND(L1960="641",'641'!$N$5&lt;=B1960,'641'!$O$5&gt;=B1960),"641",""))))</f>
        <v/>
      </c>
      <c r="V1960" s="51" t="str">
        <f>IF(OR(TH!L1960=TH!$V$7,M1960=TH!$V$7),"x","")</f>
        <v/>
      </c>
      <c r="W1960" s="51" t="str">
        <f>IF(AND(B1960&gt;='IN-NX'!$P$3,B1960&lt;='IN-NX'!$Q$3,'IN-NX'!$D$7=D1960,OR(LEFT(L1960,2)="15",AND(LEFT(M1960,2)&lt;&gt;"15",LEFT(M1960,2)&lt;&gt;"33"))),"x","")</f>
        <v/>
      </c>
      <c r="X1960" s="51" t="str">
        <f>IF(AND(OR(LEFT(TH!L1960,2)="15",LEFT(TH!M1960,2)="15"),'152-CT'!$J$8=TH!F1960),"x","")</f>
        <v/>
      </c>
      <c r="Y1960" s="51" t="str">
        <f>IF(AND(OR(LEFT(TH!L1960,2)="15",LEFT(TH!M1960,2)="15"),TK!$E$7=TH!F1960),"x","")</f>
        <v/>
      </c>
      <c r="Z1960" s="51" t="str">
        <f>IF(AND(B1960&lt;=NKC!$N$8,B1960&gt;=NKC!$M$8),"x","")</f>
        <v/>
      </c>
      <c r="AA1960" s="803"/>
    </row>
    <row r="1961" spans="1:27" ht="15.75" customHeight="1">
      <c r="A1961" s="804" t="str">
        <f>IF(B1961&lt;&gt;"",IF(AND(B1961&gt;=_TM1,B1961&lt;=_TM2,OR(TH!L1961="1111",TH!M1961="1111")),TH!D1961,""),"")</f>
        <v/>
      </c>
      <c r="B1961" s="36">
        <f t="shared" si="140"/>
        <v>10</v>
      </c>
      <c r="C1961" s="189">
        <f t="shared" si="136"/>
        <v>42286</v>
      </c>
      <c r="D1961" s="189" t="s">
        <v>1289</v>
      </c>
      <c r="E1961" s="727">
        <v>42286</v>
      </c>
      <c r="F1961" s="868" t="s">
        <v>660</v>
      </c>
      <c r="G1961" s="815" t="s">
        <v>1065</v>
      </c>
      <c r="H1961" s="873" t="s">
        <v>1286</v>
      </c>
      <c r="I1961" s="243">
        <v>63</v>
      </c>
      <c r="J1961" s="243">
        <v>21786</v>
      </c>
      <c r="K1961" s="875">
        <f t="shared" si="142"/>
        <v>1372518</v>
      </c>
      <c r="L1961" s="876" t="s">
        <v>160</v>
      </c>
      <c r="M1961" s="876" t="s">
        <v>417</v>
      </c>
      <c r="N1961" s="51" t="str">
        <f>IF(AND('331-CT'!$E$7=TH!H1961,OR(L1961="331",M1961="331")),"331",IF(AND(OR(L1961="131",M1961="131"),H1961='131-CT'!$E$7),"131",""))</f>
        <v/>
      </c>
      <c r="O1961" s="51" t="str">
        <f>IF(AND($B1961&gt;='111'!$N$11,$B1961&lt;='111'!$O$11,OR($L1961=$O$7,$M1961=$O$7)),"x","")</f>
        <v/>
      </c>
      <c r="P1961" s="51" t="str">
        <f>IF(AND($L1961=$O$7,$B1961&lt;'111'!$N$11),"x","")</f>
        <v/>
      </c>
      <c r="Q1961" s="51" t="str">
        <f>IF(AND($M1961=$O$7,$B1961&lt;'111'!$N$11),"x","")</f>
        <v/>
      </c>
      <c r="R1961" s="51" t="str">
        <f>IF(ISERROR(FIND('112'!$M$9,G1961,1)),"",IF((AND(FIND('112'!$M$9,G1961,1)&gt;=1,$B1961&gt;='112'!$N$8,$B1961&lt;='112'!$O$8,OR($L1961='112'!$I$6,$M1961='112'!$I$6))),"x",""))</f>
        <v/>
      </c>
      <c r="S1961" s="51" t="str">
        <f>IF(ISERROR(FIND('112'!$M$9,G1961,1)),"",IF((AND(LEFT(G1961,2)=LEFT('112'!$M$9,2),B1961&lt;'112'!$N$8,$L1961='112'!$I$6)),"x",""))</f>
        <v/>
      </c>
      <c r="T1961" s="51" t="str">
        <f>IF(ISERROR(FIND('112'!$M$9,G1961,1)),"",IF((AND(RIGHT(G1961,2)=RIGHT('112'!$M$9,2),B1961&lt;'112'!$N$8,$M1961='112'!$I$6)),"x",""))</f>
        <v/>
      </c>
      <c r="U1961" s="51" t="str">
        <f>IF(AND(L1961="154",'154'!$O$5&lt;=B1961,'154'!$P$5&gt;=B1961),"154",IF(AND(L1961="632",'632'!$L$5&lt;=B1961,'632'!$M$5&gt;=B1961),"632",IF(AND(L1961="642",'642'!$N$5&lt;=B1961,'642'!$O$5&gt;=B1961),"642",IF(AND(L1961="641",'641'!$N$5&lt;=B1961,'641'!$O$5&gt;=B1961),"641",""))))</f>
        <v/>
      </c>
      <c r="V1961" s="51" t="str">
        <f>IF(OR(TH!L1961=TH!$V$7,M1961=TH!$V$7),"x","")</f>
        <v/>
      </c>
      <c r="W1961" s="51" t="str">
        <f>IF(AND(B1961&gt;='IN-NX'!$P$3,B1961&lt;='IN-NX'!$Q$3,'IN-NX'!$D$7=D1961,OR(LEFT(L1961,2)="15",AND(LEFT(M1961,2)&lt;&gt;"15",LEFT(M1961,2)&lt;&gt;"33"))),"x","")</f>
        <v/>
      </c>
      <c r="X1961" s="51" t="str">
        <f>IF(AND(OR(LEFT(TH!L1961,2)="15",LEFT(TH!M1961,2)="15"),'152-CT'!$J$8=TH!F1961),"x","")</f>
        <v/>
      </c>
      <c r="Y1961" s="51" t="str">
        <f>IF(AND(OR(LEFT(TH!L1961,2)="15",LEFT(TH!M1961,2)="15"),TK!$E$7=TH!F1961),"x","")</f>
        <v/>
      </c>
      <c r="Z1961" s="51" t="str">
        <f>IF(AND(B1961&lt;=NKC!$N$8,B1961&gt;=NKC!$M$8),"x","")</f>
        <v/>
      </c>
      <c r="AA1961" s="803"/>
    </row>
    <row r="1962" spans="1:27" ht="15.75" customHeight="1">
      <c r="A1962" s="804" t="str">
        <f>IF(B1962&lt;&gt;"",IF(AND(B1962&gt;=_TM1,B1962&lt;=_TM2,OR(TH!L1962="1111",TH!M1962="1111")),TH!D1962,""),"")</f>
        <v/>
      </c>
      <c r="B1962" s="36">
        <f t="shared" si="140"/>
        <v>10</v>
      </c>
      <c r="C1962" s="189">
        <f t="shared" si="136"/>
        <v>42286</v>
      </c>
      <c r="D1962" s="189" t="s">
        <v>1289</v>
      </c>
      <c r="E1962" s="727">
        <v>42286</v>
      </c>
      <c r="F1962" s="868" t="s">
        <v>666</v>
      </c>
      <c r="G1962" s="815" t="s">
        <v>1065</v>
      </c>
      <c r="H1962" s="873" t="s">
        <v>1286</v>
      </c>
      <c r="I1962" s="243">
        <v>210</v>
      </c>
      <c r="J1962" s="243">
        <v>18179</v>
      </c>
      <c r="K1962" s="875">
        <f t="shared" si="142"/>
        <v>3817590</v>
      </c>
      <c r="L1962" s="876" t="s">
        <v>160</v>
      </c>
      <c r="M1962" s="876" t="s">
        <v>417</v>
      </c>
      <c r="N1962" s="51" t="str">
        <f>IF(AND('331-CT'!$E$7=TH!H1962,OR(L1962="331",M1962="331")),"331",IF(AND(OR(L1962="131",M1962="131"),H1962='131-CT'!$E$7),"131",""))</f>
        <v/>
      </c>
      <c r="O1962" s="51" t="str">
        <f>IF(AND($B1962&gt;='111'!$N$11,$B1962&lt;='111'!$O$11,OR($L1962=$O$7,$M1962=$O$7)),"x","")</f>
        <v/>
      </c>
      <c r="P1962" s="51" t="str">
        <f>IF(AND($L1962=$O$7,$B1962&lt;'111'!$N$11),"x","")</f>
        <v/>
      </c>
      <c r="Q1962" s="51" t="str">
        <f>IF(AND($M1962=$O$7,$B1962&lt;'111'!$N$11),"x","")</f>
        <v/>
      </c>
      <c r="R1962" s="51" t="str">
        <f>IF(ISERROR(FIND('112'!$M$9,G1962,1)),"",IF((AND(FIND('112'!$M$9,G1962,1)&gt;=1,$B1962&gt;='112'!$N$8,$B1962&lt;='112'!$O$8,OR($L1962='112'!$I$6,$M1962='112'!$I$6))),"x",""))</f>
        <v/>
      </c>
      <c r="S1962" s="51" t="str">
        <f>IF(ISERROR(FIND('112'!$M$9,G1962,1)),"",IF((AND(LEFT(G1962,2)=LEFT('112'!$M$9,2),B1962&lt;'112'!$N$8,$L1962='112'!$I$6)),"x",""))</f>
        <v/>
      </c>
      <c r="T1962" s="51" t="str">
        <f>IF(ISERROR(FIND('112'!$M$9,G1962,1)),"",IF((AND(RIGHT(G1962,2)=RIGHT('112'!$M$9,2),B1962&lt;'112'!$N$8,$M1962='112'!$I$6)),"x",""))</f>
        <v/>
      </c>
      <c r="U1962" s="51" t="str">
        <f>IF(AND(L1962="154",'154'!$O$5&lt;=B1962,'154'!$P$5&gt;=B1962),"154",IF(AND(L1962="632",'632'!$L$5&lt;=B1962,'632'!$M$5&gt;=B1962),"632",IF(AND(L1962="642",'642'!$N$5&lt;=B1962,'642'!$O$5&gt;=B1962),"642",IF(AND(L1962="641",'641'!$N$5&lt;=B1962,'641'!$O$5&gt;=B1962),"641",""))))</f>
        <v/>
      </c>
      <c r="V1962" s="51" t="str">
        <f>IF(OR(TH!L1962=TH!$V$7,M1962=TH!$V$7),"x","")</f>
        <v/>
      </c>
      <c r="W1962" s="51" t="str">
        <f>IF(AND(B1962&gt;='IN-NX'!$P$3,B1962&lt;='IN-NX'!$Q$3,'IN-NX'!$D$7=D1962,OR(LEFT(L1962,2)="15",AND(LEFT(M1962,2)&lt;&gt;"15",LEFT(M1962,2)&lt;&gt;"33"))),"x","")</f>
        <v/>
      </c>
      <c r="X1962" s="51" t="str">
        <f>IF(AND(OR(LEFT(TH!L1962,2)="15",LEFT(TH!M1962,2)="15"),'152-CT'!$J$8=TH!F1962),"x","")</f>
        <v/>
      </c>
      <c r="Y1962" s="51" t="str">
        <f>IF(AND(OR(LEFT(TH!L1962,2)="15",LEFT(TH!M1962,2)="15"),TK!$E$7=TH!F1962),"x","")</f>
        <v/>
      </c>
      <c r="Z1962" s="51" t="str">
        <f>IF(AND(B1962&lt;=NKC!$N$8,B1962&gt;=NKC!$M$8),"x","")</f>
        <v/>
      </c>
      <c r="AA1962" s="803"/>
    </row>
    <row r="1963" spans="1:27" ht="15.75" customHeight="1">
      <c r="A1963" s="804" t="str">
        <f>IF(B1963&lt;&gt;"",IF(AND(B1963&gt;=_TM1,B1963&lt;=_TM2,OR(TH!L1963="1111",TH!M1963="1111")),TH!D1963,""),"")</f>
        <v/>
      </c>
      <c r="B1963" s="36">
        <f t="shared" si="140"/>
        <v>10</v>
      </c>
      <c r="C1963" s="189">
        <f t="shared" si="136"/>
        <v>42287</v>
      </c>
      <c r="D1963" s="189" t="s">
        <v>1289</v>
      </c>
      <c r="E1963" s="727">
        <v>42287</v>
      </c>
      <c r="F1963" s="868" t="s">
        <v>575</v>
      </c>
      <c r="G1963" s="815" t="s">
        <v>1067</v>
      </c>
      <c r="H1963" s="873" t="s">
        <v>1286</v>
      </c>
      <c r="I1963" s="243">
        <v>600</v>
      </c>
      <c r="J1963" s="243">
        <v>15836</v>
      </c>
      <c r="K1963" s="875">
        <f t="shared" si="142"/>
        <v>9501600</v>
      </c>
      <c r="L1963" s="876" t="s">
        <v>160</v>
      </c>
      <c r="M1963" s="876" t="s">
        <v>417</v>
      </c>
      <c r="N1963" s="51" t="str">
        <f>IF(AND('331-CT'!$E$7=TH!H1963,OR(L1963="331",M1963="331")),"331",IF(AND(OR(L1963="131",M1963="131"),H1963='131-CT'!$E$7),"131",""))</f>
        <v/>
      </c>
      <c r="O1963" s="51" t="str">
        <f>IF(AND($B1963&gt;='111'!$N$11,$B1963&lt;='111'!$O$11,OR($L1963=$O$7,$M1963=$O$7)),"x","")</f>
        <v/>
      </c>
      <c r="P1963" s="51" t="str">
        <f>IF(AND($L1963=$O$7,$B1963&lt;'111'!$N$11),"x","")</f>
        <v/>
      </c>
      <c r="Q1963" s="51" t="str">
        <f>IF(AND($M1963=$O$7,$B1963&lt;'111'!$N$11),"x","")</f>
        <v/>
      </c>
      <c r="R1963" s="51" t="str">
        <f>IF(ISERROR(FIND('112'!$M$9,G1963,1)),"",IF((AND(FIND('112'!$M$9,G1963,1)&gt;=1,$B1963&gt;='112'!$N$8,$B1963&lt;='112'!$O$8,OR($L1963='112'!$I$6,$M1963='112'!$I$6))),"x",""))</f>
        <v/>
      </c>
      <c r="S1963" s="51" t="str">
        <f>IF(ISERROR(FIND('112'!$M$9,G1963,1)),"",IF((AND(LEFT(G1963,2)=LEFT('112'!$M$9,2),B1963&lt;'112'!$N$8,$L1963='112'!$I$6)),"x",""))</f>
        <v/>
      </c>
      <c r="T1963" s="51" t="str">
        <f>IF(ISERROR(FIND('112'!$M$9,G1963,1)),"",IF((AND(RIGHT(G1963,2)=RIGHT('112'!$M$9,2),B1963&lt;'112'!$N$8,$M1963='112'!$I$6)),"x",""))</f>
        <v/>
      </c>
      <c r="U1963" s="51" t="str">
        <f>IF(AND(L1963="154",'154'!$O$5&lt;=B1963,'154'!$P$5&gt;=B1963),"154",IF(AND(L1963="632",'632'!$L$5&lt;=B1963,'632'!$M$5&gt;=B1963),"632",IF(AND(L1963="642",'642'!$N$5&lt;=B1963,'642'!$O$5&gt;=B1963),"642",IF(AND(L1963="641",'641'!$N$5&lt;=B1963,'641'!$O$5&gt;=B1963),"641",""))))</f>
        <v/>
      </c>
      <c r="V1963" s="51" t="str">
        <f>IF(OR(TH!L1963=TH!$V$7,M1963=TH!$V$7),"x","")</f>
        <v/>
      </c>
      <c r="W1963" s="51" t="str">
        <f>IF(AND(B1963&gt;='IN-NX'!$P$3,B1963&lt;='IN-NX'!$Q$3,'IN-NX'!$D$7=D1963,OR(LEFT(L1963,2)="15",AND(LEFT(M1963,2)&lt;&gt;"15",LEFT(M1963,2)&lt;&gt;"33"))),"x","")</f>
        <v/>
      </c>
      <c r="X1963" s="51" t="str">
        <f>IF(AND(OR(LEFT(TH!L1963,2)="15",LEFT(TH!M1963,2)="15"),'152-CT'!$J$8=TH!F1963),"x","")</f>
        <v/>
      </c>
      <c r="Y1963" s="51" t="str">
        <f>IF(AND(OR(LEFT(TH!L1963,2)="15",LEFT(TH!M1963,2)="15"),TK!$E$7=TH!F1963),"x","")</f>
        <v/>
      </c>
      <c r="Z1963" s="51" t="str">
        <f>IF(AND(B1963&lt;=NKC!$N$8,B1963&gt;=NKC!$M$8),"x","")</f>
        <v/>
      </c>
      <c r="AA1963" s="803"/>
    </row>
    <row r="1964" spans="1:27" ht="15.75" customHeight="1">
      <c r="A1964" s="804" t="str">
        <f>IF(B1964&lt;&gt;"",IF(AND(B1964&gt;=_TM1,B1964&lt;=_TM2,OR(TH!L1964="1111",TH!M1964="1111")),TH!D1964,""),"")</f>
        <v/>
      </c>
      <c r="B1964" s="36">
        <f t="shared" si="140"/>
        <v>10</v>
      </c>
      <c r="C1964" s="189">
        <f t="shared" si="136"/>
        <v>42287</v>
      </c>
      <c r="D1964" s="189" t="s">
        <v>1289</v>
      </c>
      <c r="E1964" s="727">
        <v>42287</v>
      </c>
      <c r="F1964" s="868" t="s">
        <v>572</v>
      </c>
      <c r="G1964" s="814" t="s">
        <v>1067</v>
      </c>
      <c r="H1964" s="873" t="s">
        <v>1286</v>
      </c>
      <c r="I1964" s="243">
        <v>150</v>
      </c>
      <c r="J1964" s="243">
        <v>15666</v>
      </c>
      <c r="K1964" s="875">
        <f t="shared" si="142"/>
        <v>2349900</v>
      </c>
      <c r="L1964" s="876" t="s">
        <v>160</v>
      </c>
      <c r="M1964" s="876" t="s">
        <v>417</v>
      </c>
      <c r="N1964" s="51" t="str">
        <f>IF(AND('331-CT'!$E$7=TH!H1964,OR(L1964="331",M1964="331")),"331",IF(AND(OR(L1964="131",M1964="131"),H1964='131-CT'!$E$7),"131",""))</f>
        <v/>
      </c>
      <c r="O1964" s="51" t="str">
        <f>IF(AND($B1964&gt;='111'!$N$11,$B1964&lt;='111'!$O$11,OR($L1964=$O$7,$M1964=$O$7)),"x","")</f>
        <v/>
      </c>
      <c r="P1964" s="51" t="str">
        <f>IF(AND($L1964=$O$7,$B1964&lt;'111'!$N$11),"x","")</f>
        <v/>
      </c>
      <c r="Q1964" s="51" t="str">
        <f>IF(AND($M1964=$O$7,$B1964&lt;'111'!$N$11),"x","")</f>
        <v/>
      </c>
      <c r="R1964" s="51" t="str">
        <f>IF(ISERROR(FIND('112'!$M$9,G1964,1)),"",IF((AND(FIND('112'!$M$9,G1964,1)&gt;=1,$B1964&gt;='112'!$N$8,$B1964&lt;='112'!$O$8,OR($L1964='112'!$I$6,$M1964='112'!$I$6))),"x",""))</f>
        <v/>
      </c>
      <c r="S1964" s="51" t="str">
        <f>IF(ISERROR(FIND('112'!$M$9,G1964,1)),"",IF((AND(LEFT(G1964,2)=LEFT('112'!$M$9,2),B1964&lt;'112'!$N$8,$L1964='112'!$I$6)),"x",""))</f>
        <v/>
      </c>
      <c r="T1964" s="51" t="str">
        <f>IF(ISERROR(FIND('112'!$M$9,G1964,1)),"",IF((AND(RIGHT(G1964,2)=RIGHT('112'!$M$9,2),B1964&lt;'112'!$N$8,$M1964='112'!$I$6)),"x",""))</f>
        <v/>
      </c>
      <c r="U1964" s="51" t="str">
        <f>IF(AND(L1964="154",'154'!$O$5&lt;=B1964,'154'!$P$5&gt;=B1964),"154",IF(AND(L1964="632",'632'!$L$5&lt;=B1964,'632'!$M$5&gt;=B1964),"632",IF(AND(L1964="642",'642'!$N$5&lt;=B1964,'642'!$O$5&gt;=B1964),"642",IF(AND(L1964="641",'641'!$N$5&lt;=B1964,'641'!$O$5&gt;=B1964),"641",""))))</f>
        <v/>
      </c>
      <c r="V1964" s="51" t="str">
        <f>IF(OR(TH!L1964=TH!$V$7,M1964=TH!$V$7),"x","")</f>
        <v/>
      </c>
      <c r="W1964" s="51" t="str">
        <f>IF(AND(B1964&gt;='IN-NX'!$P$3,B1964&lt;='IN-NX'!$Q$3,'IN-NX'!$D$7=D1964,OR(LEFT(L1964,2)="15",AND(LEFT(M1964,2)&lt;&gt;"15",LEFT(M1964,2)&lt;&gt;"33"))),"x","")</f>
        <v/>
      </c>
      <c r="X1964" s="51" t="str">
        <f>IF(AND(OR(LEFT(TH!L1964,2)="15",LEFT(TH!M1964,2)="15"),'152-CT'!$J$8=TH!F1964),"x","")</f>
        <v/>
      </c>
      <c r="Y1964" s="51" t="str">
        <f>IF(AND(OR(LEFT(TH!L1964,2)="15",LEFT(TH!M1964,2)="15"),TK!$E$7=TH!F1964),"x","")</f>
        <v/>
      </c>
      <c r="Z1964" s="51" t="str">
        <f>IF(AND(B1964&lt;=NKC!$N$8,B1964&gt;=NKC!$M$8),"x","")</f>
        <v/>
      </c>
      <c r="AA1964" s="803"/>
    </row>
    <row r="1965" spans="1:27" ht="15.75" customHeight="1">
      <c r="A1965" s="804" t="str">
        <f>IF(B1965&lt;&gt;"",IF(AND(B1965&gt;=_TM1,B1965&lt;=_TM2,OR(TH!L1965="1111",TH!M1965="1111")),TH!D1965,""),"")</f>
        <v/>
      </c>
      <c r="B1965" s="36">
        <f t="shared" si="140"/>
        <v>10</v>
      </c>
      <c r="C1965" s="189">
        <f t="shared" si="136"/>
        <v>42288</v>
      </c>
      <c r="D1965" s="189" t="s">
        <v>1289</v>
      </c>
      <c r="E1965" s="727">
        <v>42288</v>
      </c>
      <c r="F1965" s="868" t="s">
        <v>683</v>
      </c>
      <c r="G1965" s="814" t="s">
        <v>1068</v>
      </c>
      <c r="H1965" s="873" t="s">
        <v>1286</v>
      </c>
      <c r="I1965" s="243">
        <v>40</v>
      </c>
      <c r="J1965" s="243">
        <v>31964</v>
      </c>
      <c r="K1965" s="875">
        <f t="shared" si="142"/>
        <v>1278560</v>
      </c>
      <c r="L1965" s="876" t="s">
        <v>160</v>
      </c>
      <c r="M1965" s="876" t="s">
        <v>417</v>
      </c>
      <c r="N1965" s="51" t="str">
        <f>IF(AND('331-CT'!$E$7=TH!H1965,OR(L1965="331",M1965="331")),"331",IF(AND(OR(L1965="131",M1965="131"),H1965='131-CT'!$E$7),"131",""))</f>
        <v/>
      </c>
      <c r="O1965" s="51" t="str">
        <f>IF(AND($B1965&gt;='111'!$N$11,$B1965&lt;='111'!$O$11,OR($L1965=$O$7,$M1965=$O$7)),"x","")</f>
        <v/>
      </c>
      <c r="P1965" s="51" t="str">
        <f>IF(AND($L1965=$O$7,$B1965&lt;'111'!$N$11),"x","")</f>
        <v/>
      </c>
      <c r="Q1965" s="51" t="str">
        <f>IF(AND($M1965=$O$7,$B1965&lt;'111'!$N$11),"x","")</f>
        <v/>
      </c>
      <c r="R1965" s="51" t="str">
        <f>IF(ISERROR(FIND('112'!$M$9,G1965,1)),"",IF((AND(FIND('112'!$M$9,G1965,1)&gt;=1,$B1965&gt;='112'!$N$8,$B1965&lt;='112'!$O$8,OR($L1965='112'!$I$6,$M1965='112'!$I$6))),"x",""))</f>
        <v/>
      </c>
      <c r="S1965" s="51" t="str">
        <f>IF(ISERROR(FIND('112'!$M$9,G1965,1)),"",IF((AND(LEFT(G1965,2)=LEFT('112'!$M$9,2),B1965&lt;'112'!$N$8,$L1965='112'!$I$6)),"x",""))</f>
        <v/>
      </c>
      <c r="T1965" s="51" t="str">
        <f>IF(ISERROR(FIND('112'!$M$9,G1965,1)),"",IF((AND(RIGHT(G1965,2)=RIGHT('112'!$M$9,2),B1965&lt;'112'!$N$8,$M1965='112'!$I$6)),"x",""))</f>
        <v/>
      </c>
      <c r="U1965" s="51" t="str">
        <f>IF(AND(L1965="154",'154'!$O$5&lt;=B1965,'154'!$P$5&gt;=B1965),"154",IF(AND(L1965="632",'632'!$L$5&lt;=B1965,'632'!$M$5&gt;=B1965),"632",IF(AND(L1965="642",'642'!$N$5&lt;=B1965,'642'!$O$5&gt;=B1965),"642",IF(AND(L1965="641",'641'!$N$5&lt;=B1965,'641'!$O$5&gt;=B1965),"641",""))))</f>
        <v/>
      </c>
      <c r="V1965" s="51" t="str">
        <f>IF(OR(TH!L1965=TH!$V$7,M1965=TH!$V$7),"x","")</f>
        <v/>
      </c>
      <c r="W1965" s="51" t="str">
        <f>IF(AND(B1965&gt;='IN-NX'!$P$3,B1965&lt;='IN-NX'!$Q$3,'IN-NX'!$D$7=D1965,OR(LEFT(L1965,2)="15",AND(LEFT(M1965,2)&lt;&gt;"15",LEFT(M1965,2)&lt;&gt;"33"))),"x","")</f>
        <v/>
      </c>
      <c r="X1965" s="51" t="str">
        <f>IF(AND(OR(LEFT(TH!L1965,2)="15",LEFT(TH!M1965,2)="15"),'152-CT'!$J$8=TH!F1965),"x","")</f>
        <v/>
      </c>
      <c r="Y1965" s="51" t="str">
        <f>IF(AND(OR(LEFT(TH!L1965,2)="15",LEFT(TH!M1965,2)="15"),TK!$E$7=TH!F1965),"x","")</f>
        <v/>
      </c>
      <c r="Z1965" s="51" t="str">
        <f>IF(AND(B1965&lt;=NKC!$N$8,B1965&gt;=NKC!$M$8),"x","")</f>
        <v/>
      </c>
      <c r="AA1965" s="803"/>
    </row>
    <row r="1966" spans="1:27" ht="15.75" customHeight="1">
      <c r="A1966" s="804" t="str">
        <f>IF(B1966&lt;&gt;"",IF(AND(B1966&gt;=_TM1,B1966&lt;=_TM2,OR(TH!L1966="1111",TH!M1966="1111")),TH!D1966,""),"")</f>
        <v/>
      </c>
      <c r="B1966" s="36">
        <f t="shared" si="140"/>
        <v>10</v>
      </c>
      <c r="C1966" s="189">
        <f t="shared" si="136"/>
        <v>42288</v>
      </c>
      <c r="D1966" s="189" t="s">
        <v>1289</v>
      </c>
      <c r="E1966" s="727">
        <v>42288</v>
      </c>
      <c r="F1966" s="868" t="s">
        <v>870</v>
      </c>
      <c r="G1966" s="811" t="s">
        <v>1068</v>
      </c>
      <c r="H1966" s="873" t="s">
        <v>1286</v>
      </c>
      <c r="I1966" s="243">
        <v>30</v>
      </c>
      <c r="J1966" s="243">
        <v>30375</v>
      </c>
      <c r="K1966" s="875">
        <f t="shared" si="142"/>
        <v>911250</v>
      </c>
      <c r="L1966" s="876" t="s">
        <v>160</v>
      </c>
      <c r="M1966" s="876" t="s">
        <v>417</v>
      </c>
      <c r="N1966" s="51" t="str">
        <f>IF(AND('331-CT'!$E$7=TH!H1966,OR(L1966="331",M1966="331")),"331",IF(AND(OR(L1966="131",M1966="131"),H1966='131-CT'!$E$7),"131",""))</f>
        <v/>
      </c>
      <c r="O1966" s="51" t="str">
        <f>IF(AND($B1966&gt;='111'!$N$11,$B1966&lt;='111'!$O$11,OR($L1966=$O$7,$M1966=$O$7)),"x","")</f>
        <v/>
      </c>
      <c r="P1966" s="51" t="str">
        <f>IF(AND($L1966=$O$7,$B1966&lt;'111'!$N$11),"x","")</f>
        <v/>
      </c>
      <c r="Q1966" s="51" t="str">
        <f>IF(AND($M1966=$O$7,$B1966&lt;'111'!$N$11),"x","")</f>
        <v/>
      </c>
      <c r="R1966" s="51" t="str">
        <f>IF(ISERROR(FIND('112'!$M$9,G1966,1)),"",IF((AND(FIND('112'!$M$9,G1966,1)&gt;=1,$B1966&gt;='112'!$N$8,$B1966&lt;='112'!$O$8,OR($L1966='112'!$I$6,$M1966='112'!$I$6))),"x",""))</f>
        <v/>
      </c>
      <c r="S1966" s="51" t="str">
        <f>IF(ISERROR(FIND('112'!$M$9,G1966,1)),"",IF((AND(LEFT(G1966,2)=LEFT('112'!$M$9,2),B1966&lt;'112'!$N$8,$L1966='112'!$I$6)),"x",""))</f>
        <v/>
      </c>
      <c r="T1966" s="51" t="str">
        <f>IF(ISERROR(FIND('112'!$M$9,G1966,1)),"",IF((AND(RIGHT(G1966,2)=RIGHT('112'!$M$9,2),B1966&lt;'112'!$N$8,$M1966='112'!$I$6)),"x",""))</f>
        <v/>
      </c>
      <c r="U1966" s="51" t="str">
        <f>IF(AND(L1966="154",'154'!$O$5&lt;=B1966,'154'!$P$5&gt;=B1966),"154",IF(AND(L1966="632",'632'!$L$5&lt;=B1966,'632'!$M$5&gt;=B1966),"632",IF(AND(L1966="642",'642'!$N$5&lt;=B1966,'642'!$O$5&gt;=B1966),"642",IF(AND(L1966="641",'641'!$N$5&lt;=B1966,'641'!$O$5&gt;=B1966),"641",""))))</f>
        <v/>
      </c>
      <c r="V1966" s="51" t="str">
        <f>IF(OR(TH!L1966=TH!$V$7,M1966=TH!$V$7),"x","")</f>
        <v/>
      </c>
      <c r="W1966" s="51" t="str">
        <f>IF(AND(B1966&gt;='IN-NX'!$P$3,B1966&lt;='IN-NX'!$Q$3,'IN-NX'!$D$7=D1966,OR(LEFT(L1966,2)="15",AND(LEFT(M1966,2)&lt;&gt;"15",LEFT(M1966,2)&lt;&gt;"33"))),"x","")</f>
        <v/>
      </c>
      <c r="X1966" s="51" t="str">
        <f>IF(AND(OR(LEFT(TH!L1966,2)="15",LEFT(TH!M1966,2)="15"),'152-CT'!$J$8=TH!F1966),"x","")</f>
        <v/>
      </c>
      <c r="Y1966" s="51" t="str">
        <f>IF(AND(OR(LEFT(TH!L1966,2)="15",LEFT(TH!M1966,2)="15"),TK!$E$7=TH!F1966),"x","")</f>
        <v/>
      </c>
      <c r="Z1966" s="51" t="str">
        <f>IF(AND(B1966&lt;=NKC!$N$8,B1966&gt;=NKC!$M$8),"x","")</f>
        <v/>
      </c>
      <c r="AA1966" s="803"/>
    </row>
    <row r="1967" spans="1:27" ht="15.75" customHeight="1">
      <c r="A1967" s="804" t="str">
        <f>IF(B1967&lt;&gt;"",IF(AND(B1967&gt;=_TM1,B1967&lt;=_TM2,OR(TH!L1967="1111",TH!M1967="1111")),TH!D1967,""),"")</f>
        <v/>
      </c>
      <c r="B1967" s="36">
        <f t="shared" si="140"/>
        <v>10</v>
      </c>
      <c r="C1967" s="189">
        <f t="shared" si="136"/>
        <v>42288</v>
      </c>
      <c r="D1967" s="189" t="s">
        <v>1289</v>
      </c>
      <c r="E1967" s="727">
        <v>42288</v>
      </c>
      <c r="F1967" s="40" t="s">
        <v>1115</v>
      </c>
      <c r="G1967" s="811" t="s">
        <v>1068</v>
      </c>
      <c r="H1967" s="873" t="s">
        <v>1286</v>
      </c>
      <c r="I1967" s="243">
        <v>20</v>
      </c>
      <c r="J1967" s="243">
        <v>20790</v>
      </c>
      <c r="K1967" s="875">
        <f t="shared" si="142"/>
        <v>415800</v>
      </c>
      <c r="L1967" s="876" t="s">
        <v>160</v>
      </c>
      <c r="M1967" s="876" t="s">
        <v>417</v>
      </c>
      <c r="N1967" s="51" t="str">
        <f>IF(AND('331-CT'!$E$7=TH!H1967,OR(L1967="331",M1967="331")),"331",IF(AND(OR(L1967="131",M1967="131"),H1967='131-CT'!$E$7),"131",""))</f>
        <v/>
      </c>
      <c r="O1967" s="51" t="str">
        <f>IF(AND($B1967&gt;='111'!$N$11,$B1967&lt;='111'!$O$11,OR($L1967=$O$7,$M1967=$O$7)),"x","")</f>
        <v/>
      </c>
      <c r="P1967" s="51" t="str">
        <f>IF(AND($L1967=$O$7,$B1967&lt;'111'!$N$11),"x","")</f>
        <v/>
      </c>
      <c r="Q1967" s="51" t="str">
        <f>IF(AND($M1967=$O$7,$B1967&lt;'111'!$N$11),"x","")</f>
        <v/>
      </c>
      <c r="R1967" s="51" t="str">
        <f>IF(ISERROR(FIND('112'!$M$9,G1967,1)),"",IF((AND(FIND('112'!$M$9,G1967,1)&gt;=1,$B1967&gt;='112'!$N$8,$B1967&lt;='112'!$O$8,OR($L1967='112'!$I$6,$M1967='112'!$I$6))),"x",""))</f>
        <v/>
      </c>
      <c r="S1967" s="51" t="str">
        <f>IF(ISERROR(FIND('112'!$M$9,G1967,1)),"",IF((AND(LEFT(G1967,2)=LEFT('112'!$M$9,2),B1967&lt;'112'!$N$8,$L1967='112'!$I$6)),"x",""))</f>
        <v/>
      </c>
      <c r="T1967" s="51" t="str">
        <f>IF(ISERROR(FIND('112'!$M$9,G1967,1)),"",IF((AND(RIGHT(G1967,2)=RIGHT('112'!$M$9,2),B1967&lt;'112'!$N$8,$M1967='112'!$I$6)),"x",""))</f>
        <v/>
      </c>
      <c r="U1967" s="51" t="str">
        <f>IF(AND(L1967="154",'154'!$O$5&lt;=B1967,'154'!$P$5&gt;=B1967),"154",IF(AND(L1967="632",'632'!$L$5&lt;=B1967,'632'!$M$5&gt;=B1967),"632",IF(AND(L1967="642",'642'!$N$5&lt;=B1967,'642'!$O$5&gt;=B1967),"642",IF(AND(L1967="641",'641'!$N$5&lt;=B1967,'641'!$O$5&gt;=B1967),"641",""))))</f>
        <v/>
      </c>
      <c r="V1967" s="51" t="str">
        <f>IF(OR(TH!L1967=TH!$V$7,M1967=TH!$V$7),"x","")</f>
        <v/>
      </c>
      <c r="W1967" s="51" t="str">
        <f>IF(AND(B1967&gt;='IN-NX'!$P$3,B1967&lt;='IN-NX'!$Q$3,'IN-NX'!$D$7=D1967,OR(LEFT(L1967,2)="15",AND(LEFT(M1967,2)&lt;&gt;"15",LEFT(M1967,2)&lt;&gt;"33"))),"x","")</f>
        <v/>
      </c>
      <c r="X1967" s="51" t="str">
        <f>IF(AND(OR(LEFT(TH!L1967,2)="15",LEFT(TH!M1967,2)="15"),'152-CT'!$J$8=TH!F1967),"x","")</f>
        <v/>
      </c>
      <c r="Y1967" s="51" t="str">
        <f>IF(AND(OR(LEFT(TH!L1967,2)="15",LEFT(TH!M1967,2)="15"),TK!$E$7=TH!F1967),"x","")</f>
        <v/>
      </c>
      <c r="Z1967" s="51" t="str">
        <f>IF(AND(B1967&lt;=NKC!$N$8,B1967&gt;=NKC!$M$8),"x","")</f>
        <v/>
      </c>
      <c r="AA1967" s="803"/>
    </row>
    <row r="1968" spans="1:27" ht="15.75" customHeight="1">
      <c r="A1968" s="804" t="str">
        <f>IF(B1968&lt;&gt;"",IF(AND(B1968&gt;=_TM1,B1968&lt;=_TM2,OR(TH!L1968="1111",TH!M1968="1111")),TH!D1968,""),"")</f>
        <v/>
      </c>
      <c r="B1968" s="36">
        <f t="shared" si="140"/>
        <v>10</v>
      </c>
      <c r="C1968" s="189">
        <f t="shared" si="136"/>
        <v>42288</v>
      </c>
      <c r="D1968" s="189" t="s">
        <v>1289</v>
      </c>
      <c r="E1968" s="727">
        <v>42288</v>
      </c>
      <c r="F1968" s="868" t="s">
        <v>879</v>
      </c>
      <c r="G1968" s="811" t="s">
        <v>1068</v>
      </c>
      <c r="H1968" s="873" t="s">
        <v>1286</v>
      </c>
      <c r="I1968" s="244">
        <v>30</v>
      </c>
      <c r="J1968" s="244">
        <v>37152</v>
      </c>
      <c r="K1968" s="875">
        <f t="shared" si="142"/>
        <v>1114560</v>
      </c>
      <c r="L1968" s="876" t="s">
        <v>160</v>
      </c>
      <c r="M1968" s="876" t="s">
        <v>417</v>
      </c>
      <c r="N1968" s="51" t="str">
        <f>IF(AND('331-CT'!$E$7=TH!H1968,OR(L1968="331",M1968="331")),"331",IF(AND(OR(L1968="131",M1968="131"),H1968='131-CT'!$E$7),"131",""))</f>
        <v/>
      </c>
      <c r="O1968" s="51" t="str">
        <f>IF(AND($B1968&gt;='111'!$N$11,$B1968&lt;='111'!$O$11,OR($L1968=$O$7,$M1968=$O$7)),"x","")</f>
        <v/>
      </c>
      <c r="P1968" s="51" t="str">
        <f>IF(AND($L1968=$O$7,$B1968&lt;'111'!$N$11),"x","")</f>
        <v/>
      </c>
      <c r="Q1968" s="51" t="str">
        <f>IF(AND($M1968=$O$7,$B1968&lt;'111'!$N$11),"x","")</f>
        <v/>
      </c>
      <c r="R1968" s="51" t="str">
        <f>IF(ISERROR(FIND('112'!$M$9,G1968,1)),"",IF((AND(FIND('112'!$M$9,G1968,1)&gt;=1,$B1968&gt;='112'!$N$8,$B1968&lt;='112'!$O$8,OR($L1968='112'!$I$6,$M1968='112'!$I$6))),"x",""))</f>
        <v/>
      </c>
      <c r="S1968" s="51" t="str">
        <f>IF(ISERROR(FIND('112'!$M$9,G1968,1)),"",IF((AND(LEFT(G1968,2)=LEFT('112'!$M$9,2),B1968&lt;'112'!$N$8,$L1968='112'!$I$6)),"x",""))</f>
        <v/>
      </c>
      <c r="T1968" s="51" t="str">
        <f>IF(ISERROR(FIND('112'!$M$9,G1968,1)),"",IF((AND(RIGHT(G1968,2)=RIGHT('112'!$M$9,2),B1968&lt;'112'!$N$8,$M1968='112'!$I$6)),"x",""))</f>
        <v/>
      </c>
      <c r="U1968" s="51" t="str">
        <f>IF(AND(L1968="154",'154'!$O$5&lt;=B1968,'154'!$P$5&gt;=B1968),"154",IF(AND(L1968="632",'632'!$L$5&lt;=B1968,'632'!$M$5&gt;=B1968),"632",IF(AND(L1968="642",'642'!$N$5&lt;=B1968,'642'!$O$5&gt;=B1968),"642",IF(AND(L1968="641",'641'!$N$5&lt;=B1968,'641'!$O$5&gt;=B1968),"641",""))))</f>
        <v/>
      </c>
      <c r="V1968" s="51" t="str">
        <f>IF(OR(TH!L1968=TH!$V$7,M1968=TH!$V$7),"x","")</f>
        <v/>
      </c>
      <c r="W1968" s="51" t="str">
        <f>IF(AND(B1968&gt;='IN-NX'!$P$3,B1968&lt;='IN-NX'!$Q$3,'IN-NX'!$D$7=D1968,OR(LEFT(L1968,2)="15",AND(LEFT(M1968,2)&lt;&gt;"15",LEFT(M1968,2)&lt;&gt;"33"))),"x","")</f>
        <v/>
      </c>
      <c r="X1968" s="51" t="str">
        <f>IF(AND(OR(LEFT(TH!L1968,2)="15",LEFT(TH!M1968,2)="15"),'152-CT'!$J$8=TH!F1968),"x","")</f>
        <v/>
      </c>
      <c r="Y1968" s="51" t="str">
        <f>IF(AND(OR(LEFT(TH!L1968,2)="15",LEFT(TH!M1968,2)="15"),TK!$E$7=TH!F1968),"x","")</f>
        <v/>
      </c>
      <c r="Z1968" s="51" t="str">
        <f>IF(AND(B1968&lt;=NKC!$N$8,B1968&gt;=NKC!$M$8),"x","")</f>
        <v/>
      </c>
      <c r="AA1968" s="803"/>
    </row>
    <row r="1969" spans="1:27" ht="15.75" customHeight="1">
      <c r="A1969" s="804" t="str">
        <f>IF(B1969&lt;&gt;"",IF(AND(B1969&gt;=_TM1,B1969&lt;=_TM2,OR(TH!L1969="1111",TH!M1969="1111")),TH!D1969,""),"")</f>
        <v/>
      </c>
      <c r="B1969" s="36">
        <f t="shared" si="140"/>
        <v>10</v>
      </c>
      <c r="C1969" s="189">
        <f t="shared" si="136"/>
        <v>42288</v>
      </c>
      <c r="D1969" s="189" t="s">
        <v>1289</v>
      </c>
      <c r="E1969" s="727">
        <v>42288</v>
      </c>
      <c r="F1969" s="868" t="s">
        <v>878</v>
      </c>
      <c r="G1969" s="811" t="s">
        <v>1068</v>
      </c>
      <c r="H1969" s="873" t="s">
        <v>1286</v>
      </c>
      <c r="I1969" s="243">
        <v>104</v>
      </c>
      <c r="J1969" s="243">
        <v>36432</v>
      </c>
      <c r="K1969" s="875">
        <f t="shared" si="142"/>
        <v>3788928</v>
      </c>
      <c r="L1969" s="876" t="s">
        <v>160</v>
      </c>
      <c r="M1969" s="876" t="s">
        <v>417</v>
      </c>
      <c r="N1969" s="51" t="str">
        <f>IF(AND('331-CT'!$E$7=TH!H1969,OR(L1969="331",M1969="331")),"331",IF(AND(OR(L1969="131",M1969="131"),H1969='131-CT'!$E$7),"131",""))</f>
        <v/>
      </c>
      <c r="O1969" s="51" t="str">
        <f>IF(AND($B1969&gt;='111'!$N$11,$B1969&lt;='111'!$O$11,OR($L1969=$O$7,$M1969=$O$7)),"x","")</f>
        <v/>
      </c>
      <c r="P1969" s="51" t="str">
        <f>IF(AND($L1969=$O$7,$B1969&lt;'111'!$N$11),"x","")</f>
        <v/>
      </c>
      <c r="Q1969" s="51" t="str">
        <f>IF(AND($M1969=$O$7,$B1969&lt;'111'!$N$11),"x","")</f>
        <v/>
      </c>
      <c r="R1969" s="51" t="str">
        <f>IF(ISERROR(FIND('112'!$M$9,G1969,1)),"",IF((AND(FIND('112'!$M$9,G1969,1)&gt;=1,$B1969&gt;='112'!$N$8,$B1969&lt;='112'!$O$8,OR($L1969='112'!$I$6,$M1969='112'!$I$6))),"x",""))</f>
        <v/>
      </c>
      <c r="S1969" s="51" t="str">
        <f>IF(ISERROR(FIND('112'!$M$9,G1969,1)),"",IF((AND(LEFT(G1969,2)=LEFT('112'!$M$9,2),B1969&lt;'112'!$N$8,$L1969='112'!$I$6)),"x",""))</f>
        <v/>
      </c>
      <c r="T1969" s="51" t="str">
        <f>IF(ISERROR(FIND('112'!$M$9,G1969,1)),"",IF((AND(RIGHT(G1969,2)=RIGHT('112'!$M$9,2),B1969&lt;'112'!$N$8,$M1969='112'!$I$6)),"x",""))</f>
        <v/>
      </c>
      <c r="U1969" s="51" t="str">
        <f>IF(AND(L1969="154",'154'!$O$5&lt;=B1969,'154'!$P$5&gt;=B1969),"154",IF(AND(L1969="632",'632'!$L$5&lt;=B1969,'632'!$M$5&gt;=B1969),"632",IF(AND(L1969="642",'642'!$N$5&lt;=B1969,'642'!$O$5&gt;=B1969),"642",IF(AND(L1969="641",'641'!$N$5&lt;=B1969,'641'!$O$5&gt;=B1969),"641",""))))</f>
        <v/>
      </c>
      <c r="V1969" s="51" t="str">
        <f>IF(OR(TH!L1969=TH!$V$7,M1969=TH!$V$7),"x","")</f>
        <v/>
      </c>
      <c r="W1969" s="51" t="str">
        <f>IF(AND(B1969&gt;='IN-NX'!$P$3,B1969&lt;='IN-NX'!$Q$3,'IN-NX'!$D$7=D1969,OR(LEFT(L1969,2)="15",AND(LEFT(M1969,2)&lt;&gt;"15",LEFT(M1969,2)&lt;&gt;"33"))),"x","")</f>
        <v/>
      </c>
      <c r="X1969" s="51" t="str">
        <f>IF(AND(OR(LEFT(TH!L1969,2)="15",LEFT(TH!M1969,2)="15"),'152-CT'!$J$8=TH!F1969),"x","")</f>
        <v/>
      </c>
      <c r="Y1969" s="51" t="str">
        <f>IF(AND(OR(LEFT(TH!L1969,2)="15",LEFT(TH!M1969,2)="15"),TK!$E$7=TH!F1969),"x","")</f>
        <v/>
      </c>
      <c r="Z1969" s="51" t="str">
        <f>IF(AND(B1969&lt;=NKC!$N$8,B1969&gt;=NKC!$M$8),"x","")</f>
        <v/>
      </c>
      <c r="AA1969" s="803"/>
    </row>
    <row r="1970" spans="1:27" ht="15.75" customHeight="1">
      <c r="A1970" s="804" t="str">
        <f>IF(B1970&lt;&gt;"",IF(AND(B1970&gt;=_TM1,B1970&lt;=_TM2,OR(TH!L1970="1111",TH!M1970="1111")),TH!D1970,""),"")</f>
        <v/>
      </c>
      <c r="B1970" s="36">
        <f t="shared" si="140"/>
        <v>10</v>
      </c>
      <c r="C1970" s="189">
        <f t="shared" si="136"/>
        <v>42288</v>
      </c>
      <c r="D1970" s="189" t="s">
        <v>1289</v>
      </c>
      <c r="E1970" s="727">
        <v>42288</v>
      </c>
      <c r="F1970" s="868" t="s">
        <v>668</v>
      </c>
      <c r="G1970" s="811" t="s">
        <v>1068</v>
      </c>
      <c r="H1970" s="873" t="s">
        <v>1286</v>
      </c>
      <c r="I1970" s="243">
        <v>86</v>
      </c>
      <c r="J1970" s="243">
        <v>33640</v>
      </c>
      <c r="K1970" s="875">
        <f t="shared" si="142"/>
        <v>2893040</v>
      </c>
      <c r="L1970" s="876" t="s">
        <v>160</v>
      </c>
      <c r="M1970" s="876" t="s">
        <v>417</v>
      </c>
      <c r="N1970" s="51" t="str">
        <f>IF(AND('331-CT'!$E$7=TH!H1970,OR(L1970="331",M1970="331")),"331",IF(AND(OR(L1970="131",M1970="131"),H1970='131-CT'!$E$7),"131",""))</f>
        <v/>
      </c>
      <c r="O1970" s="51" t="str">
        <f>IF(AND($B1970&gt;='111'!$N$11,$B1970&lt;='111'!$O$11,OR($L1970=$O$7,$M1970=$O$7)),"x","")</f>
        <v/>
      </c>
      <c r="P1970" s="51" t="str">
        <f>IF(AND($L1970=$O$7,$B1970&lt;'111'!$N$11),"x","")</f>
        <v/>
      </c>
      <c r="Q1970" s="51" t="str">
        <f>IF(AND($M1970=$O$7,$B1970&lt;'111'!$N$11),"x","")</f>
        <v/>
      </c>
      <c r="R1970" s="51" t="str">
        <f>IF(ISERROR(FIND('112'!$M$9,G1970,1)),"",IF((AND(FIND('112'!$M$9,G1970,1)&gt;=1,$B1970&gt;='112'!$N$8,$B1970&lt;='112'!$O$8,OR($L1970='112'!$I$6,$M1970='112'!$I$6))),"x",""))</f>
        <v/>
      </c>
      <c r="S1970" s="51" t="str">
        <f>IF(ISERROR(FIND('112'!$M$9,G1970,1)),"",IF((AND(LEFT(G1970,2)=LEFT('112'!$M$9,2),B1970&lt;'112'!$N$8,$L1970='112'!$I$6)),"x",""))</f>
        <v/>
      </c>
      <c r="T1970" s="51" t="str">
        <f>IF(ISERROR(FIND('112'!$M$9,G1970,1)),"",IF((AND(RIGHT(G1970,2)=RIGHT('112'!$M$9,2),B1970&lt;'112'!$N$8,$M1970='112'!$I$6)),"x",""))</f>
        <v/>
      </c>
      <c r="U1970" s="51" t="str">
        <f>IF(AND(L1970="154",'154'!$O$5&lt;=B1970,'154'!$P$5&gt;=B1970),"154",IF(AND(L1970="632",'632'!$L$5&lt;=B1970,'632'!$M$5&gt;=B1970),"632",IF(AND(L1970="642",'642'!$N$5&lt;=B1970,'642'!$O$5&gt;=B1970),"642",IF(AND(L1970="641",'641'!$N$5&lt;=B1970,'641'!$O$5&gt;=B1970),"641",""))))</f>
        <v/>
      </c>
      <c r="V1970" s="51" t="str">
        <f>IF(OR(TH!L1970=TH!$V$7,M1970=TH!$V$7),"x","")</f>
        <v/>
      </c>
      <c r="W1970" s="51" t="str">
        <f>IF(AND(B1970&gt;='IN-NX'!$P$3,B1970&lt;='IN-NX'!$Q$3,'IN-NX'!$D$7=D1970,OR(LEFT(L1970,2)="15",AND(LEFT(M1970,2)&lt;&gt;"15",LEFT(M1970,2)&lt;&gt;"33"))),"x","")</f>
        <v/>
      </c>
      <c r="X1970" s="51" t="str">
        <f>IF(AND(OR(LEFT(TH!L1970,2)="15",LEFT(TH!M1970,2)="15"),'152-CT'!$J$8=TH!F1970),"x","")</f>
        <v/>
      </c>
      <c r="Y1970" s="51" t="str">
        <f>IF(AND(OR(LEFT(TH!L1970,2)="15",LEFT(TH!M1970,2)="15"),TK!$E$7=TH!F1970),"x","")</f>
        <v/>
      </c>
      <c r="Z1970" s="51" t="str">
        <f>IF(AND(B1970&lt;=NKC!$N$8,B1970&gt;=NKC!$M$8),"x","")</f>
        <v/>
      </c>
      <c r="AA1970" s="803"/>
    </row>
    <row r="1971" spans="1:27" ht="15.75" customHeight="1">
      <c r="A1971" s="804" t="str">
        <f>IF(B1971&lt;&gt;"",IF(AND(B1971&gt;=_TM1,B1971&lt;=_TM2,OR(TH!L1971="1111",TH!M1971="1111")),TH!D1971,""),"")</f>
        <v/>
      </c>
      <c r="B1971" s="36">
        <f t="shared" si="140"/>
        <v>10</v>
      </c>
      <c r="C1971" s="189">
        <f t="shared" si="136"/>
        <v>42288</v>
      </c>
      <c r="D1971" s="189" t="s">
        <v>1289</v>
      </c>
      <c r="E1971" s="727">
        <v>42288</v>
      </c>
      <c r="F1971" s="868" t="s">
        <v>882</v>
      </c>
      <c r="G1971" s="811" t="s">
        <v>1068</v>
      </c>
      <c r="H1971" s="873" t="s">
        <v>1286</v>
      </c>
      <c r="I1971" s="243">
        <v>20</v>
      </c>
      <c r="J1971" s="243">
        <v>30024</v>
      </c>
      <c r="K1971" s="875">
        <f t="shared" si="142"/>
        <v>600480</v>
      </c>
      <c r="L1971" s="876" t="s">
        <v>160</v>
      </c>
      <c r="M1971" s="876" t="s">
        <v>417</v>
      </c>
      <c r="N1971" s="51" t="str">
        <f>IF(AND('331-CT'!$E$7=TH!H1971,OR(L1971="331",M1971="331")),"331",IF(AND(OR(L1971="131",M1971="131"),H1971='131-CT'!$E$7),"131",""))</f>
        <v/>
      </c>
      <c r="O1971" s="51" t="str">
        <f>IF(AND($B1971&gt;='111'!$N$11,$B1971&lt;='111'!$O$11,OR($L1971=$O$7,$M1971=$O$7)),"x","")</f>
        <v/>
      </c>
      <c r="P1971" s="51" t="str">
        <f>IF(AND($L1971=$O$7,$B1971&lt;'111'!$N$11),"x","")</f>
        <v/>
      </c>
      <c r="Q1971" s="51" t="str">
        <f>IF(AND($M1971=$O$7,$B1971&lt;'111'!$N$11),"x","")</f>
        <v/>
      </c>
      <c r="R1971" s="51" t="str">
        <f>IF(ISERROR(FIND('112'!$M$9,G1971,1)),"",IF((AND(FIND('112'!$M$9,G1971,1)&gt;=1,$B1971&gt;='112'!$N$8,$B1971&lt;='112'!$O$8,OR($L1971='112'!$I$6,$M1971='112'!$I$6))),"x",""))</f>
        <v/>
      </c>
      <c r="S1971" s="51" t="str">
        <f>IF(ISERROR(FIND('112'!$M$9,G1971,1)),"",IF((AND(LEFT(G1971,2)=LEFT('112'!$M$9,2),B1971&lt;'112'!$N$8,$L1971='112'!$I$6)),"x",""))</f>
        <v/>
      </c>
      <c r="T1971" s="51" t="str">
        <f>IF(ISERROR(FIND('112'!$M$9,G1971,1)),"",IF((AND(RIGHT(G1971,2)=RIGHT('112'!$M$9,2),B1971&lt;'112'!$N$8,$M1971='112'!$I$6)),"x",""))</f>
        <v/>
      </c>
      <c r="U1971" s="51" t="str">
        <f>IF(AND(L1971="154",'154'!$O$5&lt;=B1971,'154'!$P$5&gt;=B1971),"154",IF(AND(L1971="632",'632'!$L$5&lt;=B1971,'632'!$M$5&gt;=B1971),"632",IF(AND(L1971="642",'642'!$N$5&lt;=B1971,'642'!$O$5&gt;=B1971),"642",IF(AND(L1971="641",'641'!$N$5&lt;=B1971,'641'!$O$5&gt;=B1971),"641",""))))</f>
        <v/>
      </c>
      <c r="V1971" s="51" t="str">
        <f>IF(OR(TH!L1971=TH!$V$7,M1971=TH!$V$7),"x","")</f>
        <v/>
      </c>
      <c r="W1971" s="51" t="str">
        <f>IF(AND(B1971&gt;='IN-NX'!$P$3,B1971&lt;='IN-NX'!$Q$3,'IN-NX'!$D$7=D1971,OR(LEFT(L1971,2)="15",AND(LEFT(M1971,2)&lt;&gt;"15",LEFT(M1971,2)&lt;&gt;"33"))),"x","")</f>
        <v/>
      </c>
      <c r="X1971" s="51" t="str">
        <f>IF(AND(OR(LEFT(TH!L1971,2)="15",LEFT(TH!M1971,2)="15"),'152-CT'!$J$8=TH!F1971),"x","")</f>
        <v/>
      </c>
      <c r="Y1971" s="51" t="str">
        <f>IF(AND(OR(LEFT(TH!L1971,2)="15",LEFT(TH!M1971,2)="15"),TK!$E$7=TH!F1971),"x","")</f>
        <v/>
      </c>
      <c r="Z1971" s="51" t="str">
        <f>IF(AND(B1971&lt;=NKC!$N$8,B1971&gt;=NKC!$M$8),"x","")</f>
        <v/>
      </c>
      <c r="AA1971" s="803"/>
    </row>
    <row r="1972" spans="1:27" ht="15.75" customHeight="1">
      <c r="A1972" s="804" t="str">
        <f>IF(B1972&lt;&gt;"",IF(AND(B1972&gt;=_TM1,B1972&lt;=_TM2,OR(TH!L1972="1111",TH!M1972="1111")),TH!D1972,""),"")</f>
        <v/>
      </c>
      <c r="B1972" s="36">
        <f t="shared" si="140"/>
        <v>10</v>
      </c>
      <c r="C1972" s="189">
        <f t="shared" si="136"/>
        <v>42290</v>
      </c>
      <c r="D1972" s="189" t="s">
        <v>1289</v>
      </c>
      <c r="E1972" s="727">
        <v>42290</v>
      </c>
      <c r="F1972" s="868" t="s">
        <v>673</v>
      </c>
      <c r="G1972" s="811" t="s">
        <v>1071</v>
      </c>
      <c r="H1972" s="873" t="s">
        <v>1286</v>
      </c>
      <c r="I1972" s="243">
        <v>188</v>
      </c>
      <c r="J1972" s="243">
        <v>13500</v>
      </c>
      <c r="K1972" s="875">
        <f t="shared" si="142"/>
        <v>2538000</v>
      </c>
      <c r="L1972" s="876" t="s">
        <v>160</v>
      </c>
      <c r="M1972" s="876" t="s">
        <v>417</v>
      </c>
      <c r="N1972" s="51" t="str">
        <f>IF(AND('331-CT'!$E$7=TH!H1972,OR(L1972="331",M1972="331")),"331",IF(AND(OR(L1972="131",M1972="131"),H1972='131-CT'!$E$7),"131",""))</f>
        <v/>
      </c>
      <c r="O1972" s="51" t="str">
        <f>IF(AND($B1972&gt;='111'!$N$11,$B1972&lt;='111'!$O$11,OR($L1972=$O$7,$M1972=$O$7)),"x","")</f>
        <v/>
      </c>
      <c r="P1972" s="51" t="str">
        <f>IF(AND($L1972=$O$7,$B1972&lt;'111'!$N$11),"x","")</f>
        <v/>
      </c>
      <c r="Q1972" s="51" t="str">
        <f>IF(AND($M1972=$O$7,$B1972&lt;'111'!$N$11),"x","")</f>
        <v/>
      </c>
      <c r="R1972" s="51" t="str">
        <f>IF(ISERROR(FIND('112'!$M$9,G1972,1)),"",IF((AND(FIND('112'!$M$9,G1972,1)&gt;=1,$B1972&gt;='112'!$N$8,$B1972&lt;='112'!$O$8,OR($L1972='112'!$I$6,$M1972='112'!$I$6))),"x",""))</f>
        <v/>
      </c>
      <c r="S1972" s="51" t="str">
        <f>IF(ISERROR(FIND('112'!$M$9,G1972,1)),"",IF((AND(LEFT(G1972,2)=LEFT('112'!$M$9,2),B1972&lt;'112'!$N$8,$L1972='112'!$I$6)),"x",""))</f>
        <v/>
      </c>
      <c r="T1972" s="51" t="str">
        <f>IF(ISERROR(FIND('112'!$M$9,G1972,1)),"",IF((AND(RIGHT(G1972,2)=RIGHT('112'!$M$9,2),B1972&lt;'112'!$N$8,$M1972='112'!$I$6)),"x",""))</f>
        <v/>
      </c>
      <c r="U1972" s="51" t="str">
        <f>IF(AND(L1972="154",'154'!$O$5&lt;=B1972,'154'!$P$5&gt;=B1972),"154",IF(AND(L1972="632",'632'!$L$5&lt;=B1972,'632'!$M$5&gt;=B1972),"632",IF(AND(L1972="642",'642'!$N$5&lt;=B1972,'642'!$O$5&gt;=B1972),"642",IF(AND(L1972="641",'641'!$N$5&lt;=B1972,'641'!$O$5&gt;=B1972),"641",""))))</f>
        <v/>
      </c>
      <c r="V1972" s="51" t="str">
        <f>IF(OR(TH!L1972=TH!$V$7,M1972=TH!$V$7),"x","")</f>
        <v/>
      </c>
      <c r="W1972" s="51" t="str">
        <f>IF(AND(B1972&gt;='IN-NX'!$P$3,B1972&lt;='IN-NX'!$Q$3,'IN-NX'!$D$7=D1972,OR(LEFT(L1972,2)="15",AND(LEFT(M1972,2)&lt;&gt;"15",LEFT(M1972,2)&lt;&gt;"33"))),"x","")</f>
        <v/>
      </c>
      <c r="X1972" s="51" t="str">
        <f>IF(AND(OR(LEFT(TH!L1972,2)="15",LEFT(TH!M1972,2)="15"),'152-CT'!$J$8=TH!F1972),"x","")</f>
        <v/>
      </c>
      <c r="Y1972" s="51" t="str">
        <f>IF(AND(OR(LEFT(TH!L1972,2)="15",LEFT(TH!M1972,2)="15"),TK!$E$7=TH!F1972),"x","")</f>
        <v/>
      </c>
      <c r="Z1972" s="51" t="str">
        <f>IF(AND(B1972&lt;=NKC!$N$8,B1972&gt;=NKC!$M$8),"x","")</f>
        <v/>
      </c>
      <c r="AA1972" s="803"/>
    </row>
    <row r="1973" spans="1:27" ht="15.75" customHeight="1">
      <c r="A1973" s="804" t="str">
        <f>IF(B1973&lt;&gt;"",IF(AND(B1973&gt;=_TM1,B1973&lt;=_TM2,OR(TH!L1973="1111",TH!M1973="1111")),TH!D1973,""),"")</f>
        <v/>
      </c>
      <c r="B1973" s="36">
        <f t="shared" si="140"/>
        <v>10</v>
      </c>
      <c r="C1973" s="189">
        <f t="shared" si="136"/>
        <v>42299</v>
      </c>
      <c r="D1973" s="189" t="s">
        <v>1289</v>
      </c>
      <c r="E1973" s="727">
        <v>42299</v>
      </c>
      <c r="F1973" s="868" t="s">
        <v>573</v>
      </c>
      <c r="G1973" s="814" t="s">
        <v>1078</v>
      </c>
      <c r="H1973" s="873" t="s">
        <v>1286</v>
      </c>
      <c r="I1973" s="243">
        <v>200</v>
      </c>
      <c r="J1973" s="243">
        <v>16473</v>
      </c>
      <c r="K1973" s="875">
        <f t="shared" si="142"/>
        <v>3294600</v>
      </c>
      <c r="L1973" s="876" t="s">
        <v>160</v>
      </c>
      <c r="M1973" s="876" t="s">
        <v>417</v>
      </c>
      <c r="N1973" s="51" t="str">
        <f>IF(AND('331-CT'!$E$7=TH!H1973,OR(L1973="331",M1973="331")),"331",IF(AND(OR(L1973="131",M1973="131"),H1973='131-CT'!$E$7),"131",""))</f>
        <v/>
      </c>
      <c r="O1973" s="51" t="str">
        <f>IF(AND($B1973&gt;='111'!$N$11,$B1973&lt;='111'!$O$11,OR($L1973=$O$7,$M1973=$O$7)),"x","")</f>
        <v/>
      </c>
      <c r="P1973" s="51" t="str">
        <f>IF(AND($L1973=$O$7,$B1973&lt;'111'!$N$11),"x","")</f>
        <v/>
      </c>
      <c r="Q1973" s="51" t="str">
        <f>IF(AND($M1973=$O$7,$B1973&lt;'111'!$N$11),"x","")</f>
        <v/>
      </c>
      <c r="R1973" s="51" t="str">
        <f>IF(ISERROR(FIND('112'!$M$9,G1973,1)),"",IF((AND(FIND('112'!$M$9,G1973,1)&gt;=1,$B1973&gt;='112'!$N$8,$B1973&lt;='112'!$O$8,OR($L1973='112'!$I$6,$M1973='112'!$I$6))),"x",""))</f>
        <v/>
      </c>
      <c r="S1973" s="51" t="str">
        <f>IF(ISERROR(FIND('112'!$M$9,G1973,1)),"",IF((AND(LEFT(G1973,2)=LEFT('112'!$M$9,2),B1973&lt;'112'!$N$8,$L1973='112'!$I$6)),"x",""))</f>
        <v/>
      </c>
      <c r="T1973" s="51" t="str">
        <f>IF(ISERROR(FIND('112'!$M$9,G1973,1)),"",IF((AND(RIGHT(G1973,2)=RIGHT('112'!$M$9,2),B1973&lt;'112'!$N$8,$M1973='112'!$I$6)),"x",""))</f>
        <v/>
      </c>
      <c r="U1973" s="51" t="str">
        <f>IF(AND(L1973="154",'154'!$O$5&lt;=B1973,'154'!$P$5&gt;=B1973),"154",IF(AND(L1973="632",'632'!$L$5&lt;=B1973,'632'!$M$5&gt;=B1973),"632",IF(AND(L1973="642",'642'!$N$5&lt;=B1973,'642'!$O$5&gt;=B1973),"642",IF(AND(L1973="641",'641'!$N$5&lt;=B1973,'641'!$O$5&gt;=B1973),"641",""))))</f>
        <v/>
      </c>
      <c r="V1973" s="51" t="str">
        <f>IF(OR(TH!L1973=TH!$V$7,M1973=TH!$V$7),"x","")</f>
        <v/>
      </c>
      <c r="W1973" s="51" t="str">
        <f>IF(AND(B1973&gt;='IN-NX'!$P$3,B1973&lt;='IN-NX'!$Q$3,'IN-NX'!$D$7=D1973,OR(LEFT(L1973,2)="15",AND(LEFT(M1973,2)&lt;&gt;"15",LEFT(M1973,2)&lt;&gt;"33"))),"x","")</f>
        <v/>
      </c>
      <c r="X1973" s="51" t="str">
        <f>IF(AND(OR(LEFT(TH!L1973,2)="15",LEFT(TH!M1973,2)="15"),'152-CT'!$J$8=TH!F1973),"x","")</f>
        <v/>
      </c>
      <c r="Y1973" s="51" t="str">
        <f>IF(AND(OR(LEFT(TH!L1973,2)="15",LEFT(TH!M1973,2)="15"),TK!$E$7=TH!F1973),"x","")</f>
        <v/>
      </c>
      <c r="Z1973" s="51" t="str">
        <f>IF(AND(B1973&lt;=NKC!$N$8,B1973&gt;=NKC!$M$8),"x","")</f>
        <v/>
      </c>
      <c r="AA1973" s="803"/>
    </row>
    <row r="1974" spans="1:27" ht="15.75" customHeight="1">
      <c r="A1974" s="804" t="str">
        <f>IF(B1974&lt;&gt;"",IF(AND(B1974&gt;=_TM1,B1974&lt;=_TM2,OR(TH!L1974="1111",TH!M1974="1111")),TH!D1974,""),"")</f>
        <v/>
      </c>
      <c r="B1974" s="36">
        <f t="shared" si="140"/>
        <v>10</v>
      </c>
      <c r="C1974" s="189">
        <f t="shared" si="136"/>
        <v>42306</v>
      </c>
      <c r="D1974" s="189" t="s">
        <v>1289</v>
      </c>
      <c r="E1974" s="727">
        <v>42306</v>
      </c>
      <c r="F1974" s="187" t="s">
        <v>610</v>
      </c>
      <c r="G1974" s="811" t="s">
        <v>556</v>
      </c>
      <c r="H1974" s="873" t="s">
        <v>1286</v>
      </c>
      <c r="I1974" s="243">
        <v>500</v>
      </c>
      <c r="J1974" s="243">
        <v>15721</v>
      </c>
      <c r="K1974" s="875">
        <f t="shared" si="142"/>
        <v>7860500</v>
      </c>
      <c r="L1974" s="876" t="s">
        <v>160</v>
      </c>
      <c r="M1974" s="876" t="s">
        <v>417</v>
      </c>
      <c r="N1974" s="51" t="str">
        <f>IF(AND('331-CT'!$E$7=TH!H1974,OR(L1974="331",M1974="331")),"331",IF(AND(OR(L1974="131",M1974="131"),H1974='131-CT'!$E$7),"131",""))</f>
        <v/>
      </c>
      <c r="O1974" s="51" t="str">
        <f>IF(AND($B1974&gt;='111'!$N$11,$B1974&lt;='111'!$O$11,OR($L1974=$O$7,$M1974=$O$7)),"x","")</f>
        <v/>
      </c>
      <c r="P1974" s="51" t="str">
        <f>IF(AND($L1974=$O$7,$B1974&lt;'111'!$N$11),"x","")</f>
        <v/>
      </c>
      <c r="Q1974" s="51" t="str">
        <f>IF(AND($M1974=$O$7,$B1974&lt;'111'!$N$11),"x","")</f>
        <v/>
      </c>
      <c r="R1974" s="51" t="str">
        <f>IF(ISERROR(FIND('112'!$M$9,G1974,1)),"",IF((AND(FIND('112'!$M$9,G1974,1)&gt;=1,$B1974&gt;='112'!$N$8,$B1974&lt;='112'!$O$8,OR($L1974='112'!$I$6,$M1974='112'!$I$6))),"x",""))</f>
        <v/>
      </c>
      <c r="S1974" s="51" t="str">
        <f>IF(ISERROR(FIND('112'!$M$9,G1974,1)),"",IF((AND(LEFT(G1974,2)=LEFT('112'!$M$9,2),B1974&lt;'112'!$N$8,$L1974='112'!$I$6)),"x",""))</f>
        <v/>
      </c>
      <c r="T1974" s="51" t="str">
        <f>IF(ISERROR(FIND('112'!$M$9,G1974,1)),"",IF((AND(RIGHT(G1974,2)=RIGHT('112'!$M$9,2),B1974&lt;'112'!$N$8,$M1974='112'!$I$6)),"x",""))</f>
        <v/>
      </c>
      <c r="U1974" s="51" t="str">
        <f>IF(AND(L1974="154",'154'!$O$5&lt;=B1974,'154'!$P$5&gt;=B1974),"154",IF(AND(L1974="632",'632'!$L$5&lt;=B1974,'632'!$M$5&gt;=B1974),"632",IF(AND(L1974="642",'642'!$N$5&lt;=B1974,'642'!$O$5&gt;=B1974),"642",IF(AND(L1974="641",'641'!$N$5&lt;=B1974,'641'!$O$5&gt;=B1974),"641",""))))</f>
        <v/>
      </c>
      <c r="V1974" s="51" t="str">
        <f>IF(OR(TH!L1974=TH!$V$7,M1974=TH!$V$7),"x","")</f>
        <v/>
      </c>
      <c r="W1974" s="51" t="str">
        <f>IF(AND(B1974&gt;='IN-NX'!$P$3,B1974&lt;='IN-NX'!$Q$3,'IN-NX'!$D$7=D1974,OR(LEFT(L1974,2)="15",AND(LEFT(M1974,2)&lt;&gt;"15",LEFT(M1974,2)&lt;&gt;"33"))),"x","")</f>
        <v/>
      </c>
      <c r="X1974" s="51" t="str">
        <f>IF(AND(OR(LEFT(TH!L1974,2)="15",LEFT(TH!M1974,2)="15"),'152-CT'!$J$8=TH!F1974),"x","")</f>
        <v/>
      </c>
      <c r="Y1974" s="51" t="str">
        <f>IF(AND(OR(LEFT(TH!L1974,2)="15",LEFT(TH!M1974,2)="15"),TK!$E$7=TH!F1974),"x","")</f>
        <v/>
      </c>
      <c r="Z1974" s="51" t="str">
        <f>IF(AND(B1974&lt;=NKC!$N$8,B1974&gt;=NKC!$M$8),"x","")</f>
        <v/>
      </c>
      <c r="AA1974" s="803"/>
    </row>
    <row r="1975" spans="1:27" ht="15.75" customHeight="1">
      <c r="A1975" s="804" t="str">
        <f>IF(B1975&lt;&gt;"",IF(AND(B1975&gt;=_TM1,B1975&lt;=_TM2,OR(TH!L1975="1111",TH!M1975="1111")),TH!D1975,""),"")</f>
        <v/>
      </c>
      <c r="B1975" s="36">
        <f t="shared" si="140"/>
        <v>10</v>
      </c>
      <c r="C1975" s="189">
        <f t="shared" si="136"/>
        <v>42306</v>
      </c>
      <c r="D1975" s="189" t="s">
        <v>1289</v>
      </c>
      <c r="E1975" s="727">
        <v>42306</v>
      </c>
      <c r="F1975" s="868" t="s">
        <v>825</v>
      </c>
      <c r="G1975" s="815" t="s">
        <v>556</v>
      </c>
      <c r="H1975" s="873" t="s">
        <v>1286</v>
      </c>
      <c r="I1975" s="243">
        <v>1000</v>
      </c>
      <c r="J1975" s="243">
        <v>912</v>
      </c>
      <c r="K1975" s="875">
        <f t="shared" si="142"/>
        <v>912000</v>
      </c>
      <c r="L1975" s="876" t="s">
        <v>160</v>
      </c>
      <c r="M1975" s="876" t="s">
        <v>417</v>
      </c>
      <c r="N1975" s="51" t="str">
        <f>IF(AND('331-CT'!$E$7=TH!H1975,OR(L1975="331",M1975="331")),"331",IF(AND(OR(L1975="131",M1975="131"),H1975='131-CT'!$E$7),"131",""))</f>
        <v/>
      </c>
      <c r="O1975" s="51" t="str">
        <f>IF(AND($B1975&gt;='111'!$N$11,$B1975&lt;='111'!$O$11,OR($L1975=$O$7,$M1975=$O$7)),"x","")</f>
        <v/>
      </c>
      <c r="P1975" s="51" t="str">
        <f>IF(AND($L1975=$O$7,$B1975&lt;'111'!$N$11),"x","")</f>
        <v/>
      </c>
      <c r="Q1975" s="51" t="str">
        <f>IF(AND($M1975=$O$7,$B1975&lt;'111'!$N$11),"x","")</f>
        <v/>
      </c>
      <c r="R1975" s="51" t="str">
        <f>IF(ISERROR(FIND('112'!$M$9,G1975,1)),"",IF((AND(FIND('112'!$M$9,G1975,1)&gt;=1,$B1975&gt;='112'!$N$8,$B1975&lt;='112'!$O$8,OR($L1975='112'!$I$6,$M1975='112'!$I$6))),"x",""))</f>
        <v/>
      </c>
      <c r="S1975" s="51" t="str">
        <f>IF(ISERROR(FIND('112'!$M$9,G1975,1)),"",IF((AND(LEFT(G1975,2)=LEFT('112'!$M$9,2),B1975&lt;'112'!$N$8,$L1975='112'!$I$6)),"x",""))</f>
        <v/>
      </c>
      <c r="T1975" s="51" t="str">
        <f>IF(ISERROR(FIND('112'!$M$9,G1975,1)),"",IF((AND(RIGHT(G1975,2)=RIGHT('112'!$M$9,2),B1975&lt;'112'!$N$8,$M1975='112'!$I$6)),"x",""))</f>
        <v/>
      </c>
      <c r="U1975" s="51" t="str">
        <f>IF(AND(L1975="154",'154'!$O$5&lt;=B1975,'154'!$P$5&gt;=B1975),"154",IF(AND(L1975="632",'632'!$L$5&lt;=B1975,'632'!$M$5&gt;=B1975),"632",IF(AND(L1975="642",'642'!$N$5&lt;=B1975,'642'!$O$5&gt;=B1975),"642",IF(AND(L1975="641",'641'!$N$5&lt;=B1975,'641'!$O$5&gt;=B1975),"641",""))))</f>
        <v/>
      </c>
      <c r="V1975" s="51" t="str">
        <f>IF(OR(TH!L1975=TH!$V$7,M1975=TH!$V$7),"x","")</f>
        <v/>
      </c>
      <c r="W1975" s="51" t="str">
        <f>IF(AND(B1975&gt;='IN-NX'!$P$3,B1975&lt;='IN-NX'!$Q$3,'IN-NX'!$D$7=D1975,OR(LEFT(L1975,2)="15",AND(LEFT(M1975,2)&lt;&gt;"15",LEFT(M1975,2)&lt;&gt;"33"))),"x","")</f>
        <v/>
      </c>
      <c r="X1975" s="51" t="str">
        <f>IF(AND(OR(LEFT(TH!L1975,2)="15",LEFT(TH!M1975,2)="15"),'152-CT'!$J$8=TH!F1975),"x","")</f>
        <v/>
      </c>
      <c r="Y1975" s="51" t="str">
        <f>IF(AND(OR(LEFT(TH!L1975,2)="15",LEFT(TH!M1975,2)="15"),TK!$E$7=TH!F1975),"x","")</f>
        <v/>
      </c>
      <c r="Z1975" s="51" t="str">
        <f>IF(AND(B1975&lt;=NKC!$N$8,B1975&gt;=NKC!$M$8),"x","")</f>
        <v/>
      </c>
      <c r="AA1975" s="803"/>
    </row>
    <row r="1976" spans="1:27" ht="15.75" customHeight="1">
      <c r="A1976" s="804" t="str">
        <f>IF(B1976&lt;&gt;"",IF(AND(B1976&gt;=_TM1,B1976&lt;=_TM2,OR(TH!L1976="1111",TH!M1976="1111")),TH!D1976,""),"")</f>
        <v/>
      </c>
      <c r="B1976" s="36">
        <f t="shared" si="140"/>
        <v>11</v>
      </c>
      <c r="C1976" s="189">
        <f t="shared" si="136"/>
        <v>42311</v>
      </c>
      <c r="D1976" s="189" t="s">
        <v>1289</v>
      </c>
      <c r="E1976" s="727">
        <v>42311</v>
      </c>
      <c r="F1976" s="868" t="s">
        <v>1261</v>
      </c>
      <c r="G1976" s="812" t="s">
        <v>1084</v>
      </c>
      <c r="H1976" s="873" t="s">
        <v>1286</v>
      </c>
      <c r="I1976" s="243">
        <v>68</v>
      </c>
      <c r="J1976" s="243">
        <v>10560</v>
      </c>
      <c r="K1976" s="875">
        <f t="shared" si="142"/>
        <v>718080</v>
      </c>
      <c r="L1976" s="876" t="s">
        <v>160</v>
      </c>
      <c r="M1976" s="876" t="s">
        <v>417</v>
      </c>
      <c r="N1976" s="51" t="str">
        <f>IF(AND('331-CT'!$E$7=TH!H1976,OR(L1976="331",M1976="331")),"331",IF(AND(OR(L1976="131",M1976="131"),H1976='131-CT'!$E$7),"131",""))</f>
        <v/>
      </c>
      <c r="O1976" s="51" t="str">
        <f>IF(AND($B1976&gt;='111'!$N$11,$B1976&lt;='111'!$O$11,OR($L1976=$O$7,$M1976=$O$7)),"x","")</f>
        <v/>
      </c>
      <c r="P1976" s="51" t="str">
        <f>IF(AND($L1976=$O$7,$B1976&lt;'111'!$N$11),"x","")</f>
        <v/>
      </c>
      <c r="Q1976" s="51" t="str">
        <f>IF(AND($M1976=$O$7,$B1976&lt;'111'!$N$11),"x","")</f>
        <v/>
      </c>
      <c r="R1976" s="51" t="str">
        <f>IF(ISERROR(FIND('112'!$M$9,G1976,1)),"",IF((AND(FIND('112'!$M$9,G1976,1)&gt;=1,$B1976&gt;='112'!$N$8,$B1976&lt;='112'!$O$8,OR($L1976='112'!$I$6,$M1976='112'!$I$6))),"x",""))</f>
        <v/>
      </c>
      <c r="S1976" s="51" t="str">
        <f>IF(ISERROR(FIND('112'!$M$9,G1976,1)),"",IF((AND(LEFT(G1976,2)=LEFT('112'!$M$9,2),B1976&lt;'112'!$N$8,$L1976='112'!$I$6)),"x",""))</f>
        <v/>
      </c>
      <c r="T1976" s="51" t="str">
        <f>IF(ISERROR(FIND('112'!$M$9,G1976,1)),"",IF((AND(RIGHT(G1976,2)=RIGHT('112'!$M$9,2),B1976&lt;'112'!$N$8,$M1976='112'!$I$6)),"x",""))</f>
        <v/>
      </c>
      <c r="U1976" s="51" t="str">
        <f>IF(AND(L1976="154",'154'!$O$5&lt;=B1976,'154'!$P$5&gt;=B1976),"154",IF(AND(L1976="632",'632'!$L$5&lt;=B1976,'632'!$M$5&gt;=B1976),"632",IF(AND(L1976="642",'642'!$N$5&lt;=B1976,'642'!$O$5&gt;=B1976),"642",IF(AND(L1976="641",'641'!$N$5&lt;=B1976,'641'!$O$5&gt;=B1976),"641",""))))</f>
        <v/>
      </c>
      <c r="V1976" s="51" t="str">
        <f>IF(OR(TH!L1976=TH!$V$7,M1976=TH!$V$7),"x","")</f>
        <v/>
      </c>
      <c r="W1976" s="51" t="str">
        <f>IF(AND(B1976&gt;='IN-NX'!$P$3,B1976&lt;='IN-NX'!$Q$3,'IN-NX'!$D$7=D1976,OR(LEFT(L1976,2)="15",AND(LEFT(M1976,2)&lt;&gt;"15",LEFT(M1976,2)&lt;&gt;"33"))),"x","")</f>
        <v/>
      </c>
      <c r="X1976" s="51" t="str">
        <f>IF(AND(OR(LEFT(TH!L1976,2)="15",LEFT(TH!M1976,2)="15"),'152-CT'!$J$8=TH!F1976),"x","")</f>
        <v/>
      </c>
      <c r="Y1976" s="51" t="str">
        <f>IF(AND(OR(LEFT(TH!L1976,2)="15",LEFT(TH!M1976,2)="15"),TK!$E$7=TH!F1976),"x","")</f>
        <v/>
      </c>
      <c r="Z1976" s="51" t="str">
        <f>IF(AND(B1976&lt;=NKC!$N$8,B1976&gt;=NKC!$M$8),"x","")</f>
        <v/>
      </c>
      <c r="AA1976" s="803"/>
    </row>
    <row r="1977" spans="1:27" ht="15.75" customHeight="1">
      <c r="A1977" s="804" t="str">
        <f>IF(B1977&lt;&gt;"",IF(AND(B1977&gt;=_TM1,B1977&lt;=_TM2,OR(TH!L1977="1111",TH!M1977="1111")),TH!D1977,""),"")</f>
        <v/>
      </c>
      <c r="B1977" s="36">
        <f t="shared" si="140"/>
        <v>11</v>
      </c>
      <c r="C1977" s="189">
        <f t="shared" si="136"/>
        <v>42312</v>
      </c>
      <c r="D1977" s="189" t="s">
        <v>1289</v>
      </c>
      <c r="E1977" s="727">
        <v>42312</v>
      </c>
      <c r="F1977" s="868" t="s">
        <v>802</v>
      </c>
      <c r="G1977" s="812" t="s">
        <v>1086</v>
      </c>
      <c r="H1977" s="873" t="s">
        <v>1286</v>
      </c>
      <c r="I1977" s="243">
        <v>35</v>
      </c>
      <c r="J1977" s="243">
        <v>29250</v>
      </c>
      <c r="K1977" s="875">
        <f t="shared" si="142"/>
        <v>1023750</v>
      </c>
      <c r="L1977" s="876" t="s">
        <v>160</v>
      </c>
      <c r="M1977" s="876" t="s">
        <v>417</v>
      </c>
      <c r="N1977" s="51" t="str">
        <f>IF(AND('331-CT'!$E$7=TH!H1977,OR(L1977="331",M1977="331")),"331",IF(AND(OR(L1977="131",M1977="131"),H1977='131-CT'!$E$7),"131",""))</f>
        <v/>
      </c>
      <c r="O1977" s="51" t="str">
        <f>IF(AND($B1977&gt;='111'!$N$11,$B1977&lt;='111'!$O$11,OR($L1977=$O$7,$M1977=$O$7)),"x","")</f>
        <v/>
      </c>
      <c r="P1977" s="51" t="str">
        <f>IF(AND($L1977=$O$7,$B1977&lt;'111'!$N$11),"x","")</f>
        <v/>
      </c>
      <c r="Q1977" s="51" t="str">
        <f>IF(AND($M1977=$O$7,$B1977&lt;'111'!$N$11),"x","")</f>
        <v/>
      </c>
      <c r="R1977" s="51" t="str">
        <f>IF(ISERROR(FIND('112'!$M$9,G1977,1)),"",IF((AND(FIND('112'!$M$9,G1977,1)&gt;=1,$B1977&gt;='112'!$N$8,$B1977&lt;='112'!$O$8,OR($L1977='112'!$I$6,$M1977='112'!$I$6))),"x",""))</f>
        <v/>
      </c>
      <c r="S1977" s="51" t="str">
        <f>IF(ISERROR(FIND('112'!$M$9,G1977,1)),"",IF((AND(LEFT(G1977,2)=LEFT('112'!$M$9,2),B1977&lt;'112'!$N$8,$L1977='112'!$I$6)),"x",""))</f>
        <v/>
      </c>
      <c r="T1977" s="51" t="str">
        <f>IF(ISERROR(FIND('112'!$M$9,G1977,1)),"",IF((AND(RIGHT(G1977,2)=RIGHT('112'!$M$9,2),B1977&lt;'112'!$N$8,$M1977='112'!$I$6)),"x",""))</f>
        <v/>
      </c>
      <c r="U1977" s="51" t="str">
        <f>IF(AND(L1977="154",'154'!$O$5&lt;=B1977,'154'!$P$5&gt;=B1977),"154",IF(AND(L1977="632",'632'!$L$5&lt;=B1977,'632'!$M$5&gt;=B1977),"632",IF(AND(L1977="642",'642'!$N$5&lt;=B1977,'642'!$O$5&gt;=B1977),"642",IF(AND(L1977="641",'641'!$N$5&lt;=B1977,'641'!$O$5&gt;=B1977),"641",""))))</f>
        <v/>
      </c>
      <c r="V1977" s="51" t="str">
        <f>IF(OR(TH!L1977=TH!$V$7,M1977=TH!$V$7),"x","")</f>
        <v/>
      </c>
      <c r="W1977" s="51" t="str">
        <f>IF(AND(B1977&gt;='IN-NX'!$P$3,B1977&lt;='IN-NX'!$Q$3,'IN-NX'!$D$7=D1977,OR(LEFT(L1977,2)="15",AND(LEFT(M1977,2)&lt;&gt;"15",LEFT(M1977,2)&lt;&gt;"33"))),"x","")</f>
        <v/>
      </c>
      <c r="X1977" s="51" t="str">
        <f>IF(AND(OR(LEFT(TH!L1977,2)="15",LEFT(TH!M1977,2)="15"),'152-CT'!$J$8=TH!F1977),"x","")</f>
        <v/>
      </c>
      <c r="Y1977" s="51" t="str">
        <f>IF(AND(OR(LEFT(TH!L1977,2)="15",LEFT(TH!M1977,2)="15"),TK!$E$7=TH!F1977),"x","")</f>
        <v/>
      </c>
      <c r="Z1977" s="51" t="str">
        <f>IF(AND(B1977&lt;=NKC!$N$8,B1977&gt;=NKC!$M$8),"x","")</f>
        <v/>
      </c>
      <c r="AA1977" s="803"/>
    </row>
    <row r="1978" spans="1:27" ht="15.75" customHeight="1">
      <c r="A1978" s="804" t="str">
        <f>IF(B1978&lt;&gt;"",IF(AND(B1978&gt;=_TM1,B1978&lt;=_TM2,OR(TH!L1978="1111",TH!M1978="1111")),TH!D1978,""),"")</f>
        <v/>
      </c>
      <c r="B1978" s="36">
        <f t="shared" si="140"/>
        <v>11</v>
      </c>
      <c r="C1978" s="189">
        <f t="shared" si="136"/>
        <v>42312</v>
      </c>
      <c r="D1978" s="189" t="s">
        <v>1289</v>
      </c>
      <c r="E1978" s="727">
        <v>42312</v>
      </c>
      <c r="F1978" s="868" t="s">
        <v>848</v>
      </c>
      <c r="G1978" s="812" t="s">
        <v>1086</v>
      </c>
      <c r="H1978" s="873" t="s">
        <v>1286</v>
      </c>
      <c r="I1978" s="243">
        <v>38</v>
      </c>
      <c r="J1978" s="243">
        <v>27528</v>
      </c>
      <c r="K1978" s="875">
        <f t="shared" si="142"/>
        <v>1046064</v>
      </c>
      <c r="L1978" s="876" t="s">
        <v>160</v>
      </c>
      <c r="M1978" s="876" t="s">
        <v>417</v>
      </c>
      <c r="N1978" s="51" t="str">
        <f>IF(AND('331-CT'!$E$7=TH!H1978,OR(L1978="331",M1978="331")),"331",IF(AND(OR(L1978="131",M1978="131"),H1978='131-CT'!$E$7),"131",""))</f>
        <v/>
      </c>
      <c r="O1978" s="51" t="str">
        <f>IF(AND($B1978&gt;='111'!$N$11,$B1978&lt;='111'!$O$11,OR($L1978=$O$7,$M1978=$O$7)),"x","")</f>
        <v/>
      </c>
      <c r="P1978" s="51" t="str">
        <f>IF(AND($L1978=$O$7,$B1978&lt;'111'!$N$11),"x","")</f>
        <v/>
      </c>
      <c r="Q1978" s="51" t="str">
        <f>IF(AND($M1978=$O$7,$B1978&lt;'111'!$N$11),"x","")</f>
        <v/>
      </c>
      <c r="R1978" s="51" t="str">
        <f>IF(ISERROR(FIND('112'!$M$9,G1978,1)),"",IF((AND(FIND('112'!$M$9,G1978,1)&gt;=1,$B1978&gt;='112'!$N$8,$B1978&lt;='112'!$O$8,OR($L1978='112'!$I$6,$M1978='112'!$I$6))),"x",""))</f>
        <v/>
      </c>
      <c r="S1978" s="51" t="str">
        <f>IF(ISERROR(FIND('112'!$M$9,G1978,1)),"",IF((AND(LEFT(G1978,2)=LEFT('112'!$M$9,2),B1978&lt;'112'!$N$8,$L1978='112'!$I$6)),"x",""))</f>
        <v/>
      </c>
      <c r="T1978" s="51" t="str">
        <f>IF(ISERROR(FIND('112'!$M$9,G1978,1)),"",IF((AND(RIGHT(G1978,2)=RIGHT('112'!$M$9,2),B1978&lt;'112'!$N$8,$M1978='112'!$I$6)),"x",""))</f>
        <v/>
      </c>
      <c r="U1978" s="51" t="str">
        <f>IF(AND(L1978="154",'154'!$O$5&lt;=B1978,'154'!$P$5&gt;=B1978),"154",IF(AND(L1978="632",'632'!$L$5&lt;=B1978,'632'!$M$5&gt;=B1978),"632",IF(AND(L1978="642",'642'!$N$5&lt;=B1978,'642'!$O$5&gt;=B1978),"642",IF(AND(L1978="641",'641'!$N$5&lt;=B1978,'641'!$O$5&gt;=B1978),"641",""))))</f>
        <v/>
      </c>
      <c r="V1978" s="51" t="str">
        <f>IF(OR(TH!L1978=TH!$V$7,M1978=TH!$V$7),"x","")</f>
        <v/>
      </c>
      <c r="W1978" s="51" t="str">
        <f>IF(AND(B1978&gt;='IN-NX'!$P$3,B1978&lt;='IN-NX'!$Q$3,'IN-NX'!$D$7=D1978,OR(LEFT(L1978,2)="15",AND(LEFT(M1978,2)&lt;&gt;"15",LEFT(M1978,2)&lt;&gt;"33"))),"x","")</f>
        <v/>
      </c>
      <c r="X1978" s="51" t="str">
        <f>IF(AND(OR(LEFT(TH!L1978,2)="15",LEFT(TH!M1978,2)="15"),'152-CT'!$J$8=TH!F1978),"x","")</f>
        <v/>
      </c>
      <c r="Y1978" s="51" t="str">
        <f>IF(AND(OR(LEFT(TH!L1978,2)="15",LEFT(TH!M1978,2)="15"),TK!$E$7=TH!F1978),"x","")</f>
        <v/>
      </c>
      <c r="Z1978" s="51" t="str">
        <f>IF(AND(B1978&lt;=NKC!$N$8,B1978&gt;=NKC!$M$8),"x","")</f>
        <v/>
      </c>
      <c r="AA1978" s="803"/>
    </row>
    <row r="1979" spans="1:27" ht="15.75" customHeight="1">
      <c r="A1979" s="804" t="str">
        <f>IF(B1979&lt;&gt;"",IF(AND(B1979&gt;=_TM1,B1979&lt;=_TM2,OR(TH!L1979="1111",TH!M1979="1111")),TH!D1979,""),"")</f>
        <v/>
      </c>
      <c r="B1979" s="36">
        <f t="shared" si="140"/>
        <v>11</v>
      </c>
      <c r="C1979" s="189">
        <f t="shared" si="136"/>
        <v>42312</v>
      </c>
      <c r="D1979" s="189" t="s">
        <v>1289</v>
      </c>
      <c r="E1979" s="727">
        <v>42312</v>
      </c>
      <c r="F1979" s="868" t="s">
        <v>813</v>
      </c>
      <c r="G1979" s="811" t="s">
        <v>1086</v>
      </c>
      <c r="H1979" s="873" t="s">
        <v>1286</v>
      </c>
      <c r="I1979" s="246">
        <v>40</v>
      </c>
      <c r="J1979" s="246">
        <v>29160</v>
      </c>
      <c r="K1979" s="875">
        <f t="shared" si="142"/>
        <v>1166400</v>
      </c>
      <c r="L1979" s="876" t="s">
        <v>160</v>
      </c>
      <c r="M1979" s="876" t="s">
        <v>417</v>
      </c>
      <c r="N1979" s="51" t="str">
        <f>IF(AND('331-CT'!$E$7=TH!H1979,OR(L1979="331",M1979="331")),"331",IF(AND(OR(L1979="131",M1979="131"),H1979='131-CT'!$E$7),"131",""))</f>
        <v/>
      </c>
      <c r="O1979" s="51" t="str">
        <f>IF(AND($B1979&gt;='111'!$N$11,$B1979&lt;='111'!$O$11,OR($L1979=$O$7,$M1979=$O$7)),"x","")</f>
        <v/>
      </c>
      <c r="P1979" s="51" t="str">
        <f>IF(AND($L1979=$O$7,$B1979&lt;'111'!$N$11),"x","")</f>
        <v/>
      </c>
      <c r="Q1979" s="51" t="str">
        <f>IF(AND($M1979=$O$7,$B1979&lt;'111'!$N$11),"x","")</f>
        <v/>
      </c>
      <c r="R1979" s="51" t="str">
        <f>IF(ISERROR(FIND('112'!$M$9,G1979,1)),"",IF((AND(FIND('112'!$M$9,G1979,1)&gt;=1,$B1979&gt;='112'!$N$8,$B1979&lt;='112'!$O$8,OR($L1979='112'!$I$6,$M1979='112'!$I$6))),"x",""))</f>
        <v/>
      </c>
      <c r="S1979" s="51" t="str">
        <f>IF(ISERROR(FIND('112'!$M$9,G1979,1)),"",IF((AND(LEFT(G1979,2)=LEFT('112'!$M$9,2),B1979&lt;'112'!$N$8,$L1979='112'!$I$6)),"x",""))</f>
        <v/>
      </c>
      <c r="T1979" s="51" t="str">
        <f>IF(ISERROR(FIND('112'!$M$9,G1979,1)),"",IF((AND(RIGHT(G1979,2)=RIGHT('112'!$M$9,2),B1979&lt;'112'!$N$8,$M1979='112'!$I$6)),"x",""))</f>
        <v/>
      </c>
      <c r="U1979" s="51" t="str">
        <f>IF(AND(L1979="154",'154'!$O$5&lt;=B1979,'154'!$P$5&gt;=B1979),"154",IF(AND(L1979="632",'632'!$L$5&lt;=B1979,'632'!$M$5&gt;=B1979),"632",IF(AND(L1979="642",'642'!$N$5&lt;=B1979,'642'!$O$5&gt;=B1979),"642",IF(AND(L1979="641",'641'!$N$5&lt;=B1979,'641'!$O$5&gt;=B1979),"641",""))))</f>
        <v/>
      </c>
      <c r="V1979" s="51" t="str">
        <f>IF(OR(TH!L1979=TH!$V$7,M1979=TH!$V$7),"x","")</f>
        <v/>
      </c>
      <c r="W1979" s="51" t="str">
        <f>IF(AND(B1979&gt;='IN-NX'!$P$3,B1979&lt;='IN-NX'!$Q$3,'IN-NX'!$D$7=D1979,OR(LEFT(L1979,2)="15",AND(LEFT(M1979,2)&lt;&gt;"15",LEFT(M1979,2)&lt;&gt;"33"))),"x","")</f>
        <v/>
      </c>
      <c r="X1979" s="51" t="str">
        <f>IF(AND(OR(LEFT(TH!L1979,2)="15",LEFT(TH!M1979,2)="15"),'152-CT'!$J$8=TH!F1979),"x","")</f>
        <v/>
      </c>
      <c r="Y1979" s="51" t="str">
        <f>IF(AND(OR(LEFT(TH!L1979,2)="15",LEFT(TH!M1979,2)="15"),TK!$E$7=TH!F1979),"x","")</f>
        <v/>
      </c>
      <c r="Z1979" s="51" t="str">
        <f>IF(AND(B1979&lt;=NKC!$N$8,B1979&gt;=NKC!$M$8),"x","")</f>
        <v/>
      </c>
      <c r="AA1979" s="803"/>
    </row>
    <row r="1980" spans="1:27" ht="15.75" customHeight="1">
      <c r="A1980" s="804" t="str">
        <f>IF(B1980&lt;&gt;"",IF(AND(B1980&gt;=_TM1,B1980&lt;=_TM2,OR(TH!L1980="1111",TH!M1980="1111")),TH!D1980,""),"")</f>
        <v/>
      </c>
      <c r="B1980" s="36">
        <f t="shared" si="140"/>
        <v>11</v>
      </c>
      <c r="C1980" s="189">
        <f t="shared" si="136"/>
        <v>42312</v>
      </c>
      <c r="D1980" s="189" t="s">
        <v>1289</v>
      </c>
      <c r="E1980" s="727">
        <v>42312</v>
      </c>
      <c r="F1980" s="868" t="s">
        <v>804</v>
      </c>
      <c r="G1980" s="814" t="s">
        <v>1086</v>
      </c>
      <c r="H1980" s="873" t="s">
        <v>1286</v>
      </c>
      <c r="I1980" s="243">
        <v>74</v>
      </c>
      <c r="J1980" s="243">
        <v>9009</v>
      </c>
      <c r="K1980" s="875">
        <f t="shared" si="142"/>
        <v>666666</v>
      </c>
      <c r="L1980" s="876" t="s">
        <v>160</v>
      </c>
      <c r="M1980" s="876" t="s">
        <v>417</v>
      </c>
      <c r="N1980" s="51" t="str">
        <f>IF(AND('331-CT'!$E$7=TH!H1980,OR(L1980="331",M1980="331")),"331",IF(AND(OR(L1980="131",M1980="131"),H1980='131-CT'!$E$7),"131",""))</f>
        <v/>
      </c>
      <c r="O1980" s="51" t="str">
        <f>IF(AND($B1980&gt;='111'!$N$11,$B1980&lt;='111'!$O$11,OR($L1980=$O$7,$M1980=$O$7)),"x","")</f>
        <v/>
      </c>
      <c r="P1980" s="51" t="str">
        <f>IF(AND($L1980=$O$7,$B1980&lt;'111'!$N$11),"x","")</f>
        <v/>
      </c>
      <c r="Q1980" s="51" t="str">
        <f>IF(AND($M1980=$O$7,$B1980&lt;'111'!$N$11),"x","")</f>
        <v/>
      </c>
      <c r="R1980" s="51" t="str">
        <f>IF(ISERROR(FIND('112'!$M$9,G1980,1)),"",IF((AND(FIND('112'!$M$9,G1980,1)&gt;=1,$B1980&gt;='112'!$N$8,$B1980&lt;='112'!$O$8,OR($L1980='112'!$I$6,$M1980='112'!$I$6))),"x",""))</f>
        <v/>
      </c>
      <c r="S1980" s="51" t="str">
        <f>IF(ISERROR(FIND('112'!$M$9,G1980,1)),"",IF((AND(LEFT(G1980,2)=LEFT('112'!$M$9,2),B1980&lt;'112'!$N$8,$L1980='112'!$I$6)),"x",""))</f>
        <v/>
      </c>
      <c r="T1980" s="51" t="str">
        <f>IF(ISERROR(FIND('112'!$M$9,G1980,1)),"",IF((AND(RIGHT(G1980,2)=RIGHT('112'!$M$9,2),B1980&lt;'112'!$N$8,$M1980='112'!$I$6)),"x",""))</f>
        <v/>
      </c>
      <c r="U1980" s="51" t="str">
        <f>IF(AND(L1980="154",'154'!$O$5&lt;=B1980,'154'!$P$5&gt;=B1980),"154",IF(AND(L1980="632",'632'!$L$5&lt;=B1980,'632'!$M$5&gt;=B1980),"632",IF(AND(L1980="642",'642'!$N$5&lt;=B1980,'642'!$O$5&gt;=B1980),"642",IF(AND(L1980="641",'641'!$N$5&lt;=B1980,'641'!$O$5&gt;=B1980),"641",""))))</f>
        <v/>
      </c>
      <c r="V1980" s="51" t="str">
        <f>IF(OR(TH!L1980=TH!$V$7,M1980=TH!$V$7),"x","")</f>
        <v/>
      </c>
      <c r="W1980" s="51" t="str">
        <f>IF(AND(B1980&gt;='IN-NX'!$P$3,B1980&lt;='IN-NX'!$Q$3,'IN-NX'!$D$7=D1980,OR(LEFT(L1980,2)="15",AND(LEFT(M1980,2)&lt;&gt;"15",LEFT(M1980,2)&lt;&gt;"33"))),"x","")</f>
        <v/>
      </c>
      <c r="X1980" s="51" t="str">
        <f>IF(AND(OR(LEFT(TH!L1980,2)="15",LEFT(TH!M1980,2)="15"),'152-CT'!$J$8=TH!F1980),"x","")</f>
        <v/>
      </c>
      <c r="Y1980" s="51" t="str">
        <f>IF(AND(OR(LEFT(TH!L1980,2)="15",LEFT(TH!M1980,2)="15"),TK!$E$7=TH!F1980),"x","")</f>
        <v/>
      </c>
      <c r="Z1980" s="51" t="str">
        <f>IF(AND(B1980&lt;=NKC!$N$8,B1980&gt;=NKC!$M$8),"x","")</f>
        <v/>
      </c>
      <c r="AA1980" s="803"/>
    </row>
    <row r="1981" spans="1:27" ht="15.75" customHeight="1">
      <c r="A1981" s="804" t="str">
        <f>IF(B1981&lt;&gt;"",IF(AND(B1981&gt;=_TM1,B1981&lt;=_TM2,OR(TH!L1981="1111",TH!M1981="1111")),TH!D1981,""),"")</f>
        <v/>
      </c>
      <c r="B1981" s="36">
        <f t="shared" si="140"/>
        <v>11</v>
      </c>
      <c r="C1981" s="189">
        <f t="shared" si="136"/>
        <v>42312</v>
      </c>
      <c r="D1981" s="189" t="s">
        <v>1289</v>
      </c>
      <c r="E1981" s="727">
        <v>42312</v>
      </c>
      <c r="F1981" s="868" t="s">
        <v>807</v>
      </c>
      <c r="G1981" s="811" t="s">
        <v>1086</v>
      </c>
      <c r="H1981" s="873" t="s">
        <v>1286</v>
      </c>
      <c r="I1981" s="243">
        <v>70</v>
      </c>
      <c r="J1981" s="243">
        <v>8325</v>
      </c>
      <c r="K1981" s="875">
        <f t="shared" si="142"/>
        <v>582750</v>
      </c>
      <c r="L1981" s="876" t="s">
        <v>160</v>
      </c>
      <c r="M1981" s="876" t="s">
        <v>417</v>
      </c>
      <c r="N1981" s="51" t="str">
        <f>IF(AND('331-CT'!$E$7=TH!H1981,OR(L1981="331",M1981="331")),"331",IF(AND(OR(L1981="131",M1981="131"),H1981='131-CT'!$E$7),"131",""))</f>
        <v/>
      </c>
      <c r="O1981" s="51" t="str">
        <f>IF(AND($B1981&gt;='111'!$N$11,$B1981&lt;='111'!$O$11,OR($L1981=$O$7,$M1981=$O$7)),"x","")</f>
        <v/>
      </c>
      <c r="P1981" s="51" t="str">
        <f>IF(AND($L1981=$O$7,$B1981&lt;'111'!$N$11),"x","")</f>
        <v/>
      </c>
      <c r="Q1981" s="51" t="str">
        <f>IF(AND($M1981=$O$7,$B1981&lt;'111'!$N$11),"x","")</f>
        <v/>
      </c>
      <c r="R1981" s="51" t="str">
        <f>IF(ISERROR(FIND('112'!$M$9,G1981,1)),"",IF((AND(FIND('112'!$M$9,G1981,1)&gt;=1,$B1981&gt;='112'!$N$8,$B1981&lt;='112'!$O$8,OR($L1981='112'!$I$6,$M1981='112'!$I$6))),"x",""))</f>
        <v/>
      </c>
      <c r="S1981" s="51" t="str">
        <f>IF(ISERROR(FIND('112'!$M$9,G1981,1)),"",IF((AND(LEFT(G1981,2)=LEFT('112'!$M$9,2),B1981&lt;'112'!$N$8,$L1981='112'!$I$6)),"x",""))</f>
        <v/>
      </c>
      <c r="T1981" s="51" t="str">
        <f>IF(ISERROR(FIND('112'!$M$9,G1981,1)),"",IF((AND(RIGHT(G1981,2)=RIGHT('112'!$M$9,2),B1981&lt;'112'!$N$8,$M1981='112'!$I$6)),"x",""))</f>
        <v/>
      </c>
      <c r="U1981" s="51" t="str">
        <f>IF(AND(L1981="154",'154'!$O$5&lt;=B1981,'154'!$P$5&gt;=B1981),"154",IF(AND(L1981="632",'632'!$L$5&lt;=B1981,'632'!$M$5&gt;=B1981),"632",IF(AND(L1981="642",'642'!$N$5&lt;=B1981,'642'!$O$5&gt;=B1981),"642",IF(AND(L1981="641",'641'!$N$5&lt;=B1981,'641'!$O$5&gt;=B1981),"641",""))))</f>
        <v/>
      </c>
      <c r="V1981" s="51" t="str">
        <f>IF(OR(TH!L1981=TH!$V$7,M1981=TH!$V$7),"x","")</f>
        <v/>
      </c>
      <c r="W1981" s="51" t="str">
        <f>IF(AND(B1981&gt;='IN-NX'!$P$3,B1981&lt;='IN-NX'!$Q$3,'IN-NX'!$D$7=D1981,OR(LEFT(L1981,2)="15",AND(LEFT(M1981,2)&lt;&gt;"15",LEFT(M1981,2)&lt;&gt;"33"))),"x","")</f>
        <v/>
      </c>
      <c r="X1981" s="51" t="str">
        <f>IF(AND(OR(LEFT(TH!L1981,2)="15",LEFT(TH!M1981,2)="15"),'152-CT'!$J$8=TH!F1981),"x","")</f>
        <v/>
      </c>
      <c r="Y1981" s="51" t="str">
        <f>IF(AND(OR(LEFT(TH!L1981,2)="15",LEFT(TH!M1981,2)="15"),TK!$E$7=TH!F1981),"x","")</f>
        <v/>
      </c>
      <c r="Z1981" s="51" t="str">
        <f>IF(AND(B1981&lt;=NKC!$N$8,B1981&gt;=NKC!$M$8),"x","")</f>
        <v/>
      </c>
      <c r="AA1981" s="803"/>
    </row>
    <row r="1982" spans="1:27" ht="15.75" customHeight="1">
      <c r="A1982" s="804" t="str">
        <f>IF(B1982&lt;&gt;"",IF(AND(B1982&gt;=_TM1,B1982&lt;=_TM2,OR(TH!L1982="1111",TH!M1982="1111")),TH!D1982,""),"")</f>
        <v/>
      </c>
      <c r="B1982" s="36">
        <f t="shared" si="140"/>
        <v>11</v>
      </c>
      <c r="C1982" s="189">
        <f t="shared" si="136"/>
        <v>42312</v>
      </c>
      <c r="D1982" s="189" t="s">
        <v>1289</v>
      </c>
      <c r="E1982" s="727">
        <v>42312</v>
      </c>
      <c r="F1982" s="868" t="s">
        <v>686</v>
      </c>
      <c r="G1982" s="811" t="s">
        <v>1086</v>
      </c>
      <c r="H1982" s="873" t="s">
        <v>1286</v>
      </c>
      <c r="I1982" s="243">
        <v>54</v>
      </c>
      <c r="J1982" s="243">
        <v>28932</v>
      </c>
      <c r="K1982" s="875">
        <f t="shared" si="142"/>
        <v>1562328</v>
      </c>
      <c r="L1982" s="876" t="s">
        <v>160</v>
      </c>
      <c r="M1982" s="876" t="s">
        <v>417</v>
      </c>
      <c r="N1982" s="51" t="str">
        <f>IF(AND('331-CT'!$E$7=TH!H1982,OR(L1982="331",M1982="331")),"331",IF(AND(OR(L1982="131",M1982="131"),H1982='131-CT'!$E$7),"131",""))</f>
        <v/>
      </c>
      <c r="O1982" s="51" t="str">
        <f>IF(AND($B1982&gt;='111'!$N$11,$B1982&lt;='111'!$O$11,OR($L1982=$O$7,$M1982=$O$7)),"x","")</f>
        <v/>
      </c>
      <c r="P1982" s="51" t="str">
        <f>IF(AND($L1982=$O$7,$B1982&lt;'111'!$N$11),"x","")</f>
        <v/>
      </c>
      <c r="Q1982" s="51" t="str">
        <f>IF(AND($M1982=$O$7,$B1982&lt;'111'!$N$11),"x","")</f>
        <v/>
      </c>
      <c r="R1982" s="51" t="str">
        <f>IF(ISERROR(FIND('112'!$M$9,G1982,1)),"",IF((AND(FIND('112'!$M$9,G1982,1)&gt;=1,$B1982&gt;='112'!$N$8,$B1982&lt;='112'!$O$8,OR($L1982='112'!$I$6,$M1982='112'!$I$6))),"x",""))</f>
        <v/>
      </c>
      <c r="S1982" s="51" t="str">
        <f>IF(ISERROR(FIND('112'!$M$9,G1982,1)),"",IF((AND(LEFT(G1982,2)=LEFT('112'!$M$9,2),B1982&lt;'112'!$N$8,$L1982='112'!$I$6)),"x",""))</f>
        <v/>
      </c>
      <c r="T1982" s="51" t="str">
        <f>IF(ISERROR(FIND('112'!$M$9,G1982,1)),"",IF((AND(RIGHT(G1982,2)=RIGHT('112'!$M$9,2),B1982&lt;'112'!$N$8,$M1982='112'!$I$6)),"x",""))</f>
        <v/>
      </c>
      <c r="U1982" s="51" t="str">
        <f>IF(AND(L1982="154",'154'!$O$5&lt;=B1982,'154'!$P$5&gt;=B1982),"154",IF(AND(L1982="632",'632'!$L$5&lt;=B1982,'632'!$M$5&gt;=B1982),"632",IF(AND(L1982="642",'642'!$N$5&lt;=B1982,'642'!$O$5&gt;=B1982),"642",IF(AND(L1982="641",'641'!$N$5&lt;=B1982,'641'!$O$5&gt;=B1982),"641",""))))</f>
        <v/>
      </c>
      <c r="V1982" s="51" t="str">
        <f>IF(OR(TH!L1982=TH!$V$7,M1982=TH!$V$7),"x","")</f>
        <v/>
      </c>
      <c r="W1982" s="51" t="str">
        <f>IF(AND(B1982&gt;='IN-NX'!$P$3,B1982&lt;='IN-NX'!$Q$3,'IN-NX'!$D$7=D1982,OR(LEFT(L1982,2)="15",AND(LEFT(M1982,2)&lt;&gt;"15",LEFT(M1982,2)&lt;&gt;"33"))),"x","")</f>
        <v/>
      </c>
      <c r="X1982" s="51" t="str">
        <f>IF(AND(OR(LEFT(TH!L1982,2)="15",LEFT(TH!M1982,2)="15"),'152-CT'!$J$8=TH!F1982),"x","")</f>
        <v/>
      </c>
      <c r="Y1982" s="51" t="str">
        <f>IF(AND(OR(LEFT(TH!L1982,2)="15",LEFT(TH!M1982,2)="15"),TK!$E$7=TH!F1982),"x","")</f>
        <v/>
      </c>
      <c r="Z1982" s="51" t="str">
        <f>IF(AND(B1982&lt;=NKC!$N$8,B1982&gt;=NKC!$M$8),"x","")</f>
        <v/>
      </c>
      <c r="AA1982" s="803"/>
    </row>
    <row r="1983" spans="1:27" ht="15.75" customHeight="1">
      <c r="A1983" s="804" t="str">
        <f>IF(B1983&lt;&gt;"",IF(AND(B1983&gt;=_TM1,B1983&lt;=_TM2,OR(TH!L1983="1111",TH!M1983="1111")),TH!D1983,""),"")</f>
        <v/>
      </c>
      <c r="B1983" s="36">
        <f t="shared" si="140"/>
        <v>11</v>
      </c>
      <c r="C1983" s="189">
        <f t="shared" si="136"/>
        <v>42312</v>
      </c>
      <c r="D1983" s="189" t="s">
        <v>1289</v>
      </c>
      <c r="E1983" s="727">
        <v>42312</v>
      </c>
      <c r="F1983" s="868" t="s">
        <v>805</v>
      </c>
      <c r="G1983" s="811" t="s">
        <v>1086</v>
      </c>
      <c r="H1983" s="873" t="s">
        <v>1286</v>
      </c>
      <c r="I1983" s="243">
        <v>54</v>
      </c>
      <c r="J1983" s="243">
        <v>25506</v>
      </c>
      <c r="K1983" s="875">
        <f t="shared" si="142"/>
        <v>1377324</v>
      </c>
      <c r="L1983" s="876" t="s">
        <v>160</v>
      </c>
      <c r="M1983" s="876" t="s">
        <v>417</v>
      </c>
      <c r="N1983" s="51" t="str">
        <f>IF(AND('331-CT'!$E$7=TH!H1983,OR(L1983="331",M1983="331")),"331",IF(AND(OR(L1983="131",M1983="131"),H1983='131-CT'!$E$7),"131",""))</f>
        <v/>
      </c>
      <c r="O1983" s="51" t="str">
        <f>IF(AND($B1983&gt;='111'!$N$11,$B1983&lt;='111'!$O$11,OR($L1983=$O$7,$M1983=$O$7)),"x","")</f>
        <v/>
      </c>
      <c r="P1983" s="51" t="str">
        <f>IF(AND($L1983=$O$7,$B1983&lt;'111'!$N$11),"x","")</f>
        <v/>
      </c>
      <c r="Q1983" s="51" t="str">
        <f>IF(AND($M1983=$O$7,$B1983&lt;'111'!$N$11),"x","")</f>
        <v/>
      </c>
      <c r="R1983" s="51" t="str">
        <f>IF(ISERROR(FIND('112'!$M$9,G1983,1)),"",IF((AND(FIND('112'!$M$9,G1983,1)&gt;=1,$B1983&gt;='112'!$N$8,$B1983&lt;='112'!$O$8,OR($L1983='112'!$I$6,$M1983='112'!$I$6))),"x",""))</f>
        <v/>
      </c>
      <c r="S1983" s="51" t="str">
        <f>IF(ISERROR(FIND('112'!$M$9,G1983,1)),"",IF((AND(LEFT(G1983,2)=LEFT('112'!$M$9,2),B1983&lt;'112'!$N$8,$L1983='112'!$I$6)),"x",""))</f>
        <v/>
      </c>
      <c r="T1983" s="51" t="str">
        <f>IF(ISERROR(FIND('112'!$M$9,G1983,1)),"",IF((AND(RIGHT(G1983,2)=RIGHT('112'!$M$9,2),B1983&lt;'112'!$N$8,$M1983='112'!$I$6)),"x",""))</f>
        <v/>
      </c>
      <c r="U1983" s="51" t="str">
        <f>IF(AND(L1983="154",'154'!$O$5&lt;=B1983,'154'!$P$5&gt;=B1983),"154",IF(AND(L1983="632",'632'!$L$5&lt;=B1983,'632'!$M$5&gt;=B1983),"632",IF(AND(L1983="642",'642'!$N$5&lt;=B1983,'642'!$O$5&gt;=B1983),"642",IF(AND(L1983="641",'641'!$N$5&lt;=B1983,'641'!$O$5&gt;=B1983),"641",""))))</f>
        <v/>
      </c>
      <c r="V1983" s="51" t="str">
        <f>IF(OR(TH!L1983=TH!$V$7,M1983=TH!$V$7),"x","")</f>
        <v/>
      </c>
      <c r="W1983" s="51" t="str">
        <f>IF(AND(B1983&gt;='IN-NX'!$P$3,B1983&lt;='IN-NX'!$Q$3,'IN-NX'!$D$7=D1983,OR(LEFT(L1983,2)="15",AND(LEFT(M1983,2)&lt;&gt;"15",LEFT(M1983,2)&lt;&gt;"33"))),"x","")</f>
        <v/>
      </c>
      <c r="X1983" s="51" t="str">
        <f>IF(AND(OR(LEFT(TH!L1983,2)="15",LEFT(TH!M1983,2)="15"),'152-CT'!$J$8=TH!F1983),"x","")</f>
        <v/>
      </c>
      <c r="Y1983" s="51" t="str">
        <f>IF(AND(OR(LEFT(TH!L1983,2)="15",LEFT(TH!M1983,2)="15"),TK!$E$7=TH!F1983),"x","")</f>
        <v/>
      </c>
      <c r="Z1983" s="51" t="str">
        <f>IF(AND(B1983&lt;=NKC!$N$8,B1983&gt;=NKC!$M$8),"x","")</f>
        <v/>
      </c>
      <c r="AA1983" s="803"/>
    </row>
    <row r="1984" spans="1:27" ht="15.75" customHeight="1">
      <c r="A1984" s="804" t="str">
        <f>IF(B1984&lt;&gt;"",IF(AND(B1984&gt;=_TM1,B1984&lt;=_TM2,OR(TH!L1984="1111",TH!M1984="1111")),TH!D1984,""),"")</f>
        <v/>
      </c>
      <c r="B1984" s="36">
        <f t="shared" ref="B1984:B1997" si="143">IF(C1984&lt;&gt;"",MONTH(C1984),"")</f>
        <v>11</v>
      </c>
      <c r="C1984" s="189">
        <f t="shared" si="136"/>
        <v>42312</v>
      </c>
      <c r="D1984" s="189" t="s">
        <v>1289</v>
      </c>
      <c r="E1984" s="727">
        <v>42312</v>
      </c>
      <c r="F1984" s="868" t="s">
        <v>864</v>
      </c>
      <c r="G1984" s="811" t="s">
        <v>1086</v>
      </c>
      <c r="H1984" s="873" t="s">
        <v>1286</v>
      </c>
      <c r="I1984" s="243">
        <v>20</v>
      </c>
      <c r="J1984" s="243">
        <v>36045</v>
      </c>
      <c r="K1984" s="875">
        <f t="shared" si="142"/>
        <v>720900</v>
      </c>
      <c r="L1984" s="876" t="s">
        <v>160</v>
      </c>
      <c r="M1984" s="876" t="s">
        <v>417</v>
      </c>
      <c r="N1984" s="51" t="str">
        <f>IF(AND('331-CT'!$E$7=TH!H1984,OR(L1984="331",M1984="331")),"331",IF(AND(OR(L1984="131",M1984="131"),H1984='131-CT'!$E$7),"131",""))</f>
        <v/>
      </c>
      <c r="O1984" s="51" t="str">
        <f>IF(AND($B1984&gt;='111'!$N$11,$B1984&lt;='111'!$O$11,OR($L1984=$O$7,$M1984=$O$7)),"x","")</f>
        <v/>
      </c>
      <c r="P1984" s="51" t="str">
        <f>IF(AND($L1984=$O$7,$B1984&lt;'111'!$N$11),"x","")</f>
        <v/>
      </c>
      <c r="Q1984" s="51" t="str">
        <f>IF(AND($M1984=$O$7,$B1984&lt;'111'!$N$11),"x","")</f>
        <v/>
      </c>
      <c r="R1984" s="51" t="str">
        <f>IF(ISERROR(FIND('112'!$M$9,G1984,1)),"",IF((AND(FIND('112'!$M$9,G1984,1)&gt;=1,$B1984&gt;='112'!$N$8,$B1984&lt;='112'!$O$8,OR($L1984='112'!$I$6,$M1984='112'!$I$6))),"x",""))</f>
        <v/>
      </c>
      <c r="S1984" s="51" t="str">
        <f>IF(ISERROR(FIND('112'!$M$9,G1984,1)),"",IF((AND(LEFT(G1984,2)=LEFT('112'!$M$9,2),B1984&lt;'112'!$N$8,$L1984='112'!$I$6)),"x",""))</f>
        <v/>
      </c>
      <c r="T1984" s="51" t="str">
        <f>IF(ISERROR(FIND('112'!$M$9,G1984,1)),"",IF((AND(RIGHT(G1984,2)=RIGHT('112'!$M$9,2),B1984&lt;'112'!$N$8,$M1984='112'!$I$6)),"x",""))</f>
        <v/>
      </c>
      <c r="U1984" s="51" t="str">
        <f>IF(AND(L1984="154",'154'!$O$5&lt;=B1984,'154'!$P$5&gt;=B1984),"154",IF(AND(L1984="632",'632'!$L$5&lt;=B1984,'632'!$M$5&gt;=B1984),"632",IF(AND(L1984="642",'642'!$N$5&lt;=B1984,'642'!$O$5&gt;=B1984),"642",IF(AND(L1984="641",'641'!$N$5&lt;=B1984,'641'!$O$5&gt;=B1984),"641",""))))</f>
        <v/>
      </c>
      <c r="V1984" s="51" t="str">
        <f>IF(OR(TH!L1984=TH!$V$7,M1984=TH!$V$7),"x","")</f>
        <v/>
      </c>
      <c r="W1984" s="51" t="str">
        <f>IF(AND(B1984&gt;='IN-NX'!$P$3,B1984&lt;='IN-NX'!$Q$3,'IN-NX'!$D$7=D1984,OR(LEFT(L1984,2)="15",AND(LEFT(M1984,2)&lt;&gt;"15",LEFT(M1984,2)&lt;&gt;"33"))),"x","")</f>
        <v/>
      </c>
      <c r="X1984" s="51" t="str">
        <f>IF(AND(OR(LEFT(TH!L1984,2)="15",LEFT(TH!M1984,2)="15"),'152-CT'!$J$8=TH!F1984),"x","")</f>
        <v/>
      </c>
      <c r="Y1984" s="51" t="str">
        <f>IF(AND(OR(LEFT(TH!L1984,2)="15",LEFT(TH!M1984,2)="15"),TK!$E$7=TH!F1984),"x","")</f>
        <v/>
      </c>
      <c r="Z1984" s="51" t="str">
        <f>IF(AND(B1984&lt;=NKC!$N$8,B1984&gt;=NKC!$M$8),"x","")</f>
        <v/>
      </c>
      <c r="AA1984" s="803"/>
    </row>
    <row r="1985" spans="1:27" ht="15.75" customHeight="1">
      <c r="A1985" s="804" t="str">
        <f>IF(B1985&lt;&gt;"",IF(AND(B1985&gt;=_TM1,B1985&lt;=_TM2,OR(TH!L1985="1111",TH!M1985="1111")),TH!D1985,""),"")</f>
        <v/>
      </c>
      <c r="B1985" s="36">
        <f t="shared" si="143"/>
        <v>11</v>
      </c>
      <c r="C1985" s="189">
        <f t="shared" si="136"/>
        <v>42312</v>
      </c>
      <c r="D1985" s="189" t="s">
        <v>1289</v>
      </c>
      <c r="E1985" s="727">
        <v>42312</v>
      </c>
      <c r="F1985" s="868" t="s">
        <v>871</v>
      </c>
      <c r="G1985" s="811" t="s">
        <v>1087</v>
      </c>
      <c r="H1985" s="873" t="s">
        <v>1286</v>
      </c>
      <c r="I1985" s="243">
        <v>20</v>
      </c>
      <c r="J1985" s="243">
        <v>22545</v>
      </c>
      <c r="K1985" s="875">
        <f t="shared" si="142"/>
        <v>450900</v>
      </c>
      <c r="L1985" s="876" t="s">
        <v>160</v>
      </c>
      <c r="M1985" s="876" t="s">
        <v>417</v>
      </c>
      <c r="N1985" s="51" t="str">
        <f>IF(AND('331-CT'!$E$7=TH!H1985,OR(L1985="331",M1985="331")),"331",IF(AND(OR(L1985="131",M1985="131"),H1985='131-CT'!$E$7),"131",""))</f>
        <v/>
      </c>
      <c r="O1985" s="51" t="str">
        <f>IF(AND($B1985&gt;='111'!$N$11,$B1985&lt;='111'!$O$11,OR($L1985=$O$7,$M1985=$O$7)),"x","")</f>
        <v/>
      </c>
      <c r="P1985" s="51" t="str">
        <f>IF(AND($L1985=$O$7,$B1985&lt;'111'!$N$11),"x","")</f>
        <v/>
      </c>
      <c r="Q1985" s="51" t="str">
        <f>IF(AND($M1985=$O$7,$B1985&lt;'111'!$N$11),"x","")</f>
        <v/>
      </c>
      <c r="R1985" s="51" t="str">
        <f>IF(ISERROR(FIND('112'!$M$9,G1985,1)),"",IF((AND(FIND('112'!$M$9,G1985,1)&gt;=1,$B1985&gt;='112'!$N$8,$B1985&lt;='112'!$O$8,OR($L1985='112'!$I$6,$M1985='112'!$I$6))),"x",""))</f>
        <v/>
      </c>
      <c r="S1985" s="51" t="str">
        <f>IF(ISERROR(FIND('112'!$M$9,G1985,1)),"",IF((AND(LEFT(G1985,2)=LEFT('112'!$M$9,2),B1985&lt;'112'!$N$8,$L1985='112'!$I$6)),"x",""))</f>
        <v/>
      </c>
      <c r="T1985" s="51" t="str">
        <f>IF(ISERROR(FIND('112'!$M$9,G1985,1)),"",IF((AND(RIGHT(G1985,2)=RIGHT('112'!$M$9,2),B1985&lt;'112'!$N$8,$M1985='112'!$I$6)),"x",""))</f>
        <v/>
      </c>
      <c r="U1985" s="51" t="str">
        <f>IF(AND(L1985="154",'154'!$O$5&lt;=B1985,'154'!$P$5&gt;=B1985),"154",IF(AND(L1985="632",'632'!$L$5&lt;=B1985,'632'!$M$5&gt;=B1985),"632",IF(AND(L1985="642",'642'!$N$5&lt;=B1985,'642'!$O$5&gt;=B1985),"642",IF(AND(L1985="641",'641'!$N$5&lt;=B1985,'641'!$O$5&gt;=B1985),"641",""))))</f>
        <v/>
      </c>
      <c r="V1985" s="51" t="str">
        <f>IF(OR(TH!L1985=TH!$V$7,M1985=TH!$V$7),"x","")</f>
        <v/>
      </c>
      <c r="W1985" s="51" t="str">
        <f>IF(AND(B1985&gt;='IN-NX'!$P$3,B1985&lt;='IN-NX'!$Q$3,'IN-NX'!$D$7=D1985,OR(LEFT(L1985,2)="15",AND(LEFT(M1985,2)&lt;&gt;"15",LEFT(M1985,2)&lt;&gt;"33"))),"x","")</f>
        <v/>
      </c>
      <c r="X1985" s="51" t="str">
        <f>IF(AND(OR(LEFT(TH!L1985,2)="15",LEFT(TH!M1985,2)="15"),'152-CT'!$J$8=TH!F1985),"x","")</f>
        <v/>
      </c>
      <c r="Y1985" s="51" t="str">
        <f>IF(AND(OR(LEFT(TH!L1985,2)="15",LEFT(TH!M1985,2)="15"),TK!$E$7=TH!F1985),"x","")</f>
        <v/>
      </c>
      <c r="Z1985" s="51" t="str">
        <f>IF(AND(B1985&lt;=NKC!$N$8,B1985&gt;=NKC!$M$8),"x","")</f>
        <v/>
      </c>
      <c r="AA1985" s="803"/>
    </row>
    <row r="1986" spans="1:27" ht="15.75" customHeight="1">
      <c r="A1986" s="804" t="str">
        <f>IF(B1986&lt;&gt;"",IF(AND(B1986&gt;=_TM1,B1986&lt;=_TM2,OR(TH!L1986="1111",TH!M1986="1111")),TH!D1986,""),"")</f>
        <v/>
      </c>
      <c r="B1986" s="36">
        <f t="shared" si="143"/>
        <v>11</v>
      </c>
      <c r="C1986" s="189">
        <f t="shared" si="136"/>
        <v>42312</v>
      </c>
      <c r="D1986" s="189" t="s">
        <v>1289</v>
      </c>
      <c r="E1986" s="727">
        <v>42312</v>
      </c>
      <c r="F1986" s="868" t="s">
        <v>879</v>
      </c>
      <c r="G1986" s="811" t="s">
        <v>1087</v>
      </c>
      <c r="H1986" s="873" t="s">
        <v>1286</v>
      </c>
      <c r="I1986" s="243">
        <v>35</v>
      </c>
      <c r="J1986" s="243">
        <v>37152</v>
      </c>
      <c r="K1986" s="875">
        <f t="shared" si="142"/>
        <v>1300320</v>
      </c>
      <c r="L1986" s="876" t="s">
        <v>160</v>
      </c>
      <c r="M1986" s="876" t="s">
        <v>417</v>
      </c>
      <c r="N1986" s="51" t="str">
        <f>IF(AND('331-CT'!$E$7=TH!H1986,OR(L1986="331",M1986="331")),"331",IF(AND(OR(L1986="131",M1986="131"),H1986='131-CT'!$E$7),"131",""))</f>
        <v/>
      </c>
      <c r="O1986" s="51" t="str">
        <f>IF(AND($B1986&gt;='111'!$N$11,$B1986&lt;='111'!$O$11,OR($L1986=$O$7,$M1986=$O$7)),"x","")</f>
        <v/>
      </c>
      <c r="P1986" s="51" t="str">
        <f>IF(AND($L1986=$O$7,$B1986&lt;'111'!$N$11),"x","")</f>
        <v/>
      </c>
      <c r="Q1986" s="51" t="str">
        <f>IF(AND($M1986=$O$7,$B1986&lt;'111'!$N$11),"x","")</f>
        <v/>
      </c>
      <c r="R1986" s="51" t="str">
        <f>IF(ISERROR(FIND('112'!$M$9,G1986,1)),"",IF((AND(FIND('112'!$M$9,G1986,1)&gt;=1,$B1986&gt;='112'!$N$8,$B1986&lt;='112'!$O$8,OR($L1986='112'!$I$6,$M1986='112'!$I$6))),"x",""))</f>
        <v/>
      </c>
      <c r="S1986" s="51" t="str">
        <f>IF(ISERROR(FIND('112'!$M$9,G1986,1)),"",IF((AND(LEFT(G1986,2)=LEFT('112'!$M$9,2),B1986&lt;'112'!$N$8,$L1986='112'!$I$6)),"x",""))</f>
        <v/>
      </c>
      <c r="T1986" s="51" t="str">
        <f>IF(ISERROR(FIND('112'!$M$9,G1986,1)),"",IF((AND(RIGHT(G1986,2)=RIGHT('112'!$M$9,2),B1986&lt;'112'!$N$8,$M1986='112'!$I$6)),"x",""))</f>
        <v/>
      </c>
      <c r="U1986" s="51" t="str">
        <f>IF(AND(L1986="154",'154'!$O$5&lt;=B1986,'154'!$P$5&gt;=B1986),"154",IF(AND(L1986="632",'632'!$L$5&lt;=B1986,'632'!$M$5&gt;=B1986),"632",IF(AND(L1986="642",'642'!$N$5&lt;=B1986,'642'!$O$5&gt;=B1986),"642",IF(AND(L1986="641",'641'!$N$5&lt;=B1986,'641'!$O$5&gt;=B1986),"641",""))))</f>
        <v/>
      </c>
      <c r="V1986" s="51" t="str">
        <f>IF(OR(TH!L1986=TH!$V$7,M1986=TH!$V$7),"x","")</f>
        <v/>
      </c>
      <c r="W1986" s="51" t="str">
        <f>IF(AND(B1986&gt;='IN-NX'!$P$3,B1986&lt;='IN-NX'!$Q$3,'IN-NX'!$D$7=D1986,OR(LEFT(L1986,2)="15",AND(LEFT(M1986,2)&lt;&gt;"15",LEFT(M1986,2)&lt;&gt;"33"))),"x","")</f>
        <v/>
      </c>
      <c r="X1986" s="51" t="str">
        <f>IF(AND(OR(LEFT(TH!L1986,2)="15",LEFT(TH!M1986,2)="15"),'152-CT'!$J$8=TH!F1986),"x","")</f>
        <v/>
      </c>
      <c r="Y1986" s="51" t="str">
        <f>IF(AND(OR(LEFT(TH!L1986,2)="15",LEFT(TH!M1986,2)="15"),TK!$E$7=TH!F1986),"x","")</f>
        <v/>
      </c>
      <c r="Z1986" s="51" t="str">
        <f>IF(AND(B1986&lt;=NKC!$N$8,B1986&gt;=NKC!$M$8),"x","")</f>
        <v/>
      </c>
      <c r="AA1986" s="803"/>
    </row>
    <row r="1987" spans="1:27" ht="15.75" customHeight="1">
      <c r="A1987" s="804" t="str">
        <f>IF(B1987&lt;&gt;"",IF(AND(B1987&gt;=_TM1,B1987&lt;=_TM2,OR(TH!L1987="1111",TH!M1987="1111")),TH!D1987,""),"")</f>
        <v/>
      </c>
      <c r="B1987" s="36">
        <f t="shared" si="143"/>
        <v>11</v>
      </c>
      <c r="C1987" s="189">
        <f t="shared" si="136"/>
        <v>42312</v>
      </c>
      <c r="D1987" s="189" t="s">
        <v>1289</v>
      </c>
      <c r="E1987" s="727">
        <v>42312</v>
      </c>
      <c r="F1987" s="868" t="s">
        <v>880</v>
      </c>
      <c r="G1987" s="814" t="s">
        <v>1087</v>
      </c>
      <c r="H1987" s="873" t="s">
        <v>1286</v>
      </c>
      <c r="I1987" s="243">
        <v>20</v>
      </c>
      <c r="J1987" s="243">
        <v>32288</v>
      </c>
      <c r="K1987" s="875">
        <f t="shared" si="142"/>
        <v>645760</v>
      </c>
      <c r="L1987" s="876" t="s">
        <v>160</v>
      </c>
      <c r="M1987" s="876" t="s">
        <v>417</v>
      </c>
      <c r="N1987" s="51" t="str">
        <f>IF(AND('331-CT'!$E$7=TH!H1987,OR(L1987="331",M1987="331")),"331",IF(AND(OR(L1987="131",M1987="131"),H1987='131-CT'!$E$7),"131",""))</f>
        <v/>
      </c>
      <c r="O1987" s="51" t="str">
        <f>IF(AND($B1987&gt;='111'!$N$11,$B1987&lt;='111'!$O$11,OR($L1987=$O$7,$M1987=$O$7)),"x","")</f>
        <v/>
      </c>
      <c r="P1987" s="51" t="str">
        <f>IF(AND($L1987=$O$7,$B1987&lt;'111'!$N$11),"x","")</f>
        <v/>
      </c>
      <c r="Q1987" s="51" t="str">
        <f>IF(AND($M1987=$O$7,$B1987&lt;'111'!$N$11),"x","")</f>
        <v/>
      </c>
      <c r="R1987" s="51" t="str">
        <f>IF(ISERROR(FIND('112'!$M$9,G1987,1)),"",IF((AND(FIND('112'!$M$9,G1987,1)&gt;=1,$B1987&gt;='112'!$N$8,$B1987&lt;='112'!$O$8,OR($L1987='112'!$I$6,$M1987='112'!$I$6))),"x",""))</f>
        <v/>
      </c>
      <c r="S1987" s="51" t="str">
        <f>IF(ISERROR(FIND('112'!$M$9,G1987,1)),"",IF((AND(LEFT(G1987,2)=LEFT('112'!$M$9,2),B1987&lt;'112'!$N$8,$L1987='112'!$I$6)),"x",""))</f>
        <v/>
      </c>
      <c r="T1987" s="51" t="str">
        <f>IF(ISERROR(FIND('112'!$M$9,G1987,1)),"",IF((AND(RIGHT(G1987,2)=RIGHT('112'!$M$9,2),B1987&lt;'112'!$N$8,$M1987='112'!$I$6)),"x",""))</f>
        <v/>
      </c>
      <c r="U1987" s="51" t="str">
        <f>IF(AND(L1987="154",'154'!$O$5&lt;=B1987,'154'!$P$5&gt;=B1987),"154",IF(AND(L1987="632",'632'!$L$5&lt;=B1987,'632'!$M$5&gt;=B1987),"632",IF(AND(L1987="642",'642'!$N$5&lt;=B1987,'642'!$O$5&gt;=B1987),"642",IF(AND(L1987="641",'641'!$N$5&lt;=B1987,'641'!$O$5&gt;=B1987),"641",""))))</f>
        <v/>
      </c>
      <c r="V1987" s="51" t="str">
        <f>IF(OR(TH!L1987=TH!$V$7,M1987=TH!$V$7),"x","")</f>
        <v/>
      </c>
      <c r="W1987" s="51" t="str">
        <f>IF(AND(B1987&gt;='IN-NX'!$P$3,B1987&lt;='IN-NX'!$Q$3,'IN-NX'!$D$7=D1987,OR(LEFT(L1987,2)="15",AND(LEFT(M1987,2)&lt;&gt;"15",LEFT(M1987,2)&lt;&gt;"33"))),"x","")</f>
        <v/>
      </c>
      <c r="X1987" s="51" t="str">
        <f>IF(AND(OR(LEFT(TH!L1987,2)="15",LEFT(TH!M1987,2)="15"),'152-CT'!$J$8=TH!F1987),"x","")</f>
        <v/>
      </c>
      <c r="Y1987" s="51" t="str">
        <f>IF(AND(OR(LEFT(TH!L1987,2)="15",LEFT(TH!M1987,2)="15"),TK!$E$7=TH!F1987),"x","")</f>
        <v/>
      </c>
      <c r="Z1987" s="51" t="str">
        <f>IF(AND(B1987&lt;=NKC!$N$8,B1987&gt;=NKC!$M$8),"x","")</f>
        <v/>
      </c>
      <c r="AA1987" s="803"/>
    </row>
    <row r="1988" spans="1:27" ht="15.75" customHeight="1">
      <c r="A1988" s="804" t="str">
        <f>IF(B1988&lt;&gt;"",IF(AND(B1988&gt;=_TM1,B1988&lt;=_TM2,OR(TH!L1988="1111",TH!M1988="1111")),TH!D1988,""),"")</f>
        <v/>
      </c>
      <c r="B1988" s="36">
        <f t="shared" si="143"/>
        <v>11</v>
      </c>
      <c r="C1988" s="189">
        <f t="shared" si="136"/>
        <v>42312</v>
      </c>
      <c r="D1988" s="189" t="s">
        <v>1289</v>
      </c>
      <c r="E1988" s="727">
        <v>42312</v>
      </c>
      <c r="F1988" s="868" t="s">
        <v>814</v>
      </c>
      <c r="G1988" s="814" t="s">
        <v>1087</v>
      </c>
      <c r="H1988" s="873" t="s">
        <v>1286</v>
      </c>
      <c r="I1988" s="243">
        <v>6</v>
      </c>
      <c r="J1988" s="243">
        <v>35438</v>
      </c>
      <c r="K1988" s="875">
        <f t="shared" si="142"/>
        <v>212628</v>
      </c>
      <c r="L1988" s="876" t="s">
        <v>160</v>
      </c>
      <c r="M1988" s="876" t="s">
        <v>417</v>
      </c>
      <c r="N1988" s="51" t="str">
        <f>IF(AND('331-CT'!$E$7=TH!H1988,OR(L1988="331",M1988="331")),"331",IF(AND(OR(L1988="131",M1988="131"),H1988='131-CT'!$E$7),"131",""))</f>
        <v/>
      </c>
      <c r="O1988" s="51" t="str">
        <f>IF(AND($B1988&gt;='111'!$N$11,$B1988&lt;='111'!$O$11,OR($L1988=$O$7,$M1988=$O$7)),"x","")</f>
        <v/>
      </c>
      <c r="P1988" s="51" t="str">
        <f>IF(AND($L1988=$O$7,$B1988&lt;'111'!$N$11),"x","")</f>
        <v/>
      </c>
      <c r="Q1988" s="51" t="str">
        <f>IF(AND($M1988=$O$7,$B1988&lt;'111'!$N$11),"x","")</f>
        <v/>
      </c>
      <c r="R1988" s="51" t="str">
        <f>IF(ISERROR(FIND('112'!$M$9,G1988,1)),"",IF((AND(FIND('112'!$M$9,G1988,1)&gt;=1,$B1988&gt;='112'!$N$8,$B1988&lt;='112'!$O$8,OR($L1988='112'!$I$6,$M1988='112'!$I$6))),"x",""))</f>
        <v/>
      </c>
      <c r="S1988" s="51" t="str">
        <f>IF(ISERROR(FIND('112'!$M$9,G1988,1)),"",IF((AND(LEFT(G1988,2)=LEFT('112'!$M$9,2),B1988&lt;'112'!$N$8,$L1988='112'!$I$6)),"x",""))</f>
        <v/>
      </c>
      <c r="T1988" s="51" t="str">
        <f>IF(ISERROR(FIND('112'!$M$9,G1988,1)),"",IF((AND(RIGHT(G1988,2)=RIGHT('112'!$M$9,2),B1988&lt;'112'!$N$8,$M1988='112'!$I$6)),"x",""))</f>
        <v/>
      </c>
      <c r="U1988" s="51" t="str">
        <f>IF(AND(L1988="154",'154'!$O$5&lt;=B1988,'154'!$P$5&gt;=B1988),"154",IF(AND(L1988="632",'632'!$L$5&lt;=B1988,'632'!$M$5&gt;=B1988),"632",IF(AND(L1988="642",'642'!$N$5&lt;=B1988,'642'!$O$5&gt;=B1988),"642",IF(AND(L1988="641",'641'!$N$5&lt;=B1988,'641'!$O$5&gt;=B1988),"641",""))))</f>
        <v/>
      </c>
      <c r="V1988" s="51" t="str">
        <f>IF(OR(TH!L1988=TH!$V$7,M1988=TH!$V$7),"x","")</f>
        <v/>
      </c>
      <c r="W1988" s="51" t="str">
        <f>IF(AND(B1988&gt;='IN-NX'!$P$3,B1988&lt;='IN-NX'!$Q$3,'IN-NX'!$D$7=D1988,OR(LEFT(L1988,2)="15",AND(LEFT(M1988,2)&lt;&gt;"15",LEFT(M1988,2)&lt;&gt;"33"))),"x","")</f>
        <v/>
      </c>
      <c r="X1988" s="51" t="str">
        <f>IF(AND(OR(LEFT(TH!L1988,2)="15",LEFT(TH!M1988,2)="15"),'152-CT'!$J$8=TH!F1988),"x","")</f>
        <v/>
      </c>
      <c r="Y1988" s="51" t="str">
        <f>IF(AND(OR(LEFT(TH!L1988,2)="15",LEFT(TH!M1988,2)="15"),TK!$E$7=TH!F1988),"x","")</f>
        <v/>
      </c>
      <c r="Z1988" s="51" t="str">
        <f>IF(AND(B1988&lt;=NKC!$N$8,B1988&gt;=NKC!$M$8),"x","")</f>
        <v/>
      </c>
      <c r="AA1988" s="803"/>
    </row>
    <row r="1989" spans="1:27" ht="15.75" customHeight="1">
      <c r="A1989" s="804" t="str">
        <f>IF(B1989&lt;&gt;"",IF(AND(B1989&gt;=_TM1,B1989&lt;=_TM2,OR(TH!L1989="1111",TH!M1989="1111")),TH!D1989,""),"")</f>
        <v/>
      </c>
      <c r="B1989" s="36">
        <f t="shared" si="143"/>
        <v>11</v>
      </c>
      <c r="C1989" s="189">
        <f t="shared" si="136"/>
        <v>42312</v>
      </c>
      <c r="D1989" s="189" t="s">
        <v>1289</v>
      </c>
      <c r="E1989" s="727">
        <v>42312</v>
      </c>
      <c r="F1989" s="868" t="s">
        <v>811</v>
      </c>
      <c r="G1989" s="814" t="s">
        <v>1087</v>
      </c>
      <c r="H1989" s="873" t="s">
        <v>1286</v>
      </c>
      <c r="I1989" s="243">
        <v>80</v>
      </c>
      <c r="J1989" s="243">
        <v>37125</v>
      </c>
      <c r="K1989" s="875">
        <f t="shared" si="142"/>
        <v>2970000</v>
      </c>
      <c r="L1989" s="876" t="s">
        <v>160</v>
      </c>
      <c r="M1989" s="876" t="s">
        <v>417</v>
      </c>
      <c r="N1989" s="51" t="str">
        <f>IF(AND('331-CT'!$E$7=TH!H1989,OR(L1989="331",M1989="331")),"331",IF(AND(OR(L1989="131",M1989="131"),H1989='131-CT'!$E$7),"131",""))</f>
        <v/>
      </c>
      <c r="O1989" s="51" t="str">
        <f>IF(AND($B1989&gt;='111'!$N$11,$B1989&lt;='111'!$O$11,OR($L1989=$O$7,$M1989=$O$7)),"x","")</f>
        <v/>
      </c>
      <c r="P1989" s="51" t="str">
        <f>IF(AND($L1989=$O$7,$B1989&lt;'111'!$N$11),"x","")</f>
        <v/>
      </c>
      <c r="Q1989" s="51" t="str">
        <f>IF(AND($M1989=$O$7,$B1989&lt;'111'!$N$11),"x","")</f>
        <v/>
      </c>
      <c r="R1989" s="51" t="str">
        <f>IF(ISERROR(FIND('112'!$M$9,G1989,1)),"",IF((AND(FIND('112'!$M$9,G1989,1)&gt;=1,$B1989&gt;='112'!$N$8,$B1989&lt;='112'!$O$8,OR($L1989='112'!$I$6,$M1989='112'!$I$6))),"x",""))</f>
        <v/>
      </c>
      <c r="S1989" s="51" t="str">
        <f>IF(ISERROR(FIND('112'!$M$9,G1989,1)),"",IF((AND(LEFT(G1989,2)=LEFT('112'!$M$9,2),B1989&lt;'112'!$N$8,$L1989='112'!$I$6)),"x",""))</f>
        <v/>
      </c>
      <c r="T1989" s="51" t="str">
        <f>IF(ISERROR(FIND('112'!$M$9,G1989,1)),"",IF((AND(RIGHT(G1989,2)=RIGHT('112'!$M$9,2),B1989&lt;'112'!$N$8,$M1989='112'!$I$6)),"x",""))</f>
        <v/>
      </c>
      <c r="U1989" s="51" t="str">
        <f>IF(AND(L1989="154",'154'!$O$5&lt;=B1989,'154'!$P$5&gt;=B1989),"154",IF(AND(L1989="632",'632'!$L$5&lt;=B1989,'632'!$M$5&gt;=B1989),"632",IF(AND(L1989="642",'642'!$N$5&lt;=B1989,'642'!$O$5&gt;=B1989),"642",IF(AND(L1989="641",'641'!$N$5&lt;=B1989,'641'!$O$5&gt;=B1989),"641",""))))</f>
        <v/>
      </c>
      <c r="V1989" s="51" t="str">
        <f>IF(OR(TH!L1989=TH!$V$7,M1989=TH!$V$7),"x","")</f>
        <v/>
      </c>
      <c r="W1989" s="51" t="str">
        <f>IF(AND(B1989&gt;='IN-NX'!$P$3,B1989&lt;='IN-NX'!$Q$3,'IN-NX'!$D$7=D1989,OR(LEFT(L1989,2)="15",AND(LEFT(M1989,2)&lt;&gt;"15",LEFT(M1989,2)&lt;&gt;"33"))),"x","")</f>
        <v/>
      </c>
      <c r="X1989" s="51" t="str">
        <f>IF(AND(OR(LEFT(TH!L1989,2)="15",LEFT(TH!M1989,2)="15"),'152-CT'!$J$8=TH!F1989),"x","")</f>
        <v/>
      </c>
      <c r="Y1989" s="51" t="str">
        <f>IF(AND(OR(LEFT(TH!L1989,2)="15",LEFT(TH!M1989,2)="15"),TK!$E$7=TH!F1989),"x","")</f>
        <v/>
      </c>
      <c r="Z1989" s="51" t="str">
        <f>IF(AND(B1989&lt;=NKC!$N$8,B1989&gt;=NKC!$M$8),"x","")</f>
        <v/>
      </c>
      <c r="AA1989" s="803"/>
    </row>
    <row r="1990" spans="1:27" ht="15.75" customHeight="1">
      <c r="A1990" s="804" t="str">
        <f>IF(B1990&lt;&gt;"",IF(AND(B1990&gt;=_TM1,B1990&lt;=_TM2,OR(TH!L1990="1111",TH!M1990="1111")),TH!D1990,""),"")</f>
        <v/>
      </c>
      <c r="B1990" s="36">
        <f t="shared" si="143"/>
        <v>11</v>
      </c>
      <c r="C1990" s="189">
        <f t="shared" si="136"/>
        <v>42312</v>
      </c>
      <c r="D1990" s="189" t="s">
        <v>1289</v>
      </c>
      <c r="E1990" s="727">
        <v>42312</v>
      </c>
      <c r="F1990" s="868" t="s">
        <v>788</v>
      </c>
      <c r="G1990" s="814" t="s">
        <v>1087</v>
      </c>
      <c r="H1990" s="873" t="s">
        <v>1286</v>
      </c>
      <c r="I1990" s="243">
        <v>20</v>
      </c>
      <c r="J1990" s="243">
        <v>30576</v>
      </c>
      <c r="K1990" s="875">
        <f t="shared" si="142"/>
        <v>611520</v>
      </c>
      <c r="L1990" s="876" t="s">
        <v>160</v>
      </c>
      <c r="M1990" s="876" t="s">
        <v>417</v>
      </c>
      <c r="N1990" s="51" t="str">
        <f>IF(AND('331-CT'!$E$7=TH!H1990,OR(L1990="331",M1990="331")),"331",IF(AND(OR(L1990="131",M1990="131"),H1990='131-CT'!$E$7),"131",""))</f>
        <v/>
      </c>
      <c r="O1990" s="51" t="str">
        <f>IF(AND($B1990&gt;='111'!$N$11,$B1990&lt;='111'!$O$11,OR($L1990=$O$7,$M1990=$O$7)),"x","")</f>
        <v/>
      </c>
      <c r="P1990" s="51" t="str">
        <f>IF(AND($L1990=$O$7,$B1990&lt;'111'!$N$11),"x","")</f>
        <v/>
      </c>
      <c r="Q1990" s="51" t="str">
        <f>IF(AND($M1990=$O$7,$B1990&lt;'111'!$N$11),"x","")</f>
        <v/>
      </c>
      <c r="R1990" s="51" t="str">
        <f>IF(ISERROR(FIND('112'!$M$9,G1990,1)),"",IF((AND(FIND('112'!$M$9,G1990,1)&gt;=1,$B1990&gt;='112'!$N$8,$B1990&lt;='112'!$O$8,OR($L1990='112'!$I$6,$M1990='112'!$I$6))),"x",""))</f>
        <v/>
      </c>
      <c r="S1990" s="51" t="str">
        <f>IF(ISERROR(FIND('112'!$M$9,G1990,1)),"",IF((AND(LEFT(G1990,2)=LEFT('112'!$M$9,2),B1990&lt;'112'!$N$8,$L1990='112'!$I$6)),"x",""))</f>
        <v/>
      </c>
      <c r="T1990" s="51" t="str">
        <f>IF(ISERROR(FIND('112'!$M$9,G1990,1)),"",IF((AND(RIGHT(G1990,2)=RIGHT('112'!$M$9,2),B1990&lt;'112'!$N$8,$M1990='112'!$I$6)),"x",""))</f>
        <v/>
      </c>
      <c r="U1990" s="51" t="str">
        <f>IF(AND(L1990="154",'154'!$O$5&lt;=B1990,'154'!$P$5&gt;=B1990),"154",IF(AND(L1990="632",'632'!$L$5&lt;=B1990,'632'!$M$5&gt;=B1990),"632",IF(AND(L1990="642",'642'!$N$5&lt;=B1990,'642'!$O$5&gt;=B1990),"642",IF(AND(L1990="641",'641'!$N$5&lt;=B1990,'641'!$O$5&gt;=B1990),"641",""))))</f>
        <v/>
      </c>
      <c r="V1990" s="51" t="str">
        <f>IF(OR(TH!L1990=TH!$V$7,M1990=TH!$V$7),"x","")</f>
        <v/>
      </c>
      <c r="W1990" s="51" t="str">
        <f>IF(AND(B1990&gt;='IN-NX'!$P$3,B1990&lt;='IN-NX'!$Q$3,'IN-NX'!$D$7=D1990,OR(LEFT(L1990,2)="15",AND(LEFT(M1990,2)&lt;&gt;"15",LEFT(M1990,2)&lt;&gt;"33"))),"x","")</f>
        <v/>
      </c>
      <c r="X1990" s="51" t="str">
        <f>IF(AND(OR(LEFT(TH!L1990,2)="15",LEFT(TH!M1990,2)="15"),'152-CT'!$J$8=TH!F1990),"x","")</f>
        <v/>
      </c>
      <c r="Y1990" s="51" t="str">
        <f>IF(AND(OR(LEFT(TH!L1990,2)="15",LEFT(TH!M1990,2)="15"),TK!$E$7=TH!F1990),"x","")</f>
        <v/>
      </c>
      <c r="Z1990" s="51" t="str">
        <f>IF(AND(B1990&lt;=NKC!$N$8,B1990&gt;=NKC!$M$8),"x","")</f>
        <v/>
      </c>
      <c r="AA1990" s="803"/>
    </row>
    <row r="1991" spans="1:27" ht="15.75" customHeight="1">
      <c r="A1991" s="804" t="str">
        <f>IF(B1991&lt;&gt;"",IF(AND(B1991&gt;=_TM1,B1991&lt;=_TM2,OR(TH!L1991="1111",TH!M1991="1111")),TH!D1991,""),"")</f>
        <v/>
      </c>
      <c r="B1991" s="36">
        <f t="shared" si="143"/>
        <v>11</v>
      </c>
      <c r="C1991" s="189">
        <f t="shared" si="136"/>
        <v>42312</v>
      </c>
      <c r="D1991" s="189" t="s">
        <v>1289</v>
      </c>
      <c r="E1991" s="727">
        <v>42312</v>
      </c>
      <c r="F1991" s="868" t="s">
        <v>849</v>
      </c>
      <c r="G1991" s="814" t="s">
        <v>1087</v>
      </c>
      <c r="H1991" s="873" t="s">
        <v>1286</v>
      </c>
      <c r="I1991" s="243">
        <v>90</v>
      </c>
      <c r="J1991" s="243">
        <v>19008</v>
      </c>
      <c r="K1991" s="875">
        <f t="shared" si="142"/>
        <v>1710720</v>
      </c>
      <c r="L1991" s="876" t="s">
        <v>160</v>
      </c>
      <c r="M1991" s="876" t="s">
        <v>417</v>
      </c>
      <c r="N1991" s="51" t="str">
        <f>IF(AND('331-CT'!$E$7=TH!H1991,OR(L1991="331",M1991="331")),"331",IF(AND(OR(L1991="131",M1991="131"),H1991='131-CT'!$E$7),"131",""))</f>
        <v/>
      </c>
      <c r="O1991" s="51" t="str">
        <f>IF(AND($B1991&gt;='111'!$N$11,$B1991&lt;='111'!$O$11,OR($L1991=$O$7,$M1991=$O$7)),"x","")</f>
        <v/>
      </c>
      <c r="P1991" s="51" t="str">
        <f>IF(AND($L1991=$O$7,$B1991&lt;'111'!$N$11),"x","")</f>
        <v/>
      </c>
      <c r="Q1991" s="51" t="str">
        <f>IF(AND($M1991=$O$7,$B1991&lt;'111'!$N$11),"x","")</f>
        <v/>
      </c>
      <c r="R1991" s="51" t="str">
        <f>IF(ISERROR(FIND('112'!$M$9,G1991,1)),"",IF((AND(FIND('112'!$M$9,G1991,1)&gt;=1,$B1991&gt;='112'!$N$8,$B1991&lt;='112'!$O$8,OR($L1991='112'!$I$6,$M1991='112'!$I$6))),"x",""))</f>
        <v/>
      </c>
      <c r="S1991" s="51" t="str">
        <f>IF(ISERROR(FIND('112'!$M$9,G1991,1)),"",IF((AND(LEFT(G1991,2)=LEFT('112'!$M$9,2),B1991&lt;'112'!$N$8,$L1991='112'!$I$6)),"x",""))</f>
        <v/>
      </c>
      <c r="T1991" s="51" t="str">
        <f>IF(ISERROR(FIND('112'!$M$9,G1991,1)),"",IF((AND(RIGHT(G1991,2)=RIGHT('112'!$M$9,2),B1991&lt;'112'!$N$8,$M1991='112'!$I$6)),"x",""))</f>
        <v/>
      </c>
      <c r="U1991" s="51" t="str">
        <f>IF(AND(L1991="154",'154'!$O$5&lt;=B1991,'154'!$P$5&gt;=B1991),"154",IF(AND(L1991="632",'632'!$L$5&lt;=B1991,'632'!$M$5&gt;=B1991),"632",IF(AND(L1991="642",'642'!$N$5&lt;=B1991,'642'!$O$5&gt;=B1991),"642",IF(AND(L1991="641",'641'!$N$5&lt;=B1991,'641'!$O$5&gt;=B1991),"641",""))))</f>
        <v/>
      </c>
      <c r="V1991" s="51" t="str">
        <f>IF(OR(TH!L1991=TH!$V$7,M1991=TH!$V$7),"x","")</f>
        <v/>
      </c>
      <c r="W1991" s="51" t="str">
        <f>IF(AND(B1991&gt;='IN-NX'!$P$3,B1991&lt;='IN-NX'!$Q$3,'IN-NX'!$D$7=D1991,OR(LEFT(L1991,2)="15",AND(LEFT(M1991,2)&lt;&gt;"15",LEFT(M1991,2)&lt;&gt;"33"))),"x","")</f>
        <v/>
      </c>
      <c r="X1991" s="51" t="str">
        <f>IF(AND(OR(LEFT(TH!L1991,2)="15",LEFT(TH!M1991,2)="15"),'152-CT'!$J$8=TH!F1991),"x","")</f>
        <v/>
      </c>
      <c r="Y1991" s="51" t="str">
        <f>IF(AND(OR(LEFT(TH!L1991,2)="15",LEFT(TH!M1991,2)="15"),TK!$E$7=TH!F1991),"x","")</f>
        <v/>
      </c>
      <c r="Z1991" s="51" t="str">
        <f>IF(AND(B1991&lt;=NKC!$N$8,B1991&gt;=NKC!$M$8),"x","")</f>
        <v/>
      </c>
      <c r="AA1991" s="803"/>
    </row>
    <row r="1992" spans="1:27" ht="15.75" customHeight="1">
      <c r="A1992" s="804" t="str">
        <f>IF(B1992&lt;&gt;"",IF(AND(B1992&gt;=_TM1,B1992&lt;=_TM2,OR(TH!L1992="1111",TH!M1992="1111")),TH!D1992,""),"")</f>
        <v/>
      </c>
      <c r="B1992" s="36">
        <f t="shared" si="143"/>
        <v>11</v>
      </c>
      <c r="C1992" s="189">
        <f t="shared" si="136"/>
        <v>42312</v>
      </c>
      <c r="D1992" s="189" t="s">
        <v>1289</v>
      </c>
      <c r="E1992" s="727">
        <v>42312</v>
      </c>
      <c r="F1992" s="187" t="s">
        <v>567</v>
      </c>
      <c r="G1992" s="814" t="s">
        <v>1087</v>
      </c>
      <c r="H1992" s="873" t="s">
        <v>1286</v>
      </c>
      <c r="I1992" s="243">
        <v>20</v>
      </c>
      <c r="J1992" s="243">
        <v>24638</v>
      </c>
      <c r="K1992" s="875">
        <f t="shared" si="142"/>
        <v>492760</v>
      </c>
      <c r="L1992" s="876" t="s">
        <v>160</v>
      </c>
      <c r="M1992" s="876" t="s">
        <v>417</v>
      </c>
      <c r="N1992" s="51" t="str">
        <f>IF(AND('331-CT'!$E$7=TH!H1992,OR(L1992="331",M1992="331")),"331",IF(AND(OR(L1992="131",M1992="131"),H1992='131-CT'!$E$7),"131",""))</f>
        <v/>
      </c>
      <c r="O1992" s="51" t="str">
        <f>IF(AND($B1992&gt;='111'!$N$11,$B1992&lt;='111'!$O$11,OR($L1992=$O$7,$M1992=$O$7)),"x","")</f>
        <v/>
      </c>
      <c r="P1992" s="51" t="str">
        <f>IF(AND($L1992=$O$7,$B1992&lt;'111'!$N$11),"x","")</f>
        <v/>
      </c>
      <c r="Q1992" s="51" t="str">
        <f>IF(AND($M1992=$O$7,$B1992&lt;'111'!$N$11),"x","")</f>
        <v/>
      </c>
      <c r="R1992" s="51" t="str">
        <f>IF(ISERROR(FIND('112'!$M$9,G1992,1)),"",IF((AND(FIND('112'!$M$9,G1992,1)&gt;=1,$B1992&gt;='112'!$N$8,$B1992&lt;='112'!$O$8,OR($L1992='112'!$I$6,$M1992='112'!$I$6))),"x",""))</f>
        <v/>
      </c>
      <c r="S1992" s="51" t="str">
        <f>IF(ISERROR(FIND('112'!$M$9,G1992,1)),"",IF((AND(LEFT(G1992,2)=LEFT('112'!$M$9,2),B1992&lt;'112'!$N$8,$L1992='112'!$I$6)),"x",""))</f>
        <v/>
      </c>
      <c r="T1992" s="51" t="str">
        <f>IF(ISERROR(FIND('112'!$M$9,G1992,1)),"",IF((AND(RIGHT(G1992,2)=RIGHT('112'!$M$9,2),B1992&lt;'112'!$N$8,$M1992='112'!$I$6)),"x",""))</f>
        <v/>
      </c>
      <c r="U1992" s="51" t="str">
        <f>IF(AND(L1992="154",'154'!$O$5&lt;=B1992,'154'!$P$5&gt;=B1992),"154",IF(AND(L1992="632",'632'!$L$5&lt;=B1992,'632'!$M$5&gt;=B1992),"632",IF(AND(L1992="642",'642'!$N$5&lt;=B1992,'642'!$O$5&gt;=B1992),"642",IF(AND(L1992="641",'641'!$N$5&lt;=B1992,'641'!$O$5&gt;=B1992),"641",""))))</f>
        <v/>
      </c>
      <c r="V1992" s="51" t="str">
        <f>IF(OR(TH!L1992=TH!$V$7,M1992=TH!$V$7),"x","")</f>
        <v/>
      </c>
      <c r="W1992" s="51" t="str">
        <f>IF(AND(B1992&gt;='IN-NX'!$P$3,B1992&lt;='IN-NX'!$Q$3,'IN-NX'!$D$7=D1992,OR(LEFT(L1992,2)="15",AND(LEFT(M1992,2)&lt;&gt;"15",LEFT(M1992,2)&lt;&gt;"33"))),"x","")</f>
        <v/>
      </c>
      <c r="X1992" s="51" t="str">
        <f>IF(AND(OR(LEFT(TH!L1992,2)="15",LEFT(TH!M1992,2)="15"),'152-CT'!$J$8=TH!F1992),"x","")</f>
        <v/>
      </c>
      <c r="Y1992" s="51" t="str">
        <f>IF(AND(OR(LEFT(TH!L1992,2)="15",LEFT(TH!M1992,2)="15"),TK!$E$7=TH!F1992),"x","")</f>
        <v/>
      </c>
      <c r="Z1992" s="51" t="str">
        <f>IF(AND(B1992&lt;=NKC!$N$8,B1992&gt;=NKC!$M$8),"x","")</f>
        <v/>
      </c>
      <c r="AA1992" s="803"/>
    </row>
    <row r="1993" spans="1:27" ht="15.75" customHeight="1">
      <c r="A1993" s="804" t="str">
        <f>IF(B1993&lt;&gt;"",IF(AND(B1993&gt;=_TM1,B1993&lt;=_TM2,OR(TH!L1993="1111",TH!M1993="1111")),TH!D1993,""),"")</f>
        <v/>
      </c>
      <c r="B1993" s="36">
        <f t="shared" si="143"/>
        <v>11</v>
      </c>
      <c r="C1993" s="189">
        <f t="shared" si="136"/>
        <v>42316</v>
      </c>
      <c r="D1993" s="189" t="s">
        <v>1289</v>
      </c>
      <c r="E1993" s="727">
        <v>42316</v>
      </c>
      <c r="F1993" s="868" t="s">
        <v>866</v>
      </c>
      <c r="G1993" s="814" t="s">
        <v>1088</v>
      </c>
      <c r="H1993" s="873" t="s">
        <v>1286</v>
      </c>
      <c r="I1993" s="243">
        <v>1000</v>
      </c>
      <c r="J1993" s="243">
        <v>8376</v>
      </c>
      <c r="K1993" s="875">
        <f t="shared" si="142"/>
        <v>8376000</v>
      </c>
      <c r="L1993" s="876" t="s">
        <v>160</v>
      </c>
      <c r="M1993" s="876" t="s">
        <v>417</v>
      </c>
      <c r="N1993" s="51" t="str">
        <f>IF(AND('331-CT'!$E$7=TH!H1993,OR(L1993="331",M1993="331")),"331",IF(AND(OR(L1993="131",M1993="131"),H1993='131-CT'!$E$7),"131",""))</f>
        <v/>
      </c>
      <c r="O1993" s="51" t="str">
        <f>IF(AND($B1993&gt;='111'!$N$11,$B1993&lt;='111'!$O$11,OR($L1993=$O$7,$M1993=$O$7)),"x","")</f>
        <v/>
      </c>
      <c r="P1993" s="51" t="str">
        <f>IF(AND($L1993=$O$7,$B1993&lt;'111'!$N$11),"x","")</f>
        <v/>
      </c>
      <c r="Q1993" s="51" t="str">
        <f>IF(AND($M1993=$O$7,$B1993&lt;'111'!$N$11),"x","")</f>
        <v/>
      </c>
      <c r="R1993" s="51" t="str">
        <f>IF(ISERROR(FIND('112'!$M$9,G1993,1)),"",IF((AND(FIND('112'!$M$9,G1993,1)&gt;=1,$B1993&gt;='112'!$N$8,$B1993&lt;='112'!$O$8,OR($L1993='112'!$I$6,$M1993='112'!$I$6))),"x",""))</f>
        <v/>
      </c>
      <c r="S1993" s="51" t="str">
        <f>IF(ISERROR(FIND('112'!$M$9,G1993,1)),"",IF((AND(LEFT(G1993,2)=LEFT('112'!$M$9,2),B1993&lt;'112'!$N$8,$L1993='112'!$I$6)),"x",""))</f>
        <v/>
      </c>
      <c r="T1993" s="51" t="str">
        <f>IF(ISERROR(FIND('112'!$M$9,G1993,1)),"",IF((AND(RIGHT(G1993,2)=RIGHT('112'!$M$9,2),B1993&lt;'112'!$N$8,$M1993='112'!$I$6)),"x",""))</f>
        <v/>
      </c>
      <c r="U1993" s="51" t="str">
        <f>IF(AND(L1993="154",'154'!$O$5&lt;=B1993,'154'!$P$5&gt;=B1993),"154",IF(AND(L1993="632",'632'!$L$5&lt;=B1993,'632'!$M$5&gt;=B1993),"632",IF(AND(L1993="642",'642'!$N$5&lt;=B1993,'642'!$O$5&gt;=B1993),"642",IF(AND(L1993="641",'641'!$N$5&lt;=B1993,'641'!$O$5&gt;=B1993),"641",""))))</f>
        <v/>
      </c>
      <c r="V1993" s="51" t="str">
        <f>IF(OR(TH!L1993=TH!$V$7,M1993=TH!$V$7),"x","")</f>
        <v/>
      </c>
      <c r="W1993" s="51" t="str">
        <f>IF(AND(B1993&gt;='IN-NX'!$P$3,B1993&lt;='IN-NX'!$Q$3,'IN-NX'!$D$7=D1993,OR(LEFT(L1993,2)="15",AND(LEFT(M1993,2)&lt;&gt;"15",LEFT(M1993,2)&lt;&gt;"33"))),"x","")</f>
        <v/>
      </c>
      <c r="X1993" s="51" t="str">
        <f>IF(AND(OR(LEFT(TH!L1993,2)="15",LEFT(TH!M1993,2)="15"),'152-CT'!$J$8=TH!F1993),"x","")</f>
        <v/>
      </c>
      <c r="Y1993" s="51" t="str">
        <f>IF(AND(OR(LEFT(TH!L1993,2)="15",LEFT(TH!M1993,2)="15"),TK!$E$7=TH!F1993),"x","")</f>
        <v/>
      </c>
      <c r="Z1993" s="51" t="str">
        <f>IF(AND(B1993&lt;=NKC!$N$8,B1993&gt;=NKC!$M$8),"x","")</f>
        <v/>
      </c>
      <c r="AA1993" s="803"/>
    </row>
    <row r="1994" spans="1:27" ht="15.75" customHeight="1">
      <c r="A1994" s="804" t="str">
        <f>IF(B1994&lt;&gt;"",IF(AND(B1994&gt;=_TM1,B1994&lt;=_TM2,OR(TH!L1994="1111",TH!M1994="1111")),TH!D1994,""),"")</f>
        <v/>
      </c>
      <c r="B1994" s="36">
        <f t="shared" si="143"/>
        <v>11</v>
      </c>
      <c r="C1994" s="189">
        <f t="shared" si="136"/>
        <v>42316</v>
      </c>
      <c r="D1994" s="189" t="s">
        <v>1289</v>
      </c>
      <c r="E1994" s="727">
        <v>42316</v>
      </c>
      <c r="F1994" s="868" t="s">
        <v>549</v>
      </c>
      <c r="G1994" s="814" t="s">
        <v>1088</v>
      </c>
      <c r="H1994" s="873" t="s">
        <v>1286</v>
      </c>
      <c r="I1994" s="243">
        <v>100</v>
      </c>
      <c r="J1994" s="243">
        <v>11951</v>
      </c>
      <c r="K1994" s="875">
        <f t="shared" si="142"/>
        <v>1195100</v>
      </c>
      <c r="L1994" s="876" t="s">
        <v>160</v>
      </c>
      <c r="M1994" s="876" t="s">
        <v>417</v>
      </c>
      <c r="N1994" s="51" t="str">
        <f>IF(AND('331-CT'!$E$7=TH!H1994,OR(L1994="331",M1994="331")),"331",IF(AND(OR(L1994="131",M1994="131"),H1994='131-CT'!$E$7),"131",""))</f>
        <v/>
      </c>
      <c r="O1994" s="51" t="str">
        <f>IF(AND($B1994&gt;='111'!$N$11,$B1994&lt;='111'!$O$11,OR($L1994=$O$7,$M1994=$O$7)),"x","")</f>
        <v/>
      </c>
      <c r="P1994" s="51" t="str">
        <f>IF(AND($L1994=$O$7,$B1994&lt;'111'!$N$11),"x","")</f>
        <v/>
      </c>
      <c r="Q1994" s="51" t="str">
        <f>IF(AND($M1994=$O$7,$B1994&lt;'111'!$N$11),"x","")</f>
        <v/>
      </c>
      <c r="R1994" s="51" t="str">
        <f>IF(ISERROR(FIND('112'!$M$9,G1994,1)),"",IF((AND(FIND('112'!$M$9,G1994,1)&gt;=1,$B1994&gt;='112'!$N$8,$B1994&lt;='112'!$O$8,OR($L1994='112'!$I$6,$M1994='112'!$I$6))),"x",""))</f>
        <v/>
      </c>
      <c r="S1994" s="51" t="str">
        <f>IF(ISERROR(FIND('112'!$M$9,G1994,1)),"",IF((AND(LEFT(G1994,2)=LEFT('112'!$M$9,2),B1994&lt;'112'!$N$8,$L1994='112'!$I$6)),"x",""))</f>
        <v/>
      </c>
      <c r="T1994" s="51" t="str">
        <f>IF(ISERROR(FIND('112'!$M$9,G1994,1)),"",IF((AND(RIGHT(G1994,2)=RIGHT('112'!$M$9,2),B1994&lt;'112'!$N$8,$M1994='112'!$I$6)),"x",""))</f>
        <v/>
      </c>
      <c r="U1994" s="51" t="str">
        <f>IF(AND(L1994="154",'154'!$O$5&lt;=B1994,'154'!$P$5&gt;=B1994),"154",IF(AND(L1994="632",'632'!$L$5&lt;=B1994,'632'!$M$5&gt;=B1994),"632",IF(AND(L1994="642",'642'!$N$5&lt;=B1994,'642'!$O$5&gt;=B1994),"642",IF(AND(L1994="641",'641'!$N$5&lt;=B1994,'641'!$O$5&gt;=B1994),"641",""))))</f>
        <v/>
      </c>
      <c r="V1994" s="51" t="str">
        <f>IF(OR(TH!L1994=TH!$V$7,M1994=TH!$V$7),"x","")</f>
        <v/>
      </c>
      <c r="W1994" s="51" t="str">
        <f>IF(AND(B1994&gt;='IN-NX'!$P$3,B1994&lt;='IN-NX'!$Q$3,'IN-NX'!$D$7=D1994,OR(LEFT(L1994,2)="15",AND(LEFT(M1994,2)&lt;&gt;"15",LEFT(M1994,2)&lt;&gt;"33"))),"x","")</f>
        <v/>
      </c>
      <c r="X1994" s="51" t="str">
        <f>IF(AND(OR(LEFT(TH!L1994,2)="15",LEFT(TH!M1994,2)="15"),'152-CT'!$J$8=TH!F1994),"x","")</f>
        <v/>
      </c>
      <c r="Y1994" s="51" t="str">
        <f>IF(AND(OR(LEFT(TH!L1994,2)="15",LEFT(TH!M1994,2)="15"),TK!$E$7=TH!F1994),"x","")</f>
        <v/>
      </c>
      <c r="Z1994" s="51" t="str">
        <f>IF(AND(B1994&lt;=NKC!$N$8,B1994&gt;=NKC!$M$8),"x","")</f>
        <v/>
      </c>
      <c r="AA1994" s="803"/>
    </row>
    <row r="1995" spans="1:27" ht="15.75" customHeight="1">
      <c r="A1995" s="804" t="str">
        <f>IF(B1995&lt;&gt;"",IF(AND(B1995&gt;=_TM1,B1995&lt;=_TM2,OR(TH!L1995="1111",TH!M1995="1111")),TH!D1995,""),"")</f>
        <v/>
      </c>
      <c r="B1995" s="36">
        <f t="shared" si="143"/>
        <v>11</v>
      </c>
      <c r="C1995" s="189">
        <f t="shared" si="136"/>
        <v>42326</v>
      </c>
      <c r="D1995" s="189" t="s">
        <v>1289</v>
      </c>
      <c r="E1995" s="727">
        <v>42326</v>
      </c>
      <c r="F1995" s="868" t="s">
        <v>1128</v>
      </c>
      <c r="G1995" s="811" t="s">
        <v>1095</v>
      </c>
      <c r="H1995" s="873" t="s">
        <v>1286</v>
      </c>
      <c r="I1995" s="243">
        <v>20</v>
      </c>
      <c r="J1995" s="243">
        <v>19135</v>
      </c>
      <c r="K1995" s="875">
        <f t="shared" ref="K1995:K1997" si="144">ROUND(I1995*J1995,0)</f>
        <v>382700</v>
      </c>
      <c r="L1995" s="876" t="s">
        <v>160</v>
      </c>
      <c r="M1995" s="876" t="s">
        <v>417</v>
      </c>
      <c r="N1995" s="51" t="str">
        <f>IF(AND('331-CT'!$E$7=TH!H1995,OR(L1995="331",M1995="331")),"331",IF(AND(OR(L1995="131",M1995="131"),H1995='131-CT'!$E$7),"131",""))</f>
        <v/>
      </c>
      <c r="O1995" s="51" t="str">
        <f>IF(AND($B1995&gt;='111'!$N$11,$B1995&lt;='111'!$O$11,OR($L1995=$O$7,$M1995=$O$7)),"x","")</f>
        <v/>
      </c>
      <c r="P1995" s="51" t="str">
        <f>IF(AND($L1995=$O$7,$B1995&lt;'111'!$N$11),"x","")</f>
        <v/>
      </c>
      <c r="Q1995" s="51" t="str">
        <f>IF(AND($M1995=$O$7,$B1995&lt;'111'!$N$11),"x","")</f>
        <v/>
      </c>
      <c r="R1995" s="51" t="str">
        <f>IF(ISERROR(FIND('112'!$M$9,G1995,1)),"",IF((AND(FIND('112'!$M$9,G1995,1)&gt;=1,$B1995&gt;='112'!$N$8,$B1995&lt;='112'!$O$8,OR($L1995='112'!$I$6,$M1995='112'!$I$6))),"x",""))</f>
        <v/>
      </c>
      <c r="S1995" s="51" t="str">
        <f>IF(ISERROR(FIND('112'!$M$9,G1995,1)),"",IF((AND(LEFT(G1995,2)=LEFT('112'!$M$9,2),B1995&lt;'112'!$N$8,$L1995='112'!$I$6)),"x",""))</f>
        <v/>
      </c>
      <c r="T1995" s="51" t="str">
        <f>IF(ISERROR(FIND('112'!$M$9,G1995,1)),"",IF((AND(RIGHT(G1995,2)=RIGHT('112'!$M$9,2),B1995&lt;'112'!$N$8,$M1995='112'!$I$6)),"x",""))</f>
        <v/>
      </c>
      <c r="U1995" s="51" t="str">
        <f>IF(AND(L1995="154",'154'!$O$5&lt;=B1995,'154'!$P$5&gt;=B1995),"154",IF(AND(L1995="632",'632'!$L$5&lt;=B1995,'632'!$M$5&gt;=B1995),"632",IF(AND(L1995="642",'642'!$N$5&lt;=B1995,'642'!$O$5&gt;=B1995),"642",IF(AND(L1995="641",'641'!$N$5&lt;=B1995,'641'!$O$5&gt;=B1995),"641",""))))</f>
        <v/>
      </c>
      <c r="V1995" s="51" t="str">
        <f>IF(OR(TH!L1995=TH!$V$7,M1995=TH!$V$7),"x","")</f>
        <v/>
      </c>
      <c r="W1995" s="51" t="str">
        <f>IF(AND(B1995&gt;='IN-NX'!$P$3,B1995&lt;='IN-NX'!$Q$3,'IN-NX'!$D$7=D1995,OR(LEFT(L1995,2)="15",AND(LEFT(M1995,2)&lt;&gt;"15",LEFT(M1995,2)&lt;&gt;"33"))),"x","")</f>
        <v/>
      </c>
      <c r="X1995" s="51" t="str">
        <f>IF(AND(OR(LEFT(TH!L1995,2)="15",LEFT(TH!M1995,2)="15"),'152-CT'!$J$8=TH!F1995),"x","")</f>
        <v/>
      </c>
      <c r="Y1995" s="51" t="str">
        <f>IF(AND(OR(LEFT(TH!L1995,2)="15",LEFT(TH!M1995,2)="15"),TK!$E$7=TH!F1995),"x","")</f>
        <v/>
      </c>
      <c r="Z1995" s="51" t="str">
        <f>IF(AND(B1995&lt;=NKC!$N$8,B1995&gt;=NKC!$M$8),"x","")</f>
        <v/>
      </c>
      <c r="AA1995" s="803"/>
    </row>
    <row r="1996" spans="1:27" ht="15.75" customHeight="1">
      <c r="A1996" s="804" t="str">
        <f>IF(B1996&lt;&gt;"",IF(AND(B1996&gt;=_TM1,B1996&lt;=_TM2,OR(TH!L1996="1111",TH!M1996="1111")),TH!D1996,""),"")</f>
        <v/>
      </c>
      <c r="B1996" s="36">
        <f t="shared" si="143"/>
        <v>11</v>
      </c>
      <c r="C1996" s="189">
        <f t="shared" si="136"/>
        <v>42327</v>
      </c>
      <c r="D1996" s="189" t="s">
        <v>1289</v>
      </c>
      <c r="E1996" s="727">
        <v>42327</v>
      </c>
      <c r="F1996" s="868" t="s">
        <v>576</v>
      </c>
      <c r="G1996" s="811" t="s">
        <v>1096</v>
      </c>
      <c r="H1996" s="873" t="s">
        <v>1286</v>
      </c>
      <c r="I1996" s="243">
        <v>400</v>
      </c>
      <c r="J1996" s="243">
        <v>12444</v>
      </c>
      <c r="K1996" s="875">
        <f t="shared" si="144"/>
        <v>4977600</v>
      </c>
      <c r="L1996" s="876" t="s">
        <v>160</v>
      </c>
      <c r="M1996" s="876" t="s">
        <v>417</v>
      </c>
      <c r="N1996" s="51" t="str">
        <f>IF(AND('331-CT'!$E$7=TH!H1996,OR(L1996="331",M1996="331")),"331",IF(AND(OR(L1996="131",M1996="131"),H1996='131-CT'!$E$7),"131",""))</f>
        <v/>
      </c>
      <c r="O1996" s="51" t="str">
        <f>IF(AND($B1996&gt;='111'!$N$11,$B1996&lt;='111'!$O$11,OR($L1996=$O$7,$M1996=$O$7)),"x","")</f>
        <v/>
      </c>
      <c r="P1996" s="51" t="str">
        <f>IF(AND($L1996=$O$7,$B1996&lt;'111'!$N$11),"x","")</f>
        <v/>
      </c>
      <c r="Q1996" s="51" t="str">
        <f>IF(AND($M1996=$O$7,$B1996&lt;'111'!$N$11),"x","")</f>
        <v/>
      </c>
      <c r="R1996" s="51" t="str">
        <f>IF(ISERROR(FIND('112'!$M$9,G1996,1)),"",IF((AND(FIND('112'!$M$9,G1996,1)&gt;=1,$B1996&gt;='112'!$N$8,$B1996&lt;='112'!$O$8,OR($L1996='112'!$I$6,$M1996='112'!$I$6))),"x",""))</f>
        <v/>
      </c>
      <c r="S1996" s="51" t="str">
        <f>IF(ISERROR(FIND('112'!$M$9,G1996,1)),"",IF((AND(LEFT(G1996,2)=LEFT('112'!$M$9,2),B1996&lt;'112'!$N$8,$L1996='112'!$I$6)),"x",""))</f>
        <v/>
      </c>
      <c r="T1996" s="51" t="str">
        <f>IF(ISERROR(FIND('112'!$M$9,G1996,1)),"",IF((AND(RIGHT(G1996,2)=RIGHT('112'!$M$9,2),B1996&lt;'112'!$N$8,$M1996='112'!$I$6)),"x",""))</f>
        <v/>
      </c>
      <c r="U1996" s="51" t="str">
        <f>IF(AND(L1996="154",'154'!$O$5&lt;=B1996,'154'!$P$5&gt;=B1996),"154",IF(AND(L1996="632",'632'!$L$5&lt;=B1996,'632'!$M$5&gt;=B1996),"632",IF(AND(L1996="642",'642'!$N$5&lt;=B1996,'642'!$O$5&gt;=B1996),"642",IF(AND(L1996="641",'641'!$N$5&lt;=B1996,'641'!$O$5&gt;=B1996),"641",""))))</f>
        <v/>
      </c>
      <c r="V1996" s="51" t="str">
        <f>IF(OR(TH!L1996=TH!$V$7,M1996=TH!$V$7),"x","")</f>
        <v/>
      </c>
      <c r="W1996" s="51" t="str">
        <f>IF(AND(B1996&gt;='IN-NX'!$P$3,B1996&lt;='IN-NX'!$Q$3,'IN-NX'!$D$7=D1996,OR(LEFT(L1996,2)="15",AND(LEFT(M1996,2)&lt;&gt;"15",LEFT(M1996,2)&lt;&gt;"33"))),"x","")</f>
        <v/>
      </c>
      <c r="X1996" s="51" t="str">
        <f>IF(AND(OR(LEFT(TH!L1996,2)="15",LEFT(TH!M1996,2)="15"),'152-CT'!$J$8=TH!F1996),"x","")</f>
        <v/>
      </c>
      <c r="Y1996" s="51" t="str">
        <f>IF(AND(OR(LEFT(TH!L1996,2)="15",LEFT(TH!M1996,2)="15"),TK!$E$7=TH!F1996),"x","")</f>
        <v/>
      </c>
      <c r="Z1996" s="51" t="str">
        <f>IF(AND(B1996&lt;=NKC!$N$8,B1996&gt;=NKC!$M$8),"x","")</f>
        <v/>
      </c>
      <c r="AA1996" s="803"/>
    </row>
    <row r="1997" spans="1:27" ht="15.75" customHeight="1">
      <c r="A1997" s="804" t="str">
        <f>IF(B1997&lt;&gt;"",IF(AND(B1997&gt;=_TM1,B1997&lt;=_TM2,OR(TH!L1997="1111",TH!M1997="1111")),TH!D1997,""),"")</f>
        <v/>
      </c>
      <c r="B1997" s="36">
        <f t="shared" si="143"/>
        <v>12</v>
      </c>
      <c r="C1997" s="189">
        <f t="shared" si="136"/>
        <v>42358</v>
      </c>
      <c r="D1997" s="189" t="s">
        <v>1289</v>
      </c>
      <c r="E1997" s="727">
        <v>42358</v>
      </c>
      <c r="F1997" s="868" t="s">
        <v>779</v>
      </c>
      <c r="G1997" s="814" t="s">
        <v>482</v>
      </c>
      <c r="H1997" s="873" t="s">
        <v>1286</v>
      </c>
      <c r="I1997" s="243">
        <v>82</v>
      </c>
      <c r="J1997" s="243">
        <v>13221</v>
      </c>
      <c r="K1997" s="875">
        <f t="shared" si="144"/>
        <v>1084122</v>
      </c>
      <c r="L1997" s="876" t="s">
        <v>160</v>
      </c>
      <c r="M1997" s="876" t="s">
        <v>417</v>
      </c>
      <c r="N1997" s="51" t="str">
        <f>IF(AND('331-CT'!$E$7=TH!H1997,OR(L1997="331",M1997="331")),"331",IF(AND(OR(L1997="131",M1997="131"),H1997='131-CT'!$E$7),"131",""))</f>
        <v/>
      </c>
      <c r="O1997" s="51" t="str">
        <f>IF(AND($B1997&gt;='111'!$N$11,$B1997&lt;='111'!$O$11,OR($L1997=$O$7,$M1997=$O$7)),"x","")</f>
        <v/>
      </c>
      <c r="P1997" s="51" t="str">
        <f>IF(AND($L1997=$O$7,$B1997&lt;'111'!$N$11),"x","")</f>
        <v/>
      </c>
      <c r="Q1997" s="51" t="str">
        <f>IF(AND($M1997=$O$7,$B1997&lt;'111'!$N$11),"x","")</f>
        <v/>
      </c>
      <c r="R1997" s="51" t="str">
        <f>IF(ISERROR(FIND('112'!$M$9,G1997,1)),"",IF((AND(FIND('112'!$M$9,G1997,1)&gt;=1,$B1997&gt;='112'!$N$8,$B1997&lt;='112'!$O$8,OR($L1997='112'!$I$6,$M1997='112'!$I$6))),"x",""))</f>
        <v/>
      </c>
      <c r="S1997" s="51" t="str">
        <f>IF(ISERROR(FIND('112'!$M$9,G1997,1)),"",IF((AND(LEFT(G1997,2)=LEFT('112'!$M$9,2),B1997&lt;'112'!$N$8,$L1997='112'!$I$6)),"x",""))</f>
        <v/>
      </c>
      <c r="T1997" s="51" t="str">
        <f>IF(ISERROR(FIND('112'!$M$9,G1997,1)),"",IF((AND(RIGHT(G1997,2)=RIGHT('112'!$M$9,2),B1997&lt;'112'!$N$8,$M1997='112'!$I$6)),"x",""))</f>
        <v/>
      </c>
      <c r="U1997" s="51" t="str">
        <f>IF(AND(L1997="154",'154'!$O$5&lt;=B1997,'154'!$P$5&gt;=B1997),"154",IF(AND(L1997="632",'632'!$L$5&lt;=B1997,'632'!$M$5&gt;=B1997),"632",IF(AND(L1997="642",'642'!$N$5&lt;=B1997,'642'!$O$5&gt;=B1997),"642",IF(AND(L1997="641",'641'!$N$5&lt;=B1997,'641'!$O$5&gt;=B1997),"641",""))))</f>
        <v/>
      </c>
      <c r="V1997" s="51" t="str">
        <f>IF(OR(TH!L1997=TH!$V$7,M1997=TH!$V$7),"x","")</f>
        <v/>
      </c>
      <c r="W1997" s="51" t="str">
        <f>IF(AND(B1997&gt;='IN-NX'!$P$3,B1997&lt;='IN-NX'!$Q$3,'IN-NX'!$D$7=D1997,OR(LEFT(L1997,2)="15",AND(LEFT(M1997,2)&lt;&gt;"15",LEFT(M1997,2)&lt;&gt;"33"))),"x","")</f>
        <v/>
      </c>
      <c r="X1997" s="51" t="str">
        <f>IF(AND(OR(LEFT(TH!L1997,2)="15",LEFT(TH!M1997,2)="15"),'152-CT'!$J$8=TH!F1997),"x","")</f>
        <v/>
      </c>
      <c r="Y1997" s="51" t="str">
        <f>IF(AND(OR(LEFT(TH!L1997,2)="15",LEFT(TH!M1997,2)="15"),TK!$E$7=TH!F1997),"x","")</f>
        <v/>
      </c>
      <c r="Z1997" s="51" t="str">
        <f>IF(AND(B1997&lt;=NKC!$N$8,B1997&gt;=NKC!$M$8),"x","")</f>
        <v/>
      </c>
      <c r="AA1997" s="803"/>
    </row>
    <row r="1998" spans="1:27" ht="15.75" customHeight="1">
      <c r="A1998" s="804" t="str">
        <f>IF(B1998&lt;&gt;"",IF(AND(B1998&gt;=_TM1,B1998&lt;=_TM2,OR(TH!L1998="1111",TH!M1998="1111")),TH!D1998,""),"")</f>
        <v/>
      </c>
      <c r="B1998" s="36" t="str">
        <f t="shared" ref="B1998:B2002" si="145">IF(C1998&lt;&gt;"",MONTH(C1998),"")</f>
        <v/>
      </c>
      <c r="C1998" s="37"/>
      <c r="D1998" s="37"/>
      <c r="E1998" s="37"/>
      <c r="F1998" s="40"/>
      <c r="G1998" s="814"/>
      <c r="H1998" s="44"/>
      <c r="I1998" s="243"/>
      <c r="J1998" s="243"/>
      <c r="K1998" s="38"/>
      <c r="L1998" s="39"/>
      <c r="M1998" s="39"/>
      <c r="N1998" s="51" t="str">
        <f>IF(AND('331-CT'!$E$7=TH!H1998,OR(L1998="331",M1998="331")),"331",IF(AND(OR(L1998="131",M1998="131"),H1998='131-CT'!$E$7),"131",""))</f>
        <v/>
      </c>
      <c r="O1998" s="51" t="str">
        <f>IF(AND($B1998&gt;='111'!$N$11,$B1998&lt;='111'!$O$11,OR($L1998=$O$7,$M1998=$O$7)),"x","")</f>
        <v/>
      </c>
      <c r="P1998" s="51" t="str">
        <f>IF(AND($L1998=$O$7,$B1998&lt;'111'!$N$11),"x","")</f>
        <v/>
      </c>
      <c r="Q1998" s="51" t="str">
        <f>IF(AND($M1998=$O$7,$B1998&lt;'111'!$N$11),"x","")</f>
        <v/>
      </c>
      <c r="R1998" s="51" t="str">
        <f>IF(ISERROR(FIND('112'!$M$9,G1998,1)),"",IF((AND(FIND('112'!$M$9,G1998,1)&gt;=1,$B1998&gt;='112'!$N$8,$B1998&lt;='112'!$O$8,OR($L1998='112'!$I$6,$M1998='112'!$I$6))),"x",""))</f>
        <v/>
      </c>
      <c r="S1998" s="51" t="str">
        <f>IF(ISERROR(FIND('112'!$M$9,G1998,1)),"",IF((AND(LEFT(G1998,2)=LEFT('112'!$M$9,2),B1998&lt;'112'!$N$8,$L1998='112'!$I$6)),"x",""))</f>
        <v/>
      </c>
      <c r="T1998" s="51" t="str">
        <f>IF(ISERROR(FIND('112'!$M$9,G1998,1)),"",IF((AND(RIGHT(G1998,2)=RIGHT('112'!$M$9,2),B1998&lt;'112'!$N$8,$M1998='112'!$I$6)),"x",""))</f>
        <v/>
      </c>
      <c r="U1998" s="51" t="str">
        <f>IF(AND(L1998="154",'154'!$O$5&lt;=B1998,'154'!$P$5&gt;=B1998),"154",IF(AND(L1998="632",'632'!$L$5&lt;=B1998,'632'!$M$5&gt;=B1998),"632",IF(AND(L1998="642",'642'!$N$5&lt;=B1998,'642'!$O$5&gt;=B1998),"642",IF(AND(L1998="641",'641'!$N$5&lt;=B1998,'641'!$O$5&gt;=B1998),"641",""))))</f>
        <v/>
      </c>
      <c r="V1998" s="51" t="str">
        <f>IF(OR(TH!L1998=TH!$V$7,M1998=TH!$V$7),"x","")</f>
        <v/>
      </c>
      <c r="W1998" s="51" t="str">
        <f>IF(AND(B1998&gt;='IN-NX'!$P$3,B1998&lt;='IN-NX'!$Q$3,'IN-NX'!$D$7=D1998,OR(LEFT(L1998,2)="15",AND(LEFT(M1998,2)&lt;&gt;"15",LEFT(M1998,2)&lt;&gt;"33"))),"x","")</f>
        <v/>
      </c>
      <c r="X1998" s="51" t="str">
        <f>IF(AND(OR(LEFT(TH!L1998,2)="15",LEFT(TH!M1998,2)="15"),'152-CT'!$J$8=TH!F1998),"x","")</f>
        <v/>
      </c>
      <c r="Y1998" s="51" t="str">
        <f>IF(AND(OR(LEFT(TH!L1998,2)="15",LEFT(TH!M1998,2)="15"),TK!$E$7=TH!F1998),"x","")</f>
        <v/>
      </c>
      <c r="Z1998" s="51" t="str">
        <f>IF(AND(B1998&lt;=NKC!$N$8,B1998&gt;=NKC!$M$8),"x","")</f>
        <v/>
      </c>
      <c r="AA1998" s="803"/>
    </row>
    <row r="1999" spans="1:27" ht="15.75" customHeight="1">
      <c r="A1999" s="804" t="str">
        <f>IF(B1999&lt;&gt;"",IF(AND(B1999&gt;=_TM1,B1999&lt;=_TM2,OR(TH!L1999="1111",TH!M1999="1111")),TH!D1999,""),"")</f>
        <v/>
      </c>
      <c r="B1999" s="36" t="str">
        <f t="shared" si="145"/>
        <v/>
      </c>
      <c r="C1999" s="37"/>
      <c r="D1999" s="37"/>
      <c r="E1999" s="37"/>
      <c r="F1999" s="40"/>
      <c r="G1999" s="814"/>
      <c r="H1999" s="44"/>
      <c r="I1999" s="243"/>
      <c r="J1999" s="243"/>
      <c r="K1999" s="38"/>
      <c r="L1999" s="39"/>
      <c r="M1999" s="39"/>
      <c r="N1999" s="51" t="str">
        <f>IF(AND('331-CT'!$E$7=TH!H1999,OR(L1999="331",M1999="331")),"331",IF(AND(OR(L1999="131",M1999="131"),H1999='131-CT'!$E$7),"131",""))</f>
        <v/>
      </c>
      <c r="O1999" s="51" t="str">
        <f>IF(AND($B1999&gt;='111'!$N$11,$B1999&lt;='111'!$O$11,OR($L1999=$O$7,$M1999=$O$7)),"x","")</f>
        <v/>
      </c>
      <c r="P1999" s="51" t="str">
        <f>IF(AND($L1999=$O$7,$B1999&lt;'111'!$N$11),"x","")</f>
        <v/>
      </c>
      <c r="Q1999" s="51" t="str">
        <f>IF(AND($M1999=$O$7,$B1999&lt;'111'!$N$11),"x","")</f>
        <v/>
      </c>
      <c r="R1999" s="51" t="str">
        <f>IF(ISERROR(FIND('112'!$M$9,G1999,1)),"",IF((AND(FIND('112'!$M$9,G1999,1)&gt;=1,$B1999&gt;='112'!$N$8,$B1999&lt;='112'!$O$8,OR($L1999='112'!$I$6,$M1999='112'!$I$6))),"x",""))</f>
        <v/>
      </c>
      <c r="S1999" s="51" t="str">
        <f>IF(ISERROR(FIND('112'!$M$9,G1999,1)),"",IF((AND(LEFT(G1999,2)=LEFT('112'!$M$9,2),B1999&lt;'112'!$N$8,$L1999='112'!$I$6)),"x",""))</f>
        <v/>
      </c>
      <c r="T1999" s="51" t="str">
        <f>IF(ISERROR(FIND('112'!$M$9,G1999,1)),"",IF((AND(RIGHT(G1999,2)=RIGHT('112'!$M$9,2),B1999&lt;'112'!$N$8,$M1999='112'!$I$6)),"x",""))</f>
        <v/>
      </c>
      <c r="U1999" s="51" t="str">
        <f>IF(AND(L1999="154",'154'!$O$5&lt;=B1999,'154'!$P$5&gt;=B1999),"154",IF(AND(L1999="632",'632'!$L$5&lt;=B1999,'632'!$M$5&gt;=B1999),"632",IF(AND(L1999="642",'642'!$N$5&lt;=B1999,'642'!$O$5&gt;=B1999),"642",IF(AND(L1999="641",'641'!$N$5&lt;=B1999,'641'!$O$5&gt;=B1999),"641",""))))</f>
        <v/>
      </c>
      <c r="V1999" s="51" t="str">
        <f>IF(OR(TH!L1999=TH!$V$7,M1999=TH!$V$7),"x","")</f>
        <v/>
      </c>
      <c r="W1999" s="51" t="str">
        <f>IF(AND(B1999&gt;='IN-NX'!$P$3,B1999&lt;='IN-NX'!$Q$3,'IN-NX'!$D$7=D1999,OR(LEFT(L1999,2)="15",AND(LEFT(M1999,2)&lt;&gt;"15",LEFT(M1999,2)&lt;&gt;"33"))),"x","")</f>
        <v/>
      </c>
      <c r="X1999" s="51" t="str">
        <f>IF(AND(OR(LEFT(TH!L1999,2)="15",LEFT(TH!M1999,2)="15"),'152-CT'!$J$8=TH!F1999),"x","")</f>
        <v/>
      </c>
      <c r="Y1999" s="51" t="str">
        <f>IF(AND(OR(LEFT(TH!L1999,2)="15",LEFT(TH!M1999,2)="15"),TK!$E$7=TH!F1999),"x","")</f>
        <v/>
      </c>
      <c r="Z1999" s="51" t="str">
        <f>IF(AND(B1999&lt;=NKC!$N$8,B1999&gt;=NKC!$M$8),"x","")</f>
        <v/>
      </c>
      <c r="AA1999" s="803"/>
    </row>
    <row r="2000" spans="1:27" ht="15.75" customHeight="1">
      <c r="A2000" s="804" t="str">
        <f>IF(B2000&lt;&gt;"",IF(AND(B2000&gt;=_TM1,B2000&lt;=_TM2,OR(TH!L2000="1111",TH!M2000="1111")),TH!D2000,""),"")</f>
        <v/>
      </c>
      <c r="B2000" s="36" t="str">
        <f t="shared" si="145"/>
        <v/>
      </c>
      <c r="C2000" s="37"/>
      <c r="D2000" s="37"/>
      <c r="E2000" s="37"/>
      <c r="F2000" s="40"/>
      <c r="G2000" s="814"/>
      <c r="H2000" s="44"/>
      <c r="I2000" s="243"/>
      <c r="J2000" s="243"/>
      <c r="K2000" s="38"/>
      <c r="L2000" s="39"/>
      <c r="M2000" s="39"/>
      <c r="N2000" s="51" t="str">
        <f>IF(AND('331-CT'!$E$7=TH!H2000,OR(L2000="331",M2000="331")),"331",IF(AND(OR(L2000="131",M2000="131"),H2000='131-CT'!$E$7),"131",""))</f>
        <v/>
      </c>
      <c r="O2000" s="51" t="str">
        <f>IF(AND($B2000&gt;='111'!$N$11,$B2000&lt;='111'!$O$11,OR($L2000=$O$7,$M2000=$O$7)),"x","")</f>
        <v/>
      </c>
      <c r="P2000" s="51" t="str">
        <f>IF(AND($L2000=$O$7,$B2000&lt;'111'!$N$11),"x","")</f>
        <v/>
      </c>
      <c r="Q2000" s="51" t="str">
        <f>IF(AND($M2000=$O$7,$B2000&lt;'111'!$N$11),"x","")</f>
        <v/>
      </c>
      <c r="R2000" s="51" t="str">
        <f>IF(ISERROR(FIND('112'!$M$9,G2000,1)),"",IF((AND(FIND('112'!$M$9,G2000,1)&gt;=1,$B2000&gt;='112'!$N$8,$B2000&lt;='112'!$O$8,OR($L2000='112'!$I$6,$M2000='112'!$I$6))),"x",""))</f>
        <v/>
      </c>
      <c r="S2000" s="51" t="str">
        <f>IF(ISERROR(FIND('112'!$M$9,G2000,1)),"",IF((AND(LEFT(G2000,2)=LEFT('112'!$M$9,2),B2000&lt;'112'!$N$8,$L2000='112'!$I$6)),"x",""))</f>
        <v/>
      </c>
      <c r="T2000" s="51" t="str">
        <f>IF(ISERROR(FIND('112'!$M$9,G2000,1)),"",IF((AND(RIGHT(G2000,2)=RIGHT('112'!$M$9,2),B2000&lt;'112'!$N$8,$M2000='112'!$I$6)),"x",""))</f>
        <v/>
      </c>
      <c r="U2000" s="51" t="str">
        <f>IF(AND(L2000="154",'154'!$O$5&lt;=B2000,'154'!$P$5&gt;=B2000),"154",IF(AND(L2000="632",'632'!$L$5&lt;=B2000,'632'!$M$5&gt;=B2000),"632",IF(AND(L2000="642",'642'!$N$5&lt;=B2000,'642'!$O$5&gt;=B2000),"642",IF(AND(L2000="641",'641'!$N$5&lt;=B2000,'641'!$O$5&gt;=B2000),"641",""))))</f>
        <v/>
      </c>
      <c r="V2000" s="51" t="str">
        <f>IF(OR(TH!L2000=TH!$V$7,M2000=TH!$V$7),"x","")</f>
        <v/>
      </c>
      <c r="W2000" s="51" t="str">
        <f>IF(AND(B2000&gt;='IN-NX'!$P$3,B2000&lt;='IN-NX'!$Q$3,'IN-NX'!$D$7=D2000,OR(LEFT(L2000,2)="15",AND(LEFT(M2000,2)&lt;&gt;"15",LEFT(M2000,2)&lt;&gt;"33"))),"x","")</f>
        <v/>
      </c>
      <c r="X2000" s="51" t="str">
        <f>IF(AND(OR(LEFT(TH!L2000,2)="15",LEFT(TH!M2000,2)="15"),'152-CT'!$J$8=TH!F2000),"x","")</f>
        <v/>
      </c>
      <c r="Y2000" s="51" t="str">
        <f>IF(AND(OR(LEFT(TH!L2000,2)="15",LEFT(TH!M2000,2)="15"),TK!$E$7=TH!F2000),"x","")</f>
        <v/>
      </c>
      <c r="Z2000" s="51" t="str">
        <f>IF(AND(B2000&lt;=NKC!$N$8,B2000&gt;=NKC!$M$8),"x","")</f>
        <v/>
      </c>
      <c r="AA2000" s="803"/>
    </row>
    <row r="2001" spans="1:27" ht="15.75" customHeight="1">
      <c r="A2001" s="804" t="str">
        <f>IF(B2001&lt;&gt;"",IF(AND(B2001&gt;=_TM1,B2001&lt;=_TM2,OR(TH!L2001="1111",TH!M2001="1111")),TH!D2001,""),"")</f>
        <v/>
      </c>
      <c r="B2001" s="36" t="str">
        <f t="shared" si="145"/>
        <v/>
      </c>
      <c r="C2001" s="37"/>
      <c r="D2001" s="37"/>
      <c r="E2001" s="37"/>
      <c r="F2001" s="40"/>
      <c r="G2001" s="814"/>
      <c r="H2001" s="44"/>
      <c r="I2001" s="243"/>
      <c r="J2001" s="243"/>
      <c r="K2001" s="38"/>
      <c r="L2001" s="39"/>
      <c r="M2001" s="39"/>
      <c r="N2001" s="51" t="str">
        <f>IF(AND('331-CT'!$E$7=TH!H2001,OR(L2001="331",M2001="331")),"331",IF(AND(OR(L2001="131",M2001="131"),H2001='131-CT'!$E$7),"131",""))</f>
        <v/>
      </c>
      <c r="O2001" s="51" t="str">
        <f>IF(AND($B2001&gt;='111'!$N$11,$B2001&lt;='111'!$O$11,OR($L2001=$O$7,$M2001=$O$7)),"x","")</f>
        <v/>
      </c>
      <c r="P2001" s="51" t="str">
        <f>IF(AND($L2001=$O$7,$B2001&lt;'111'!$N$11),"x","")</f>
        <v/>
      </c>
      <c r="Q2001" s="51" t="str">
        <f>IF(AND($M2001=$O$7,$B2001&lt;'111'!$N$11),"x","")</f>
        <v/>
      </c>
      <c r="R2001" s="51" t="str">
        <f>IF(ISERROR(FIND('112'!$M$9,G2001,1)),"",IF((AND(FIND('112'!$M$9,G2001,1)&gt;=1,$B2001&gt;='112'!$N$8,$B2001&lt;='112'!$O$8,OR($L2001='112'!$I$6,$M2001='112'!$I$6))),"x",""))</f>
        <v/>
      </c>
      <c r="S2001" s="51" t="str">
        <f>IF(ISERROR(FIND('112'!$M$9,G2001,1)),"",IF((AND(LEFT(G2001,2)=LEFT('112'!$M$9,2),B2001&lt;'112'!$N$8,$L2001='112'!$I$6)),"x",""))</f>
        <v/>
      </c>
      <c r="T2001" s="51" t="str">
        <f>IF(ISERROR(FIND('112'!$M$9,G2001,1)),"",IF((AND(RIGHT(G2001,2)=RIGHT('112'!$M$9,2),B2001&lt;'112'!$N$8,$M2001='112'!$I$6)),"x",""))</f>
        <v/>
      </c>
      <c r="U2001" s="51" t="str">
        <f>IF(AND(L2001="154",'154'!$O$5&lt;=B2001,'154'!$P$5&gt;=B2001),"154",IF(AND(L2001="632",'632'!$L$5&lt;=B2001,'632'!$M$5&gt;=B2001),"632",IF(AND(L2001="642",'642'!$N$5&lt;=B2001,'642'!$O$5&gt;=B2001),"642",IF(AND(L2001="641",'641'!$N$5&lt;=B2001,'641'!$O$5&gt;=B2001),"641",""))))</f>
        <v/>
      </c>
      <c r="V2001" s="51" t="str">
        <f>IF(OR(TH!L2001=TH!$V$7,M2001=TH!$V$7),"x","")</f>
        <v/>
      </c>
      <c r="W2001" s="51" t="str">
        <f>IF(AND(B2001&gt;='IN-NX'!$P$3,B2001&lt;='IN-NX'!$Q$3,'IN-NX'!$D$7=D2001,OR(LEFT(L2001,2)="15",AND(LEFT(M2001,2)&lt;&gt;"15",LEFT(M2001,2)&lt;&gt;"33"))),"x","")</f>
        <v/>
      </c>
      <c r="X2001" s="51" t="str">
        <f>IF(AND(OR(LEFT(TH!L2001,2)="15",LEFT(TH!M2001,2)="15"),'152-CT'!$J$8=TH!F2001),"x","")</f>
        <v/>
      </c>
      <c r="Y2001" s="51" t="str">
        <f>IF(AND(OR(LEFT(TH!L2001,2)="15",LEFT(TH!M2001,2)="15"),TK!$E$7=TH!F2001),"x","")</f>
        <v/>
      </c>
      <c r="Z2001" s="51" t="str">
        <f>IF(AND(B2001&lt;=NKC!$N$8,B2001&gt;=NKC!$M$8),"x","")</f>
        <v/>
      </c>
      <c r="AA2001" s="803"/>
    </row>
    <row r="2002" spans="1:27" ht="15.75" customHeight="1">
      <c r="A2002" s="804" t="str">
        <f>IF(B2002&lt;&gt;"",IF(AND(B2002&gt;=_TM1,B2002&lt;=_TM2,OR(TH!L2002="1111",TH!M2002="1111")),TH!D2002,""),"")</f>
        <v/>
      </c>
      <c r="B2002" s="36" t="str">
        <f t="shared" si="145"/>
        <v/>
      </c>
      <c r="C2002" s="37"/>
      <c r="D2002" s="37"/>
      <c r="E2002" s="37"/>
      <c r="F2002" s="40"/>
      <c r="G2002" s="814"/>
      <c r="H2002" s="44"/>
      <c r="I2002" s="243"/>
      <c r="J2002" s="243"/>
      <c r="K2002" s="38"/>
      <c r="L2002" s="39"/>
      <c r="M2002" s="39"/>
      <c r="N2002" s="51" t="str">
        <f>IF(AND('331-CT'!$E$7=TH!H2002,OR(L2002="331",M2002="331")),"331",IF(AND(OR(L2002="131",M2002="131"),H2002='131-CT'!$E$7),"131",""))</f>
        <v/>
      </c>
      <c r="O2002" s="51" t="str">
        <f>IF(AND($B2002&gt;='111'!$N$11,$B2002&lt;='111'!$O$11,OR($L2002=$O$7,$M2002=$O$7)),"x","")</f>
        <v/>
      </c>
      <c r="P2002" s="51" t="str">
        <f>IF(AND($L2002=$O$7,$B2002&lt;'111'!$N$11),"x","")</f>
        <v/>
      </c>
      <c r="Q2002" s="51" t="str">
        <f>IF(AND($M2002=$O$7,$B2002&lt;'111'!$N$11),"x","")</f>
        <v/>
      </c>
      <c r="R2002" s="51" t="str">
        <f>IF(ISERROR(FIND('112'!$M$9,G2002,1)),"",IF((AND(FIND('112'!$M$9,G2002,1)&gt;=1,$B2002&gt;='112'!$N$8,$B2002&lt;='112'!$O$8,OR($L2002='112'!$I$6,$M2002='112'!$I$6))),"x",""))</f>
        <v/>
      </c>
      <c r="S2002" s="51" t="str">
        <f>IF(ISERROR(FIND('112'!$M$9,G2002,1)),"",IF((AND(LEFT(G2002,2)=LEFT('112'!$M$9,2),B2002&lt;'112'!$N$8,$L2002='112'!$I$6)),"x",""))</f>
        <v/>
      </c>
      <c r="T2002" s="51" t="str">
        <f>IF(ISERROR(FIND('112'!$M$9,G2002,1)),"",IF((AND(RIGHT(G2002,2)=RIGHT('112'!$M$9,2),B2002&lt;'112'!$N$8,$M2002='112'!$I$6)),"x",""))</f>
        <v/>
      </c>
      <c r="U2002" s="51" t="str">
        <f>IF(AND(L2002="154",'154'!$O$5&lt;=B2002,'154'!$P$5&gt;=B2002),"154",IF(AND(L2002="632",'632'!$L$5&lt;=B2002,'632'!$M$5&gt;=B2002),"632",IF(AND(L2002="642",'642'!$N$5&lt;=B2002,'642'!$O$5&gt;=B2002),"642",IF(AND(L2002="641",'641'!$N$5&lt;=B2002,'641'!$O$5&gt;=B2002),"641",""))))</f>
        <v/>
      </c>
      <c r="V2002" s="51" t="str">
        <f>IF(OR(TH!L2002=TH!$V$7,M2002=TH!$V$7),"x","")</f>
        <v/>
      </c>
      <c r="W2002" s="51" t="str">
        <f>IF(AND(B2002&gt;='IN-NX'!$P$3,B2002&lt;='IN-NX'!$Q$3,'IN-NX'!$D$7=D2002,OR(LEFT(L2002,2)="15",AND(LEFT(M2002,2)&lt;&gt;"15",LEFT(M2002,2)&lt;&gt;"33"))),"x","")</f>
        <v/>
      </c>
      <c r="X2002" s="51" t="str">
        <f>IF(AND(OR(LEFT(TH!L2002,2)="15",LEFT(TH!M2002,2)="15"),'152-CT'!$J$8=TH!F2002),"x","")</f>
        <v/>
      </c>
      <c r="Y2002" s="51" t="str">
        <f>IF(AND(OR(LEFT(TH!L2002,2)="15",LEFT(TH!M2002,2)="15"),TK!$E$7=TH!F2002),"x","")</f>
        <v/>
      </c>
      <c r="Z2002" s="51" t="str">
        <f>IF(AND(B2002&lt;=NKC!$N$8,B2002&gt;=NKC!$M$8),"x","")</f>
        <v/>
      </c>
      <c r="AA2002" s="803"/>
    </row>
    <row r="2004" spans="1:27">
      <c r="J2004" s="771"/>
    </row>
    <row r="2012" spans="1:27">
      <c r="K2012" s="458">
        <f>SUBTOTAL(9,K10:K2002)</f>
        <v>17160322180</v>
      </c>
    </row>
  </sheetData>
  <autoFilter ref="A9:AD2002"/>
  <sortState ref="A23:AE1425">
    <sortCondition ref="C23:C1425"/>
  </sortState>
  <mergeCells count="19">
    <mergeCell ref="A7:A8"/>
    <mergeCell ref="B7:B8"/>
    <mergeCell ref="H7:H8"/>
    <mergeCell ref="V7:V8"/>
    <mergeCell ref="U7:U8"/>
    <mergeCell ref="O7:Q8"/>
    <mergeCell ref="N7:N8"/>
    <mergeCell ref="I7:J7"/>
    <mergeCell ref="Z7:Z8"/>
    <mergeCell ref="W7:Y8"/>
    <mergeCell ref="C4:M4"/>
    <mergeCell ref="C5:M5"/>
    <mergeCell ref="C7:C8"/>
    <mergeCell ref="D7:E7"/>
    <mergeCell ref="F7:F8"/>
    <mergeCell ref="K7:K8"/>
    <mergeCell ref="L7:M7"/>
    <mergeCell ref="G7:G8"/>
    <mergeCell ref="R7:T8"/>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N58"/>
  <sheetViews>
    <sheetView topLeftCell="A7" zoomScale="90" zoomScaleNormal="90" workbookViewId="0">
      <pane ySplit="4" topLeftCell="A11" activePane="bottomLeft" state="frozen"/>
      <selection activeCell="A7" sqref="A7"/>
      <selection pane="bottomLeft" activeCell="E22" sqref="E22"/>
    </sheetView>
  </sheetViews>
  <sheetFormatPr defaultRowHeight="15.75"/>
  <cols>
    <col min="1" max="1" width="10" style="595" customWidth="1"/>
    <col min="2" max="2" width="9.28515625" style="595" customWidth="1"/>
    <col min="3" max="3" width="10" style="595" customWidth="1"/>
    <col min="4" max="4" width="41.42578125" style="595" customWidth="1"/>
    <col min="5" max="5" width="6" style="595" customWidth="1"/>
    <col min="6" max="6" width="7.85546875" style="595" customWidth="1"/>
    <col min="7" max="7" width="8.5703125" style="595" customWidth="1"/>
    <col min="8" max="8" width="13.85546875" style="595" customWidth="1"/>
    <col min="9" max="9" width="14.140625" style="595" customWidth="1"/>
    <col min="10" max="11" width="9.140625" style="595"/>
    <col min="12" max="12" width="3.5703125" style="595" customWidth="1"/>
    <col min="13" max="256" width="9.140625" style="595"/>
    <col min="257" max="257" width="13" style="595" customWidth="1"/>
    <col min="258" max="258" width="9.140625" style="595"/>
    <col min="259" max="259" width="13" style="595" customWidth="1"/>
    <col min="260" max="260" width="29.7109375" style="595" customWidth="1"/>
    <col min="261" max="261" width="7.7109375" style="595" customWidth="1"/>
    <col min="262" max="262" width="6" style="595" customWidth="1"/>
    <col min="263" max="263" width="11.5703125" style="595" customWidth="1"/>
    <col min="264" max="264" width="13.42578125" style="595" customWidth="1"/>
    <col min="265" max="265" width="13.85546875" style="595" customWidth="1"/>
    <col min="266" max="512" width="9.140625" style="595"/>
    <col min="513" max="513" width="13" style="595" customWidth="1"/>
    <col min="514" max="514" width="9.140625" style="595"/>
    <col min="515" max="515" width="13" style="595" customWidth="1"/>
    <col min="516" max="516" width="29.7109375" style="595" customWidth="1"/>
    <col min="517" max="517" width="7.7109375" style="595" customWidth="1"/>
    <col min="518" max="518" width="6" style="595" customWidth="1"/>
    <col min="519" max="519" width="11.5703125" style="595" customWidth="1"/>
    <col min="520" max="520" width="13.42578125" style="595" customWidth="1"/>
    <col min="521" max="521" width="13.85546875" style="595" customWidth="1"/>
    <col min="522" max="768" width="9.140625" style="595"/>
    <col min="769" max="769" width="13" style="595" customWidth="1"/>
    <col min="770" max="770" width="9.140625" style="595"/>
    <col min="771" max="771" width="13" style="595" customWidth="1"/>
    <col min="772" max="772" width="29.7109375" style="595" customWidth="1"/>
    <col min="773" max="773" width="7.7109375" style="595" customWidth="1"/>
    <col min="774" max="774" width="6" style="595" customWidth="1"/>
    <col min="775" max="775" width="11.5703125" style="595" customWidth="1"/>
    <col min="776" max="776" width="13.42578125" style="595" customWidth="1"/>
    <col min="777" max="777" width="13.85546875" style="595" customWidth="1"/>
    <col min="778" max="1024" width="9.140625" style="595"/>
    <col min="1025" max="1025" width="13" style="595" customWidth="1"/>
    <col min="1026" max="1026" width="9.140625" style="595"/>
    <col min="1027" max="1027" width="13" style="595" customWidth="1"/>
    <col min="1028" max="1028" width="29.7109375" style="595" customWidth="1"/>
    <col min="1029" max="1029" width="7.7109375" style="595" customWidth="1"/>
    <col min="1030" max="1030" width="6" style="595" customWidth="1"/>
    <col min="1031" max="1031" width="11.5703125" style="595" customWidth="1"/>
    <col min="1032" max="1032" width="13.42578125" style="595" customWidth="1"/>
    <col min="1033" max="1033" width="13.85546875" style="595" customWidth="1"/>
    <col min="1034" max="1280" width="9.140625" style="595"/>
    <col min="1281" max="1281" width="13" style="595" customWidth="1"/>
    <col min="1282" max="1282" width="9.140625" style="595"/>
    <col min="1283" max="1283" width="13" style="595" customWidth="1"/>
    <col min="1284" max="1284" width="29.7109375" style="595" customWidth="1"/>
    <col min="1285" max="1285" width="7.7109375" style="595" customWidth="1"/>
    <col min="1286" max="1286" width="6" style="595" customWidth="1"/>
    <col min="1287" max="1287" width="11.5703125" style="595" customWidth="1"/>
    <col min="1288" max="1288" width="13.42578125" style="595" customWidth="1"/>
    <col min="1289" max="1289" width="13.85546875" style="595" customWidth="1"/>
    <col min="1290" max="1536" width="9.140625" style="595"/>
    <col min="1537" max="1537" width="13" style="595" customWidth="1"/>
    <col min="1538" max="1538" width="9.140625" style="595"/>
    <col min="1539" max="1539" width="13" style="595" customWidth="1"/>
    <col min="1540" max="1540" width="29.7109375" style="595" customWidth="1"/>
    <col min="1541" max="1541" width="7.7109375" style="595" customWidth="1"/>
    <col min="1542" max="1542" width="6" style="595" customWidth="1"/>
    <col min="1543" max="1543" width="11.5703125" style="595" customWidth="1"/>
    <col min="1544" max="1544" width="13.42578125" style="595" customWidth="1"/>
    <col min="1545" max="1545" width="13.85546875" style="595" customWidth="1"/>
    <col min="1546" max="1792" width="9.140625" style="595"/>
    <col min="1793" max="1793" width="13" style="595" customWidth="1"/>
    <col min="1794" max="1794" width="9.140625" style="595"/>
    <col min="1795" max="1795" width="13" style="595" customWidth="1"/>
    <col min="1796" max="1796" width="29.7109375" style="595" customWidth="1"/>
    <col min="1797" max="1797" width="7.7109375" style="595" customWidth="1"/>
    <col min="1798" max="1798" width="6" style="595" customWidth="1"/>
    <col min="1799" max="1799" width="11.5703125" style="595" customWidth="1"/>
    <col min="1800" max="1800" width="13.42578125" style="595" customWidth="1"/>
    <col min="1801" max="1801" width="13.85546875" style="595" customWidth="1"/>
    <col min="1802" max="2048" width="9.140625" style="595"/>
    <col min="2049" max="2049" width="13" style="595" customWidth="1"/>
    <col min="2050" max="2050" width="9.140625" style="595"/>
    <col min="2051" max="2051" width="13" style="595" customWidth="1"/>
    <col min="2052" max="2052" width="29.7109375" style="595" customWidth="1"/>
    <col min="2053" max="2053" width="7.7109375" style="595" customWidth="1"/>
    <col min="2054" max="2054" width="6" style="595" customWidth="1"/>
    <col min="2055" max="2055" width="11.5703125" style="595" customWidth="1"/>
    <col min="2056" max="2056" width="13.42578125" style="595" customWidth="1"/>
    <col min="2057" max="2057" width="13.85546875" style="595" customWidth="1"/>
    <col min="2058" max="2304" width="9.140625" style="595"/>
    <col min="2305" max="2305" width="13" style="595" customWidth="1"/>
    <col min="2306" max="2306" width="9.140625" style="595"/>
    <col min="2307" max="2307" width="13" style="595" customWidth="1"/>
    <col min="2308" max="2308" width="29.7109375" style="595" customWidth="1"/>
    <col min="2309" max="2309" width="7.7109375" style="595" customWidth="1"/>
    <col min="2310" max="2310" width="6" style="595" customWidth="1"/>
    <col min="2311" max="2311" width="11.5703125" style="595" customWidth="1"/>
    <col min="2312" max="2312" width="13.42578125" style="595" customWidth="1"/>
    <col min="2313" max="2313" width="13.85546875" style="595" customWidth="1"/>
    <col min="2314" max="2560" width="9.140625" style="595"/>
    <col min="2561" max="2561" width="13" style="595" customWidth="1"/>
    <col min="2562" max="2562" width="9.140625" style="595"/>
    <col min="2563" max="2563" width="13" style="595" customWidth="1"/>
    <col min="2564" max="2564" width="29.7109375" style="595" customWidth="1"/>
    <col min="2565" max="2565" width="7.7109375" style="595" customWidth="1"/>
    <col min="2566" max="2566" width="6" style="595" customWidth="1"/>
    <col min="2567" max="2567" width="11.5703125" style="595" customWidth="1"/>
    <col min="2568" max="2568" width="13.42578125" style="595" customWidth="1"/>
    <col min="2569" max="2569" width="13.85546875" style="595" customWidth="1"/>
    <col min="2570" max="2816" width="9.140625" style="595"/>
    <col min="2817" max="2817" width="13" style="595" customWidth="1"/>
    <col min="2818" max="2818" width="9.140625" style="595"/>
    <col min="2819" max="2819" width="13" style="595" customWidth="1"/>
    <col min="2820" max="2820" width="29.7109375" style="595" customWidth="1"/>
    <col min="2821" max="2821" width="7.7109375" style="595" customWidth="1"/>
    <col min="2822" max="2822" width="6" style="595" customWidth="1"/>
    <col min="2823" max="2823" width="11.5703125" style="595" customWidth="1"/>
    <col min="2824" max="2824" width="13.42578125" style="595" customWidth="1"/>
    <col min="2825" max="2825" width="13.85546875" style="595" customWidth="1"/>
    <col min="2826" max="3072" width="9.140625" style="595"/>
    <col min="3073" max="3073" width="13" style="595" customWidth="1"/>
    <col min="3074" max="3074" width="9.140625" style="595"/>
    <col min="3075" max="3075" width="13" style="595" customWidth="1"/>
    <col min="3076" max="3076" width="29.7109375" style="595" customWidth="1"/>
    <col min="3077" max="3077" width="7.7109375" style="595" customWidth="1"/>
    <col min="3078" max="3078" width="6" style="595" customWidth="1"/>
    <col min="3079" max="3079" width="11.5703125" style="595" customWidth="1"/>
    <col min="3080" max="3080" width="13.42578125" style="595" customWidth="1"/>
    <col min="3081" max="3081" width="13.85546875" style="595" customWidth="1"/>
    <col min="3082" max="3328" width="9.140625" style="595"/>
    <col min="3329" max="3329" width="13" style="595" customWidth="1"/>
    <col min="3330" max="3330" width="9.140625" style="595"/>
    <col min="3331" max="3331" width="13" style="595" customWidth="1"/>
    <col min="3332" max="3332" width="29.7109375" style="595" customWidth="1"/>
    <col min="3333" max="3333" width="7.7109375" style="595" customWidth="1"/>
    <col min="3334" max="3334" width="6" style="595" customWidth="1"/>
    <col min="3335" max="3335" width="11.5703125" style="595" customWidth="1"/>
    <col min="3336" max="3336" width="13.42578125" style="595" customWidth="1"/>
    <col min="3337" max="3337" width="13.85546875" style="595" customWidth="1"/>
    <col min="3338" max="3584" width="9.140625" style="595"/>
    <col min="3585" max="3585" width="13" style="595" customWidth="1"/>
    <col min="3586" max="3586" width="9.140625" style="595"/>
    <col min="3587" max="3587" width="13" style="595" customWidth="1"/>
    <col min="3588" max="3588" width="29.7109375" style="595" customWidth="1"/>
    <col min="3589" max="3589" width="7.7109375" style="595" customWidth="1"/>
    <col min="3590" max="3590" width="6" style="595" customWidth="1"/>
    <col min="3591" max="3591" width="11.5703125" style="595" customWidth="1"/>
    <col min="3592" max="3592" width="13.42578125" style="595" customWidth="1"/>
    <col min="3593" max="3593" width="13.85546875" style="595" customWidth="1"/>
    <col min="3594" max="3840" width="9.140625" style="595"/>
    <col min="3841" max="3841" width="13" style="595" customWidth="1"/>
    <col min="3842" max="3842" width="9.140625" style="595"/>
    <col min="3843" max="3843" width="13" style="595" customWidth="1"/>
    <col min="3844" max="3844" width="29.7109375" style="595" customWidth="1"/>
    <col min="3845" max="3845" width="7.7109375" style="595" customWidth="1"/>
    <col min="3846" max="3846" width="6" style="595" customWidth="1"/>
    <col min="3847" max="3847" width="11.5703125" style="595" customWidth="1"/>
    <col min="3848" max="3848" width="13.42578125" style="595" customWidth="1"/>
    <col min="3849" max="3849" width="13.85546875" style="595" customWidth="1"/>
    <col min="3850" max="4096" width="9.140625" style="595"/>
    <col min="4097" max="4097" width="13" style="595" customWidth="1"/>
    <col min="4098" max="4098" width="9.140625" style="595"/>
    <col min="4099" max="4099" width="13" style="595" customWidth="1"/>
    <col min="4100" max="4100" width="29.7109375" style="595" customWidth="1"/>
    <col min="4101" max="4101" width="7.7109375" style="595" customWidth="1"/>
    <col min="4102" max="4102" width="6" style="595" customWidth="1"/>
    <col min="4103" max="4103" width="11.5703125" style="595" customWidth="1"/>
    <col min="4104" max="4104" width="13.42578125" style="595" customWidth="1"/>
    <col min="4105" max="4105" width="13.85546875" style="595" customWidth="1"/>
    <col min="4106" max="4352" width="9.140625" style="595"/>
    <col min="4353" max="4353" width="13" style="595" customWidth="1"/>
    <col min="4354" max="4354" width="9.140625" style="595"/>
    <col min="4355" max="4355" width="13" style="595" customWidth="1"/>
    <col min="4356" max="4356" width="29.7109375" style="595" customWidth="1"/>
    <col min="4357" max="4357" width="7.7109375" style="595" customWidth="1"/>
    <col min="4358" max="4358" width="6" style="595" customWidth="1"/>
    <col min="4359" max="4359" width="11.5703125" style="595" customWidth="1"/>
    <col min="4360" max="4360" width="13.42578125" style="595" customWidth="1"/>
    <col min="4361" max="4361" width="13.85546875" style="595" customWidth="1"/>
    <col min="4362" max="4608" width="9.140625" style="595"/>
    <col min="4609" max="4609" width="13" style="595" customWidth="1"/>
    <col min="4610" max="4610" width="9.140625" style="595"/>
    <col min="4611" max="4611" width="13" style="595" customWidth="1"/>
    <col min="4612" max="4612" width="29.7109375" style="595" customWidth="1"/>
    <col min="4613" max="4613" width="7.7109375" style="595" customWidth="1"/>
    <col min="4614" max="4614" width="6" style="595" customWidth="1"/>
    <col min="4615" max="4615" width="11.5703125" style="595" customWidth="1"/>
    <col min="4616" max="4616" width="13.42578125" style="595" customWidth="1"/>
    <col min="4617" max="4617" width="13.85546875" style="595" customWidth="1"/>
    <col min="4618" max="4864" width="9.140625" style="595"/>
    <col min="4865" max="4865" width="13" style="595" customWidth="1"/>
    <col min="4866" max="4866" width="9.140625" style="595"/>
    <col min="4867" max="4867" width="13" style="595" customWidth="1"/>
    <col min="4868" max="4868" width="29.7109375" style="595" customWidth="1"/>
    <col min="4869" max="4869" width="7.7109375" style="595" customWidth="1"/>
    <col min="4870" max="4870" width="6" style="595" customWidth="1"/>
    <col min="4871" max="4871" width="11.5703125" style="595" customWidth="1"/>
    <col min="4872" max="4872" width="13.42578125" style="595" customWidth="1"/>
    <col min="4873" max="4873" width="13.85546875" style="595" customWidth="1"/>
    <col min="4874" max="5120" width="9.140625" style="595"/>
    <col min="5121" max="5121" width="13" style="595" customWidth="1"/>
    <col min="5122" max="5122" width="9.140625" style="595"/>
    <col min="5123" max="5123" width="13" style="595" customWidth="1"/>
    <col min="5124" max="5124" width="29.7109375" style="595" customWidth="1"/>
    <col min="5125" max="5125" width="7.7109375" style="595" customWidth="1"/>
    <col min="5126" max="5126" width="6" style="595" customWidth="1"/>
    <col min="5127" max="5127" width="11.5703125" style="595" customWidth="1"/>
    <col min="5128" max="5128" width="13.42578125" style="595" customWidth="1"/>
    <col min="5129" max="5129" width="13.85546875" style="595" customWidth="1"/>
    <col min="5130" max="5376" width="9.140625" style="595"/>
    <col min="5377" max="5377" width="13" style="595" customWidth="1"/>
    <col min="5378" max="5378" width="9.140625" style="595"/>
    <col min="5379" max="5379" width="13" style="595" customWidth="1"/>
    <col min="5380" max="5380" width="29.7109375" style="595" customWidth="1"/>
    <col min="5381" max="5381" width="7.7109375" style="595" customWidth="1"/>
    <col min="5382" max="5382" width="6" style="595" customWidth="1"/>
    <col min="5383" max="5383" width="11.5703125" style="595" customWidth="1"/>
    <col min="5384" max="5384" width="13.42578125" style="595" customWidth="1"/>
    <col min="5385" max="5385" width="13.85546875" style="595" customWidth="1"/>
    <col min="5386" max="5632" width="9.140625" style="595"/>
    <col min="5633" max="5633" width="13" style="595" customWidth="1"/>
    <col min="5634" max="5634" width="9.140625" style="595"/>
    <col min="5635" max="5635" width="13" style="595" customWidth="1"/>
    <col min="5636" max="5636" width="29.7109375" style="595" customWidth="1"/>
    <col min="5637" max="5637" width="7.7109375" style="595" customWidth="1"/>
    <col min="5638" max="5638" width="6" style="595" customWidth="1"/>
    <col min="5639" max="5639" width="11.5703125" style="595" customWidth="1"/>
    <col min="5640" max="5640" width="13.42578125" style="595" customWidth="1"/>
    <col min="5641" max="5641" width="13.85546875" style="595" customWidth="1"/>
    <col min="5642" max="5888" width="9.140625" style="595"/>
    <col min="5889" max="5889" width="13" style="595" customWidth="1"/>
    <col min="5890" max="5890" width="9.140625" style="595"/>
    <col min="5891" max="5891" width="13" style="595" customWidth="1"/>
    <col min="5892" max="5892" width="29.7109375" style="595" customWidth="1"/>
    <col min="5893" max="5893" width="7.7109375" style="595" customWidth="1"/>
    <col min="5894" max="5894" width="6" style="595" customWidth="1"/>
    <col min="5895" max="5895" width="11.5703125" style="595" customWidth="1"/>
    <col min="5896" max="5896" width="13.42578125" style="595" customWidth="1"/>
    <col min="5897" max="5897" width="13.85546875" style="595" customWidth="1"/>
    <col min="5898" max="6144" width="9.140625" style="595"/>
    <col min="6145" max="6145" width="13" style="595" customWidth="1"/>
    <col min="6146" max="6146" width="9.140625" style="595"/>
    <col min="6147" max="6147" width="13" style="595" customWidth="1"/>
    <col min="6148" max="6148" width="29.7109375" style="595" customWidth="1"/>
    <col min="6149" max="6149" width="7.7109375" style="595" customWidth="1"/>
    <col min="6150" max="6150" width="6" style="595" customWidth="1"/>
    <col min="6151" max="6151" width="11.5703125" style="595" customWidth="1"/>
    <col min="6152" max="6152" width="13.42578125" style="595" customWidth="1"/>
    <col min="6153" max="6153" width="13.85546875" style="595" customWidth="1"/>
    <col min="6154" max="6400" width="9.140625" style="595"/>
    <col min="6401" max="6401" width="13" style="595" customWidth="1"/>
    <col min="6402" max="6402" width="9.140625" style="595"/>
    <col min="6403" max="6403" width="13" style="595" customWidth="1"/>
    <col min="6404" max="6404" width="29.7109375" style="595" customWidth="1"/>
    <col min="6405" max="6405" width="7.7109375" style="595" customWidth="1"/>
    <col min="6406" max="6406" width="6" style="595" customWidth="1"/>
    <col min="6407" max="6407" width="11.5703125" style="595" customWidth="1"/>
    <col min="6408" max="6408" width="13.42578125" style="595" customWidth="1"/>
    <col min="6409" max="6409" width="13.85546875" style="595" customWidth="1"/>
    <col min="6410" max="6656" width="9.140625" style="595"/>
    <col min="6657" max="6657" width="13" style="595" customWidth="1"/>
    <col min="6658" max="6658" width="9.140625" style="595"/>
    <col min="6659" max="6659" width="13" style="595" customWidth="1"/>
    <col min="6660" max="6660" width="29.7109375" style="595" customWidth="1"/>
    <col min="6661" max="6661" width="7.7109375" style="595" customWidth="1"/>
    <col min="6662" max="6662" width="6" style="595" customWidth="1"/>
    <col min="6663" max="6663" width="11.5703125" style="595" customWidth="1"/>
    <col min="6664" max="6664" width="13.42578125" style="595" customWidth="1"/>
    <col min="6665" max="6665" width="13.85546875" style="595" customWidth="1"/>
    <col min="6666" max="6912" width="9.140625" style="595"/>
    <col min="6913" max="6913" width="13" style="595" customWidth="1"/>
    <col min="6914" max="6914" width="9.140625" style="595"/>
    <col min="6915" max="6915" width="13" style="595" customWidth="1"/>
    <col min="6916" max="6916" width="29.7109375" style="595" customWidth="1"/>
    <col min="6917" max="6917" width="7.7109375" style="595" customWidth="1"/>
    <col min="6918" max="6918" width="6" style="595" customWidth="1"/>
    <col min="6919" max="6919" width="11.5703125" style="595" customWidth="1"/>
    <col min="6920" max="6920" width="13.42578125" style="595" customWidth="1"/>
    <col min="6921" max="6921" width="13.85546875" style="595" customWidth="1"/>
    <col min="6922" max="7168" width="9.140625" style="595"/>
    <col min="7169" max="7169" width="13" style="595" customWidth="1"/>
    <col min="7170" max="7170" width="9.140625" style="595"/>
    <col min="7171" max="7171" width="13" style="595" customWidth="1"/>
    <col min="7172" max="7172" width="29.7109375" style="595" customWidth="1"/>
    <col min="7173" max="7173" width="7.7109375" style="595" customWidth="1"/>
    <col min="7174" max="7174" width="6" style="595" customWidth="1"/>
    <col min="7175" max="7175" width="11.5703125" style="595" customWidth="1"/>
    <col min="7176" max="7176" width="13.42578125" style="595" customWidth="1"/>
    <col min="7177" max="7177" width="13.85546875" style="595" customWidth="1"/>
    <col min="7178" max="7424" width="9.140625" style="595"/>
    <col min="7425" max="7425" width="13" style="595" customWidth="1"/>
    <col min="7426" max="7426" width="9.140625" style="595"/>
    <col min="7427" max="7427" width="13" style="595" customWidth="1"/>
    <col min="7428" max="7428" width="29.7109375" style="595" customWidth="1"/>
    <col min="7429" max="7429" width="7.7109375" style="595" customWidth="1"/>
    <col min="7430" max="7430" width="6" style="595" customWidth="1"/>
    <col min="7431" max="7431" width="11.5703125" style="595" customWidth="1"/>
    <col min="7432" max="7432" width="13.42578125" style="595" customWidth="1"/>
    <col min="7433" max="7433" width="13.85546875" style="595" customWidth="1"/>
    <col min="7434" max="7680" width="9.140625" style="595"/>
    <col min="7681" max="7681" width="13" style="595" customWidth="1"/>
    <col min="7682" max="7682" width="9.140625" style="595"/>
    <col min="7683" max="7683" width="13" style="595" customWidth="1"/>
    <col min="7684" max="7684" width="29.7109375" style="595" customWidth="1"/>
    <col min="7685" max="7685" width="7.7109375" style="595" customWidth="1"/>
    <col min="7686" max="7686" width="6" style="595" customWidth="1"/>
    <col min="7687" max="7687" width="11.5703125" style="595" customWidth="1"/>
    <col min="7688" max="7688" width="13.42578125" style="595" customWidth="1"/>
    <col min="7689" max="7689" width="13.85546875" style="595" customWidth="1"/>
    <col min="7690" max="7936" width="9.140625" style="595"/>
    <col min="7937" max="7937" width="13" style="595" customWidth="1"/>
    <col min="7938" max="7938" width="9.140625" style="595"/>
    <col min="7939" max="7939" width="13" style="595" customWidth="1"/>
    <col min="7940" max="7940" width="29.7109375" style="595" customWidth="1"/>
    <col min="7941" max="7941" width="7.7109375" style="595" customWidth="1"/>
    <col min="7942" max="7942" width="6" style="595" customWidth="1"/>
    <col min="7943" max="7943" width="11.5703125" style="595" customWidth="1"/>
    <col min="7944" max="7944" width="13.42578125" style="595" customWidth="1"/>
    <col min="7945" max="7945" width="13.85546875" style="595" customWidth="1"/>
    <col min="7946" max="8192" width="9.140625" style="595"/>
    <col min="8193" max="8193" width="13" style="595" customWidth="1"/>
    <col min="8194" max="8194" width="9.140625" style="595"/>
    <col min="8195" max="8195" width="13" style="595" customWidth="1"/>
    <col min="8196" max="8196" width="29.7109375" style="595" customWidth="1"/>
    <col min="8197" max="8197" width="7.7109375" style="595" customWidth="1"/>
    <col min="8198" max="8198" width="6" style="595" customWidth="1"/>
    <col min="8199" max="8199" width="11.5703125" style="595" customWidth="1"/>
    <col min="8200" max="8200" width="13.42578125" style="595" customWidth="1"/>
    <col min="8201" max="8201" width="13.85546875" style="595" customWidth="1"/>
    <col min="8202" max="8448" width="9.140625" style="595"/>
    <col min="8449" max="8449" width="13" style="595" customWidth="1"/>
    <col min="8450" max="8450" width="9.140625" style="595"/>
    <col min="8451" max="8451" width="13" style="595" customWidth="1"/>
    <col min="8452" max="8452" width="29.7109375" style="595" customWidth="1"/>
    <col min="8453" max="8453" width="7.7109375" style="595" customWidth="1"/>
    <col min="8454" max="8454" width="6" style="595" customWidth="1"/>
    <col min="8455" max="8455" width="11.5703125" style="595" customWidth="1"/>
    <col min="8456" max="8456" width="13.42578125" style="595" customWidth="1"/>
    <col min="8457" max="8457" width="13.85546875" style="595" customWidth="1"/>
    <col min="8458" max="8704" width="9.140625" style="595"/>
    <col min="8705" max="8705" width="13" style="595" customWidth="1"/>
    <col min="8706" max="8706" width="9.140625" style="595"/>
    <col min="8707" max="8707" width="13" style="595" customWidth="1"/>
    <col min="8708" max="8708" width="29.7109375" style="595" customWidth="1"/>
    <col min="8709" max="8709" width="7.7109375" style="595" customWidth="1"/>
    <col min="8710" max="8710" width="6" style="595" customWidth="1"/>
    <col min="8711" max="8711" width="11.5703125" style="595" customWidth="1"/>
    <col min="8712" max="8712" width="13.42578125" style="595" customWidth="1"/>
    <col min="8713" max="8713" width="13.85546875" style="595" customWidth="1"/>
    <col min="8714" max="8960" width="9.140625" style="595"/>
    <col min="8961" max="8961" width="13" style="595" customWidth="1"/>
    <col min="8962" max="8962" width="9.140625" style="595"/>
    <col min="8963" max="8963" width="13" style="595" customWidth="1"/>
    <col min="8964" max="8964" width="29.7109375" style="595" customWidth="1"/>
    <col min="8965" max="8965" width="7.7109375" style="595" customWidth="1"/>
    <col min="8966" max="8966" width="6" style="595" customWidth="1"/>
    <col min="8967" max="8967" width="11.5703125" style="595" customWidth="1"/>
    <col min="8968" max="8968" width="13.42578125" style="595" customWidth="1"/>
    <col min="8969" max="8969" width="13.85546875" style="595" customWidth="1"/>
    <col min="8970" max="9216" width="9.140625" style="595"/>
    <col min="9217" max="9217" width="13" style="595" customWidth="1"/>
    <col min="9218" max="9218" width="9.140625" style="595"/>
    <col min="9219" max="9219" width="13" style="595" customWidth="1"/>
    <col min="9220" max="9220" width="29.7109375" style="595" customWidth="1"/>
    <col min="9221" max="9221" width="7.7109375" style="595" customWidth="1"/>
    <col min="9222" max="9222" width="6" style="595" customWidth="1"/>
    <col min="9223" max="9223" width="11.5703125" style="595" customWidth="1"/>
    <col min="9224" max="9224" width="13.42578125" style="595" customWidth="1"/>
    <col min="9225" max="9225" width="13.85546875" style="595" customWidth="1"/>
    <col min="9226" max="9472" width="9.140625" style="595"/>
    <col min="9473" max="9473" width="13" style="595" customWidth="1"/>
    <col min="9474" max="9474" width="9.140625" style="595"/>
    <col min="9475" max="9475" width="13" style="595" customWidth="1"/>
    <col min="9476" max="9476" width="29.7109375" style="595" customWidth="1"/>
    <col min="9477" max="9477" width="7.7109375" style="595" customWidth="1"/>
    <col min="9478" max="9478" width="6" style="595" customWidth="1"/>
    <col min="9479" max="9479" width="11.5703125" style="595" customWidth="1"/>
    <col min="9480" max="9480" width="13.42578125" style="595" customWidth="1"/>
    <col min="9481" max="9481" width="13.85546875" style="595" customWidth="1"/>
    <col min="9482" max="9728" width="9.140625" style="595"/>
    <col min="9729" max="9729" width="13" style="595" customWidth="1"/>
    <col min="9730" max="9730" width="9.140625" style="595"/>
    <col min="9731" max="9731" width="13" style="595" customWidth="1"/>
    <col min="9732" max="9732" width="29.7109375" style="595" customWidth="1"/>
    <col min="9733" max="9733" width="7.7109375" style="595" customWidth="1"/>
    <col min="9734" max="9734" width="6" style="595" customWidth="1"/>
    <col min="9735" max="9735" width="11.5703125" style="595" customWidth="1"/>
    <col min="9736" max="9736" width="13.42578125" style="595" customWidth="1"/>
    <col min="9737" max="9737" width="13.85546875" style="595" customWidth="1"/>
    <col min="9738" max="9984" width="9.140625" style="595"/>
    <col min="9985" max="9985" width="13" style="595" customWidth="1"/>
    <col min="9986" max="9986" width="9.140625" style="595"/>
    <col min="9987" max="9987" width="13" style="595" customWidth="1"/>
    <col min="9988" max="9988" width="29.7109375" style="595" customWidth="1"/>
    <col min="9989" max="9989" width="7.7109375" style="595" customWidth="1"/>
    <col min="9990" max="9990" width="6" style="595" customWidth="1"/>
    <col min="9991" max="9991" width="11.5703125" style="595" customWidth="1"/>
    <col min="9992" max="9992" width="13.42578125" style="595" customWidth="1"/>
    <col min="9993" max="9993" width="13.85546875" style="595" customWidth="1"/>
    <col min="9994" max="10240" width="9.140625" style="595"/>
    <col min="10241" max="10241" width="13" style="595" customWidth="1"/>
    <col min="10242" max="10242" width="9.140625" style="595"/>
    <col min="10243" max="10243" width="13" style="595" customWidth="1"/>
    <col min="10244" max="10244" width="29.7109375" style="595" customWidth="1"/>
    <col min="10245" max="10245" width="7.7109375" style="595" customWidth="1"/>
    <col min="10246" max="10246" width="6" style="595" customWidth="1"/>
    <col min="10247" max="10247" width="11.5703125" style="595" customWidth="1"/>
    <col min="10248" max="10248" width="13.42578125" style="595" customWidth="1"/>
    <col min="10249" max="10249" width="13.85546875" style="595" customWidth="1"/>
    <col min="10250" max="10496" width="9.140625" style="595"/>
    <col min="10497" max="10497" width="13" style="595" customWidth="1"/>
    <col min="10498" max="10498" width="9.140625" style="595"/>
    <col min="10499" max="10499" width="13" style="595" customWidth="1"/>
    <col min="10500" max="10500" width="29.7109375" style="595" customWidth="1"/>
    <col min="10501" max="10501" width="7.7109375" style="595" customWidth="1"/>
    <col min="10502" max="10502" width="6" style="595" customWidth="1"/>
    <col min="10503" max="10503" width="11.5703125" style="595" customWidth="1"/>
    <col min="10504" max="10504" width="13.42578125" style="595" customWidth="1"/>
    <col min="10505" max="10505" width="13.85546875" style="595" customWidth="1"/>
    <col min="10506" max="10752" width="9.140625" style="595"/>
    <col min="10753" max="10753" width="13" style="595" customWidth="1"/>
    <col min="10754" max="10754" width="9.140625" style="595"/>
    <col min="10755" max="10755" width="13" style="595" customWidth="1"/>
    <col min="10756" max="10756" width="29.7109375" style="595" customWidth="1"/>
    <col min="10757" max="10757" width="7.7109375" style="595" customWidth="1"/>
    <col min="10758" max="10758" width="6" style="595" customWidth="1"/>
    <col min="10759" max="10759" width="11.5703125" style="595" customWidth="1"/>
    <col min="10760" max="10760" width="13.42578125" style="595" customWidth="1"/>
    <col min="10761" max="10761" width="13.85546875" style="595" customWidth="1"/>
    <col min="10762" max="11008" width="9.140625" style="595"/>
    <col min="11009" max="11009" width="13" style="595" customWidth="1"/>
    <col min="11010" max="11010" width="9.140625" style="595"/>
    <col min="11011" max="11011" width="13" style="595" customWidth="1"/>
    <col min="11012" max="11012" width="29.7109375" style="595" customWidth="1"/>
    <col min="11013" max="11013" width="7.7109375" style="595" customWidth="1"/>
    <col min="11014" max="11014" width="6" style="595" customWidth="1"/>
    <col min="11015" max="11015" width="11.5703125" style="595" customWidth="1"/>
    <col min="11016" max="11016" width="13.42578125" style="595" customWidth="1"/>
    <col min="11017" max="11017" width="13.85546875" style="595" customWidth="1"/>
    <col min="11018" max="11264" width="9.140625" style="595"/>
    <col min="11265" max="11265" width="13" style="595" customWidth="1"/>
    <col min="11266" max="11266" width="9.140625" style="595"/>
    <col min="11267" max="11267" width="13" style="595" customWidth="1"/>
    <col min="11268" max="11268" width="29.7109375" style="595" customWidth="1"/>
    <col min="11269" max="11269" width="7.7109375" style="595" customWidth="1"/>
    <col min="11270" max="11270" width="6" style="595" customWidth="1"/>
    <col min="11271" max="11271" width="11.5703125" style="595" customWidth="1"/>
    <col min="11272" max="11272" width="13.42578125" style="595" customWidth="1"/>
    <col min="11273" max="11273" width="13.85546875" style="595" customWidth="1"/>
    <col min="11274" max="11520" width="9.140625" style="595"/>
    <col min="11521" max="11521" width="13" style="595" customWidth="1"/>
    <col min="11522" max="11522" width="9.140625" style="595"/>
    <col min="11523" max="11523" width="13" style="595" customWidth="1"/>
    <col min="11524" max="11524" width="29.7109375" style="595" customWidth="1"/>
    <col min="11525" max="11525" width="7.7109375" style="595" customWidth="1"/>
    <col min="11526" max="11526" width="6" style="595" customWidth="1"/>
    <col min="11527" max="11527" width="11.5703125" style="595" customWidth="1"/>
    <col min="11528" max="11528" width="13.42578125" style="595" customWidth="1"/>
    <col min="11529" max="11529" width="13.85546875" style="595" customWidth="1"/>
    <col min="11530" max="11776" width="9.140625" style="595"/>
    <col min="11777" max="11777" width="13" style="595" customWidth="1"/>
    <col min="11778" max="11778" width="9.140625" style="595"/>
    <col min="11779" max="11779" width="13" style="595" customWidth="1"/>
    <col min="11780" max="11780" width="29.7109375" style="595" customWidth="1"/>
    <col min="11781" max="11781" width="7.7109375" style="595" customWidth="1"/>
    <col min="11782" max="11782" width="6" style="595" customWidth="1"/>
    <col min="11783" max="11783" width="11.5703125" style="595" customWidth="1"/>
    <col min="11784" max="11784" width="13.42578125" style="595" customWidth="1"/>
    <col min="11785" max="11785" width="13.85546875" style="595" customWidth="1"/>
    <col min="11786" max="12032" width="9.140625" style="595"/>
    <col min="12033" max="12033" width="13" style="595" customWidth="1"/>
    <col min="12034" max="12034" width="9.140625" style="595"/>
    <col min="12035" max="12035" width="13" style="595" customWidth="1"/>
    <col min="12036" max="12036" width="29.7109375" style="595" customWidth="1"/>
    <col min="12037" max="12037" width="7.7109375" style="595" customWidth="1"/>
    <col min="12038" max="12038" width="6" style="595" customWidth="1"/>
    <col min="12039" max="12039" width="11.5703125" style="595" customWidth="1"/>
    <col min="12040" max="12040" width="13.42578125" style="595" customWidth="1"/>
    <col min="12041" max="12041" width="13.85546875" style="595" customWidth="1"/>
    <col min="12042" max="12288" width="9.140625" style="595"/>
    <col min="12289" max="12289" width="13" style="595" customWidth="1"/>
    <col min="12290" max="12290" width="9.140625" style="595"/>
    <col min="12291" max="12291" width="13" style="595" customWidth="1"/>
    <col min="12292" max="12292" width="29.7109375" style="595" customWidth="1"/>
    <col min="12293" max="12293" width="7.7109375" style="595" customWidth="1"/>
    <col min="12294" max="12294" width="6" style="595" customWidth="1"/>
    <col min="12295" max="12295" width="11.5703125" style="595" customWidth="1"/>
    <col min="12296" max="12296" width="13.42578125" style="595" customWidth="1"/>
    <col min="12297" max="12297" width="13.85546875" style="595" customWidth="1"/>
    <col min="12298" max="12544" width="9.140625" style="595"/>
    <col min="12545" max="12545" width="13" style="595" customWidth="1"/>
    <col min="12546" max="12546" width="9.140625" style="595"/>
    <col min="12547" max="12547" width="13" style="595" customWidth="1"/>
    <col min="12548" max="12548" width="29.7109375" style="595" customWidth="1"/>
    <col min="12549" max="12549" width="7.7109375" style="595" customWidth="1"/>
    <col min="12550" max="12550" width="6" style="595" customWidth="1"/>
    <col min="12551" max="12551" width="11.5703125" style="595" customWidth="1"/>
    <col min="12552" max="12552" width="13.42578125" style="595" customWidth="1"/>
    <col min="12553" max="12553" width="13.85546875" style="595" customWidth="1"/>
    <col min="12554" max="12800" width="9.140625" style="595"/>
    <col min="12801" max="12801" width="13" style="595" customWidth="1"/>
    <col min="12802" max="12802" width="9.140625" style="595"/>
    <col min="12803" max="12803" width="13" style="595" customWidth="1"/>
    <col min="12804" max="12804" width="29.7109375" style="595" customWidth="1"/>
    <col min="12805" max="12805" width="7.7109375" style="595" customWidth="1"/>
    <col min="12806" max="12806" width="6" style="595" customWidth="1"/>
    <col min="12807" max="12807" width="11.5703125" style="595" customWidth="1"/>
    <col min="12808" max="12808" width="13.42578125" style="595" customWidth="1"/>
    <col min="12809" max="12809" width="13.85546875" style="595" customWidth="1"/>
    <col min="12810" max="13056" width="9.140625" style="595"/>
    <col min="13057" max="13057" width="13" style="595" customWidth="1"/>
    <col min="13058" max="13058" width="9.140625" style="595"/>
    <col min="13059" max="13059" width="13" style="595" customWidth="1"/>
    <col min="13060" max="13060" width="29.7109375" style="595" customWidth="1"/>
    <col min="13061" max="13061" width="7.7109375" style="595" customWidth="1"/>
    <col min="13062" max="13062" width="6" style="595" customWidth="1"/>
    <col min="13063" max="13063" width="11.5703125" style="595" customWidth="1"/>
    <col min="13064" max="13064" width="13.42578125" style="595" customWidth="1"/>
    <col min="13065" max="13065" width="13.85546875" style="595" customWidth="1"/>
    <col min="13066" max="13312" width="9.140625" style="595"/>
    <col min="13313" max="13313" width="13" style="595" customWidth="1"/>
    <col min="13314" max="13314" width="9.140625" style="595"/>
    <col min="13315" max="13315" width="13" style="595" customWidth="1"/>
    <col min="13316" max="13316" width="29.7109375" style="595" customWidth="1"/>
    <col min="13317" max="13317" width="7.7109375" style="595" customWidth="1"/>
    <col min="13318" max="13318" width="6" style="595" customWidth="1"/>
    <col min="13319" max="13319" width="11.5703125" style="595" customWidth="1"/>
    <col min="13320" max="13320" width="13.42578125" style="595" customWidth="1"/>
    <col min="13321" max="13321" width="13.85546875" style="595" customWidth="1"/>
    <col min="13322" max="13568" width="9.140625" style="595"/>
    <col min="13569" max="13569" width="13" style="595" customWidth="1"/>
    <col min="13570" max="13570" width="9.140625" style="595"/>
    <col min="13571" max="13571" width="13" style="595" customWidth="1"/>
    <col min="13572" max="13572" width="29.7109375" style="595" customWidth="1"/>
    <col min="13573" max="13573" width="7.7109375" style="595" customWidth="1"/>
    <col min="13574" max="13574" width="6" style="595" customWidth="1"/>
    <col min="13575" max="13575" width="11.5703125" style="595" customWidth="1"/>
    <col min="13576" max="13576" width="13.42578125" style="595" customWidth="1"/>
    <col min="13577" max="13577" width="13.85546875" style="595" customWidth="1"/>
    <col min="13578" max="13824" width="9.140625" style="595"/>
    <col min="13825" max="13825" width="13" style="595" customWidth="1"/>
    <col min="13826" max="13826" width="9.140625" style="595"/>
    <col min="13827" max="13827" width="13" style="595" customWidth="1"/>
    <col min="13828" max="13828" width="29.7109375" style="595" customWidth="1"/>
    <col min="13829" max="13829" width="7.7109375" style="595" customWidth="1"/>
    <col min="13830" max="13830" width="6" style="595" customWidth="1"/>
    <col min="13831" max="13831" width="11.5703125" style="595" customWidth="1"/>
    <col min="13832" max="13832" width="13.42578125" style="595" customWidth="1"/>
    <col min="13833" max="13833" width="13.85546875" style="595" customWidth="1"/>
    <col min="13834" max="14080" width="9.140625" style="595"/>
    <col min="14081" max="14081" width="13" style="595" customWidth="1"/>
    <col min="14082" max="14082" width="9.140625" style="595"/>
    <col min="14083" max="14083" width="13" style="595" customWidth="1"/>
    <col min="14084" max="14084" width="29.7109375" style="595" customWidth="1"/>
    <col min="14085" max="14085" width="7.7109375" style="595" customWidth="1"/>
    <col min="14086" max="14086" width="6" style="595" customWidth="1"/>
    <col min="14087" max="14087" width="11.5703125" style="595" customWidth="1"/>
    <col min="14088" max="14088" width="13.42578125" style="595" customWidth="1"/>
    <col min="14089" max="14089" width="13.85546875" style="595" customWidth="1"/>
    <col min="14090" max="14336" width="9.140625" style="595"/>
    <col min="14337" max="14337" width="13" style="595" customWidth="1"/>
    <col min="14338" max="14338" width="9.140625" style="595"/>
    <col min="14339" max="14339" width="13" style="595" customWidth="1"/>
    <col min="14340" max="14340" width="29.7109375" style="595" customWidth="1"/>
    <col min="14341" max="14341" width="7.7109375" style="595" customWidth="1"/>
    <col min="14342" max="14342" width="6" style="595" customWidth="1"/>
    <col min="14343" max="14343" width="11.5703125" style="595" customWidth="1"/>
    <col min="14344" max="14344" width="13.42578125" style="595" customWidth="1"/>
    <col min="14345" max="14345" width="13.85546875" style="595" customWidth="1"/>
    <col min="14346" max="14592" width="9.140625" style="595"/>
    <col min="14593" max="14593" width="13" style="595" customWidth="1"/>
    <col min="14594" max="14594" width="9.140625" style="595"/>
    <col min="14595" max="14595" width="13" style="595" customWidth="1"/>
    <col min="14596" max="14596" width="29.7109375" style="595" customWidth="1"/>
    <col min="14597" max="14597" width="7.7109375" style="595" customWidth="1"/>
    <col min="14598" max="14598" width="6" style="595" customWidth="1"/>
    <col min="14599" max="14599" width="11.5703125" style="595" customWidth="1"/>
    <col min="14600" max="14600" width="13.42578125" style="595" customWidth="1"/>
    <col min="14601" max="14601" width="13.85546875" style="595" customWidth="1"/>
    <col min="14602" max="14848" width="9.140625" style="595"/>
    <col min="14849" max="14849" width="13" style="595" customWidth="1"/>
    <col min="14850" max="14850" width="9.140625" style="595"/>
    <col min="14851" max="14851" width="13" style="595" customWidth="1"/>
    <col min="14852" max="14852" width="29.7109375" style="595" customWidth="1"/>
    <col min="14853" max="14853" width="7.7109375" style="595" customWidth="1"/>
    <col min="14854" max="14854" width="6" style="595" customWidth="1"/>
    <col min="14855" max="14855" width="11.5703125" style="595" customWidth="1"/>
    <col min="14856" max="14856" width="13.42578125" style="595" customWidth="1"/>
    <col min="14857" max="14857" width="13.85546875" style="595" customWidth="1"/>
    <col min="14858" max="15104" width="9.140625" style="595"/>
    <col min="15105" max="15105" width="13" style="595" customWidth="1"/>
    <col min="15106" max="15106" width="9.140625" style="595"/>
    <col min="15107" max="15107" width="13" style="595" customWidth="1"/>
    <col min="15108" max="15108" width="29.7109375" style="595" customWidth="1"/>
    <col min="15109" max="15109" width="7.7109375" style="595" customWidth="1"/>
    <col min="15110" max="15110" width="6" style="595" customWidth="1"/>
    <col min="15111" max="15111" width="11.5703125" style="595" customWidth="1"/>
    <col min="15112" max="15112" width="13.42578125" style="595" customWidth="1"/>
    <col min="15113" max="15113" width="13.85546875" style="595" customWidth="1"/>
    <col min="15114" max="15360" width="9.140625" style="595"/>
    <col min="15361" max="15361" width="13" style="595" customWidth="1"/>
    <col min="15362" max="15362" width="9.140625" style="595"/>
    <col min="15363" max="15363" width="13" style="595" customWidth="1"/>
    <col min="15364" max="15364" width="29.7109375" style="595" customWidth="1"/>
    <col min="15365" max="15365" width="7.7109375" style="595" customWidth="1"/>
    <col min="15366" max="15366" width="6" style="595" customWidth="1"/>
    <col min="15367" max="15367" width="11.5703125" style="595" customWidth="1"/>
    <col min="15368" max="15368" width="13.42578125" style="595" customWidth="1"/>
    <col min="15369" max="15369" width="13.85546875" style="595" customWidth="1"/>
    <col min="15370" max="15616" width="9.140625" style="595"/>
    <col min="15617" max="15617" width="13" style="595" customWidth="1"/>
    <col min="15618" max="15618" width="9.140625" style="595"/>
    <col min="15619" max="15619" width="13" style="595" customWidth="1"/>
    <col min="15620" max="15620" width="29.7109375" style="595" customWidth="1"/>
    <col min="15621" max="15621" width="7.7109375" style="595" customWidth="1"/>
    <col min="15622" max="15622" width="6" style="595" customWidth="1"/>
    <col min="15623" max="15623" width="11.5703125" style="595" customWidth="1"/>
    <col min="15624" max="15624" width="13.42578125" style="595" customWidth="1"/>
    <col min="15625" max="15625" width="13.85546875" style="595" customWidth="1"/>
    <col min="15626" max="15872" width="9.140625" style="595"/>
    <col min="15873" max="15873" width="13" style="595" customWidth="1"/>
    <col min="15874" max="15874" width="9.140625" style="595"/>
    <col min="15875" max="15875" width="13" style="595" customWidth="1"/>
    <col min="15876" max="15876" width="29.7109375" style="595" customWidth="1"/>
    <col min="15877" max="15877" width="7.7109375" style="595" customWidth="1"/>
    <col min="15878" max="15878" width="6" style="595" customWidth="1"/>
    <col min="15879" max="15879" width="11.5703125" style="595" customWidth="1"/>
    <col min="15880" max="15880" width="13.42578125" style="595" customWidth="1"/>
    <col min="15881" max="15881" width="13.85546875" style="595" customWidth="1"/>
    <col min="15882" max="16128" width="9.140625" style="595"/>
    <col min="16129" max="16129" width="13" style="595" customWidth="1"/>
    <col min="16130" max="16130" width="9.140625" style="595"/>
    <col min="16131" max="16131" width="13" style="595" customWidth="1"/>
    <col min="16132" max="16132" width="29.7109375" style="595" customWidth="1"/>
    <col min="16133" max="16133" width="7.7109375" style="595" customWidth="1"/>
    <col min="16134" max="16134" width="6" style="595" customWidth="1"/>
    <col min="16135" max="16135" width="11.5703125" style="595" customWidth="1"/>
    <col min="16136" max="16136" width="13.42578125" style="595" customWidth="1"/>
    <col min="16137" max="16137" width="13.85546875" style="595" customWidth="1"/>
    <col min="16138" max="16384" width="9.140625" style="595"/>
  </cols>
  <sheetData>
    <row r="1" spans="1:14">
      <c r="A1" s="594" t="str">
        <f>TH!A1</f>
        <v>Đơn vị: CÔNG TY TNHH MỘT THÀNH VIÊN KHỞI NGUYÊN AN</v>
      </c>
      <c r="F1" s="1002" t="s">
        <v>324</v>
      </c>
      <c r="G1" s="1002"/>
      <c r="H1" s="1002"/>
      <c r="I1" s="1002"/>
    </row>
    <row r="2" spans="1:14">
      <c r="A2" s="595" t="str">
        <f>TH!A2</f>
        <v>Địa chỉ: Thửa đất số 144, tờ bản đồ số 12TĐH.1, tổ 1, khu phố Đông Tác, Phường Tân Đông Hiệp, Thị Xã Dĩ An, Tỉnh Bình Dương, Việt Nam</v>
      </c>
      <c r="F2" s="1001" t="str">
        <f ca="1">IF(YEAR($A$11)&gt;=2015,"(Ban hành theo Thông tư số 200/2014/TT-BTC  Ngày 22/12/2014 của Bộ Tài chính)","(Ban hành kèm theo QĐ 48/2006/QĐ-BTC ngày 24/09/2006 của Bộ trưởng BTC)")</f>
        <v>(Ban hành theo Thông tư số 200/2014/TT-BTC  Ngày 22/12/2014 của Bộ Tài chính)</v>
      </c>
      <c r="G2" s="1001"/>
      <c r="H2" s="1001"/>
      <c r="I2" s="1001"/>
    </row>
    <row r="3" spans="1:14">
      <c r="F3" s="1001"/>
      <c r="G3" s="1001"/>
      <c r="H3" s="1001"/>
      <c r="I3" s="1001"/>
    </row>
    <row r="4" spans="1:14">
      <c r="H4" s="596"/>
      <c r="I4" s="596"/>
    </row>
    <row r="5" spans="1:14" ht="26.25" customHeight="1">
      <c r="B5" s="597"/>
      <c r="C5" s="597"/>
      <c r="D5" s="598" t="s">
        <v>325</v>
      </c>
      <c r="E5" s="597"/>
      <c r="F5" s="597"/>
      <c r="G5" s="597"/>
      <c r="H5" s="597"/>
      <c r="I5" s="597"/>
      <c r="J5" s="597"/>
      <c r="K5" s="597"/>
    </row>
    <row r="6" spans="1:14">
      <c r="B6" s="599"/>
      <c r="C6" s="599"/>
      <c r="D6" s="600" t="str">
        <f ca="1">$K$9&amp;"   -   Năm:  " &amp;YEAR(A11)</f>
        <v>Quý III   -   Năm:  2015</v>
      </c>
      <c r="E6" s="599"/>
      <c r="F6" s="599"/>
      <c r="G6" s="599"/>
      <c r="H6" s="599"/>
      <c r="I6" s="599"/>
      <c r="J6" s="599"/>
      <c r="K6" s="599"/>
    </row>
    <row r="7" spans="1:14">
      <c r="A7" s="601"/>
      <c r="B7" s="601"/>
      <c r="C7" s="601"/>
      <c r="D7" s="601"/>
      <c r="E7" s="601"/>
      <c r="F7" s="601"/>
      <c r="G7" s="601"/>
      <c r="H7" s="1005" t="s">
        <v>123</v>
      </c>
      <c r="I7" s="1005"/>
      <c r="J7" s="601"/>
      <c r="K7" s="601"/>
      <c r="M7" s="1004" t="s">
        <v>317</v>
      </c>
      <c r="N7" s="1004"/>
    </row>
    <row r="8" spans="1:14" s="779" customFormat="1" ht="23.25" customHeight="1" thickBot="1">
      <c r="A8" s="1006" t="s">
        <v>326</v>
      </c>
      <c r="B8" s="1008" t="s">
        <v>1</v>
      </c>
      <c r="C8" s="1009"/>
      <c r="D8" s="1010" t="s">
        <v>0</v>
      </c>
      <c r="E8" s="1006" t="s">
        <v>327</v>
      </c>
      <c r="F8" s="1003" t="s">
        <v>94</v>
      </c>
      <c r="G8" s="1003"/>
      <c r="H8" s="1008" t="s">
        <v>21</v>
      </c>
      <c r="I8" s="1009"/>
      <c r="J8" s="778"/>
      <c r="K8" s="778"/>
      <c r="M8" s="780">
        <f>IF(K9="Quý I",1,IF(K9="Quý II",4,IF(K9="Quý III",7,IF(K9="Quý IV",10,""))))</f>
        <v>7</v>
      </c>
      <c r="N8" s="780">
        <f>IF(K9="Quý I",3,IF(K9="Quý II",6,IF(K9="Quý III",9,IF(K9="Quý IV",12,""))))</f>
        <v>9</v>
      </c>
    </row>
    <row r="9" spans="1:14" s="779" customFormat="1" ht="28.5" customHeight="1" thickBot="1">
      <c r="A9" s="1007"/>
      <c r="B9" s="781" t="s">
        <v>15</v>
      </c>
      <c r="C9" s="781" t="s">
        <v>32</v>
      </c>
      <c r="D9" s="1011"/>
      <c r="E9" s="1007"/>
      <c r="F9" s="782" t="s">
        <v>22</v>
      </c>
      <c r="G9" s="782" t="s">
        <v>23</v>
      </c>
      <c r="H9" s="781" t="s">
        <v>328</v>
      </c>
      <c r="I9" s="781" t="s">
        <v>23</v>
      </c>
      <c r="K9" s="693" t="s">
        <v>399</v>
      </c>
    </row>
    <row r="10" spans="1:14" s="779" customFormat="1" ht="21" customHeight="1">
      <c r="A10" s="783"/>
      <c r="B10" s="783"/>
      <c r="C10" s="783"/>
      <c r="D10" s="784" t="s">
        <v>331</v>
      </c>
      <c r="E10" s="785"/>
      <c r="F10" s="783"/>
      <c r="G10" s="783"/>
      <c r="H10" s="786">
        <f>SUMIF(_M,"&lt;"&amp;$M$8,TH)</f>
        <v>3252624081</v>
      </c>
      <c r="I10" s="786">
        <f>SUMIF(_M,"&lt;"&amp;$M$8,TH)</f>
        <v>3252624081</v>
      </c>
    </row>
    <row r="11" spans="1:14" s="779" customFormat="1" ht="21" customHeight="1">
      <c r="A11" s="787">
        <f ca="1">IF(ROWS($1:1)&gt;COUNT(Dong6),"",OFFSET(TH!C$1,SMALL(Dong6,ROWS($1:1)),))</f>
        <v>42186</v>
      </c>
      <c r="B11" s="788" t="str">
        <f ca="1">IF(ROWS($1:1)&gt;COUNT(Dong6),"",OFFSET(TH!D$1,SMALL(Dong6,ROWS($1:1)),))</f>
        <v>C01</v>
      </c>
      <c r="C11" s="787">
        <f ca="1">IF(ROWS($1:1)&gt;COUNT(Dong6),"",OFFSET(TH!E$1,SMALL(Dong6,ROWS($1:1)),))</f>
        <v>42186</v>
      </c>
      <c r="D11" s="789" t="str">
        <f ca="1">IF(ROWS($1:1)&gt;COUNT(Dong6),"",OFFSET(TH!F$1,SMALL(Dong6,ROWS($1:1)),))</f>
        <v>Nộp tiền mặt vào tài khoản</v>
      </c>
      <c r="E11" s="788">
        <f t="shared" ref="E11:E40" ca="1" si="0">IF(D11&lt;&gt;"",ROW()-10,"")</f>
        <v>1</v>
      </c>
      <c r="F11" s="790" t="str">
        <f ca="1">IF(ROWS($1:1)&gt;COUNT(Dong6),"",OFFSET(TH!L$1,SMALL(Dong6,ROWS($1:1)),))</f>
        <v>1121</v>
      </c>
      <c r="G11" s="790" t="str">
        <f ca="1">IF(ROWS($1:1)&gt;COUNT(Dong6),"",OFFSET(TH!M$1,SMALL(Dong6,ROWS($1:1)),))</f>
        <v>1111</v>
      </c>
      <c r="H11" s="678">
        <f ca="1">IF(ROWS($1:1)&gt;COUNT(Dong6),"",OFFSET(TH!K$1,SMALL(Dong6,ROWS($1:1)),))</f>
        <v>100000000</v>
      </c>
      <c r="I11" s="678">
        <f ca="1">IF(ROWS($1:1)&gt;COUNT(Dong6),"",OFFSET(TH!K$1,SMALL(Dong6,ROWS($1:1)),))</f>
        <v>100000000</v>
      </c>
    </row>
    <row r="12" spans="1:14" s="779" customFormat="1" ht="21" customHeight="1">
      <c r="A12" s="787">
        <f ca="1">IF(ROWS($1:2)&gt;COUNT(Dong6),"",OFFSET(TH!C$1,SMALL(Dong6,ROWS($1:2)),))</f>
        <v>42187</v>
      </c>
      <c r="B12" s="788" t="str">
        <f ca="1">IF(ROWS($1:2)&gt;COUNT(Dong6),"",OFFSET(TH!D$1,SMALL(Dong6,ROWS($1:2)),))</f>
        <v>T01</v>
      </c>
      <c r="C12" s="787">
        <f ca="1">IF(ROWS($1:2)&gt;COUNT(Dong6),"",OFFSET(TH!E$1,SMALL(Dong6,ROWS($1:2)),))</f>
        <v>42187</v>
      </c>
      <c r="D12" s="789" t="str">
        <f ca="1">IF(ROWS($1:2)&gt;COUNT(Dong6),"",OFFSET(TH!F$1,SMALL(Dong6,ROWS($1:2)),))</f>
        <v>Rút sec nhập quỹ tiền mặt</v>
      </c>
      <c r="E12" s="788">
        <f t="shared" ca="1" si="0"/>
        <v>2</v>
      </c>
      <c r="F12" s="790" t="str">
        <f ca="1">IF(ROWS($1:2)&gt;COUNT(Dong6),"",OFFSET(TH!L$1,SMALL(Dong6,ROWS($1:2)),))</f>
        <v>1111</v>
      </c>
      <c r="G12" s="790" t="str">
        <f ca="1">IF(ROWS($1:2)&gt;COUNT(Dong6),"",OFFSET(TH!M$1,SMALL(Dong6,ROWS($1:2)),))</f>
        <v>1121</v>
      </c>
      <c r="H12" s="678">
        <f ca="1">IF(ROWS($1:2)&gt;COUNT(Dong6),"",OFFSET(TH!K$1,SMALL(Dong6,ROWS($1:2)),))</f>
        <v>5500000</v>
      </c>
      <c r="I12" s="678">
        <f ca="1">IF(ROWS($1:2)&gt;COUNT(Dong6),"",OFFSET(TH!K$1,SMALL(Dong6,ROWS($1:2)),))</f>
        <v>5500000</v>
      </c>
    </row>
    <row r="13" spans="1:14" s="779" customFormat="1" ht="21" customHeight="1">
      <c r="A13" s="787">
        <f ca="1">IF(ROWS($1:3)&gt;COUNT(Dong6),"",OFFSET(TH!C$1,SMALL(Dong6,ROWS($1:3)),))</f>
        <v>42189</v>
      </c>
      <c r="B13" s="788" t="str">
        <f ca="1">IF(ROWS($1:3)&gt;COUNT(Dong6),"",OFFSET(TH!D$1,SMALL(Dong6,ROWS($1:3)),))</f>
        <v>C02</v>
      </c>
      <c r="C13" s="787">
        <f ca="1">IF(ROWS($1:3)&gt;COUNT(Dong6),"",OFFSET(TH!E$1,SMALL(Dong6,ROWS($1:3)),))</f>
        <v>42189</v>
      </c>
      <c r="D13" s="789" t="str">
        <f ca="1">IF(ROWS($1:3)&gt;COUNT(Dong6),"",OFFSET(TH!F$1,SMALL(Dong6,ROWS($1:3)),))</f>
        <v>Thiết bị điện tử</v>
      </c>
      <c r="E13" s="788">
        <f t="shared" ca="1" si="0"/>
        <v>3</v>
      </c>
      <c r="F13" s="790" t="str">
        <f ca="1">IF(ROWS($1:3)&gt;COUNT(Dong6),"",OFFSET(TH!L$1,SMALL(Dong6,ROWS($1:3)),))</f>
        <v>642</v>
      </c>
      <c r="G13" s="790" t="str">
        <f ca="1">IF(ROWS($1:3)&gt;COUNT(Dong6),"",OFFSET(TH!M$1,SMALL(Dong6,ROWS($1:3)),))</f>
        <v>1111</v>
      </c>
      <c r="H13" s="678">
        <f ca="1">IF(ROWS($1:3)&gt;COUNT(Dong6),"",OFFSET(TH!K$1,SMALL(Dong6,ROWS($1:3)),))</f>
        <v>1409091</v>
      </c>
      <c r="I13" s="678">
        <f ca="1">IF(ROWS($1:3)&gt;COUNT(Dong6),"",OFFSET(TH!K$1,SMALL(Dong6,ROWS($1:3)),))</f>
        <v>1409091</v>
      </c>
    </row>
    <row r="14" spans="1:14" s="779" customFormat="1" ht="21" customHeight="1">
      <c r="A14" s="787">
        <f ca="1">IF(ROWS($1:4)&gt;COUNT(Dong6),"",OFFSET(TH!C$1,SMALL(Dong6,ROWS($1:4)),))</f>
        <v>42189</v>
      </c>
      <c r="B14" s="788" t="str">
        <f ca="1">IF(ROWS($1:4)&gt;COUNT(Dong6),"",OFFSET(TH!D$1,SMALL(Dong6,ROWS($1:4)),))</f>
        <v>C02</v>
      </c>
      <c r="C14" s="787">
        <f ca="1">IF(ROWS($1:4)&gt;COUNT(Dong6),"",OFFSET(TH!E$1,SMALL(Dong6,ROWS($1:4)),))</f>
        <v>42189</v>
      </c>
      <c r="D14" s="789" t="str">
        <f ca="1">IF(ROWS($1:4)&gt;COUNT(Dong6),"",OFFSET(TH!F$1,SMALL(Dong6,ROWS($1:4)),))</f>
        <v>VAT Thiết bị điện tử</v>
      </c>
      <c r="E14" s="788">
        <f t="shared" ca="1" si="0"/>
        <v>4</v>
      </c>
      <c r="F14" s="790" t="str">
        <f ca="1">IF(ROWS($1:4)&gt;COUNT(Dong6),"",OFFSET(TH!L$1,SMALL(Dong6,ROWS($1:4)),))</f>
        <v>1331</v>
      </c>
      <c r="G14" s="790" t="str">
        <f ca="1">IF(ROWS($1:4)&gt;COUNT(Dong6),"",OFFSET(TH!M$1,SMALL(Dong6,ROWS($1:4)),))</f>
        <v>1111</v>
      </c>
      <c r="H14" s="678">
        <f ca="1">IF(ROWS($1:4)&gt;COUNT(Dong6),"",OFFSET(TH!K$1,SMALL(Dong6,ROWS($1:4)),))</f>
        <v>140909</v>
      </c>
      <c r="I14" s="678">
        <f ca="1">IF(ROWS($1:4)&gt;COUNT(Dong6),"",OFFSET(TH!K$1,SMALL(Dong6,ROWS($1:4)),))</f>
        <v>140909</v>
      </c>
    </row>
    <row r="15" spans="1:14" s="779" customFormat="1" ht="21" customHeight="1">
      <c r="A15" s="787">
        <f ca="1">IF(ROWS($1:5)&gt;COUNT(Dong6),"",OFFSET(TH!C$1,SMALL(Dong6,ROWS($1:5)),))</f>
        <v>42191</v>
      </c>
      <c r="B15" s="788" t="str">
        <f ca="1">IF(ROWS($1:5)&gt;COUNT(Dong6),"",OFFSET(TH!D$1,SMALL(Dong6,ROWS($1:5)),))</f>
        <v>T02</v>
      </c>
      <c r="C15" s="787">
        <f ca="1">IF(ROWS($1:5)&gt;COUNT(Dong6),"",OFFSET(TH!E$1,SMALL(Dong6,ROWS($1:5)),))</f>
        <v>42191</v>
      </c>
      <c r="D15" s="789" t="str">
        <f ca="1">IF(ROWS($1:5)&gt;COUNT(Dong6),"",OFFSET(TH!F$1,SMALL(Dong6,ROWS($1:5)),))</f>
        <v>Rút sec nhập quỹ tiền mặt</v>
      </c>
      <c r="E15" s="788">
        <f t="shared" ca="1" si="0"/>
        <v>5</v>
      </c>
      <c r="F15" s="790" t="str">
        <f ca="1">IF(ROWS($1:5)&gt;COUNT(Dong6),"",OFFSET(TH!L$1,SMALL(Dong6,ROWS($1:5)),))</f>
        <v>1111</v>
      </c>
      <c r="G15" s="790" t="str">
        <f ca="1">IF(ROWS($1:5)&gt;COUNT(Dong6),"",OFFSET(TH!M$1,SMALL(Dong6,ROWS($1:5)),))</f>
        <v>1121</v>
      </c>
      <c r="H15" s="678">
        <f ca="1">IF(ROWS($1:5)&gt;COUNT(Dong6),"",OFFSET(TH!K$1,SMALL(Dong6,ROWS($1:5)),))</f>
        <v>4000000</v>
      </c>
      <c r="I15" s="678">
        <f ca="1">IF(ROWS($1:5)&gt;COUNT(Dong6),"",OFFSET(TH!K$1,SMALL(Dong6,ROWS($1:5)),))</f>
        <v>4000000</v>
      </c>
    </row>
    <row r="16" spans="1:14" s="779" customFormat="1" ht="21" customHeight="1">
      <c r="A16" s="787">
        <f ca="1">IF(ROWS($1:6)&gt;COUNT(Dong6),"",OFFSET(TH!C$1,SMALL(Dong6,ROWS($1:6)),))</f>
        <v>42194</v>
      </c>
      <c r="B16" s="788" t="str">
        <f ca="1">IF(ROWS($1:6)&gt;COUNT(Dong6),"",OFFSET(TH!D$1,SMALL(Dong6,ROWS($1:6)),))</f>
        <v>C03</v>
      </c>
      <c r="C16" s="787">
        <f ca="1">IF(ROWS($1:6)&gt;COUNT(Dong6),"",OFFSET(TH!E$1,SMALL(Dong6,ROWS($1:6)),))</f>
        <v>42194</v>
      </c>
      <c r="D16" s="789" t="str">
        <f ca="1">IF(ROWS($1:6)&gt;COUNT(Dong6),"",OFFSET(TH!F$1,SMALL(Dong6,ROWS($1:6)),))</f>
        <v>Văn phòng phẩm</v>
      </c>
      <c r="E16" s="788">
        <f t="shared" ca="1" si="0"/>
        <v>6</v>
      </c>
      <c r="F16" s="790" t="str">
        <f ca="1">IF(ROWS($1:6)&gt;COUNT(Dong6),"",OFFSET(TH!L$1,SMALL(Dong6,ROWS($1:6)),))</f>
        <v>642</v>
      </c>
      <c r="G16" s="790" t="str">
        <f ca="1">IF(ROWS($1:6)&gt;COUNT(Dong6),"",OFFSET(TH!M$1,SMALL(Dong6,ROWS($1:6)),))</f>
        <v>1111</v>
      </c>
      <c r="H16" s="678">
        <f ca="1">IF(ROWS($1:6)&gt;COUNT(Dong6),"",OFFSET(TH!K$1,SMALL(Dong6,ROWS($1:6)),))</f>
        <v>81818</v>
      </c>
      <c r="I16" s="678">
        <f ca="1">IF(ROWS($1:6)&gt;COUNT(Dong6),"",OFFSET(TH!K$1,SMALL(Dong6,ROWS($1:6)),))</f>
        <v>81818</v>
      </c>
    </row>
    <row r="17" spans="1:9" s="779" customFormat="1" ht="21" customHeight="1">
      <c r="A17" s="787">
        <f ca="1">IF(ROWS($1:7)&gt;COUNT(Dong6),"",OFFSET(TH!C$1,SMALL(Dong6,ROWS($1:7)),))</f>
        <v>42194</v>
      </c>
      <c r="B17" s="788" t="str">
        <f ca="1">IF(ROWS($1:7)&gt;COUNT(Dong6),"",OFFSET(TH!D$1,SMALL(Dong6,ROWS($1:7)),))</f>
        <v>C03</v>
      </c>
      <c r="C17" s="787">
        <f ca="1">IF(ROWS($1:7)&gt;COUNT(Dong6),"",OFFSET(TH!E$1,SMALL(Dong6,ROWS($1:7)),))</f>
        <v>42194</v>
      </c>
      <c r="D17" s="789" t="str">
        <f ca="1">IF(ROWS($1:7)&gt;COUNT(Dong6),"",OFFSET(TH!F$1,SMALL(Dong6,ROWS($1:7)),))</f>
        <v>VAT Văn phòng phẩm</v>
      </c>
      <c r="E17" s="788">
        <f t="shared" ca="1" si="0"/>
        <v>7</v>
      </c>
      <c r="F17" s="790" t="str">
        <f ca="1">IF(ROWS($1:7)&gt;COUNT(Dong6),"",OFFSET(TH!L$1,SMALL(Dong6,ROWS($1:7)),))</f>
        <v>1331</v>
      </c>
      <c r="G17" s="790" t="str">
        <f ca="1">IF(ROWS($1:7)&gt;COUNT(Dong6),"",OFFSET(TH!M$1,SMALL(Dong6,ROWS($1:7)),))</f>
        <v>1111</v>
      </c>
      <c r="H17" s="678">
        <f ca="1">IF(ROWS($1:7)&gt;COUNT(Dong6),"",OFFSET(TH!K$1,SMALL(Dong6,ROWS($1:7)),))</f>
        <v>8182</v>
      </c>
      <c r="I17" s="678">
        <f ca="1">IF(ROWS($1:7)&gt;COUNT(Dong6),"",OFFSET(TH!K$1,SMALL(Dong6,ROWS($1:7)),))</f>
        <v>8182</v>
      </c>
    </row>
    <row r="18" spans="1:9" s="779" customFormat="1" ht="21" customHeight="1">
      <c r="A18" s="787">
        <f ca="1">IF(ROWS($1:8)&gt;COUNT(Dong6),"",OFFSET(TH!C$1,SMALL(Dong6,ROWS($1:8)),))</f>
        <v>42196</v>
      </c>
      <c r="B18" s="788" t="str">
        <f ca="1">IF(ROWS($1:8)&gt;COUNT(Dong6),"",OFFSET(TH!D$1,SMALL(Dong6,ROWS($1:8)),))</f>
        <v>GBN</v>
      </c>
      <c r="C18" s="787">
        <f ca="1">IF(ROWS($1:8)&gt;COUNT(Dong6),"",OFFSET(TH!E$1,SMALL(Dong6,ROWS($1:8)),))</f>
        <v>42196</v>
      </c>
      <c r="D18" s="789" t="str">
        <f ca="1">IF(ROWS($1:8)&gt;COUNT(Dong6),"",OFFSET(TH!F$1,SMALL(Dong6,ROWS($1:8)),))</f>
        <v>Thu phí dịch vụ SMS</v>
      </c>
      <c r="E18" s="788">
        <f t="shared" ca="1" si="0"/>
        <v>8</v>
      </c>
      <c r="F18" s="790" t="str">
        <f ca="1">IF(ROWS($1:8)&gt;COUNT(Dong6),"",OFFSET(TH!L$1,SMALL(Dong6,ROWS($1:8)),))</f>
        <v>642</v>
      </c>
      <c r="G18" s="790" t="str">
        <f ca="1">IF(ROWS($1:8)&gt;COUNT(Dong6),"",OFFSET(TH!M$1,SMALL(Dong6,ROWS($1:8)),))</f>
        <v>1121</v>
      </c>
      <c r="H18" s="678">
        <f ca="1">IF(ROWS($1:8)&gt;COUNT(Dong6),"",OFFSET(TH!K$1,SMALL(Dong6,ROWS($1:8)),))</f>
        <v>55000</v>
      </c>
      <c r="I18" s="678">
        <f ca="1">IF(ROWS($1:8)&gt;COUNT(Dong6),"",OFFSET(TH!K$1,SMALL(Dong6,ROWS($1:8)),))</f>
        <v>55000</v>
      </c>
    </row>
    <row r="19" spans="1:9" s="779" customFormat="1" ht="21" customHeight="1">
      <c r="A19" s="787">
        <f ca="1">IF(ROWS($1:9)&gt;COUNT(Dong6),"",OFFSET(TH!C$1,SMALL(Dong6,ROWS($1:9)),))</f>
        <v>42198</v>
      </c>
      <c r="B19" s="788" t="str">
        <f ca="1">IF(ROWS($1:9)&gt;COUNT(Dong6),"",OFFSET(TH!D$1,SMALL(Dong6,ROWS($1:9)),))</f>
        <v>GBC</v>
      </c>
      <c r="C19" s="787">
        <f ca="1">IF(ROWS($1:9)&gt;COUNT(Dong6),"",OFFSET(TH!E$1,SMALL(Dong6,ROWS($1:9)),))</f>
        <v>42198</v>
      </c>
      <c r="D19" s="789" t="str">
        <f ca="1">IF(ROWS($1:9)&gt;COUNT(Dong6),"",OFFSET(TH!F$1,SMALL(Dong6,ROWS($1:9)),))</f>
        <v>Thu tiền hàng</v>
      </c>
      <c r="E19" s="788">
        <f t="shared" ca="1" si="0"/>
        <v>9</v>
      </c>
      <c r="F19" s="790" t="str">
        <f ca="1">IF(ROWS($1:9)&gt;COUNT(Dong6),"",OFFSET(TH!L$1,SMALL(Dong6,ROWS($1:9)),))</f>
        <v>1121</v>
      </c>
      <c r="G19" s="790" t="str">
        <f ca="1">IF(ROWS($1:9)&gt;COUNT(Dong6),"",OFFSET(TH!M$1,SMALL(Dong6,ROWS($1:9)),))</f>
        <v>131</v>
      </c>
      <c r="H19" s="678">
        <f ca="1">IF(ROWS($1:9)&gt;COUNT(Dong6),"",OFFSET(TH!K$1,SMALL(Dong6,ROWS($1:9)),))</f>
        <v>2051500</v>
      </c>
      <c r="I19" s="678">
        <f ca="1">IF(ROWS($1:9)&gt;COUNT(Dong6),"",OFFSET(TH!K$1,SMALL(Dong6,ROWS($1:9)),))</f>
        <v>2051500</v>
      </c>
    </row>
    <row r="20" spans="1:9" s="779" customFormat="1" ht="21" customHeight="1">
      <c r="A20" s="787">
        <f ca="1">IF(ROWS($1:10)&gt;COUNT(Dong6),"",OFFSET(TH!C$1,SMALL(Dong6,ROWS($1:10)),))</f>
        <v>42198</v>
      </c>
      <c r="B20" s="788" t="str">
        <f ca="1">IF(ROWS($1:10)&gt;COUNT(Dong6),"",OFFSET(TH!D$1,SMALL(Dong6,ROWS($1:10)),))</f>
        <v>T03</v>
      </c>
      <c r="C20" s="787">
        <f ca="1">IF(ROWS($1:10)&gt;COUNT(Dong6),"",OFFSET(TH!E$1,SMALL(Dong6,ROWS($1:10)),))</f>
        <v>42198</v>
      </c>
      <c r="D20" s="789" t="str">
        <f ca="1">IF(ROWS($1:10)&gt;COUNT(Dong6),"",OFFSET(TH!F$1,SMALL(Dong6,ROWS($1:10)),))</f>
        <v>Rút sec nhập quỹ tiền mặt</v>
      </c>
      <c r="E20" s="788">
        <f t="shared" ca="1" si="0"/>
        <v>10</v>
      </c>
      <c r="F20" s="790" t="str">
        <f ca="1">IF(ROWS($1:10)&gt;COUNT(Dong6),"",OFFSET(TH!L$1,SMALL(Dong6,ROWS($1:10)),))</f>
        <v>1111</v>
      </c>
      <c r="G20" s="790" t="str">
        <f ca="1">IF(ROWS($1:10)&gt;COUNT(Dong6),"",OFFSET(TH!M$1,SMALL(Dong6,ROWS($1:10)),))</f>
        <v>1121</v>
      </c>
      <c r="H20" s="678">
        <f ca="1">IF(ROWS($1:10)&gt;COUNT(Dong6),"",OFFSET(TH!K$1,SMALL(Dong6,ROWS($1:10)),))</f>
        <v>6000000</v>
      </c>
      <c r="I20" s="678">
        <f ca="1">IF(ROWS($1:10)&gt;COUNT(Dong6),"",OFFSET(TH!K$1,SMALL(Dong6,ROWS($1:10)),))</f>
        <v>6000000</v>
      </c>
    </row>
    <row r="21" spans="1:9" s="779" customFormat="1" ht="21" customHeight="1">
      <c r="A21" s="787">
        <f ca="1">IF(ROWS($1:11)&gt;COUNT(Dong6),"",OFFSET(TH!C$1,SMALL(Dong6,ROWS($1:11)),))</f>
        <v>42198</v>
      </c>
      <c r="B21" s="788" t="str">
        <f ca="1">IF(ROWS($1:11)&gt;COUNT(Dong6),"",OFFSET(TH!D$1,SMALL(Dong6,ROWS($1:11)),))</f>
        <v>GBN</v>
      </c>
      <c r="C21" s="787">
        <f ca="1">IF(ROWS($1:11)&gt;COUNT(Dong6),"",OFFSET(TH!E$1,SMALL(Dong6,ROWS($1:11)),))</f>
        <v>42198</v>
      </c>
      <c r="D21" s="789" t="str">
        <f ca="1">IF(ROWS($1:11)&gt;COUNT(Dong6),"",OFFSET(TH!F$1,SMALL(Dong6,ROWS($1:11)),))</f>
        <v>Thanh toán tiền hàng</v>
      </c>
      <c r="E21" s="788">
        <f t="shared" ca="1" si="0"/>
        <v>11</v>
      </c>
      <c r="F21" s="790" t="str">
        <f ca="1">IF(ROWS($1:11)&gt;COUNT(Dong6),"",OFFSET(TH!L$1,SMALL(Dong6,ROWS($1:11)),))</f>
        <v>331</v>
      </c>
      <c r="G21" s="790" t="str">
        <f ca="1">IF(ROWS($1:11)&gt;COUNT(Dong6),"",OFFSET(TH!M$1,SMALL(Dong6,ROWS($1:11)),))</f>
        <v>1121</v>
      </c>
      <c r="H21" s="678">
        <f ca="1">IF(ROWS($1:11)&gt;COUNT(Dong6),"",OFFSET(TH!K$1,SMALL(Dong6,ROWS($1:11)),))</f>
        <v>20436054</v>
      </c>
      <c r="I21" s="678">
        <f ca="1">IF(ROWS($1:11)&gt;COUNT(Dong6),"",OFFSET(TH!K$1,SMALL(Dong6,ROWS($1:11)),))</f>
        <v>20436054</v>
      </c>
    </row>
    <row r="22" spans="1:9" s="779" customFormat="1" ht="21" customHeight="1">
      <c r="A22" s="787">
        <f ca="1">IF(ROWS($1:12)&gt;COUNT(Dong6),"",OFFSET(TH!C$1,SMALL(Dong6,ROWS($1:12)),))</f>
        <v>42199</v>
      </c>
      <c r="B22" s="788" t="str">
        <f ca="1">IF(ROWS($1:12)&gt;COUNT(Dong6),"",OFFSET(TH!D$1,SMALL(Dong6,ROWS($1:12)),))</f>
        <v>GBN</v>
      </c>
      <c r="C22" s="787">
        <f ca="1">IF(ROWS($1:12)&gt;COUNT(Dong6),"",OFFSET(TH!E$1,SMALL(Dong6,ROWS($1:12)),))</f>
        <v>42199</v>
      </c>
      <c r="D22" s="789" t="str">
        <f ca="1">IF(ROWS($1:12)&gt;COUNT(Dong6),"",OFFSET(TH!F$1,SMALL(Dong6,ROWS($1:12)),))</f>
        <v>Thanh toán tiền hàng</v>
      </c>
      <c r="E22" s="788">
        <f t="shared" ca="1" si="0"/>
        <v>12</v>
      </c>
      <c r="F22" s="790" t="str">
        <f ca="1">IF(ROWS($1:12)&gt;COUNT(Dong6),"",OFFSET(TH!L$1,SMALL(Dong6,ROWS($1:12)),))</f>
        <v>331</v>
      </c>
      <c r="G22" s="790" t="str">
        <f ca="1">IF(ROWS($1:12)&gt;COUNT(Dong6),"",OFFSET(TH!M$1,SMALL(Dong6,ROWS($1:12)),))</f>
        <v>1121</v>
      </c>
      <c r="H22" s="678">
        <f ca="1">IF(ROWS($1:12)&gt;COUNT(Dong6),"",OFFSET(TH!K$1,SMALL(Dong6,ROWS($1:12)),))</f>
        <v>18400573</v>
      </c>
      <c r="I22" s="678">
        <f ca="1">IF(ROWS($1:12)&gt;COUNT(Dong6),"",OFFSET(TH!K$1,SMALL(Dong6,ROWS($1:12)),))</f>
        <v>18400573</v>
      </c>
    </row>
    <row r="23" spans="1:9" s="779" customFormat="1" ht="21" customHeight="1">
      <c r="A23" s="787">
        <f ca="1">IF(ROWS($1:13)&gt;COUNT(Dong6),"",OFFSET(TH!C$1,SMALL(Dong6,ROWS($1:13)),))</f>
        <v>42199</v>
      </c>
      <c r="B23" s="788" t="str">
        <f ca="1">IF(ROWS($1:13)&gt;COUNT(Dong6),"",OFFSET(TH!D$1,SMALL(Dong6,ROWS($1:13)),))</f>
        <v>T04</v>
      </c>
      <c r="C23" s="787">
        <f ca="1">IF(ROWS($1:13)&gt;COUNT(Dong6),"",OFFSET(TH!E$1,SMALL(Dong6,ROWS($1:13)),))</f>
        <v>42199</v>
      </c>
      <c r="D23" s="789" t="str">
        <f ca="1">IF(ROWS($1:13)&gt;COUNT(Dong6),"",OFFSET(TH!F$1,SMALL(Dong6,ROWS($1:13)),))</f>
        <v>Rút sec nhập quỹ tiền mặt</v>
      </c>
      <c r="E23" s="788">
        <f t="shared" ca="1" si="0"/>
        <v>13</v>
      </c>
      <c r="F23" s="790" t="str">
        <f ca="1">IF(ROWS($1:13)&gt;COUNT(Dong6),"",OFFSET(TH!L$1,SMALL(Dong6,ROWS($1:13)),))</f>
        <v>1111</v>
      </c>
      <c r="G23" s="790" t="str">
        <f ca="1">IF(ROWS($1:13)&gt;COUNT(Dong6),"",OFFSET(TH!M$1,SMALL(Dong6,ROWS($1:13)),))</f>
        <v>1121</v>
      </c>
      <c r="H23" s="678">
        <f ca="1">IF(ROWS($1:13)&gt;COUNT(Dong6),"",OFFSET(TH!K$1,SMALL(Dong6,ROWS($1:13)),))</f>
        <v>13000000</v>
      </c>
      <c r="I23" s="678">
        <f ca="1">IF(ROWS($1:13)&gt;COUNT(Dong6),"",OFFSET(TH!K$1,SMALL(Dong6,ROWS($1:13)),))</f>
        <v>13000000</v>
      </c>
    </row>
    <row r="24" spans="1:9" s="779" customFormat="1" ht="21" customHeight="1">
      <c r="A24" s="787">
        <f ca="1">IF(ROWS($1:14)&gt;COUNT(Dong6),"",OFFSET(TH!C$1,SMALL(Dong6,ROWS($1:14)),))</f>
        <v>42200</v>
      </c>
      <c r="B24" s="788" t="str">
        <f ca="1">IF(ROWS($1:14)&gt;COUNT(Dong6),"",OFFSET(TH!D$1,SMALL(Dong6,ROWS($1:14)),))</f>
        <v>T05</v>
      </c>
      <c r="C24" s="787">
        <f ca="1">IF(ROWS($1:14)&gt;COUNT(Dong6),"",OFFSET(TH!E$1,SMALL(Dong6,ROWS($1:14)),))</f>
        <v>42200</v>
      </c>
      <c r="D24" s="789" t="str">
        <f ca="1">IF(ROWS($1:14)&gt;COUNT(Dong6),"",OFFSET(TH!F$1,SMALL(Dong6,ROWS($1:14)),))</f>
        <v>Rút sec nhập quỹ tiền mặt</v>
      </c>
      <c r="E24" s="788">
        <f t="shared" ca="1" si="0"/>
        <v>14</v>
      </c>
      <c r="F24" s="790" t="str">
        <f ca="1">IF(ROWS($1:14)&gt;COUNT(Dong6),"",OFFSET(TH!L$1,SMALL(Dong6,ROWS($1:14)),))</f>
        <v>1111</v>
      </c>
      <c r="G24" s="790" t="str">
        <f ca="1">IF(ROWS($1:14)&gt;COUNT(Dong6),"",OFFSET(TH!M$1,SMALL(Dong6,ROWS($1:14)),))</f>
        <v>1121</v>
      </c>
      <c r="H24" s="678">
        <f ca="1">IF(ROWS($1:14)&gt;COUNT(Dong6),"",OFFSET(TH!K$1,SMALL(Dong6,ROWS($1:14)),))</f>
        <v>6000000</v>
      </c>
      <c r="I24" s="678">
        <f ca="1">IF(ROWS($1:14)&gt;COUNT(Dong6),"",OFFSET(TH!K$1,SMALL(Dong6,ROWS($1:14)),))</f>
        <v>6000000</v>
      </c>
    </row>
    <row r="25" spans="1:9" s="779" customFormat="1" ht="21" customHeight="1">
      <c r="A25" s="787">
        <f ca="1">IF(ROWS($1:15)&gt;COUNT(Dong6),"",OFFSET(TH!C$1,SMALL(Dong6,ROWS($1:15)),))</f>
        <v>42200</v>
      </c>
      <c r="B25" s="788" t="str">
        <f ca="1">IF(ROWS($1:15)&gt;COUNT(Dong6),"",OFFSET(TH!D$1,SMALL(Dong6,ROWS($1:15)),))</f>
        <v>C04</v>
      </c>
      <c r="C25" s="787">
        <f ca="1">IF(ROWS($1:15)&gt;COUNT(Dong6),"",OFFSET(TH!E$1,SMALL(Dong6,ROWS($1:15)),))</f>
        <v>42200</v>
      </c>
      <c r="D25" s="789" t="str">
        <f ca="1">IF(ROWS($1:15)&gt;COUNT(Dong6),"",OFFSET(TH!F$1,SMALL(Dong6,ROWS($1:15)),))</f>
        <v>Hàng hóa tiếp khách</v>
      </c>
      <c r="E25" s="788">
        <f t="shared" ca="1" si="0"/>
        <v>15</v>
      </c>
      <c r="F25" s="790" t="str">
        <f ca="1">IF(ROWS($1:15)&gt;COUNT(Dong6),"",OFFSET(TH!L$1,SMALL(Dong6,ROWS($1:15)),))</f>
        <v>641</v>
      </c>
      <c r="G25" s="790" t="str">
        <f ca="1">IF(ROWS($1:15)&gt;COUNT(Dong6),"",OFFSET(TH!M$1,SMALL(Dong6,ROWS($1:15)),))</f>
        <v>1111</v>
      </c>
      <c r="H25" s="678">
        <f ca="1">IF(ROWS($1:15)&gt;COUNT(Dong6),"",OFFSET(TH!K$1,SMALL(Dong6,ROWS($1:15)),))</f>
        <v>765200</v>
      </c>
      <c r="I25" s="678">
        <f ca="1">IF(ROWS($1:15)&gt;COUNT(Dong6),"",OFFSET(TH!K$1,SMALL(Dong6,ROWS($1:15)),))</f>
        <v>765200</v>
      </c>
    </row>
    <row r="26" spans="1:9" s="779" customFormat="1" ht="21" customHeight="1">
      <c r="A26" s="787">
        <f ca="1">IF(ROWS($1:16)&gt;COUNT(Dong6),"",OFFSET(TH!C$1,SMALL(Dong6,ROWS($1:16)),))</f>
        <v>42200</v>
      </c>
      <c r="B26" s="788" t="str">
        <f ca="1">IF(ROWS($1:16)&gt;COUNT(Dong6),"",OFFSET(TH!D$1,SMALL(Dong6,ROWS($1:16)),))</f>
        <v>C04</v>
      </c>
      <c r="C26" s="787">
        <f ca="1">IF(ROWS($1:16)&gt;COUNT(Dong6),"",OFFSET(TH!E$1,SMALL(Dong6,ROWS($1:16)),))</f>
        <v>42200</v>
      </c>
      <c r="D26" s="789" t="str">
        <f ca="1">IF(ROWS($1:16)&gt;COUNT(Dong6),"",OFFSET(TH!F$1,SMALL(Dong6,ROWS($1:16)),))</f>
        <v>VAT Hàng hóa tiếp khách</v>
      </c>
      <c r="E26" s="788">
        <f t="shared" ca="1" si="0"/>
        <v>16</v>
      </c>
      <c r="F26" s="790" t="str">
        <f ca="1">IF(ROWS($1:16)&gt;COUNT(Dong6),"",OFFSET(TH!L$1,SMALL(Dong6,ROWS($1:16)),))</f>
        <v>1331</v>
      </c>
      <c r="G26" s="790" t="str">
        <f ca="1">IF(ROWS($1:16)&gt;COUNT(Dong6),"",OFFSET(TH!M$1,SMALL(Dong6,ROWS($1:16)),))</f>
        <v>1111</v>
      </c>
      <c r="H26" s="678">
        <f ca="1">IF(ROWS($1:16)&gt;COUNT(Dong6),"",OFFSET(TH!K$1,SMALL(Dong6,ROWS($1:16)),))</f>
        <v>72037</v>
      </c>
      <c r="I26" s="678">
        <f ca="1">IF(ROWS($1:16)&gt;COUNT(Dong6),"",OFFSET(TH!K$1,SMALL(Dong6,ROWS($1:16)),))</f>
        <v>72037</v>
      </c>
    </row>
    <row r="27" spans="1:9" s="779" customFormat="1" ht="21" customHeight="1">
      <c r="A27" s="787">
        <f ca="1">IF(ROWS($1:17)&gt;COUNT(Dong6),"",OFFSET(TH!C$1,SMALL(Dong6,ROWS($1:17)),))</f>
        <v>42201</v>
      </c>
      <c r="B27" s="788" t="str">
        <f ca="1">IF(ROWS($1:17)&gt;COUNT(Dong6),"",OFFSET(TH!D$1,SMALL(Dong6,ROWS($1:17)),))</f>
        <v>T06</v>
      </c>
      <c r="C27" s="787">
        <f ca="1">IF(ROWS($1:17)&gt;COUNT(Dong6),"",OFFSET(TH!E$1,SMALL(Dong6,ROWS($1:17)),))</f>
        <v>42201</v>
      </c>
      <c r="D27" s="789" t="str">
        <f ca="1">IF(ROWS($1:17)&gt;COUNT(Dong6),"",OFFSET(TH!F$1,SMALL(Dong6,ROWS($1:17)),))</f>
        <v>Rút sec nhập quỹ tiền mặt</v>
      </c>
      <c r="E27" s="788">
        <f t="shared" ca="1" si="0"/>
        <v>17</v>
      </c>
      <c r="F27" s="790" t="str">
        <f ca="1">IF(ROWS($1:17)&gt;COUNT(Dong6),"",OFFSET(TH!L$1,SMALL(Dong6,ROWS($1:17)),))</f>
        <v>1111</v>
      </c>
      <c r="G27" s="790" t="str">
        <f ca="1">IF(ROWS($1:17)&gt;COUNT(Dong6),"",OFFSET(TH!M$1,SMALL(Dong6,ROWS($1:17)),))</f>
        <v>1121</v>
      </c>
      <c r="H27" s="678">
        <f ca="1">IF(ROWS($1:17)&gt;COUNT(Dong6),"",OFFSET(TH!K$1,SMALL(Dong6,ROWS($1:17)),))</f>
        <v>1500000</v>
      </c>
      <c r="I27" s="678">
        <f ca="1">IF(ROWS($1:17)&gt;COUNT(Dong6),"",OFFSET(TH!K$1,SMALL(Dong6,ROWS($1:17)),))</f>
        <v>1500000</v>
      </c>
    </row>
    <row r="28" spans="1:9" s="779" customFormat="1" ht="21" customHeight="1">
      <c r="A28" s="787">
        <f ca="1">IF(ROWS($1:18)&gt;COUNT(Dong6),"",OFFSET(TH!C$1,SMALL(Dong6,ROWS($1:18)),))</f>
        <v>42202</v>
      </c>
      <c r="B28" s="788" t="str">
        <f ca="1">IF(ROWS($1:18)&gt;COUNT(Dong6),"",OFFSET(TH!D$1,SMALL(Dong6,ROWS($1:18)),))</f>
        <v>T07</v>
      </c>
      <c r="C28" s="787">
        <f ca="1">IF(ROWS($1:18)&gt;COUNT(Dong6),"",OFFSET(TH!E$1,SMALL(Dong6,ROWS($1:18)),))</f>
        <v>42202</v>
      </c>
      <c r="D28" s="789" t="str">
        <f ca="1">IF(ROWS($1:18)&gt;COUNT(Dong6),"",OFFSET(TH!F$1,SMALL(Dong6,ROWS($1:18)),))</f>
        <v>Rút sec nhập quỹ tiền mặt</v>
      </c>
      <c r="E28" s="788">
        <f t="shared" ca="1" si="0"/>
        <v>18</v>
      </c>
      <c r="F28" s="790" t="str">
        <f ca="1">IF(ROWS($1:18)&gt;COUNT(Dong6),"",OFFSET(TH!L$1,SMALL(Dong6,ROWS($1:18)),))</f>
        <v>1111</v>
      </c>
      <c r="G28" s="790" t="str">
        <f ca="1">IF(ROWS($1:18)&gt;COUNT(Dong6),"",OFFSET(TH!M$1,SMALL(Dong6,ROWS($1:18)),))</f>
        <v>1121</v>
      </c>
      <c r="H28" s="678">
        <f ca="1">IF(ROWS($1:18)&gt;COUNT(Dong6),"",OFFSET(TH!K$1,SMALL(Dong6,ROWS($1:18)),))</f>
        <v>16000000</v>
      </c>
      <c r="I28" s="678">
        <f ca="1">IF(ROWS($1:18)&gt;COUNT(Dong6),"",OFFSET(TH!K$1,SMALL(Dong6,ROWS($1:18)),))</f>
        <v>16000000</v>
      </c>
    </row>
    <row r="29" spans="1:9" s="779" customFormat="1" ht="21" customHeight="1">
      <c r="A29" s="787">
        <f ca="1">IF(ROWS($1:19)&gt;COUNT(Dong6),"",OFFSET(TH!C$1,SMALL(Dong6,ROWS($1:19)),))</f>
        <v>42202</v>
      </c>
      <c r="B29" s="788" t="str">
        <f ca="1">IF(ROWS($1:19)&gt;COUNT(Dong6),"",OFFSET(TH!D$1,SMALL(Dong6,ROWS($1:19)),))</f>
        <v>GBN</v>
      </c>
      <c r="C29" s="787">
        <f ca="1">IF(ROWS($1:19)&gt;COUNT(Dong6),"",OFFSET(TH!E$1,SMALL(Dong6,ROWS($1:19)),))</f>
        <v>42202</v>
      </c>
      <c r="D29" s="789" t="str">
        <f ca="1">IF(ROWS($1:19)&gt;COUNT(Dong6),"",OFFSET(TH!F$1,SMALL(Dong6,ROWS($1:19)),))</f>
        <v>Phí cấp sec</v>
      </c>
      <c r="E29" s="788">
        <f t="shared" ca="1" si="0"/>
        <v>19</v>
      </c>
      <c r="F29" s="790" t="str">
        <f ca="1">IF(ROWS($1:19)&gt;COUNT(Dong6),"",OFFSET(TH!L$1,SMALL(Dong6,ROWS($1:19)),))</f>
        <v>642</v>
      </c>
      <c r="G29" s="790" t="str">
        <f ca="1">IF(ROWS($1:19)&gt;COUNT(Dong6),"",OFFSET(TH!M$1,SMALL(Dong6,ROWS($1:19)),))</f>
        <v>1121</v>
      </c>
      <c r="H29" s="678">
        <f ca="1">IF(ROWS($1:19)&gt;COUNT(Dong6),"",OFFSET(TH!K$1,SMALL(Dong6,ROWS($1:19)),))</f>
        <v>22000</v>
      </c>
      <c r="I29" s="678">
        <f ca="1">IF(ROWS($1:19)&gt;COUNT(Dong6),"",OFFSET(TH!K$1,SMALL(Dong6,ROWS($1:19)),))</f>
        <v>22000</v>
      </c>
    </row>
    <row r="30" spans="1:9" s="779" customFormat="1" ht="21" customHeight="1">
      <c r="A30" s="787">
        <f ca="1">IF(ROWS($1:20)&gt;COUNT(Dong6),"",OFFSET(TH!C$1,SMALL(Dong6,ROWS($1:20)),))</f>
        <v>42205</v>
      </c>
      <c r="B30" s="788" t="str">
        <f ca="1">IF(ROWS($1:20)&gt;COUNT(Dong6),"",OFFSET(TH!D$1,SMALL(Dong6,ROWS($1:20)),))</f>
        <v>X01</v>
      </c>
      <c r="C30" s="787">
        <f ca="1">IF(ROWS($1:20)&gt;COUNT(Dong6),"",OFFSET(TH!E$1,SMALL(Dong6,ROWS($1:20)),))</f>
        <v>42205</v>
      </c>
      <c r="D30" s="789" t="str">
        <f ca="1">IF(ROWS($1:20)&gt;COUNT(Dong6),"",OFFSET(TH!F$1,SMALL(Dong6,ROWS($1:20)),))</f>
        <v>Thùng carton 3 lớp (18x18x18)</v>
      </c>
      <c r="E30" s="788">
        <f t="shared" ca="1" si="0"/>
        <v>20</v>
      </c>
      <c r="F30" s="790" t="str">
        <f ca="1">IF(ROWS($1:20)&gt;COUNT(Dong6),"",OFFSET(TH!L$1,SMALL(Dong6,ROWS($1:20)),))</f>
        <v>131</v>
      </c>
      <c r="G30" s="790" t="str">
        <f ca="1">IF(ROWS($1:20)&gt;COUNT(Dong6),"",OFFSET(TH!M$1,SMALL(Dong6,ROWS($1:20)),))</f>
        <v>5112</v>
      </c>
      <c r="H30" s="678">
        <f ca="1">IF(ROWS($1:20)&gt;COUNT(Dong6),"",OFFSET(TH!K$1,SMALL(Dong6,ROWS($1:20)),))</f>
        <v>300000</v>
      </c>
      <c r="I30" s="678">
        <f ca="1">IF(ROWS($1:20)&gt;COUNT(Dong6),"",OFFSET(TH!K$1,SMALL(Dong6,ROWS($1:20)),))</f>
        <v>300000</v>
      </c>
    </row>
    <row r="31" spans="1:9" s="779" customFormat="1" ht="21" customHeight="1">
      <c r="A31" s="787">
        <f ca="1">IF(ROWS($1:21)&gt;COUNT(Dong6),"",OFFSET(TH!C$1,SMALL(Dong6,ROWS($1:21)),))</f>
        <v>42205</v>
      </c>
      <c r="B31" s="788" t="str">
        <f ca="1">IF(ROWS($1:21)&gt;COUNT(Dong6),"",OFFSET(TH!D$1,SMALL(Dong6,ROWS($1:21)),))</f>
        <v>X01</v>
      </c>
      <c r="C31" s="787">
        <f ca="1">IF(ROWS($1:21)&gt;COUNT(Dong6),"",OFFSET(TH!E$1,SMALL(Dong6,ROWS($1:21)),))</f>
        <v>42205</v>
      </c>
      <c r="D31" s="789" t="str">
        <f ca="1">IF(ROWS($1:21)&gt;COUNT(Dong6),"",OFFSET(TH!F$1,SMALL(Dong6,ROWS($1:21)),))</f>
        <v>VAT Thùng</v>
      </c>
      <c r="E31" s="788">
        <f t="shared" ca="1" si="0"/>
        <v>21</v>
      </c>
      <c r="F31" s="790" t="str">
        <f ca="1">IF(ROWS($1:21)&gt;COUNT(Dong6),"",OFFSET(TH!L$1,SMALL(Dong6,ROWS($1:21)),))</f>
        <v>131</v>
      </c>
      <c r="G31" s="790" t="str">
        <f ca="1">IF(ROWS($1:21)&gt;COUNT(Dong6),"",OFFSET(TH!M$1,SMALL(Dong6,ROWS($1:21)),))</f>
        <v>3331</v>
      </c>
      <c r="H31" s="678">
        <f ca="1">IF(ROWS($1:21)&gt;COUNT(Dong6),"",OFFSET(TH!K$1,SMALL(Dong6,ROWS($1:21)),))</f>
        <v>30000</v>
      </c>
      <c r="I31" s="678">
        <f ca="1">IF(ROWS($1:21)&gt;COUNT(Dong6),"",OFFSET(TH!K$1,SMALL(Dong6,ROWS($1:21)),))</f>
        <v>30000</v>
      </c>
    </row>
    <row r="32" spans="1:9" s="779" customFormat="1" ht="21" customHeight="1">
      <c r="A32" s="787">
        <f ca="1">IF(ROWS($1:22)&gt;COUNT(Dong6),"",OFFSET(TH!C$1,SMALL(Dong6,ROWS($1:22)),))</f>
        <v>42205</v>
      </c>
      <c r="B32" s="788" t="str">
        <f ca="1">IF(ROWS($1:22)&gt;COUNT(Dong6),"",OFFSET(TH!D$1,SMALL(Dong6,ROWS($1:22)),))</f>
        <v>T08</v>
      </c>
      <c r="C32" s="787">
        <f ca="1">IF(ROWS($1:22)&gt;COUNT(Dong6),"",OFFSET(TH!E$1,SMALL(Dong6,ROWS($1:22)),))</f>
        <v>42205</v>
      </c>
      <c r="D32" s="789" t="str">
        <f ca="1">IF(ROWS($1:22)&gt;COUNT(Dong6),"",OFFSET(TH!F$1,SMALL(Dong6,ROWS($1:22)),))</f>
        <v>Thu tiền hàng</v>
      </c>
      <c r="E32" s="788">
        <f t="shared" ca="1" si="0"/>
        <v>22</v>
      </c>
      <c r="F32" s="790" t="str">
        <f ca="1">IF(ROWS($1:22)&gt;COUNT(Dong6),"",OFFSET(TH!L$1,SMALL(Dong6,ROWS($1:22)),))</f>
        <v>1111</v>
      </c>
      <c r="G32" s="790" t="str">
        <f ca="1">IF(ROWS($1:22)&gt;COUNT(Dong6),"",OFFSET(TH!M$1,SMALL(Dong6,ROWS($1:22)),))</f>
        <v>131</v>
      </c>
      <c r="H32" s="678">
        <f ca="1">IF(ROWS($1:22)&gt;COUNT(Dong6),"",OFFSET(TH!K$1,SMALL(Dong6,ROWS($1:22)),))</f>
        <v>330000</v>
      </c>
      <c r="I32" s="678">
        <f ca="1">IF(ROWS($1:22)&gt;COUNT(Dong6),"",OFFSET(TH!K$1,SMALL(Dong6,ROWS($1:22)),))</f>
        <v>330000</v>
      </c>
    </row>
    <row r="33" spans="1:9" s="779" customFormat="1" ht="21" customHeight="1">
      <c r="A33" s="787">
        <f ca="1">IF(ROWS($1:23)&gt;COUNT(Dong6),"",OFFSET(TH!C$1,SMALL(Dong6,ROWS($1:23)),))</f>
        <v>42206</v>
      </c>
      <c r="B33" s="788" t="str">
        <f ca="1">IF(ROWS($1:23)&gt;COUNT(Dong6),"",OFFSET(TH!D$1,SMALL(Dong6,ROWS($1:23)),))</f>
        <v>C05</v>
      </c>
      <c r="C33" s="787">
        <f ca="1">IF(ROWS($1:23)&gt;COUNT(Dong6),"",OFFSET(TH!E$1,SMALL(Dong6,ROWS($1:23)),))</f>
        <v>42206</v>
      </c>
      <c r="D33" s="789" t="str">
        <f ca="1">IF(ROWS($1:23)&gt;COUNT(Dong6),"",OFFSET(TH!F$1,SMALL(Dong6,ROWS($1:23)),))</f>
        <v>Nộp tiền mặt vào tài khoản</v>
      </c>
      <c r="E33" s="788">
        <f t="shared" ca="1" si="0"/>
        <v>23</v>
      </c>
      <c r="F33" s="790" t="str">
        <f ca="1">IF(ROWS($1:23)&gt;COUNT(Dong6),"",OFFSET(TH!L$1,SMALL(Dong6,ROWS($1:23)),))</f>
        <v>1121</v>
      </c>
      <c r="G33" s="790" t="str">
        <f ca="1">IF(ROWS($1:23)&gt;COUNT(Dong6),"",OFFSET(TH!M$1,SMALL(Dong6,ROWS($1:23)),))</f>
        <v>1111</v>
      </c>
      <c r="H33" s="678">
        <f ca="1">IF(ROWS($1:23)&gt;COUNT(Dong6),"",OFFSET(TH!K$1,SMALL(Dong6,ROWS($1:23)),))</f>
        <v>196400000</v>
      </c>
      <c r="I33" s="678">
        <f ca="1">IF(ROWS($1:23)&gt;COUNT(Dong6),"",OFFSET(TH!K$1,SMALL(Dong6,ROWS($1:23)),))</f>
        <v>196400000</v>
      </c>
    </row>
    <row r="34" spans="1:9" s="779" customFormat="1" ht="21" customHeight="1">
      <c r="A34" s="787">
        <f ca="1">IF(ROWS($1:24)&gt;COUNT(Dong6),"",OFFSET(TH!C$1,SMALL(Dong6,ROWS($1:24)),))</f>
        <v>42206</v>
      </c>
      <c r="B34" s="788" t="str">
        <f ca="1">IF(ROWS($1:24)&gt;COUNT(Dong6),"",OFFSET(TH!D$1,SMALL(Dong6,ROWS($1:24)),))</f>
        <v>GBN</v>
      </c>
      <c r="C34" s="787">
        <f ca="1">IF(ROWS($1:24)&gt;COUNT(Dong6),"",OFFSET(TH!E$1,SMALL(Dong6,ROWS($1:24)),))</f>
        <v>42206</v>
      </c>
      <c r="D34" s="789" t="str">
        <f ca="1">IF(ROWS($1:24)&gt;COUNT(Dong6),"",OFFSET(TH!F$1,SMALL(Dong6,ROWS($1:24)),))</f>
        <v>Thanh toán tiền hàng</v>
      </c>
      <c r="E34" s="788">
        <f t="shared" ca="1" si="0"/>
        <v>24</v>
      </c>
      <c r="F34" s="790" t="str">
        <f ca="1">IF(ROWS($1:24)&gt;COUNT(Dong6),"",OFFSET(TH!L$1,SMALL(Dong6,ROWS($1:24)),))</f>
        <v>331</v>
      </c>
      <c r="G34" s="790" t="str">
        <f ca="1">IF(ROWS($1:24)&gt;COUNT(Dong6),"",OFFSET(TH!M$1,SMALL(Dong6,ROWS($1:24)),))</f>
        <v>1121</v>
      </c>
      <c r="H34" s="678">
        <f ca="1">IF(ROWS($1:24)&gt;COUNT(Dong6),"",OFFSET(TH!K$1,SMALL(Dong6,ROWS($1:24)),))</f>
        <v>196405605</v>
      </c>
      <c r="I34" s="678">
        <f ca="1">IF(ROWS($1:24)&gt;COUNT(Dong6),"",OFFSET(TH!K$1,SMALL(Dong6,ROWS($1:24)),))</f>
        <v>196405605</v>
      </c>
    </row>
    <row r="35" spans="1:9" s="779" customFormat="1" ht="21" customHeight="1">
      <c r="A35" s="787">
        <f ca="1">IF(ROWS($1:25)&gt;COUNT(Dong6),"",OFFSET(TH!C$1,SMALL(Dong6,ROWS($1:25)),))</f>
        <v>42206</v>
      </c>
      <c r="B35" s="788" t="str">
        <f ca="1">IF(ROWS($1:25)&gt;COUNT(Dong6),"",OFFSET(TH!D$1,SMALL(Dong6,ROWS($1:25)),))</f>
        <v>GBN</v>
      </c>
      <c r="C35" s="787">
        <f ca="1">IF(ROWS($1:25)&gt;COUNT(Dong6),"",OFFSET(TH!E$1,SMALL(Dong6,ROWS($1:25)),))</f>
        <v>42206</v>
      </c>
      <c r="D35" s="789" t="str">
        <f ca="1">IF(ROWS($1:25)&gt;COUNT(Dong6),"",OFFSET(TH!F$1,SMALL(Dong6,ROWS($1:25)),))</f>
        <v>Phí chuyển tiền</v>
      </c>
      <c r="E35" s="788">
        <f t="shared" ca="1" si="0"/>
        <v>25</v>
      </c>
      <c r="F35" s="790" t="str">
        <f ca="1">IF(ROWS($1:25)&gt;COUNT(Dong6),"",OFFSET(TH!L$1,SMALL(Dong6,ROWS($1:25)),))</f>
        <v>642</v>
      </c>
      <c r="G35" s="790" t="str">
        <f ca="1">IF(ROWS($1:25)&gt;COUNT(Dong6),"",OFFSET(TH!M$1,SMALL(Dong6,ROWS($1:25)),))</f>
        <v>1121</v>
      </c>
      <c r="H35" s="678">
        <f ca="1">IF(ROWS($1:25)&gt;COUNT(Dong6),"",OFFSET(TH!K$1,SMALL(Dong6,ROWS($1:25)),))</f>
        <v>142931</v>
      </c>
      <c r="I35" s="678">
        <f ca="1">IF(ROWS($1:25)&gt;COUNT(Dong6),"",OFFSET(TH!K$1,SMALL(Dong6,ROWS($1:25)),))</f>
        <v>142931</v>
      </c>
    </row>
    <row r="36" spans="1:9" s="779" customFormat="1" ht="21" customHeight="1">
      <c r="A36" s="787">
        <f ca="1">IF(ROWS($1:26)&gt;COUNT(Dong6),"",OFFSET(TH!C$1,SMALL(Dong6,ROWS($1:26)),))</f>
        <v>42206</v>
      </c>
      <c r="B36" s="788" t="str">
        <f ca="1">IF(ROWS($1:26)&gt;COUNT(Dong6),"",OFFSET(TH!D$1,SMALL(Dong6,ROWS($1:26)),))</f>
        <v>T09</v>
      </c>
      <c r="C36" s="787">
        <f ca="1">IF(ROWS($1:26)&gt;COUNT(Dong6),"",OFFSET(TH!E$1,SMALL(Dong6,ROWS($1:26)),))</f>
        <v>42206</v>
      </c>
      <c r="D36" s="789" t="str">
        <f ca="1">IF(ROWS($1:26)&gt;COUNT(Dong6),"",OFFSET(TH!F$1,SMALL(Dong6,ROWS($1:26)),))</f>
        <v>Cước vận chuyển</v>
      </c>
      <c r="E36" s="788">
        <f t="shared" ca="1" si="0"/>
        <v>26</v>
      </c>
      <c r="F36" s="790" t="str">
        <f ca="1">IF(ROWS($1:26)&gt;COUNT(Dong6),"",OFFSET(TH!L$1,SMALL(Dong6,ROWS($1:26)),))</f>
        <v>1111</v>
      </c>
      <c r="G36" s="790" t="str">
        <f ca="1">IF(ROWS($1:26)&gt;COUNT(Dong6),"",OFFSET(TH!M$1,SMALL(Dong6,ROWS($1:26)),))</f>
        <v>5111</v>
      </c>
      <c r="H36" s="678">
        <f ca="1">IF(ROWS($1:26)&gt;COUNT(Dong6),"",OFFSET(TH!K$1,SMALL(Dong6,ROWS($1:26)),))</f>
        <v>9500000</v>
      </c>
      <c r="I36" s="678">
        <f ca="1">IF(ROWS($1:26)&gt;COUNT(Dong6),"",OFFSET(TH!K$1,SMALL(Dong6,ROWS($1:26)),))</f>
        <v>9500000</v>
      </c>
    </row>
    <row r="37" spans="1:9" s="779" customFormat="1" ht="21" customHeight="1">
      <c r="A37" s="787">
        <f ca="1">IF(ROWS($1:27)&gt;COUNT(Dong6),"",OFFSET(TH!C$1,SMALL(Dong6,ROWS($1:27)),))</f>
        <v>42206</v>
      </c>
      <c r="B37" s="788" t="str">
        <f ca="1">IF(ROWS($1:27)&gt;COUNT(Dong6),"",OFFSET(TH!D$1,SMALL(Dong6,ROWS($1:27)),))</f>
        <v>T09</v>
      </c>
      <c r="C37" s="787">
        <f ca="1">IF(ROWS($1:27)&gt;COUNT(Dong6),"",OFFSET(TH!E$1,SMALL(Dong6,ROWS($1:27)),))</f>
        <v>42206</v>
      </c>
      <c r="D37" s="789" t="str">
        <f ca="1">IF(ROWS($1:27)&gt;COUNT(Dong6),"",OFFSET(TH!F$1,SMALL(Dong6,ROWS($1:27)),))</f>
        <v>VAT Cước vận chuyển</v>
      </c>
      <c r="E37" s="788">
        <f t="shared" ca="1" si="0"/>
        <v>27</v>
      </c>
      <c r="F37" s="790" t="str">
        <f ca="1">IF(ROWS($1:27)&gt;COUNT(Dong6),"",OFFSET(TH!L$1,SMALL(Dong6,ROWS($1:27)),))</f>
        <v>1111</v>
      </c>
      <c r="G37" s="790" t="str">
        <f ca="1">IF(ROWS($1:27)&gt;COUNT(Dong6),"",OFFSET(TH!M$1,SMALL(Dong6,ROWS($1:27)),))</f>
        <v>3331</v>
      </c>
      <c r="H37" s="678">
        <f ca="1">IF(ROWS($1:27)&gt;COUNT(Dong6),"",OFFSET(TH!K$1,SMALL(Dong6,ROWS($1:27)),))</f>
        <v>950000</v>
      </c>
      <c r="I37" s="678">
        <f ca="1">IF(ROWS($1:27)&gt;COUNT(Dong6),"",OFFSET(TH!K$1,SMALL(Dong6,ROWS($1:27)),))</f>
        <v>950000</v>
      </c>
    </row>
    <row r="38" spans="1:9" s="779" customFormat="1" ht="21" customHeight="1">
      <c r="A38" s="787">
        <f ca="1">IF(ROWS($1:28)&gt;COUNT(Dong6),"",OFFSET(TH!C$1,SMALL(Dong6,ROWS($1:28)),))</f>
        <v>42207</v>
      </c>
      <c r="B38" s="788" t="str">
        <f ca="1">IF(ROWS($1:28)&gt;COUNT(Dong6),"",OFFSET(TH!D$1,SMALL(Dong6,ROWS($1:28)),))</f>
        <v>GBC</v>
      </c>
      <c r="C38" s="787">
        <f ca="1">IF(ROWS($1:28)&gt;COUNT(Dong6),"",OFFSET(TH!E$1,SMALL(Dong6,ROWS($1:28)),))</f>
        <v>42207</v>
      </c>
      <c r="D38" s="789" t="str">
        <f ca="1">IF(ROWS($1:28)&gt;COUNT(Dong6),"",OFFSET(TH!F$1,SMALL(Dong6,ROWS($1:28)),))</f>
        <v>Thu tiền hàng</v>
      </c>
      <c r="E38" s="788">
        <f t="shared" ca="1" si="0"/>
        <v>28</v>
      </c>
      <c r="F38" s="790" t="str">
        <f ca="1">IF(ROWS($1:28)&gt;COUNT(Dong6),"",OFFSET(TH!L$1,SMALL(Dong6,ROWS($1:28)),))</f>
        <v>1121</v>
      </c>
      <c r="G38" s="790" t="str">
        <f ca="1">IF(ROWS($1:28)&gt;COUNT(Dong6),"",OFFSET(TH!M$1,SMALL(Dong6,ROWS($1:28)),))</f>
        <v>131</v>
      </c>
      <c r="H38" s="678">
        <f ca="1">IF(ROWS($1:28)&gt;COUNT(Dong6),"",OFFSET(TH!K$1,SMALL(Dong6,ROWS($1:28)),))</f>
        <v>56671065</v>
      </c>
      <c r="I38" s="678">
        <f ca="1">IF(ROWS($1:28)&gt;COUNT(Dong6),"",OFFSET(TH!K$1,SMALL(Dong6,ROWS($1:28)),))</f>
        <v>56671065</v>
      </c>
    </row>
    <row r="39" spans="1:9" s="779" customFormat="1" ht="21" customHeight="1">
      <c r="A39" s="787">
        <f ca="1">IF(ROWS($1:29)&gt;COUNT(Dong6),"",OFFSET(TH!C$1,SMALL(Dong6,ROWS($1:29)),))</f>
        <v>42207</v>
      </c>
      <c r="B39" s="788" t="str">
        <f ca="1">IF(ROWS($1:29)&gt;COUNT(Dong6),"",OFFSET(TH!D$1,SMALL(Dong6,ROWS($1:29)),))</f>
        <v>T10</v>
      </c>
      <c r="C39" s="787">
        <f ca="1">IF(ROWS($1:29)&gt;COUNT(Dong6),"",OFFSET(TH!E$1,SMALL(Dong6,ROWS($1:29)),))</f>
        <v>42207</v>
      </c>
      <c r="D39" s="789" t="str">
        <f ca="1">IF(ROWS($1:29)&gt;COUNT(Dong6),"",OFFSET(TH!F$1,SMALL(Dong6,ROWS($1:29)),))</f>
        <v>Rút sec nhập quỹ tiền mặt</v>
      </c>
      <c r="E39" s="788">
        <f t="shared" ca="1" si="0"/>
        <v>29</v>
      </c>
      <c r="F39" s="790" t="str">
        <f ca="1">IF(ROWS($1:29)&gt;COUNT(Dong6),"",OFFSET(TH!L$1,SMALL(Dong6,ROWS($1:29)),))</f>
        <v>1111</v>
      </c>
      <c r="G39" s="790" t="str">
        <f ca="1">IF(ROWS($1:29)&gt;COUNT(Dong6),"",OFFSET(TH!M$1,SMALL(Dong6,ROWS($1:29)),))</f>
        <v>1121</v>
      </c>
      <c r="H39" s="678">
        <f ca="1">IF(ROWS($1:29)&gt;COUNT(Dong6),"",OFFSET(TH!K$1,SMALL(Dong6,ROWS($1:29)),))</f>
        <v>59000000</v>
      </c>
      <c r="I39" s="678">
        <f ca="1">IF(ROWS($1:29)&gt;COUNT(Dong6),"",OFFSET(TH!K$1,SMALL(Dong6,ROWS($1:29)),))</f>
        <v>59000000</v>
      </c>
    </row>
    <row r="40" spans="1:9" s="779" customFormat="1" ht="21" customHeight="1">
      <c r="A40" s="787">
        <f ca="1">IF(ROWS($1:30)&gt;COUNT(Dong6),"",OFFSET(TH!C$1,SMALL(Dong6,ROWS($1:30)),))</f>
        <v>42208</v>
      </c>
      <c r="B40" s="788" t="str">
        <f ca="1">IF(ROWS($1:30)&gt;COUNT(Dong6),"",OFFSET(TH!D$1,SMALL(Dong6,ROWS($1:30)),))</f>
        <v>T11</v>
      </c>
      <c r="C40" s="787">
        <f ca="1">IF(ROWS($1:30)&gt;COUNT(Dong6),"",OFFSET(TH!E$1,SMALL(Dong6,ROWS($1:30)),))</f>
        <v>42208</v>
      </c>
      <c r="D40" s="789" t="str">
        <f ca="1">IF(ROWS($1:30)&gt;COUNT(Dong6),"",OFFSET(TH!F$1,SMALL(Dong6,ROWS($1:30)),))</f>
        <v>Rút sec nhập quỹ tiền mặt</v>
      </c>
      <c r="E40" s="788">
        <f t="shared" ca="1" si="0"/>
        <v>30</v>
      </c>
      <c r="F40" s="790" t="str">
        <f ca="1">IF(ROWS($1:30)&gt;COUNT(Dong6),"",OFFSET(TH!L$1,SMALL(Dong6,ROWS($1:30)),))</f>
        <v>1111</v>
      </c>
      <c r="G40" s="790" t="str">
        <f ca="1">IF(ROWS($1:30)&gt;COUNT(Dong6),"",OFFSET(TH!M$1,SMALL(Dong6,ROWS($1:30)),))</f>
        <v>1121</v>
      </c>
      <c r="H40" s="678">
        <f ca="1">IF(ROWS($1:30)&gt;COUNT(Dong6),"",OFFSET(TH!K$1,SMALL(Dong6,ROWS($1:30)),))</f>
        <v>30000000</v>
      </c>
      <c r="I40" s="678">
        <f ca="1">IF(ROWS($1:30)&gt;COUNT(Dong6),"",OFFSET(TH!K$1,SMALL(Dong6,ROWS($1:30)),))</f>
        <v>30000000</v>
      </c>
    </row>
    <row r="41" spans="1:9" s="779" customFormat="1" ht="21" customHeight="1">
      <c r="A41" s="787">
        <f ca="1">IF(ROWS($1:31)&gt;COUNT(Dong6),"",OFFSET(TH!C$1,SMALL(Dong6,ROWS($1:31)),))</f>
        <v>42210</v>
      </c>
      <c r="B41" s="788" t="str">
        <f ca="1">IF(ROWS($1:31)&gt;COUNT(Dong6),"",OFFSET(TH!D$1,SMALL(Dong6,ROWS($1:31)),))</f>
        <v>GBC</v>
      </c>
      <c r="C41" s="787">
        <f ca="1">IF(ROWS($1:31)&gt;COUNT(Dong6),"",OFFSET(TH!E$1,SMALL(Dong6,ROWS($1:31)),))</f>
        <v>42210</v>
      </c>
      <c r="D41" s="789" t="str">
        <f ca="1">IF(ROWS($1:31)&gt;COUNT(Dong6),"",OFFSET(TH!F$1,SMALL(Dong6,ROWS($1:31)),))</f>
        <v>Lãi tiền gửi</v>
      </c>
      <c r="E41" s="788">
        <f t="shared" ref="E41:E50" ca="1" si="1">IF(D41&lt;&gt;"",ROW()-10,"")</f>
        <v>31</v>
      </c>
      <c r="F41" s="790" t="str">
        <f ca="1">IF(ROWS($1:31)&gt;COUNT(Dong6),"",OFFSET(TH!L$1,SMALL(Dong6,ROWS($1:31)),))</f>
        <v>1121</v>
      </c>
      <c r="G41" s="790" t="str">
        <f ca="1">IF(ROWS($1:31)&gt;COUNT(Dong6),"",OFFSET(TH!M$1,SMALL(Dong6,ROWS($1:31)),))</f>
        <v>515</v>
      </c>
      <c r="H41" s="678">
        <f ca="1">IF(ROWS($1:31)&gt;COUNT(Dong6),"",OFFSET(TH!K$1,SMALL(Dong6,ROWS($1:31)),))</f>
        <v>83881</v>
      </c>
      <c r="I41" s="678">
        <f ca="1">IF(ROWS($1:31)&gt;COUNT(Dong6),"",OFFSET(TH!K$1,SMALL(Dong6,ROWS($1:31)),))</f>
        <v>83881</v>
      </c>
    </row>
    <row r="42" spans="1:9" s="779" customFormat="1" ht="21" customHeight="1">
      <c r="A42" s="787">
        <f ca="1">IF(ROWS($1:32)&gt;COUNT(Dong6),"",OFFSET(TH!C$1,SMALL(Dong6,ROWS($1:32)),))</f>
        <v>42210</v>
      </c>
      <c r="B42" s="788" t="str">
        <f ca="1">IF(ROWS($1:32)&gt;COUNT(Dong6),"",OFFSET(TH!D$1,SMALL(Dong6,ROWS($1:32)),))</f>
        <v>GBN</v>
      </c>
      <c r="C42" s="787">
        <f ca="1">IF(ROWS($1:32)&gt;COUNT(Dong6),"",OFFSET(TH!E$1,SMALL(Dong6,ROWS($1:32)),))</f>
        <v>42210</v>
      </c>
      <c r="D42" s="789" t="str">
        <f ca="1">IF(ROWS($1:32)&gt;COUNT(Dong6),"",OFFSET(TH!F$1,SMALL(Dong6,ROWS($1:32)),))</f>
        <v>Phí quản lý tài khoản</v>
      </c>
      <c r="E42" s="788">
        <f t="shared" ca="1" si="1"/>
        <v>32</v>
      </c>
      <c r="F42" s="790" t="str">
        <f ca="1">IF(ROWS($1:32)&gt;COUNT(Dong6),"",OFFSET(TH!L$1,SMALL(Dong6,ROWS($1:32)),))</f>
        <v>642</v>
      </c>
      <c r="G42" s="790" t="str">
        <f ca="1">IF(ROWS($1:32)&gt;COUNT(Dong6),"",OFFSET(TH!M$1,SMALL(Dong6,ROWS($1:32)),))</f>
        <v>1121</v>
      </c>
      <c r="H42" s="678">
        <f ca="1">IF(ROWS($1:32)&gt;COUNT(Dong6),"",OFFSET(TH!K$1,SMALL(Dong6,ROWS($1:32)),))</f>
        <v>11000</v>
      </c>
      <c r="I42" s="678">
        <f ca="1">IF(ROWS($1:32)&gt;COUNT(Dong6),"",OFFSET(TH!K$1,SMALL(Dong6,ROWS($1:32)),))</f>
        <v>11000</v>
      </c>
    </row>
    <row r="43" spans="1:9" s="779" customFormat="1" ht="21" customHeight="1">
      <c r="A43" s="787">
        <f ca="1">IF(ROWS($1:33)&gt;COUNT(Dong6),"",OFFSET(TH!C$1,SMALL(Dong6,ROWS($1:33)),))</f>
        <v>42210</v>
      </c>
      <c r="B43" s="788" t="str">
        <f ca="1">IF(ROWS($1:33)&gt;COUNT(Dong6),"",OFFSET(TH!D$1,SMALL(Dong6,ROWS($1:33)),))</f>
        <v>C06</v>
      </c>
      <c r="C43" s="787">
        <f ca="1">IF(ROWS($1:33)&gt;COUNT(Dong6),"",OFFSET(TH!E$1,SMALL(Dong6,ROWS($1:33)),))</f>
        <v>42210</v>
      </c>
      <c r="D43" s="789" t="str">
        <f ca="1">IF(ROWS($1:33)&gt;COUNT(Dong6),"",OFFSET(TH!F$1,SMALL(Dong6,ROWS($1:33)),))</f>
        <v>Hàng hóa tiếp khách</v>
      </c>
      <c r="E43" s="788">
        <f t="shared" ca="1" si="1"/>
        <v>33</v>
      </c>
      <c r="F43" s="790" t="str">
        <f ca="1">IF(ROWS($1:33)&gt;COUNT(Dong6),"",OFFSET(TH!L$1,SMALL(Dong6,ROWS($1:33)),))</f>
        <v>641</v>
      </c>
      <c r="G43" s="790" t="str">
        <f ca="1">IF(ROWS($1:33)&gt;COUNT(Dong6),"",OFFSET(TH!M$1,SMALL(Dong6,ROWS($1:33)),))</f>
        <v>1111</v>
      </c>
      <c r="H43" s="678">
        <f ca="1">IF(ROWS($1:33)&gt;COUNT(Dong6),"",OFFSET(TH!K$1,SMALL(Dong6,ROWS($1:33)),))</f>
        <v>817362</v>
      </c>
      <c r="I43" s="678">
        <f ca="1">IF(ROWS($1:33)&gt;COUNT(Dong6),"",OFFSET(TH!K$1,SMALL(Dong6,ROWS($1:33)),))</f>
        <v>817362</v>
      </c>
    </row>
    <row r="44" spans="1:9" s="779" customFormat="1" ht="21" customHeight="1">
      <c r="A44" s="787">
        <f ca="1">IF(ROWS($1:34)&gt;COUNT(Dong6),"",OFFSET(TH!C$1,SMALL(Dong6,ROWS($1:34)),))</f>
        <v>42210</v>
      </c>
      <c r="B44" s="788" t="str">
        <f ca="1">IF(ROWS($1:34)&gt;COUNT(Dong6),"",OFFSET(TH!D$1,SMALL(Dong6,ROWS($1:34)),))</f>
        <v>C06</v>
      </c>
      <c r="C44" s="787">
        <f ca="1">IF(ROWS($1:34)&gt;COUNT(Dong6),"",OFFSET(TH!E$1,SMALL(Dong6,ROWS($1:34)),))</f>
        <v>42210</v>
      </c>
      <c r="D44" s="789" t="str">
        <f ca="1">IF(ROWS($1:34)&gt;COUNT(Dong6),"",OFFSET(TH!F$1,SMALL(Dong6,ROWS($1:34)),))</f>
        <v>VAT Hàng hóa tiếp khách</v>
      </c>
      <c r="E44" s="788">
        <f t="shared" ca="1" si="1"/>
        <v>34</v>
      </c>
      <c r="F44" s="790" t="str">
        <f ca="1">IF(ROWS($1:34)&gt;COUNT(Dong6),"",OFFSET(TH!L$1,SMALL(Dong6,ROWS($1:34)),))</f>
        <v>1331</v>
      </c>
      <c r="G44" s="790" t="str">
        <f ca="1">IF(ROWS($1:34)&gt;COUNT(Dong6),"",OFFSET(TH!M$1,SMALL(Dong6,ROWS($1:34)),))</f>
        <v>1111</v>
      </c>
      <c r="H44" s="678">
        <f ca="1">IF(ROWS($1:34)&gt;COUNT(Dong6),"",OFFSET(TH!K$1,SMALL(Dong6,ROWS($1:34)),))</f>
        <v>81738</v>
      </c>
      <c r="I44" s="678">
        <f ca="1">IF(ROWS($1:34)&gt;COUNT(Dong6),"",OFFSET(TH!K$1,SMALL(Dong6,ROWS($1:34)),))</f>
        <v>81738</v>
      </c>
    </row>
    <row r="45" spans="1:9" s="779" customFormat="1" ht="21" customHeight="1">
      <c r="A45" s="787">
        <f ca="1">IF(ROWS($1:35)&gt;COUNT(Dong6),"",OFFSET(TH!C$1,SMALL(Dong6,ROWS($1:35)),))</f>
        <v>42211</v>
      </c>
      <c r="B45" s="788" t="str">
        <f ca="1">IF(ROWS($1:35)&gt;COUNT(Dong6),"",OFFSET(TH!D$1,SMALL(Dong6,ROWS($1:35)),))</f>
        <v>C07</v>
      </c>
      <c r="C45" s="787">
        <f ca="1">IF(ROWS($1:35)&gt;COUNT(Dong6),"",OFFSET(TH!E$1,SMALL(Dong6,ROWS($1:35)),))</f>
        <v>42211</v>
      </c>
      <c r="D45" s="789" t="str">
        <f ca="1">IF(ROWS($1:35)&gt;COUNT(Dong6),"",OFFSET(TH!F$1,SMALL(Dong6,ROWS($1:35)),))</f>
        <v>Chi phí tiếp khách</v>
      </c>
      <c r="E45" s="788">
        <f t="shared" ca="1" si="1"/>
        <v>35</v>
      </c>
      <c r="F45" s="790" t="str">
        <f ca="1">IF(ROWS($1:35)&gt;COUNT(Dong6),"",OFFSET(TH!L$1,SMALL(Dong6,ROWS($1:35)),))</f>
        <v>641</v>
      </c>
      <c r="G45" s="790" t="str">
        <f ca="1">IF(ROWS($1:35)&gt;COUNT(Dong6),"",OFFSET(TH!M$1,SMALL(Dong6,ROWS($1:35)),))</f>
        <v>1111</v>
      </c>
      <c r="H45" s="678">
        <f ca="1">IF(ROWS($1:35)&gt;COUNT(Dong6),"",OFFSET(TH!K$1,SMALL(Dong6,ROWS($1:35)),))</f>
        <v>705000</v>
      </c>
      <c r="I45" s="678">
        <f ca="1">IF(ROWS($1:35)&gt;COUNT(Dong6),"",OFFSET(TH!K$1,SMALL(Dong6,ROWS($1:35)),))</f>
        <v>705000</v>
      </c>
    </row>
    <row r="46" spans="1:9" s="779" customFormat="1" ht="21" customHeight="1">
      <c r="A46" s="787">
        <f ca="1">IF(ROWS($1:36)&gt;COUNT(Dong6),"",OFFSET(TH!C$1,SMALL(Dong6,ROWS($1:36)),))</f>
        <v>42211</v>
      </c>
      <c r="B46" s="788" t="str">
        <f ca="1">IF(ROWS($1:36)&gt;COUNT(Dong6),"",OFFSET(TH!D$1,SMALL(Dong6,ROWS($1:36)),))</f>
        <v>C07</v>
      </c>
      <c r="C46" s="787">
        <f ca="1">IF(ROWS($1:36)&gt;COUNT(Dong6),"",OFFSET(TH!E$1,SMALL(Dong6,ROWS($1:36)),))</f>
        <v>42211</v>
      </c>
      <c r="D46" s="789" t="str">
        <f ca="1">IF(ROWS($1:36)&gt;COUNT(Dong6),"",OFFSET(TH!F$1,SMALL(Dong6,ROWS($1:36)),))</f>
        <v>VAT Chi phí tiếp khách</v>
      </c>
      <c r="E46" s="788">
        <f t="shared" ca="1" si="1"/>
        <v>36</v>
      </c>
      <c r="F46" s="790" t="str">
        <f ca="1">IF(ROWS($1:36)&gt;COUNT(Dong6),"",OFFSET(TH!L$1,SMALL(Dong6,ROWS($1:36)),))</f>
        <v>1331</v>
      </c>
      <c r="G46" s="790" t="str">
        <f ca="1">IF(ROWS($1:36)&gt;COUNT(Dong6),"",OFFSET(TH!M$1,SMALL(Dong6,ROWS($1:36)),))</f>
        <v>1111</v>
      </c>
      <c r="H46" s="678">
        <f ca="1">IF(ROWS($1:36)&gt;COUNT(Dong6),"",OFFSET(TH!K$1,SMALL(Dong6,ROWS($1:36)),))</f>
        <v>70500</v>
      </c>
      <c r="I46" s="678">
        <f ca="1">IF(ROWS($1:36)&gt;COUNT(Dong6),"",OFFSET(TH!K$1,SMALL(Dong6,ROWS($1:36)),))</f>
        <v>70500</v>
      </c>
    </row>
    <row r="47" spans="1:9" s="779" customFormat="1" ht="21" customHeight="1">
      <c r="A47" s="787">
        <f ca="1">IF(ROWS($1:37)&gt;COUNT(Dong6),"",OFFSET(TH!C$1,SMALL(Dong6,ROWS($1:37)),))</f>
        <v>42212</v>
      </c>
      <c r="B47" s="788" t="str">
        <f ca="1">IF(ROWS($1:37)&gt;COUNT(Dong6),"",OFFSET(TH!D$1,SMALL(Dong6,ROWS($1:37)),))</f>
        <v>N01</v>
      </c>
      <c r="C47" s="787">
        <f ca="1">IF(ROWS($1:37)&gt;COUNT(Dong6),"",OFFSET(TH!E$1,SMALL(Dong6,ROWS($1:37)),))</f>
        <v>42212</v>
      </c>
      <c r="D47" s="789" t="str">
        <f ca="1">IF(ROWS($1:37)&gt;COUNT(Dong6),"",OFFSET(TH!F$1,SMALL(Dong6,ROWS($1:37)),))</f>
        <v>Giấy tấm 5 lớp (135x137)</v>
      </c>
      <c r="E47" s="788">
        <f t="shared" ca="1" si="1"/>
        <v>37</v>
      </c>
      <c r="F47" s="790" t="str">
        <f ca="1">IF(ROWS($1:37)&gt;COUNT(Dong6),"",OFFSET(TH!L$1,SMALL(Dong6,ROWS($1:37)),))</f>
        <v>156</v>
      </c>
      <c r="G47" s="790" t="str">
        <f ca="1">IF(ROWS($1:37)&gt;COUNT(Dong6),"",OFFSET(TH!M$1,SMALL(Dong6,ROWS($1:37)),))</f>
        <v>331</v>
      </c>
      <c r="H47" s="678">
        <f ca="1">IF(ROWS($1:37)&gt;COUNT(Dong6),"",OFFSET(TH!K$1,SMALL(Dong6,ROWS($1:37)),))</f>
        <v>7860500</v>
      </c>
      <c r="I47" s="678">
        <f ca="1">IF(ROWS($1:37)&gt;COUNT(Dong6),"",OFFSET(TH!K$1,SMALL(Dong6,ROWS($1:37)),))</f>
        <v>7860500</v>
      </c>
    </row>
    <row r="48" spans="1:9" s="779" customFormat="1" ht="21" customHeight="1">
      <c r="A48" s="787">
        <f ca="1">IF(ROWS($1:38)&gt;COUNT(Dong6),"",OFFSET(TH!C$1,SMALL(Dong6,ROWS($1:38)),))</f>
        <v>42212</v>
      </c>
      <c r="B48" s="788" t="str">
        <f ca="1">IF(ROWS($1:38)&gt;COUNT(Dong6),"",OFFSET(TH!D$1,SMALL(Dong6,ROWS($1:38)),))</f>
        <v>N01</v>
      </c>
      <c r="C48" s="787">
        <f ca="1">IF(ROWS($1:38)&gt;COUNT(Dong6),"",OFFSET(TH!E$1,SMALL(Dong6,ROWS($1:38)),))</f>
        <v>42212</v>
      </c>
      <c r="D48" s="789" t="str">
        <f ca="1">IF(ROWS($1:38)&gt;COUNT(Dong6),"",OFFSET(TH!F$1,SMALL(Dong6,ROWS($1:38)),))</f>
        <v xml:space="preserve">VAT Giấy tấm </v>
      </c>
      <c r="E48" s="788">
        <f t="shared" ca="1" si="1"/>
        <v>38</v>
      </c>
      <c r="F48" s="790" t="str">
        <f ca="1">IF(ROWS($1:38)&gt;COUNT(Dong6),"",OFFSET(TH!L$1,SMALL(Dong6,ROWS($1:38)),))</f>
        <v>1331</v>
      </c>
      <c r="G48" s="790" t="str">
        <f ca="1">IF(ROWS($1:38)&gt;COUNT(Dong6),"",OFFSET(TH!M$1,SMALL(Dong6,ROWS($1:38)),))</f>
        <v>331</v>
      </c>
      <c r="H48" s="678">
        <f ca="1">IF(ROWS($1:38)&gt;COUNT(Dong6),"",OFFSET(TH!K$1,SMALL(Dong6,ROWS($1:38)),))</f>
        <v>786050</v>
      </c>
      <c r="I48" s="678">
        <f ca="1">IF(ROWS($1:38)&gt;COUNT(Dong6),"",OFFSET(TH!K$1,SMALL(Dong6,ROWS($1:38)),))</f>
        <v>786050</v>
      </c>
    </row>
    <row r="49" spans="1:10" s="779" customFormat="1" ht="21" customHeight="1">
      <c r="A49" s="787">
        <f ca="1">IF(ROWS($1:39)&gt;COUNT(Dong6),"",OFFSET(TH!C$1,SMALL(Dong6,ROWS($1:39)),))</f>
        <v>42213</v>
      </c>
      <c r="B49" s="788" t="str">
        <f ca="1">IF(ROWS($1:39)&gt;COUNT(Dong6),"",OFFSET(TH!D$1,SMALL(Dong6,ROWS($1:39)),))</f>
        <v>C08</v>
      </c>
      <c r="C49" s="787">
        <f ca="1">IF(ROWS($1:39)&gt;COUNT(Dong6),"",OFFSET(TH!E$1,SMALL(Dong6,ROWS($1:39)),))</f>
        <v>42213</v>
      </c>
      <c r="D49" s="789" t="str">
        <f ca="1">IF(ROWS($1:39)&gt;COUNT(Dong6),"",OFFSET(TH!F$1,SMALL(Dong6,ROWS($1:39)),))</f>
        <v>Dầu DO</v>
      </c>
      <c r="E49" s="788">
        <f t="shared" ca="1" si="1"/>
        <v>39</v>
      </c>
      <c r="F49" s="790" t="str">
        <f ca="1">IF(ROWS($1:39)&gt;COUNT(Dong6),"",OFFSET(TH!L$1,SMALL(Dong6,ROWS($1:39)),))</f>
        <v>642</v>
      </c>
      <c r="G49" s="790" t="str">
        <f ca="1">IF(ROWS($1:39)&gt;COUNT(Dong6),"",OFFSET(TH!M$1,SMALL(Dong6,ROWS($1:39)),))</f>
        <v>1111</v>
      </c>
      <c r="H49" s="678">
        <f ca="1">IF(ROWS($1:39)&gt;COUNT(Dong6),"",OFFSET(TH!K$1,SMALL(Dong6,ROWS($1:39)),))</f>
        <v>6363647</v>
      </c>
      <c r="I49" s="678">
        <f ca="1">IF(ROWS($1:39)&gt;COUNT(Dong6),"",OFFSET(TH!K$1,SMALL(Dong6,ROWS($1:39)),))</f>
        <v>6363647</v>
      </c>
    </row>
    <row r="50" spans="1:10" s="779" customFormat="1" ht="21" customHeight="1">
      <c r="A50" s="787">
        <f ca="1">IF(ROWS($1:40)&gt;COUNT(Dong6),"",OFFSET(TH!C$1,SMALL(Dong6,ROWS($1:40)),))</f>
        <v>42213</v>
      </c>
      <c r="B50" s="788" t="str">
        <f ca="1">IF(ROWS($1:40)&gt;COUNT(Dong6),"",OFFSET(TH!D$1,SMALL(Dong6,ROWS($1:40)),))</f>
        <v>C08</v>
      </c>
      <c r="C50" s="787">
        <f ca="1">IF(ROWS($1:40)&gt;COUNT(Dong6),"",OFFSET(TH!E$1,SMALL(Dong6,ROWS($1:40)),))</f>
        <v>42213</v>
      </c>
      <c r="D50" s="789" t="str">
        <f ca="1">IF(ROWS($1:40)&gt;COUNT(Dong6),"",OFFSET(TH!F$1,SMALL(Dong6,ROWS($1:40)),))</f>
        <v>VAT Dầu DO</v>
      </c>
      <c r="E50" s="788">
        <f t="shared" ca="1" si="1"/>
        <v>40</v>
      </c>
      <c r="F50" s="790" t="str">
        <f ca="1">IF(ROWS($1:40)&gt;COUNT(Dong6),"",OFFSET(TH!L$1,SMALL(Dong6,ROWS($1:40)),))</f>
        <v>1331</v>
      </c>
      <c r="G50" s="790" t="str">
        <f ca="1">IF(ROWS($1:40)&gt;COUNT(Dong6),"",OFFSET(TH!M$1,SMALL(Dong6,ROWS($1:40)),))</f>
        <v>1111</v>
      </c>
      <c r="H50" s="678">
        <f ca="1">IF(ROWS($1:40)&gt;COUNT(Dong6),"",OFFSET(TH!K$1,SMALL(Dong6,ROWS($1:40)),))</f>
        <v>636364</v>
      </c>
      <c r="I50" s="678">
        <f ca="1">IF(ROWS($1:40)&gt;COUNT(Dong6),"",OFFSET(TH!K$1,SMALL(Dong6,ROWS($1:40)),))</f>
        <v>636364</v>
      </c>
    </row>
    <row r="51" spans="1:10" s="779" customFormat="1" ht="21" customHeight="1">
      <c r="A51" s="787"/>
      <c r="B51" s="788"/>
      <c r="C51" s="787"/>
      <c r="D51" s="789"/>
      <c r="E51" s="788"/>
      <c r="F51" s="790"/>
      <c r="G51" s="790"/>
      <c r="H51" s="678"/>
      <c r="I51" s="678"/>
    </row>
    <row r="52" spans="1:10" s="779" customFormat="1" ht="21" customHeight="1">
      <c r="A52" s="791"/>
      <c r="B52" s="791"/>
      <c r="C52" s="791"/>
      <c r="D52" s="792" t="s">
        <v>332</v>
      </c>
      <c r="E52" s="793" t="s">
        <v>19</v>
      </c>
      <c r="F52" s="793"/>
      <c r="G52" s="793" t="s">
        <v>19</v>
      </c>
      <c r="H52" s="794">
        <f ca="1">SUBTOTAL(9,$H$10:$H$51)</f>
        <v>4015212088</v>
      </c>
      <c r="I52" s="794">
        <f ca="1">SUBTOTAL(9,I10:I51)</f>
        <v>4015212088</v>
      </c>
    </row>
    <row r="53" spans="1:10" s="779" customFormat="1" ht="15">
      <c r="A53" s="795" t="s">
        <v>403</v>
      </c>
    </row>
    <row r="54" spans="1:10" s="779" customFormat="1" ht="15">
      <c r="A54" s="795" t="str">
        <f ca="1">"- Ngày mở sổ: "&amp;DAY($A$11)&amp;"/"&amp;MONTH($A$11)&amp;"/ " &amp;YEAR($A$11)</f>
        <v>- Ngày mở sổ: 1/7/ 2015</v>
      </c>
    </row>
    <row r="55" spans="1:10" s="779" customFormat="1" ht="15">
      <c r="H55" s="134" t="str">
        <f ca="1">"Ngày "&amp;IF(OR($L$11=4,$L$11=6,$L$11=9,$L$11=11),"30",IF($L$11=2,"28","31"))&amp;" tháng "&amp;$N$8&amp;"  năm  "&amp;YEAR($A$14)</f>
        <v>Ngày 31 tháng 9  năm  2015</v>
      </c>
      <c r="I55" s="796"/>
      <c r="J55" s="796"/>
    </row>
    <row r="56" spans="1:10" s="779" customFormat="1" ht="15">
      <c r="B56" s="796" t="s">
        <v>329</v>
      </c>
      <c r="D56" s="796" t="s">
        <v>12</v>
      </c>
      <c r="H56" s="796" t="s">
        <v>330</v>
      </c>
      <c r="I56" s="796"/>
      <c r="J56" s="796"/>
    </row>
    <row r="57" spans="1:10" s="779" customFormat="1" ht="15">
      <c r="B57" s="796" t="s">
        <v>13</v>
      </c>
      <c r="D57" s="796" t="s">
        <v>13</v>
      </c>
      <c r="H57" s="796" t="s">
        <v>136</v>
      </c>
      <c r="I57" s="796"/>
      <c r="J57" s="796"/>
    </row>
    <row r="58" spans="1:10" s="779" customFormat="1" ht="15"/>
  </sheetData>
  <mergeCells count="10">
    <mergeCell ref="A8:A9"/>
    <mergeCell ref="B8:C8"/>
    <mergeCell ref="D8:D9"/>
    <mergeCell ref="E8:E9"/>
    <mergeCell ref="H8:I8"/>
    <mergeCell ref="F2:I3"/>
    <mergeCell ref="F1:I1"/>
    <mergeCell ref="F8:G8"/>
    <mergeCell ref="M7:N7"/>
    <mergeCell ref="H7:I7"/>
  </mergeCells>
  <dataValidations count="1">
    <dataValidation type="list" allowBlank="1" showInputMessage="1" showErrorMessage="1" sqref="K9">
      <formula1>"Quý I, Quý II, Quý III, Quý IV"</formula1>
    </dataValidation>
  </dataValidations>
  <printOptions horizontalCentered="1"/>
  <pageMargins left="0.1" right="0.6" top="0.2" bottom="0.3" header="0" footer="0"/>
  <pageSetup paperSize="9" scale="80" orientation="portrait" r:id="rId1"/>
  <headerFooter alignWithMargins="0">
    <oddFooter>&amp;RTrang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I46"/>
  <sheetViews>
    <sheetView topLeftCell="A5" workbookViewId="0">
      <pane ySplit="10" topLeftCell="A15" activePane="bottomLeft" state="frozen"/>
      <selection activeCell="A5" sqref="A5"/>
      <selection pane="bottomLeft" activeCell="B16" sqref="B16"/>
    </sheetView>
  </sheetViews>
  <sheetFormatPr defaultRowHeight="15"/>
  <cols>
    <col min="1" max="1" width="7.7109375" style="177" customWidth="1"/>
    <col min="2" max="2" width="6.28515625" style="177" customWidth="1"/>
    <col min="3" max="3" width="7.42578125" style="177" customWidth="1"/>
    <col min="4" max="4" width="34.5703125" style="5" customWidth="1"/>
    <col min="5" max="5" width="6.28515625" style="177" customWidth="1"/>
    <col min="6" max="6" width="14.140625" style="5" customWidth="1"/>
    <col min="7" max="7" width="13.7109375" style="5" customWidth="1"/>
    <col min="8" max="8" width="14" style="5" customWidth="1"/>
    <col min="9" max="9" width="13.7109375" style="5" customWidth="1"/>
    <col min="10" max="16384" width="9.140625" style="5"/>
  </cols>
  <sheetData>
    <row r="2" spans="1:9" ht="15.75" customHeight="1">
      <c r="A2" s="1" t="str">
        <f>TH!A1</f>
        <v>Đơn vị: CÔNG TY TNHH MỘT THÀNH VIÊN KHỞI NGUYÊN AN</v>
      </c>
      <c r="G2" s="1016" t="s">
        <v>145</v>
      </c>
      <c r="H2" s="1016"/>
      <c r="I2" s="1016"/>
    </row>
    <row r="3" spans="1:9" ht="15.75" customHeight="1">
      <c r="A3" s="1" t="str">
        <f>TH!A2</f>
        <v>Địa chỉ: Thửa đất số 144, tờ bản đồ số 12TĐH.1, tổ 1, khu phố Đông Tác, Phường Tân Đông Hiệp, Thị Xã Dĩ An, Tỉnh Bình Dương, Việt Nam</v>
      </c>
      <c r="G3" s="1017" t="str">
        <f ca="1">IF(YEAR($A$15)&gt;=2015,"(Ban hành theo Thông tư số 200/2014/TT-BTC  Ngày 22/12/2014 của Bộ Tài chính)","(Ban hành kèm theo QĐ 48/2006/QĐ-BTC ngày 24/09/2006 của Bộ trưởng BTC)")</f>
        <v>(Ban hành theo Thông tư số 200/2014/TT-BTC  Ngày 22/12/2014 của Bộ Tài chính)</v>
      </c>
      <c r="H3" s="1017"/>
      <c r="I3" s="1017"/>
    </row>
    <row r="4" spans="1:9">
      <c r="F4" s="17"/>
      <c r="G4" s="1017"/>
      <c r="H4" s="1017"/>
      <c r="I4" s="1017"/>
    </row>
    <row r="5" spans="1:9" ht="17.25" customHeight="1">
      <c r="A5" s="1018" t="s">
        <v>146</v>
      </c>
      <c r="B5" s="1018"/>
      <c r="C5" s="1018"/>
      <c r="D5" s="1018"/>
      <c r="E5" s="1018"/>
      <c r="F5" s="1018"/>
      <c r="G5" s="1018"/>
      <c r="H5" s="1018"/>
      <c r="I5" s="1018"/>
    </row>
    <row r="6" spans="1:9">
      <c r="A6" s="1019" t="s">
        <v>147</v>
      </c>
      <c r="B6" s="1020"/>
      <c r="C6" s="1020"/>
      <c r="D6" s="1020"/>
      <c r="E6" s="1020"/>
      <c r="F6" s="1020"/>
      <c r="G6" s="1020"/>
      <c r="H6" s="1020"/>
      <c r="I6" s="1020"/>
    </row>
    <row r="7" spans="1:9">
      <c r="B7" s="5"/>
      <c r="C7" s="5"/>
      <c r="D7" s="183" t="s">
        <v>148</v>
      </c>
      <c r="E7" s="184" t="s">
        <v>83</v>
      </c>
    </row>
    <row r="8" spans="1:9">
      <c r="B8" s="5"/>
      <c r="C8" s="5"/>
      <c r="D8" s="183" t="s">
        <v>149</v>
      </c>
      <c r="E8" s="5" t="str">
        <f>VLOOKUP($E$7,DSTK,2,0)</f>
        <v xml:space="preserve"> Chi phí quản lý doanh nghiệp </v>
      </c>
    </row>
    <row r="9" spans="1:9">
      <c r="A9" s="1020" t="s">
        <v>29</v>
      </c>
      <c r="B9" s="1021"/>
      <c r="C9" s="1021"/>
      <c r="D9" s="1021"/>
      <c r="E9" s="1021"/>
      <c r="F9" s="1021"/>
      <c r="G9" s="1021"/>
      <c r="H9" s="1021"/>
      <c r="I9" s="1021"/>
    </row>
    <row r="10" spans="1:9" ht="9.75" customHeight="1">
      <c r="C10" s="1022"/>
      <c r="D10" s="1023"/>
      <c r="E10" s="1023"/>
      <c r="F10" s="1023"/>
      <c r="G10" s="1023"/>
      <c r="H10" s="1023"/>
      <c r="I10" s="1023"/>
    </row>
    <row r="11" spans="1:9" s="18" customFormat="1" ht="19.5" customHeight="1">
      <c r="A11" s="1024" t="s">
        <v>20</v>
      </c>
      <c r="B11" s="1014" t="s">
        <v>1</v>
      </c>
      <c r="C11" s="1025"/>
      <c r="D11" s="1024" t="s">
        <v>0</v>
      </c>
      <c r="E11" s="1024" t="s">
        <v>14</v>
      </c>
      <c r="F11" s="1014" t="s">
        <v>21</v>
      </c>
      <c r="G11" s="1025"/>
      <c r="H11" s="1014" t="s">
        <v>31</v>
      </c>
      <c r="I11" s="1015"/>
    </row>
    <row r="12" spans="1:9" s="18" customFormat="1" ht="32.25" customHeight="1">
      <c r="A12" s="1024"/>
      <c r="B12" s="228" t="s">
        <v>15</v>
      </c>
      <c r="C12" s="228" t="s">
        <v>32</v>
      </c>
      <c r="D12" s="1024"/>
      <c r="E12" s="1024"/>
      <c r="F12" s="228" t="s">
        <v>22</v>
      </c>
      <c r="G12" s="228" t="s">
        <v>23</v>
      </c>
      <c r="H12" s="228" t="s">
        <v>22</v>
      </c>
      <c r="I12" s="228" t="s">
        <v>23</v>
      </c>
    </row>
    <row r="13" spans="1:9" s="205" customFormat="1" ht="11.25" customHeight="1">
      <c r="A13" s="206" t="s">
        <v>2</v>
      </c>
      <c r="B13" s="207" t="s">
        <v>3</v>
      </c>
      <c r="C13" s="206" t="s">
        <v>4</v>
      </c>
      <c r="D13" s="206" t="s">
        <v>5</v>
      </c>
      <c r="E13" s="206" t="s">
        <v>6</v>
      </c>
      <c r="F13" s="206">
        <v>1</v>
      </c>
      <c r="G13" s="206">
        <v>2</v>
      </c>
      <c r="H13" s="206">
        <v>3</v>
      </c>
      <c r="I13" s="206">
        <v>4</v>
      </c>
    </row>
    <row r="14" spans="1:9" s="18" customFormat="1" ht="18" customHeight="1">
      <c r="A14" s="229"/>
      <c r="B14" s="224"/>
      <c r="C14" s="229"/>
      <c r="D14" s="223" t="s">
        <v>7</v>
      </c>
      <c r="E14" s="224"/>
      <c r="F14" s="230"/>
      <c r="G14" s="230"/>
      <c r="H14" s="230">
        <f>VLOOKUP($E$7,DSTK,3,0)</f>
        <v>0</v>
      </c>
      <c r="I14" s="230">
        <f>VLOOKUP($E$7,DSTK,4,0)</f>
        <v>0</v>
      </c>
    </row>
    <row r="15" spans="1:9" s="18" customFormat="1" ht="18" customHeight="1">
      <c r="A15" s="196">
        <f ca="1">IF(ROWS($1:1)&gt;COUNT(Dong5),"",OFFSET(TH!C$1,SMALL(Dong5,ROWS($1:1)),))</f>
        <v>42369</v>
      </c>
      <c r="B15" s="196" t="str">
        <f ca="1">IF(ROWS($1:1)&gt;COUNT(Dong5),"",OFFSET(TH!D$1,SMALL(Dong5,ROWS($1:1)),))</f>
        <v>BTKC</v>
      </c>
      <c r="C15" s="196">
        <f ca="1">IF(ROWS($1:1)&gt;COUNT(Dong5),"",OFFSET(TH!E$1,SMALL(Dong5,ROWS($1:1)),))</f>
        <v>42369</v>
      </c>
      <c r="D15" s="231" t="str">
        <f ca="1">IF(ROWS($1:1)&gt;COUNT(Dong5),"",OFFSET(TH!F$1,SMALL(Dong5,ROWS($1:1)),))</f>
        <v>K/C chi phí quản lý doanh nghiệp</v>
      </c>
      <c r="E15" s="196" t="str">
        <f ca="1">IF(ROWS($1:1)&gt;COUNT(Dong5),"",IF(OFFSET(TH!L$1,SMALL(Dong5,ROWS($1:1)),)=$E$7,OFFSET(TH!M$1,SMALL(Dong5,ROWS($1:1)),),OFFSET(TH!L$1,SMALL(Dong5,ROWS($1:1)),)))</f>
        <v>911</v>
      </c>
      <c r="F15" s="232">
        <f ca="1">IF(ROWS($1:1)&gt;COUNT(Dong5),0,IF(OFFSET(TH!L$1,SMALL(Dong5,ROWS($1:1)),)=$E$7,OFFSET(TH!K$1,SMALL(Dong5,ROWS($1:1)),),0))</f>
        <v>0</v>
      </c>
      <c r="G15" s="230">
        <f ca="1">IF(ROWS($1:1)&gt;COUNT(Dong5),0,IF(OFFSET(TH!M$1,SMALL(Dong5,ROWS($1:1)),)=$E$7,OFFSET(TH!K$1,SMALL(Dong5,ROWS($1:1)),),0))</f>
        <v>379818290</v>
      </c>
      <c r="H15" s="233">
        <f ca="1">IF(D15&lt;&gt;"",MAX(H14+F15-G15-I14,0),0)</f>
        <v>0</v>
      </c>
      <c r="I15" s="233">
        <f ca="1">IF(D15&lt;&gt;"",MAX(I14+G15-H14-F15,0),0)</f>
        <v>379818290</v>
      </c>
    </row>
    <row r="16" spans="1:9" s="18" customFormat="1" ht="18" customHeight="1">
      <c r="A16" s="196">
        <f ca="1">IF(ROWS($1:2)&gt;COUNT(Dong5),"",OFFSET(TH!C$1,SMALL(Dong5,ROWS($1:2)),))</f>
        <v>42024</v>
      </c>
      <c r="B16" s="196" t="str">
        <f ca="1">IF(ROWS($1:2)&gt;COUNT(Dong5),"",OFFSET(TH!D$1,SMALL(Dong5,ROWS($1:2)),))</f>
        <v>GBN</v>
      </c>
      <c r="C16" s="196">
        <f ca="1">IF(ROWS($1:2)&gt;COUNT(Dong5),"",OFFSET(TH!E$1,SMALL(Dong5,ROWS($1:2)),))</f>
        <v>42024</v>
      </c>
      <c r="D16" s="231" t="str">
        <f ca="1">IF(ROWS($1:2)&gt;COUNT(Dong5),"",OFFSET(TH!F$1,SMALL(Dong5,ROWS($1:2)),))</f>
        <v>Thu phí dịch vụ SMS</v>
      </c>
      <c r="E16" s="196" t="str">
        <f ca="1">IF(ROWS($1:2)&gt;COUNT(Dong5),"",IF(OFFSET(TH!L$1,SMALL(Dong5,ROWS($1:2)),)=$E$7,OFFSET(TH!M$1,SMALL(Dong5,ROWS($1:2)),),OFFSET(TH!L$1,SMALL(Dong5,ROWS($1:2)),)))</f>
        <v>1121</v>
      </c>
      <c r="F16" s="232">
        <f ca="1">IF(ROWS($1:2)&gt;COUNT(Dong5),0,IF(OFFSET(TH!L$1,SMALL(Dong5,ROWS($1:2)),)=$E$7,OFFSET(TH!K$1,SMALL(Dong5,ROWS($1:2)),),0))</f>
        <v>55000</v>
      </c>
      <c r="G16" s="230">
        <f ca="1">IF(ROWS($1:2)&gt;COUNT(Dong5),0,IF(OFFSET(TH!M$1,SMALL(Dong5,ROWS($1:2)),)=$E$7,OFFSET(TH!K$1,SMALL(Dong5,ROWS($1:2)),),0))</f>
        <v>0</v>
      </c>
      <c r="H16" s="233">
        <f t="shared" ref="H16:H20" ca="1" si="0">IF(D16&lt;&gt;"",MAX(H15+F16-G16-I15,0),0)</f>
        <v>0</v>
      </c>
      <c r="I16" s="233">
        <f t="shared" ref="I16:I20" ca="1" si="1">IF(D16&lt;&gt;"",MAX(I15+G16-H15-F16,0),0)</f>
        <v>379763290</v>
      </c>
    </row>
    <row r="17" spans="1:9" s="18" customFormat="1" ht="18" customHeight="1">
      <c r="A17" s="196">
        <f ca="1">IF(ROWS($1:3)&gt;COUNT(Dong5),"",OFFSET(TH!C$1,SMALL(Dong5,ROWS($1:3)),))</f>
        <v>42029</v>
      </c>
      <c r="B17" s="196" t="str">
        <f ca="1">IF(ROWS($1:3)&gt;COUNT(Dong5),"",OFFSET(TH!D$1,SMALL(Dong5,ROWS($1:3)),))</f>
        <v>GBN</v>
      </c>
      <c r="C17" s="196">
        <f ca="1">IF(ROWS($1:3)&gt;COUNT(Dong5),"",OFFSET(TH!E$1,SMALL(Dong5,ROWS($1:3)),))</f>
        <v>42029</v>
      </c>
      <c r="D17" s="231" t="str">
        <f ca="1">IF(ROWS($1:3)&gt;COUNT(Dong5),"",OFFSET(TH!F$1,SMALL(Dong5,ROWS($1:3)),))</f>
        <v>Phí quản lý tài khoản</v>
      </c>
      <c r="E17" s="196" t="str">
        <f ca="1">IF(ROWS($1:3)&gt;COUNT(Dong5),"",IF(OFFSET(TH!L$1,SMALL(Dong5,ROWS($1:3)),)=$E$7,OFFSET(TH!M$1,SMALL(Dong5,ROWS($1:3)),),OFFSET(TH!L$1,SMALL(Dong5,ROWS($1:3)),)))</f>
        <v>1121</v>
      </c>
      <c r="F17" s="232">
        <f ca="1">IF(ROWS($1:3)&gt;COUNT(Dong5),0,IF(OFFSET(TH!L$1,SMALL(Dong5,ROWS($1:3)),)=$E$7,OFFSET(TH!K$1,SMALL(Dong5,ROWS($1:3)),),0))</f>
        <v>11000</v>
      </c>
      <c r="G17" s="230">
        <f ca="1">IF(ROWS($1:3)&gt;COUNT(Dong5),0,IF(OFFSET(TH!M$1,SMALL(Dong5,ROWS($1:3)),)=$E$7,OFFSET(TH!K$1,SMALL(Dong5,ROWS($1:3)),),0))</f>
        <v>0</v>
      </c>
      <c r="H17" s="233">
        <f t="shared" ca="1" si="0"/>
        <v>0</v>
      </c>
      <c r="I17" s="233">
        <f t="shared" ca="1" si="1"/>
        <v>379752290</v>
      </c>
    </row>
    <row r="18" spans="1:9" s="18" customFormat="1" ht="18" customHeight="1">
      <c r="A18" s="196">
        <f ca="1">IF(ROWS($1:4)&gt;COUNT(Dong5),"",OFFSET(TH!C$1,SMALL(Dong5,ROWS($1:4)),))</f>
        <v>42034</v>
      </c>
      <c r="B18" s="196" t="str">
        <f ca="1">IF(ROWS($1:4)&gt;COUNT(Dong5),"",OFFSET(TH!D$1,SMALL(Dong5,ROWS($1:4)),))</f>
        <v>C05</v>
      </c>
      <c r="C18" s="196">
        <f ca="1">IF(ROWS($1:4)&gt;COUNT(Dong5),"",OFFSET(TH!E$1,SMALL(Dong5,ROWS($1:4)),))</f>
        <v>42034</v>
      </c>
      <c r="D18" s="231" t="str">
        <f ca="1">IF(ROWS($1:4)&gt;COUNT(Dong5),"",OFFSET(TH!F$1,SMALL(Dong5,ROWS($1:4)),))</f>
        <v>Thanh toán tiền thuê xe - Tháng 1</v>
      </c>
      <c r="E18" s="196" t="str">
        <f ca="1">IF(ROWS($1:4)&gt;COUNT(Dong5),"",IF(OFFSET(TH!L$1,SMALL(Dong5,ROWS($1:4)),)=$E$7,OFFSET(TH!M$1,SMALL(Dong5,ROWS($1:4)),),OFFSET(TH!L$1,SMALL(Dong5,ROWS($1:4)),)))</f>
        <v>1111</v>
      </c>
      <c r="F18" s="232">
        <f ca="1">IF(ROWS($1:4)&gt;COUNT(Dong5),0,IF(OFFSET(TH!L$1,SMALL(Dong5,ROWS($1:4)),)=$E$7,OFFSET(TH!K$1,SMALL(Dong5,ROWS($1:4)),),0))</f>
        <v>5000000</v>
      </c>
      <c r="G18" s="230">
        <f ca="1">IF(ROWS($1:4)&gt;COUNT(Dong5),0,IF(OFFSET(TH!M$1,SMALL(Dong5,ROWS($1:4)),)=$E$7,OFFSET(TH!K$1,SMALL(Dong5,ROWS($1:4)),),0))</f>
        <v>0</v>
      </c>
      <c r="H18" s="233">
        <f t="shared" ca="1" si="0"/>
        <v>0</v>
      </c>
      <c r="I18" s="233">
        <f t="shared" ca="1" si="1"/>
        <v>374752290</v>
      </c>
    </row>
    <row r="19" spans="1:9" s="18" customFormat="1" ht="18" customHeight="1">
      <c r="A19" s="196">
        <f ca="1">IF(ROWS($1:5)&gt;COUNT(Dong5),"",OFFSET(TH!C$1,SMALL(Dong5,ROWS($1:5)),))</f>
        <v>42035</v>
      </c>
      <c r="B19" s="196" t="str">
        <f ca="1">IF(ROWS($1:5)&gt;COUNT(Dong5),"",OFFSET(TH!D$1,SMALL(Dong5,ROWS($1:5)),))</f>
        <v>CTGS</v>
      </c>
      <c r="C19" s="196">
        <f ca="1">IF(ROWS($1:5)&gt;COUNT(Dong5),"",OFFSET(TH!E$1,SMALL(Dong5,ROWS($1:5)),))</f>
        <v>42035</v>
      </c>
      <c r="D19" s="231" t="str">
        <f ca="1">IF(ROWS($1:5)&gt;COUNT(Dong5),"",OFFSET(TH!F$1,SMALL(Dong5,ROWS($1:5)),))</f>
        <v>Lương bộ phận quản lý</v>
      </c>
      <c r="E19" s="196" t="str">
        <f ca="1">IF(ROWS($1:5)&gt;COUNT(Dong5),"",IF(OFFSET(TH!L$1,SMALL(Dong5,ROWS($1:5)),)=$E$7,OFFSET(TH!M$1,SMALL(Dong5,ROWS($1:5)),),OFFSET(TH!L$1,SMALL(Dong5,ROWS($1:5)),)))</f>
        <v>3341</v>
      </c>
      <c r="F19" s="232">
        <f ca="1">IF(ROWS($1:5)&gt;COUNT(Dong5),0,IF(OFFSET(TH!L$1,SMALL(Dong5,ROWS($1:5)),)=$E$7,OFFSET(TH!K$1,SMALL(Dong5,ROWS($1:5)),),0))</f>
        <v>11680000</v>
      </c>
      <c r="G19" s="230">
        <f ca="1">IF(ROWS($1:5)&gt;COUNT(Dong5),0,IF(OFFSET(TH!M$1,SMALL(Dong5,ROWS($1:5)),)=$E$7,OFFSET(TH!K$1,SMALL(Dong5,ROWS($1:5)),),0))</f>
        <v>0</v>
      </c>
      <c r="H19" s="233">
        <f t="shared" ca="1" si="0"/>
        <v>0</v>
      </c>
      <c r="I19" s="233">
        <f t="shared" ca="1" si="1"/>
        <v>363072290</v>
      </c>
    </row>
    <row r="20" spans="1:9" s="18" customFormat="1" ht="18" customHeight="1">
      <c r="A20" s="196">
        <f ca="1">IF(ROWS($1:6)&gt;COUNT(Dong5),"",OFFSET(TH!C$1,SMALL(Dong5,ROWS($1:6)),))</f>
        <v>42035</v>
      </c>
      <c r="B20" s="196" t="str">
        <f ca="1">IF(ROWS($1:6)&gt;COUNT(Dong5),"",OFFSET(TH!D$1,SMALL(Dong5,ROWS($1:6)),))</f>
        <v>C07</v>
      </c>
      <c r="C20" s="196">
        <f ca="1">IF(ROWS($1:6)&gt;COUNT(Dong5),"",OFFSET(TH!E$1,SMALL(Dong5,ROWS($1:6)),))</f>
        <v>42035</v>
      </c>
      <c r="D20" s="231" t="str">
        <f ca="1">IF(ROWS($1:6)&gt;COUNT(Dong5),"",OFFSET(TH!F$1,SMALL(Dong5,ROWS($1:6)),))</f>
        <v>Dầu DO</v>
      </c>
      <c r="E20" s="196" t="str">
        <f ca="1">IF(ROWS($1:6)&gt;COUNT(Dong5),"",IF(OFFSET(TH!L$1,SMALL(Dong5,ROWS($1:6)),)=$E$7,OFFSET(TH!M$1,SMALL(Dong5,ROWS($1:6)),),OFFSET(TH!L$1,SMALL(Dong5,ROWS($1:6)),)))</f>
        <v>1111</v>
      </c>
      <c r="F20" s="232">
        <f ca="1">IF(ROWS($1:6)&gt;COUNT(Dong5),0,IF(OFFSET(TH!L$1,SMALL(Dong5,ROWS($1:6)),)=$E$7,OFFSET(TH!K$1,SMALL(Dong5,ROWS($1:6)),),0))</f>
        <v>1820400</v>
      </c>
      <c r="G20" s="230">
        <f ca="1">IF(ROWS($1:6)&gt;COUNT(Dong5),0,IF(OFFSET(TH!M$1,SMALL(Dong5,ROWS($1:6)),)=$E$7,OFFSET(TH!K$1,SMALL(Dong5,ROWS($1:6)),),0))</f>
        <v>0</v>
      </c>
      <c r="H20" s="233">
        <f t="shared" ca="1" si="0"/>
        <v>0</v>
      </c>
      <c r="I20" s="233">
        <f t="shared" ca="1" si="1"/>
        <v>361251890</v>
      </c>
    </row>
    <row r="21" spans="1:9" s="18" customFormat="1" ht="18" customHeight="1">
      <c r="A21" s="196">
        <f ca="1">IF(ROWS($1:7)&gt;COUNT(Dong5),"",OFFSET(TH!C$1,SMALL(Dong5,ROWS($1:7)),))</f>
        <v>42035</v>
      </c>
      <c r="B21" s="196" t="str">
        <f ca="1">IF(ROWS($1:7)&gt;COUNT(Dong5),"",OFFSET(TH!D$1,SMALL(Dong5,ROWS($1:7)),))</f>
        <v>C08</v>
      </c>
      <c r="C21" s="196">
        <f ca="1">IF(ROWS($1:7)&gt;COUNT(Dong5),"",OFFSET(TH!E$1,SMALL(Dong5,ROWS($1:7)),))</f>
        <v>42035</v>
      </c>
      <c r="D21" s="231" t="str">
        <f ca="1">IF(ROWS($1:7)&gt;COUNT(Dong5),"",OFFSET(TH!F$1,SMALL(Dong5,ROWS($1:7)),))</f>
        <v>Điện thoại</v>
      </c>
      <c r="E21" s="196" t="str">
        <f ca="1">IF(ROWS($1:7)&gt;COUNT(Dong5),"",IF(OFFSET(TH!L$1,SMALL(Dong5,ROWS($1:7)),)=$E$7,OFFSET(TH!M$1,SMALL(Dong5,ROWS($1:7)),),OFFSET(TH!L$1,SMALL(Dong5,ROWS($1:7)),)))</f>
        <v>1111</v>
      </c>
      <c r="F21" s="232">
        <f ca="1">IF(ROWS($1:7)&gt;COUNT(Dong5),0,IF(OFFSET(TH!L$1,SMALL(Dong5,ROWS($1:7)),)=$E$7,OFFSET(TH!K$1,SMALL(Dong5,ROWS($1:7)),),0))</f>
        <v>16090000</v>
      </c>
      <c r="G21" s="230">
        <f ca="1">IF(ROWS($1:7)&gt;COUNT(Dong5),0,IF(OFFSET(TH!M$1,SMALL(Dong5,ROWS($1:7)),)=$E$7,OFFSET(TH!K$1,SMALL(Dong5,ROWS($1:7)),),0))</f>
        <v>0</v>
      </c>
      <c r="H21" s="233">
        <f t="shared" ref="H21:H29" ca="1" si="2">IF(D21&lt;&gt;"",MAX(H20+F21-G21-I20,0),0)</f>
        <v>0</v>
      </c>
      <c r="I21" s="233">
        <f t="shared" ref="I21:I29" ca="1" si="3">IF(D21&lt;&gt;"",MAX(I20+G21-H20-F21,0),0)</f>
        <v>345161890</v>
      </c>
    </row>
    <row r="22" spans="1:9" s="18" customFormat="1" ht="18" customHeight="1">
      <c r="A22" s="196">
        <f ca="1">IF(ROWS($1:8)&gt;COUNT(Dong5),"",OFFSET(TH!C$1,SMALL(Dong5,ROWS($1:8)),))</f>
        <v>42049</v>
      </c>
      <c r="B22" s="196" t="str">
        <f ca="1">IF(ROWS($1:8)&gt;COUNT(Dong5),"",OFFSET(TH!D$1,SMALL(Dong5,ROWS($1:8)),))</f>
        <v>GBN</v>
      </c>
      <c r="C22" s="196">
        <f ca="1">IF(ROWS($1:8)&gt;COUNT(Dong5),"",OFFSET(TH!E$1,SMALL(Dong5,ROWS($1:8)),))</f>
        <v>42049</v>
      </c>
      <c r="D22" s="231" t="str">
        <f ca="1">IF(ROWS($1:8)&gt;COUNT(Dong5),"",OFFSET(TH!F$1,SMALL(Dong5,ROWS($1:8)),))</f>
        <v>Thu phí dịch vụ SMS</v>
      </c>
      <c r="E22" s="196" t="str">
        <f ca="1">IF(ROWS($1:8)&gt;COUNT(Dong5),"",IF(OFFSET(TH!L$1,SMALL(Dong5,ROWS($1:8)),)=$E$7,OFFSET(TH!M$1,SMALL(Dong5,ROWS($1:8)),),OFFSET(TH!L$1,SMALL(Dong5,ROWS($1:8)),)))</f>
        <v>1121</v>
      </c>
      <c r="F22" s="232">
        <f ca="1">IF(ROWS($1:8)&gt;COUNT(Dong5),0,IF(OFFSET(TH!L$1,SMALL(Dong5,ROWS($1:8)),)=$E$7,OFFSET(TH!K$1,SMALL(Dong5,ROWS($1:8)),),0))</f>
        <v>55000</v>
      </c>
      <c r="G22" s="230">
        <f ca="1">IF(ROWS($1:8)&gt;COUNT(Dong5),0,IF(OFFSET(TH!M$1,SMALL(Dong5,ROWS($1:8)),)=$E$7,OFFSET(TH!K$1,SMALL(Dong5,ROWS($1:8)),),0))</f>
        <v>0</v>
      </c>
      <c r="H22" s="233">
        <f t="shared" ca="1" si="2"/>
        <v>0</v>
      </c>
      <c r="I22" s="233">
        <f t="shared" ca="1" si="3"/>
        <v>345106890</v>
      </c>
    </row>
    <row r="23" spans="1:9" s="18" customFormat="1" ht="18" customHeight="1">
      <c r="A23" s="196">
        <f ca="1">IF(ROWS($1:9)&gt;COUNT(Dong5),"",OFFSET(TH!C$1,SMALL(Dong5,ROWS($1:9)),))</f>
        <v>42060</v>
      </c>
      <c r="B23" s="196" t="str">
        <f ca="1">IF(ROWS($1:9)&gt;COUNT(Dong5),"",OFFSET(TH!D$1,SMALL(Dong5,ROWS($1:9)),))</f>
        <v>GBN</v>
      </c>
      <c r="C23" s="196">
        <f ca="1">IF(ROWS($1:9)&gt;COUNT(Dong5),"",OFFSET(TH!E$1,SMALL(Dong5,ROWS($1:9)),))</f>
        <v>42060</v>
      </c>
      <c r="D23" s="231" t="str">
        <f ca="1">IF(ROWS($1:9)&gt;COUNT(Dong5),"",OFFSET(TH!F$1,SMALL(Dong5,ROWS($1:9)),))</f>
        <v>Phí quản lý tài khoản</v>
      </c>
      <c r="E23" s="196" t="str">
        <f ca="1">IF(ROWS($1:9)&gt;COUNT(Dong5),"",IF(OFFSET(TH!L$1,SMALL(Dong5,ROWS($1:9)),)=$E$7,OFFSET(TH!M$1,SMALL(Dong5,ROWS($1:9)),),OFFSET(TH!L$1,SMALL(Dong5,ROWS($1:9)),)))</f>
        <v>1121</v>
      </c>
      <c r="F23" s="232">
        <f ca="1">IF(ROWS($1:9)&gt;COUNT(Dong5),0,IF(OFFSET(TH!L$1,SMALL(Dong5,ROWS($1:9)),)=$E$7,OFFSET(TH!K$1,SMALL(Dong5,ROWS($1:9)),),0))</f>
        <v>11000</v>
      </c>
      <c r="G23" s="230">
        <f ca="1">IF(ROWS($1:9)&gt;COUNT(Dong5),0,IF(OFFSET(TH!M$1,SMALL(Dong5,ROWS($1:9)),)=$E$7,OFFSET(TH!K$1,SMALL(Dong5,ROWS($1:9)),),0))</f>
        <v>0</v>
      </c>
      <c r="H23" s="233">
        <f t="shared" ca="1" si="2"/>
        <v>0</v>
      </c>
      <c r="I23" s="233">
        <f t="shared" ca="1" si="3"/>
        <v>345095890</v>
      </c>
    </row>
    <row r="24" spans="1:9" s="18" customFormat="1" ht="18" customHeight="1">
      <c r="A24" s="196">
        <f ca="1">IF(ROWS($1:10)&gt;COUNT(Dong5),"",OFFSET(TH!C$1,SMALL(Dong5,ROWS($1:10)),))</f>
        <v>42063</v>
      </c>
      <c r="B24" s="196" t="str">
        <f ca="1">IF(ROWS($1:10)&gt;COUNT(Dong5),"",OFFSET(TH!D$1,SMALL(Dong5,ROWS($1:10)),))</f>
        <v>CTGS</v>
      </c>
      <c r="C24" s="196">
        <f ca="1">IF(ROWS($1:10)&gt;COUNT(Dong5),"",OFFSET(TH!E$1,SMALL(Dong5,ROWS($1:10)),))</f>
        <v>42063</v>
      </c>
      <c r="D24" s="231" t="str">
        <f ca="1">IF(ROWS($1:10)&gt;COUNT(Dong5),"",OFFSET(TH!F$1,SMALL(Dong5,ROWS($1:10)),))</f>
        <v>Lương bộ phận quản lý</v>
      </c>
      <c r="E24" s="196" t="str">
        <f ca="1">IF(ROWS($1:10)&gt;COUNT(Dong5),"",IF(OFFSET(TH!L$1,SMALL(Dong5,ROWS($1:10)),)=$E$7,OFFSET(TH!M$1,SMALL(Dong5,ROWS($1:10)),),OFFSET(TH!L$1,SMALL(Dong5,ROWS($1:10)),)))</f>
        <v>3341</v>
      </c>
      <c r="F24" s="232">
        <f ca="1">IF(ROWS($1:10)&gt;COUNT(Dong5),0,IF(OFFSET(TH!L$1,SMALL(Dong5,ROWS($1:10)),)=$E$7,OFFSET(TH!K$1,SMALL(Dong5,ROWS($1:10)),),0))</f>
        <v>11520000</v>
      </c>
      <c r="G24" s="230">
        <f ca="1">IF(ROWS($1:10)&gt;COUNT(Dong5),0,IF(OFFSET(TH!M$1,SMALL(Dong5,ROWS($1:10)),)=$E$7,OFFSET(TH!K$1,SMALL(Dong5,ROWS($1:10)),),0))</f>
        <v>0</v>
      </c>
      <c r="H24" s="233">
        <f t="shared" ca="1" si="2"/>
        <v>0</v>
      </c>
      <c r="I24" s="233">
        <f t="shared" ca="1" si="3"/>
        <v>333575890</v>
      </c>
    </row>
    <row r="25" spans="1:9" s="18" customFormat="1" ht="18" customHeight="1">
      <c r="A25" s="196">
        <f ca="1">IF(ROWS($1:11)&gt;COUNT(Dong5),"",OFFSET(TH!C$1,SMALL(Dong5,ROWS($1:11)),))</f>
        <v>42063</v>
      </c>
      <c r="B25" s="196" t="str">
        <f ca="1">IF(ROWS($1:11)&gt;COUNT(Dong5),"",OFFSET(TH!D$1,SMALL(Dong5,ROWS($1:11)),))</f>
        <v>C11</v>
      </c>
      <c r="C25" s="196">
        <f ca="1">IF(ROWS($1:11)&gt;COUNT(Dong5),"",OFFSET(TH!E$1,SMALL(Dong5,ROWS($1:11)),))</f>
        <v>42063</v>
      </c>
      <c r="D25" s="231" t="str">
        <f ca="1">IF(ROWS($1:11)&gt;COUNT(Dong5),"",OFFSET(TH!F$1,SMALL(Dong5,ROWS($1:11)),))</f>
        <v>Thanh toán tiền thuê xe - Tháng 2</v>
      </c>
      <c r="E25" s="196" t="str">
        <f ca="1">IF(ROWS($1:11)&gt;COUNT(Dong5),"",IF(OFFSET(TH!L$1,SMALL(Dong5,ROWS($1:11)),)=$E$7,OFFSET(TH!M$1,SMALL(Dong5,ROWS($1:11)),),OFFSET(TH!L$1,SMALL(Dong5,ROWS($1:11)),)))</f>
        <v>1111</v>
      </c>
      <c r="F25" s="232">
        <f ca="1">IF(ROWS($1:11)&gt;COUNT(Dong5),0,IF(OFFSET(TH!L$1,SMALL(Dong5,ROWS($1:11)),)=$E$7,OFFSET(TH!K$1,SMALL(Dong5,ROWS($1:11)),),0))</f>
        <v>5000000</v>
      </c>
      <c r="G25" s="230">
        <f ca="1">IF(ROWS($1:11)&gt;COUNT(Dong5),0,IF(OFFSET(TH!M$1,SMALL(Dong5,ROWS($1:11)),)=$E$7,OFFSET(TH!K$1,SMALL(Dong5,ROWS($1:11)),),0))</f>
        <v>0</v>
      </c>
      <c r="H25" s="233">
        <f t="shared" ca="1" si="2"/>
        <v>0</v>
      </c>
      <c r="I25" s="233">
        <f t="shared" ca="1" si="3"/>
        <v>328575890</v>
      </c>
    </row>
    <row r="26" spans="1:9" s="18" customFormat="1" ht="18" customHeight="1">
      <c r="A26" s="196">
        <f ca="1">IF(ROWS($1:12)&gt;COUNT(Dong5),"",OFFSET(TH!C$1,SMALL(Dong5,ROWS($1:12)),))</f>
        <v>42072</v>
      </c>
      <c r="B26" s="196" t="str">
        <f ca="1">IF(ROWS($1:12)&gt;COUNT(Dong5),"",OFFSET(TH!D$1,SMALL(Dong5,ROWS($1:12)),))</f>
        <v>GBN</v>
      </c>
      <c r="C26" s="196">
        <f ca="1">IF(ROWS($1:12)&gt;COUNT(Dong5),"",OFFSET(TH!E$1,SMALL(Dong5,ROWS($1:12)),))</f>
        <v>42072</v>
      </c>
      <c r="D26" s="231" t="str">
        <f ca="1">IF(ROWS($1:12)&gt;COUNT(Dong5),"",OFFSET(TH!F$1,SMALL(Dong5,ROWS($1:12)),))</f>
        <v>Thu phí dịch vụ SMS</v>
      </c>
      <c r="E26" s="196" t="str">
        <f ca="1">IF(ROWS($1:12)&gt;COUNT(Dong5),"",IF(OFFSET(TH!L$1,SMALL(Dong5,ROWS($1:12)),)=$E$7,OFFSET(TH!M$1,SMALL(Dong5,ROWS($1:12)),),OFFSET(TH!L$1,SMALL(Dong5,ROWS($1:12)),)))</f>
        <v>1121</v>
      </c>
      <c r="F26" s="232">
        <f ca="1">IF(ROWS($1:12)&gt;COUNT(Dong5),0,IF(OFFSET(TH!L$1,SMALL(Dong5,ROWS($1:12)),)=$E$7,OFFSET(TH!K$1,SMALL(Dong5,ROWS($1:12)),),0))</f>
        <v>55000</v>
      </c>
      <c r="G26" s="230">
        <f ca="1">IF(ROWS($1:12)&gt;COUNT(Dong5),0,IF(OFFSET(TH!M$1,SMALL(Dong5,ROWS($1:12)),)=$E$7,OFFSET(TH!K$1,SMALL(Dong5,ROWS($1:12)),),0))</f>
        <v>0</v>
      </c>
      <c r="H26" s="233">
        <f t="shared" ca="1" si="2"/>
        <v>0</v>
      </c>
      <c r="I26" s="233">
        <f t="shared" ca="1" si="3"/>
        <v>328520890</v>
      </c>
    </row>
    <row r="27" spans="1:9" s="18" customFormat="1" ht="18" customHeight="1">
      <c r="A27" s="196">
        <f ca="1">IF(ROWS($1:13)&gt;COUNT(Dong5),"",OFFSET(TH!C$1,SMALL(Dong5,ROWS($1:13)),))</f>
        <v>42076</v>
      </c>
      <c r="B27" s="196" t="str">
        <f ca="1">IF(ROWS($1:13)&gt;COUNT(Dong5),"",OFFSET(TH!D$1,SMALL(Dong5,ROWS($1:13)),))</f>
        <v>C14</v>
      </c>
      <c r="C27" s="196">
        <f ca="1">IF(ROWS($1:13)&gt;COUNT(Dong5),"",OFFSET(TH!E$1,SMALL(Dong5,ROWS($1:13)),))</f>
        <v>42076</v>
      </c>
      <c r="D27" s="231" t="str">
        <f ca="1">IF(ROWS($1:13)&gt;COUNT(Dong5),"",OFFSET(TH!F$1,SMALL(Dong5,ROWS($1:13)),))</f>
        <v>Chữ ký số</v>
      </c>
      <c r="E27" s="196" t="str">
        <f ca="1">IF(ROWS($1:13)&gt;COUNT(Dong5),"",IF(OFFSET(TH!L$1,SMALL(Dong5,ROWS($1:13)),)=$E$7,OFFSET(TH!M$1,SMALL(Dong5,ROWS($1:13)),),OFFSET(TH!L$1,SMALL(Dong5,ROWS($1:13)),)))</f>
        <v>1111</v>
      </c>
      <c r="F27" s="232">
        <f ca="1">IF(ROWS($1:13)&gt;COUNT(Dong5),0,IF(OFFSET(TH!L$1,SMALL(Dong5,ROWS($1:13)),)=$E$7,OFFSET(TH!K$1,SMALL(Dong5,ROWS($1:13)),),0))</f>
        <v>659000</v>
      </c>
      <c r="G27" s="230">
        <f ca="1">IF(ROWS($1:13)&gt;COUNT(Dong5),0,IF(OFFSET(TH!M$1,SMALL(Dong5,ROWS($1:13)),)=$E$7,OFFSET(TH!K$1,SMALL(Dong5,ROWS($1:13)),),0))</f>
        <v>0</v>
      </c>
      <c r="H27" s="233">
        <f t="shared" ca="1" si="2"/>
        <v>0</v>
      </c>
      <c r="I27" s="233">
        <f t="shared" ca="1" si="3"/>
        <v>327861890</v>
      </c>
    </row>
    <row r="28" spans="1:9" s="18" customFormat="1" ht="18" customHeight="1">
      <c r="A28" s="196">
        <f ca="1">IF(ROWS($1:14)&gt;COUNT(Dong5),"",OFFSET(TH!C$1,SMALL(Dong5,ROWS($1:14)),))</f>
        <v>42088</v>
      </c>
      <c r="B28" s="196" t="str">
        <f ca="1">IF(ROWS($1:14)&gt;COUNT(Dong5),"",OFFSET(TH!D$1,SMALL(Dong5,ROWS($1:14)),))</f>
        <v>GBN</v>
      </c>
      <c r="C28" s="196">
        <f ca="1">IF(ROWS($1:14)&gt;COUNT(Dong5),"",OFFSET(TH!E$1,SMALL(Dong5,ROWS($1:14)),))</f>
        <v>42088</v>
      </c>
      <c r="D28" s="231" t="str">
        <f ca="1">IF(ROWS($1:14)&gt;COUNT(Dong5),"",OFFSET(TH!F$1,SMALL(Dong5,ROWS($1:14)),))</f>
        <v>Phí quản lý tài khoản</v>
      </c>
      <c r="E28" s="196" t="str">
        <f ca="1">IF(ROWS($1:14)&gt;COUNT(Dong5),"",IF(OFFSET(TH!L$1,SMALL(Dong5,ROWS($1:14)),)=$E$7,OFFSET(TH!M$1,SMALL(Dong5,ROWS($1:14)),),OFFSET(TH!L$1,SMALL(Dong5,ROWS($1:14)),)))</f>
        <v>1121</v>
      </c>
      <c r="F28" s="232">
        <f ca="1">IF(ROWS($1:14)&gt;COUNT(Dong5),0,IF(OFFSET(TH!L$1,SMALL(Dong5,ROWS($1:14)),)=$E$7,OFFSET(TH!K$1,SMALL(Dong5,ROWS($1:14)),),0))</f>
        <v>11000</v>
      </c>
      <c r="G28" s="230">
        <f ca="1">IF(ROWS($1:14)&gt;COUNT(Dong5),0,IF(OFFSET(TH!M$1,SMALL(Dong5,ROWS($1:14)),)=$E$7,OFFSET(TH!K$1,SMALL(Dong5,ROWS($1:14)),),0))</f>
        <v>0</v>
      </c>
      <c r="H28" s="233">
        <f t="shared" ca="1" si="2"/>
        <v>0</v>
      </c>
      <c r="I28" s="233">
        <f t="shared" ca="1" si="3"/>
        <v>327850890</v>
      </c>
    </row>
    <row r="29" spans="1:9" s="18" customFormat="1" ht="18" customHeight="1">
      <c r="A29" s="196">
        <f ca="1">IF(ROWS($1:15)&gt;COUNT(Dong5),"",OFFSET(TH!C$1,SMALL(Dong5,ROWS($1:15)),))</f>
        <v>42093</v>
      </c>
      <c r="B29" s="196" t="str">
        <f ca="1">IF(ROWS($1:15)&gt;COUNT(Dong5),"",OFFSET(TH!D$1,SMALL(Dong5,ROWS($1:15)),))</f>
        <v>C19</v>
      </c>
      <c r="C29" s="196">
        <f ca="1">IF(ROWS($1:15)&gt;COUNT(Dong5),"",OFFSET(TH!E$1,SMALL(Dong5,ROWS($1:15)),))</f>
        <v>42093</v>
      </c>
      <c r="D29" s="231" t="str">
        <f ca="1">IF(ROWS($1:15)&gt;COUNT(Dong5),"",OFFSET(TH!F$1,SMALL(Dong5,ROWS($1:15)),))</f>
        <v>Dầu DO</v>
      </c>
      <c r="E29" s="196" t="str">
        <f ca="1">IF(ROWS($1:15)&gt;COUNT(Dong5),"",IF(OFFSET(TH!L$1,SMALL(Dong5,ROWS($1:15)),)=$E$7,OFFSET(TH!M$1,SMALL(Dong5,ROWS($1:15)),),OFFSET(TH!L$1,SMALL(Dong5,ROWS($1:15)),)))</f>
        <v>1111</v>
      </c>
      <c r="F29" s="232">
        <f ca="1">IF(ROWS($1:15)&gt;COUNT(Dong5),0,IF(OFFSET(TH!L$1,SMALL(Dong5,ROWS($1:15)),)=$E$7,OFFSET(TH!K$1,SMALL(Dong5,ROWS($1:15)),),0))</f>
        <v>909087</v>
      </c>
      <c r="G29" s="230">
        <f ca="1">IF(ROWS($1:15)&gt;COUNT(Dong5),0,IF(OFFSET(TH!M$1,SMALL(Dong5,ROWS($1:15)),)=$E$7,OFFSET(TH!K$1,SMALL(Dong5,ROWS($1:15)),),0))</f>
        <v>0</v>
      </c>
      <c r="H29" s="233">
        <f t="shared" ca="1" si="2"/>
        <v>0</v>
      </c>
      <c r="I29" s="233">
        <f t="shared" ca="1" si="3"/>
        <v>326941803</v>
      </c>
    </row>
    <row r="30" spans="1:9" s="18" customFormat="1" ht="18" customHeight="1">
      <c r="A30" s="196">
        <f ca="1">IF(ROWS($1:16)&gt;COUNT(Dong5),"",OFFSET(TH!C$1,SMALL(Dong5,ROWS($1:16)),))</f>
        <v>42094</v>
      </c>
      <c r="B30" s="196" t="str">
        <f ca="1">IF(ROWS($1:16)&gt;COUNT(Dong5),"",OFFSET(TH!D$1,SMALL(Dong5,ROWS($1:16)),))</f>
        <v>CTGS</v>
      </c>
      <c r="C30" s="196">
        <f ca="1">IF(ROWS($1:16)&gt;COUNT(Dong5),"",OFFSET(TH!E$1,SMALL(Dong5,ROWS($1:16)),))</f>
        <v>42094</v>
      </c>
      <c r="D30" s="231" t="str">
        <f ca="1">IF(ROWS($1:16)&gt;COUNT(Dong5),"",OFFSET(TH!F$1,SMALL(Dong5,ROWS($1:16)),))</f>
        <v>Lương bộ phận quản lý</v>
      </c>
      <c r="E30" s="196" t="str">
        <f ca="1">IF(ROWS($1:16)&gt;COUNT(Dong5),"",IF(OFFSET(TH!L$1,SMALL(Dong5,ROWS($1:16)),)=$E$7,OFFSET(TH!M$1,SMALL(Dong5,ROWS($1:16)),),OFFSET(TH!L$1,SMALL(Dong5,ROWS($1:16)),)))</f>
        <v>3341</v>
      </c>
      <c r="F30" s="232">
        <f ca="1">IF(ROWS($1:16)&gt;COUNT(Dong5),0,IF(OFFSET(TH!L$1,SMALL(Dong5,ROWS($1:16)),)=$E$7,OFFSET(TH!K$1,SMALL(Dong5,ROWS($1:16)),),0))</f>
        <v>11680000</v>
      </c>
      <c r="G30" s="230">
        <f ca="1">IF(ROWS($1:16)&gt;COUNT(Dong5),0,IF(OFFSET(TH!M$1,SMALL(Dong5,ROWS($1:16)),)=$E$7,OFFSET(TH!K$1,SMALL(Dong5,ROWS($1:16)),),0))</f>
        <v>0</v>
      </c>
      <c r="H30" s="233">
        <f t="shared" ref="H30" ca="1" si="4">IF(D30&lt;&gt;"",MAX(H29+F30-G30-I29,0),0)</f>
        <v>0</v>
      </c>
      <c r="I30" s="233">
        <f t="shared" ref="I30" ca="1" si="5">IF(D30&lt;&gt;"",MAX(I29+G30-H29-F30,0),0)</f>
        <v>315261803</v>
      </c>
    </row>
    <row r="31" spans="1:9" s="18" customFormat="1" ht="18" customHeight="1">
      <c r="A31" s="196"/>
      <c r="B31" s="196"/>
      <c r="C31" s="196"/>
      <c r="D31" s="231"/>
      <c r="E31" s="196"/>
      <c r="F31" s="232"/>
      <c r="G31" s="230"/>
      <c r="H31" s="233"/>
      <c r="I31" s="233"/>
    </row>
    <row r="32" spans="1:9" s="18" customFormat="1" ht="18" customHeight="1">
      <c r="A32" s="196"/>
      <c r="B32" s="197"/>
      <c r="C32" s="196"/>
      <c r="D32" s="225" t="s">
        <v>133</v>
      </c>
      <c r="E32" s="197" t="s">
        <v>19</v>
      </c>
      <c r="F32" s="234">
        <f ca="1">SUM(F15:F31)</f>
        <v>64556487</v>
      </c>
      <c r="G32" s="234">
        <f ca="1">SUM(G15:G31)</f>
        <v>379818290</v>
      </c>
      <c r="H32" s="234" t="s">
        <v>19</v>
      </c>
      <c r="I32" s="234" t="s">
        <v>19</v>
      </c>
    </row>
    <row r="33" spans="1:9" s="18" customFormat="1" ht="18" customHeight="1">
      <c r="A33" s="235"/>
      <c r="B33" s="227"/>
      <c r="C33" s="235"/>
      <c r="D33" s="226" t="s">
        <v>10</v>
      </c>
      <c r="E33" s="227" t="s">
        <v>19</v>
      </c>
      <c r="F33" s="236" t="s">
        <v>19</v>
      </c>
      <c r="G33" s="236" t="s">
        <v>19</v>
      </c>
      <c r="H33" s="237">
        <f ca="1">MAX(H14+F32-G32-I14,0)</f>
        <v>0</v>
      </c>
      <c r="I33" s="237">
        <f ca="1">MAX(I14+G32-F32-H14,0)</f>
        <v>315261803</v>
      </c>
    </row>
    <row r="34" spans="1:9" s="18" customFormat="1" ht="9.75" customHeight="1">
      <c r="A34" s="205"/>
      <c r="B34" s="205"/>
      <c r="C34" s="205"/>
      <c r="E34" s="205"/>
    </row>
    <row r="35" spans="1:9" s="18" customFormat="1" ht="12.75">
      <c r="A35" s="205"/>
      <c r="B35" s="205"/>
      <c r="C35" s="238" t="s">
        <v>155</v>
      </c>
      <c r="E35" s="205"/>
    </row>
    <row r="36" spans="1:9" s="18" customFormat="1" ht="12.75">
      <c r="A36" s="205"/>
      <c r="B36" s="205"/>
      <c r="C36" s="178" t="str">
        <f ca="1">"- Ngày mở sổ: "&amp;DAY($A$15)&amp;"/"&amp;MONTH($A$15)&amp;"/ " &amp;YEAR($A$15)</f>
        <v>- Ngày mở sổ: 31/12/ 2015</v>
      </c>
      <c r="E36" s="205"/>
    </row>
    <row r="37" spans="1:9" s="18" customFormat="1" ht="13.5" customHeight="1">
      <c r="A37" s="205"/>
      <c r="B37" s="205"/>
      <c r="C37" s="205"/>
      <c r="E37" s="1012" t="str">
        <f ca="1">"Ngày 31 tháng  12  năm  "&amp;YEAR($A$15)</f>
        <v>Ngày 31 tháng  12  năm  2015</v>
      </c>
      <c r="F37" s="1012"/>
      <c r="G37" s="1012"/>
      <c r="H37" s="1012"/>
      <c r="I37" s="1012"/>
    </row>
    <row r="38" spans="1:9" s="18" customFormat="1" ht="12.75">
      <c r="A38" s="1012" t="s">
        <v>11</v>
      </c>
      <c r="B38" s="1012"/>
      <c r="C38" s="1012"/>
      <c r="D38" s="1012"/>
      <c r="E38" s="1012" t="s">
        <v>12</v>
      </c>
      <c r="F38" s="1012"/>
      <c r="G38" s="1012"/>
      <c r="H38" s="1012"/>
      <c r="I38" s="1012"/>
    </row>
    <row r="39" spans="1:9" s="18" customFormat="1" ht="12.75">
      <c r="A39" s="1012" t="s">
        <v>13</v>
      </c>
      <c r="B39" s="1012"/>
      <c r="C39" s="1012"/>
      <c r="D39" s="1012"/>
      <c r="E39" s="1012" t="s">
        <v>13</v>
      </c>
      <c r="F39" s="1012"/>
      <c r="G39" s="1012"/>
      <c r="H39" s="1012"/>
      <c r="I39" s="1012"/>
    </row>
    <row r="40" spans="1:9" s="18" customFormat="1" ht="12.75">
      <c r="A40" s="205"/>
      <c r="B40" s="205"/>
      <c r="C40" s="205"/>
      <c r="E40" s="205"/>
    </row>
    <row r="41" spans="1:9">
      <c r="D41" s="185"/>
      <c r="F41" s="186"/>
    </row>
    <row r="46" spans="1:9">
      <c r="A46" s="1013"/>
      <c r="B46" s="1013"/>
      <c r="C46" s="1013"/>
      <c r="D46" s="1013"/>
    </row>
  </sheetData>
  <mergeCells count="18">
    <mergeCell ref="E37:I37"/>
    <mergeCell ref="H11:I11"/>
    <mergeCell ref="G2:I2"/>
    <mergeCell ref="G3:I4"/>
    <mergeCell ref="A5:I5"/>
    <mergeCell ref="A6:I6"/>
    <mergeCell ref="A9:I9"/>
    <mergeCell ref="C10:I10"/>
    <mergeCell ref="A11:A12"/>
    <mergeCell ref="B11:C11"/>
    <mergeCell ref="D11:D12"/>
    <mergeCell ref="E11:E12"/>
    <mergeCell ref="F11:G11"/>
    <mergeCell ref="A38:D38"/>
    <mergeCell ref="E38:I38"/>
    <mergeCell ref="A39:D39"/>
    <mergeCell ref="E39:I39"/>
    <mergeCell ref="A46:D46"/>
  </mergeCells>
  <dataValidations count="1">
    <dataValidation type="list" allowBlank="1" showInputMessage="1" showErrorMessage="1" sqref="E7">
      <formula1>"1331,1388,142,3331,3334,33382,3341,3388,4211,4212,515,635,641,642,711,811,821,911"</formula1>
    </dataValidation>
  </dataValidations>
  <pageMargins left="0.1" right="0.8" top="0.3" bottom="0.3" header="0.1" footer="0.1"/>
  <pageSetup paperSize="9" scale="80" orientation="portrait" r:id="rId1"/>
  <headerFooter alignWithMargins="0">
    <oddFooter>&amp;RTrang &amp;P/&amp;N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O162"/>
  <sheetViews>
    <sheetView topLeftCell="A9" zoomScale="90" workbookViewId="0">
      <pane ySplit="5" topLeftCell="A131" activePane="bottomLeft" state="frozen"/>
      <selection activeCell="A9" sqref="A9"/>
      <selection pane="bottomLeft" activeCell="L11" sqref="L11"/>
    </sheetView>
  </sheetViews>
  <sheetFormatPr defaultRowHeight="15"/>
  <cols>
    <col min="1" max="2" width="8.7109375" style="109" customWidth="1"/>
    <col min="3" max="4" width="6.5703125" style="109" customWidth="1"/>
    <col min="5" max="5" width="34.5703125" style="109" customWidth="1"/>
    <col min="6" max="6" width="6.28515625" style="109" customWidth="1"/>
    <col min="7" max="9" width="14.42578125" style="109" customWidth="1"/>
    <col min="10" max="10" width="6.28515625" style="109" customWidth="1"/>
    <col min="11" max="11" width="2.140625" style="109" customWidth="1"/>
    <col min="12" max="12" width="10" style="109" customWidth="1"/>
    <col min="13" max="13" width="3.28515625" style="109" customWidth="1"/>
    <col min="14" max="15" width="6.140625" style="109" customWidth="1"/>
    <col min="16" max="16384" width="9.140625" style="109"/>
  </cols>
  <sheetData>
    <row r="1" spans="1:15" s="3" customFormat="1" ht="16.5" customHeight="1">
      <c r="A1" s="135" t="str">
        <f>TH!A1</f>
        <v>Đơn vị: CÔNG TY TNHH MỘT THÀNH VIÊN KHỞI NGUYÊN AN</v>
      </c>
      <c r="B1" s="2"/>
      <c r="C1" s="2"/>
      <c r="D1" s="2"/>
      <c r="E1" s="2"/>
      <c r="G1" s="1016" t="s">
        <v>119</v>
      </c>
      <c r="H1" s="1016"/>
      <c r="I1" s="1016"/>
      <c r="J1" s="1016"/>
    </row>
    <row r="2" spans="1:15" s="3" customFormat="1" ht="16.5" customHeight="1">
      <c r="A2" s="94" t="str">
        <f>TH!A2</f>
        <v>Địa chỉ: Thửa đất số 144, tờ bản đồ số 12TĐH.1, tổ 1, khu phố Đông Tác, Phường Tân Đông Hiệp, Thị Xã Dĩ An, Tỉnh Bình Dương, Việt Nam</v>
      </c>
      <c r="B2" s="16"/>
      <c r="C2" s="16"/>
      <c r="D2" s="16"/>
      <c r="E2" s="16"/>
      <c r="G2" s="1017" t="str">
        <f ca="1">IF(YEAR($A$14)&gt;=2015,"(Ban hành theo Thông tư số 200/2014/TT-BTC  Ngày 22/12/2014 của Bộ Tài chính)","(Ban hành kèm theo QĐ 48/2006/QĐ-BTC ngày 24/09/2006 của Bộ trưởng BTC)")</f>
        <v>(Ban hành theo Thông tư số 200/2014/TT-BTC  Ngày 22/12/2014 của Bộ Tài chính)</v>
      </c>
      <c r="H2" s="1017"/>
      <c r="I2" s="1017"/>
      <c r="J2" s="1017"/>
    </row>
    <row r="3" spans="1:15" s="3" customFormat="1" ht="16.5" customHeight="1">
      <c r="A3" s="4"/>
      <c r="B3" s="16"/>
      <c r="C3" s="107"/>
      <c r="D3" s="107"/>
      <c r="E3" s="16"/>
      <c r="G3" s="1017"/>
      <c r="H3" s="1017"/>
      <c r="I3" s="1017"/>
      <c r="J3" s="1017"/>
    </row>
    <row r="4" spans="1:15" s="3" customFormat="1" ht="6.75" customHeight="1">
      <c r="A4" s="16"/>
      <c r="B4" s="16"/>
      <c r="C4" s="16"/>
      <c r="D4" s="16"/>
      <c r="E4" s="16"/>
      <c r="G4" s="108"/>
      <c r="H4" s="108"/>
      <c r="I4" s="108"/>
      <c r="J4" s="108"/>
    </row>
    <row r="5" spans="1:15" ht="24.75" customHeight="1">
      <c r="A5" s="1026" t="s">
        <v>120</v>
      </c>
      <c r="B5" s="1026"/>
      <c r="C5" s="1026"/>
      <c r="D5" s="1026"/>
      <c r="E5" s="1026"/>
      <c r="F5" s="1026"/>
      <c r="G5" s="1026"/>
      <c r="H5" s="1026"/>
      <c r="I5" s="1026"/>
      <c r="J5" s="1026"/>
    </row>
    <row r="6" spans="1:15" ht="14.25" customHeight="1">
      <c r="A6" s="1028" t="str">
        <f ca="1">$L$11&amp;" / "&amp;YEAR($A$14)</f>
        <v>Quý IV / 2015</v>
      </c>
      <c r="B6" s="1028"/>
      <c r="C6" s="1028"/>
      <c r="D6" s="1028"/>
      <c r="E6" s="1028"/>
      <c r="F6" s="1028"/>
      <c r="G6" s="1028"/>
      <c r="H6" s="1028"/>
      <c r="I6" s="1028"/>
      <c r="J6" s="1028"/>
    </row>
    <row r="7" spans="1:15">
      <c r="A7" s="1027" t="s">
        <v>121</v>
      </c>
      <c r="B7" s="1027"/>
      <c r="C7" s="1027"/>
      <c r="D7" s="1027"/>
      <c r="E7" s="1027"/>
      <c r="F7" s="1027"/>
      <c r="G7" s="1027"/>
      <c r="H7" s="1027"/>
      <c r="I7" s="1027"/>
      <c r="J7" s="1027"/>
    </row>
    <row r="8" spans="1:15">
      <c r="A8" s="1027" t="s">
        <v>122</v>
      </c>
      <c r="B8" s="1027"/>
      <c r="C8" s="1027"/>
      <c r="D8" s="1027"/>
      <c r="E8" s="1027"/>
      <c r="F8" s="1027"/>
      <c r="G8" s="1027"/>
      <c r="H8" s="1027"/>
      <c r="I8" s="1027"/>
      <c r="J8" s="1027"/>
    </row>
    <row r="9" spans="1:15">
      <c r="A9" s="110"/>
      <c r="I9" s="110" t="s">
        <v>123</v>
      </c>
    </row>
    <row r="10" spans="1:15" ht="33" customHeight="1" thickBot="1">
      <c r="A10" s="1030" t="s">
        <v>20</v>
      </c>
      <c r="B10" s="1030" t="s">
        <v>124</v>
      </c>
      <c r="C10" s="1029" t="s">
        <v>125</v>
      </c>
      <c r="D10" s="1029"/>
      <c r="E10" s="1029" t="s">
        <v>0</v>
      </c>
      <c r="F10" s="1030" t="s">
        <v>14</v>
      </c>
      <c r="G10" s="1029" t="s">
        <v>21</v>
      </c>
      <c r="H10" s="1029"/>
      <c r="I10" s="1029" t="s">
        <v>126</v>
      </c>
      <c r="J10" s="1029" t="s">
        <v>127</v>
      </c>
      <c r="L10" s="581"/>
      <c r="N10" s="1004" t="s">
        <v>317</v>
      </c>
      <c r="O10" s="1004"/>
    </row>
    <row r="11" spans="1:15" ht="24" customHeight="1" thickBot="1">
      <c r="A11" s="1031"/>
      <c r="B11" s="1031"/>
      <c r="C11" s="111" t="s">
        <v>128</v>
      </c>
      <c r="D11" s="111" t="s">
        <v>129</v>
      </c>
      <c r="E11" s="1029"/>
      <c r="F11" s="1031"/>
      <c r="G11" s="111" t="s">
        <v>22</v>
      </c>
      <c r="H11" s="111" t="s">
        <v>23</v>
      </c>
      <c r="I11" s="1029"/>
      <c r="J11" s="1029"/>
      <c r="L11" s="176" t="s">
        <v>1458</v>
      </c>
      <c r="N11" s="602">
        <f>IF(L11="Quý I",1,IF(L11="Quý II",4,IF(L11="Quý III",7,IF(L11="Quý IV",10,""))))</f>
        <v>10</v>
      </c>
      <c r="O11" s="602">
        <f>IF(L11="Quý I",3,IF(L11="Quý II",6,IF(L11="Quý III",9,IF(L11="Quý IV",12,""))))</f>
        <v>12</v>
      </c>
    </row>
    <row r="12" spans="1:15" s="112" customFormat="1" ht="11.25" customHeight="1">
      <c r="A12" s="113" t="s">
        <v>2</v>
      </c>
      <c r="B12" s="113" t="s">
        <v>3</v>
      </c>
      <c r="C12" s="113" t="s">
        <v>4</v>
      </c>
      <c r="D12" s="113" t="s">
        <v>5</v>
      </c>
      <c r="E12" s="113" t="s">
        <v>6</v>
      </c>
      <c r="F12" s="113" t="s">
        <v>130</v>
      </c>
      <c r="G12" s="113">
        <v>1</v>
      </c>
      <c r="H12" s="113">
        <v>2</v>
      </c>
      <c r="I12" s="113">
        <v>3</v>
      </c>
      <c r="J12" s="113" t="s">
        <v>131</v>
      </c>
      <c r="N12" s="603"/>
      <c r="O12" s="603"/>
    </row>
    <row r="13" spans="1:15" s="114" customFormat="1" ht="21.75" customHeight="1">
      <c r="A13" s="115"/>
      <c r="B13" s="115"/>
      <c r="C13" s="115"/>
      <c r="D13" s="115"/>
      <c r="E13" s="115" t="s">
        <v>132</v>
      </c>
      <c r="F13" s="116"/>
      <c r="G13" s="117"/>
      <c r="H13" s="115"/>
      <c r="I13" s="137">
        <f>IF($L$11="All",CDPS!$C$10,CDPS!$C$10+SUMIF(_N111,"x",TH)-SUMIF(_C111,"x",TH))</f>
        <v>2412843240</v>
      </c>
      <c r="J13" s="115"/>
      <c r="N13" s="604"/>
      <c r="O13" s="604"/>
    </row>
    <row r="14" spans="1:15" ht="21.75" customHeight="1">
      <c r="A14" s="118">
        <f ca="1">IF(ROWS($1:1)&gt;COUNT(Dong1),"",OFFSET(TH!C$1,SMALL(Dong1,ROWS($1:1)),))</f>
        <v>42279</v>
      </c>
      <c r="B14" s="118">
        <f ca="1">IF(ROWS($1:1)&gt;COUNT(Dong1),"",OFFSET(TH!E$1,SMALL(Dong1,ROWS($1:1)),))</f>
        <v>42279</v>
      </c>
      <c r="C14" s="119" t="str">
        <f ca="1">IF(ROWS($1:1)&gt;COUNT(Dong1),"",IF(OFFSET(TH!L$1,SMALL(Dong1,ROWS($1:1)),)="1111",OFFSET(TH!D$1,SMALL(Dong1,ROWS($1:1)),),""))</f>
        <v/>
      </c>
      <c r="D14" s="120" t="str">
        <f ca="1">IF(ROWS($1:1)&gt;COUNT(Dong1),"",IF(OFFSET(TH!M$1,SMALL(Dong1,ROWS($1:1)),)="1111",OFFSET(TH!D$1,SMALL(Dong1,ROWS($1:1)),),""))</f>
        <v>C01</v>
      </c>
      <c r="E14" s="215" t="str">
        <f ca="1">IF(ROWS($1:1)&gt;COUNT(Dong1),"",OFFSET(TH!F$1,SMALL(Dong1,ROWS($1:1)),))</f>
        <v>Thanh toán tiền hàng</v>
      </c>
      <c r="F14" s="122" t="str">
        <f ca="1">IF(ROWS($1:1)&gt;COUNT(Dong1),"",IF(OFFSET(TH!M$1,SMALL(Dong1,ROWS($1:1)),)="1111",OFFSET(TH!L$1,SMALL(Dong1,ROWS($1:1)),),OFFSET(TH!M$1,SMALL(Dong1,ROWS($1:1)),)))</f>
        <v>331</v>
      </c>
      <c r="G14" s="123">
        <f ca="1">IF(ROWS($1:1)&gt;COUNT(Dong1),"",IF(OFFSET(TH!L$1,SMALL(Dong1,ROWS($1:1)),)="1111",OFFSET(TH!K$1,SMALL(Dong1,ROWS($1:1)),),0))</f>
        <v>0</v>
      </c>
      <c r="H14" s="121">
        <f ca="1">IF(ROWS($1:1)&gt;COUNT(Dong1),"",IF(OFFSET(TH!M$1,SMALL(Dong1,ROWS($1:1)),)="1111",OFFSET(TH!K$1,SMALL(Dong1,ROWS($1:1)),),0))</f>
        <v>7992043</v>
      </c>
      <c r="I14" s="119">
        <f ca="1">IF(E14&lt;&gt;"",I13+G14-H14,0)</f>
        <v>2404851197</v>
      </c>
      <c r="J14" s="124"/>
      <c r="N14" s="605"/>
      <c r="O14" s="605"/>
    </row>
    <row r="15" spans="1:15" ht="21.75" customHeight="1">
      <c r="A15" s="118">
        <f ca="1">IF(ROWS($1:2)&gt;COUNT(Dong1),"",OFFSET(TH!C$1,SMALL(Dong1,ROWS($1:2)),))</f>
        <v>42282</v>
      </c>
      <c r="B15" s="118">
        <f ca="1">IF(ROWS($1:2)&gt;COUNT(Dong1),"",OFFSET(TH!E$1,SMALL(Dong1,ROWS($1:2)),))</f>
        <v>42282</v>
      </c>
      <c r="C15" s="119" t="str">
        <f ca="1">IF(ROWS($1:2)&gt;COUNT(Dong1),"",IF(OFFSET(TH!L$1,SMALL(Dong1,ROWS($1:2)),)="1111",OFFSET(TH!D$1,SMALL(Dong1,ROWS($1:2)),),""))</f>
        <v/>
      </c>
      <c r="D15" s="120" t="str">
        <f ca="1">IF(ROWS($1:2)&gt;COUNT(Dong1),"",IF(OFFSET(TH!M$1,SMALL(Dong1,ROWS($1:2)),)="1111",OFFSET(TH!D$1,SMALL(Dong1,ROWS($1:2)),),""))</f>
        <v>C02</v>
      </c>
      <c r="E15" s="215" t="str">
        <f ca="1">IF(ROWS($1:2)&gt;COUNT(Dong1),"",OFFSET(TH!F$1,SMALL(Dong1,ROWS($1:2)),))</f>
        <v>Nộp tiền mặt vào tài khoản</v>
      </c>
      <c r="F15" s="122" t="str">
        <f ca="1">IF(ROWS($1:2)&gt;COUNT(Dong1),"",IF(OFFSET(TH!M$1,SMALL(Dong1,ROWS($1:2)),)="1111",OFFSET(TH!L$1,SMALL(Dong1,ROWS($1:2)),),OFFSET(TH!M$1,SMALL(Dong1,ROWS($1:2)),)))</f>
        <v>1121</v>
      </c>
      <c r="G15" s="123">
        <f ca="1">IF(ROWS($1:2)&gt;COUNT(Dong1),"",IF(OFFSET(TH!L$1,SMALL(Dong1,ROWS($1:2)),)="1111",OFFSET(TH!K$1,SMALL(Dong1,ROWS($1:2)),),0))</f>
        <v>0</v>
      </c>
      <c r="H15" s="121">
        <f ca="1">IF(ROWS($1:2)&gt;COUNT(Dong1),"",IF(OFFSET(TH!M$1,SMALL(Dong1,ROWS($1:2)),)="1111",OFFSET(TH!K$1,SMALL(Dong1,ROWS($1:2)),),0))</f>
        <v>10500000</v>
      </c>
      <c r="I15" s="119">
        <f t="shared" ref="I15:I49" ca="1" si="0">IF(E15&lt;&gt;"",I14+G15-H15,0)</f>
        <v>2394351197</v>
      </c>
      <c r="J15" s="124"/>
      <c r="N15" s="605"/>
      <c r="O15" s="605"/>
    </row>
    <row r="16" spans="1:15" ht="21.75" customHeight="1">
      <c r="A16" s="118">
        <f ca="1">IF(ROWS($1:3)&gt;COUNT(Dong1),"",OFFSET(TH!C$1,SMALL(Dong1,ROWS($1:3)),))</f>
        <v>42282</v>
      </c>
      <c r="B16" s="118">
        <f ca="1">IF(ROWS($1:3)&gt;COUNT(Dong1),"",OFFSET(TH!E$1,SMALL(Dong1,ROWS($1:3)),))</f>
        <v>42282</v>
      </c>
      <c r="C16" s="119" t="str">
        <f ca="1">IF(ROWS($1:3)&gt;COUNT(Dong1),"",IF(OFFSET(TH!L$1,SMALL(Dong1,ROWS($1:3)),)="1111",OFFSET(TH!D$1,SMALL(Dong1,ROWS($1:3)),),""))</f>
        <v/>
      </c>
      <c r="D16" s="120" t="str">
        <f ca="1">IF(ROWS($1:3)&gt;COUNT(Dong1),"",IF(OFFSET(TH!M$1,SMALL(Dong1,ROWS($1:3)),)="1111",OFFSET(TH!D$1,SMALL(Dong1,ROWS($1:3)),),""))</f>
        <v>C03</v>
      </c>
      <c r="E16" s="215" t="str">
        <f ca="1">IF(ROWS($1:3)&gt;COUNT(Dong1),"",OFFSET(TH!F$1,SMALL(Dong1,ROWS($1:3)),))</f>
        <v>Cước dịch vụ viễn thông</v>
      </c>
      <c r="F16" s="122" t="str">
        <f ca="1">IF(ROWS($1:3)&gt;COUNT(Dong1),"",IF(OFFSET(TH!M$1,SMALL(Dong1,ROWS($1:3)),)="1111",OFFSET(TH!L$1,SMALL(Dong1,ROWS($1:3)),),OFFSET(TH!M$1,SMALL(Dong1,ROWS($1:3)),)))</f>
        <v>642</v>
      </c>
      <c r="G16" s="123">
        <f ca="1">IF(ROWS($1:3)&gt;COUNT(Dong1),"",IF(OFFSET(TH!L$1,SMALL(Dong1,ROWS($1:3)),)="1111",OFFSET(TH!K$1,SMALL(Dong1,ROWS($1:3)),),0))</f>
        <v>0</v>
      </c>
      <c r="H16" s="121">
        <f ca="1">IF(ROWS($1:3)&gt;COUNT(Dong1),"",IF(OFFSET(TH!M$1,SMALL(Dong1,ROWS($1:3)),)="1111",OFFSET(TH!K$1,SMALL(Dong1,ROWS($1:3)),),0))</f>
        <v>816552</v>
      </c>
      <c r="I16" s="119">
        <f t="shared" ca="1" si="0"/>
        <v>2393534645</v>
      </c>
      <c r="J16" s="124"/>
      <c r="N16" s="605"/>
      <c r="O16" s="605"/>
    </row>
    <row r="17" spans="1:15" ht="21.75" customHeight="1">
      <c r="A17" s="118">
        <f ca="1">IF(ROWS($1:4)&gt;COUNT(Dong1),"",OFFSET(TH!C$1,SMALL(Dong1,ROWS($1:4)),))</f>
        <v>42282</v>
      </c>
      <c r="B17" s="118">
        <f ca="1">IF(ROWS($1:4)&gt;COUNT(Dong1),"",OFFSET(TH!E$1,SMALL(Dong1,ROWS($1:4)),))</f>
        <v>42282</v>
      </c>
      <c r="C17" s="119" t="str">
        <f ca="1">IF(ROWS($1:4)&gt;COUNT(Dong1),"",IF(OFFSET(TH!L$1,SMALL(Dong1,ROWS($1:4)),)="1111",OFFSET(TH!D$1,SMALL(Dong1,ROWS($1:4)),),""))</f>
        <v/>
      </c>
      <c r="D17" s="120" t="str">
        <f ca="1">IF(ROWS($1:4)&gt;COUNT(Dong1),"",IF(OFFSET(TH!M$1,SMALL(Dong1,ROWS($1:4)),)="1111",OFFSET(TH!D$1,SMALL(Dong1,ROWS($1:4)),),""))</f>
        <v>C03</v>
      </c>
      <c r="E17" s="215" t="str">
        <f ca="1">IF(ROWS($1:4)&gt;COUNT(Dong1),"",OFFSET(TH!F$1,SMALL(Dong1,ROWS($1:4)),))</f>
        <v>VAT Cước dịch vụ viễn thông</v>
      </c>
      <c r="F17" s="122" t="str">
        <f ca="1">IF(ROWS($1:4)&gt;COUNT(Dong1),"",IF(OFFSET(TH!M$1,SMALL(Dong1,ROWS($1:4)),)="1111",OFFSET(TH!L$1,SMALL(Dong1,ROWS($1:4)),),OFFSET(TH!M$1,SMALL(Dong1,ROWS($1:4)),)))</f>
        <v>1331</v>
      </c>
      <c r="G17" s="123">
        <f ca="1">IF(ROWS($1:4)&gt;COUNT(Dong1),"",IF(OFFSET(TH!L$1,SMALL(Dong1,ROWS($1:4)),)="1111",OFFSET(TH!K$1,SMALL(Dong1,ROWS($1:4)),),0))</f>
        <v>0</v>
      </c>
      <c r="H17" s="121">
        <f ca="1">IF(ROWS($1:4)&gt;COUNT(Dong1),"",IF(OFFSET(TH!M$1,SMALL(Dong1,ROWS($1:4)),)="1111",OFFSET(TH!K$1,SMALL(Dong1,ROWS($1:4)),),0))</f>
        <v>81655</v>
      </c>
      <c r="I17" s="119">
        <f t="shared" ca="1" si="0"/>
        <v>2393452990</v>
      </c>
      <c r="J17" s="124"/>
      <c r="N17" s="605"/>
      <c r="O17" s="605"/>
    </row>
    <row r="18" spans="1:15" ht="21.75" customHeight="1">
      <c r="A18" s="118">
        <f ca="1">IF(ROWS($1:5)&gt;COUNT(Dong1),"",OFFSET(TH!C$1,SMALL(Dong1,ROWS($1:5)),))</f>
        <v>42282</v>
      </c>
      <c r="B18" s="118">
        <f ca="1">IF(ROWS($1:5)&gt;COUNT(Dong1),"",OFFSET(TH!E$1,SMALL(Dong1,ROWS($1:5)),))</f>
        <v>42282</v>
      </c>
      <c r="C18" s="119" t="str">
        <f ca="1">IF(ROWS($1:5)&gt;COUNT(Dong1),"",IF(OFFSET(TH!L$1,SMALL(Dong1,ROWS($1:5)),)="1111",OFFSET(TH!D$1,SMALL(Dong1,ROWS($1:5)),),""))</f>
        <v>T01</v>
      </c>
      <c r="D18" s="120" t="str">
        <f ca="1">IF(ROWS($1:5)&gt;COUNT(Dong1),"",IF(OFFSET(TH!M$1,SMALL(Dong1,ROWS($1:5)),)="1111",OFFSET(TH!D$1,SMALL(Dong1,ROWS($1:5)),),""))</f>
        <v/>
      </c>
      <c r="E18" s="215" t="str">
        <f ca="1">IF(ROWS($1:5)&gt;COUNT(Dong1),"",OFFSET(TH!F$1,SMALL(Dong1,ROWS($1:5)),))</f>
        <v>Thu tiền hàng</v>
      </c>
      <c r="F18" s="122" t="str">
        <f ca="1">IF(ROWS($1:5)&gt;COUNT(Dong1),"",IF(OFFSET(TH!M$1,SMALL(Dong1,ROWS($1:5)),)="1111",OFFSET(TH!L$1,SMALL(Dong1,ROWS($1:5)),),OFFSET(TH!M$1,SMALL(Dong1,ROWS($1:5)),)))</f>
        <v>131</v>
      </c>
      <c r="G18" s="123">
        <f ca="1">IF(ROWS($1:5)&gt;COUNT(Dong1),"",IF(OFFSET(TH!L$1,SMALL(Dong1,ROWS($1:5)),)="1111",OFFSET(TH!K$1,SMALL(Dong1,ROWS($1:5)),),0))</f>
        <v>2926000</v>
      </c>
      <c r="H18" s="121">
        <f ca="1">IF(ROWS($1:5)&gt;COUNT(Dong1),"",IF(OFFSET(TH!M$1,SMALL(Dong1,ROWS($1:5)),)="1111",OFFSET(TH!K$1,SMALL(Dong1,ROWS($1:5)),),0))</f>
        <v>0</v>
      </c>
      <c r="I18" s="119">
        <f t="shared" ca="1" si="0"/>
        <v>2396378990</v>
      </c>
      <c r="J18" s="124"/>
      <c r="N18" s="605"/>
      <c r="O18" s="605"/>
    </row>
    <row r="19" spans="1:15" ht="21.75" customHeight="1">
      <c r="A19" s="118">
        <f ca="1">IF(ROWS($1:6)&gt;COUNT(Dong1),"",OFFSET(TH!C$1,SMALL(Dong1,ROWS($1:6)),))</f>
        <v>42283</v>
      </c>
      <c r="B19" s="118">
        <f ca="1">IF(ROWS($1:6)&gt;COUNT(Dong1),"",OFFSET(TH!E$1,SMALL(Dong1,ROWS($1:6)),))</f>
        <v>42283</v>
      </c>
      <c r="C19" s="119" t="str">
        <f ca="1">IF(ROWS($1:6)&gt;COUNT(Dong1),"",IF(OFFSET(TH!L$1,SMALL(Dong1,ROWS($1:6)),)="1111",OFFSET(TH!D$1,SMALL(Dong1,ROWS($1:6)),),""))</f>
        <v>T02</v>
      </c>
      <c r="D19" s="120" t="str">
        <f ca="1">IF(ROWS($1:6)&gt;COUNT(Dong1),"",IF(OFFSET(TH!M$1,SMALL(Dong1,ROWS($1:6)),)="1111",OFFSET(TH!D$1,SMALL(Dong1,ROWS($1:6)),),""))</f>
        <v/>
      </c>
      <c r="E19" s="215" t="str">
        <f ca="1">IF(ROWS($1:6)&gt;COUNT(Dong1),"",OFFSET(TH!F$1,SMALL(Dong1,ROWS($1:6)),))</f>
        <v>Thu tiền hàng</v>
      </c>
      <c r="F19" s="122" t="str">
        <f ca="1">IF(ROWS($1:6)&gt;COUNT(Dong1),"",IF(OFFSET(TH!M$1,SMALL(Dong1,ROWS($1:6)),)="1111",OFFSET(TH!L$1,SMALL(Dong1,ROWS($1:6)),),OFFSET(TH!M$1,SMALL(Dong1,ROWS($1:6)),)))</f>
        <v>131</v>
      </c>
      <c r="G19" s="123">
        <f ca="1">IF(ROWS($1:6)&gt;COUNT(Dong1),"",IF(OFFSET(TH!L$1,SMALL(Dong1,ROWS($1:6)),)="1111",OFFSET(TH!K$1,SMALL(Dong1,ROWS($1:6)),),0))</f>
        <v>19800000</v>
      </c>
      <c r="H19" s="121">
        <f ca="1">IF(ROWS($1:6)&gt;COUNT(Dong1),"",IF(OFFSET(TH!M$1,SMALL(Dong1,ROWS($1:6)),)="1111",OFFSET(TH!K$1,SMALL(Dong1,ROWS($1:6)),),0))</f>
        <v>0</v>
      </c>
      <c r="I19" s="119">
        <f t="shared" ca="1" si="0"/>
        <v>2416178990</v>
      </c>
      <c r="J19" s="124"/>
      <c r="N19" s="605"/>
      <c r="O19" s="605"/>
    </row>
    <row r="20" spans="1:15" ht="21.75" customHeight="1">
      <c r="A20" s="118">
        <f ca="1">IF(ROWS($1:7)&gt;COUNT(Dong1),"",OFFSET(TH!C$1,SMALL(Dong1,ROWS($1:7)),))</f>
        <v>42283</v>
      </c>
      <c r="B20" s="118">
        <f ca="1">IF(ROWS($1:7)&gt;COUNT(Dong1),"",OFFSET(TH!E$1,SMALL(Dong1,ROWS($1:7)),))</f>
        <v>42283</v>
      </c>
      <c r="C20" s="119" t="str">
        <f ca="1">IF(ROWS($1:7)&gt;COUNT(Dong1),"",IF(OFFSET(TH!L$1,SMALL(Dong1,ROWS($1:7)),)="1111",OFFSET(TH!D$1,SMALL(Dong1,ROWS($1:7)),),""))</f>
        <v>T03</v>
      </c>
      <c r="D20" s="120" t="str">
        <f ca="1">IF(ROWS($1:7)&gt;COUNT(Dong1),"",IF(OFFSET(TH!M$1,SMALL(Dong1,ROWS($1:7)),)="1111",OFFSET(TH!D$1,SMALL(Dong1,ROWS($1:7)),),""))</f>
        <v/>
      </c>
      <c r="E20" s="215" t="str">
        <f ca="1">IF(ROWS($1:7)&gt;COUNT(Dong1),"",OFFSET(TH!F$1,SMALL(Dong1,ROWS($1:7)),))</f>
        <v>Cước vận chuyển</v>
      </c>
      <c r="F20" s="122" t="str">
        <f ca="1">IF(ROWS($1:7)&gt;COUNT(Dong1),"",IF(OFFSET(TH!M$1,SMALL(Dong1,ROWS($1:7)),)="1111",OFFSET(TH!L$1,SMALL(Dong1,ROWS($1:7)),),OFFSET(TH!M$1,SMALL(Dong1,ROWS($1:7)),)))</f>
        <v>5111</v>
      </c>
      <c r="G20" s="123">
        <f ca="1">IF(ROWS($1:7)&gt;COUNT(Dong1),"",IF(OFFSET(TH!L$1,SMALL(Dong1,ROWS($1:7)),)="1111",OFFSET(TH!K$1,SMALL(Dong1,ROWS($1:7)),),0))</f>
        <v>15000000</v>
      </c>
      <c r="H20" s="121">
        <f ca="1">IF(ROWS($1:7)&gt;COUNT(Dong1),"",IF(OFFSET(TH!M$1,SMALL(Dong1,ROWS($1:7)),)="1111",OFFSET(TH!K$1,SMALL(Dong1,ROWS($1:7)),),0))</f>
        <v>0</v>
      </c>
      <c r="I20" s="119">
        <f t="shared" ca="1" si="0"/>
        <v>2431178990</v>
      </c>
      <c r="J20" s="124"/>
      <c r="N20" s="605"/>
      <c r="O20" s="605"/>
    </row>
    <row r="21" spans="1:15" ht="21.75" customHeight="1">
      <c r="A21" s="118">
        <f ca="1">IF(ROWS($1:8)&gt;COUNT(Dong1),"",OFFSET(TH!C$1,SMALL(Dong1,ROWS($1:8)),))</f>
        <v>42283</v>
      </c>
      <c r="B21" s="118">
        <f ca="1">IF(ROWS($1:8)&gt;COUNT(Dong1),"",OFFSET(TH!E$1,SMALL(Dong1,ROWS($1:8)),))</f>
        <v>42283</v>
      </c>
      <c r="C21" s="119" t="str">
        <f ca="1">IF(ROWS($1:8)&gt;COUNT(Dong1),"",IF(OFFSET(TH!L$1,SMALL(Dong1,ROWS($1:8)),)="1111",OFFSET(TH!D$1,SMALL(Dong1,ROWS($1:8)),),""))</f>
        <v>T03</v>
      </c>
      <c r="D21" s="120" t="str">
        <f ca="1">IF(ROWS($1:8)&gt;COUNT(Dong1),"",IF(OFFSET(TH!M$1,SMALL(Dong1,ROWS($1:8)),)="1111",OFFSET(TH!D$1,SMALL(Dong1,ROWS($1:8)),),""))</f>
        <v/>
      </c>
      <c r="E21" s="215" t="str">
        <f ca="1">IF(ROWS($1:8)&gt;COUNT(Dong1),"",OFFSET(TH!F$1,SMALL(Dong1,ROWS($1:8)),))</f>
        <v>VAT Cước vận chuyển</v>
      </c>
      <c r="F21" s="122" t="str">
        <f ca="1">IF(ROWS($1:8)&gt;COUNT(Dong1),"",IF(OFFSET(TH!M$1,SMALL(Dong1,ROWS($1:8)),)="1111",OFFSET(TH!L$1,SMALL(Dong1,ROWS($1:8)),),OFFSET(TH!M$1,SMALL(Dong1,ROWS($1:8)),)))</f>
        <v>3331</v>
      </c>
      <c r="G21" s="123">
        <f ca="1">IF(ROWS($1:8)&gt;COUNT(Dong1),"",IF(OFFSET(TH!L$1,SMALL(Dong1,ROWS($1:8)),)="1111",OFFSET(TH!K$1,SMALL(Dong1,ROWS($1:8)),),0))</f>
        <v>1500000</v>
      </c>
      <c r="H21" s="121">
        <f ca="1">IF(ROWS($1:8)&gt;COUNT(Dong1),"",IF(OFFSET(TH!M$1,SMALL(Dong1,ROWS($1:8)),)="1111",OFFSET(TH!K$1,SMALL(Dong1,ROWS($1:8)),),0))</f>
        <v>0</v>
      </c>
      <c r="I21" s="119">
        <f t="shared" ca="1" si="0"/>
        <v>2432678990</v>
      </c>
      <c r="J21" s="124"/>
      <c r="N21" s="605"/>
      <c r="O21" s="605"/>
    </row>
    <row r="22" spans="1:15" ht="21.75" customHeight="1">
      <c r="A22" s="118">
        <f ca="1">IF(ROWS($1:9)&gt;COUNT(Dong1),"",OFFSET(TH!C$1,SMALL(Dong1,ROWS($1:9)),))</f>
        <v>42284</v>
      </c>
      <c r="B22" s="118">
        <f ca="1">IF(ROWS($1:9)&gt;COUNT(Dong1),"",OFFSET(TH!E$1,SMALL(Dong1,ROWS($1:9)),))</f>
        <v>42284</v>
      </c>
      <c r="C22" s="119" t="str">
        <f ca="1">IF(ROWS($1:9)&gt;COUNT(Dong1),"",IF(OFFSET(TH!L$1,SMALL(Dong1,ROWS($1:9)),)="1111",OFFSET(TH!D$1,SMALL(Dong1,ROWS($1:9)),),""))</f>
        <v/>
      </c>
      <c r="D22" s="120" t="str">
        <f ca="1">IF(ROWS($1:9)&gt;COUNT(Dong1),"",IF(OFFSET(TH!M$1,SMALL(Dong1,ROWS($1:9)),)="1111",OFFSET(TH!D$1,SMALL(Dong1,ROWS($1:9)),),""))</f>
        <v>C04</v>
      </c>
      <c r="E22" s="215" t="str">
        <f ca="1">IF(ROWS($1:9)&gt;COUNT(Dong1),"",OFFSET(TH!F$1,SMALL(Dong1,ROWS($1:9)),))</f>
        <v>Văn phòng phẩm</v>
      </c>
      <c r="F22" s="122" t="str">
        <f ca="1">IF(ROWS($1:9)&gt;COUNT(Dong1),"",IF(OFFSET(TH!M$1,SMALL(Dong1,ROWS($1:9)),)="1111",OFFSET(TH!L$1,SMALL(Dong1,ROWS($1:9)),),OFFSET(TH!M$1,SMALL(Dong1,ROWS($1:9)),)))</f>
        <v>642</v>
      </c>
      <c r="G22" s="123">
        <f ca="1">IF(ROWS($1:9)&gt;COUNT(Dong1),"",IF(OFFSET(TH!L$1,SMALL(Dong1,ROWS($1:9)),)="1111",OFFSET(TH!K$1,SMALL(Dong1,ROWS($1:9)),),0))</f>
        <v>0</v>
      </c>
      <c r="H22" s="121">
        <f ca="1">IF(ROWS($1:9)&gt;COUNT(Dong1),"",IF(OFFSET(TH!M$1,SMALL(Dong1,ROWS($1:9)),)="1111",OFFSET(TH!K$1,SMALL(Dong1,ROWS($1:9)),),0))</f>
        <v>500000</v>
      </c>
      <c r="I22" s="119">
        <f t="shared" ca="1" si="0"/>
        <v>2432178990</v>
      </c>
      <c r="J22" s="124"/>
      <c r="N22" s="605"/>
      <c r="O22" s="605"/>
    </row>
    <row r="23" spans="1:15" ht="21.75" customHeight="1">
      <c r="A23" s="118">
        <f ca="1">IF(ROWS($1:10)&gt;COUNT(Dong1),"",OFFSET(TH!C$1,SMALL(Dong1,ROWS($1:10)),))</f>
        <v>42284</v>
      </c>
      <c r="B23" s="118">
        <f ca="1">IF(ROWS($1:10)&gt;COUNT(Dong1),"",OFFSET(TH!E$1,SMALL(Dong1,ROWS($1:10)),))</f>
        <v>42284</v>
      </c>
      <c r="C23" s="119" t="str">
        <f ca="1">IF(ROWS($1:10)&gt;COUNT(Dong1),"",IF(OFFSET(TH!L$1,SMALL(Dong1,ROWS($1:10)),)="1111",OFFSET(TH!D$1,SMALL(Dong1,ROWS($1:10)),),""))</f>
        <v>T04</v>
      </c>
      <c r="D23" s="120" t="str">
        <f ca="1">IF(ROWS($1:10)&gt;COUNT(Dong1),"",IF(OFFSET(TH!M$1,SMALL(Dong1,ROWS($1:10)),)="1111",OFFSET(TH!D$1,SMALL(Dong1,ROWS($1:10)),),""))</f>
        <v/>
      </c>
      <c r="E23" s="215" t="str">
        <f ca="1">IF(ROWS($1:10)&gt;COUNT(Dong1),"",OFFSET(TH!F$1,SMALL(Dong1,ROWS($1:10)),))</f>
        <v>Thu tiền hàng</v>
      </c>
      <c r="F23" s="122" t="str">
        <f ca="1">IF(ROWS($1:10)&gt;COUNT(Dong1),"",IF(OFFSET(TH!M$1,SMALL(Dong1,ROWS($1:10)),)="1111",OFFSET(TH!L$1,SMALL(Dong1,ROWS($1:10)),),OFFSET(TH!M$1,SMALL(Dong1,ROWS($1:10)),)))</f>
        <v>131</v>
      </c>
      <c r="G23" s="123">
        <f ca="1">IF(ROWS($1:10)&gt;COUNT(Dong1),"",IF(OFFSET(TH!L$1,SMALL(Dong1,ROWS($1:10)),)="1111",OFFSET(TH!K$1,SMALL(Dong1,ROWS($1:10)),),0))</f>
        <v>4557212</v>
      </c>
      <c r="H23" s="121">
        <f ca="1">IF(ROWS($1:10)&gt;COUNT(Dong1),"",IF(OFFSET(TH!M$1,SMALL(Dong1,ROWS($1:10)),)="1111",OFFSET(TH!K$1,SMALL(Dong1,ROWS($1:10)),),0))</f>
        <v>0</v>
      </c>
      <c r="I23" s="119">
        <f t="shared" ca="1" si="0"/>
        <v>2436736202</v>
      </c>
      <c r="J23" s="124"/>
      <c r="N23" s="605"/>
      <c r="O23" s="605"/>
    </row>
    <row r="24" spans="1:15" ht="21.75" customHeight="1">
      <c r="A24" s="118">
        <f ca="1">IF(ROWS($1:11)&gt;COUNT(Dong1),"",OFFSET(TH!C$1,SMALL(Dong1,ROWS($1:11)),))</f>
        <v>42284</v>
      </c>
      <c r="B24" s="118">
        <f ca="1">IF(ROWS($1:11)&gt;COUNT(Dong1),"",OFFSET(TH!E$1,SMALL(Dong1,ROWS($1:11)),))</f>
        <v>42284</v>
      </c>
      <c r="C24" s="119" t="str">
        <f ca="1">IF(ROWS($1:11)&gt;COUNT(Dong1),"",IF(OFFSET(TH!L$1,SMALL(Dong1,ROWS($1:11)),)="1111",OFFSET(TH!D$1,SMALL(Dong1,ROWS($1:11)),),""))</f>
        <v>T05</v>
      </c>
      <c r="D24" s="120" t="str">
        <f ca="1">IF(ROWS($1:11)&gt;COUNT(Dong1),"",IF(OFFSET(TH!M$1,SMALL(Dong1,ROWS($1:11)),)="1111",OFFSET(TH!D$1,SMALL(Dong1,ROWS($1:11)),),""))</f>
        <v/>
      </c>
      <c r="E24" s="215" t="str">
        <f ca="1">IF(ROWS($1:11)&gt;COUNT(Dong1),"",OFFSET(TH!F$1,SMALL(Dong1,ROWS($1:11)),))</f>
        <v>Cước vận chuyển</v>
      </c>
      <c r="F24" s="122" t="str">
        <f ca="1">IF(ROWS($1:11)&gt;COUNT(Dong1),"",IF(OFFSET(TH!M$1,SMALL(Dong1,ROWS($1:11)),)="1111",OFFSET(TH!L$1,SMALL(Dong1,ROWS($1:11)),),OFFSET(TH!M$1,SMALL(Dong1,ROWS($1:11)),)))</f>
        <v>5111</v>
      </c>
      <c r="G24" s="123">
        <f ca="1">IF(ROWS($1:11)&gt;COUNT(Dong1),"",IF(OFFSET(TH!L$1,SMALL(Dong1,ROWS($1:11)),)="1111",OFFSET(TH!K$1,SMALL(Dong1,ROWS($1:11)),),0))</f>
        <v>13000000</v>
      </c>
      <c r="H24" s="121">
        <f ca="1">IF(ROWS($1:11)&gt;COUNT(Dong1),"",IF(OFFSET(TH!M$1,SMALL(Dong1,ROWS($1:11)),)="1111",OFFSET(TH!K$1,SMALL(Dong1,ROWS($1:11)),),0))</f>
        <v>0</v>
      </c>
      <c r="I24" s="119">
        <f t="shared" ca="1" si="0"/>
        <v>2449736202</v>
      </c>
      <c r="J24" s="124"/>
      <c r="N24" s="605"/>
      <c r="O24" s="605"/>
    </row>
    <row r="25" spans="1:15" ht="21.75" customHeight="1">
      <c r="A25" s="118">
        <f ca="1">IF(ROWS($1:12)&gt;COUNT(Dong1),"",OFFSET(TH!C$1,SMALL(Dong1,ROWS($1:12)),))</f>
        <v>42284</v>
      </c>
      <c r="B25" s="118">
        <f ca="1">IF(ROWS($1:12)&gt;COUNT(Dong1),"",OFFSET(TH!E$1,SMALL(Dong1,ROWS($1:12)),))</f>
        <v>42284</v>
      </c>
      <c r="C25" s="119" t="str">
        <f ca="1">IF(ROWS($1:12)&gt;COUNT(Dong1),"",IF(OFFSET(TH!L$1,SMALL(Dong1,ROWS($1:12)),)="1111",OFFSET(TH!D$1,SMALL(Dong1,ROWS($1:12)),),""))</f>
        <v>T05</v>
      </c>
      <c r="D25" s="120" t="str">
        <f ca="1">IF(ROWS($1:12)&gt;COUNT(Dong1),"",IF(OFFSET(TH!M$1,SMALL(Dong1,ROWS($1:12)),)="1111",OFFSET(TH!D$1,SMALL(Dong1,ROWS($1:12)),),""))</f>
        <v/>
      </c>
      <c r="E25" s="215" t="str">
        <f ca="1">IF(ROWS($1:12)&gt;COUNT(Dong1),"",OFFSET(TH!F$1,SMALL(Dong1,ROWS($1:12)),))</f>
        <v>VAT Cước vận chuyển</v>
      </c>
      <c r="F25" s="122" t="str">
        <f ca="1">IF(ROWS($1:12)&gt;COUNT(Dong1),"",IF(OFFSET(TH!M$1,SMALL(Dong1,ROWS($1:12)),)="1111",OFFSET(TH!L$1,SMALL(Dong1,ROWS($1:12)),),OFFSET(TH!M$1,SMALL(Dong1,ROWS($1:12)),)))</f>
        <v>3331</v>
      </c>
      <c r="G25" s="123">
        <f ca="1">IF(ROWS($1:12)&gt;COUNT(Dong1),"",IF(OFFSET(TH!L$1,SMALL(Dong1,ROWS($1:12)),)="1111",OFFSET(TH!K$1,SMALL(Dong1,ROWS($1:12)),),0))</f>
        <v>1300000</v>
      </c>
      <c r="H25" s="121">
        <f ca="1">IF(ROWS($1:12)&gt;COUNT(Dong1),"",IF(OFFSET(TH!M$1,SMALL(Dong1,ROWS($1:12)),)="1111",OFFSET(TH!K$1,SMALL(Dong1,ROWS($1:12)),),0))</f>
        <v>0</v>
      </c>
      <c r="I25" s="119">
        <f t="shared" ca="1" si="0"/>
        <v>2451036202</v>
      </c>
      <c r="J25" s="124"/>
      <c r="N25" s="605"/>
      <c r="O25" s="605"/>
    </row>
    <row r="26" spans="1:15" ht="21.75" customHeight="1">
      <c r="A26" s="118">
        <f ca="1">IF(ROWS($1:13)&gt;COUNT(Dong1),"",OFFSET(TH!C$1,SMALL(Dong1,ROWS($1:13)),))</f>
        <v>42285</v>
      </c>
      <c r="B26" s="118">
        <f ca="1">IF(ROWS($1:13)&gt;COUNT(Dong1),"",OFFSET(TH!E$1,SMALL(Dong1,ROWS($1:13)),))</f>
        <v>42285</v>
      </c>
      <c r="C26" s="119" t="str">
        <f ca="1">IF(ROWS($1:13)&gt;COUNT(Dong1),"",IF(OFFSET(TH!L$1,SMALL(Dong1,ROWS($1:13)),)="1111",OFFSET(TH!D$1,SMALL(Dong1,ROWS($1:13)),),""))</f>
        <v/>
      </c>
      <c r="D26" s="120" t="str">
        <f ca="1">IF(ROWS($1:13)&gt;COUNT(Dong1),"",IF(OFFSET(TH!M$1,SMALL(Dong1,ROWS($1:13)),)="1111",OFFSET(TH!D$1,SMALL(Dong1,ROWS($1:13)),),""))</f>
        <v>C05</v>
      </c>
      <c r="E26" s="215" t="str">
        <f ca="1">IF(ROWS($1:13)&gt;COUNT(Dong1),"",OFFSET(TH!F$1,SMALL(Dong1,ROWS($1:13)),))</f>
        <v>Văn phòng phẩm</v>
      </c>
      <c r="F26" s="122" t="str">
        <f ca="1">IF(ROWS($1:13)&gt;COUNT(Dong1),"",IF(OFFSET(TH!M$1,SMALL(Dong1,ROWS($1:13)),)="1111",OFFSET(TH!L$1,SMALL(Dong1,ROWS($1:13)),),OFFSET(TH!M$1,SMALL(Dong1,ROWS($1:13)),)))</f>
        <v>642</v>
      </c>
      <c r="G26" s="123">
        <f ca="1">IF(ROWS($1:13)&gt;COUNT(Dong1),"",IF(OFFSET(TH!L$1,SMALL(Dong1,ROWS($1:13)),)="1111",OFFSET(TH!K$1,SMALL(Dong1,ROWS($1:13)),),0))</f>
        <v>0</v>
      </c>
      <c r="H26" s="121">
        <f ca="1">IF(ROWS($1:13)&gt;COUNT(Dong1),"",IF(OFFSET(TH!M$1,SMALL(Dong1,ROWS($1:13)),)="1111",OFFSET(TH!K$1,SMALL(Dong1,ROWS($1:13)),),0))</f>
        <v>436364</v>
      </c>
      <c r="I26" s="119">
        <f t="shared" ca="1" si="0"/>
        <v>2450599838</v>
      </c>
      <c r="J26" s="124"/>
      <c r="N26" s="605"/>
      <c r="O26" s="605"/>
    </row>
    <row r="27" spans="1:15" ht="21.75" customHeight="1">
      <c r="A27" s="118">
        <f ca="1">IF(ROWS($1:14)&gt;COUNT(Dong1),"",OFFSET(TH!C$1,SMALL(Dong1,ROWS($1:14)),))</f>
        <v>42285</v>
      </c>
      <c r="B27" s="118">
        <f ca="1">IF(ROWS($1:14)&gt;COUNT(Dong1),"",OFFSET(TH!E$1,SMALL(Dong1,ROWS($1:14)),))</f>
        <v>42285</v>
      </c>
      <c r="C27" s="119" t="str">
        <f ca="1">IF(ROWS($1:14)&gt;COUNT(Dong1),"",IF(OFFSET(TH!L$1,SMALL(Dong1,ROWS($1:14)),)="1111",OFFSET(TH!D$1,SMALL(Dong1,ROWS($1:14)),),""))</f>
        <v/>
      </c>
      <c r="D27" s="120" t="str">
        <f ca="1">IF(ROWS($1:14)&gt;COUNT(Dong1),"",IF(OFFSET(TH!M$1,SMALL(Dong1,ROWS($1:14)),)="1111",OFFSET(TH!D$1,SMALL(Dong1,ROWS($1:14)),),""))</f>
        <v>C05</v>
      </c>
      <c r="E27" s="215" t="str">
        <f ca="1">IF(ROWS($1:14)&gt;COUNT(Dong1),"",OFFSET(TH!F$1,SMALL(Dong1,ROWS($1:14)),))</f>
        <v>VAT Văn phòng phẩm</v>
      </c>
      <c r="F27" s="122" t="str">
        <f ca="1">IF(ROWS($1:14)&gt;COUNT(Dong1),"",IF(OFFSET(TH!M$1,SMALL(Dong1,ROWS($1:14)),)="1111",OFFSET(TH!L$1,SMALL(Dong1,ROWS($1:14)),),OFFSET(TH!M$1,SMALL(Dong1,ROWS($1:14)),)))</f>
        <v>1331</v>
      </c>
      <c r="G27" s="123">
        <f ca="1">IF(ROWS($1:14)&gt;COUNT(Dong1),"",IF(OFFSET(TH!L$1,SMALL(Dong1,ROWS($1:14)),)="1111",OFFSET(TH!K$1,SMALL(Dong1,ROWS($1:14)),),0))</f>
        <v>0</v>
      </c>
      <c r="H27" s="121">
        <f ca="1">IF(ROWS($1:14)&gt;COUNT(Dong1),"",IF(OFFSET(TH!M$1,SMALL(Dong1,ROWS($1:14)),)="1111",OFFSET(TH!K$1,SMALL(Dong1,ROWS($1:14)),),0))</f>
        <v>43636</v>
      </c>
      <c r="I27" s="119">
        <f t="shared" ca="1" si="0"/>
        <v>2450556202</v>
      </c>
      <c r="J27" s="124"/>
      <c r="N27" s="605"/>
      <c r="O27" s="605"/>
    </row>
    <row r="28" spans="1:15" ht="21.75" customHeight="1">
      <c r="A28" s="118">
        <f ca="1">IF(ROWS($1:15)&gt;COUNT(Dong1),"",OFFSET(TH!C$1,SMALL(Dong1,ROWS($1:15)),))</f>
        <v>42285</v>
      </c>
      <c r="B28" s="118">
        <f ca="1">IF(ROWS($1:15)&gt;COUNT(Dong1),"",OFFSET(TH!E$1,SMALL(Dong1,ROWS($1:15)),))</f>
        <v>42285</v>
      </c>
      <c r="C28" s="119" t="str">
        <f ca="1">IF(ROWS($1:15)&gt;COUNT(Dong1),"",IF(OFFSET(TH!L$1,SMALL(Dong1,ROWS($1:15)),)="1111",OFFSET(TH!D$1,SMALL(Dong1,ROWS($1:15)),),""))</f>
        <v>T06</v>
      </c>
      <c r="D28" s="120" t="str">
        <f ca="1">IF(ROWS($1:15)&gt;COUNT(Dong1),"",IF(OFFSET(TH!M$1,SMALL(Dong1,ROWS($1:15)),)="1111",OFFSET(TH!D$1,SMALL(Dong1,ROWS($1:15)),),""))</f>
        <v/>
      </c>
      <c r="E28" s="215" t="str">
        <f ca="1">IF(ROWS($1:15)&gt;COUNT(Dong1),"",OFFSET(TH!F$1,SMALL(Dong1,ROWS($1:15)),))</f>
        <v>Cước vận chuyển</v>
      </c>
      <c r="F28" s="122" t="str">
        <f ca="1">IF(ROWS($1:15)&gt;COUNT(Dong1),"",IF(OFFSET(TH!M$1,SMALL(Dong1,ROWS($1:15)),)="1111",OFFSET(TH!L$1,SMALL(Dong1,ROWS($1:15)),),OFFSET(TH!M$1,SMALL(Dong1,ROWS($1:15)),)))</f>
        <v>5111</v>
      </c>
      <c r="G28" s="123">
        <f ca="1">IF(ROWS($1:15)&gt;COUNT(Dong1),"",IF(OFFSET(TH!L$1,SMALL(Dong1,ROWS($1:15)),)="1111",OFFSET(TH!K$1,SMALL(Dong1,ROWS($1:15)),),0))</f>
        <v>12055000</v>
      </c>
      <c r="H28" s="121">
        <f ca="1">IF(ROWS($1:15)&gt;COUNT(Dong1),"",IF(OFFSET(TH!M$1,SMALL(Dong1,ROWS($1:15)),)="1111",OFFSET(TH!K$1,SMALL(Dong1,ROWS($1:15)),),0))</f>
        <v>0</v>
      </c>
      <c r="I28" s="119">
        <f t="shared" ca="1" si="0"/>
        <v>2462611202</v>
      </c>
      <c r="J28" s="124"/>
      <c r="N28" s="605"/>
      <c r="O28" s="605"/>
    </row>
    <row r="29" spans="1:15" ht="21.75" customHeight="1">
      <c r="A29" s="118">
        <f ca="1">IF(ROWS($1:16)&gt;COUNT(Dong1),"",OFFSET(TH!C$1,SMALL(Dong1,ROWS($1:16)),))</f>
        <v>42285</v>
      </c>
      <c r="B29" s="118">
        <f ca="1">IF(ROWS($1:16)&gt;COUNT(Dong1),"",OFFSET(TH!E$1,SMALL(Dong1,ROWS($1:16)),))</f>
        <v>42285</v>
      </c>
      <c r="C29" s="119" t="str">
        <f ca="1">IF(ROWS($1:16)&gt;COUNT(Dong1),"",IF(OFFSET(TH!L$1,SMALL(Dong1,ROWS($1:16)),)="1111",OFFSET(TH!D$1,SMALL(Dong1,ROWS($1:16)),),""))</f>
        <v>T06</v>
      </c>
      <c r="D29" s="120" t="str">
        <f ca="1">IF(ROWS($1:16)&gt;COUNT(Dong1),"",IF(OFFSET(TH!M$1,SMALL(Dong1,ROWS($1:16)),)="1111",OFFSET(TH!D$1,SMALL(Dong1,ROWS($1:16)),),""))</f>
        <v/>
      </c>
      <c r="E29" s="215" t="str">
        <f ca="1">IF(ROWS($1:16)&gt;COUNT(Dong1),"",OFFSET(TH!F$1,SMALL(Dong1,ROWS($1:16)),))</f>
        <v>VAT Cước vận chuyển</v>
      </c>
      <c r="F29" s="122" t="str">
        <f ca="1">IF(ROWS($1:16)&gt;COUNT(Dong1),"",IF(OFFSET(TH!M$1,SMALL(Dong1,ROWS($1:16)),)="1111",OFFSET(TH!L$1,SMALL(Dong1,ROWS($1:16)),),OFFSET(TH!M$1,SMALL(Dong1,ROWS($1:16)),)))</f>
        <v>3331</v>
      </c>
      <c r="G29" s="123">
        <f ca="1">IF(ROWS($1:16)&gt;COUNT(Dong1),"",IF(OFFSET(TH!L$1,SMALL(Dong1,ROWS($1:16)),)="1111",OFFSET(TH!K$1,SMALL(Dong1,ROWS($1:16)),),0))</f>
        <v>1205500</v>
      </c>
      <c r="H29" s="121">
        <f ca="1">IF(ROWS($1:16)&gt;COUNT(Dong1),"",IF(OFFSET(TH!M$1,SMALL(Dong1,ROWS($1:16)),)="1111",OFFSET(TH!K$1,SMALL(Dong1,ROWS($1:16)),),0))</f>
        <v>0</v>
      </c>
      <c r="I29" s="119">
        <f t="shared" ca="1" si="0"/>
        <v>2463816702</v>
      </c>
      <c r="J29" s="124"/>
      <c r="N29" s="605"/>
      <c r="O29" s="605"/>
    </row>
    <row r="30" spans="1:15" ht="21.75" customHeight="1">
      <c r="A30" s="118">
        <f ca="1">IF(ROWS($1:17)&gt;COUNT(Dong1),"",OFFSET(TH!C$1,SMALL(Dong1,ROWS($1:17)),))</f>
        <v>42285</v>
      </c>
      <c r="B30" s="118">
        <f ca="1">IF(ROWS($1:17)&gt;COUNT(Dong1),"",OFFSET(TH!E$1,SMALL(Dong1,ROWS($1:17)),))</f>
        <v>42285</v>
      </c>
      <c r="C30" s="119" t="str">
        <f ca="1">IF(ROWS($1:17)&gt;COUNT(Dong1),"",IF(OFFSET(TH!L$1,SMALL(Dong1,ROWS($1:17)),)="1111",OFFSET(TH!D$1,SMALL(Dong1,ROWS($1:17)),),""))</f>
        <v>T07</v>
      </c>
      <c r="D30" s="120" t="str">
        <f ca="1">IF(ROWS($1:17)&gt;COUNT(Dong1),"",IF(OFFSET(TH!M$1,SMALL(Dong1,ROWS($1:17)),)="1111",OFFSET(TH!D$1,SMALL(Dong1,ROWS($1:17)),),""))</f>
        <v/>
      </c>
      <c r="E30" s="215" t="str">
        <f ca="1">IF(ROWS($1:17)&gt;COUNT(Dong1),"",OFFSET(TH!F$1,SMALL(Dong1,ROWS($1:17)),))</f>
        <v>Thu tiền hàng</v>
      </c>
      <c r="F30" s="122" t="str">
        <f ca="1">IF(ROWS($1:17)&gt;COUNT(Dong1),"",IF(OFFSET(TH!M$1,SMALL(Dong1,ROWS($1:17)),)="1111",OFFSET(TH!L$1,SMALL(Dong1,ROWS($1:17)),),OFFSET(TH!M$1,SMALL(Dong1,ROWS($1:17)),)))</f>
        <v>131</v>
      </c>
      <c r="G30" s="123">
        <f ca="1">IF(ROWS($1:17)&gt;COUNT(Dong1),"",IF(OFFSET(TH!L$1,SMALL(Dong1,ROWS($1:17)),)="1111",OFFSET(TH!K$1,SMALL(Dong1,ROWS($1:17)),),0))</f>
        <v>8624000</v>
      </c>
      <c r="H30" s="121">
        <f ca="1">IF(ROWS($1:17)&gt;COUNT(Dong1),"",IF(OFFSET(TH!M$1,SMALL(Dong1,ROWS($1:17)),)="1111",OFFSET(TH!K$1,SMALL(Dong1,ROWS($1:17)),),0))</f>
        <v>0</v>
      </c>
      <c r="I30" s="119">
        <f t="shared" ca="1" si="0"/>
        <v>2472440702</v>
      </c>
      <c r="J30" s="124"/>
      <c r="N30" s="605"/>
      <c r="O30" s="605"/>
    </row>
    <row r="31" spans="1:15" ht="21.75" customHeight="1">
      <c r="A31" s="118">
        <f ca="1">IF(ROWS($1:18)&gt;COUNT(Dong1),"",OFFSET(TH!C$1,SMALL(Dong1,ROWS($1:18)),))</f>
        <v>42287</v>
      </c>
      <c r="B31" s="118">
        <f ca="1">IF(ROWS($1:18)&gt;COUNT(Dong1),"",OFFSET(TH!E$1,SMALL(Dong1,ROWS($1:18)),))</f>
        <v>42287</v>
      </c>
      <c r="C31" s="119" t="str">
        <f ca="1">IF(ROWS($1:18)&gt;COUNT(Dong1),"",IF(OFFSET(TH!L$1,SMALL(Dong1,ROWS($1:18)),)="1111",OFFSET(TH!D$1,SMALL(Dong1,ROWS($1:18)),),""))</f>
        <v>T08</v>
      </c>
      <c r="D31" s="120" t="str">
        <f ca="1">IF(ROWS($1:18)&gt;COUNT(Dong1),"",IF(OFFSET(TH!M$1,SMALL(Dong1,ROWS($1:18)),)="1111",OFFSET(TH!D$1,SMALL(Dong1,ROWS($1:18)),),""))</f>
        <v/>
      </c>
      <c r="E31" s="215" t="str">
        <f ca="1">IF(ROWS($1:18)&gt;COUNT(Dong1),"",OFFSET(TH!F$1,SMALL(Dong1,ROWS($1:18)),))</f>
        <v>Cước vận chuyển</v>
      </c>
      <c r="F31" s="122" t="str">
        <f ca="1">IF(ROWS($1:18)&gt;COUNT(Dong1),"",IF(OFFSET(TH!M$1,SMALL(Dong1,ROWS($1:18)),)="1111",OFFSET(TH!L$1,SMALL(Dong1,ROWS($1:18)),),OFFSET(TH!M$1,SMALL(Dong1,ROWS($1:18)),)))</f>
        <v>5111</v>
      </c>
      <c r="G31" s="123">
        <f ca="1">IF(ROWS($1:18)&gt;COUNT(Dong1),"",IF(OFFSET(TH!L$1,SMALL(Dong1,ROWS($1:18)),)="1111",OFFSET(TH!K$1,SMALL(Dong1,ROWS($1:18)),),0))</f>
        <v>2000000</v>
      </c>
      <c r="H31" s="121">
        <f ca="1">IF(ROWS($1:18)&gt;COUNT(Dong1),"",IF(OFFSET(TH!M$1,SMALL(Dong1,ROWS($1:18)),)="1111",OFFSET(TH!K$1,SMALL(Dong1,ROWS($1:18)),),0))</f>
        <v>0</v>
      </c>
      <c r="I31" s="119">
        <f t="shared" ca="1" si="0"/>
        <v>2474440702</v>
      </c>
      <c r="J31" s="124"/>
      <c r="N31" s="605"/>
      <c r="O31" s="605"/>
    </row>
    <row r="32" spans="1:15" ht="21.75" customHeight="1">
      <c r="A32" s="118">
        <f ca="1">IF(ROWS($1:19)&gt;COUNT(Dong1),"",OFFSET(TH!C$1,SMALL(Dong1,ROWS($1:19)),))</f>
        <v>42287</v>
      </c>
      <c r="B32" s="118">
        <f ca="1">IF(ROWS($1:19)&gt;COUNT(Dong1),"",OFFSET(TH!E$1,SMALL(Dong1,ROWS($1:19)),))</f>
        <v>42287</v>
      </c>
      <c r="C32" s="119" t="str">
        <f ca="1">IF(ROWS($1:19)&gt;COUNT(Dong1),"",IF(OFFSET(TH!L$1,SMALL(Dong1,ROWS($1:19)),)="1111",OFFSET(TH!D$1,SMALL(Dong1,ROWS($1:19)),),""))</f>
        <v>T08</v>
      </c>
      <c r="D32" s="120" t="str">
        <f ca="1">IF(ROWS($1:19)&gt;COUNT(Dong1),"",IF(OFFSET(TH!M$1,SMALL(Dong1,ROWS($1:19)),)="1111",OFFSET(TH!D$1,SMALL(Dong1,ROWS($1:19)),),""))</f>
        <v/>
      </c>
      <c r="E32" s="215" t="str">
        <f ca="1">IF(ROWS($1:19)&gt;COUNT(Dong1),"",OFFSET(TH!F$1,SMALL(Dong1,ROWS($1:19)),))</f>
        <v>VAT Cước vận chuyển</v>
      </c>
      <c r="F32" s="122" t="str">
        <f ca="1">IF(ROWS($1:19)&gt;COUNT(Dong1),"",IF(OFFSET(TH!M$1,SMALL(Dong1,ROWS($1:19)),)="1111",OFFSET(TH!L$1,SMALL(Dong1,ROWS($1:19)),),OFFSET(TH!M$1,SMALL(Dong1,ROWS($1:19)),)))</f>
        <v>3331</v>
      </c>
      <c r="G32" s="123">
        <f ca="1">IF(ROWS($1:19)&gt;COUNT(Dong1),"",IF(OFFSET(TH!L$1,SMALL(Dong1,ROWS($1:19)),)="1111",OFFSET(TH!K$1,SMALL(Dong1,ROWS($1:19)),),0))</f>
        <v>200000</v>
      </c>
      <c r="H32" s="121">
        <f ca="1">IF(ROWS($1:19)&gt;COUNT(Dong1),"",IF(OFFSET(TH!M$1,SMALL(Dong1,ROWS($1:19)),)="1111",OFFSET(TH!K$1,SMALL(Dong1,ROWS($1:19)),),0))</f>
        <v>0</v>
      </c>
      <c r="I32" s="119">
        <f t="shared" ca="1" si="0"/>
        <v>2474640702</v>
      </c>
      <c r="J32" s="124"/>
      <c r="N32" s="605"/>
      <c r="O32" s="605"/>
    </row>
    <row r="33" spans="1:15" ht="21.75" customHeight="1">
      <c r="A33" s="118">
        <f ca="1">IF(ROWS($1:20)&gt;COUNT(Dong1),"",OFFSET(TH!C$1,SMALL(Dong1,ROWS($1:20)),))</f>
        <v>42289</v>
      </c>
      <c r="B33" s="118">
        <f ca="1">IF(ROWS($1:20)&gt;COUNT(Dong1),"",OFFSET(TH!E$1,SMALL(Dong1,ROWS($1:20)),))</f>
        <v>42289</v>
      </c>
      <c r="C33" s="119" t="str">
        <f ca="1">IF(ROWS($1:20)&gt;COUNT(Dong1),"",IF(OFFSET(TH!L$1,SMALL(Dong1,ROWS($1:20)),)="1111",OFFSET(TH!D$1,SMALL(Dong1,ROWS($1:20)),),""))</f>
        <v>T09</v>
      </c>
      <c r="D33" s="120" t="str">
        <f ca="1">IF(ROWS($1:20)&gt;COUNT(Dong1),"",IF(OFFSET(TH!M$1,SMALL(Dong1,ROWS($1:20)),)="1111",OFFSET(TH!D$1,SMALL(Dong1,ROWS($1:20)),),""))</f>
        <v/>
      </c>
      <c r="E33" s="215" t="str">
        <f ca="1">IF(ROWS($1:20)&gt;COUNT(Dong1),"",OFFSET(TH!F$1,SMALL(Dong1,ROWS($1:20)),))</f>
        <v>Thu tiền hàng</v>
      </c>
      <c r="F33" s="122" t="str">
        <f ca="1">IF(ROWS($1:20)&gt;COUNT(Dong1),"",IF(OFFSET(TH!M$1,SMALL(Dong1,ROWS($1:20)),)="1111",OFFSET(TH!L$1,SMALL(Dong1,ROWS($1:20)),),OFFSET(TH!M$1,SMALL(Dong1,ROWS($1:20)),)))</f>
        <v>131</v>
      </c>
      <c r="G33" s="123">
        <f ca="1">IF(ROWS($1:20)&gt;COUNT(Dong1),"",IF(OFFSET(TH!L$1,SMALL(Dong1,ROWS($1:20)),)="1111",OFFSET(TH!K$1,SMALL(Dong1,ROWS($1:20)),),0))</f>
        <v>12936000</v>
      </c>
      <c r="H33" s="121">
        <f ca="1">IF(ROWS($1:20)&gt;COUNT(Dong1),"",IF(OFFSET(TH!M$1,SMALL(Dong1,ROWS($1:20)),)="1111",OFFSET(TH!K$1,SMALL(Dong1,ROWS($1:20)),),0))</f>
        <v>0</v>
      </c>
      <c r="I33" s="119">
        <f t="shared" ca="1" si="0"/>
        <v>2487576702</v>
      </c>
      <c r="J33" s="124"/>
      <c r="N33" s="605"/>
      <c r="O33" s="605"/>
    </row>
    <row r="34" spans="1:15" ht="21.75" customHeight="1">
      <c r="A34" s="118">
        <f ca="1">IF(ROWS($1:21)&gt;COUNT(Dong1),"",OFFSET(TH!C$1,SMALL(Dong1,ROWS($1:21)),))</f>
        <v>42290</v>
      </c>
      <c r="B34" s="118">
        <f ca="1">IF(ROWS($1:21)&gt;COUNT(Dong1),"",OFFSET(TH!E$1,SMALL(Dong1,ROWS($1:21)),))</f>
        <v>42290</v>
      </c>
      <c r="C34" s="119" t="str">
        <f ca="1">IF(ROWS($1:21)&gt;COUNT(Dong1),"",IF(OFFSET(TH!L$1,SMALL(Dong1,ROWS($1:21)),)="1111",OFFSET(TH!D$1,SMALL(Dong1,ROWS($1:21)),),""))</f>
        <v>T10</v>
      </c>
      <c r="D34" s="120" t="str">
        <f ca="1">IF(ROWS($1:21)&gt;COUNT(Dong1),"",IF(OFFSET(TH!M$1,SMALL(Dong1,ROWS($1:21)),)="1111",OFFSET(TH!D$1,SMALL(Dong1,ROWS($1:21)),),""))</f>
        <v/>
      </c>
      <c r="E34" s="215" t="str">
        <f ca="1">IF(ROWS($1:21)&gt;COUNT(Dong1),"",OFFSET(TH!F$1,SMALL(Dong1,ROWS($1:21)),))</f>
        <v>Thu tiền hàng</v>
      </c>
      <c r="F34" s="122" t="str">
        <f ca="1">IF(ROWS($1:21)&gt;COUNT(Dong1),"",IF(OFFSET(TH!M$1,SMALL(Dong1,ROWS($1:21)),)="1111",OFFSET(TH!L$1,SMALL(Dong1,ROWS($1:21)),),OFFSET(TH!M$1,SMALL(Dong1,ROWS($1:21)),)))</f>
        <v>131</v>
      </c>
      <c r="G34" s="123">
        <f ca="1">IF(ROWS($1:21)&gt;COUNT(Dong1),"",IF(OFFSET(TH!L$1,SMALL(Dong1,ROWS($1:21)),)="1111",OFFSET(TH!K$1,SMALL(Dong1,ROWS($1:21)),),0))</f>
        <v>1801800</v>
      </c>
      <c r="H34" s="121">
        <f ca="1">IF(ROWS($1:21)&gt;COUNT(Dong1),"",IF(OFFSET(TH!M$1,SMALL(Dong1,ROWS($1:21)),)="1111",OFFSET(TH!K$1,SMALL(Dong1,ROWS($1:21)),),0))</f>
        <v>0</v>
      </c>
      <c r="I34" s="119">
        <f t="shared" ca="1" si="0"/>
        <v>2489378502</v>
      </c>
      <c r="J34" s="124"/>
      <c r="N34" s="605"/>
      <c r="O34" s="605"/>
    </row>
    <row r="35" spans="1:15" ht="21.75" customHeight="1">
      <c r="A35" s="118">
        <f ca="1">IF(ROWS($1:22)&gt;COUNT(Dong1),"",OFFSET(TH!C$1,SMALL(Dong1,ROWS($1:22)),))</f>
        <v>42291</v>
      </c>
      <c r="B35" s="118">
        <f ca="1">IF(ROWS($1:22)&gt;COUNT(Dong1),"",OFFSET(TH!E$1,SMALL(Dong1,ROWS($1:22)),))</f>
        <v>42291</v>
      </c>
      <c r="C35" s="119" t="str">
        <f ca="1">IF(ROWS($1:22)&gt;COUNT(Dong1),"",IF(OFFSET(TH!L$1,SMALL(Dong1,ROWS($1:22)),)="1111",OFFSET(TH!D$1,SMALL(Dong1,ROWS($1:22)),),""))</f>
        <v>T11</v>
      </c>
      <c r="D35" s="120" t="str">
        <f ca="1">IF(ROWS($1:22)&gt;COUNT(Dong1),"",IF(OFFSET(TH!M$1,SMALL(Dong1,ROWS($1:22)),)="1111",OFFSET(TH!D$1,SMALL(Dong1,ROWS($1:22)),),""))</f>
        <v/>
      </c>
      <c r="E35" s="215" t="str">
        <f ca="1">IF(ROWS($1:22)&gt;COUNT(Dong1),"",OFFSET(TH!F$1,SMALL(Dong1,ROWS($1:22)),))</f>
        <v>Rút sec nhập quỹ tiền mặt</v>
      </c>
      <c r="F35" s="122" t="str">
        <f ca="1">IF(ROWS($1:22)&gt;COUNT(Dong1),"",IF(OFFSET(TH!M$1,SMALL(Dong1,ROWS($1:22)),)="1111",OFFSET(TH!L$1,SMALL(Dong1,ROWS($1:22)),),OFFSET(TH!M$1,SMALL(Dong1,ROWS($1:22)),)))</f>
        <v>1121</v>
      </c>
      <c r="G35" s="123">
        <f ca="1">IF(ROWS($1:22)&gt;COUNT(Dong1),"",IF(OFFSET(TH!L$1,SMALL(Dong1,ROWS($1:22)),)="1111",OFFSET(TH!K$1,SMALL(Dong1,ROWS($1:22)),),0))</f>
        <v>4700000</v>
      </c>
      <c r="H35" s="121">
        <f ca="1">IF(ROWS($1:22)&gt;COUNT(Dong1),"",IF(OFFSET(TH!M$1,SMALL(Dong1,ROWS($1:22)),)="1111",OFFSET(TH!K$1,SMALL(Dong1,ROWS($1:22)),),0))</f>
        <v>0</v>
      </c>
      <c r="I35" s="119">
        <f t="shared" ca="1" si="0"/>
        <v>2494078502</v>
      </c>
      <c r="J35" s="124"/>
      <c r="N35" s="605"/>
      <c r="O35" s="605"/>
    </row>
    <row r="36" spans="1:15" ht="21.75" customHeight="1">
      <c r="A36" s="118">
        <f ca="1">IF(ROWS($1:23)&gt;COUNT(Dong1),"",OFFSET(TH!C$1,SMALL(Dong1,ROWS($1:23)),))</f>
        <v>42298</v>
      </c>
      <c r="B36" s="118">
        <f ca="1">IF(ROWS($1:23)&gt;COUNT(Dong1),"",OFFSET(TH!E$1,SMALL(Dong1,ROWS($1:23)),))</f>
        <v>42298</v>
      </c>
      <c r="C36" s="119" t="str">
        <f ca="1">IF(ROWS($1:23)&gt;COUNT(Dong1),"",IF(OFFSET(TH!L$1,SMALL(Dong1,ROWS($1:23)),)="1111",OFFSET(TH!D$1,SMALL(Dong1,ROWS($1:23)),),""))</f>
        <v/>
      </c>
      <c r="D36" s="120" t="str">
        <f ca="1">IF(ROWS($1:23)&gt;COUNT(Dong1),"",IF(OFFSET(TH!M$1,SMALL(Dong1,ROWS($1:23)),)="1111",OFFSET(TH!D$1,SMALL(Dong1,ROWS($1:23)),),""))</f>
        <v>C06</v>
      </c>
      <c r="E36" s="215" t="str">
        <f ca="1">IF(ROWS($1:23)&gt;COUNT(Dong1),"",OFFSET(TH!F$1,SMALL(Dong1,ROWS($1:23)),))</f>
        <v>Nộp tiền mặt vào tài khoản</v>
      </c>
      <c r="F36" s="122" t="str">
        <f ca="1">IF(ROWS($1:23)&gt;COUNT(Dong1),"",IF(OFFSET(TH!M$1,SMALL(Dong1,ROWS($1:23)),)="1111",OFFSET(TH!L$1,SMALL(Dong1,ROWS($1:23)),),OFFSET(TH!M$1,SMALL(Dong1,ROWS($1:23)),)))</f>
        <v>1121</v>
      </c>
      <c r="G36" s="123">
        <f ca="1">IF(ROWS($1:23)&gt;COUNT(Dong1),"",IF(OFFSET(TH!L$1,SMALL(Dong1,ROWS($1:23)),)="1111",OFFSET(TH!K$1,SMALL(Dong1,ROWS($1:23)),),0))</f>
        <v>0</v>
      </c>
      <c r="H36" s="121">
        <f ca="1">IF(ROWS($1:23)&gt;COUNT(Dong1),"",IF(OFFSET(TH!M$1,SMALL(Dong1,ROWS($1:23)),)="1111",OFFSET(TH!K$1,SMALL(Dong1,ROWS($1:23)),),0))</f>
        <v>17500000</v>
      </c>
      <c r="I36" s="119">
        <f t="shared" ca="1" si="0"/>
        <v>2476578502</v>
      </c>
      <c r="J36" s="124"/>
      <c r="N36" s="605"/>
      <c r="O36" s="605"/>
    </row>
    <row r="37" spans="1:15" ht="21.75" customHeight="1">
      <c r="A37" s="118">
        <f ca="1">IF(ROWS($1:24)&gt;COUNT(Dong1),"",OFFSET(TH!C$1,SMALL(Dong1,ROWS($1:24)),))</f>
        <v>42299</v>
      </c>
      <c r="B37" s="118">
        <f ca="1">IF(ROWS($1:24)&gt;COUNT(Dong1),"",OFFSET(TH!E$1,SMALL(Dong1,ROWS($1:24)),))</f>
        <v>42299</v>
      </c>
      <c r="C37" s="119" t="str">
        <f ca="1">IF(ROWS($1:24)&gt;COUNT(Dong1),"",IF(OFFSET(TH!L$1,SMALL(Dong1,ROWS($1:24)),)="1111",OFFSET(TH!D$1,SMALL(Dong1,ROWS($1:24)),),""))</f>
        <v>T12</v>
      </c>
      <c r="D37" s="120" t="str">
        <f ca="1">IF(ROWS($1:24)&gt;COUNT(Dong1),"",IF(OFFSET(TH!M$1,SMALL(Dong1,ROWS($1:24)),)="1111",OFFSET(TH!D$1,SMALL(Dong1,ROWS($1:24)),),""))</f>
        <v/>
      </c>
      <c r="E37" s="215" t="str">
        <f ca="1">IF(ROWS($1:24)&gt;COUNT(Dong1),"",OFFSET(TH!F$1,SMALL(Dong1,ROWS($1:24)),))</f>
        <v>Thu tiền hàng</v>
      </c>
      <c r="F37" s="122" t="str">
        <f ca="1">IF(ROWS($1:24)&gt;COUNT(Dong1),"",IF(OFFSET(TH!M$1,SMALL(Dong1,ROWS($1:24)),)="1111",OFFSET(TH!L$1,SMALL(Dong1,ROWS($1:24)),),OFFSET(TH!M$1,SMALL(Dong1,ROWS($1:24)),)))</f>
        <v>131</v>
      </c>
      <c r="G37" s="123">
        <f ca="1">IF(ROWS($1:24)&gt;COUNT(Dong1),"",IF(OFFSET(TH!L$1,SMALL(Dong1,ROWS($1:24)),)="1111",OFFSET(TH!K$1,SMALL(Dong1,ROWS($1:24)),),0))</f>
        <v>9625000</v>
      </c>
      <c r="H37" s="121">
        <f ca="1">IF(ROWS($1:24)&gt;COUNT(Dong1),"",IF(OFFSET(TH!M$1,SMALL(Dong1,ROWS($1:24)),)="1111",OFFSET(TH!K$1,SMALL(Dong1,ROWS($1:24)),),0))</f>
        <v>0</v>
      </c>
      <c r="I37" s="119">
        <f t="shared" ca="1" si="0"/>
        <v>2486203502</v>
      </c>
      <c r="J37" s="124"/>
      <c r="N37" s="605"/>
      <c r="O37" s="605"/>
    </row>
    <row r="38" spans="1:15" ht="21.75" customHeight="1">
      <c r="A38" s="118">
        <f ca="1">IF(ROWS($1:25)&gt;COUNT(Dong1),"",OFFSET(TH!C$1,SMALL(Dong1,ROWS($1:25)),))</f>
        <v>42301</v>
      </c>
      <c r="B38" s="118">
        <f ca="1">IF(ROWS($1:25)&gt;COUNT(Dong1),"",OFFSET(TH!E$1,SMALL(Dong1,ROWS($1:25)),))</f>
        <v>42301</v>
      </c>
      <c r="C38" s="119" t="str">
        <f ca="1">IF(ROWS($1:25)&gt;COUNT(Dong1),"",IF(OFFSET(TH!L$1,SMALL(Dong1,ROWS($1:25)),)="1111",OFFSET(TH!D$1,SMALL(Dong1,ROWS($1:25)),),""))</f>
        <v>T13</v>
      </c>
      <c r="D38" s="120" t="str">
        <f ca="1">IF(ROWS($1:25)&gt;COUNT(Dong1),"",IF(OFFSET(TH!M$1,SMALL(Dong1,ROWS($1:25)),)="1111",OFFSET(TH!D$1,SMALL(Dong1,ROWS($1:25)),),""))</f>
        <v/>
      </c>
      <c r="E38" s="215" t="str">
        <f ca="1">IF(ROWS($1:25)&gt;COUNT(Dong1),"",OFFSET(TH!F$1,SMALL(Dong1,ROWS($1:25)),))</f>
        <v>Thu tiền hàng</v>
      </c>
      <c r="F38" s="122" t="str">
        <f ca="1">IF(ROWS($1:25)&gt;COUNT(Dong1),"",IF(OFFSET(TH!M$1,SMALL(Dong1,ROWS($1:25)),)="1111",OFFSET(TH!L$1,SMALL(Dong1,ROWS($1:25)),),OFFSET(TH!M$1,SMALL(Dong1,ROWS($1:25)),)))</f>
        <v>131</v>
      </c>
      <c r="G38" s="123">
        <f ca="1">IF(ROWS($1:25)&gt;COUNT(Dong1),"",IF(OFFSET(TH!L$1,SMALL(Dong1,ROWS($1:25)),)="1111",OFFSET(TH!K$1,SMALL(Dong1,ROWS($1:25)),),0))</f>
        <v>4246000</v>
      </c>
      <c r="H38" s="121">
        <f ca="1">IF(ROWS($1:25)&gt;COUNT(Dong1),"",IF(OFFSET(TH!M$1,SMALL(Dong1,ROWS($1:25)),)="1111",OFFSET(TH!K$1,SMALL(Dong1,ROWS($1:25)),),0))</f>
        <v>0</v>
      </c>
      <c r="I38" s="119">
        <f t="shared" ca="1" si="0"/>
        <v>2490449502</v>
      </c>
      <c r="J38" s="124"/>
      <c r="N38" s="605"/>
      <c r="O38" s="605"/>
    </row>
    <row r="39" spans="1:15" ht="21.75" customHeight="1">
      <c r="A39" s="118">
        <f ca="1">IF(ROWS($1:26)&gt;COUNT(Dong1),"",OFFSET(TH!C$1,SMALL(Dong1,ROWS($1:26)),))</f>
        <v>42303</v>
      </c>
      <c r="B39" s="118">
        <f ca="1">IF(ROWS($1:26)&gt;COUNT(Dong1),"",OFFSET(TH!E$1,SMALL(Dong1,ROWS($1:26)),))</f>
        <v>42303</v>
      </c>
      <c r="C39" s="119" t="str">
        <f ca="1">IF(ROWS($1:26)&gt;COUNT(Dong1),"",IF(OFFSET(TH!L$1,SMALL(Dong1,ROWS($1:26)),)="1111",OFFSET(TH!D$1,SMALL(Dong1,ROWS($1:26)),),""))</f>
        <v/>
      </c>
      <c r="D39" s="120" t="str">
        <f ca="1">IF(ROWS($1:26)&gt;COUNT(Dong1),"",IF(OFFSET(TH!M$1,SMALL(Dong1,ROWS($1:26)),)="1111",OFFSET(TH!D$1,SMALL(Dong1,ROWS($1:26)),),""))</f>
        <v>C07</v>
      </c>
      <c r="E39" s="215" t="str">
        <f ca="1">IF(ROWS($1:26)&gt;COUNT(Dong1),"",OFFSET(TH!F$1,SMALL(Dong1,ROWS($1:26)),))</f>
        <v>ADSL</v>
      </c>
      <c r="F39" s="122" t="str">
        <f ca="1">IF(ROWS($1:26)&gt;COUNT(Dong1),"",IF(OFFSET(TH!M$1,SMALL(Dong1,ROWS($1:26)),)="1111",OFFSET(TH!L$1,SMALL(Dong1,ROWS($1:26)),),OFFSET(TH!M$1,SMALL(Dong1,ROWS($1:26)),)))</f>
        <v>642</v>
      </c>
      <c r="G39" s="123">
        <f ca="1">IF(ROWS($1:26)&gt;COUNT(Dong1),"",IF(OFFSET(TH!L$1,SMALL(Dong1,ROWS($1:26)),)="1111",OFFSET(TH!K$1,SMALL(Dong1,ROWS($1:26)),),0))</f>
        <v>0</v>
      </c>
      <c r="H39" s="121">
        <f ca="1">IF(ROWS($1:26)&gt;COUNT(Dong1),"",IF(OFFSET(TH!M$1,SMALL(Dong1,ROWS($1:26)),)="1111",OFFSET(TH!K$1,SMALL(Dong1,ROWS($1:26)),),0))</f>
        <v>386364</v>
      </c>
      <c r="I39" s="119">
        <f t="shared" ca="1" si="0"/>
        <v>2490063138</v>
      </c>
      <c r="J39" s="124"/>
      <c r="N39" s="605"/>
      <c r="O39" s="605"/>
    </row>
    <row r="40" spans="1:15" ht="21.75" customHeight="1">
      <c r="A40" s="118">
        <f ca="1">IF(ROWS($1:27)&gt;COUNT(Dong1),"",OFFSET(TH!C$1,SMALL(Dong1,ROWS($1:27)),))</f>
        <v>42303</v>
      </c>
      <c r="B40" s="118">
        <f ca="1">IF(ROWS($1:27)&gt;COUNT(Dong1),"",OFFSET(TH!E$1,SMALL(Dong1,ROWS($1:27)),))</f>
        <v>42303</v>
      </c>
      <c r="C40" s="119" t="str">
        <f ca="1">IF(ROWS($1:27)&gt;COUNT(Dong1),"",IF(OFFSET(TH!L$1,SMALL(Dong1,ROWS($1:27)),)="1111",OFFSET(TH!D$1,SMALL(Dong1,ROWS($1:27)),),""))</f>
        <v/>
      </c>
      <c r="D40" s="120" t="str">
        <f ca="1">IF(ROWS($1:27)&gt;COUNT(Dong1),"",IF(OFFSET(TH!M$1,SMALL(Dong1,ROWS($1:27)),)="1111",OFFSET(TH!D$1,SMALL(Dong1,ROWS($1:27)),),""))</f>
        <v>C07</v>
      </c>
      <c r="E40" s="215" t="str">
        <f ca="1">IF(ROWS($1:27)&gt;COUNT(Dong1),"",OFFSET(TH!F$1,SMALL(Dong1,ROWS($1:27)),))</f>
        <v>VAT ADSL</v>
      </c>
      <c r="F40" s="122" t="str">
        <f ca="1">IF(ROWS($1:27)&gt;COUNT(Dong1),"",IF(OFFSET(TH!M$1,SMALL(Dong1,ROWS($1:27)),)="1111",OFFSET(TH!L$1,SMALL(Dong1,ROWS($1:27)),),OFFSET(TH!M$1,SMALL(Dong1,ROWS($1:27)),)))</f>
        <v>1331</v>
      </c>
      <c r="G40" s="123">
        <f ca="1">IF(ROWS($1:27)&gt;COUNT(Dong1),"",IF(OFFSET(TH!L$1,SMALL(Dong1,ROWS($1:27)),)="1111",OFFSET(TH!K$1,SMALL(Dong1,ROWS($1:27)),),0))</f>
        <v>0</v>
      </c>
      <c r="H40" s="121">
        <f ca="1">IF(ROWS($1:27)&gt;COUNT(Dong1),"",IF(OFFSET(TH!M$1,SMALL(Dong1,ROWS($1:27)),)="1111",OFFSET(TH!K$1,SMALL(Dong1,ROWS($1:27)),),0))</f>
        <v>38636</v>
      </c>
      <c r="I40" s="119">
        <f t="shared" ca="1" si="0"/>
        <v>2490024502</v>
      </c>
      <c r="J40" s="124"/>
      <c r="N40" s="605"/>
      <c r="O40" s="605"/>
    </row>
    <row r="41" spans="1:15" ht="21.75" customHeight="1">
      <c r="A41" s="118">
        <f ca="1">IF(ROWS($1:28)&gt;COUNT(Dong1),"",OFFSET(TH!C$1,SMALL(Dong1,ROWS($1:28)),))</f>
        <v>42304</v>
      </c>
      <c r="B41" s="118">
        <f ca="1">IF(ROWS($1:28)&gt;COUNT(Dong1),"",OFFSET(TH!E$1,SMALL(Dong1,ROWS($1:28)),))</f>
        <v>42304</v>
      </c>
      <c r="C41" s="119" t="str">
        <f ca="1">IF(ROWS($1:28)&gt;COUNT(Dong1),"",IF(OFFSET(TH!L$1,SMALL(Dong1,ROWS($1:28)),)="1111",OFFSET(TH!D$1,SMALL(Dong1,ROWS($1:28)),),""))</f>
        <v/>
      </c>
      <c r="D41" s="120" t="str">
        <f ca="1">IF(ROWS($1:28)&gt;COUNT(Dong1),"",IF(OFFSET(TH!M$1,SMALL(Dong1,ROWS($1:28)),)="1111",OFFSET(TH!D$1,SMALL(Dong1,ROWS($1:28)),),""))</f>
        <v>C08</v>
      </c>
      <c r="E41" s="215" t="str">
        <f ca="1">IF(ROWS($1:28)&gt;COUNT(Dong1),"",OFFSET(TH!F$1,SMALL(Dong1,ROWS($1:28)),))</f>
        <v>Thanh toán tiền hàng</v>
      </c>
      <c r="F41" s="122" t="str">
        <f ca="1">IF(ROWS($1:28)&gt;COUNT(Dong1),"",IF(OFFSET(TH!M$1,SMALL(Dong1,ROWS($1:28)),)="1111",OFFSET(TH!L$1,SMALL(Dong1,ROWS($1:28)),),OFFSET(TH!M$1,SMALL(Dong1,ROWS($1:28)),)))</f>
        <v>331</v>
      </c>
      <c r="G41" s="123">
        <f ca="1">IF(ROWS($1:28)&gt;COUNT(Dong1),"",IF(OFFSET(TH!L$1,SMALL(Dong1,ROWS($1:28)),)="1111",OFFSET(TH!K$1,SMALL(Dong1,ROWS($1:28)),),0))</f>
        <v>0</v>
      </c>
      <c r="H41" s="121">
        <f ca="1">IF(ROWS($1:28)&gt;COUNT(Dong1),"",IF(OFFSET(TH!M$1,SMALL(Dong1,ROWS($1:28)),)="1111",OFFSET(TH!K$1,SMALL(Dong1,ROWS($1:28)),),0))</f>
        <v>19503634</v>
      </c>
      <c r="I41" s="119">
        <f t="shared" ca="1" si="0"/>
        <v>2470520868</v>
      </c>
      <c r="J41" s="124"/>
      <c r="N41" s="605"/>
      <c r="O41" s="605"/>
    </row>
    <row r="42" spans="1:15" ht="21.75" customHeight="1">
      <c r="A42" s="118">
        <f ca="1">IF(ROWS($1:29)&gt;COUNT(Dong1),"",OFFSET(TH!C$1,SMALL(Dong1,ROWS($1:29)),))</f>
        <v>42305</v>
      </c>
      <c r="B42" s="118">
        <f ca="1">IF(ROWS($1:29)&gt;COUNT(Dong1),"",OFFSET(TH!E$1,SMALL(Dong1,ROWS($1:29)),))</f>
        <v>42305</v>
      </c>
      <c r="C42" s="119" t="str">
        <f ca="1">IF(ROWS($1:29)&gt;COUNT(Dong1),"",IF(OFFSET(TH!L$1,SMALL(Dong1,ROWS($1:29)),)="1111",OFFSET(TH!D$1,SMALL(Dong1,ROWS($1:29)),),""))</f>
        <v>T14</v>
      </c>
      <c r="D42" s="120" t="str">
        <f ca="1">IF(ROWS($1:29)&gt;COUNT(Dong1),"",IF(OFFSET(TH!M$1,SMALL(Dong1,ROWS($1:29)),)="1111",OFFSET(TH!D$1,SMALL(Dong1,ROWS($1:29)),),""))</f>
        <v/>
      </c>
      <c r="E42" s="215" t="str">
        <f ca="1">IF(ROWS($1:29)&gt;COUNT(Dong1),"",OFFSET(TH!F$1,SMALL(Dong1,ROWS($1:29)),))</f>
        <v>Thu tiền hàng</v>
      </c>
      <c r="F42" s="122" t="str">
        <f ca="1">IF(ROWS($1:29)&gt;COUNT(Dong1),"",IF(OFFSET(TH!M$1,SMALL(Dong1,ROWS($1:29)),)="1111",OFFSET(TH!L$1,SMALL(Dong1,ROWS($1:29)),),OFFSET(TH!M$1,SMALL(Dong1,ROWS($1:29)),)))</f>
        <v>131</v>
      </c>
      <c r="G42" s="123">
        <f ca="1">IF(ROWS($1:29)&gt;COUNT(Dong1),"",IF(OFFSET(TH!L$1,SMALL(Dong1,ROWS($1:29)),)="1111",OFFSET(TH!K$1,SMALL(Dong1,ROWS($1:29)),),0))</f>
        <v>13880225</v>
      </c>
      <c r="H42" s="121">
        <f ca="1">IF(ROWS($1:29)&gt;COUNT(Dong1),"",IF(OFFSET(TH!M$1,SMALL(Dong1,ROWS($1:29)),)="1111",OFFSET(TH!K$1,SMALL(Dong1,ROWS($1:29)),),0))</f>
        <v>0</v>
      </c>
      <c r="I42" s="119">
        <f t="shared" ca="1" si="0"/>
        <v>2484401093</v>
      </c>
      <c r="J42" s="124"/>
      <c r="N42" s="605"/>
      <c r="O42" s="605"/>
    </row>
    <row r="43" spans="1:15" ht="21.75" customHeight="1">
      <c r="A43" s="118">
        <f ca="1">IF(ROWS($1:30)&gt;COUNT(Dong1),"",OFFSET(TH!C$1,SMALL(Dong1,ROWS($1:30)),))</f>
        <v>42306</v>
      </c>
      <c r="B43" s="118">
        <f ca="1">IF(ROWS($1:30)&gt;COUNT(Dong1),"",OFFSET(TH!E$1,SMALL(Dong1,ROWS($1:30)),))</f>
        <v>42306</v>
      </c>
      <c r="C43" s="119" t="str">
        <f ca="1">IF(ROWS($1:30)&gt;COUNT(Dong1),"",IF(OFFSET(TH!L$1,SMALL(Dong1,ROWS($1:30)),)="1111",OFFSET(TH!D$1,SMALL(Dong1,ROWS($1:30)),),""))</f>
        <v>T15</v>
      </c>
      <c r="D43" s="120" t="str">
        <f ca="1">IF(ROWS($1:30)&gt;COUNT(Dong1),"",IF(OFFSET(TH!M$1,SMALL(Dong1,ROWS($1:30)),)="1111",OFFSET(TH!D$1,SMALL(Dong1,ROWS($1:30)),),""))</f>
        <v/>
      </c>
      <c r="E43" s="215" t="str">
        <f ca="1">IF(ROWS($1:30)&gt;COUNT(Dong1),"",OFFSET(TH!F$1,SMALL(Dong1,ROWS($1:30)),))</f>
        <v>Rút sec nhập quỹ tiền mặt</v>
      </c>
      <c r="F43" s="122" t="str">
        <f ca="1">IF(ROWS($1:30)&gt;COUNT(Dong1),"",IF(OFFSET(TH!M$1,SMALL(Dong1,ROWS($1:30)),)="1111",OFFSET(TH!L$1,SMALL(Dong1,ROWS($1:30)),),OFFSET(TH!M$1,SMALL(Dong1,ROWS($1:30)),)))</f>
        <v>1121</v>
      </c>
      <c r="G43" s="123">
        <f ca="1">IF(ROWS($1:30)&gt;COUNT(Dong1),"",IF(OFFSET(TH!L$1,SMALL(Dong1,ROWS($1:30)),)="1111",OFFSET(TH!K$1,SMALL(Dong1,ROWS($1:30)),),0))</f>
        <v>26500000</v>
      </c>
      <c r="H43" s="121">
        <f ca="1">IF(ROWS($1:30)&gt;COUNT(Dong1),"",IF(OFFSET(TH!M$1,SMALL(Dong1,ROWS($1:30)),)="1111",OFFSET(TH!K$1,SMALL(Dong1,ROWS($1:30)),),0))</f>
        <v>0</v>
      </c>
      <c r="I43" s="119">
        <f t="shared" ca="1" si="0"/>
        <v>2510901093</v>
      </c>
      <c r="J43" s="124"/>
      <c r="N43" s="605"/>
      <c r="O43" s="605"/>
    </row>
    <row r="44" spans="1:15" ht="21.75" customHeight="1">
      <c r="A44" s="118">
        <f ca="1">IF(ROWS($1:31)&gt;COUNT(Dong1),"",OFFSET(TH!C$1,SMALL(Dong1,ROWS($1:31)),))</f>
        <v>42307</v>
      </c>
      <c r="B44" s="118">
        <f ca="1">IF(ROWS($1:31)&gt;COUNT(Dong1),"",OFFSET(TH!E$1,SMALL(Dong1,ROWS($1:31)),))</f>
        <v>42307</v>
      </c>
      <c r="C44" s="119" t="str">
        <f ca="1">IF(ROWS($1:31)&gt;COUNT(Dong1),"",IF(OFFSET(TH!L$1,SMALL(Dong1,ROWS($1:31)),)="1111",OFFSET(TH!D$1,SMALL(Dong1,ROWS($1:31)),),""))</f>
        <v/>
      </c>
      <c r="D44" s="120" t="str">
        <f ca="1">IF(ROWS($1:31)&gt;COUNT(Dong1),"",IF(OFFSET(TH!M$1,SMALL(Dong1,ROWS($1:31)),)="1111",OFFSET(TH!D$1,SMALL(Dong1,ROWS($1:31)),),""))</f>
        <v>C09</v>
      </c>
      <c r="E44" s="215" t="str">
        <f ca="1">IF(ROWS($1:31)&gt;COUNT(Dong1),"",OFFSET(TH!F$1,SMALL(Dong1,ROWS($1:31)),))</f>
        <v>Nộp tiền mặt vào tài khoản</v>
      </c>
      <c r="F44" s="122" t="str">
        <f ca="1">IF(ROWS($1:31)&gt;COUNT(Dong1),"",IF(OFFSET(TH!M$1,SMALL(Dong1,ROWS($1:31)),)="1111",OFFSET(TH!L$1,SMALL(Dong1,ROWS($1:31)),),OFFSET(TH!M$1,SMALL(Dong1,ROWS($1:31)),)))</f>
        <v>1121</v>
      </c>
      <c r="G44" s="123">
        <f ca="1">IF(ROWS($1:31)&gt;COUNT(Dong1),"",IF(OFFSET(TH!L$1,SMALL(Dong1,ROWS($1:31)),)="1111",OFFSET(TH!K$1,SMALL(Dong1,ROWS($1:31)),),0))</f>
        <v>0</v>
      </c>
      <c r="H44" s="121">
        <f ca="1">IF(ROWS($1:31)&gt;COUNT(Dong1),"",IF(OFFSET(TH!M$1,SMALL(Dong1,ROWS($1:31)),)="1111",OFFSET(TH!K$1,SMALL(Dong1,ROWS($1:31)),),0))</f>
        <v>255800000</v>
      </c>
      <c r="I44" s="119">
        <f t="shared" ca="1" si="0"/>
        <v>2255101093</v>
      </c>
      <c r="J44" s="124"/>
      <c r="N44" s="605"/>
      <c r="O44" s="605"/>
    </row>
    <row r="45" spans="1:15" ht="21.75" customHeight="1">
      <c r="A45" s="118">
        <f ca="1">IF(ROWS($1:32)&gt;COUNT(Dong1),"",OFFSET(TH!C$1,SMALL(Dong1,ROWS($1:32)),))</f>
        <v>42307</v>
      </c>
      <c r="B45" s="118">
        <f ca="1">IF(ROWS($1:32)&gt;COUNT(Dong1),"",OFFSET(TH!E$1,SMALL(Dong1,ROWS($1:32)),))</f>
        <v>42307</v>
      </c>
      <c r="C45" s="119" t="str">
        <f ca="1">IF(ROWS($1:32)&gt;COUNT(Dong1),"",IF(OFFSET(TH!L$1,SMALL(Dong1,ROWS($1:32)),)="1111",OFFSET(TH!D$1,SMALL(Dong1,ROWS($1:32)),),""))</f>
        <v/>
      </c>
      <c r="D45" s="120" t="str">
        <f ca="1">IF(ROWS($1:32)&gt;COUNT(Dong1),"",IF(OFFSET(TH!M$1,SMALL(Dong1,ROWS($1:32)),)="1111",OFFSET(TH!D$1,SMALL(Dong1,ROWS($1:32)),),""))</f>
        <v>C10</v>
      </c>
      <c r="E45" s="215" t="str">
        <f ca="1">IF(ROWS($1:32)&gt;COUNT(Dong1),"",OFFSET(TH!F$1,SMALL(Dong1,ROWS($1:32)),))</f>
        <v>Nộp tiền mặt vào tài khoản</v>
      </c>
      <c r="F45" s="122" t="str">
        <f ca="1">IF(ROWS($1:32)&gt;COUNT(Dong1),"",IF(OFFSET(TH!M$1,SMALL(Dong1,ROWS($1:32)),)="1111",OFFSET(TH!L$1,SMALL(Dong1,ROWS($1:32)),),OFFSET(TH!M$1,SMALL(Dong1,ROWS($1:32)),)))</f>
        <v>1121</v>
      </c>
      <c r="G45" s="123">
        <f ca="1">IF(ROWS($1:32)&gt;COUNT(Dong1),"",IF(OFFSET(TH!L$1,SMALL(Dong1,ROWS($1:32)),)="1111",OFFSET(TH!K$1,SMALL(Dong1,ROWS($1:32)),),0))</f>
        <v>0</v>
      </c>
      <c r="H45" s="121">
        <f ca="1">IF(ROWS($1:32)&gt;COUNT(Dong1),"",IF(OFFSET(TH!M$1,SMALL(Dong1,ROWS($1:32)),)="1111",OFFSET(TH!K$1,SMALL(Dong1,ROWS($1:32)),),0))</f>
        <v>120000</v>
      </c>
      <c r="I45" s="119">
        <f t="shared" ca="1" si="0"/>
        <v>2254981093</v>
      </c>
      <c r="J45" s="124"/>
      <c r="N45" s="605"/>
      <c r="O45" s="605"/>
    </row>
    <row r="46" spans="1:15" ht="21.75" customHeight="1">
      <c r="A46" s="118">
        <f ca="1">IF(ROWS($1:33)&gt;COUNT(Dong1),"",OFFSET(TH!C$1,SMALL(Dong1,ROWS($1:33)),))</f>
        <v>42307</v>
      </c>
      <c r="B46" s="118">
        <f ca="1">IF(ROWS($1:33)&gt;COUNT(Dong1),"",OFFSET(TH!E$1,SMALL(Dong1,ROWS($1:33)),))</f>
        <v>42307</v>
      </c>
      <c r="C46" s="119" t="str">
        <f ca="1">IF(ROWS($1:33)&gt;COUNT(Dong1),"",IF(OFFSET(TH!L$1,SMALL(Dong1,ROWS($1:33)),)="1111",OFFSET(TH!D$1,SMALL(Dong1,ROWS($1:33)),),""))</f>
        <v/>
      </c>
      <c r="D46" s="120" t="str">
        <f ca="1">IF(ROWS($1:33)&gt;COUNT(Dong1),"",IF(OFFSET(TH!M$1,SMALL(Dong1,ROWS($1:33)),)="1111",OFFSET(TH!D$1,SMALL(Dong1,ROWS($1:33)),),""))</f>
        <v>C11</v>
      </c>
      <c r="E46" s="215" t="str">
        <f ca="1">IF(ROWS($1:33)&gt;COUNT(Dong1),"",OFFSET(TH!F$1,SMALL(Dong1,ROWS($1:33)),))</f>
        <v>Dầu DO</v>
      </c>
      <c r="F46" s="122" t="str">
        <f ca="1">IF(ROWS($1:33)&gt;COUNT(Dong1),"",IF(OFFSET(TH!M$1,SMALL(Dong1,ROWS($1:33)),)="1111",OFFSET(TH!L$1,SMALL(Dong1,ROWS($1:33)),),OFFSET(TH!M$1,SMALL(Dong1,ROWS($1:33)),)))</f>
        <v>642</v>
      </c>
      <c r="G46" s="123">
        <f ca="1">IF(ROWS($1:33)&gt;COUNT(Dong1),"",IF(OFFSET(TH!L$1,SMALL(Dong1,ROWS($1:33)),)="1111",OFFSET(TH!K$1,SMALL(Dong1,ROWS($1:33)),),0))</f>
        <v>0</v>
      </c>
      <c r="H46" s="121">
        <f ca="1">IF(ROWS($1:33)&gt;COUNT(Dong1),"",IF(OFFSET(TH!M$1,SMALL(Dong1,ROWS($1:33)),)="1111",OFFSET(TH!K$1,SMALL(Dong1,ROWS($1:33)),),0))</f>
        <v>13650048</v>
      </c>
      <c r="I46" s="119">
        <f t="shared" ca="1" si="0"/>
        <v>2241331045</v>
      </c>
      <c r="J46" s="124"/>
      <c r="N46" s="605"/>
      <c r="O46" s="605"/>
    </row>
    <row r="47" spans="1:15" ht="21.75" customHeight="1">
      <c r="A47" s="118">
        <f ca="1">IF(ROWS($1:34)&gt;COUNT(Dong1),"",OFFSET(TH!C$1,SMALL(Dong1,ROWS($1:34)),))</f>
        <v>42307</v>
      </c>
      <c r="B47" s="118">
        <f ca="1">IF(ROWS($1:34)&gt;COUNT(Dong1),"",OFFSET(TH!E$1,SMALL(Dong1,ROWS($1:34)),))</f>
        <v>42307</v>
      </c>
      <c r="C47" s="119" t="str">
        <f ca="1">IF(ROWS($1:34)&gt;COUNT(Dong1),"",IF(OFFSET(TH!L$1,SMALL(Dong1,ROWS($1:34)),)="1111",OFFSET(TH!D$1,SMALL(Dong1,ROWS($1:34)),),""))</f>
        <v/>
      </c>
      <c r="D47" s="120" t="str">
        <f ca="1">IF(ROWS($1:34)&gt;COUNT(Dong1),"",IF(OFFSET(TH!M$1,SMALL(Dong1,ROWS($1:34)),)="1111",OFFSET(TH!D$1,SMALL(Dong1,ROWS($1:34)),),""))</f>
        <v>C11</v>
      </c>
      <c r="E47" s="215" t="str">
        <f ca="1">IF(ROWS($1:34)&gt;COUNT(Dong1),"",OFFSET(TH!F$1,SMALL(Dong1,ROWS($1:34)),))</f>
        <v>VAT Dầu DO</v>
      </c>
      <c r="F47" s="122" t="str">
        <f ca="1">IF(ROWS($1:34)&gt;COUNT(Dong1),"",IF(OFFSET(TH!M$1,SMALL(Dong1,ROWS($1:34)),)="1111",OFFSET(TH!L$1,SMALL(Dong1,ROWS($1:34)),),OFFSET(TH!M$1,SMALL(Dong1,ROWS($1:34)),)))</f>
        <v>1331</v>
      </c>
      <c r="G47" s="123">
        <f ca="1">IF(ROWS($1:34)&gt;COUNT(Dong1),"",IF(OFFSET(TH!L$1,SMALL(Dong1,ROWS($1:34)),)="1111",OFFSET(TH!K$1,SMALL(Dong1,ROWS($1:34)),),0))</f>
        <v>0</v>
      </c>
      <c r="H47" s="121">
        <f ca="1">IF(ROWS($1:34)&gt;COUNT(Dong1),"",IF(OFFSET(TH!M$1,SMALL(Dong1,ROWS($1:34)),)="1111",OFFSET(TH!K$1,SMALL(Dong1,ROWS($1:34)),),0))</f>
        <v>1365005</v>
      </c>
      <c r="I47" s="119">
        <f t="shared" ca="1" si="0"/>
        <v>2239966040</v>
      </c>
      <c r="J47" s="124"/>
      <c r="N47" s="605"/>
      <c r="O47" s="605"/>
    </row>
    <row r="48" spans="1:15" ht="21.75" customHeight="1">
      <c r="A48" s="118">
        <f ca="1">IF(ROWS($1:35)&gt;COUNT(Dong1),"",OFFSET(TH!C$1,SMALL(Dong1,ROWS($1:35)),))</f>
        <v>42308</v>
      </c>
      <c r="B48" s="118">
        <f ca="1">IF(ROWS($1:35)&gt;COUNT(Dong1),"",OFFSET(TH!E$1,SMALL(Dong1,ROWS($1:35)),))</f>
        <v>42308</v>
      </c>
      <c r="C48" s="119" t="str">
        <f ca="1">IF(ROWS($1:35)&gt;COUNT(Dong1),"",IF(OFFSET(TH!L$1,SMALL(Dong1,ROWS($1:35)),)="1111",OFFSET(TH!D$1,SMALL(Dong1,ROWS($1:35)),),""))</f>
        <v/>
      </c>
      <c r="D48" s="120" t="str">
        <f ca="1">IF(ROWS($1:35)&gt;COUNT(Dong1),"",IF(OFFSET(TH!M$1,SMALL(Dong1,ROWS($1:35)),)="1111",OFFSET(TH!D$1,SMALL(Dong1,ROWS($1:35)),),""))</f>
        <v>C12</v>
      </c>
      <c r="E48" s="215" t="str">
        <f ca="1">IF(ROWS($1:35)&gt;COUNT(Dong1),"",OFFSET(TH!F$1,SMALL(Dong1,ROWS($1:35)),))</f>
        <v>Thanh toán lương T10/2015</v>
      </c>
      <c r="F48" s="122" t="str">
        <f ca="1">IF(ROWS($1:35)&gt;COUNT(Dong1),"",IF(OFFSET(TH!M$1,SMALL(Dong1,ROWS($1:35)),)="1111",OFFSET(TH!L$1,SMALL(Dong1,ROWS($1:35)),),OFFSET(TH!M$1,SMALL(Dong1,ROWS($1:35)),)))</f>
        <v>3341</v>
      </c>
      <c r="G48" s="123">
        <f ca="1">IF(ROWS($1:35)&gt;COUNT(Dong1),"",IF(OFFSET(TH!L$1,SMALL(Dong1,ROWS($1:35)),)="1111",OFFSET(TH!K$1,SMALL(Dong1,ROWS($1:35)),),0))</f>
        <v>0</v>
      </c>
      <c r="H48" s="121">
        <f ca="1">IF(ROWS($1:35)&gt;COUNT(Dong1),"",IF(OFFSET(TH!M$1,SMALL(Dong1,ROWS($1:35)),)="1111",OFFSET(TH!K$1,SMALL(Dong1,ROWS($1:35)),),0))</f>
        <v>14800000</v>
      </c>
      <c r="I48" s="119">
        <f t="shared" ca="1" si="0"/>
        <v>2225166040</v>
      </c>
      <c r="J48" s="124"/>
      <c r="N48" s="605"/>
      <c r="O48" s="605"/>
    </row>
    <row r="49" spans="1:15" ht="21.75" customHeight="1">
      <c r="A49" s="118">
        <f ca="1">IF(ROWS($1:36)&gt;COUNT(Dong1),"",OFFSET(TH!C$1,SMALL(Dong1,ROWS($1:36)),))</f>
        <v>42308</v>
      </c>
      <c r="B49" s="118">
        <f ca="1">IF(ROWS($1:36)&gt;COUNT(Dong1),"",OFFSET(TH!E$1,SMALL(Dong1,ROWS($1:36)),))</f>
        <v>42308</v>
      </c>
      <c r="C49" s="119" t="str">
        <f ca="1">IF(ROWS($1:36)&gt;COUNT(Dong1),"",IF(OFFSET(TH!L$1,SMALL(Dong1,ROWS($1:36)),)="1111",OFFSET(TH!D$1,SMALL(Dong1,ROWS($1:36)),),""))</f>
        <v/>
      </c>
      <c r="D49" s="120" t="str">
        <f ca="1">IF(ROWS($1:36)&gt;COUNT(Dong1),"",IF(OFFSET(TH!M$1,SMALL(Dong1,ROWS($1:36)),)="1111",OFFSET(TH!D$1,SMALL(Dong1,ROWS($1:36)),),""))</f>
        <v>C13</v>
      </c>
      <c r="E49" s="215" t="str">
        <f ca="1">IF(ROWS($1:36)&gt;COUNT(Dong1),"",OFFSET(TH!F$1,SMALL(Dong1,ROWS($1:36)),))</f>
        <v>Cước chuyển phát nhanh</v>
      </c>
      <c r="F49" s="122" t="str">
        <f ca="1">IF(ROWS($1:36)&gt;COUNT(Dong1),"",IF(OFFSET(TH!M$1,SMALL(Dong1,ROWS($1:36)),)="1111",OFFSET(TH!L$1,SMALL(Dong1,ROWS($1:36)),),OFFSET(TH!M$1,SMALL(Dong1,ROWS($1:36)),)))</f>
        <v>641</v>
      </c>
      <c r="G49" s="123">
        <f ca="1">IF(ROWS($1:36)&gt;COUNT(Dong1),"",IF(OFFSET(TH!L$1,SMALL(Dong1,ROWS($1:36)),)="1111",OFFSET(TH!K$1,SMALL(Dong1,ROWS($1:36)),),0))</f>
        <v>0</v>
      </c>
      <c r="H49" s="121">
        <f ca="1">IF(ROWS($1:36)&gt;COUNT(Dong1),"",IF(OFFSET(TH!M$1,SMALL(Dong1,ROWS($1:36)),)="1111",OFFSET(TH!K$1,SMALL(Dong1,ROWS($1:36)),),0))</f>
        <v>385455</v>
      </c>
      <c r="I49" s="119">
        <f t="shared" ca="1" si="0"/>
        <v>2224780585</v>
      </c>
      <c r="J49" s="124"/>
      <c r="N49" s="605"/>
      <c r="O49" s="605"/>
    </row>
    <row r="50" spans="1:15" ht="21.75" customHeight="1">
      <c r="A50" s="118">
        <f ca="1">IF(ROWS($1:37)&gt;COUNT(Dong1),"",OFFSET(TH!C$1,SMALL(Dong1,ROWS($1:37)),))</f>
        <v>42308</v>
      </c>
      <c r="B50" s="118">
        <f ca="1">IF(ROWS($1:37)&gt;COUNT(Dong1),"",OFFSET(TH!E$1,SMALL(Dong1,ROWS($1:37)),))</f>
        <v>42308</v>
      </c>
      <c r="C50" s="119" t="str">
        <f ca="1">IF(ROWS($1:37)&gt;COUNT(Dong1),"",IF(OFFSET(TH!L$1,SMALL(Dong1,ROWS($1:37)),)="1111",OFFSET(TH!D$1,SMALL(Dong1,ROWS($1:37)),),""))</f>
        <v/>
      </c>
      <c r="D50" s="120" t="str">
        <f ca="1">IF(ROWS($1:37)&gt;COUNT(Dong1),"",IF(OFFSET(TH!M$1,SMALL(Dong1,ROWS($1:37)),)="1111",OFFSET(TH!D$1,SMALL(Dong1,ROWS($1:37)),),""))</f>
        <v>C13</v>
      </c>
      <c r="E50" s="215" t="str">
        <f ca="1">IF(ROWS($1:37)&gt;COUNT(Dong1),"",OFFSET(TH!F$1,SMALL(Dong1,ROWS($1:37)),))</f>
        <v>VAT Cước chuyển phát nhanh</v>
      </c>
      <c r="F50" s="122" t="str">
        <f ca="1">IF(ROWS($1:37)&gt;COUNT(Dong1),"",IF(OFFSET(TH!M$1,SMALL(Dong1,ROWS($1:37)),)="1111",OFFSET(TH!L$1,SMALL(Dong1,ROWS($1:37)),),OFFSET(TH!M$1,SMALL(Dong1,ROWS($1:37)),)))</f>
        <v>1331</v>
      </c>
      <c r="G50" s="123">
        <f ca="1">IF(ROWS($1:37)&gt;COUNT(Dong1),"",IF(OFFSET(TH!L$1,SMALL(Dong1,ROWS($1:37)),)="1111",OFFSET(TH!K$1,SMALL(Dong1,ROWS($1:37)),),0))</f>
        <v>0</v>
      </c>
      <c r="H50" s="121">
        <f ca="1">IF(ROWS($1:37)&gt;COUNT(Dong1),"",IF(OFFSET(TH!M$1,SMALL(Dong1,ROWS($1:37)),)="1111",OFFSET(TH!K$1,SMALL(Dong1,ROWS($1:37)),),0))</f>
        <v>38545</v>
      </c>
      <c r="I50" s="119">
        <f t="shared" ref="I50:I66" ca="1" si="1">IF(E50&lt;&gt;"",I49+G50-H50,0)</f>
        <v>2224742040</v>
      </c>
      <c r="J50" s="124"/>
      <c r="N50" s="605"/>
      <c r="O50" s="605"/>
    </row>
    <row r="51" spans="1:15" ht="21.75" customHeight="1">
      <c r="A51" s="118">
        <f ca="1">IF(ROWS($1:38)&gt;COUNT(Dong1),"",OFFSET(TH!C$1,SMALL(Dong1,ROWS($1:38)),))</f>
        <v>42308</v>
      </c>
      <c r="B51" s="118">
        <f ca="1">IF(ROWS($1:38)&gt;COUNT(Dong1),"",OFFSET(TH!E$1,SMALL(Dong1,ROWS($1:38)),))</f>
        <v>42308</v>
      </c>
      <c r="C51" s="119" t="str">
        <f ca="1">IF(ROWS($1:38)&gt;COUNT(Dong1),"",IF(OFFSET(TH!L$1,SMALL(Dong1,ROWS($1:38)),)="1111",OFFSET(TH!D$1,SMALL(Dong1,ROWS($1:38)),),""))</f>
        <v/>
      </c>
      <c r="D51" s="120" t="str">
        <f ca="1">IF(ROWS($1:38)&gt;COUNT(Dong1),"",IF(OFFSET(TH!M$1,SMALL(Dong1,ROWS($1:38)),)="1111",OFFSET(TH!D$1,SMALL(Dong1,ROWS($1:38)),),""))</f>
        <v>C14</v>
      </c>
      <c r="E51" s="215" t="str">
        <f ca="1">IF(ROWS($1:38)&gt;COUNT(Dong1),"",OFFSET(TH!F$1,SMALL(Dong1,ROWS($1:38)),))</f>
        <v>Dầu DO</v>
      </c>
      <c r="F51" s="122" t="str">
        <f ca="1">IF(ROWS($1:38)&gt;COUNT(Dong1),"",IF(OFFSET(TH!M$1,SMALL(Dong1,ROWS($1:38)),)="1111",OFFSET(TH!L$1,SMALL(Dong1,ROWS($1:38)),),OFFSET(TH!M$1,SMALL(Dong1,ROWS($1:38)),)))</f>
        <v>642</v>
      </c>
      <c r="G51" s="123">
        <f ca="1">IF(ROWS($1:38)&gt;COUNT(Dong1),"",IF(OFFSET(TH!L$1,SMALL(Dong1,ROWS($1:38)),)="1111",OFFSET(TH!K$1,SMALL(Dong1,ROWS($1:38)),),0))</f>
        <v>0</v>
      </c>
      <c r="H51" s="121">
        <f ca="1">IF(ROWS($1:38)&gt;COUNT(Dong1),"",IF(OFFSET(TH!M$1,SMALL(Dong1,ROWS($1:38)),)="1111",OFFSET(TH!K$1,SMALL(Dong1,ROWS($1:38)),),0))</f>
        <v>9078362</v>
      </c>
      <c r="I51" s="119">
        <f t="shared" ca="1" si="1"/>
        <v>2215663678</v>
      </c>
      <c r="J51" s="124"/>
      <c r="N51" s="605"/>
      <c r="O51" s="605"/>
    </row>
    <row r="52" spans="1:15" ht="21.75" customHeight="1">
      <c r="A52" s="118">
        <f ca="1">IF(ROWS($1:39)&gt;COUNT(Dong1),"",OFFSET(TH!C$1,SMALL(Dong1,ROWS($1:39)),))</f>
        <v>42308</v>
      </c>
      <c r="B52" s="118">
        <f ca="1">IF(ROWS($1:39)&gt;COUNT(Dong1),"",OFFSET(TH!E$1,SMALL(Dong1,ROWS($1:39)),))</f>
        <v>42308</v>
      </c>
      <c r="C52" s="119" t="str">
        <f ca="1">IF(ROWS($1:39)&gt;COUNT(Dong1),"",IF(OFFSET(TH!L$1,SMALL(Dong1,ROWS($1:39)),)="1111",OFFSET(TH!D$1,SMALL(Dong1,ROWS($1:39)),),""))</f>
        <v/>
      </c>
      <c r="D52" s="120" t="str">
        <f ca="1">IF(ROWS($1:39)&gt;COUNT(Dong1),"",IF(OFFSET(TH!M$1,SMALL(Dong1,ROWS($1:39)),)="1111",OFFSET(TH!D$1,SMALL(Dong1,ROWS($1:39)),),""))</f>
        <v>C14</v>
      </c>
      <c r="E52" s="215" t="str">
        <f ca="1">IF(ROWS($1:39)&gt;COUNT(Dong1),"",OFFSET(TH!F$1,SMALL(Dong1,ROWS($1:39)),))</f>
        <v>VAT Dầu DO</v>
      </c>
      <c r="F52" s="122" t="str">
        <f ca="1">IF(ROWS($1:39)&gt;COUNT(Dong1),"",IF(OFFSET(TH!M$1,SMALL(Dong1,ROWS($1:39)),)="1111",OFFSET(TH!L$1,SMALL(Dong1,ROWS($1:39)),),OFFSET(TH!M$1,SMALL(Dong1,ROWS($1:39)),)))</f>
        <v>1331</v>
      </c>
      <c r="G52" s="123">
        <f ca="1">IF(ROWS($1:39)&gt;COUNT(Dong1),"",IF(OFFSET(TH!L$1,SMALL(Dong1,ROWS($1:39)),)="1111",OFFSET(TH!K$1,SMALL(Dong1,ROWS($1:39)),),0))</f>
        <v>0</v>
      </c>
      <c r="H52" s="121">
        <f ca="1">IF(ROWS($1:39)&gt;COUNT(Dong1),"",IF(OFFSET(TH!M$1,SMALL(Dong1,ROWS($1:39)),)="1111",OFFSET(TH!K$1,SMALL(Dong1,ROWS($1:39)),),0))</f>
        <v>907836</v>
      </c>
      <c r="I52" s="119">
        <f t="shared" ca="1" si="1"/>
        <v>2214755842</v>
      </c>
      <c r="J52" s="124"/>
      <c r="N52" s="605"/>
      <c r="O52" s="605"/>
    </row>
    <row r="53" spans="1:15" ht="21.75" customHeight="1">
      <c r="A53" s="118">
        <f ca="1">IF(ROWS($1:40)&gt;COUNT(Dong1),"",OFFSET(TH!C$1,SMALL(Dong1,ROWS($1:40)),))</f>
        <v>42308</v>
      </c>
      <c r="B53" s="118">
        <f ca="1">IF(ROWS($1:40)&gt;COUNT(Dong1),"",OFFSET(TH!E$1,SMALL(Dong1,ROWS($1:40)),))</f>
        <v>42308</v>
      </c>
      <c r="C53" s="119" t="str">
        <f ca="1">IF(ROWS($1:40)&gt;COUNT(Dong1),"",IF(OFFSET(TH!L$1,SMALL(Dong1,ROWS($1:40)),)="1111",OFFSET(TH!D$1,SMALL(Dong1,ROWS($1:40)),),""))</f>
        <v>T16</v>
      </c>
      <c r="D53" s="120" t="str">
        <f ca="1">IF(ROWS($1:40)&gt;COUNT(Dong1),"",IF(OFFSET(TH!M$1,SMALL(Dong1,ROWS($1:40)),)="1111",OFFSET(TH!D$1,SMALL(Dong1,ROWS($1:40)),),""))</f>
        <v/>
      </c>
      <c r="E53" s="215" t="str">
        <f ca="1">IF(ROWS($1:40)&gt;COUNT(Dong1),"",OFFSET(TH!F$1,SMALL(Dong1,ROWS($1:40)),))</f>
        <v>Thu tiền hàng</v>
      </c>
      <c r="F53" s="122" t="str">
        <f ca="1">IF(ROWS($1:40)&gt;COUNT(Dong1),"",IF(OFFSET(TH!M$1,SMALL(Dong1,ROWS($1:40)),)="1111",OFFSET(TH!L$1,SMALL(Dong1,ROWS($1:40)),),OFFSET(TH!M$1,SMALL(Dong1,ROWS($1:40)),)))</f>
        <v>131</v>
      </c>
      <c r="G53" s="123">
        <f ca="1">IF(ROWS($1:40)&gt;COUNT(Dong1),"",IF(OFFSET(TH!L$1,SMALL(Dong1,ROWS($1:40)),)="1111",OFFSET(TH!K$1,SMALL(Dong1,ROWS($1:40)),),0))</f>
        <v>10780000</v>
      </c>
      <c r="H53" s="121">
        <f ca="1">IF(ROWS($1:40)&gt;COUNT(Dong1),"",IF(OFFSET(TH!M$1,SMALL(Dong1,ROWS($1:40)),)="1111",OFFSET(TH!K$1,SMALL(Dong1,ROWS($1:40)),),0))</f>
        <v>0</v>
      </c>
      <c r="I53" s="119">
        <f t="shared" ca="1" si="1"/>
        <v>2225535842</v>
      </c>
      <c r="J53" s="124"/>
      <c r="N53" s="605"/>
      <c r="O53" s="605"/>
    </row>
    <row r="54" spans="1:15" ht="21.75" customHeight="1">
      <c r="A54" s="118">
        <f ca="1">IF(ROWS($1:41)&gt;COUNT(Dong1),"",OFFSET(TH!C$1,SMALL(Dong1,ROWS($1:41)),))</f>
        <v>42308</v>
      </c>
      <c r="B54" s="118">
        <f ca="1">IF(ROWS($1:41)&gt;COUNT(Dong1),"",OFFSET(TH!E$1,SMALL(Dong1,ROWS($1:41)),))</f>
        <v>42308</v>
      </c>
      <c r="C54" s="119" t="str">
        <f ca="1">IF(ROWS($1:41)&gt;COUNT(Dong1),"",IF(OFFSET(TH!L$1,SMALL(Dong1,ROWS($1:41)),)="1111",OFFSET(TH!D$1,SMALL(Dong1,ROWS($1:41)),),""))</f>
        <v>T17</v>
      </c>
      <c r="D54" s="120" t="str">
        <f ca="1">IF(ROWS($1:41)&gt;COUNT(Dong1),"",IF(OFFSET(TH!M$1,SMALL(Dong1,ROWS($1:41)),)="1111",OFFSET(TH!D$1,SMALL(Dong1,ROWS($1:41)),),""))</f>
        <v/>
      </c>
      <c r="E54" s="215" t="str">
        <f ca="1">IF(ROWS($1:41)&gt;COUNT(Dong1),"",OFFSET(TH!F$1,SMALL(Dong1,ROWS($1:41)),))</f>
        <v>Cước vận chuyển</v>
      </c>
      <c r="F54" s="122" t="str">
        <f ca="1">IF(ROWS($1:41)&gt;COUNT(Dong1),"",IF(OFFSET(TH!M$1,SMALL(Dong1,ROWS($1:41)),)="1111",OFFSET(TH!L$1,SMALL(Dong1,ROWS($1:41)),),OFFSET(TH!M$1,SMALL(Dong1,ROWS($1:41)),)))</f>
        <v>5111</v>
      </c>
      <c r="G54" s="123">
        <f ca="1">IF(ROWS($1:41)&gt;COUNT(Dong1),"",IF(OFFSET(TH!L$1,SMALL(Dong1,ROWS($1:41)),)="1111",OFFSET(TH!K$1,SMALL(Dong1,ROWS($1:41)),),0))</f>
        <v>6200000</v>
      </c>
      <c r="H54" s="121">
        <f ca="1">IF(ROWS($1:41)&gt;COUNT(Dong1),"",IF(OFFSET(TH!M$1,SMALL(Dong1,ROWS($1:41)),)="1111",OFFSET(TH!K$1,SMALL(Dong1,ROWS($1:41)),),0))</f>
        <v>0</v>
      </c>
      <c r="I54" s="119">
        <f t="shared" ca="1" si="1"/>
        <v>2231735842</v>
      </c>
      <c r="J54" s="124"/>
      <c r="N54" s="605"/>
      <c r="O54" s="605"/>
    </row>
    <row r="55" spans="1:15" ht="21.75" customHeight="1">
      <c r="A55" s="118">
        <f ca="1">IF(ROWS($1:42)&gt;COUNT(Dong1),"",OFFSET(TH!C$1,SMALL(Dong1,ROWS($1:42)),))</f>
        <v>42308</v>
      </c>
      <c r="B55" s="118">
        <f ca="1">IF(ROWS($1:42)&gt;COUNT(Dong1),"",OFFSET(TH!E$1,SMALL(Dong1,ROWS($1:42)),))</f>
        <v>42308</v>
      </c>
      <c r="C55" s="119" t="str">
        <f ca="1">IF(ROWS($1:42)&gt;COUNT(Dong1),"",IF(OFFSET(TH!L$1,SMALL(Dong1,ROWS($1:42)),)="1111",OFFSET(TH!D$1,SMALL(Dong1,ROWS($1:42)),),""))</f>
        <v>T17</v>
      </c>
      <c r="D55" s="120" t="str">
        <f ca="1">IF(ROWS($1:42)&gt;COUNT(Dong1),"",IF(OFFSET(TH!M$1,SMALL(Dong1,ROWS($1:42)),)="1111",OFFSET(TH!D$1,SMALL(Dong1,ROWS($1:42)),),""))</f>
        <v/>
      </c>
      <c r="E55" s="215" t="str">
        <f ca="1">IF(ROWS($1:42)&gt;COUNT(Dong1),"",OFFSET(TH!F$1,SMALL(Dong1,ROWS($1:42)),))</f>
        <v>VAT Cước vận chuyển</v>
      </c>
      <c r="F55" s="122" t="str">
        <f ca="1">IF(ROWS($1:42)&gt;COUNT(Dong1),"",IF(OFFSET(TH!M$1,SMALL(Dong1,ROWS($1:42)),)="1111",OFFSET(TH!L$1,SMALL(Dong1,ROWS($1:42)),),OFFSET(TH!M$1,SMALL(Dong1,ROWS($1:42)),)))</f>
        <v>3331</v>
      </c>
      <c r="G55" s="123">
        <f ca="1">IF(ROWS($1:42)&gt;COUNT(Dong1),"",IF(OFFSET(TH!L$1,SMALL(Dong1,ROWS($1:42)),)="1111",OFFSET(TH!K$1,SMALL(Dong1,ROWS($1:42)),),0))</f>
        <v>620000</v>
      </c>
      <c r="H55" s="121">
        <f ca="1">IF(ROWS($1:42)&gt;COUNT(Dong1),"",IF(OFFSET(TH!M$1,SMALL(Dong1,ROWS($1:42)),)="1111",OFFSET(TH!K$1,SMALL(Dong1,ROWS($1:42)),),0))</f>
        <v>0</v>
      </c>
      <c r="I55" s="119">
        <f t="shared" ca="1" si="1"/>
        <v>2232355842</v>
      </c>
      <c r="J55" s="124"/>
      <c r="N55" s="605"/>
      <c r="O55" s="605"/>
    </row>
    <row r="56" spans="1:15" ht="21.75" customHeight="1">
      <c r="A56" s="118">
        <f ca="1">IF(ROWS($1:43)&gt;COUNT(Dong1),"",OFFSET(TH!C$1,SMALL(Dong1,ROWS($1:43)),))</f>
        <v>42308</v>
      </c>
      <c r="B56" s="118">
        <f ca="1">IF(ROWS($1:43)&gt;COUNT(Dong1),"",OFFSET(TH!E$1,SMALL(Dong1,ROWS($1:43)),))</f>
        <v>42308</v>
      </c>
      <c r="C56" s="119" t="str">
        <f ca="1">IF(ROWS($1:43)&gt;COUNT(Dong1),"",IF(OFFSET(TH!L$1,SMALL(Dong1,ROWS($1:43)),)="1111",OFFSET(TH!D$1,SMALL(Dong1,ROWS($1:43)),),""))</f>
        <v/>
      </c>
      <c r="D56" s="120" t="str">
        <f ca="1">IF(ROWS($1:43)&gt;COUNT(Dong1),"",IF(OFFSET(TH!M$1,SMALL(Dong1,ROWS($1:43)),)="1111",OFFSET(TH!D$1,SMALL(Dong1,ROWS($1:43)),),""))</f>
        <v>C15</v>
      </c>
      <c r="E56" s="215" t="str">
        <f ca="1">IF(ROWS($1:43)&gt;COUNT(Dong1),"",OFFSET(TH!F$1,SMALL(Dong1,ROWS($1:43)),))</f>
        <v>Thanh toán tiền thuê xe - Tháng 10</v>
      </c>
      <c r="F56" s="122" t="str">
        <f ca="1">IF(ROWS($1:43)&gt;COUNT(Dong1),"",IF(OFFSET(TH!M$1,SMALL(Dong1,ROWS($1:43)),)="1111",OFFSET(TH!L$1,SMALL(Dong1,ROWS($1:43)),),OFFSET(TH!M$1,SMALL(Dong1,ROWS($1:43)),)))</f>
        <v>642</v>
      </c>
      <c r="G56" s="123">
        <f ca="1">IF(ROWS($1:43)&gt;COUNT(Dong1),"",IF(OFFSET(TH!L$1,SMALL(Dong1,ROWS($1:43)),)="1111",OFFSET(TH!K$1,SMALL(Dong1,ROWS($1:43)),),0))</f>
        <v>0</v>
      </c>
      <c r="H56" s="121">
        <f ca="1">IF(ROWS($1:43)&gt;COUNT(Dong1),"",IF(OFFSET(TH!M$1,SMALL(Dong1,ROWS($1:43)),)="1111",OFFSET(TH!K$1,SMALL(Dong1,ROWS($1:43)),),0))</f>
        <v>5000000</v>
      </c>
      <c r="I56" s="119">
        <f t="shared" ca="1" si="1"/>
        <v>2227355842</v>
      </c>
      <c r="J56" s="124"/>
      <c r="N56" s="605"/>
      <c r="O56" s="605"/>
    </row>
    <row r="57" spans="1:15" ht="21.75" customHeight="1">
      <c r="A57" s="118">
        <f ca="1">IF(ROWS($1:44)&gt;COUNT(Dong1),"",OFFSET(TH!C$1,SMALL(Dong1,ROWS($1:44)),))</f>
        <v>42309</v>
      </c>
      <c r="B57" s="118">
        <f ca="1">IF(ROWS($1:44)&gt;COUNT(Dong1),"",OFFSET(TH!E$1,SMALL(Dong1,ROWS($1:44)),))</f>
        <v>42309</v>
      </c>
      <c r="C57" s="119" t="str">
        <f ca="1">IF(ROWS($1:44)&gt;COUNT(Dong1),"",IF(OFFSET(TH!L$1,SMALL(Dong1,ROWS($1:44)),)="1111",OFFSET(TH!D$1,SMALL(Dong1,ROWS($1:44)),),""))</f>
        <v/>
      </c>
      <c r="D57" s="120" t="str">
        <f ca="1">IF(ROWS($1:44)&gt;COUNT(Dong1),"",IF(OFFSET(TH!M$1,SMALL(Dong1,ROWS($1:44)),)="1111",OFFSET(TH!D$1,SMALL(Dong1,ROWS($1:44)),),""))</f>
        <v>C16</v>
      </c>
      <c r="E57" s="215" t="str">
        <f ca="1">IF(ROWS($1:44)&gt;COUNT(Dong1),"",OFFSET(TH!F$1,SMALL(Dong1,ROWS($1:44)),))</f>
        <v>Văn phòng phẩm</v>
      </c>
      <c r="F57" s="122" t="str">
        <f ca="1">IF(ROWS($1:44)&gt;COUNT(Dong1),"",IF(OFFSET(TH!M$1,SMALL(Dong1,ROWS($1:44)),)="1111",OFFSET(TH!L$1,SMALL(Dong1,ROWS($1:44)),),OFFSET(TH!M$1,SMALL(Dong1,ROWS($1:44)),)))</f>
        <v>642</v>
      </c>
      <c r="G57" s="123">
        <f ca="1">IF(ROWS($1:44)&gt;COUNT(Dong1),"",IF(OFFSET(TH!L$1,SMALL(Dong1,ROWS($1:44)),)="1111",OFFSET(TH!K$1,SMALL(Dong1,ROWS($1:44)),),0))</f>
        <v>0</v>
      </c>
      <c r="H57" s="121">
        <f ca="1">IF(ROWS($1:44)&gt;COUNT(Dong1),"",IF(OFFSET(TH!M$1,SMALL(Dong1,ROWS($1:44)),)="1111",OFFSET(TH!K$1,SMALL(Dong1,ROWS($1:44)),),0))</f>
        <v>293636</v>
      </c>
      <c r="I57" s="119">
        <f t="shared" ca="1" si="1"/>
        <v>2227062206</v>
      </c>
      <c r="J57" s="124"/>
      <c r="N57" s="605"/>
      <c r="O57" s="605"/>
    </row>
    <row r="58" spans="1:15" ht="21.75" customHeight="1">
      <c r="A58" s="118">
        <f ca="1">IF(ROWS($1:45)&gt;COUNT(Dong1),"",OFFSET(TH!C$1,SMALL(Dong1,ROWS($1:45)),))</f>
        <v>42309</v>
      </c>
      <c r="B58" s="118">
        <f ca="1">IF(ROWS($1:45)&gt;COUNT(Dong1),"",OFFSET(TH!E$1,SMALL(Dong1,ROWS($1:45)),))</f>
        <v>42309</v>
      </c>
      <c r="C58" s="119" t="str">
        <f ca="1">IF(ROWS($1:45)&gt;COUNT(Dong1),"",IF(OFFSET(TH!L$1,SMALL(Dong1,ROWS($1:45)),)="1111",OFFSET(TH!D$1,SMALL(Dong1,ROWS($1:45)),),""))</f>
        <v/>
      </c>
      <c r="D58" s="120" t="str">
        <f ca="1">IF(ROWS($1:45)&gt;COUNT(Dong1),"",IF(OFFSET(TH!M$1,SMALL(Dong1,ROWS($1:45)),)="1111",OFFSET(TH!D$1,SMALL(Dong1,ROWS($1:45)),),""))</f>
        <v>C16</v>
      </c>
      <c r="E58" s="215" t="str">
        <f ca="1">IF(ROWS($1:45)&gt;COUNT(Dong1),"",OFFSET(TH!F$1,SMALL(Dong1,ROWS($1:45)),))</f>
        <v>VAT Văn phòng phẩm</v>
      </c>
      <c r="F58" s="122" t="str">
        <f ca="1">IF(ROWS($1:45)&gt;COUNT(Dong1),"",IF(OFFSET(TH!M$1,SMALL(Dong1,ROWS($1:45)),)="1111",OFFSET(TH!L$1,SMALL(Dong1,ROWS($1:45)),),OFFSET(TH!M$1,SMALL(Dong1,ROWS($1:45)),)))</f>
        <v>1331</v>
      </c>
      <c r="G58" s="123">
        <f ca="1">IF(ROWS($1:45)&gt;COUNT(Dong1),"",IF(OFFSET(TH!L$1,SMALL(Dong1,ROWS($1:45)),)="1111",OFFSET(TH!K$1,SMALL(Dong1,ROWS($1:45)),),0))</f>
        <v>0</v>
      </c>
      <c r="H58" s="121">
        <f ca="1">IF(ROWS($1:45)&gt;COUNT(Dong1),"",IF(OFFSET(TH!M$1,SMALL(Dong1,ROWS($1:45)),)="1111",OFFSET(TH!K$1,SMALL(Dong1,ROWS($1:45)),),0))</f>
        <v>29364</v>
      </c>
      <c r="I58" s="119">
        <f t="shared" ca="1" si="1"/>
        <v>2227032842</v>
      </c>
      <c r="J58" s="124"/>
      <c r="N58" s="605"/>
      <c r="O58" s="605"/>
    </row>
    <row r="59" spans="1:15" ht="21.75" customHeight="1">
      <c r="A59" s="118">
        <f ca="1">IF(ROWS($1:46)&gt;COUNT(Dong1),"",OFFSET(TH!C$1,SMALL(Dong1,ROWS($1:46)),))</f>
        <v>42310</v>
      </c>
      <c r="B59" s="118">
        <f ca="1">IF(ROWS($1:46)&gt;COUNT(Dong1),"",OFFSET(TH!E$1,SMALL(Dong1,ROWS($1:46)),))</f>
        <v>42310</v>
      </c>
      <c r="C59" s="119" t="str">
        <f ca="1">IF(ROWS($1:46)&gt;COUNT(Dong1),"",IF(OFFSET(TH!L$1,SMALL(Dong1,ROWS($1:46)),)="1111",OFFSET(TH!D$1,SMALL(Dong1,ROWS($1:46)),),""))</f>
        <v/>
      </c>
      <c r="D59" s="120" t="str">
        <f ca="1">IF(ROWS($1:46)&gt;COUNT(Dong1),"",IF(OFFSET(TH!M$1,SMALL(Dong1,ROWS($1:46)),)="1111",OFFSET(TH!D$1,SMALL(Dong1,ROWS($1:46)),),""))</f>
        <v>C17</v>
      </c>
      <c r="E59" s="215" t="str">
        <f ca="1">IF(ROWS($1:46)&gt;COUNT(Dong1),"",OFFSET(TH!F$1,SMALL(Dong1,ROWS($1:46)),))</f>
        <v>Nộp tiền mặt vào tài khoản</v>
      </c>
      <c r="F59" s="122" t="str">
        <f ca="1">IF(ROWS($1:46)&gt;COUNT(Dong1),"",IF(OFFSET(TH!M$1,SMALL(Dong1,ROWS($1:46)),)="1111",OFFSET(TH!L$1,SMALL(Dong1,ROWS($1:46)),),OFFSET(TH!M$1,SMALL(Dong1,ROWS($1:46)),)))</f>
        <v>1121</v>
      </c>
      <c r="G59" s="123">
        <f ca="1">IF(ROWS($1:46)&gt;COUNT(Dong1),"",IF(OFFSET(TH!L$1,SMALL(Dong1,ROWS($1:46)),)="1111",OFFSET(TH!K$1,SMALL(Dong1,ROWS($1:46)),),0))</f>
        <v>0</v>
      </c>
      <c r="H59" s="121">
        <f ca="1">IF(ROWS($1:46)&gt;COUNT(Dong1),"",IF(OFFSET(TH!M$1,SMALL(Dong1,ROWS($1:46)),)="1111",OFFSET(TH!K$1,SMALL(Dong1,ROWS($1:46)),),0))</f>
        <v>20700000</v>
      </c>
      <c r="I59" s="119">
        <f t="shared" ca="1" si="1"/>
        <v>2206332842</v>
      </c>
      <c r="J59" s="124"/>
      <c r="N59" s="605"/>
      <c r="O59" s="605"/>
    </row>
    <row r="60" spans="1:15" ht="21.75" customHeight="1">
      <c r="A60" s="118">
        <f ca="1">IF(ROWS($1:47)&gt;COUNT(Dong1),"",OFFSET(TH!C$1,SMALL(Dong1,ROWS($1:47)),))</f>
        <v>42310</v>
      </c>
      <c r="B60" s="118">
        <f ca="1">IF(ROWS($1:47)&gt;COUNT(Dong1),"",OFFSET(TH!E$1,SMALL(Dong1,ROWS($1:47)),))</f>
        <v>42310</v>
      </c>
      <c r="C60" s="119" t="str">
        <f ca="1">IF(ROWS($1:47)&gt;COUNT(Dong1),"",IF(OFFSET(TH!L$1,SMALL(Dong1,ROWS($1:47)),)="1111",OFFSET(TH!D$1,SMALL(Dong1,ROWS($1:47)),),""))</f>
        <v/>
      </c>
      <c r="D60" s="120" t="str">
        <f ca="1">IF(ROWS($1:47)&gt;COUNT(Dong1),"",IF(OFFSET(TH!M$1,SMALL(Dong1,ROWS($1:47)),)="1111",OFFSET(TH!D$1,SMALL(Dong1,ROWS($1:47)),),""))</f>
        <v>C18</v>
      </c>
      <c r="E60" s="215" t="str">
        <f ca="1">IF(ROWS($1:47)&gt;COUNT(Dong1),"",OFFSET(TH!F$1,SMALL(Dong1,ROWS($1:47)),))</f>
        <v>Thiết bị điện tử</v>
      </c>
      <c r="F60" s="122" t="str">
        <f ca="1">IF(ROWS($1:47)&gt;COUNT(Dong1),"",IF(OFFSET(TH!M$1,SMALL(Dong1,ROWS($1:47)),)="1111",OFFSET(TH!L$1,SMALL(Dong1,ROWS($1:47)),),OFFSET(TH!M$1,SMALL(Dong1,ROWS($1:47)),)))</f>
        <v>642</v>
      </c>
      <c r="G60" s="123">
        <f ca="1">IF(ROWS($1:47)&gt;COUNT(Dong1),"",IF(OFFSET(TH!L$1,SMALL(Dong1,ROWS($1:47)),)="1111",OFFSET(TH!K$1,SMALL(Dong1,ROWS($1:47)),),0))</f>
        <v>0</v>
      </c>
      <c r="H60" s="121">
        <f ca="1">IF(ROWS($1:47)&gt;COUNT(Dong1),"",IF(OFFSET(TH!M$1,SMALL(Dong1,ROWS($1:47)),)="1111",OFFSET(TH!K$1,SMALL(Dong1,ROWS($1:47)),),0))</f>
        <v>1172726</v>
      </c>
      <c r="I60" s="119">
        <f t="shared" ca="1" si="1"/>
        <v>2205160116</v>
      </c>
      <c r="J60" s="124"/>
      <c r="N60" s="605"/>
      <c r="O60" s="605"/>
    </row>
    <row r="61" spans="1:15" ht="21.75" customHeight="1">
      <c r="A61" s="118">
        <f ca="1">IF(ROWS($1:48)&gt;COUNT(Dong1),"",OFFSET(TH!C$1,SMALL(Dong1,ROWS($1:48)),))</f>
        <v>42310</v>
      </c>
      <c r="B61" s="118">
        <f ca="1">IF(ROWS($1:48)&gt;COUNT(Dong1),"",OFFSET(TH!E$1,SMALL(Dong1,ROWS($1:48)),))</f>
        <v>42310</v>
      </c>
      <c r="C61" s="119" t="str">
        <f ca="1">IF(ROWS($1:48)&gt;COUNT(Dong1),"",IF(OFFSET(TH!L$1,SMALL(Dong1,ROWS($1:48)),)="1111",OFFSET(TH!D$1,SMALL(Dong1,ROWS($1:48)),),""))</f>
        <v/>
      </c>
      <c r="D61" s="120" t="str">
        <f ca="1">IF(ROWS($1:48)&gt;COUNT(Dong1),"",IF(OFFSET(TH!M$1,SMALL(Dong1,ROWS($1:48)),)="1111",OFFSET(TH!D$1,SMALL(Dong1,ROWS($1:48)),),""))</f>
        <v>C18</v>
      </c>
      <c r="E61" s="215" t="str">
        <f ca="1">IF(ROWS($1:48)&gt;COUNT(Dong1),"",OFFSET(TH!F$1,SMALL(Dong1,ROWS($1:48)),))</f>
        <v>VAT Thiết bị điện tử</v>
      </c>
      <c r="F61" s="122" t="str">
        <f ca="1">IF(ROWS($1:48)&gt;COUNT(Dong1),"",IF(OFFSET(TH!M$1,SMALL(Dong1,ROWS($1:48)),)="1111",OFFSET(TH!L$1,SMALL(Dong1,ROWS($1:48)),),OFFSET(TH!M$1,SMALL(Dong1,ROWS($1:48)),)))</f>
        <v>1331</v>
      </c>
      <c r="G61" s="123">
        <f ca="1">IF(ROWS($1:48)&gt;COUNT(Dong1),"",IF(OFFSET(TH!L$1,SMALL(Dong1,ROWS($1:48)),)="1111",OFFSET(TH!K$1,SMALL(Dong1,ROWS($1:48)),),0))</f>
        <v>0</v>
      </c>
      <c r="H61" s="121">
        <f ca="1">IF(ROWS($1:48)&gt;COUNT(Dong1),"",IF(OFFSET(TH!M$1,SMALL(Dong1,ROWS($1:48)),)="1111",OFFSET(TH!K$1,SMALL(Dong1,ROWS($1:48)),),0))</f>
        <v>117273</v>
      </c>
      <c r="I61" s="119">
        <f t="shared" ca="1" si="1"/>
        <v>2205042843</v>
      </c>
      <c r="J61" s="124"/>
      <c r="N61" s="605"/>
      <c r="O61" s="605"/>
    </row>
    <row r="62" spans="1:15" ht="21.75" customHeight="1">
      <c r="A62" s="118">
        <f ca="1">IF(ROWS($1:49)&gt;COUNT(Dong1),"",OFFSET(TH!C$1,SMALL(Dong1,ROWS($1:49)),))</f>
        <v>42311</v>
      </c>
      <c r="B62" s="118">
        <f ca="1">IF(ROWS($1:49)&gt;COUNT(Dong1),"",OFFSET(TH!E$1,SMALL(Dong1,ROWS($1:49)),))</f>
        <v>42311</v>
      </c>
      <c r="C62" s="119" t="str">
        <f ca="1">IF(ROWS($1:49)&gt;COUNT(Dong1),"",IF(OFFSET(TH!L$1,SMALL(Dong1,ROWS($1:49)),)="1111",OFFSET(TH!D$1,SMALL(Dong1,ROWS($1:49)),),""))</f>
        <v/>
      </c>
      <c r="D62" s="120" t="str">
        <f ca="1">IF(ROWS($1:49)&gt;COUNT(Dong1),"",IF(OFFSET(TH!M$1,SMALL(Dong1,ROWS($1:49)),)="1111",OFFSET(TH!D$1,SMALL(Dong1,ROWS($1:49)),),""))</f>
        <v>C19</v>
      </c>
      <c r="E62" s="215" t="str">
        <f ca="1">IF(ROWS($1:49)&gt;COUNT(Dong1),"",OFFSET(TH!F$1,SMALL(Dong1,ROWS($1:49)),))</f>
        <v>Chi phí tiếp khách</v>
      </c>
      <c r="F62" s="122" t="str">
        <f ca="1">IF(ROWS($1:49)&gt;COUNT(Dong1),"",IF(OFFSET(TH!M$1,SMALL(Dong1,ROWS($1:49)),)="1111",OFFSET(TH!L$1,SMALL(Dong1,ROWS($1:49)),),OFFSET(TH!M$1,SMALL(Dong1,ROWS($1:49)),)))</f>
        <v>641</v>
      </c>
      <c r="G62" s="123">
        <f ca="1">IF(ROWS($1:49)&gt;COUNT(Dong1),"",IF(OFFSET(TH!L$1,SMALL(Dong1,ROWS($1:49)),)="1111",OFFSET(TH!K$1,SMALL(Dong1,ROWS($1:49)),),0))</f>
        <v>0</v>
      </c>
      <c r="H62" s="121">
        <f ca="1">IF(ROWS($1:49)&gt;COUNT(Dong1),"",IF(OFFSET(TH!M$1,SMALL(Dong1,ROWS($1:49)),)="1111",OFFSET(TH!K$1,SMALL(Dong1,ROWS($1:49)),),0))</f>
        <v>460000</v>
      </c>
      <c r="I62" s="119">
        <f t="shared" ca="1" si="1"/>
        <v>2204582843</v>
      </c>
      <c r="J62" s="124"/>
      <c r="N62" s="605"/>
      <c r="O62" s="605"/>
    </row>
    <row r="63" spans="1:15" ht="21.75" customHeight="1">
      <c r="A63" s="118">
        <f ca="1">IF(ROWS($1:50)&gt;COUNT(Dong1),"",OFFSET(TH!C$1,SMALL(Dong1,ROWS($1:50)),))</f>
        <v>42311</v>
      </c>
      <c r="B63" s="118">
        <f ca="1">IF(ROWS($1:50)&gt;COUNT(Dong1),"",OFFSET(TH!E$1,SMALL(Dong1,ROWS($1:50)),))</f>
        <v>42311</v>
      </c>
      <c r="C63" s="119" t="str">
        <f ca="1">IF(ROWS($1:50)&gt;COUNT(Dong1),"",IF(OFFSET(TH!L$1,SMALL(Dong1,ROWS($1:50)),)="1111",OFFSET(TH!D$1,SMALL(Dong1,ROWS($1:50)),),""))</f>
        <v/>
      </c>
      <c r="D63" s="120" t="str">
        <f ca="1">IF(ROWS($1:50)&gt;COUNT(Dong1),"",IF(OFFSET(TH!M$1,SMALL(Dong1,ROWS($1:50)),)="1111",OFFSET(TH!D$1,SMALL(Dong1,ROWS($1:50)),),""))</f>
        <v>C19</v>
      </c>
      <c r="E63" s="215" t="str">
        <f ca="1">IF(ROWS($1:50)&gt;COUNT(Dong1),"",OFFSET(TH!F$1,SMALL(Dong1,ROWS($1:50)),))</f>
        <v>VAT Chi phí tiếp khách</v>
      </c>
      <c r="F63" s="122" t="str">
        <f ca="1">IF(ROWS($1:50)&gt;COUNT(Dong1),"",IF(OFFSET(TH!M$1,SMALL(Dong1,ROWS($1:50)),)="1111",OFFSET(TH!L$1,SMALL(Dong1,ROWS($1:50)),),OFFSET(TH!M$1,SMALL(Dong1,ROWS($1:50)),)))</f>
        <v>1331</v>
      </c>
      <c r="G63" s="123">
        <f ca="1">IF(ROWS($1:50)&gt;COUNT(Dong1),"",IF(OFFSET(TH!L$1,SMALL(Dong1,ROWS($1:50)),)="1111",OFFSET(TH!K$1,SMALL(Dong1,ROWS($1:50)),),0))</f>
        <v>0</v>
      </c>
      <c r="H63" s="121">
        <f ca="1">IF(ROWS($1:50)&gt;COUNT(Dong1),"",IF(OFFSET(TH!M$1,SMALL(Dong1,ROWS($1:50)),)="1111",OFFSET(TH!K$1,SMALL(Dong1,ROWS($1:50)),),0))</f>
        <v>46000</v>
      </c>
      <c r="I63" s="119">
        <f t="shared" ca="1" si="1"/>
        <v>2204536843</v>
      </c>
      <c r="J63" s="124"/>
      <c r="N63" s="605"/>
      <c r="O63" s="605"/>
    </row>
    <row r="64" spans="1:15" ht="21.75" customHeight="1">
      <c r="A64" s="118">
        <f ca="1">IF(ROWS($1:51)&gt;COUNT(Dong1),"",OFFSET(TH!C$1,SMALL(Dong1,ROWS($1:51)),))</f>
        <v>42312</v>
      </c>
      <c r="B64" s="118">
        <f ca="1">IF(ROWS($1:51)&gt;COUNT(Dong1),"",OFFSET(TH!E$1,SMALL(Dong1,ROWS($1:51)),))</f>
        <v>42312</v>
      </c>
      <c r="C64" s="119" t="str">
        <f ca="1">IF(ROWS($1:51)&gt;COUNT(Dong1),"",IF(OFFSET(TH!L$1,SMALL(Dong1,ROWS($1:51)),)="1111",OFFSET(TH!D$1,SMALL(Dong1,ROWS($1:51)),),""))</f>
        <v/>
      </c>
      <c r="D64" s="120" t="str">
        <f ca="1">IF(ROWS($1:51)&gt;COUNT(Dong1),"",IF(OFFSET(TH!M$1,SMALL(Dong1,ROWS($1:51)),)="1111",OFFSET(TH!D$1,SMALL(Dong1,ROWS($1:51)),),""))</f>
        <v>C20</v>
      </c>
      <c r="E64" s="215" t="str">
        <f ca="1">IF(ROWS($1:51)&gt;COUNT(Dong1),"",OFFSET(TH!F$1,SMALL(Dong1,ROWS($1:51)),))</f>
        <v>Nộp tiền mặt vào tài khoản</v>
      </c>
      <c r="F64" s="122" t="str">
        <f ca="1">IF(ROWS($1:51)&gt;COUNT(Dong1),"",IF(OFFSET(TH!M$1,SMALL(Dong1,ROWS($1:51)),)="1111",OFFSET(TH!L$1,SMALL(Dong1,ROWS($1:51)),),OFFSET(TH!M$1,SMALL(Dong1,ROWS($1:51)),)))</f>
        <v>1121</v>
      </c>
      <c r="G64" s="123">
        <f ca="1">IF(ROWS($1:51)&gt;COUNT(Dong1),"",IF(OFFSET(TH!L$1,SMALL(Dong1,ROWS($1:51)),)="1111",OFFSET(TH!K$1,SMALL(Dong1,ROWS($1:51)),),0))</f>
        <v>0</v>
      </c>
      <c r="H64" s="121">
        <f ca="1">IF(ROWS($1:51)&gt;COUNT(Dong1),"",IF(OFFSET(TH!M$1,SMALL(Dong1,ROWS($1:51)),)="1111",OFFSET(TH!K$1,SMALL(Dong1,ROWS($1:51)),),0))</f>
        <v>19200000</v>
      </c>
      <c r="I64" s="119">
        <f t="shared" ca="1" si="1"/>
        <v>2185336843</v>
      </c>
      <c r="J64" s="124"/>
      <c r="N64" s="605"/>
      <c r="O64" s="605"/>
    </row>
    <row r="65" spans="1:15" ht="21.75" customHeight="1">
      <c r="A65" s="118">
        <f ca="1">IF(ROWS($1:52)&gt;COUNT(Dong1),"",OFFSET(TH!C$1,SMALL(Dong1,ROWS($1:52)),))</f>
        <v>42312</v>
      </c>
      <c r="B65" s="118">
        <f ca="1">IF(ROWS($1:52)&gt;COUNT(Dong1),"",OFFSET(TH!E$1,SMALL(Dong1,ROWS($1:52)),))</f>
        <v>42312</v>
      </c>
      <c r="C65" s="119" t="str">
        <f ca="1">IF(ROWS($1:52)&gt;COUNT(Dong1),"",IF(OFFSET(TH!L$1,SMALL(Dong1,ROWS($1:52)),)="1111",OFFSET(TH!D$1,SMALL(Dong1,ROWS($1:52)),),""))</f>
        <v/>
      </c>
      <c r="D65" s="120" t="str">
        <f ca="1">IF(ROWS($1:52)&gt;COUNT(Dong1),"",IF(OFFSET(TH!M$1,SMALL(Dong1,ROWS($1:52)),)="1111",OFFSET(TH!D$1,SMALL(Dong1,ROWS($1:52)),),""))</f>
        <v>C21</v>
      </c>
      <c r="E65" s="215" t="str">
        <f ca="1">IF(ROWS($1:52)&gt;COUNT(Dong1),"",OFFSET(TH!F$1,SMALL(Dong1,ROWS($1:52)),))</f>
        <v>Thanh toán tiền hàng</v>
      </c>
      <c r="F65" s="122" t="str">
        <f ca="1">IF(ROWS($1:52)&gt;COUNT(Dong1),"",IF(OFFSET(TH!M$1,SMALL(Dong1,ROWS($1:52)),)="1111",OFFSET(TH!L$1,SMALL(Dong1,ROWS($1:52)),),OFFSET(TH!M$1,SMALL(Dong1,ROWS($1:52)),)))</f>
        <v>331</v>
      </c>
      <c r="G65" s="123">
        <f ca="1">IF(ROWS($1:52)&gt;COUNT(Dong1),"",IF(OFFSET(TH!L$1,SMALL(Dong1,ROWS($1:52)),)="1111",OFFSET(TH!K$1,SMALL(Dong1,ROWS($1:52)),),0))</f>
        <v>0</v>
      </c>
      <c r="H65" s="121">
        <f ca="1">IF(ROWS($1:52)&gt;COUNT(Dong1),"",IF(OFFSET(TH!M$1,SMALL(Dong1,ROWS($1:52)),)="1111",OFFSET(TH!K$1,SMALL(Dong1,ROWS($1:52)),),0))</f>
        <v>789888</v>
      </c>
      <c r="I65" s="119">
        <f t="shared" ca="1" si="1"/>
        <v>2184546955</v>
      </c>
      <c r="J65" s="124"/>
      <c r="N65" s="605"/>
      <c r="O65" s="605"/>
    </row>
    <row r="66" spans="1:15" ht="21.75" customHeight="1">
      <c r="A66" s="118">
        <f ca="1">IF(ROWS($1:53)&gt;COUNT(Dong1),"",OFFSET(TH!C$1,SMALL(Dong1,ROWS($1:53)),))</f>
        <v>42312</v>
      </c>
      <c r="B66" s="118">
        <f ca="1">IF(ROWS($1:53)&gt;COUNT(Dong1),"",OFFSET(TH!E$1,SMALL(Dong1,ROWS($1:53)),))</f>
        <v>42312</v>
      </c>
      <c r="C66" s="119" t="str">
        <f ca="1">IF(ROWS($1:53)&gt;COUNT(Dong1),"",IF(OFFSET(TH!L$1,SMALL(Dong1,ROWS($1:53)),)="1111",OFFSET(TH!D$1,SMALL(Dong1,ROWS($1:53)),),""))</f>
        <v>T18</v>
      </c>
      <c r="D66" s="120" t="str">
        <f ca="1">IF(ROWS($1:53)&gt;COUNT(Dong1),"",IF(OFFSET(TH!M$1,SMALL(Dong1,ROWS($1:53)),)="1111",OFFSET(TH!D$1,SMALL(Dong1,ROWS($1:53)),),""))</f>
        <v/>
      </c>
      <c r="E66" s="215" t="str">
        <f ca="1">IF(ROWS($1:53)&gt;COUNT(Dong1),"",OFFSET(TH!F$1,SMALL(Dong1,ROWS($1:53)),))</f>
        <v>Thu tiền hàng</v>
      </c>
      <c r="F66" s="122" t="str">
        <f ca="1">IF(ROWS($1:53)&gt;COUNT(Dong1),"",IF(OFFSET(TH!M$1,SMALL(Dong1,ROWS($1:53)),)="1111",OFFSET(TH!L$1,SMALL(Dong1,ROWS($1:53)),),OFFSET(TH!M$1,SMALL(Dong1,ROWS($1:53)),)))</f>
        <v>131</v>
      </c>
      <c r="G66" s="123">
        <f ca="1">IF(ROWS($1:53)&gt;COUNT(Dong1),"",IF(OFFSET(TH!L$1,SMALL(Dong1,ROWS($1:53)),)="1111",OFFSET(TH!K$1,SMALL(Dong1,ROWS($1:53)),),0))</f>
        <v>3569174</v>
      </c>
      <c r="H66" s="121">
        <f ca="1">IF(ROWS($1:53)&gt;COUNT(Dong1),"",IF(OFFSET(TH!M$1,SMALL(Dong1,ROWS($1:53)),)="1111",OFFSET(TH!K$1,SMALL(Dong1,ROWS($1:53)),),0))</f>
        <v>0</v>
      </c>
      <c r="I66" s="119">
        <f t="shared" ca="1" si="1"/>
        <v>2188116129</v>
      </c>
      <c r="J66" s="124"/>
      <c r="N66" s="605"/>
      <c r="O66" s="605"/>
    </row>
    <row r="67" spans="1:15" ht="21.75" customHeight="1">
      <c r="A67" s="118">
        <f ca="1">IF(ROWS($1:54)&gt;COUNT(Dong1),"",OFFSET(TH!C$1,SMALL(Dong1,ROWS($1:54)),))</f>
        <v>42313</v>
      </c>
      <c r="B67" s="118">
        <f ca="1">IF(ROWS($1:54)&gt;COUNT(Dong1),"",OFFSET(TH!E$1,SMALL(Dong1,ROWS($1:54)),))</f>
        <v>42313</v>
      </c>
      <c r="C67" s="119" t="str">
        <f ca="1">IF(ROWS($1:54)&gt;COUNT(Dong1),"",IF(OFFSET(TH!L$1,SMALL(Dong1,ROWS($1:54)),)="1111",OFFSET(TH!D$1,SMALL(Dong1,ROWS($1:54)),),""))</f>
        <v/>
      </c>
      <c r="D67" s="120" t="str">
        <f ca="1">IF(ROWS($1:54)&gt;COUNT(Dong1),"",IF(OFFSET(TH!M$1,SMALL(Dong1,ROWS($1:54)),)="1111",OFFSET(TH!D$1,SMALL(Dong1,ROWS($1:54)),),""))</f>
        <v>C22</v>
      </c>
      <c r="E67" s="215" t="str">
        <f ca="1">IF(ROWS($1:54)&gt;COUNT(Dong1),"",OFFSET(TH!F$1,SMALL(Dong1,ROWS($1:54)),))</f>
        <v>Cước dịch vụ viễn thông</v>
      </c>
      <c r="F67" s="122" t="str">
        <f ca="1">IF(ROWS($1:54)&gt;COUNT(Dong1),"",IF(OFFSET(TH!M$1,SMALL(Dong1,ROWS($1:54)),)="1111",OFFSET(TH!L$1,SMALL(Dong1,ROWS($1:54)),),OFFSET(TH!M$1,SMALL(Dong1,ROWS($1:54)),)))</f>
        <v>642</v>
      </c>
      <c r="G67" s="123">
        <f ca="1">IF(ROWS($1:54)&gt;COUNT(Dong1),"",IF(OFFSET(TH!L$1,SMALL(Dong1,ROWS($1:54)),)="1111",OFFSET(TH!K$1,SMALL(Dong1,ROWS($1:54)),),0))</f>
        <v>0</v>
      </c>
      <c r="H67" s="121">
        <f ca="1">IF(ROWS($1:54)&gt;COUNT(Dong1),"",IF(OFFSET(TH!M$1,SMALL(Dong1,ROWS($1:54)),)="1111",OFFSET(TH!K$1,SMALL(Dong1,ROWS($1:54)),),0))</f>
        <v>730948</v>
      </c>
      <c r="I67" s="119">
        <f t="shared" ref="I67:I87" ca="1" si="2">IF(E67&lt;&gt;"",I66+G67-H67,0)</f>
        <v>2187385181</v>
      </c>
      <c r="J67" s="124"/>
      <c r="N67" s="605"/>
      <c r="O67" s="605"/>
    </row>
    <row r="68" spans="1:15" ht="21.75" customHeight="1">
      <c r="A68" s="118">
        <f ca="1">IF(ROWS($1:55)&gt;COUNT(Dong1),"",OFFSET(TH!C$1,SMALL(Dong1,ROWS($1:55)),))</f>
        <v>42313</v>
      </c>
      <c r="B68" s="118">
        <f ca="1">IF(ROWS($1:55)&gt;COUNT(Dong1),"",OFFSET(TH!E$1,SMALL(Dong1,ROWS($1:55)),))</f>
        <v>42313</v>
      </c>
      <c r="C68" s="119" t="str">
        <f ca="1">IF(ROWS($1:55)&gt;COUNT(Dong1),"",IF(OFFSET(TH!L$1,SMALL(Dong1,ROWS($1:55)),)="1111",OFFSET(TH!D$1,SMALL(Dong1,ROWS($1:55)),),""))</f>
        <v/>
      </c>
      <c r="D68" s="120" t="str">
        <f ca="1">IF(ROWS($1:55)&gt;COUNT(Dong1),"",IF(OFFSET(TH!M$1,SMALL(Dong1,ROWS($1:55)),)="1111",OFFSET(TH!D$1,SMALL(Dong1,ROWS($1:55)),),""))</f>
        <v>C22</v>
      </c>
      <c r="E68" s="215" t="str">
        <f ca="1">IF(ROWS($1:55)&gt;COUNT(Dong1),"",OFFSET(TH!F$1,SMALL(Dong1,ROWS($1:55)),))</f>
        <v>VAT Cước dịch vụ viễn thông</v>
      </c>
      <c r="F68" s="122" t="str">
        <f ca="1">IF(ROWS($1:55)&gt;COUNT(Dong1),"",IF(OFFSET(TH!M$1,SMALL(Dong1,ROWS($1:55)),)="1111",OFFSET(TH!L$1,SMALL(Dong1,ROWS($1:55)),),OFFSET(TH!M$1,SMALL(Dong1,ROWS($1:55)),)))</f>
        <v>1331</v>
      </c>
      <c r="G68" s="123">
        <f ca="1">IF(ROWS($1:55)&gt;COUNT(Dong1),"",IF(OFFSET(TH!L$1,SMALL(Dong1,ROWS($1:55)),)="1111",OFFSET(TH!K$1,SMALL(Dong1,ROWS($1:55)),),0))</f>
        <v>0</v>
      </c>
      <c r="H68" s="121">
        <f ca="1">IF(ROWS($1:55)&gt;COUNT(Dong1),"",IF(OFFSET(TH!M$1,SMALL(Dong1,ROWS($1:55)),)="1111",OFFSET(TH!K$1,SMALL(Dong1,ROWS($1:55)),),0))</f>
        <v>73095</v>
      </c>
      <c r="I68" s="119">
        <f t="shared" ca="1" si="2"/>
        <v>2187312086</v>
      </c>
      <c r="J68" s="124"/>
      <c r="N68" s="605"/>
      <c r="O68" s="605"/>
    </row>
    <row r="69" spans="1:15" ht="21.75" customHeight="1">
      <c r="A69" s="118">
        <f ca="1">IF(ROWS($1:56)&gt;COUNT(Dong1),"",OFFSET(TH!C$1,SMALL(Dong1,ROWS($1:56)),))</f>
        <v>42313</v>
      </c>
      <c r="B69" s="118">
        <f ca="1">IF(ROWS($1:56)&gt;COUNT(Dong1),"",OFFSET(TH!E$1,SMALL(Dong1,ROWS($1:56)),))</f>
        <v>42313</v>
      </c>
      <c r="C69" s="119" t="str">
        <f ca="1">IF(ROWS($1:56)&gt;COUNT(Dong1),"",IF(OFFSET(TH!L$1,SMALL(Dong1,ROWS($1:56)),)="1111",OFFSET(TH!D$1,SMALL(Dong1,ROWS($1:56)),),""))</f>
        <v/>
      </c>
      <c r="D69" s="120" t="str">
        <f ca="1">IF(ROWS($1:56)&gt;COUNT(Dong1),"",IF(OFFSET(TH!M$1,SMALL(Dong1,ROWS($1:56)),)="1111",OFFSET(TH!D$1,SMALL(Dong1,ROWS($1:56)),),""))</f>
        <v>C23</v>
      </c>
      <c r="E69" s="215" t="str">
        <f ca="1">IF(ROWS($1:56)&gt;COUNT(Dong1),"",OFFSET(TH!F$1,SMALL(Dong1,ROWS($1:56)),))</f>
        <v>Quảng cáo</v>
      </c>
      <c r="F69" s="122" t="str">
        <f ca="1">IF(ROWS($1:56)&gt;COUNT(Dong1),"",IF(OFFSET(TH!M$1,SMALL(Dong1,ROWS($1:56)),)="1111",OFFSET(TH!L$1,SMALL(Dong1,ROWS($1:56)),),OFFSET(TH!M$1,SMALL(Dong1,ROWS($1:56)),)))</f>
        <v>642</v>
      </c>
      <c r="G69" s="123">
        <f ca="1">IF(ROWS($1:56)&gt;COUNT(Dong1),"",IF(OFFSET(TH!L$1,SMALL(Dong1,ROWS($1:56)),)="1111",OFFSET(TH!K$1,SMALL(Dong1,ROWS($1:56)),),0))</f>
        <v>0</v>
      </c>
      <c r="H69" s="121">
        <f ca="1">IF(ROWS($1:56)&gt;COUNT(Dong1),"",IF(OFFSET(TH!M$1,SMALL(Dong1,ROWS($1:56)),)="1111",OFFSET(TH!K$1,SMALL(Dong1,ROWS($1:56)),),0))</f>
        <v>4500000</v>
      </c>
      <c r="I69" s="119">
        <f t="shared" ca="1" si="2"/>
        <v>2182812086</v>
      </c>
      <c r="J69" s="124"/>
      <c r="N69" s="605"/>
      <c r="O69" s="605"/>
    </row>
    <row r="70" spans="1:15" ht="21.75" customHeight="1">
      <c r="A70" s="118">
        <f ca="1">IF(ROWS($1:57)&gt;COUNT(Dong1),"",OFFSET(TH!C$1,SMALL(Dong1,ROWS($1:57)),))</f>
        <v>42313</v>
      </c>
      <c r="B70" s="118">
        <f ca="1">IF(ROWS($1:57)&gt;COUNT(Dong1),"",OFFSET(TH!E$1,SMALL(Dong1,ROWS($1:57)),))</f>
        <v>42313</v>
      </c>
      <c r="C70" s="119" t="str">
        <f ca="1">IF(ROWS($1:57)&gt;COUNT(Dong1),"",IF(OFFSET(TH!L$1,SMALL(Dong1,ROWS($1:57)),)="1111",OFFSET(TH!D$1,SMALL(Dong1,ROWS($1:57)),),""))</f>
        <v/>
      </c>
      <c r="D70" s="120" t="str">
        <f ca="1">IF(ROWS($1:57)&gt;COUNT(Dong1),"",IF(OFFSET(TH!M$1,SMALL(Dong1,ROWS($1:57)),)="1111",OFFSET(TH!D$1,SMALL(Dong1,ROWS($1:57)),),""))</f>
        <v>C23</v>
      </c>
      <c r="E70" s="215" t="str">
        <f ca="1">IF(ROWS($1:57)&gt;COUNT(Dong1),"",OFFSET(TH!F$1,SMALL(Dong1,ROWS($1:57)),))</f>
        <v>VAT Quảng cáo</v>
      </c>
      <c r="F70" s="122" t="str">
        <f ca="1">IF(ROWS($1:57)&gt;COUNT(Dong1),"",IF(OFFSET(TH!M$1,SMALL(Dong1,ROWS($1:57)),)="1111",OFFSET(TH!L$1,SMALL(Dong1,ROWS($1:57)),),OFFSET(TH!M$1,SMALL(Dong1,ROWS($1:57)),)))</f>
        <v>1331</v>
      </c>
      <c r="G70" s="123">
        <f ca="1">IF(ROWS($1:57)&gt;COUNT(Dong1),"",IF(OFFSET(TH!L$1,SMALL(Dong1,ROWS($1:57)),)="1111",OFFSET(TH!K$1,SMALL(Dong1,ROWS($1:57)),),0))</f>
        <v>0</v>
      </c>
      <c r="H70" s="121">
        <f ca="1">IF(ROWS($1:57)&gt;COUNT(Dong1),"",IF(OFFSET(TH!M$1,SMALL(Dong1,ROWS($1:57)),)="1111",OFFSET(TH!K$1,SMALL(Dong1,ROWS($1:57)),),0))</f>
        <v>450000</v>
      </c>
      <c r="I70" s="119">
        <f t="shared" ca="1" si="2"/>
        <v>2182362086</v>
      </c>
      <c r="J70" s="124"/>
      <c r="N70" s="605"/>
      <c r="O70" s="605"/>
    </row>
    <row r="71" spans="1:15" ht="21.75" customHeight="1">
      <c r="A71" s="118">
        <f ca="1">IF(ROWS($1:58)&gt;COUNT(Dong1),"",OFFSET(TH!C$1,SMALL(Dong1,ROWS($1:58)),))</f>
        <v>42313</v>
      </c>
      <c r="B71" s="118">
        <f ca="1">IF(ROWS($1:58)&gt;COUNT(Dong1),"",OFFSET(TH!E$1,SMALL(Dong1,ROWS($1:58)),))</f>
        <v>42313</v>
      </c>
      <c r="C71" s="119" t="str">
        <f ca="1">IF(ROWS($1:58)&gt;COUNT(Dong1),"",IF(OFFSET(TH!L$1,SMALL(Dong1,ROWS($1:58)),)="1111",OFFSET(TH!D$1,SMALL(Dong1,ROWS($1:58)),),""))</f>
        <v>T19</v>
      </c>
      <c r="D71" s="120" t="str">
        <f ca="1">IF(ROWS($1:58)&gt;COUNT(Dong1),"",IF(OFFSET(TH!M$1,SMALL(Dong1,ROWS($1:58)),)="1111",OFFSET(TH!D$1,SMALL(Dong1,ROWS($1:58)),),""))</f>
        <v/>
      </c>
      <c r="E71" s="215" t="str">
        <f ca="1">IF(ROWS($1:58)&gt;COUNT(Dong1),"",OFFSET(TH!F$1,SMALL(Dong1,ROWS($1:58)),))</f>
        <v>Thu tiền hàng</v>
      </c>
      <c r="F71" s="122" t="str">
        <f ca="1">IF(ROWS($1:58)&gt;COUNT(Dong1),"",IF(OFFSET(TH!M$1,SMALL(Dong1,ROWS($1:58)),)="1111",OFFSET(TH!L$1,SMALL(Dong1,ROWS($1:58)),),OFFSET(TH!M$1,SMALL(Dong1,ROWS($1:58)),)))</f>
        <v>131</v>
      </c>
      <c r="G71" s="123">
        <f ca="1">IF(ROWS($1:58)&gt;COUNT(Dong1),"",IF(OFFSET(TH!L$1,SMALL(Dong1,ROWS($1:58)),)="1111",OFFSET(TH!K$1,SMALL(Dong1,ROWS($1:58)),),0))</f>
        <v>822800</v>
      </c>
      <c r="H71" s="121">
        <f ca="1">IF(ROWS($1:58)&gt;COUNT(Dong1),"",IF(OFFSET(TH!M$1,SMALL(Dong1,ROWS($1:58)),)="1111",OFFSET(TH!K$1,SMALL(Dong1,ROWS($1:58)),),0))</f>
        <v>0</v>
      </c>
      <c r="I71" s="119">
        <f t="shared" ca="1" si="2"/>
        <v>2183184886</v>
      </c>
      <c r="J71" s="124"/>
      <c r="N71" s="605"/>
      <c r="O71" s="605"/>
    </row>
    <row r="72" spans="1:15" ht="21.75" customHeight="1">
      <c r="A72" s="118">
        <f ca="1">IF(ROWS($1:59)&gt;COUNT(Dong1),"",OFFSET(TH!C$1,SMALL(Dong1,ROWS($1:59)),))</f>
        <v>42317</v>
      </c>
      <c r="B72" s="118">
        <f ca="1">IF(ROWS($1:59)&gt;COUNT(Dong1),"",OFFSET(TH!E$1,SMALL(Dong1,ROWS($1:59)),))</f>
        <v>42317</v>
      </c>
      <c r="C72" s="119" t="str">
        <f ca="1">IF(ROWS($1:59)&gt;COUNT(Dong1),"",IF(OFFSET(TH!L$1,SMALL(Dong1,ROWS($1:59)),)="1111",OFFSET(TH!D$1,SMALL(Dong1,ROWS($1:59)),),""))</f>
        <v>T20</v>
      </c>
      <c r="D72" s="120" t="str">
        <f ca="1">IF(ROWS($1:59)&gt;COUNT(Dong1),"",IF(OFFSET(TH!M$1,SMALL(Dong1,ROWS($1:59)),)="1111",OFFSET(TH!D$1,SMALL(Dong1,ROWS($1:59)),),""))</f>
        <v/>
      </c>
      <c r="E72" s="215" t="str">
        <f ca="1">IF(ROWS($1:59)&gt;COUNT(Dong1),"",OFFSET(TH!F$1,SMALL(Dong1,ROWS($1:59)),))</f>
        <v>Rút sec nhập quỹ tiền mặt</v>
      </c>
      <c r="F72" s="122" t="str">
        <f ca="1">IF(ROWS($1:59)&gt;COUNT(Dong1),"",IF(OFFSET(TH!M$1,SMALL(Dong1,ROWS($1:59)),)="1111",OFFSET(TH!L$1,SMALL(Dong1,ROWS($1:59)),),OFFSET(TH!M$1,SMALL(Dong1,ROWS($1:59)),)))</f>
        <v>1121</v>
      </c>
      <c r="G72" s="123">
        <f ca="1">IF(ROWS($1:59)&gt;COUNT(Dong1),"",IF(OFFSET(TH!L$1,SMALL(Dong1,ROWS($1:59)),)="1111",OFFSET(TH!K$1,SMALL(Dong1,ROWS($1:59)),),0))</f>
        <v>7800000</v>
      </c>
      <c r="H72" s="121">
        <f ca="1">IF(ROWS($1:59)&gt;COUNT(Dong1),"",IF(OFFSET(TH!M$1,SMALL(Dong1,ROWS($1:59)),)="1111",OFFSET(TH!K$1,SMALL(Dong1,ROWS($1:59)),),0))</f>
        <v>0</v>
      </c>
      <c r="I72" s="119">
        <f t="shared" ca="1" si="2"/>
        <v>2190984886</v>
      </c>
      <c r="J72" s="124"/>
      <c r="N72" s="605"/>
      <c r="O72" s="605"/>
    </row>
    <row r="73" spans="1:15" ht="21.75" customHeight="1">
      <c r="A73" s="118">
        <f ca="1">IF(ROWS($1:60)&gt;COUNT(Dong1),"",OFFSET(TH!C$1,SMALL(Dong1,ROWS($1:60)),))</f>
        <v>42317</v>
      </c>
      <c r="B73" s="118">
        <f ca="1">IF(ROWS($1:60)&gt;COUNT(Dong1),"",OFFSET(TH!E$1,SMALL(Dong1,ROWS($1:60)),))</f>
        <v>42317</v>
      </c>
      <c r="C73" s="119" t="str">
        <f ca="1">IF(ROWS($1:60)&gt;COUNT(Dong1),"",IF(OFFSET(TH!L$1,SMALL(Dong1,ROWS($1:60)),)="1111",OFFSET(TH!D$1,SMALL(Dong1,ROWS($1:60)),),""))</f>
        <v/>
      </c>
      <c r="D73" s="120" t="str">
        <f ca="1">IF(ROWS($1:60)&gt;COUNT(Dong1),"",IF(OFFSET(TH!M$1,SMALL(Dong1,ROWS($1:60)),)="1111",OFFSET(TH!D$1,SMALL(Dong1,ROWS($1:60)),),""))</f>
        <v>C24</v>
      </c>
      <c r="E73" s="215" t="str">
        <f ca="1">IF(ROWS($1:60)&gt;COUNT(Dong1),"",OFFSET(TH!F$1,SMALL(Dong1,ROWS($1:60)),))</f>
        <v>Chi phí tiếp khách</v>
      </c>
      <c r="F73" s="122" t="str">
        <f ca="1">IF(ROWS($1:60)&gt;COUNT(Dong1),"",IF(OFFSET(TH!M$1,SMALL(Dong1,ROWS($1:60)),)="1111",OFFSET(TH!L$1,SMALL(Dong1,ROWS($1:60)),),OFFSET(TH!M$1,SMALL(Dong1,ROWS($1:60)),)))</f>
        <v>641</v>
      </c>
      <c r="G73" s="123">
        <f ca="1">IF(ROWS($1:60)&gt;COUNT(Dong1),"",IF(OFFSET(TH!L$1,SMALL(Dong1,ROWS($1:60)),)="1111",OFFSET(TH!K$1,SMALL(Dong1,ROWS($1:60)),),0))</f>
        <v>0</v>
      </c>
      <c r="H73" s="121">
        <f ca="1">IF(ROWS($1:60)&gt;COUNT(Dong1),"",IF(OFFSET(TH!M$1,SMALL(Dong1,ROWS($1:60)),)="1111",OFFSET(TH!K$1,SMALL(Dong1,ROWS($1:60)),),0))</f>
        <v>1437000</v>
      </c>
      <c r="I73" s="119">
        <f t="shared" ca="1" si="2"/>
        <v>2189547886</v>
      </c>
      <c r="J73" s="124"/>
      <c r="N73" s="605"/>
      <c r="O73" s="605"/>
    </row>
    <row r="74" spans="1:15" ht="21.75" customHeight="1">
      <c r="A74" s="118">
        <f ca="1">IF(ROWS($1:61)&gt;COUNT(Dong1),"",OFFSET(TH!C$1,SMALL(Dong1,ROWS($1:61)),))</f>
        <v>42318</v>
      </c>
      <c r="B74" s="118">
        <f ca="1">IF(ROWS($1:61)&gt;COUNT(Dong1),"",OFFSET(TH!E$1,SMALL(Dong1,ROWS($1:61)),))</f>
        <v>42318</v>
      </c>
      <c r="C74" s="119" t="str">
        <f ca="1">IF(ROWS($1:61)&gt;COUNT(Dong1),"",IF(OFFSET(TH!L$1,SMALL(Dong1,ROWS($1:61)),)="1111",OFFSET(TH!D$1,SMALL(Dong1,ROWS($1:61)),),""))</f>
        <v/>
      </c>
      <c r="D74" s="120" t="str">
        <f ca="1">IF(ROWS($1:61)&gt;COUNT(Dong1),"",IF(OFFSET(TH!M$1,SMALL(Dong1,ROWS($1:61)),)="1111",OFFSET(TH!D$1,SMALL(Dong1,ROWS($1:61)),),""))</f>
        <v>C25</v>
      </c>
      <c r="E74" s="215" t="str">
        <f ca="1">IF(ROWS($1:61)&gt;COUNT(Dong1),"",OFFSET(TH!F$1,SMALL(Dong1,ROWS($1:61)),))</f>
        <v>Nộp tiền mặt vào tài khoản</v>
      </c>
      <c r="F74" s="122" t="str">
        <f ca="1">IF(ROWS($1:61)&gt;COUNT(Dong1),"",IF(OFFSET(TH!M$1,SMALL(Dong1,ROWS($1:61)),)="1111",OFFSET(TH!L$1,SMALL(Dong1,ROWS($1:61)),),OFFSET(TH!M$1,SMALL(Dong1,ROWS($1:61)),)))</f>
        <v>1121</v>
      </c>
      <c r="G74" s="123">
        <f ca="1">IF(ROWS($1:61)&gt;COUNT(Dong1),"",IF(OFFSET(TH!L$1,SMALL(Dong1,ROWS($1:61)),)="1111",OFFSET(TH!K$1,SMALL(Dong1,ROWS($1:61)),),0))</f>
        <v>0</v>
      </c>
      <c r="H74" s="121">
        <f ca="1">IF(ROWS($1:61)&gt;COUNT(Dong1),"",IF(OFFSET(TH!M$1,SMALL(Dong1,ROWS($1:61)),)="1111",OFFSET(TH!K$1,SMALL(Dong1,ROWS($1:61)),),0))</f>
        <v>18000000</v>
      </c>
      <c r="I74" s="119">
        <f t="shared" ca="1" si="2"/>
        <v>2171547886</v>
      </c>
      <c r="J74" s="124"/>
      <c r="N74" s="605"/>
      <c r="O74" s="605"/>
    </row>
    <row r="75" spans="1:15" ht="21.75" customHeight="1">
      <c r="A75" s="118">
        <f ca="1">IF(ROWS($1:62)&gt;COUNT(Dong1),"",OFFSET(TH!C$1,SMALL(Dong1,ROWS($1:62)),))</f>
        <v>42318</v>
      </c>
      <c r="B75" s="118">
        <f ca="1">IF(ROWS($1:62)&gt;COUNT(Dong1),"",OFFSET(TH!E$1,SMALL(Dong1,ROWS($1:62)),))</f>
        <v>42318</v>
      </c>
      <c r="C75" s="119" t="str">
        <f ca="1">IF(ROWS($1:62)&gt;COUNT(Dong1),"",IF(OFFSET(TH!L$1,SMALL(Dong1,ROWS($1:62)),)="1111",OFFSET(TH!D$1,SMALL(Dong1,ROWS($1:62)),),""))</f>
        <v/>
      </c>
      <c r="D75" s="120" t="str">
        <f ca="1">IF(ROWS($1:62)&gt;COUNT(Dong1),"",IF(OFFSET(TH!M$1,SMALL(Dong1,ROWS($1:62)),)="1111",OFFSET(TH!D$1,SMALL(Dong1,ROWS($1:62)),),""))</f>
        <v>C25</v>
      </c>
      <c r="E75" s="215" t="str">
        <f ca="1">IF(ROWS($1:62)&gt;COUNT(Dong1),"",OFFSET(TH!F$1,SMALL(Dong1,ROWS($1:62)),))</f>
        <v>Nộp tiền mặt vào tài khoản</v>
      </c>
      <c r="F75" s="122" t="str">
        <f ca="1">IF(ROWS($1:62)&gt;COUNT(Dong1),"",IF(OFFSET(TH!M$1,SMALL(Dong1,ROWS($1:62)),)="1111",OFFSET(TH!L$1,SMALL(Dong1,ROWS($1:62)),),OFFSET(TH!M$1,SMALL(Dong1,ROWS($1:62)),)))</f>
        <v>1121</v>
      </c>
      <c r="G75" s="123">
        <f ca="1">IF(ROWS($1:62)&gt;COUNT(Dong1),"",IF(OFFSET(TH!L$1,SMALL(Dong1,ROWS($1:62)),)="1111",OFFSET(TH!K$1,SMALL(Dong1,ROWS($1:62)),),0))</f>
        <v>0</v>
      </c>
      <c r="H75" s="121">
        <f ca="1">IF(ROWS($1:62)&gt;COUNT(Dong1),"",IF(OFFSET(TH!M$1,SMALL(Dong1,ROWS($1:62)),)="1111",OFFSET(TH!K$1,SMALL(Dong1,ROWS($1:62)),),0))</f>
        <v>200000</v>
      </c>
      <c r="I75" s="119">
        <f t="shared" ca="1" si="2"/>
        <v>2171347886</v>
      </c>
      <c r="J75" s="124"/>
      <c r="N75" s="605"/>
      <c r="O75" s="605"/>
    </row>
    <row r="76" spans="1:15" ht="21.75" customHeight="1">
      <c r="A76" s="118">
        <f ca="1">IF(ROWS($1:63)&gt;COUNT(Dong1),"",OFFSET(TH!C$1,SMALL(Dong1,ROWS($1:63)),))</f>
        <v>42318</v>
      </c>
      <c r="B76" s="118">
        <f ca="1">IF(ROWS($1:63)&gt;COUNT(Dong1),"",OFFSET(TH!E$1,SMALL(Dong1,ROWS($1:63)),))</f>
        <v>42318</v>
      </c>
      <c r="C76" s="119" t="str">
        <f ca="1">IF(ROWS($1:63)&gt;COUNT(Dong1),"",IF(OFFSET(TH!L$1,SMALL(Dong1,ROWS($1:63)),)="1111",OFFSET(TH!D$1,SMALL(Dong1,ROWS($1:63)),),""))</f>
        <v>T21</v>
      </c>
      <c r="D76" s="120" t="str">
        <f ca="1">IF(ROWS($1:63)&gt;COUNT(Dong1),"",IF(OFFSET(TH!M$1,SMALL(Dong1,ROWS($1:63)),)="1111",OFFSET(TH!D$1,SMALL(Dong1,ROWS($1:63)),),""))</f>
        <v/>
      </c>
      <c r="E76" s="215" t="str">
        <f ca="1">IF(ROWS($1:63)&gt;COUNT(Dong1),"",OFFSET(TH!F$1,SMALL(Dong1,ROWS($1:63)),))</f>
        <v>Thu tiền hàng</v>
      </c>
      <c r="F76" s="122" t="str">
        <f ca="1">IF(ROWS($1:63)&gt;COUNT(Dong1),"",IF(OFFSET(TH!M$1,SMALL(Dong1,ROWS($1:63)),)="1111",OFFSET(TH!L$1,SMALL(Dong1,ROWS($1:63)),),OFFSET(TH!M$1,SMALL(Dong1,ROWS($1:63)),)))</f>
        <v>131</v>
      </c>
      <c r="G76" s="123">
        <f ca="1">IF(ROWS($1:63)&gt;COUNT(Dong1),"",IF(OFFSET(TH!L$1,SMALL(Dong1,ROWS($1:63)),)="1111",OFFSET(TH!K$1,SMALL(Dong1,ROWS($1:63)),),0))</f>
        <v>10780000</v>
      </c>
      <c r="H76" s="121">
        <f ca="1">IF(ROWS($1:63)&gt;COUNT(Dong1),"",IF(OFFSET(TH!M$1,SMALL(Dong1,ROWS($1:63)),)="1111",OFFSET(TH!K$1,SMALL(Dong1,ROWS($1:63)),),0))</f>
        <v>0</v>
      </c>
      <c r="I76" s="119">
        <f t="shared" ca="1" si="2"/>
        <v>2182127886</v>
      </c>
      <c r="J76" s="124"/>
      <c r="N76" s="605"/>
      <c r="O76" s="605"/>
    </row>
    <row r="77" spans="1:15" ht="21.75" customHeight="1">
      <c r="A77" s="118">
        <f ca="1">IF(ROWS($1:64)&gt;COUNT(Dong1),"",OFFSET(TH!C$1,SMALL(Dong1,ROWS($1:64)),))</f>
        <v>42318</v>
      </c>
      <c r="B77" s="118">
        <f ca="1">IF(ROWS($1:64)&gt;COUNT(Dong1),"",OFFSET(TH!E$1,SMALL(Dong1,ROWS($1:64)),))</f>
        <v>42318</v>
      </c>
      <c r="C77" s="119" t="str">
        <f ca="1">IF(ROWS($1:64)&gt;COUNT(Dong1),"",IF(OFFSET(TH!L$1,SMALL(Dong1,ROWS($1:64)),)="1111",OFFSET(TH!D$1,SMALL(Dong1,ROWS($1:64)),),""))</f>
        <v>T22</v>
      </c>
      <c r="D77" s="120" t="str">
        <f ca="1">IF(ROWS($1:64)&gt;COUNT(Dong1),"",IF(OFFSET(TH!M$1,SMALL(Dong1,ROWS($1:64)),)="1111",OFFSET(TH!D$1,SMALL(Dong1,ROWS($1:64)),),""))</f>
        <v/>
      </c>
      <c r="E77" s="215" t="str">
        <f ca="1">IF(ROWS($1:64)&gt;COUNT(Dong1),"",OFFSET(TH!F$1,SMALL(Dong1,ROWS($1:64)),))</f>
        <v>Cước vận chuyển</v>
      </c>
      <c r="F77" s="122" t="str">
        <f ca="1">IF(ROWS($1:64)&gt;COUNT(Dong1),"",IF(OFFSET(TH!M$1,SMALL(Dong1,ROWS($1:64)),)="1111",OFFSET(TH!L$1,SMALL(Dong1,ROWS($1:64)),),OFFSET(TH!M$1,SMALL(Dong1,ROWS($1:64)),)))</f>
        <v>5111</v>
      </c>
      <c r="G77" s="123">
        <f ca="1">IF(ROWS($1:64)&gt;COUNT(Dong1),"",IF(OFFSET(TH!L$1,SMALL(Dong1,ROWS($1:64)),)="1111",OFFSET(TH!K$1,SMALL(Dong1,ROWS($1:64)),),0))</f>
        <v>17000000</v>
      </c>
      <c r="H77" s="121">
        <f ca="1">IF(ROWS($1:64)&gt;COUNT(Dong1),"",IF(OFFSET(TH!M$1,SMALL(Dong1,ROWS($1:64)),)="1111",OFFSET(TH!K$1,SMALL(Dong1,ROWS($1:64)),),0))</f>
        <v>0</v>
      </c>
      <c r="I77" s="119">
        <f t="shared" ca="1" si="2"/>
        <v>2199127886</v>
      </c>
      <c r="J77" s="124"/>
      <c r="N77" s="605"/>
      <c r="O77" s="605"/>
    </row>
    <row r="78" spans="1:15" ht="21.75" customHeight="1">
      <c r="A78" s="118">
        <f ca="1">IF(ROWS($1:65)&gt;COUNT(Dong1),"",OFFSET(TH!C$1,SMALL(Dong1,ROWS($1:65)),))</f>
        <v>42318</v>
      </c>
      <c r="B78" s="118">
        <f ca="1">IF(ROWS($1:65)&gt;COUNT(Dong1),"",OFFSET(TH!E$1,SMALL(Dong1,ROWS($1:65)),))</f>
        <v>42318</v>
      </c>
      <c r="C78" s="119" t="str">
        <f ca="1">IF(ROWS($1:65)&gt;COUNT(Dong1),"",IF(OFFSET(TH!L$1,SMALL(Dong1,ROWS($1:65)),)="1111",OFFSET(TH!D$1,SMALL(Dong1,ROWS($1:65)),),""))</f>
        <v>T22</v>
      </c>
      <c r="D78" s="120" t="str">
        <f ca="1">IF(ROWS($1:65)&gt;COUNT(Dong1),"",IF(OFFSET(TH!M$1,SMALL(Dong1,ROWS($1:65)),)="1111",OFFSET(TH!D$1,SMALL(Dong1,ROWS($1:65)),),""))</f>
        <v/>
      </c>
      <c r="E78" s="215" t="str">
        <f ca="1">IF(ROWS($1:65)&gt;COUNT(Dong1),"",OFFSET(TH!F$1,SMALL(Dong1,ROWS($1:65)),))</f>
        <v>VAT Cước vận chuyển</v>
      </c>
      <c r="F78" s="122" t="str">
        <f ca="1">IF(ROWS($1:65)&gt;COUNT(Dong1),"",IF(OFFSET(TH!M$1,SMALL(Dong1,ROWS($1:65)),)="1111",OFFSET(TH!L$1,SMALL(Dong1,ROWS($1:65)),),OFFSET(TH!M$1,SMALL(Dong1,ROWS($1:65)),)))</f>
        <v>3331</v>
      </c>
      <c r="G78" s="123">
        <f ca="1">IF(ROWS($1:65)&gt;COUNT(Dong1),"",IF(OFFSET(TH!L$1,SMALL(Dong1,ROWS($1:65)),)="1111",OFFSET(TH!K$1,SMALL(Dong1,ROWS($1:65)),),0))</f>
        <v>1700000</v>
      </c>
      <c r="H78" s="121">
        <f ca="1">IF(ROWS($1:65)&gt;COUNT(Dong1),"",IF(OFFSET(TH!M$1,SMALL(Dong1,ROWS($1:65)),)="1111",OFFSET(TH!K$1,SMALL(Dong1,ROWS($1:65)),),0))</f>
        <v>0</v>
      </c>
      <c r="I78" s="119">
        <f t="shared" ca="1" si="2"/>
        <v>2200827886</v>
      </c>
      <c r="J78" s="124"/>
      <c r="N78" s="605"/>
      <c r="O78" s="605"/>
    </row>
    <row r="79" spans="1:15" ht="21.75" customHeight="1">
      <c r="A79" s="118">
        <f ca="1">IF(ROWS($1:66)&gt;COUNT(Dong1),"",OFFSET(TH!C$1,SMALL(Dong1,ROWS($1:66)),))</f>
        <v>42324</v>
      </c>
      <c r="B79" s="118">
        <f ca="1">IF(ROWS($1:66)&gt;COUNT(Dong1),"",OFFSET(TH!E$1,SMALL(Dong1,ROWS($1:66)),))</f>
        <v>42324</v>
      </c>
      <c r="C79" s="119" t="str">
        <f ca="1">IF(ROWS($1:66)&gt;COUNT(Dong1),"",IF(OFFSET(TH!L$1,SMALL(Dong1,ROWS($1:66)),)="1111",OFFSET(TH!D$1,SMALL(Dong1,ROWS($1:66)),),""))</f>
        <v/>
      </c>
      <c r="D79" s="120" t="str">
        <f ca="1">IF(ROWS($1:66)&gt;COUNT(Dong1),"",IF(OFFSET(TH!M$1,SMALL(Dong1,ROWS($1:66)),)="1111",OFFSET(TH!D$1,SMALL(Dong1,ROWS($1:66)),),""))</f>
        <v>C26</v>
      </c>
      <c r="E79" s="215" t="str">
        <f ca="1">IF(ROWS($1:66)&gt;COUNT(Dong1),"",OFFSET(TH!F$1,SMALL(Dong1,ROWS($1:66)),))</f>
        <v>Văn phòng phẩm</v>
      </c>
      <c r="F79" s="122" t="str">
        <f ca="1">IF(ROWS($1:66)&gt;COUNT(Dong1),"",IF(OFFSET(TH!M$1,SMALL(Dong1,ROWS($1:66)),)="1111",OFFSET(TH!L$1,SMALL(Dong1,ROWS($1:66)),),OFFSET(TH!M$1,SMALL(Dong1,ROWS($1:66)),)))</f>
        <v>642</v>
      </c>
      <c r="G79" s="123">
        <f ca="1">IF(ROWS($1:66)&gt;COUNT(Dong1),"",IF(OFFSET(TH!L$1,SMALL(Dong1,ROWS($1:66)),)="1111",OFFSET(TH!K$1,SMALL(Dong1,ROWS($1:66)),),0))</f>
        <v>0</v>
      </c>
      <c r="H79" s="121">
        <f ca="1">IF(ROWS($1:66)&gt;COUNT(Dong1),"",IF(OFFSET(TH!M$1,SMALL(Dong1,ROWS($1:66)),)="1111",OFFSET(TH!K$1,SMALL(Dong1,ROWS($1:66)),),0))</f>
        <v>327273</v>
      </c>
      <c r="I79" s="119">
        <f t="shared" ca="1" si="2"/>
        <v>2200500613</v>
      </c>
      <c r="J79" s="124"/>
      <c r="N79" s="605"/>
      <c r="O79" s="605"/>
    </row>
    <row r="80" spans="1:15" ht="21.75" customHeight="1">
      <c r="A80" s="118">
        <f ca="1">IF(ROWS($1:67)&gt;COUNT(Dong1),"",OFFSET(TH!C$1,SMALL(Dong1,ROWS($1:67)),))</f>
        <v>42324</v>
      </c>
      <c r="B80" s="118">
        <f ca="1">IF(ROWS($1:67)&gt;COUNT(Dong1),"",OFFSET(TH!E$1,SMALL(Dong1,ROWS($1:67)),))</f>
        <v>42324</v>
      </c>
      <c r="C80" s="119" t="str">
        <f ca="1">IF(ROWS($1:67)&gt;COUNT(Dong1),"",IF(OFFSET(TH!L$1,SMALL(Dong1,ROWS($1:67)),)="1111",OFFSET(TH!D$1,SMALL(Dong1,ROWS($1:67)),),""))</f>
        <v/>
      </c>
      <c r="D80" s="120" t="str">
        <f ca="1">IF(ROWS($1:67)&gt;COUNT(Dong1),"",IF(OFFSET(TH!M$1,SMALL(Dong1,ROWS($1:67)),)="1111",OFFSET(TH!D$1,SMALL(Dong1,ROWS($1:67)),),""))</f>
        <v>C26</v>
      </c>
      <c r="E80" s="215" t="str">
        <f ca="1">IF(ROWS($1:67)&gt;COUNT(Dong1),"",OFFSET(TH!F$1,SMALL(Dong1,ROWS($1:67)),))</f>
        <v>VAT Văn phòng phẩm</v>
      </c>
      <c r="F80" s="122" t="str">
        <f ca="1">IF(ROWS($1:67)&gt;COUNT(Dong1),"",IF(OFFSET(TH!M$1,SMALL(Dong1,ROWS($1:67)),)="1111",OFFSET(TH!L$1,SMALL(Dong1,ROWS($1:67)),),OFFSET(TH!M$1,SMALL(Dong1,ROWS($1:67)),)))</f>
        <v>1331</v>
      </c>
      <c r="G80" s="123">
        <f ca="1">IF(ROWS($1:67)&gt;COUNT(Dong1),"",IF(OFFSET(TH!L$1,SMALL(Dong1,ROWS($1:67)),)="1111",OFFSET(TH!K$1,SMALL(Dong1,ROWS($1:67)),),0))</f>
        <v>0</v>
      </c>
      <c r="H80" s="121">
        <f ca="1">IF(ROWS($1:67)&gt;COUNT(Dong1),"",IF(OFFSET(TH!M$1,SMALL(Dong1,ROWS($1:67)),)="1111",OFFSET(TH!K$1,SMALL(Dong1,ROWS($1:67)),),0))</f>
        <v>32727</v>
      </c>
      <c r="I80" s="119">
        <f t="shared" ca="1" si="2"/>
        <v>2200467886</v>
      </c>
      <c r="J80" s="124"/>
      <c r="N80" s="605"/>
      <c r="O80" s="605"/>
    </row>
    <row r="81" spans="1:15" ht="21.75" customHeight="1">
      <c r="A81" s="118">
        <f ca="1">IF(ROWS($1:68)&gt;COUNT(Dong1),"",OFFSET(TH!C$1,SMALL(Dong1,ROWS($1:68)),))</f>
        <v>42324</v>
      </c>
      <c r="B81" s="118">
        <f ca="1">IF(ROWS($1:68)&gt;COUNT(Dong1),"",OFFSET(TH!E$1,SMALL(Dong1,ROWS($1:68)),))</f>
        <v>42324</v>
      </c>
      <c r="C81" s="119" t="str">
        <f ca="1">IF(ROWS($1:68)&gt;COUNT(Dong1),"",IF(OFFSET(TH!L$1,SMALL(Dong1,ROWS($1:68)),)="1111",OFFSET(TH!D$1,SMALL(Dong1,ROWS($1:68)),),""))</f>
        <v>T23</v>
      </c>
      <c r="D81" s="120" t="str">
        <f ca="1">IF(ROWS($1:68)&gt;COUNT(Dong1),"",IF(OFFSET(TH!M$1,SMALL(Dong1,ROWS($1:68)),)="1111",OFFSET(TH!D$1,SMALL(Dong1,ROWS($1:68)),),""))</f>
        <v/>
      </c>
      <c r="E81" s="215" t="str">
        <f ca="1">IF(ROWS($1:68)&gt;COUNT(Dong1),"",OFFSET(TH!F$1,SMALL(Dong1,ROWS($1:68)),))</f>
        <v>Thu tiền hàng</v>
      </c>
      <c r="F81" s="122" t="str">
        <f ca="1">IF(ROWS($1:68)&gt;COUNT(Dong1),"",IF(OFFSET(TH!M$1,SMALL(Dong1,ROWS($1:68)),)="1111",OFFSET(TH!L$1,SMALL(Dong1,ROWS($1:68)),),OFFSET(TH!M$1,SMALL(Dong1,ROWS($1:68)),)))</f>
        <v>131</v>
      </c>
      <c r="G81" s="123">
        <f ca="1">IF(ROWS($1:68)&gt;COUNT(Dong1),"",IF(OFFSET(TH!L$1,SMALL(Dong1,ROWS($1:68)),)="1111",OFFSET(TH!K$1,SMALL(Dong1,ROWS($1:68)),),0))</f>
        <v>3075633</v>
      </c>
      <c r="H81" s="121">
        <f ca="1">IF(ROWS($1:68)&gt;COUNT(Dong1),"",IF(OFFSET(TH!M$1,SMALL(Dong1,ROWS($1:68)),)="1111",OFFSET(TH!K$1,SMALL(Dong1,ROWS($1:68)),),0))</f>
        <v>0</v>
      </c>
      <c r="I81" s="119">
        <f t="shared" ca="1" si="2"/>
        <v>2203543519</v>
      </c>
      <c r="J81" s="124"/>
      <c r="N81" s="605"/>
      <c r="O81" s="605"/>
    </row>
    <row r="82" spans="1:15" ht="21.75" customHeight="1">
      <c r="A82" s="118">
        <f ca="1">IF(ROWS($1:69)&gt;COUNT(Dong1),"",OFFSET(TH!C$1,SMALL(Dong1,ROWS($1:69)),))</f>
        <v>42326</v>
      </c>
      <c r="B82" s="118">
        <f ca="1">IF(ROWS($1:69)&gt;COUNT(Dong1),"",OFFSET(TH!E$1,SMALL(Dong1,ROWS($1:69)),))</f>
        <v>42326</v>
      </c>
      <c r="C82" s="119" t="str">
        <f ca="1">IF(ROWS($1:69)&gt;COUNT(Dong1),"",IF(OFFSET(TH!L$1,SMALL(Dong1,ROWS($1:69)),)="1111",OFFSET(TH!D$1,SMALL(Dong1,ROWS($1:69)),),""))</f>
        <v/>
      </c>
      <c r="D82" s="120" t="str">
        <f ca="1">IF(ROWS($1:69)&gt;COUNT(Dong1),"",IF(OFFSET(TH!M$1,SMALL(Dong1,ROWS($1:69)),)="1111",OFFSET(TH!D$1,SMALL(Dong1,ROWS($1:69)),),""))</f>
        <v>C27</v>
      </c>
      <c r="E82" s="215" t="str">
        <f ca="1">IF(ROWS($1:69)&gt;COUNT(Dong1),"",OFFSET(TH!F$1,SMALL(Dong1,ROWS($1:69)),))</f>
        <v>Nộp tiền mặt vào tài khoản</v>
      </c>
      <c r="F82" s="122" t="str">
        <f ca="1">IF(ROWS($1:69)&gt;COUNT(Dong1),"",IF(OFFSET(TH!M$1,SMALL(Dong1,ROWS($1:69)),)="1111",OFFSET(TH!L$1,SMALL(Dong1,ROWS($1:69)),),OFFSET(TH!M$1,SMALL(Dong1,ROWS($1:69)),)))</f>
        <v>1121</v>
      </c>
      <c r="G82" s="123">
        <f ca="1">IF(ROWS($1:69)&gt;COUNT(Dong1),"",IF(OFFSET(TH!L$1,SMALL(Dong1,ROWS($1:69)),)="1111",OFFSET(TH!K$1,SMALL(Dong1,ROWS($1:69)),),0))</f>
        <v>0</v>
      </c>
      <c r="H82" s="121">
        <f ca="1">IF(ROWS($1:69)&gt;COUNT(Dong1),"",IF(OFFSET(TH!M$1,SMALL(Dong1,ROWS($1:69)),)="1111",OFFSET(TH!K$1,SMALL(Dong1,ROWS($1:69)),),0))</f>
        <v>20100000</v>
      </c>
      <c r="I82" s="119">
        <f t="shared" ca="1" si="2"/>
        <v>2183443519</v>
      </c>
      <c r="J82" s="124"/>
      <c r="N82" s="605"/>
      <c r="O82" s="605"/>
    </row>
    <row r="83" spans="1:15" ht="21.75" customHeight="1">
      <c r="A83" s="118">
        <f ca="1">IF(ROWS($1:70)&gt;COUNT(Dong1),"",OFFSET(TH!C$1,SMALL(Dong1,ROWS($1:70)),))</f>
        <v>42328</v>
      </c>
      <c r="B83" s="118">
        <f ca="1">IF(ROWS($1:70)&gt;COUNT(Dong1),"",OFFSET(TH!E$1,SMALL(Dong1,ROWS($1:70)),))</f>
        <v>42328</v>
      </c>
      <c r="C83" s="119" t="str">
        <f ca="1">IF(ROWS($1:70)&gt;COUNT(Dong1),"",IF(OFFSET(TH!L$1,SMALL(Dong1,ROWS($1:70)),)="1111",OFFSET(TH!D$1,SMALL(Dong1,ROWS($1:70)),),""))</f>
        <v/>
      </c>
      <c r="D83" s="120" t="str">
        <f ca="1">IF(ROWS($1:70)&gt;COUNT(Dong1),"",IF(OFFSET(TH!M$1,SMALL(Dong1,ROWS($1:70)),)="1111",OFFSET(TH!D$1,SMALL(Dong1,ROWS($1:70)),),""))</f>
        <v>C28</v>
      </c>
      <c r="E83" s="215" t="str">
        <f ca="1">IF(ROWS($1:70)&gt;COUNT(Dong1),"",OFFSET(TH!F$1,SMALL(Dong1,ROWS($1:70)),))</f>
        <v>Áo đồng phục</v>
      </c>
      <c r="F83" s="122" t="str">
        <f ca="1">IF(ROWS($1:70)&gt;COUNT(Dong1),"",IF(OFFSET(TH!M$1,SMALL(Dong1,ROWS($1:70)),)="1111",OFFSET(TH!L$1,SMALL(Dong1,ROWS($1:70)),),OFFSET(TH!M$1,SMALL(Dong1,ROWS($1:70)),)))</f>
        <v>642</v>
      </c>
      <c r="G83" s="123">
        <f ca="1">IF(ROWS($1:70)&gt;COUNT(Dong1),"",IF(OFFSET(TH!L$1,SMALL(Dong1,ROWS($1:70)),)="1111",OFFSET(TH!K$1,SMALL(Dong1,ROWS($1:70)),),0))</f>
        <v>0</v>
      </c>
      <c r="H83" s="121">
        <f ca="1">IF(ROWS($1:70)&gt;COUNT(Dong1),"",IF(OFFSET(TH!M$1,SMALL(Dong1,ROWS($1:70)),)="1111",OFFSET(TH!K$1,SMALL(Dong1,ROWS($1:70)),),0))</f>
        <v>4800000</v>
      </c>
      <c r="I83" s="119">
        <f t="shared" ca="1" si="2"/>
        <v>2178643519</v>
      </c>
      <c r="J83" s="124"/>
      <c r="N83" s="605"/>
      <c r="O83" s="605"/>
    </row>
    <row r="84" spans="1:15" ht="21.75" customHeight="1">
      <c r="A84" s="118">
        <f ca="1">IF(ROWS($1:71)&gt;COUNT(Dong1),"",OFFSET(TH!C$1,SMALL(Dong1,ROWS($1:71)),))</f>
        <v>42328</v>
      </c>
      <c r="B84" s="118">
        <f ca="1">IF(ROWS($1:71)&gt;COUNT(Dong1),"",OFFSET(TH!E$1,SMALL(Dong1,ROWS($1:71)),))</f>
        <v>42328</v>
      </c>
      <c r="C84" s="119" t="str">
        <f ca="1">IF(ROWS($1:71)&gt;COUNT(Dong1),"",IF(OFFSET(TH!L$1,SMALL(Dong1,ROWS($1:71)),)="1111",OFFSET(TH!D$1,SMALL(Dong1,ROWS($1:71)),),""))</f>
        <v/>
      </c>
      <c r="D84" s="120" t="str">
        <f ca="1">IF(ROWS($1:71)&gt;COUNT(Dong1),"",IF(OFFSET(TH!M$1,SMALL(Dong1,ROWS($1:71)),)="1111",OFFSET(TH!D$1,SMALL(Dong1,ROWS($1:71)),),""))</f>
        <v>C28</v>
      </c>
      <c r="E84" s="215" t="str">
        <f ca="1">IF(ROWS($1:71)&gt;COUNT(Dong1),"",OFFSET(TH!F$1,SMALL(Dong1,ROWS($1:71)),))</f>
        <v>VAT Áo đồng phục</v>
      </c>
      <c r="F84" s="122" t="str">
        <f ca="1">IF(ROWS($1:71)&gt;COUNT(Dong1),"",IF(OFFSET(TH!M$1,SMALL(Dong1,ROWS($1:71)),)="1111",OFFSET(TH!L$1,SMALL(Dong1,ROWS($1:71)),),OFFSET(TH!M$1,SMALL(Dong1,ROWS($1:71)),)))</f>
        <v>1331</v>
      </c>
      <c r="G84" s="123">
        <f ca="1">IF(ROWS($1:71)&gt;COUNT(Dong1),"",IF(OFFSET(TH!L$1,SMALL(Dong1,ROWS($1:71)),)="1111",OFFSET(TH!K$1,SMALL(Dong1,ROWS($1:71)),),0))</f>
        <v>0</v>
      </c>
      <c r="H84" s="121">
        <f ca="1">IF(ROWS($1:71)&gt;COUNT(Dong1),"",IF(OFFSET(TH!M$1,SMALL(Dong1,ROWS($1:71)),)="1111",OFFSET(TH!K$1,SMALL(Dong1,ROWS($1:71)),),0))</f>
        <v>480000</v>
      </c>
      <c r="I84" s="119">
        <f t="shared" ca="1" si="2"/>
        <v>2178163519</v>
      </c>
      <c r="J84" s="124"/>
      <c r="N84" s="605"/>
      <c r="O84" s="605"/>
    </row>
    <row r="85" spans="1:15" ht="21.75" customHeight="1">
      <c r="A85" s="118">
        <f ca="1">IF(ROWS($1:72)&gt;COUNT(Dong1),"",OFFSET(TH!C$1,SMALL(Dong1,ROWS($1:72)),))</f>
        <v>42328</v>
      </c>
      <c r="B85" s="118">
        <f ca="1">IF(ROWS($1:72)&gt;COUNT(Dong1),"",OFFSET(TH!E$1,SMALL(Dong1,ROWS($1:72)),))</f>
        <v>42328</v>
      </c>
      <c r="C85" s="119" t="str">
        <f ca="1">IF(ROWS($1:72)&gt;COUNT(Dong1),"",IF(OFFSET(TH!L$1,SMALL(Dong1,ROWS($1:72)),)="1111",OFFSET(TH!D$1,SMALL(Dong1,ROWS($1:72)),),""))</f>
        <v>T24</v>
      </c>
      <c r="D85" s="120" t="str">
        <f ca="1">IF(ROWS($1:72)&gt;COUNT(Dong1),"",IF(OFFSET(TH!M$1,SMALL(Dong1,ROWS($1:72)),)="1111",OFFSET(TH!D$1,SMALL(Dong1,ROWS($1:72)),),""))</f>
        <v/>
      </c>
      <c r="E85" s="215" t="str">
        <f ca="1">IF(ROWS($1:72)&gt;COUNT(Dong1),"",OFFSET(TH!F$1,SMALL(Dong1,ROWS($1:72)),))</f>
        <v>Thu tiền hàng</v>
      </c>
      <c r="F85" s="122" t="str">
        <f ca="1">IF(ROWS($1:72)&gt;COUNT(Dong1),"",IF(OFFSET(TH!M$1,SMALL(Dong1,ROWS($1:72)),)="1111",OFFSET(TH!L$1,SMALL(Dong1,ROWS($1:72)),),OFFSET(TH!M$1,SMALL(Dong1,ROWS($1:72)),)))</f>
        <v>131</v>
      </c>
      <c r="G85" s="123">
        <f ca="1">IF(ROWS($1:72)&gt;COUNT(Dong1),"",IF(OFFSET(TH!L$1,SMALL(Dong1,ROWS($1:72)),)="1111",OFFSET(TH!K$1,SMALL(Dong1,ROWS($1:72)),),0))</f>
        <v>10173856</v>
      </c>
      <c r="H85" s="121">
        <f ca="1">IF(ROWS($1:72)&gt;COUNT(Dong1),"",IF(OFFSET(TH!M$1,SMALL(Dong1,ROWS($1:72)),)="1111",OFFSET(TH!K$1,SMALL(Dong1,ROWS($1:72)),),0))</f>
        <v>0</v>
      </c>
      <c r="I85" s="119">
        <f t="shared" ca="1" si="2"/>
        <v>2188337375</v>
      </c>
      <c r="J85" s="124"/>
      <c r="N85" s="605"/>
      <c r="O85" s="605"/>
    </row>
    <row r="86" spans="1:15" ht="21.75" customHeight="1">
      <c r="A86" s="118">
        <f ca="1">IF(ROWS($1:73)&gt;COUNT(Dong1),"",OFFSET(TH!C$1,SMALL(Dong1,ROWS($1:73)),))</f>
        <v>42329</v>
      </c>
      <c r="B86" s="118">
        <f ca="1">IF(ROWS($1:73)&gt;COUNT(Dong1),"",OFFSET(TH!E$1,SMALL(Dong1,ROWS($1:73)),))</f>
        <v>42329</v>
      </c>
      <c r="C86" s="119" t="str">
        <f ca="1">IF(ROWS($1:73)&gt;COUNT(Dong1),"",IF(OFFSET(TH!L$1,SMALL(Dong1,ROWS($1:73)),)="1111",OFFSET(TH!D$1,SMALL(Dong1,ROWS($1:73)),),""))</f>
        <v/>
      </c>
      <c r="D86" s="120" t="str">
        <f ca="1">IF(ROWS($1:73)&gt;COUNT(Dong1),"",IF(OFFSET(TH!M$1,SMALL(Dong1,ROWS($1:73)),)="1111",OFFSET(TH!D$1,SMALL(Dong1,ROWS($1:73)),),""))</f>
        <v>C29</v>
      </c>
      <c r="E86" s="215" t="str">
        <f ca="1">IF(ROWS($1:73)&gt;COUNT(Dong1),"",OFFSET(TH!F$1,SMALL(Dong1,ROWS($1:73)),))</f>
        <v>Văn phòng phẩm</v>
      </c>
      <c r="F86" s="122" t="str">
        <f ca="1">IF(ROWS($1:73)&gt;COUNT(Dong1),"",IF(OFFSET(TH!M$1,SMALL(Dong1,ROWS($1:73)),)="1111",OFFSET(TH!L$1,SMALL(Dong1,ROWS($1:73)),),OFFSET(TH!M$1,SMALL(Dong1,ROWS($1:73)),)))</f>
        <v>642</v>
      </c>
      <c r="G86" s="123">
        <f ca="1">IF(ROWS($1:73)&gt;COUNT(Dong1),"",IF(OFFSET(TH!L$1,SMALL(Dong1,ROWS($1:73)),)="1111",OFFSET(TH!K$1,SMALL(Dong1,ROWS($1:73)),),0))</f>
        <v>0</v>
      </c>
      <c r="H86" s="121">
        <f ca="1">IF(ROWS($1:73)&gt;COUNT(Dong1),"",IF(OFFSET(TH!M$1,SMALL(Dong1,ROWS($1:73)),)="1111",OFFSET(TH!K$1,SMALL(Dong1,ROWS($1:73)),),0))</f>
        <v>109091</v>
      </c>
      <c r="I86" s="119">
        <f t="shared" ca="1" si="2"/>
        <v>2188228284</v>
      </c>
      <c r="J86" s="124"/>
      <c r="N86" s="605"/>
      <c r="O86" s="605"/>
    </row>
    <row r="87" spans="1:15" ht="21.75" customHeight="1">
      <c r="A87" s="118">
        <f ca="1">IF(ROWS($1:74)&gt;COUNT(Dong1),"",OFFSET(TH!C$1,SMALL(Dong1,ROWS($1:74)),))</f>
        <v>42329</v>
      </c>
      <c r="B87" s="118">
        <f ca="1">IF(ROWS($1:74)&gt;COUNT(Dong1),"",OFFSET(TH!E$1,SMALL(Dong1,ROWS($1:74)),))</f>
        <v>42329</v>
      </c>
      <c r="C87" s="119" t="str">
        <f ca="1">IF(ROWS($1:74)&gt;COUNT(Dong1),"",IF(OFFSET(TH!L$1,SMALL(Dong1,ROWS($1:74)),)="1111",OFFSET(TH!D$1,SMALL(Dong1,ROWS($1:74)),),""))</f>
        <v/>
      </c>
      <c r="D87" s="120" t="str">
        <f ca="1">IF(ROWS($1:74)&gt;COUNT(Dong1),"",IF(OFFSET(TH!M$1,SMALL(Dong1,ROWS($1:74)),)="1111",OFFSET(TH!D$1,SMALL(Dong1,ROWS($1:74)),),""))</f>
        <v>C29</v>
      </c>
      <c r="E87" s="215" t="str">
        <f ca="1">IF(ROWS($1:74)&gt;COUNT(Dong1),"",OFFSET(TH!F$1,SMALL(Dong1,ROWS($1:74)),))</f>
        <v>VAT Văn phòng phẩm</v>
      </c>
      <c r="F87" s="122" t="str">
        <f ca="1">IF(ROWS($1:74)&gt;COUNT(Dong1),"",IF(OFFSET(TH!M$1,SMALL(Dong1,ROWS($1:74)),)="1111",OFFSET(TH!L$1,SMALL(Dong1,ROWS($1:74)),),OFFSET(TH!M$1,SMALL(Dong1,ROWS($1:74)),)))</f>
        <v>1331</v>
      </c>
      <c r="G87" s="123">
        <f ca="1">IF(ROWS($1:74)&gt;COUNT(Dong1),"",IF(OFFSET(TH!L$1,SMALL(Dong1,ROWS($1:74)),)="1111",OFFSET(TH!K$1,SMALL(Dong1,ROWS($1:74)),),0))</f>
        <v>0</v>
      </c>
      <c r="H87" s="121">
        <f ca="1">IF(ROWS($1:74)&gt;COUNT(Dong1),"",IF(OFFSET(TH!M$1,SMALL(Dong1,ROWS($1:74)),)="1111",OFFSET(TH!K$1,SMALL(Dong1,ROWS($1:74)),),0))</f>
        <v>10909</v>
      </c>
      <c r="I87" s="119">
        <f t="shared" ca="1" si="2"/>
        <v>2188217375</v>
      </c>
      <c r="J87" s="124"/>
      <c r="N87" s="605"/>
      <c r="O87" s="605"/>
    </row>
    <row r="88" spans="1:15" ht="21.75" customHeight="1">
      <c r="A88" s="118">
        <f ca="1">IF(ROWS($1:75)&gt;COUNT(Dong1),"",OFFSET(TH!C$1,SMALL(Dong1,ROWS($1:75)),))</f>
        <v>42329</v>
      </c>
      <c r="B88" s="118">
        <f ca="1">IF(ROWS($1:75)&gt;COUNT(Dong1),"",OFFSET(TH!E$1,SMALL(Dong1,ROWS($1:75)),))</f>
        <v>42329</v>
      </c>
      <c r="C88" s="119" t="str">
        <f ca="1">IF(ROWS($1:75)&gt;COUNT(Dong1),"",IF(OFFSET(TH!L$1,SMALL(Dong1,ROWS($1:75)),)="1111",OFFSET(TH!D$1,SMALL(Dong1,ROWS($1:75)),),""))</f>
        <v>T25</v>
      </c>
      <c r="D88" s="120" t="str">
        <f ca="1">IF(ROWS($1:75)&gt;COUNT(Dong1),"",IF(OFFSET(TH!M$1,SMALL(Dong1,ROWS($1:75)),)="1111",OFFSET(TH!D$1,SMALL(Dong1,ROWS($1:75)),),""))</f>
        <v/>
      </c>
      <c r="E88" s="215" t="str">
        <f ca="1">IF(ROWS($1:75)&gt;COUNT(Dong1),"",OFFSET(TH!F$1,SMALL(Dong1,ROWS($1:75)),))</f>
        <v>Thu tiền hàng</v>
      </c>
      <c r="F88" s="122" t="str">
        <f ca="1">IF(ROWS($1:75)&gt;COUNT(Dong1),"",IF(OFFSET(TH!M$1,SMALL(Dong1,ROWS($1:75)),)="1111",OFFSET(TH!L$1,SMALL(Dong1,ROWS($1:75)),),OFFSET(TH!M$1,SMALL(Dong1,ROWS($1:75)),)))</f>
        <v>131</v>
      </c>
      <c r="G88" s="123">
        <f ca="1">IF(ROWS($1:75)&gt;COUNT(Dong1),"",IF(OFFSET(TH!L$1,SMALL(Dong1,ROWS($1:75)),)="1111",OFFSET(TH!K$1,SMALL(Dong1,ROWS($1:75)),),0))</f>
        <v>5852000</v>
      </c>
      <c r="H88" s="121">
        <f ca="1">IF(ROWS($1:75)&gt;COUNT(Dong1),"",IF(OFFSET(TH!M$1,SMALL(Dong1,ROWS($1:75)),)="1111",OFFSET(TH!K$1,SMALL(Dong1,ROWS($1:75)),),0))</f>
        <v>0</v>
      </c>
      <c r="I88" s="119">
        <f t="shared" ref="I88:I89" ca="1" si="3">IF(E88&lt;&gt;"",I87+G88-H88,0)</f>
        <v>2194069375</v>
      </c>
      <c r="J88" s="124"/>
      <c r="N88" s="605"/>
      <c r="O88" s="605"/>
    </row>
    <row r="89" spans="1:15" ht="21.75" customHeight="1">
      <c r="A89" s="118">
        <f ca="1">IF(ROWS($1:76)&gt;COUNT(Dong1),"",OFFSET(TH!C$1,SMALL(Dong1,ROWS($1:76)),))</f>
        <v>42329</v>
      </c>
      <c r="B89" s="118">
        <f ca="1">IF(ROWS($1:76)&gt;COUNT(Dong1),"",OFFSET(TH!E$1,SMALL(Dong1,ROWS($1:76)),))</f>
        <v>42329</v>
      </c>
      <c r="C89" s="119" t="str">
        <f ca="1">IF(ROWS($1:76)&gt;COUNT(Dong1),"",IF(OFFSET(TH!L$1,SMALL(Dong1,ROWS($1:76)),)="1111",OFFSET(TH!D$1,SMALL(Dong1,ROWS($1:76)),),""))</f>
        <v>T26</v>
      </c>
      <c r="D89" s="120" t="str">
        <f ca="1">IF(ROWS($1:76)&gt;COUNT(Dong1),"",IF(OFFSET(TH!M$1,SMALL(Dong1,ROWS($1:76)),)="1111",OFFSET(TH!D$1,SMALL(Dong1,ROWS($1:76)),),""))</f>
        <v/>
      </c>
      <c r="E89" s="215" t="str">
        <f ca="1">IF(ROWS($1:76)&gt;COUNT(Dong1),"",OFFSET(TH!F$1,SMALL(Dong1,ROWS($1:76)),))</f>
        <v>Thu tiền hàng</v>
      </c>
      <c r="F89" s="122" t="str">
        <f ca="1">IF(ROWS($1:76)&gt;COUNT(Dong1),"",IF(OFFSET(TH!M$1,SMALL(Dong1,ROWS($1:76)),)="1111",OFFSET(TH!L$1,SMALL(Dong1,ROWS($1:76)),),OFFSET(TH!M$1,SMALL(Dong1,ROWS($1:76)),)))</f>
        <v>131</v>
      </c>
      <c r="G89" s="123">
        <f ca="1">IF(ROWS($1:76)&gt;COUNT(Dong1),"",IF(OFFSET(TH!L$1,SMALL(Dong1,ROWS($1:76)),)="1111",OFFSET(TH!K$1,SMALL(Dong1,ROWS($1:76)),),0))</f>
        <v>10780000</v>
      </c>
      <c r="H89" s="121">
        <f ca="1">IF(ROWS($1:76)&gt;COUNT(Dong1),"",IF(OFFSET(TH!M$1,SMALL(Dong1,ROWS($1:76)),)="1111",OFFSET(TH!K$1,SMALL(Dong1,ROWS($1:76)),),0))</f>
        <v>0</v>
      </c>
      <c r="I89" s="119">
        <f t="shared" ca="1" si="3"/>
        <v>2204849375</v>
      </c>
      <c r="J89" s="124"/>
      <c r="N89" s="605"/>
      <c r="O89" s="605"/>
    </row>
    <row r="90" spans="1:15" ht="21.75" customHeight="1">
      <c r="A90" s="118">
        <f ca="1">IF(ROWS($1:77)&gt;COUNT(Dong1),"",OFFSET(TH!C$1,SMALL(Dong1,ROWS($1:77)),))</f>
        <v>42331</v>
      </c>
      <c r="B90" s="118">
        <f ca="1">IF(ROWS($1:77)&gt;COUNT(Dong1),"",OFFSET(TH!E$1,SMALL(Dong1,ROWS($1:77)),))</f>
        <v>42331</v>
      </c>
      <c r="C90" s="119" t="str">
        <f ca="1">IF(ROWS($1:77)&gt;COUNT(Dong1),"",IF(OFFSET(TH!L$1,SMALL(Dong1,ROWS($1:77)),)="1111",OFFSET(TH!D$1,SMALL(Dong1,ROWS($1:77)),),""))</f>
        <v/>
      </c>
      <c r="D90" s="120" t="str">
        <f ca="1">IF(ROWS($1:77)&gt;COUNT(Dong1),"",IF(OFFSET(TH!M$1,SMALL(Dong1,ROWS($1:77)),)="1111",OFFSET(TH!D$1,SMALL(Dong1,ROWS($1:77)),),""))</f>
        <v>C30</v>
      </c>
      <c r="E90" s="215" t="str">
        <f ca="1">IF(ROWS($1:77)&gt;COUNT(Dong1),"",OFFSET(TH!F$1,SMALL(Dong1,ROWS($1:77)),))</f>
        <v>Văn phòng phẩm</v>
      </c>
      <c r="F90" s="122" t="str">
        <f ca="1">IF(ROWS($1:77)&gt;COUNT(Dong1),"",IF(OFFSET(TH!M$1,SMALL(Dong1,ROWS($1:77)),)="1111",OFFSET(TH!L$1,SMALL(Dong1,ROWS($1:77)),),OFFSET(TH!M$1,SMALL(Dong1,ROWS($1:77)),)))</f>
        <v>642</v>
      </c>
      <c r="G90" s="123">
        <f ca="1">IF(ROWS($1:77)&gt;COUNT(Dong1),"",IF(OFFSET(TH!L$1,SMALL(Dong1,ROWS($1:77)),)="1111",OFFSET(TH!K$1,SMALL(Dong1,ROWS($1:77)),),0))</f>
        <v>0</v>
      </c>
      <c r="H90" s="121">
        <f ca="1">IF(ROWS($1:77)&gt;COUNT(Dong1),"",IF(OFFSET(TH!M$1,SMALL(Dong1,ROWS($1:77)),)="1111",OFFSET(TH!K$1,SMALL(Dong1,ROWS($1:77)),),0))</f>
        <v>176083</v>
      </c>
      <c r="I90" s="119">
        <f t="shared" ref="I90:I110" ca="1" si="4">IF(E90&lt;&gt;"",I89+G90-H90,0)</f>
        <v>2204673292</v>
      </c>
      <c r="J90" s="124"/>
      <c r="N90" s="605"/>
      <c r="O90" s="605"/>
    </row>
    <row r="91" spans="1:15" ht="21.75" customHeight="1">
      <c r="A91" s="118">
        <f ca="1">IF(ROWS($1:78)&gt;COUNT(Dong1),"",OFFSET(TH!C$1,SMALL(Dong1,ROWS($1:78)),))</f>
        <v>42331</v>
      </c>
      <c r="B91" s="118">
        <f ca="1">IF(ROWS($1:78)&gt;COUNT(Dong1),"",OFFSET(TH!E$1,SMALL(Dong1,ROWS($1:78)),))</f>
        <v>42331</v>
      </c>
      <c r="C91" s="119" t="str">
        <f ca="1">IF(ROWS($1:78)&gt;COUNT(Dong1),"",IF(OFFSET(TH!L$1,SMALL(Dong1,ROWS($1:78)),)="1111",OFFSET(TH!D$1,SMALL(Dong1,ROWS($1:78)),),""))</f>
        <v/>
      </c>
      <c r="D91" s="120" t="str">
        <f ca="1">IF(ROWS($1:78)&gt;COUNT(Dong1),"",IF(OFFSET(TH!M$1,SMALL(Dong1,ROWS($1:78)),)="1111",OFFSET(TH!D$1,SMALL(Dong1,ROWS($1:78)),),""))</f>
        <v>C30</v>
      </c>
      <c r="E91" s="215" t="str">
        <f ca="1">IF(ROWS($1:78)&gt;COUNT(Dong1),"",OFFSET(TH!F$1,SMALL(Dong1,ROWS($1:78)),))</f>
        <v>VAT Văn phòng phẩm</v>
      </c>
      <c r="F91" s="122" t="str">
        <f ca="1">IF(ROWS($1:78)&gt;COUNT(Dong1),"",IF(OFFSET(TH!M$1,SMALL(Dong1,ROWS($1:78)),)="1111",OFFSET(TH!L$1,SMALL(Dong1,ROWS($1:78)),),OFFSET(TH!M$1,SMALL(Dong1,ROWS($1:78)),)))</f>
        <v>1331</v>
      </c>
      <c r="G91" s="123">
        <f ca="1">IF(ROWS($1:78)&gt;COUNT(Dong1),"",IF(OFFSET(TH!L$1,SMALL(Dong1,ROWS($1:78)),)="1111",OFFSET(TH!K$1,SMALL(Dong1,ROWS($1:78)),),0))</f>
        <v>0</v>
      </c>
      <c r="H91" s="121">
        <f ca="1">IF(ROWS($1:78)&gt;COUNT(Dong1),"",IF(OFFSET(TH!M$1,SMALL(Dong1,ROWS($1:78)),)="1111",OFFSET(TH!K$1,SMALL(Dong1,ROWS($1:78)),),0))</f>
        <v>16417</v>
      </c>
      <c r="I91" s="119">
        <f t="shared" ca="1" si="4"/>
        <v>2204656875</v>
      </c>
      <c r="J91" s="124"/>
      <c r="N91" s="605"/>
      <c r="O91" s="605"/>
    </row>
    <row r="92" spans="1:15" ht="21.75" customHeight="1">
      <c r="A92" s="118">
        <f ca="1">IF(ROWS($1:79)&gt;COUNT(Dong1),"",OFFSET(TH!C$1,SMALL(Dong1,ROWS($1:79)),))</f>
        <v>42331</v>
      </c>
      <c r="B92" s="118">
        <f ca="1">IF(ROWS($1:79)&gt;COUNT(Dong1),"",OFFSET(TH!E$1,SMALL(Dong1,ROWS($1:79)),))</f>
        <v>42331</v>
      </c>
      <c r="C92" s="119" t="str">
        <f ca="1">IF(ROWS($1:79)&gt;COUNT(Dong1),"",IF(OFFSET(TH!L$1,SMALL(Dong1,ROWS($1:79)),)="1111",OFFSET(TH!D$1,SMALL(Dong1,ROWS($1:79)),),""))</f>
        <v>T27</v>
      </c>
      <c r="D92" s="120" t="str">
        <f ca="1">IF(ROWS($1:79)&gt;COUNT(Dong1),"",IF(OFFSET(TH!M$1,SMALL(Dong1,ROWS($1:79)),)="1111",OFFSET(TH!D$1,SMALL(Dong1,ROWS($1:79)),),""))</f>
        <v/>
      </c>
      <c r="E92" s="215" t="str">
        <f ca="1">IF(ROWS($1:79)&gt;COUNT(Dong1),"",OFFSET(TH!F$1,SMALL(Dong1,ROWS($1:79)),))</f>
        <v>Cước vận chuyển</v>
      </c>
      <c r="F92" s="122" t="str">
        <f ca="1">IF(ROWS($1:79)&gt;COUNT(Dong1),"",IF(OFFSET(TH!M$1,SMALL(Dong1,ROWS($1:79)),)="1111",OFFSET(TH!L$1,SMALL(Dong1,ROWS($1:79)),),OFFSET(TH!M$1,SMALL(Dong1,ROWS($1:79)),)))</f>
        <v>5111</v>
      </c>
      <c r="G92" s="123">
        <f ca="1">IF(ROWS($1:79)&gt;COUNT(Dong1),"",IF(OFFSET(TH!L$1,SMALL(Dong1,ROWS($1:79)),)="1111",OFFSET(TH!K$1,SMALL(Dong1,ROWS($1:79)),),0))</f>
        <v>3000000</v>
      </c>
      <c r="H92" s="121">
        <f ca="1">IF(ROWS($1:79)&gt;COUNT(Dong1),"",IF(OFFSET(TH!M$1,SMALL(Dong1,ROWS($1:79)),)="1111",OFFSET(TH!K$1,SMALL(Dong1,ROWS($1:79)),),0))</f>
        <v>0</v>
      </c>
      <c r="I92" s="119">
        <f t="shared" ca="1" si="4"/>
        <v>2207656875</v>
      </c>
      <c r="J92" s="124"/>
      <c r="N92" s="605"/>
      <c r="O92" s="605"/>
    </row>
    <row r="93" spans="1:15" ht="21.75" customHeight="1">
      <c r="A93" s="118">
        <f ca="1">IF(ROWS($1:80)&gt;COUNT(Dong1),"",OFFSET(TH!C$1,SMALL(Dong1,ROWS($1:80)),))</f>
        <v>42331</v>
      </c>
      <c r="B93" s="118">
        <f ca="1">IF(ROWS($1:80)&gt;COUNT(Dong1),"",OFFSET(TH!E$1,SMALL(Dong1,ROWS($1:80)),))</f>
        <v>42331</v>
      </c>
      <c r="C93" s="119" t="str">
        <f ca="1">IF(ROWS($1:80)&gt;COUNT(Dong1),"",IF(OFFSET(TH!L$1,SMALL(Dong1,ROWS($1:80)),)="1111",OFFSET(TH!D$1,SMALL(Dong1,ROWS($1:80)),),""))</f>
        <v>T27</v>
      </c>
      <c r="D93" s="120" t="str">
        <f ca="1">IF(ROWS($1:80)&gt;COUNT(Dong1),"",IF(OFFSET(TH!M$1,SMALL(Dong1,ROWS($1:80)),)="1111",OFFSET(TH!D$1,SMALL(Dong1,ROWS($1:80)),),""))</f>
        <v/>
      </c>
      <c r="E93" s="215" t="str">
        <f ca="1">IF(ROWS($1:80)&gt;COUNT(Dong1),"",OFFSET(TH!F$1,SMALL(Dong1,ROWS($1:80)),))</f>
        <v>VAT Cước vận chuyển</v>
      </c>
      <c r="F93" s="122" t="str">
        <f ca="1">IF(ROWS($1:80)&gt;COUNT(Dong1),"",IF(OFFSET(TH!M$1,SMALL(Dong1,ROWS($1:80)),)="1111",OFFSET(TH!L$1,SMALL(Dong1,ROWS($1:80)),),OFFSET(TH!M$1,SMALL(Dong1,ROWS($1:80)),)))</f>
        <v>3331</v>
      </c>
      <c r="G93" s="123">
        <f ca="1">IF(ROWS($1:80)&gt;COUNT(Dong1),"",IF(OFFSET(TH!L$1,SMALL(Dong1,ROWS($1:80)),)="1111",OFFSET(TH!K$1,SMALL(Dong1,ROWS($1:80)),),0))</f>
        <v>300000</v>
      </c>
      <c r="H93" s="121">
        <f ca="1">IF(ROWS($1:80)&gt;COUNT(Dong1),"",IF(OFFSET(TH!M$1,SMALL(Dong1,ROWS($1:80)),)="1111",OFFSET(TH!K$1,SMALL(Dong1,ROWS($1:80)),),0))</f>
        <v>0</v>
      </c>
      <c r="I93" s="119">
        <f t="shared" ca="1" si="4"/>
        <v>2207956875</v>
      </c>
      <c r="J93" s="124"/>
      <c r="N93" s="605"/>
      <c r="O93" s="605"/>
    </row>
    <row r="94" spans="1:15" ht="21.75" customHeight="1">
      <c r="A94" s="118">
        <f ca="1">IF(ROWS($1:81)&gt;COUNT(Dong1),"",OFFSET(TH!C$1,SMALL(Dong1,ROWS($1:81)),))</f>
        <v>42332</v>
      </c>
      <c r="B94" s="118">
        <f ca="1">IF(ROWS($1:81)&gt;COUNT(Dong1),"",OFFSET(TH!E$1,SMALL(Dong1,ROWS($1:81)),))</f>
        <v>42332</v>
      </c>
      <c r="C94" s="119" t="str">
        <f ca="1">IF(ROWS($1:81)&gt;COUNT(Dong1),"",IF(OFFSET(TH!L$1,SMALL(Dong1,ROWS($1:81)),)="1111",OFFSET(TH!D$1,SMALL(Dong1,ROWS($1:81)),),""))</f>
        <v/>
      </c>
      <c r="D94" s="120" t="str">
        <f ca="1">IF(ROWS($1:81)&gt;COUNT(Dong1),"",IF(OFFSET(TH!M$1,SMALL(Dong1,ROWS($1:81)),)="1111",OFFSET(TH!D$1,SMALL(Dong1,ROWS($1:81)),),""))</f>
        <v>C31</v>
      </c>
      <c r="E94" s="215" t="str">
        <f ca="1">IF(ROWS($1:81)&gt;COUNT(Dong1),"",OFFSET(TH!F$1,SMALL(Dong1,ROWS($1:81)),))</f>
        <v>Văn phòng phẩm</v>
      </c>
      <c r="F94" s="122" t="str">
        <f ca="1">IF(ROWS($1:81)&gt;COUNT(Dong1),"",IF(OFFSET(TH!M$1,SMALL(Dong1,ROWS($1:81)),)="1111",OFFSET(TH!L$1,SMALL(Dong1,ROWS($1:81)),),OFFSET(TH!M$1,SMALL(Dong1,ROWS($1:81)),)))</f>
        <v>642</v>
      </c>
      <c r="G94" s="123">
        <f ca="1">IF(ROWS($1:81)&gt;COUNT(Dong1),"",IF(OFFSET(TH!L$1,SMALL(Dong1,ROWS($1:81)),)="1111",OFFSET(TH!K$1,SMALL(Dong1,ROWS($1:81)),),0))</f>
        <v>0</v>
      </c>
      <c r="H94" s="121">
        <f ca="1">IF(ROWS($1:81)&gt;COUNT(Dong1),"",IF(OFFSET(TH!M$1,SMALL(Dong1,ROWS($1:81)),)="1111",OFFSET(TH!K$1,SMALL(Dong1,ROWS($1:81)),),0))</f>
        <v>109091</v>
      </c>
      <c r="I94" s="119">
        <f t="shared" ca="1" si="4"/>
        <v>2207847784</v>
      </c>
      <c r="J94" s="124"/>
      <c r="N94" s="605"/>
      <c r="O94" s="605"/>
    </row>
    <row r="95" spans="1:15" ht="21.75" customHeight="1">
      <c r="A95" s="118">
        <f ca="1">IF(ROWS($1:82)&gt;COUNT(Dong1),"",OFFSET(TH!C$1,SMALL(Dong1,ROWS($1:82)),))</f>
        <v>42332</v>
      </c>
      <c r="B95" s="118">
        <f ca="1">IF(ROWS($1:82)&gt;COUNT(Dong1),"",OFFSET(TH!E$1,SMALL(Dong1,ROWS($1:82)),))</f>
        <v>42332</v>
      </c>
      <c r="C95" s="119" t="str">
        <f ca="1">IF(ROWS($1:82)&gt;COUNT(Dong1),"",IF(OFFSET(TH!L$1,SMALL(Dong1,ROWS($1:82)),)="1111",OFFSET(TH!D$1,SMALL(Dong1,ROWS($1:82)),),""))</f>
        <v/>
      </c>
      <c r="D95" s="120" t="str">
        <f ca="1">IF(ROWS($1:82)&gt;COUNT(Dong1),"",IF(OFFSET(TH!M$1,SMALL(Dong1,ROWS($1:82)),)="1111",OFFSET(TH!D$1,SMALL(Dong1,ROWS($1:82)),),""))</f>
        <v>C31</v>
      </c>
      <c r="E95" s="215" t="str">
        <f ca="1">IF(ROWS($1:82)&gt;COUNT(Dong1),"",OFFSET(TH!F$1,SMALL(Dong1,ROWS($1:82)),))</f>
        <v>VAT Văn phòng phẩm</v>
      </c>
      <c r="F95" s="122" t="str">
        <f ca="1">IF(ROWS($1:82)&gt;COUNT(Dong1),"",IF(OFFSET(TH!M$1,SMALL(Dong1,ROWS($1:82)),)="1111",OFFSET(TH!L$1,SMALL(Dong1,ROWS($1:82)),),OFFSET(TH!M$1,SMALL(Dong1,ROWS($1:82)),)))</f>
        <v>1331</v>
      </c>
      <c r="G95" s="123">
        <f ca="1">IF(ROWS($1:82)&gt;COUNT(Dong1),"",IF(OFFSET(TH!L$1,SMALL(Dong1,ROWS($1:82)),)="1111",OFFSET(TH!K$1,SMALL(Dong1,ROWS($1:82)),),0))</f>
        <v>0</v>
      </c>
      <c r="H95" s="121">
        <f ca="1">IF(ROWS($1:82)&gt;COUNT(Dong1),"",IF(OFFSET(TH!M$1,SMALL(Dong1,ROWS($1:82)),)="1111",OFFSET(TH!K$1,SMALL(Dong1,ROWS($1:82)),),0))</f>
        <v>10909</v>
      </c>
      <c r="I95" s="119">
        <f t="shared" ca="1" si="4"/>
        <v>2207836875</v>
      </c>
      <c r="J95" s="124"/>
      <c r="N95" s="605"/>
      <c r="O95" s="605"/>
    </row>
    <row r="96" spans="1:15" ht="21.75" customHeight="1">
      <c r="A96" s="118">
        <f ca="1">IF(ROWS($1:83)&gt;COUNT(Dong1),"",OFFSET(TH!C$1,SMALL(Dong1,ROWS($1:83)),))</f>
        <v>42333</v>
      </c>
      <c r="B96" s="118">
        <f ca="1">IF(ROWS($1:83)&gt;COUNT(Dong1),"",OFFSET(TH!E$1,SMALL(Dong1,ROWS($1:83)),))</f>
        <v>42333</v>
      </c>
      <c r="C96" s="119" t="str">
        <f ca="1">IF(ROWS($1:83)&gt;COUNT(Dong1),"",IF(OFFSET(TH!L$1,SMALL(Dong1,ROWS($1:83)),)="1111",OFFSET(TH!D$1,SMALL(Dong1,ROWS($1:83)),),""))</f>
        <v/>
      </c>
      <c r="D96" s="120" t="str">
        <f ca="1">IF(ROWS($1:83)&gt;COUNT(Dong1),"",IF(OFFSET(TH!M$1,SMALL(Dong1,ROWS($1:83)),)="1111",OFFSET(TH!D$1,SMALL(Dong1,ROWS($1:83)),),""))</f>
        <v>C32</v>
      </c>
      <c r="E96" s="215" t="str">
        <f ca="1">IF(ROWS($1:83)&gt;COUNT(Dong1),"",OFFSET(TH!F$1,SMALL(Dong1,ROWS($1:83)),))</f>
        <v>Nộp tiền mặt vào tài khoản</v>
      </c>
      <c r="F96" s="122" t="str">
        <f ca="1">IF(ROWS($1:83)&gt;COUNT(Dong1),"",IF(OFFSET(TH!M$1,SMALL(Dong1,ROWS($1:83)),)="1111",OFFSET(TH!L$1,SMALL(Dong1,ROWS($1:83)),),OFFSET(TH!M$1,SMALL(Dong1,ROWS($1:83)),)))</f>
        <v>1121</v>
      </c>
      <c r="G96" s="123">
        <f ca="1">IF(ROWS($1:83)&gt;COUNT(Dong1),"",IF(OFFSET(TH!L$1,SMALL(Dong1,ROWS($1:83)),)="1111",OFFSET(TH!K$1,SMALL(Dong1,ROWS($1:83)),),0))</f>
        <v>0</v>
      </c>
      <c r="H96" s="121">
        <f ca="1">IF(ROWS($1:83)&gt;COUNT(Dong1),"",IF(OFFSET(TH!M$1,SMALL(Dong1,ROWS($1:83)),)="1111",OFFSET(TH!K$1,SMALL(Dong1,ROWS($1:83)),),0))</f>
        <v>5000000</v>
      </c>
      <c r="I96" s="119">
        <f t="shared" ca="1" si="4"/>
        <v>2202836875</v>
      </c>
      <c r="J96" s="124"/>
      <c r="N96" s="605"/>
      <c r="O96" s="605"/>
    </row>
    <row r="97" spans="1:15" ht="21.75" customHeight="1">
      <c r="A97" s="118">
        <f ca="1">IF(ROWS($1:84)&gt;COUNT(Dong1),"",OFFSET(TH!C$1,SMALL(Dong1,ROWS($1:84)),))</f>
        <v>42335</v>
      </c>
      <c r="B97" s="118">
        <f ca="1">IF(ROWS($1:84)&gt;COUNT(Dong1),"",OFFSET(TH!E$1,SMALL(Dong1,ROWS($1:84)),))</f>
        <v>42335</v>
      </c>
      <c r="C97" s="119" t="str">
        <f ca="1">IF(ROWS($1:84)&gt;COUNT(Dong1),"",IF(OFFSET(TH!L$1,SMALL(Dong1,ROWS($1:84)),)="1111",OFFSET(TH!D$1,SMALL(Dong1,ROWS($1:84)),),""))</f>
        <v/>
      </c>
      <c r="D97" s="120" t="str">
        <f ca="1">IF(ROWS($1:84)&gt;COUNT(Dong1),"",IF(OFFSET(TH!M$1,SMALL(Dong1,ROWS($1:84)),)="1111",OFFSET(TH!D$1,SMALL(Dong1,ROWS($1:84)),),""))</f>
        <v>C33</v>
      </c>
      <c r="E97" s="215" t="str">
        <f ca="1">IF(ROWS($1:84)&gt;COUNT(Dong1),"",OFFSET(TH!F$1,SMALL(Dong1,ROWS($1:84)),))</f>
        <v>Nộp tiền mặt vào tài khoản</v>
      </c>
      <c r="F97" s="122" t="str">
        <f ca="1">IF(ROWS($1:84)&gt;COUNT(Dong1),"",IF(OFFSET(TH!M$1,SMALL(Dong1,ROWS($1:84)),)="1111",OFFSET(TH!L$1,SMALL(Dong1,ROWS($1:84)),),OFFSET(TH!M$1,SMALL(Dong1,ROWS($1:84)),)))</f>
        <v>1121</v>
      </c>
      <c r="G97" s="123">
        <f ca="1">IF(ROWS($1:84)&gt;COUNT(Dong1),"",IF(OFFSET(TH!L$1,SMALL(Dong1,ROWS($1:84)),)="1111",OFFSET(TH!K$1,SMALL(Dong1,ROWS($1:84)),),0))</f>
        <v>0</v>
      </c>
      <c r="H97" s="121">
        <f ca="1">IF(ROWS($1:84)&gt;COUNT(Dong1),"",IF(OFFSET(TH!M$1,SMALL(Dong1,ROWS($1:84)),)="1111",OFFSET(TH!K$1,SMALL(Dong1,ROWS($1:84)),),0))</f>
        <v>20000000</v>
      </c>
      <c r="I97" s="119">
        <f t="shared" ca="1" si="4"/>
        <v>2182836875</v>
      </c>
      <c r="J97" s="124"/>
      <c r="N97" s="605"/>
      <c r="O97" s="605"/>
    </row>
    <row r="98" spans="1:15" ht="21.75" customHeight="1">
      <c r="A98" s="118">
        <f ca="1">IF(ROWS($1:85)&gt;COUNT(Dong1),"",OFFSET(TH!C$1,SMALL(Dong1,ROWS($1:85)),))</f>
        <v>42335</v>
      </c>
      <c r="B98" s="118">
        <f ca="1">IF(ROWS($1:85)&gt;COUNT(Dong1),"",OFFSET(TH!E$1,SMALL(Dong1,ROWS($1:85)),))</f>
        <v>42335</v>
      </c>
      <c r="C98" s="119" t="str">
        <f ca="1">IF(ROWS($1:85)&gt;COUNT(Dong1),"",IF(OFFSET(TH!L$1,SMALL(Dong1,ROWS($1:85)),)="1111",OFFSET(TH!D$1,SMALL(Dong1,ROWS($1:85)),),""))</f>
        <v>T28</v>
      </c>
      <c r="D98" s="120" t="str">
        <f ca="1">IF(ROWS($1:85)&gt;COUNT(Dong1),"",IF(OFFSET(TH!M$1,SMALL(Dong1,ROWS($1:85)),)="1111",OFFSET(TH!D$1,SMALL(Dong1,ROWS($1:85)),),""))</f>
        <v/>
      </c>
      <c r="E98" s="215" t="str">
        <f ca="1">IF(ROWS($1:85)&gt;COUNT(Dong1),"",OFFSET(TH!F$1,SMALL(Dong1,ROWS($1:85)),))</f>
        <v>Thu tiền hàng</v>
      </c>
      <c r="F98" s="122" t="str">
        <f ca="1">IF(ROWS($1:85)&gt;COUNT(Dong1),"",IF(OFFSET(TH!M$1,SMALL(Dong1,ROWS($1:85)),)="1111",OFFSET(TH!L$1,SMALL(Dong1,ROWS($1:85)),),OFFSET(TH!M$1,SMALL(Dong1,ROWS($1:85)),)))</f>
        <v>131</v>
      </c>
      <c r="G98" s="123">
        <f ca="1">IF(ROWS($1:85)&gt;COUNT(Dong1),"",IF(OFFSET(TH!L$1,SMALL(Dong1,ROWS($1:85)),)="1111",OFFSET(TH!K$1,SMALL(Dong1,ROWS($1:85)),),0))</f>
        <v>3177013</v>
      </c>
      <c r="H98" s="121">
        <f ca="1">IF(ROWS($1:85)&gt;COUNT(Dong1),"",IF(OFFSET(TH!M$1,SMALL(Dong1,ROWS($1:85)),)="1111",OFFSET(TH!K$1,SMALL(Dong1,ROWS($1:85)),),0))</f>
        <v>0</v>
      </c>
      <c r="I98" s="119">
        <f t="shared" ca="1" si="4"/>
        <v>2186013888</v>
      </c>
      <c r="J98" s="124"/>
      <c r="N98" s="605"/>
      <c r="O98" s="605"/>
    </row>
    <row r="99" spans="1:15" ht="21.75" customHeight="1">
      <c r="A99" s="118">
        <f ca="1">IF(ROWS($1:86)&gt;COUNT(Dong1),"",OFFSET(TH!C$1,SMALL(Dong1,ROWS($1:86)),))</f>
        <v>42336</v>
      </c>
      <c r="B99" s="118">
        <f ca="1">IF(ROWS($1:86)&gt;COUNT(Dong1),"",OFFSET(TH!E$1,SMALL(Dong1,ROWS($1:86)),))</f>
        <v>42336</v>
      </c>
      <c r="C99" s="119" t="str">
        <f ca="1">IF(ROWS($1:86)&gt;COUNT(Dong1),"",IF(OFFSET(TH!L$1,SMALL(Dong1,ROWS($1:86)),)="1111",OFFSET(TH!D$1,SMALL(Dong1,ROWS($1:86)),),""))</f>
        <v>T29</v>
      </c>
      <c r="D99" s="120" t="str">
        <f ca="1">IF(ROWS($1:86)&gt;COUNT(Dong1),"",IF(OFFSET(TH!M$1,SMALL(Dong1,ROWS($1:86)),)="1111",OFFSET(TH!D$1,SMALL(Dong1,ROWS($1:86)),),""))</f>
        <v/>
      </c>
      <c r="E99" s="215" t="str">
        <f ca="1">IF(ROWS($1:86)&gt;COUNT(Dong1),"",OFFSET(TH!F$1,SMALL(Dong1,ROWS($1:86)),))</f>
        <v>Cước vận chuyển</v>
      </c>
      <c r="F99" s="122" t="str">
        <f ca="1">IF(ROWS($1:86)&gt;COUNT(Dong1),"",IF(OFFSET(TH!M$1,SMALL(Dong1,ROWS($1:86)),)="1111",OFFSET(TH!L$1,SMALL(Dong1,ROWS($1:86)),),OFFSET(TH!M$1,SMALL(Dong1,ROWS($1:86)),)))</f>
        <v>5111</v>
      </c>
      <c r="G99" s="123">
        <f ca="1">IF(ROWS($1:86)&gt;COUNT(Dong1),"",IF(OFFSET(TH!L$1,SMALL(Dong1,ROWS($1:86)),)="1111",OFFSET(TH!K$1,SMALL(Dong1,ROWS($1:86)),),0))</f>
        <v>9000000</v>
      </c>
      <c r="H99" s="121">
        <f ca="1">IF(ROWS($1:86)&gt;COUNT(Dong1),"",IF(OFFSET(TH!M$1,SMALL(Dong1,ROWS($1:86)),)="1111",OFFSET(TH!K$1,SMALL(Dong1,ROWS($1:86)),),0))</f>
        <v>0</v>
      </c>
      <c r="I99" s="119">
        <f t="shared" ca="1" si="4"/>
        <v>2195013888</v>
      </c>
      <c r="J99" s="124"/>
      <c r="N99" s="605"/>
      <c r="O99" s="605"/>
    </row>
    <row r="100" spans="1:15" ht="21.75" customHeight="1">
      <c r="A100" s="118">
        <f ca="1">IF(ROWS($1:87)&gt;COUNT(Dong1),"",OFFSET(TH!C$1,SMALL(Dong1,ROWS($1:87)),))</f>
        <v>42336</v>
      </c>
      <c r="B100" s="118">
        <f ca="1">IF(ROWS($1:87)&gt;COUNT(Dong1),"",OFFSET(TH!E$1,SMALL(Dong1,ROWS($1:87)),))</f>
        <v>42336</v>
      </c>
      <c r="C100" s="119" t="str">
        <f ca="1">IF(ROWS($1:87)&gt;COUNT(Dong1),"",IF(OFFSET(TH!L$1,SMALL(Dong1,ROWS($1:87)),)="1111",OFFSET(TH!D$1,SMALL(Dong1,ROWS($1:87)),),""))</f>
        <v>T29</v>
      </c>
      <c r="D100" s="120" t="str">
        <f ca="1">IF(ROWS($1:87)&gt;COUNT(Dong1),"",IF(OFFSET(TH!M$1,SMALL(Dong1,ROWS($1:87)),)="1111",OFFSET(TH!D$1,SMALL(Dong1,ROWS($1:87)),),""))</f>
        <v/>
      </c>
      <c r="E100" s="215" t="str">
        <f ca="1">IF(ROWS($1:87)&gt;COUNT(Dong1),"",OFFSET(TH!F$1,SMALL(Dong1,ROWS($1:87)),))</f>
        <v>VAT Cước vận chuyển</v>
      </c>
      <c r="F100" s="122" t="str">
        <f ca="1">IF(ROWS($1:87)&gt;COUNT(Dong1),"",IF(OFFSET(TH!M$1,SMALL(Dong1,ROWS($1:87)),)="1111",OFFSET(TH!L$1,SMALL(Dong1,ROWS($1:87)),),OFFSET(TH!M$1,SMALL(Dong1,ROWS($1:87)),)))</f>
        <v>3331</v>
      </c>
      <c r="G100" s="123">
        <f ca="1">IF(ROWS($1:87)&gt;COUNT(Dong1),"",IF(OFFSET(TH!L$1,SMALL(Dong1,ROWS($1:87)),)="1111",OFFSET(TH!K$1,SMALL(Dong1,ROWS($1:87)),),0))</f>
        <v>900000</v>
      </c>
      <c r="H100" s="121">
        <f ca="1">IF(ROWS($1:87)&gt;COUNT(Dong1),"",IF(OFFSET(TH!M$1,SMALL(Dong1,ROWS($1:87)),)="1111",OFFSET(TH!K$1,SMALL(Dong1,ROWS($1:87)),),0))</f>
        <v>0</v>
      </c>
      <c r="I100" s="119">
        <f t="shared" ca="1" si="4"/>
        <v>2195913888</v>
      </c>
      <c r="J100" s="124"/>
      <c r="N100" s="605"/>
      <c r="O100" s="605"/>
    </row>
    <row r="101" spans="1:15" ht="21.75" customHeight="1">
      <c r="A101" s="118">
        <f ca="1">IF(ROWS($1:88)&gt;COUNT(Dong1),"",OFFSET(TH!C$1,SMALL(Dong1,ROWS($1:88)),))</f>
        <v>42337</v>
      </c>
      <c r="B101" s="118">
        <f ca="1">IF(ROWS($1:88)&gt;COUNT(Dong1),"",OFFSET(TH!E$1,SMALL(Dong1,ROWS($1:88)),))</f>
        <v>42337</v>
      </c>
      <c r="C101" s="119" t="str">
        <f ca="1">IF(ROWS($1:88)&gt;COUNT(Dong1),"",IF(OFFSET(TH!L$1,SMALL(Dong1,ROWS($1:88)),)="1111",OFFSET(TH!D$1,SMALL(Dong1,ROWS($1:88)),),""))</f>
        <v/>
      </c>
      <c r="D101" s="120" t="str">
        <f ca="1">IF(ROWS($1:88)&gt;COUNT(Dong1),"",IF(OFFSET(TH!M$1,SMALL(Dong1,ROWS($1:88)),)="1111",OFFSET(TH!D$1,SMALL(Dong1,ROWS($1:88)),),""))</f>
        <v>C34</v>
      </c>
      <c r="E101" s="215" t="str">
        <f ca="1">IF(ROWS($1:88)&gt;COUNT(Dong1),"",OFFSET(TH!F$1,SMALL(Dong1,ROWS($1:88)),))</f>
        <v>Dầu DO</v>
      </c>
      <c r="F101" s="122" t="str">
        <f ca="1">IF(ROWS($1:88)&gt;COUNT(Dong1),"",IF(OFFSET(TH!M$1,SMALL(Dong1,ROWS($1:88)),)="1111",OFFSET(TH!L$1,SMALL(Dong1,ROWS($1:88)),),OFFSET(TH!M$1,SMALL(Dong1,ROWS($1:88)),)))</f>
        <v>642</v>
      </c>
      <c r="G101" s="123">
        <f ca="1">IF(ROWS($1:88)&gt;COUNT(Dong1),"",IF(OFFSET(TH!L$1,SMALL(Dong1,ROWS($1:88)),)="1111",OFFSET(TH!K$1,SMALL(Dong1,ROWS($1:88)),),0))</f>
        <v>0</v>
      </c>
      <c r="H101" s="121">
        <f ca="1">IF(ROWS($1:88)&gt;COUNT(Dong1),"",IF(OFFSET(TH!M$1,SMALL(Dong1,ROWS($1:88)),)="1111",OFFSET(TH!K$1,SMALL(Dong1,ROWS($1:88)),),0))</f>
        <v>3181851</v>
      </c>
      <c r="I101" s="119">
        <f t="shared" ca="1" si="4"/>
        <v>2192732037</v>
      </c>
      <c r="J101" s="124"/>
      <c r="N101" s="605"/>
      <c r="O101" s="605"/>
    </row>
    <row r="102" spans="1:15" ht="21.75" customHeight="1">
      <c r="A102" s="118">
        <f ca="1">IF(ROWS($1:89)&gt;COUNT(Dong1),"",OFFSET(TH!C$1,SMALL(Dong1,ROWS($1:89)),))</f>
        <v>42337</v>
      </c>
      <c r="B102" s="118">
        <f ca="1">IF(ROWS($1:89)&gt;COUNT(Dong1),"",OFFSET(TH!E$1,SMALL(Dong1,ROWS($1:89)),))</f>
        <v>42337</v>
      </c>
      <c r="C102" s="119" t="str">
        <f ca="1">IF(ROWS($1:89)&gt;COUNT(Dong1),"",IF(OFFSET(TH!L$1,SMALL(Dong1,ROWS($1:89)),)="1111",OFFSET(TH!D$1,SMALL(Dong1,ROWS($1:89)),),""))</f>
        <v/>
      </c>
      <c r="D102" s="120" t="str">
        <f ca="1">IF(ROWS($1:89)&gt;COUNT(Dong1),"",IF(OFFSET(TH!M$1,SMALL(Dong1,ROWS($1:89)),)="1111",OFFSET(TH!D$1,SMALL(Dong1,ROWS($1:89)),),""))</f>
        <v>C34</v>
      </c>
      <c r="E102" s="215" t="str">
        <f ca="1">IF(ROWS($1:89)&gt;COUNT(Dong1),"",OFFSET(TH!F$1,SMALL(Dong1,ROWS($1:89)),))</f>
        <v>VAT Dầu DO</v>
      </c>
      <c r="F102" s="122" t="str">
        <f ca="1">IF(ROWS($1:89)&gt;COUNT(Dong1),"",IF(OFFSET(TH!M$1,SMALL(Dong1,ROWS($1:89)),)="1111",OFFSET(TH!L$1,SMALL(Dong1,ROWS($1:89)),),OFFSET(TH!M$1,SMALL(Dong1,ROWS($1:89)),)))</f>
        <v>1331</v>
      </c>
      <c r="G102" s="123">
        <f ca="1">IF(ROWS($1:89)&gt;COUNT(Dong1),"",IF(OFFSET(TH!L$1,SMALL(Dong1,ROWS($1:89)),)="1111",OFFSET(TH!K$1,SMALL(Dong1,ROWS($1:89)),),0))</f>
        <v>0</v>
      </c>
      <c r="H102" s="121">
        <f ca="1">IF(ROWS($1:89)&gt;COUNT(Dong1),"",IF(OFFSET(TH!M$1,SMALL(Dong1,ROWS($1:89)),)="1111",OFFSET(TH!K$1,SMALL(Dong1,ROWS($1:89)),),0))</f>
        <v>318185</v>
      </c>
      <c r="I102" s="119">
        <f t="shared" ca="1" si="4"/>
        <v>2192413852</v>
      </c>
      <c r="J102" s="124"/>
      <c r="N102" s="605"/>
      <c r="O102" s="605"/>
    </row>
    <row r="103" spans="1:15" ht="21.75" customHeight="1">
      <c r="A103" s="118">
        <f ca="1">IF(ROWS($1:90)&gt;COUNT(Dong1),"",OFFSET(TH!C$1,SMALL(Dong1,ROWS($1:90)),))</f>
        <v>42337</v>
      </c>
      <c r="B103" s="118">
        <f ca="1">IF(ROWS($1:90)&gt;COUNT(Dong1),"",OFFSET(TH!E$1,SMALL(Dong1,ROWS($1:90)),))</f>
        <v>42337</v>
      </c>
      <c r="C103" s="119" t="str">
        <f ca="1">IF(ROWS($1:90)&gt;COUNT(Dong1),"",IF(OFFSET(TH!L$1,SMALL(Dong1,ROWS($1:90)),)="1111",OFFSET(TH!D$1,SMALL(Dong1,ROWS($1:90)),),""))</f>
        <v>T30</v>
      </c>
      <c r="D103" s="120" t="str">
        <f ca="1">IF(ROWS($1:90)&gt;COUNT(Dong1),"",IF(OFFSET(TH!M$1,SMALL(Dong1,ROWS($1:90)),)="1111",OFFSET(TH!D$1,SMALL(Dong1,ROWS($1:90)),),""))</f>
        <v/>
      </c>
      <c r="E103" s="215" t="str">
        <f ca="1">IF(ROWS($1:90)&gt;COUNT(Dong1),"",OFFSET(TH!F$1,SMALL(Dong1,ROWS($1:90)),))</f>
        <v>Thu tiền hàng</v>
      </c>
      <c r="F103" s="122" t="str">
        <f ca="1">IF(ROWS($1:90)&gt;COUNT(Dong1),"",IF(OFFSET(TH!M$1,SMALL(Dong1,ROWS($1:90)),)="1111",OFFSET(TH!L$1,SMALL(Dong1,ROWS($1:90)),),OFFSET(TH!M$1,SMALL(Dong1,ROWS($1:90)),)))</f>
        <v>131</v>
      </c>
      <c r="G103" s="123">
        <f ca="1">IF(ROWS($1:90)&gt;COUNT(Dong1),"",IF(OFFSET(TH!L$1,SMALL(Dong1,ROWS($1:90)),)="1111",OFFSET(TH!K$1,SMALL(Dong1,ROWS($1:90)),),0))</f>
        <v>77188486</v>
      </c>
      <c r="H103" s="121">
        <f ca="1">IF(ROWS($1:90)&gt;COUNT(Dong1),"",IF(OFFSET(TH!M$1,SMALL(Dong1,ROWS($1:90)),)="1111",OFFSET(TH!K$1,SMALL(Dong1,ROWS($1:90)),),0))</f>
        <v>0</v>
      </c>
      <c r="I103" s="119">
        <f t="shared" ca="1" si="4"/>
        <v>2269602338</v>
      </c>
      <c r="J103" s="124"/>
      <c r="N103" s="605"/>
      <c r="O103" s="605"/>
    </row>
    <row r="104" spans="1:15" ht="21.75" customHeight="1">
      <c r="A104" s="118">
        <f ca="1">IF(ROWS($1:91)&gt;COUNT(Dong1),"",OFFSET(TH!C$1,SMALL(Dong1,ROWS($1:91)),))</f>
        <v>42338</v>
      </c>
      <c r="B104" s="118">
        <f ca="1">IF(ROWS($1:91)&gt;COUNT(Dong1),"",OFFSET(TH!E$1,SMALL(Dong1,ROWS($1:91)),))</f>
        <v>42338</v>
      </c>
      <c r="C104" s="119" t="str">
        <f ca="1">IF(ROWS($1:91)&gt;COUNT(Dong1),"",IF(OFFSET(TH!L$1,SMALL(Dong1,ROWS($1:91)),)="1111",OFFSET(TH!D$1,SMALL(Dong1,ROWS($1:91)),),""))</f>
        <v>T31</v>
      </c>
      <c r="D104" s="120" t="str">
        <f ca="1">IF(ROWS($1:91)&gt;COUNT(Dong1),"",IF(OFFSET(TH!M$1,SMALL(Dong1,ROWS($1:91)),)="1111",OFFSET(TH!D$1,SMALL(Dong1,ROWS($1:91)),),""))</f>
        <v/>
      </c>
      <c r="E104" s="215" t="str">
        <f ca="1">IF(ROWS($1:91)&gt;COUNT(Dong1),"",OFFSET(TH!F$1,SMALL(Dong1,ROWS($1:91)),))</f>
        <v>Rút sec nhập quỹ tiền mặt</v>
      </c>
      <c r="F104" s="122" t="str">
        <f ca="1">IF(ROWS($1:91)&gt;COUNT(Dong1),"",IF(OFFSET(TH!M$1,SMALL(Dong1,ROWS($1:91)),)="1111",OFFSET(TH!L$1,SMALL(Dong1,ROWS($1:91)),),OFFSET(TH!M$1,SMALL(Dong1,ROWS($1:91)),)))</f>
        <v>1121</v>
      </c>
      <c r="G104" s="123">
        <f ca="1">IF(ROWS($1:91)&gt;COUNT(Dong1),"",IF(OFFSET(TH!L$1,SMALL(Dong1,ROWS($1:91)),)="1111",OFFSET(TH!K$1,SMALL(Dong1,ROWS($1:91)),),0))</f>
        <v>12400000</v>
      </c>
      <c r="H104" s="121">
        <f ca="1">IF(ROWS($1:91)&gt;COUNT(Dong1),"",IF(OFFSET(TH!M$1,SMALL(Dong1,ROWS($1:91)),)="1111",OFFSET(TH!K$1,SMALL(Dong1,ROWS($1:91)),),0))</f>
        <v>0</v>
      </c>
      <c r="I104" s="119">
        <f t="shared" ca="1" si="4"/>
        <v>2282002338</v>
      </c>
      <c r="J104" s="124"/>
      <c r="N104" s="605"/>
      <c r="O104" s="605"/>
    </row>
    <row r="105" spans="1:15" ht="21.75" customHeight="1">
      <c r="A105" s="118">
        <f ca="1">IF(ROWS($1:92)&gt;COUNT(Dong1),"",OFFSET(TH!C$1,SMALL(Dong1,ROWS($1:92)),))</f>
        <v>42338</v>
      </c>
      <c r="B105" s="118">
        <f ca="1">IF(ROWS($1:92)&gt;COUNT(Dong1),"",OFFSET(TH!E$1,SMALL(Dong1,ROWS($1:92)),))</f>
        <v>42338</v>
      </c>
      <c r="C105" s="119" t="str">
        <f ca="1">IF(ROWS($1:92)&gt;COUNT(Dong1),"",IF(OFFSET(TH!L$1,SMALL(Dong1,ROWS($1:92)),)="1111",OFFSET(TH!D$1,SMALL(Dong1,ROWS($1:92)),),""))</f>
        <v/>
      </c>
      <c r="D105" s="120" t="str">
        <f ca="1">IF(ROWS($1:92)&gt;COUNT(Dong1),"",IF(OFFSET(TH!M$1,SMALL(Dong1,ROWS($1:92)),)="1111",OFFSET(TH!D$1,SMALL(Dong1,ROWS($1:92)),),""))</f>
        <v>C35</v>
      </c>
      <c r="E105" s="215" t="str">
        <f ca="1">IF(ROWS($1:92)&gt;COUNT(Dong1),"",OFFSET(TH!F$1,SMALL(Dong1,ROWS($1:92)),))</f>
        <v>Thanh toán lương T11/2015</v>
      </c>
      <c r="F105" s="122" t="str">
        <f ca="1">IF(ROWS($1:92)&gt;COUNT(Dong1),"",IF(OFFSET(TH!M$1,SMALL(Dong1,ROWS($1:92)),)="1111",OFFSET(TH!L$1,SMALL(Dong1,ROWS($1:92)),),OFFSET(TH!M$1,SMALL(Dong1,ROWS($1:92)),)))</f>
        <v>3341</v>
      </c>
      <c r="G105" s="123">
        <f ca="1">IF(ROWS($1:92)&gt;COUNT(Dong1),"",IF(OFFSET(TH!L$1,SMALL(Dong1,ROWS($1:92)),)="1111",OFFSET(TH!K$1,SMALL(Dong1,ROWS($1:92)),),0))</f>
        <v>0</v>
      </c>
      <c r="H105" s="121">
        <f ca="1">IF(ROWS($1:92)&gt;COUNT(Dong1),"",IF(OFFSET(TH!M$1,SMALL(Dong1,ROWS($1:92)),)="1111",OFFSET(TH!K$1,SMALL(Dong1,ROWS($1:92)),),0))</f>
        <v>14600000</v>
      </c>
      <c r="I105" s="119">
        <f t="shared" ca="1" si="4"/>
        <v>2267402338</v>
      </c>
      <c r="J105" s="124"/>
      <c r="N105" s="605"/>
      <c r="O105" s="605"/>
    </row>
    <row r="106" spans="1:15" ht="21.75" customHeight="1">
      <c r="A106" s="118">
        <f ca="1">IF(ROWS($1:93)&gt;COUNT(Dong1),"",OFFSET(TH!C$1,SMALL(Dong1,ROWS($1:93)),))</f>
        <v>42338</v>
      </c>
      <c r="B106" s="118">
        <f ca="1">IF(ROWS($1:93)&gt;COUNT(Dong1),"",OFFSET(TH!E$1,SMALL(Dong1,ROWS($1:93)),))</f>
        <v>42338</v>
      </c>
      <c r="C106" s="119" t="str">
        <f ca="1">IF(ROWS($1:93)&gt;COUNT(Dong1),"",IF(OFFSET(TH!L$1,SMALL(Dong1,ROWS($1:93)),)="1111",OFFSET(TH!D$1,SMALL(Dong1,ROWS($1:93)),),""))</f>
        <v/>
      </c>
      <c r="D106" s="120" t="str">
        <f ca="1">IF(ROWS($1:93)&gt;COUNT(Dong1),"",IF(OFFSET(TH!M$1,SMALL(Dong1,ROWS($1:93)),)="1111",OFFSET(TH!D$1,SMALL(Dong1,ROWS($1:93)),),""))</f>
        <v>C36</v>
      </c>
      <c r="E106" s="215" t="str">
        <f ca="1">IF(ROWS($1:93)&gt;COUNT(Dong1),"",OFFSET(TH!F$1,SMALL(Dong1,ROWS($1:93)),))</f>
        <v>Thanh toán tiền thuê xe - Tháng 11</v>
      </c>
      <c r="F106" s="122" t="str">
        <f ca="1">IF(ROWS($1:93)&gt;COUNT(Dong1),"",IF(OFFSET(TH!M$1,SMALL(Dong1,ROWS($1:93)),)="1111",OFFSET(TH!L$1,SMALL(Dong1,ROWS($1:93)),),OFFSET(TH!M$1,SMALL(Dong1,ROWS($1:93)),)))</f>
        <v>642</v>
      </c>
      <c r="G106" s="123">
        <f ca="1">IF(ROWS($1:93)&gt;COUNT(Dong1),"",IF(OFFSET(TH!L$1,SMALL(Dong1,ROWS($1:93)),)="1111",OFFSET(TH!K$1,SMALL(Dong1,ROWS($1:93)),),0))</f>
        <v>0</v>
      </c>
      <c r="H106" s="121">
        <f ca="1">IF(ROWS($1:93)&gt;COUNT(Dong1),"",IF(OFFSET(TH!M$1,SMALL(Dong1,ROWS($1:93)),)="1111",OFFSET(TH!K$1,SMALL(Dong1,ROWS($1:93)),),0))</f>
        <v>5000000</v>
      </c>
      <c r="I106" s="119">
        <f t="shared" ca="1" si="4"/>
        <v>2262402338</v>
      </c>
      <c r="J106" s="124"/>
      <c r="N106" s="605"/>
      <c r="O106" s="605"/>
    </row>
    <row r="107" spans="1:15" ht="21.75" customHeight="1">
      <c r="A107" s="118">
        <f ca="1">IF(ROWS($1:94)&gt;COUNT(Dong1),"",OFFSET(TH!C$1,SMALL(Dong1,ROWS($1:94)),))</f>
        <v>42339</v>
      </c>
      <c r="B107" s="118">
        <f ca="1">IF(ROWS($1:94)&gt;COUNT(Dong1),"",OFFSET(TH!E$1,SMALL(Dong1,ROWS($1:94)),))</f>
        <v>42339</v>
      </c>
      <c r="C107" s="119" t="str">
        <f ca="1">IF(ROWS($1:94)&gt;COUNT(Dong1),"",IF(OFFSET(TH!L$1,SMALL(Dong1,ROWS($1:94)),)="1111",OFFSET(TH!D$1,SMALL(Dong1,ROWS($1:94)),),""))</f>
        <v/>
      </c>
      <c r="D107" s="120" t="str">
        <f ca="1">IF(ROWS($1:94)&gt;COUNT(Dong1),"",IF(OFFSET(TH!M$1,SMALL(Dong1,ROWS($1:94)),)="1111",OFFSET(TH!D$1,SMALL(Dong1,ROWS($1:94)),),""))</f>
        <v>C37</v>
      </c>
      <c r="E107" s="215" t="str">
        <f ca="1">IF(ROWS($1:94)&gt;COUNT(Dong1),"",OFFSET(TH!F$1,SMALL(Dong1,ROWS($1:94)),))</f>
        <v>Nộp tiền mặt vào tài khoản</v>
      </c>
      <c r="F107" s="122" t="str">
        <f ca="1">IF(ROWS($1:94)&gt;COUNT(Dong1),"",IF(OFFSET(TH!M$1,SMALL(Dong1,ROWS($1:94)),)="1111",OFFSET(TH!L$1,SMALL(Dong1,ROWS($1:94)),),OFFSET(TH!M$1,SMALL(Dong1,ROWS($1:94)),)))</f>
        <v>1121</v>
      </c>
      <c r="G107" s="123">
        <f ca="1">IF(ROWS($1:94)&gt;COUNT(Dong1),"",IF(OFFSET(TH!L$1,SMALL(Dong1,ROWS($1:94)),)="1111",OFFSET(TH!K$1,SMALL(Dong1,ROWS($1:94)),),0))</f>
        <v>0</v>
      </c>
      <c r="H107" s="121">
        <f ca="1">IF(ROWS($1:94)&gt;COUNT(Dong1),"",IF(OFFSET(TH!M$1,SMALL(Dong1,ROWS($1:94)),)="1111",OFFSET(TH!K$1,SMALL(Dong1,ROWS($1:94)),),0))</f>
        <v>135360000</v>
      </c>
      <c r="I107" s="119">
        <f t="shared" ca="1" si="4"/>
        <v>2127042338</v>
      </c>
      <c r="J107" s="124"/>
      <c r="N107" s="605"/>
      <c r="O107" s="605"/>
    </row>
    <row r="108" spans="1:15" ht="21.75" customHeight="1">
      <c r="A108" s="118">
        <f ca="1">IF(ROWS($1:95)&gt;COUNT(Dong1),"",OFFSET(TH!C$1,SMALL(Dong1,ROWS($1:95)),))</f>
        <v>42339</v>
      </c>
      <c r="B108" s="118">
        <f ca="1">IF(ROWS($1:95)&gt;COUNT(Dong1),"",OFFSET(TH!E$1,SMALL(Dong1,ROWS($1:95)),))</f>
        <v>42339</v>
      </c>
      <c r="C108" s="119" t="str">
        <f ca="1">IF(ROWS($1:95)&gt;COUNT(Dong1),"",IF(OFFSET(TH!L$1,SMALL(Dong1,ROWS($1:95)),)="1111",OFFSET(TH!D$1,SMALL(Dong1,ROWS($1:95)),),""))</f>
        <v>T32</v>
      </c>
      <c r="D108" s="120" t="str">
        <f ca="1">IF(ROWS($1:95)&gt;COUNT(Dong1),"",IF(OFFSET(TH!M$1,SMALL(Dong1,ROWS($1:95)),)="1111",OFFSET(TH!D$1,SMALL(Dong1,ROWS($1:95)),),""))</f>
        <v/>
      </c>
      <c r="E108" s="215" t="str">
        <f ca="1">IF(ROWS($1:95)&gt;COUNT(Dong1),"",OFFSET(TH!F$1,SMALL(Dong1,ROWS($1:95)),))</f>
        <v>Rút sec nhập quỹ tiền mặt</v>
      </c>
      <c r="F108" s="122" t="str">
        <f ca="1">IF(ROWS($1:95)&gt;COUNT(Dong1),"",IF(OFFSET(TH!M$1,SMALL(Dong1,ROWS($1:95)),)="1111",OFFSET(TH!L$1,SMALL(Dong1,ROWS($1:95)),),OFFSET(TH!M$1,SMALL(Dong1,ROWS($1:95)),)))</f>
        <v>1121</v>
      </c>
      <c r="G108" s="123">
        <f ca="1">IF(ROWS($1:95)&gt;COUNT(Dong1),"",IF(OFFSET(TH!L$1,SMALL(Dong1,ROWS($1:95)),)="1111",OFFSET(TH!K$1,SMALL(Dong1,ROWS($1:95)),),0))</f>
        <v>13800000</v>
      </c>
      <c r="H108" s="121">
        <f ca="1">IF(ROWS($1:95)&gt;COUNT(Dong1),"",IF(OFFSET(TH!M$1,SMALL(Dong1,ROWS($1:95)),)="1111",OFFSET(TH!K$1,SMALL(Dong1,ROWS($1:95)),),0))</f>
        <v>0</v>
      </c>
      <c r="I108" s="119">
        <f t="shared" ca="1" si="4"/>
        <v>2140842338</v>
      </c>
      <c r="J108" s="124"/>
      <c r="N108" s="605"/>
      <c r="O108" s="605"/>
    </row>
    <row r="109" spans="1:15" ht="21.75" customHeight="1">
      <c r="A109" s="118">
        <f ca="1">IF(ROWS($1:96)&gt;COUNT(Dong1),"",OFFSET(TH!C$1,SMALL(Dong1,ROWS($1:96)),))</f>
        <v>42341</v>
      </c>
      <c r="B109" s="118">
        <f ca="1">IF(ROWS($1:96)&gt;COUNT(Dong1),"",OFFSET(TH!E$1,SMALL(Dong1,ROWS($1:96)),))</f>
        <v>42341</v>
      </c>
      <c r="C109" s="119" t="str">
        <f ca="1">IF(ROWS($1:96)&gt;COUNT(Dong1),"",IF(OFFSET(TH!L$1,SMALL(Dong1,ROWS($1:96)),)="1111",OFFSET(TH!D$1,SMALL(Dong1,ROWS($1:96)),),""))</f>
        <v/>
      </c>
      <c r="D109" s="120" t="str">
        <f ca="1">IF(ROWS($1:96)&gt;COUNT(Dong1),"",IF(OFFSET(TH!M$1,SMALL(Dong1,ROWS($1:96)),)="1111",OFFSET(TH!D$1,SMALL(Dong1,ROWS($1:96)),),""))</f>
        <v>C38</v>
      </c>
      <c r="E109" s="215" t="str">
        <f ca="1">IF(ROWS($1:96)&gt;COUNT(Dong1),"",OFFSET(TH!F$1,SMALL(Dong1,ROWS($1:96)),))</f>
        <v>Thiết bị điện tử</v>
      </c>
      <c r="F109" s="122" t="str">
        <f ca="1">IF(ROWS($1:96)&gt;COUNT(Dong1),"",IF(OFFSET(TH!M$1,SMALL(Dong1,ROWS($1:96)),)="1111",OFFSET(TH!L$1,SMALL(Dong1,ROWS($1:96)),),OFFSET(TH!M$1,SMALL(Dong1,ROWS($1:96)),)))</f>
        <v>642</v>
      </c>
      <c r="G109" s="123">
        <f ca="1">IF(ROWS($1:96)&gt;COUNT(Dong1),"",IF(OFFSET(TH!L$1,SMALL(Dong1,ROWS($1:96)),)="1111",OFFSET(TH!K$1,SMALL(Dong1,ROWS($1:96)),),0))</f>
        <v>0</v>
      </c>
      <c r="H109" s="121">
        <f ca="1">IF(ROWS($1:96)&gt;COUNT(Dong1),"",IF(OFFSET(TH!M$1,SMALL(Dong1,ROWS($1:96)),)="1111",OFFSET(TH!K$1,SMALL(Dong1,ROWS($1:96)),),0))</f>
        <v>109091</v>
      </c>
      <c r="I109" s="119">
        <f t="shared" ca="1" si="4"/>
        <v>2140733247</v>
      </c>
      <c r="J109" s="124"/>
      <c r="N109" s="605"/>
      <c r="O109" s="605"/>
    </row>
    <row r="110" spans="1:15" ht="21.75" customHeight="1">
      <c r="A110" s="118">
        <f ca="1">IF(ROWS($1:97)&gt;COUNT(Dong1),"",OFFSET(TH!C$1,SMALL(Dong1,ROWS($1:97)),))</f>
        <v>42341</v>
      </c>
      <c r="B110" s="118">
        <f ca="1">IF(ROWS($1:97)&gt;COUNT(Dong1),"",OFFSET(TH!E$1,SMALL(Dong1,ROWS($1:97)),))</f>
        <v>42341</v>
      </c>
      <c r="C110" s="119" t="str">
        <f ca="1">IF(ROWS($1:97)&gt;COUNT(Dong1),"",IF(OFFSET(TH!L$1,SMALL(Dong1,ROWS($1:97)),)="1111",OFFSET(TH!D$1,SMALL(Dong1,ROWS($1:97)),),""))</f>
        <v/>
      </c>
      <c r="D110" s="120" t="str">
        <f ca="1">IF(ROWS($1:97)&gt;COUNT(Dong1),"",IF(OFFSET(TH!M$1,SMALL(Dong1,ROWS($1:97)),)="1111",OFFSET(TH!D$1,SMALL(Dong1,ROWS($1:97)),),""))</f>
        <v>C38</v>
      </c>
      <c r="E110" s="215" t="str">
        <f ca="1">IF(ROWS($1:97)&gt;COUNT(Dong1),"",OFFSET(TH!F$1,SMALL(Dong1,ROWS($1:97)),))</f>
        <v>VAT Thiết bị điện tử</v>
      </c>
      <c r="F110" s="122" t="str">
        <f ca="1">IF(ROWS($1:97)&gt;COUNT(Dong1),"",IF(OFFSET(TH!M$1,SMALL(Dong1,ROWS($1:97)),)="1111",OFFSET(TH!L$1,SMALL(Dong1,ROWS($1:97)),),OFFSET(TH!M$1,SMALL(Dong1,ROWS($1:97)),)))</f>
        <v>1331</v>
      </c>
      <c r="G110" s="123">
        <f ca="1">IF(ROWS($1:97)&gt;COUNT(Dong1),"",IF(OFFSET(TH!L$1,SMALL(Dong1,ROWS($1:97)),)="1111",OFFSET(TH!K$1,SMALL(Dong1,ROWS($1:97)),),0))</f>
        <v>0</v>
      </c>
      <c r="H110" s="121">
        <f ca="1">IF(ROWS($1:97)&gt;COUNT(Dong1),"",IF(OFFSET(TH!M$1,SMALL(Dong1,ROWS($1:97)),)="1111",OFFSET(TH!K$1,SMALL(Dong1,ROWS($1:97)),),0))</f>
        <v>10909</v>
      </c>
      <c r="I110" s="119">
        <f t="shared" ca="1" si="4"/>
        <v>2140722338</v>
      </c>
      <c r="J110" s="124"/>
      <c r="N110" s="605"/>
      <c r="O110" s="605"/>
    </row>
    <row r="111" spans="1:15" ht="21.75" customHeight="1">
      <c r="A111" s="118">
        <f ca="1">IF(ROWS($1:98)&gt;COUNT(Dong1),"",OFFSET(TH!C$1,SMALL(Dong1,ROWS($1:98)),))</f>
        <v>42342</v>
      </c>
      <c r="B111" s="118">
        <f ca="1">IF(ROWS($1:98)&gt;COUNT(Dong1),"",OFFSET(TH!E$1,SMALL(Dong1,ROWS($1:98)),))</f>
        <v>42342</v>
      </c>
      <c r="C111" s="119" t="str">
        <f ca="1">IF(ROWS($1:98)&gt;COUNT(Dong1),"",IF(OFFSET(TH!L$1,SMALL(Dong1,ROWS($1:98)),)="1111",OFFSET(TH!D$1,SMALL(Dong1,ROWS($1:98)),),""))</f>
        <v>T33</v>
      </c>
      <c r="D111" s="120" t="str">
        <f ca="1">IF(ROWS($1:98)&gt;COUNT(Dong1),"",IF(OFFSET(TH!M$1,SMALL(Dong1,ROWS($1:98)),)="1111",OFFSET(TH!D$1,SMALL(Dong1,ROWS($1:98)),),""))</f>
        <v/>
      </c>
      <c r="E111" s="215" t="str">
        <f ca="1">IF(ROWS($1:98)&gt;COUNT(Dong1),"",OFFSET(TH!F$1,SMALL(Dong1,ROWS($1:98)),))</f>
        <v>Thu tiền hàng</v>
      </c>
      <c r="F111" s="122" t="str">
        <f ca="1">IF(ROWS($1:98)&gt;COUNT(Dong1),"",IF(OFFSET(TH!M$1,SMALL(Dong1,ROWS($1:98)),)="1111",OFFSET(TH!L$1,SMALL(Dong1,ROWS($1:98)),),OFFSET(TH!M$1,SMALL(Dong1,ROWS($1:98)),)))</f>
        <v>131</v>
      </c>
      <c r="G111" s="123">
        <f ca="1">IF(ROWS($1:98)&gt;COUNT(Dong1),"",IF(OFFSET(TH!L$1,SMALL(Dong1,ROWS($1:98)),)="1111",OFFSET(TH!K$1,SMALL(Dong1,ROWS($1:98)),),0))</f>
        <v>10736880</v>
      </c>
      <c r="H111" s="121">
        <f ca="1">IF(ROWS($1:98)&gt;COUNT(Dong1),"",IF(OFFSET(TH!M$1,SMALL(Dong1,ROWS($1:98)),)="1111",OFFSET(TH!K$1,SMALL(Dong1,ROWS($1:98)),),0))</f>
        <v>0</v>
      </c>
      <c r="I111" s="119">
        <f t="shared" ref="I111:I127" ca="1" si="5">IF(E111&lt;&gt;"",I110+G111-H111,0)</f>
        <v>2151459218</v>
      </c>
      <c r="J111" s="124"/>
      <c r="N111" s="605"/>
      <c r="O111" s="605"/>
    </row>
    <row r="112" spans="1:15" ht="21.75" customHeight="1">
      <c r="A112" s="118">
        <f ca="1">IF(ROWS($1:99)&gt;COUNT(Dong1),"",OFFSET(TH!C$1,SMALL(Dong1,ROWS($1:99)),))</f>
        <v>42343</v>
      </c>
      <c r="B112" s="118">
        <f ca="1">IF(ROWS($1:99)&gt;COUNT(Dong1),"",OFFSET(TH!E$1,SMALL(Dong1,ROWS($1:99)),))</f>
        <v>42343</v>
      </c>
      <c r="C112" s="119" t="str">
        <f ca="1">IF(ROWS($1:99)&gt;COUNT(Dong1),"",IF(OFFSET(TH!L$1,SMALL(Dong1,ROWS($1:99)),)="1111",OFFSET(TH!D$1,SMALL(Dong1,ROWS($1:99)),),""))</f>
        <v/>
      </c>
      <c r="D112" s="120" t="str">
        <f ca="1">IF(ROWS($1:99)&gt;COUNT(Dong1),"",IF(OFFSET(TH!M$1,SMALL(Dong1,ROWS($1:99)),)="1111",OFFSET(TH!D$1,SMALL(Dong1,ROWS($1:99)),),""))</f>
        <v>C39</v>
      </c>
      <c r="E112" s="215" t="str">
        <f ca="1">IF(ROWS($1:99)&gt;COUNT(Dong1),"",OFFSET(TH!F$1,SMALL(Dong1,ROWS($1:99)),))</f>
        <v>Cước dịch vụ viễn thông</v>
      </c>
      <c r="F112" s="122" t="str">
        <f ca="1">IF(ROWS($1:99)&gt;COUNT(Dong1),"",IF(OFFSET(TH!M$1,SMALL(Dong1,ROWS($1:99)),)="1111",OFFSET(TH!L$1,SMALL(Dong1,ROWS($1:99)),),OFFSET(TH!M$1,SMALL(Dong1,ROWS($1:99)),)))</f>
        <v>642</v>
      </c>
      <c r="G112" s="123">
        <f ca="1">IF(ROWS($1:99)&gt;COUNT(Dong1),"",IF(OFFSET(TH!L$1,SMALL(Dong1,ROWS($1:99)),)="1111",OFFSET(TH!K$1,SMALL(Dong1,ROWS($1:99)),),0))</f>
        <v>0</v>
      </c>
      <c r="H112" s="121">
        <f ca="1">IF(ROWS($1:99)&gt;COUNT(Dong1),"",IF(OFFSET(TH!M$1,SMALL(Dong1,ROWS($1:99)),)="1111",OFFSET(TH!K$1,SMALL(Dong1,ROWS($1:99)),),0))</f>
        <v>718034</v>
      </c>
      <c r="I112" s="119">
        <f t="shared" ca="1" si="5"/>
        <v>2150741184</v>
      </c>
      <c r="J112" s="124"/>
      <c r="N112" s="605"/>
      <c r="O112" s="605"/>
    </row>
    <row r="113" spans="1:15" ht="21.75" customHeight="1">
      <c r="A113" s="118">
        <f ca="1">IF(ROWS($1:100)&gt;COUNT(Dong1),"",OFFSET(TH!C$1,SMALL(Dong1,ROWS($1:100)),))</f>
        <v>42343</v>
      </c>
      <c r="B113" s="118">
        <f ca="1">IF(ROWS($1:100)&gt;COUNT(Dong1),"",OFFSET(TH!E$1,SMALL(Dong1,ROWS($1:100)),))</f>
        <v>42343</v>
      </c>
      <c r="C113" s="119" t="str">
        <f ca="1">IF(ROWS($1:100)&gt;COUNT(Dong1),"",IF(OFFSET(TH!L$1,SMALL(Dong1,ROWS($1:100)),)="1111",OFFSET(TH!D$1,SMALL(Dong1,ROWS($1:100)),),""))</f>
        <v/>
      </c>
      <c r="D113" s="120" t="str">
        <f ca="1">IF(ROWS($1:100)&gt;COUNT(Dong1),"",IF(OFFSET(TH!M$1,SMALL(Dong1,ROWS($1:100)),)="1111",OFFSET(TH!D$1,SMALL(Dong1,ROWS($1:100)),),""))</f>
        <v>C39</v>
      </c>
      <c r="E113" s="215" t="str">
        <f ca="1">IF(ROWS($1:100)&gt;COUNT(Dong1),"",OFFSET(TH!F$1,SMALL(Dong1,ROWS($1:100)),))</f>
        <v>VAT Cước dịch vụ viễn thông</v>
      </c>
      <c r="F113" s="122" t="str">
        <f ca="1">IF(ROWS($1:100)&gt;COUNT(Dong1),"",IF(OFFSET(TH!M$1,SMALL(Dong1,ROWS($1:100)),)="1111",OFFSET(TH!L$1,SMALL(Dong1,ROWS($1:100)),),OFFSET(TH!M$1,SMALL(Dong1,ROWS($1:100)),)))</f>
        <v>1331</v>
      </c>
      <c r="G113" s="123">
        <f ca="1">IF(ROWS($1:100)&gt;COUNT(Dong1),"",IF(OFFSET(TH!L$1,SMALL(Dong1,ROWS($1:100)),)="1111",OFFSET(TH!K$1,SMALL(Dong1,ROWS($1:100)),),0))</f>
        <v>0</v>
      </c>
      <c r="H113" s="121">
        <f ca="1">IF(ROWS($1:100)&gt;COUNT(Dong1),"",IF(OFFSET(TH!M$1,SMALL(Dong1,ROWS($1:100)),)="1111",OFFSET(TH!K$1,SMALL(Dong1,ROWS($1:100)),),0))</f>
        <v>71804</v>
      </c>
      <c r="I113" s="119">
        <f t="shared" ca="1" si="5"/>
        <v>2150669380</v>
      </c>
      <c r="J113" s="124"/>
      <c r="N113" s="605"/>
      <c r="O113" s="605"/>
    </row>
    <row r="114" spans="1:15" ht="21.75" customHeight="1">
      <c r="A114" s="118">
        <f ca="1">IF(ROWS($1:101)&gt;COUNT(Dong1),"",OFFSET(TH!C$1,SMALL(Dong1,ROWS($1:101)),))</f>
        <v>42345</v>
      </c>
      <c r="B114" s="118">
        <f ca="1">IF(ROWS($1:101)&gt;COUNT(Dong1),"",OFFSET(TH!E$1,SMALL(Dong1,ROWS($1:101)),))</f>
        <v>42345</v>
      </c>
      <c r="C114" s="119" t="str">
        <f ca="1">IF(ROWS($1:101)&gt;COUNT(Dong1),"",IF(OFFSET(TH!L$1,SMALL(Dong1,ROWS($1:101)),)="1111",OFFSET(TH!D$1,SMALL(Dong1,ROWS($1:101)),),""))</f>
        <v/>
      </c>
      <c r="D114" s="120" t="str">
        <f ca="1">IF(ROWS($1:101)&gt;COUNT(Dong1),"",IF(OFFSET(TH!M$1,SMALL(Dong1,ROWS($1:101)),)="1111",OFFSET(TH!D$1,SMALL(Dong1,ROWS($1:101)),),""))</f>
        <v>C40</v>
      </c>
      <c r="E114" s="215" t="str">
        <f ca="1">IF(ROWS($1:101)&gt;COUNT(Dong1),"",OFFSET(TH!F$1,SMALL(Dong1,ROWS($1:101)),))</f>
        <v>Thanh toán tiền hàng</v>
      </c>
      <c r="F114" s="122" t="str">
        <f ca="1">IF(ROWS($1:101)&gt;COUNT(Dong1),"",IF(OFFSET(TH!M$1,SMALL(Dong1,ROWS($1:101)),)="1111",OFFSET(TH!L$1,SMALL(Dong1,ROWS($1:101)),),OFFSET(TH!M$1,SMALL(Dong1,ROWS($1:101)),)))</f>
        <v>331</v>
      </c>
      <c r="G114" s="123">
        <f ca="1">IF(ROWS($1:101)&gt;COUNT(Dong1),"",IF(OFFSET(TH!L$1,SMALL(Dong1,ROWS($1:101)),)="1111",OFFSET(TH!K$1,SMALL(Dong1,ROWS($1:101)),),0))</f>
        <v>0</v>
      </c>
      <c r="H114" s="121">
        <f ca="1">IF(ROWS($1:101)&gt;COUNT(Dong1),"",IF(OFFSET(TH!M$1,SMALL(Dong1,ROWS($1:101)),)="1111",OFFSET(TH!K$1,SMALL(Dong1,ROWS($1:101)),),0))</f>
        <v>12666573</v>
      </c>
      <c r="I114" s="119">
        <f t="shared" ca="1" si="5"/>
        <v>2138002807</v>
      </c>
      <c r="J114" s="124"/>
      <c r="N114" s="605"/>
      <c r="O114" s="605"/>
    </row>
    <row r="115" spans="1:15" ht="21.75" customHeight="1">
      <c r="A115" s="118">
        <f ca="1">IF(ROWS($1:102)&gt;COUNT(Dong1),"",OFFSET(TH!C$1,SMALL(Dong1,ROWS($1:102)),))</f>
        <v>42345</v>
      </c>
      <c r="B115" s="118">
        <f ca="1">IF(ROWS($1:102)&gt;COUNT(Dong1),"",OFFSET(TH!E$1,SMALL(Dong1,ROWS($1:102)),))</f>
        <v>42345</v>
      </c>
      <c r="C115" s="119" t="str">
        <f ca="1">IF(ROWS($1:102)&gt;COUNT(Dong1),"",IF(OFFSET(TH!L$1,SMALL(Dong1,ROWS($1:102)),)="1111",OFFSET(TH!D$1,SMALL(Dong1,ROWS($1:102)),),""))</f>
        <v/>
      </c>
      <c r="D115" s="120" t="str">
        <f ca="1">IF(ROWS($1:102)&gt;COUNT(Dong1),"",IF(OFFSET(TH!M$1,SMALL(Dong1,ROWS($1:102)),)="1111",OFFSET(TH!D$1,SMALL(Dong1,ROWS($1:102)),),""))</f>
        <v>C41</v>
      </c>
      <c r="E115" s="215" t="str">
        <f ca="1">IF(ROWS($1:102)&gt;COUNT(Dong1),"",OFFSET(TH!F$1,SMALL(Dong1,ROWS($1:102)),))</f>
        <v>Nộp tiền mặt vào tài khoản</v>
      </c>
      <c r="F115" s="122" t="str">
        <f ca="1">IF(ROWS($1:102)&gt;COUNT(Dong1),"",IF(OFFSET(TH!M$1,SMALL(Dong1,ROWS($1:102)),)="1111",OFFSET(TH!L$1,SMALL(Dong1,ROWS($1:102)),),OFFSET(TH!M$1,SMALL(Dong1,ROWS($1:102)),)))</f>
        <v>1121</v>
      </c>
      <c r="G115" s="123">
        <f ca="1">IF(ROWS($1:102)&gt;COUNT(Dong1),"",IF(OFFSET(TH!L$1,SMALL(Dong1,ROWS($1:102)),)="1111",OFFSET(TH!K$1,SMALL(Dong1,ROWS($1:102)),),0))</f>
        <v>0</v>
      </c>
      <c r="H115" s="121">
        <f ca="1">IF(ROWS($1:102)&gt;COUNT(Dong1),"",IF(OFFSET(TH!M$1,SMALL(Dong1,ROWS($1:102)),)="1111",OFFSET(TH!K$1,SMALL(Dong1,ROWS($1:102)),),0))</f>
        <v>21500000</v>
      </c>
      <c r="I115" s="119">
        <f t="shared" ca="1" si="5"/>
        <v>2116502807</v>
      </c>
      <c r="J115" s="124"/>
      <c r="N115" s="605"/>
      <c r="O115" s="605"/>
    </row>
    <row r="116" spans="1:15" ht="21.75" customHeight="1">
      <c r="A116" s="118">
        <f ca="1">IF(ROWS($1:103)&gt;COUNT(Dong1),"",OFFSET(TH!C$1,SMALL(Dong1,ROWS($1:103)),))</f>
        <v>42345</v>
      </c>
      <c r="B116" s="118">
        <f ca="1">IF(ROWS($1:103)&gt;COUNT(Dong1),"",OFFSET(TH!E$1,SMALL(Dong1,ROWS($1:103)),))</f>
        <v>42345</v>
      </c>
      <c r="C116" s="119" t="str">
        <f ca="1">IF(ROWS($1:103)&gt;COUNT(Dong1),"",IF(OFFSET(TH!L$1,SMALL(Dong1,ROWS($1:103)),)="1111",OFFSET(TH!D$1,SMALL(Dong1,ROWS($1:103)),),""))</f>
        <v>T34</v>
      </c>
      <c r="D116" s="120" t="str">
        <f ca="1">IF(ROWS($1:103)&gt;COUNT(Dong1),"",IF(OFFSET(TH!M$1,SMALL(Dong1,ROWS($1:103)),)="1111",OFFSET(TH!D$1,SMALL(Dong1,ROWS($1:103)),),""))</f>
        <v/>
      </c>
      <c r="E116" s="215" t="str">
        <f ca="1">IF(ROWS($1:103)&gt;COUNT(Dong1),"",OFFSET(TH!F$1,SMALL(Dong1,ROWS($1:103)),))</f>
        <v>Rút sec nhập quỹ tiền mặt</v>
      </c>
      <c r="F116" s="122" t="str">
        <f ca="1">IF(ROWS($1:103)&gt;COUNT(Dong1),"",IF(OFFSET(TH!M$1,SMALL(Dong1,ROWS($1:103)),)="1111",OFFSET(TH!L$1,SMALL(Dong1,ROWS($1:103)),),OFFSET(TH!M$1,SMALL(Dong1,ROWS($1:103)),)))</f>
        <v>1121</v>
      </c>
      <c r="G116" s="123">
        <f ca="1">IF(ROWS($1:103)&gt;COUNT(Dong1),"",IF(OFFSET(TH!L$1,SMALL(Dong1,ROWS($1:103)),)="1111",OFFSET(TH!K$1,SMALL(Dong1,ROWS($1:103)),),0))</f>
        <v>190000000</v>
      </c>
      <c r="H116" s="121">
        <f ca="1">IF(ROWS($1:103)&gt;COUNT(Dong1),"",IF(OFFSET(TH!M$1,SMALL(Dong1,ROWS($1:103)),)="1111",OFFSET(TH!K$1,SMALL(Dong1,ROWS($1:103)),),0))</f>
        <v>0</v>
      </c>
      <c r="I116" s="119">
        <f t="shared" ca="1" si="5"/>
        <v>2306502807</v>
      </c>
      <c r="J116" s="124"/>
      <c r="N116" s="605"/>
      <c r="O116" s="605"/>
    </row>
    <row r="117" spans="1:15" ht="21.75" customHeight="1">
      <c r="A117" s="118">
        <f ca="1">IF(ROWS($1:104)&gt;COUNT(Dong1),"",OFFSET(TH!C$1,SMALL(Dong1,ROWS($1:104)),))</f>
        <v>42345</v>
      </c>
      <c r="B117" s="118">
        <f ca="1">IF(ROWS($1:104)&gt;COUNT(Dong1),"",OFFSET(TH!E$1,SMALL(Dong1,ROWS($1:104)),))</f>
        <v>42345</v>
      </c>
      <c r="C117" s="119" t="str">
        <f ca="1">IF(ROWS($1:104)&gt;COUNT(Dong1),"",IF(OFFSET(TH!L$1,SMALL(Dong1,ROWS($1:104)),)="1111",OFFSET(TH!D$1,SMALL(Dong1,ROWS($1:104)),),""))</f>
        <v>T35</v>
      </c>
      <c r="D117" s="120" t="str">
        <f ca="1">IF(ROWS($1:104)&gt;COUNT(Dong1),"",IF(OFFSET(TH!M$1,SMALL(Dong1,ROWS($1:104)),)="1111",OFFSET(TH!D$1,SMALL(Dong1,ROWS($1:104)),),""))</f>
        <v/>
      </c>
      <c r="E117" s="215" t="str">
        <f ca="1">IF(ROWS($1:104)&gt;COUNT(Dong1),"",OFFSET(TH!F$1,SMALL(Dong1,ROWS($1:104)),))</f>
        <v>Thu tiền hàng</v>
      </c>
      <c r="F117" s="122" t="str">
        <f ca="1">IF(ROWS($1:104)&gt;COUNT(Dong1),"",IF(OFFSET(TH!M$1,SMALL(Dong1,ROWS($1:104)),)="1111",OFFSET(TH!L$1,SMALL(Dong1,ROWS($1:104)),),OFFSET(TH!M$1,SMALL(Dong1,ROWS($1:104)),)))</f>
        <v>131</v>
      </c>
      <c r="G117" s="123">
        <f ca="1">IF(ROWS($1:104)&gt;COUNT(Dong1),"",IF(OFFSET(TH!L$1,SMALL(Dong1,ROWS($1:104)),)="1111",OFFSET(TH!K$1,SMALL(Dong1,ROWS($1:104)),),0))</f>
        <v>1766600</v>
      </c>
      <c r="H117" s="121">
        <f ca="1">IF(ROWS($1:104)&gt;COUNT(Dong1),"",IF(OFFSET(TH!M$1,SMALL(Dong1,ROWS($1:104)),)="1111",OFFSET(TH!K$1,SMALL(Dong1,ROWS($1:104)),),0))</f>
        <v>0</v>
      </c>
      <c r="I117" s="119">
        <f t="shared" ca="1" si="5"/>
        <v>2308269407</v>
      </c>
      <c r="J117" s="124"/>
      <c r="N117" s="605"/>
      <c r="O117" s="605"/>
    </row>
    <row r="118" spans="1:15" ht="21.75" customHeight="1">
      <c r="A118" s="118">
        <f ca="1">IF(ROWS($1:105)&gt;COUNT(Dong1),"",OFFSET(TH!C$1,SMALL(Dong1,ROWS($1:105)),))</f>
        <v>42346</v>
      </c>
      <c r="B118" s="118">
        <f ca="1">IF(ROWS($1:105)&gt;COUNT(Dong1),"",OFFSET(TH!E$1,SMALL(Dong1,ROWS($1:105)),))</f>
        <v>42346</v>
      </c>
      <c r="C118" s="119" t="str">
        <f ca="1">IF(ROWS($1:105)&gt;COUNT(Dong1),"",IF(OFFSET(TH!L$1,SMALL(Dong1,ROWS($1:105)),)="1111",OFFSET(TH!D$1,SMALL(Dong1,ROWS($1:105)),),""))</f>
        <v/>
      </c>
      <c r="D118" s="120" t="str">
        <f ca="1">IF(ROWS($1:105)&gt;COUNT(Dong1),"",IF(OFFSET(TH!M$1,SMALL(Dong1,ROWS($1:105)),)="1111",OFFSET(TH!D$1,SMALL(Dong1,ROWS($1:105)),),""))</f>
        <v>C42</v>
      </c>
      <c r="E118" s="215" t="str">
        <f ca="1">IF(ROWS($1:105)&gt;COUNT(Dong1),"",OFFSET(TH!F$1,SMALL(Dong1,ROWS($1:105)),))</f>
        <v>Hàng hóa tiếp khách</v>
      </c>
      <c r="F118" s="122" t="str">
        <f ca="1">IF(ROWS($1:105)&gt;COUNT(Dong1),"",IF(OFFSET(TH!M$1,SMALL(Dong1,ROWS($1:105)),)="1111",OFFSET(TH!L$1,SMALL(Dong1,ROWS($1:105)),),OFFSET(TH!M$1,SMALL(Dong1,ROWS($1:105)),)))</f>
        <v>641</v>
      </c>
      <c r="G118" s="123">
        <f ca="1">IF(ROWS($1:105)&gt;COUNT(Dong1),"",IF(OFFSET(TH!L$1,SMALL(Dong1,ROWS($1:105)),)="1111",OFFSET(TH!K$1,SMALL(Dong1,ROWS($1:105)),),0))</f>
        <v>0</v>
      </c>
      <c r="H118" s="121">
        <f ca="1">IF(ROWS($1:105)&gt;COUNT(Dong1),"",IF(OFFSET(TH!M$1,SMALL(Dong1,ROWS($1:105)),)="1111",OFFSET(TH!K$1,SMALL(Dong1,ROWS($1:105)),),0))</f>
        <v>244874</v>
      </c>
      <c r="I118" s="119">
        <f t="shared" ca="1" si="5"/>
        <v>2308024533</v>
      </c>
      <c r="J118" s="124"/>
      <c r="N118" s="605"/>
      <c r="O118" s="605"/>
    </row>
    <row r="119" spans="1:15" ht="21.75" customHeight="1">
      <c r="A119" s="118">
        <f ca="1">IF(ROWS($1:106)&gt;COUNT(Dong1),"",OFFSET(TH!C$1,SMALL(Dong1,ROWS($1:106)),))</f>
        <v>42346</v>
      </c>
      <c r="B119" s="118">
        <f ca="1">IF(ROWS($1:106)&gt;COUNT(Dong1),"",OFFSET(TH!E$1,SMALL(Dong1,ROWS($1:106)),))</f>
        <v>42346</v>
      </c>
      <c r="C119" s="119" t="str">
        <f ca="1">IF(ROWS($1:106)&gt;COUNT(Dong1),"",IF(OFFSET(TH!L$1,SMALL(Dong1,ROWS($1:106)),)="1111",OFFSET(TH!D$1,SMALL(Dong1,ROWS($1:106)),),""))</f>
        <v/>
      </c>
      <c r="D119" s="120" t="str">
        <f ca="1">IF(ROWS($1:106)&gt;COUNT(Dong1),"",IF(OFFSET(TH!M$1,SMALL(Dong1,ROWS($1:106)),)="1111",OFFSET(TH!D$1,SMALL(Dong1,ROWS($1:106)),),""))</f>
        <v>C42</v>
      </c>
      <c r="E119" s="215" t="str">
        <f ca="1">IF(ROWS($1:106)&gt;COUNT(Dong1),"",OFFSET(TH!F$1,SMALL(Dong1,ROWS($1:106)),))</f>
        <v>VAT Hàng hóa tiếp khách</v>
      </c>
      <c r="F119" s="122" t="str">
        <f ca="1">IF(ROWS($1:106)&gt;COUNT(Dong1),"",IF(OFFSET(TH!M$1,SMALL(Dong1,ROWS($1:106)),)="1111",OFFSET(TH!L$1,SMALL(Dong1,ROWS($1:106)),),OFFSET(TH!M$1,SMALL(Dong1,ROWS($1:106)),)))</f>
        <v>1331</v>
      </c>
      <c r="G119" s="123">
        <f ca="1">IF(ROWS($1:106)&gt;COUNT(Dong1),"",IF(OFFSET(TH!L$1,SMALL(Dong1,ROWS($1:106)),)="1111",OFFSET(TH!K$1,SMALL(Dong1,ROWS($1:106)),),0))</f>
        <v>0</v>
      </c>
      <c r="H119" s="121">
        <f ca="1">IF(ROWS($1:106)&gt;COUNT(Dong1),"",IF(OFFSET(TH!M$1,SMALL(Dong1,ROWS($1:106)),)="1111",OFFSET(TH!K$1,SMALL(Dong1,ROWS($1:106)),),0))</f>
        <v>17821</v>
      </c>
      <c r="I119" s="119">
        <f t="shared" ca="1" si="5"/>
        <v>2308006712</v>
      </c>
      <c r="J119" s="124"/>
      <c r="N119" s="605"/>
      <c r="O119" s="605"/>
    </row>
    <row r="120" spans="1:15" ht="21.75" customHeight="1">
      <c r="A120" s="118">
        <f ca="1">IF(ROWS($1:107)&gt;COUNT(Dong1),"",OFFSET(TH!C$1,SMALL(Dong1,ROWS($1:107)),))</f>
        <v>42348</v>
      </c>
      <c r="B120" s="118">
        <f ca="1">IF(ROWS($1:107)&gt;COUNT(Dong1),"",OFFSET(TH!E$1,SMALL(Dong1,ROWS($1:107)),))</f>
        <v>42348</v>
      </c>
      <c r="C120" s="119" t="str">
        <f ca="1">IF(ROWS($1:107)&gt;COUNT(Dong1),"",IF(OFFSET(TH!L$1,SMALL(Dong1,ROWS($1:107)),)="1111",OFFSET(TH!D$1,SMALL(Dong1,ROWS($1:107)),),""))</f>
        <v/>
      </c>
      <c r="D120" s="120" t="str">
        <f ca="1">IF(ROWS($1:107)&gt;COUNT(Dong1),"",IF(OFFSET(TH!M$1,SMALL(Dong1,ROWS($1:107)),)="1111",OFFSET(TH!D$1,SMALL(Dong1,ROWS($1:107)),),""))</f>
        <v>C43</v>
      </c>
      <c r="E120" s="215" t="str">
        <f ca="1">IF(ROWS($1:107)&gt;COUNT(Dong1),"",OFFSET(TH!F$1,SMALL(Dong1,ROWS($1:107)),))</f>
        <v>Văn phòng phẩm</v>
      </c>
      <c r="F120" s="122" t="str">
        <f ca="1">IF(ROWS($1:107)&gt;COUNT(Dong1),"",IF(OFFSET(TH!M$1,SMALL(Dong1,ROWS($1:107)),)="1111",OFFSET(TH!L$1,SMALL(Dong1,ROWS($1:107)),),OFFSET(TH!M$1,SMALL(Dong1,ROWS($1:107)),)))</f>
        <v>642</v>
      </c>
      <c r="G120" s="123">
        <f ca="1">IF(ROWS($1:107)&gt;COUNT(Dong1),"",IF(OFFSET(TH!L$1,SMALL(Dong1,ROWS($1:107)),)="1111",OFFSET(TH!K$1,SMALL(Dong1,ROWS($1:107)),),0))</f>
        <v>0</v>
      </c>
      <c r="H120" s="121">
        <f ca="1">IF(ROWS($1:107)&gt;COUNT(Dong1),"",IF(OFFSET(TH!M$1,SMALL(Dong1,ROWS($1:107)),)="1111",OFFSET(TH!K$1,SMALL(Dong1,ROWS($1:107)),),0))</f>
        <v>127273</v>
      </c>
      <c r="I120" s="119">
        <f t="shared" ca="1" si="5"/>
        <v>2307879439</v>
      </c>
      <c r="J120" s="124"/>
      <c r="N120" s="605"/>
      <c r="O120" s="605"/>
    </row>
    <row r="121" spans="1:15" ht="21.75" customHeight="1">
      <c r="A121" s="118">
        <f ca="1">IF(ROWS($1:108)&gt;COUNT(Dong1),"",OFFSET(TH!C$1,SMALL(Dong1,ROWS($1:108)),))</f>
        <v>42348</v>
      </c>
      <c r="B121" s="118">
        <f ca="1">IF(ROWS($1:108)&gt;COUNT(Dong1),"",OFFSET(TH!E$1,SMALL(Dong1,ROWS($1:108)),))</f>
        <v>42348</v>
      </c>
      <c r="C121" s="119" t="str">
        <f ca="1">IF(ROWS($1:108)&gt;COUNT(Dong1),"",IF(OFFSET(TH!L$1,SMALL(Dong1,ROWS($1:108)),)="1111",OFFSET(TH!D$1,SMALL(Dong1,ROWS($1:108)),),""))</f>
        <v/>
      </c>
      <c r="D121" s="120" t="str">
        <f ca="1">IF(ROWS($1:108)&gt;COUNT(Dong1),"",IF(OFFSET(TH!M$1,SMALL(Dong1,ROWS($1:108)),)="1111",OFFSET(TH!D$1,SMALL(Dong1,ROWS($1:108)),),""))</f>
        <v>C43</v>
      </c>
      <c r="E121" s="215" t="str">
        <f ca="1">IF(ROWS($1:108)&gt;COUNT(Dong1),"",OFFSET(TH!F$1,SMALL(Dong1,ROWS($1:108)),))</f>
        <v>VAT Văn phòng phẩm</v>
      </c>
      <c r="F121" s="122" t="str">
        <f ca="1">IF(ROWS($1:108)&gt;COUNT(Dong1),"",IF(OFFSET(TH!M$1,SMALL(Dong1,ROWS($1:108)),)="1111",OFFSET(TH!L$1,SMALL(Dong1,ROWS($1:108)),),OFFSET(TH!M$1,SMALL(Dong1,ROWS($1:108)),)))</f>
        <v>1331</v>
      </c>
      <c r="G121" s="123">
        <f ca="1">IF(ROWS($1:108)&gt;COUNT(Dong1),"",IF(OFFSET(TH!L$1,SMALL(Dong1,ROWS($1:108)),)="1111",OFFSET(TH!K$1,SMALL(Dong1,ROWS($1:108)),),0))</f>
        <v>0</v>
      </c>
      <c r="H121" s="121">
        <f ca="1">IF(ROWS($1:108)&gt;COUNT(Dong1),"",IF(OFFSET(TH!M$1,SMALL(Dong1,ROWS($1:108)),)="1111",OFFSET(TH!K$1,SMALL(Dong1,ROWS($1:108)),),0))</f>
        <v>12727</v>
      </c>
      <c r="I121" s="119">
        <f t="shared" ca="1" si="5"/>
        <v>2307866712</v>
      </c>
      <c r="J121" s="124"/>
      <c r="N121" s="605"/>
      <c r="O121" s="605"/>
    </row>
    <row r="122" spans="1:15" ht="21.75" customHeight="1">
      <c r="A122" s="118">
        <f ca="1">IF(ROWS($1:109)&gt;COUNT(Dong1),"",OFFSET(TH!C$1,SMALL(Dong1,ROWS($1:109)),))</f>
        <v>42349</v>
      </c>
      <c r="B122" s="118">
        <f ca="1">IF(ROWS($1:109)&gt;COUNT(Dong1),"",OFFSET(TH!E$1,SMALL(Dong1,ROWS($1:109)),))</f>
        <v>42349</v>
      </c>
      <c r="C122" s="119" t="str">
        <f ca="1">IF(ROWS($1:109)&gt;COUNT(Dong1),"",IF(OFFSET(TH!L$1,SMALL(Dong1,ROWS($1:109)),)="1111",OFFSET(TH!D$1,SMALL(Dong1,ROWS($1:109)),),""))</f>
        <v/>
      </c>
      <c r="D122" s="120" t="str">
        <f ca="1">IF(ROWS($1:109)&gt;COUNT(Dong1),"",IF(OFFSET(TH!M$1,SMALL(Dong1,ROWS($1:109)),)="1111",OFFSET(TH!D$1,SMALL(Dong1,ROWS($1:109)),),""))</f>
        <v>C44</v>
      </c>
      <c r="E122" s="215" t="str">
        <f ca="1">IF(ROWS($1:109)&gt;COUNT(Dong1),"",OFFSET(TH!F$1,SMALL(Dong1,ROWS($1:109)),))</f>
        <v>Nộp tiền mặt vào tài khoản</v>
      </c>
      <c r="F122" s="122" t="str">
        <f ca="1">IF(ROWS($1:109)&gt;COUNT(Dong1),"",IF(OFFSET(TH!M$1,SMALL(Dong1,ROWS($1:109)),)="1111",OFFSET(TH!L$1,SMALL(Dong1,ROWS($1:109)),),OFFSET(TH!M$1,SMALL(Dong1,ROWS($1:109)),)))</f>
        <v>1121</v>
      </c>
      <c r="G122" s="123">
        <f ca="1">IF(ROWS($1:109)&gt;COUNT(Dong1),"",IF(OFFSET(TH!L$1,SMALL(Dong1,ROWS($1:109)),)="1111",OFFSET(TH!K$1,SMALL(Dong1,ROWS($1:109)),),0))</f>
        <v>0</v>
      </c>
      <c r="H122" s="121">
        <f ca="1">IF(ROWS($1:109)&gt;COUNT(Dong1),"",IF(OFFSET(TH!M$1,SMALL(Dong1,ROWS($1:109)),)="1111",OFFSET(TH!K$1,SMALL(Dong1,ROWS($1:109)),),0))</f>
        <v>2100000</v>
      </c>
      <c r="I122" s="119">
        <f t="shared" ca="1" si="5"/>
        <v>2305766712</v>
      </c>
      <c r="J122" s="124"/>
      <c r="N122" s="605"/>
      <c r="O122" s="605"/>
    </row>
    <row r="123" spans="1:15" ht="21.75" customHeight="1">
      <c r="A123" s="118">
        <f ca="1">IF(ROWS($1:110)&gt;COUNT(Dong1),"",OFFSET(TH!C$1,SMALL(Dong1,ROWS($1:110)),))</f>
        <v>42353</v>
      </c>
      <c r="B123" s="118">
        <f ca="1">IF(ROWS($1:110)&gt;COUNT(Dong1),"",OFFSET(TH!E$1,SMALL(Dong1,ROWS($1:110)),))</f>
        <v>42353</v>
      </c>
      <c r="C123" s="119" t="str">
        <f ca="1">IF(ROWS($1:110)&gt;COUNT(Dong1),"",IF(OFFSET(TH!L$1,SMALL(Dong1,ROWS($1:110)),)="1111",OFFSET(TH!D$1,SMALL(Dong1,ROWS($1:110)),),""))</f>
        <v>T36</v>
      </c>
      <c r="D123" s="120" t="str">
        <f ca="1">IF(ROWS($1:110)&gt;COUNT(Dong1),"",IF(OFFSET(TH!M$1,SMALL(Dong1,ROWS($1:110)),)="1111",OFFSET(TH!D$1,SMALL(Dong1,ROWS($1:110)),),""))</f>
        <v/>
      </c>
      <c r="E123" s="215" t="str">
        <f ca="1">IF(ROWS($1:110)&gt;COUNT(Dong1),"",OFFSET(TH!F$1,SMALL(Dong1,ROWS($1:110)),))</f>
        <v>Rút sec nhập quỹ tiền mặt</v>
      </c>
      <c r="F123" s="122" t="str">
        <f ca="1">IF(ROWS($1:110)&gt;COUNT(Dong1),"",IF(OFFSET(TH!M$1,SMALL(Dong1,ROWS($1:110)),)="1111",OFFSET(TH!L$1,SMALL(Dong1,ROWS($1:110)),),OFFSET(TH!M$1,SMALL(Dong1,ROWS($1:110)),)))</f>
        <v>1121</v>
      </c>
      <c r="G123" s="123">
        <f ca="1">IF(ROWS($1:110)&gt;COUNT(Dong1),"",IF(OFFSET(TH!L$1,SMALL(Dong1,ROWS($1:110)),)="1111",OFFSET(TH!K$1,SMALL(Dong1,ROWS($1:110)),),0))</f>
        <v>5100000</v>
      </c>
      <c r="H123" s="121">
        <f ca="1">IF(ROWS($1:110)&gt;COUNT(Dong1),"",IF(OFFSET(TH!M$1,SMALL(Dong1,ROWS($1:110)),)="1111",OFFSET(TH!K$1,SMALL(Dong1,ROWS($1:110)),),0))</f>
        <v>0</v>
      </c>
      <c r="I123" s="119">
        <f t="shared" ca="1" si="5"/>
        <v>2310866712</v>
      </c>
      <c r="J123" s="124"/>
      <c r="N123" s="605"/>
      <c r="O123" s="605"/>
    </row>
    <row r="124" spans="1:15" ht="21.75" customHeight="1">
      <c r="A124" s="118">
        <f ca="1">IF(ROWS($1:111)&gt;COUNT(Dong1),"",OFFSET(TH!C$1,SMALL(Dong1,ROWS($1:111)),))</f>
        <v>42353</v>
      </c>
      <c r="B124" s="118">
        <f ca="1">IF(ROWS($1:111)&gt;COUNT(Dong1),"",OFFSET(TH!E$1,SMALL(Dong1,ROWS($1:111)),))</f>
        <v>42353</v>
      </c>
      <c r="C124" s="119" t="str">
        <f ca="1">IF(ROWS($1:111)&gt;COUNT(Dong1),"",IF(OFFSET(TH!L$1,SMALL(Dong1,ROWS($1:111)),)="1111",OFFSET(TH!D$1,SMALL(Dong1,ROWS($1:111)),),""))</f>
        <v>T37</v>
      </c>
      <c r="D124" s="120" t="str">
        <f ca="1">IF(ROWS($1:111)&gt;COUNT(Dong1),"",IF(OFFSET(TH!M$1,SMALL(Dong1,ROWS($1:111)),)="1111",OFFSET(TH!D$1,SMALL(Dong1,ROWS($1:111)),),""))</f>
        <v/>
      </c>
      <c r="E124" s="215" t="str">
        <f ca="1">IF(ROWS($1:111)&gt;COUNT(Dong1),"",OFFSET(TH!F$1,SMALL(Dong1,ROWS($1:111)),))</f>
        <v>Thu tiền hàng</v>
      </c>
      <c r="F124" s="122" t="str">
        <f ca="1">IF(ROWS($1:111)&gt;COUNT(Dong1),"",IF(OFFSET(TH!M$1,SMALL(Dong1,ROWS($1:111)),)="1111",OFFSET(TH!L$1,SMALL(Dong1,ROWS($1:111)),),OFFSET(TH!M$1,SMALL(Dong1,ROWS($1:111)),)))</f>
        <v>131</v>
      </c>
      <c r="G124" s="123">
        <f ca="1">IF(ROWS($1:111)&gt;COUNT(Dong1),"",IF(OFFSET(TH!L$1,SMALL(Dong1,ROWS($1:111)),)="1111",OFFSET(TH!K$1,SMALL(Dong1,ROWS($1:111)),),0))</f>
        <v>5045700</v>
      </c>
      <c r="H124" s="121">
        <f ca="1">IF(ROWS($1:111)&gt;COUNT(Dong1),"",IF(OFFSET(TH!M$1,SMALL(Dong1,ROWS($1:111)),)="1111",OFFSET(TH!K$1,SMALL(Dong1,ROWS($1:111)),),0))</f>
        <v>0</v>
      </c>
      <c r="I124" s="119">
        <f t="shared" ca="1" si="5"/>
        <v>2315912412</v>
      </c>
      <c r="J124" s="124"/>
      <c r="N124" s="605"/>
      <c r="O124" s="605"/>
    </row>
    <row r="125" spans="1:15" ht="21.75" customHeight="1">
      <c r="A125" s="118">
        <f ca="1">IF(ROWS($1:112)&gt;COUNT(Dong1),"",OFFSET(TH!C$1,SMALL(Dong1,ROWS($1:112)),))</f>
        <v>42353</v>
      </c>
      <c r="B125" s="118">
        <f ca="1">IF(ROWS($1:112)&gt;COUNT(Dong1),"",OFFSET(TH!E$1,SMALL(Dong1,ROWS($1:112)),))</f>
        <v>42353</v>
      </c>
      <c r="C125" s="119" t="str">
        <f ca="1">IF(ROWS($1:112)&gt;COUNT(Dong1),"",IF(OFFSET(TH!L$1,SMALL(Dong1,ROWS($1:112)),)="1111",OFFSET(TH!D$1,SMALL(Dong1,ROWS($1:112)),),""))</f>
        <v>T38</v>
      </c>
      <c r="D125" s="120" t="str">
        <f ca="1">IF(ROWS($1:112)&gt;COUNT(Dong1),"",IF(OFFSET(TH!M$1,SMALL(Dong1,ROWS($1:112)),)="1111",OFFSET(TH!D$1,SMALL(Dong1,ROWS($1:112)),),""))</f>
        <v/>
      </c>
      <c r="E125" s="215" t="str">
        <f ca="1">IF(ROWS($1:112)&gt;COUNT(Dong1),"",OFFSET(TH!F$1,SMALL(Dong1,ROWS($1:112)),))</f>
        <v>Thu tiền hàng</v>
      </c>
      <c r="F125" s="122" t="str">
        <f ca="1">IF(ROWS($1:112)&gt;COUNT(Dong1),"",IF(OFFSET(TH!M$1,SMALL(Dong1,ROWS($1:112)),)="1111",OFFSET(TH!L$1,SMALL(Dong1,ROWS($1:112)),),OFFSET(TH!M$1,SMALL(Dong1,ROWS($1:112)),)))</f>
        <v>131</v>
      </c>
      <c r="G125" s="123">
        <f ca="1">IF(ROWS($1:112)&gt;COUNT(Dong1),"",IF(OFFSET(TH!L$1,SMALL(Dong1,ROWS($1:112)),)="1111",OFFSET(TH!K$1,SMALL(Dong1,ROWS($1:112)),),0))</f>
        <v>16979141</v>
      </c>
      <c r="H125" s="121">
        <f ca="1">IF(ROWS($1:112)&gt;COUNT(Dong1),"",IF(OFFSET(TH!M$1,SMALL(Dong1,ROWS($1:112)),)="1111",OFFSET(TH!K$1,SMALL(Dong1,ROWS($1:112)),),0))</f>
        <v>0</v>
      </c>
      <c r="I125" s="119">
        <f t="shared" ca="1" si="5"/>
        <v>2332891553</v>
      </c>
      <c r="J125" s="124"/>
      <c r="N125" s="605"/>
      <c r="O125" s="605"/>
    </row>
    <row r="126" spans="1:15" ht="21.75" customHeight="1">
      <c r="A126" s="118">
        <f ca="1">IF(ROWS($1:113)&gt;COUNT(Dong1),"",OFFSET(TH!C$1,SMALL(Dong1,ROWS($1:113)),))</f>
        <v>42359</v>
      </c>
      <c r="B126" s="118">
        <f ca="1">IF(ROWS($1:113)&gt;COUNT(Dong1),"",OFFSET(TH!E$1,SMALL(Dong1,ROWS($1:113)),))</f>
        <v>42359</v>
      </c>
      <c r="C126" s="119" t="str">
        <f ca="1">IF(ROWS($1:113)&gt;COUNT(Dong1),"",IF(OFFSET(TH!L$1,SMALL(Dong1,ROWS($1:113)),)="1111",OFFSET(TH!D$1,SMALL(Dong1,ROWS($1:113)),),""))</f>
        <v>T39</v>
      </c>
      <c r="D126" s="120" t="str">
        <f ca="1">IF(ROWS($1:113)&gt;COUNT(Dong1),"",IF(OFFSET(TH!M$1,SMALL(Dong1,ROWS($1:113)),)="1111",OFFSET(TH!D$1,SMALL(Dong1,ROWS($1:113)),),""))</f>
        <v/>
      </c>
      <c r="E126" s="215" t="str">
        <f ca="1">IF(ROWS($1:113)&gt;COUNT(Dong1),"",OFFSET(TH!F$1,SMALL(Dong1,ROWS($1:113)),))</f>
        <v>Thu tiền hàng</v>
      </c>
      <c r="F126" s="122" t="str">
        <f ca="1">IF(ROWS($1:113)&gt;COUNT(Dong1),"",IF(OFFSET(TH!M$1,SMALL(Dong1,ROWS($1:113)),)="1111",OFFSET(TH!L$1,SMALL(Dong1,ROWS($1:113)),),OFFSET(TH!M$1,SMALL(Dong1,ROWS($1:113)),)))</f>
        <v>131</v>
      </c>
      <c r="G126" s="123">
        <f ca="1">IF(ROWS($1:113)&gt;COUNT(Dong1),"",IF(OFFSET(TH!L$1,SMALL(Dong1,ROWS($1:113)),)="1111",OFFSET(TH!K$1,SMALL(Dong1,ROWS($1:113)),),0))</f>
        <v>10780000</v>
      </c>
      <c r="H126" s="121">
        <f ca="1">IF(ROWS($1:113)&gt;COUNT(Dong1),"",IF(OFFSET(TH!M$1,SMALL(Dong1,ROWS($1:113)),)="1111",OFFSET(TH!K$1,SMALL(Dong1,ROWS($1:113)),),0))</f>
        <v>0</v>
      </c>
      <c r="I126" s="119">
        <f t="shared" ca="1" si="5"/>
        <v>2343671553</v>
      </c>
      <c r="J126" s="124"/>
      <c r="N126" s="605"/>
      <c r="O126" s="605"/>
    </row>
    <row r="127" spans="1:15" ht="21.75" customHeight="1">
      <c r="A127" s="118">
        <f ca="1">IF(ROWS($1:114)&gt;COUNT(Dong1),"",OFFSET(TH!C$1,SMALL(Dong1,ROWS($1:114)),))</f>
        <v>42361</v>
      </c>
      <c r="B127" s="118">
        <f ca="1">IF(ROWS($1:114)&gt;COUNT(Dong1),"",OFFSET(TH!E$1,SMALL(Dong1,ROWS($1:114)),))</f>
        <v>42361</v>
      </c>
      <c r="C127" s="119" t="str">
        <f ca="1">IF(ROWS($1:114)&gt;COUNT(Dong1),"",IF(OFFSET(TH!L$1,SMALL(Dong1,ROWS($1:114)),)="1111",OFFSET(TH!D$1,SMALL(Dong1,ROWS($1:114)),),""))</f>
        <v>T40</v>
      </c>
      <c r="D127" s="120" t="str">
        <f ca="1">IF(ROWS($1:114)&gt;COUNT(Dong1),"",IF(OFFSET(TH!M$1,SMALL(Dong1,ROWS($1:114)),)="1111",OFFSET(TH!D$1,SMALL(Dong1,ROWS($1:114)),),""))</f>
        <v/>
      </c>
      <c r="E127" s="215" t="str">
        <f ca="1">IF(ROWS($1:114)&gt;COUNT(Dong1),"",OFFSET(TH!F$1,SMALL(Dong1,ROWS($1:114)),))</f>
        <v>Rút sec nhập quỹ tiền mặt</v>
      </c>
      <c r="F127" s="122" t="str">
        <f ca="1">IF(ROWS($1:114)&gt;COUNT(Dong1),"",IF(OFFSET(TH!M$1,SMALL(Dong1,ROWS($1:114)),)="1111",OFFSET(TH!L$1,SMALL(Dong1,ROWS($1:114)),),OFFSET(TH!M$1,SMALL(Dong1,ROWS($1:114)),)))</f>
        <v>1121</v>
      </c>
      <c r="G127" s="123">
        <f ca="1">IF(ROWS($1:114)&gt;COUNT(Dong1),"",IF(OFFSET(TH!L$1,SMALL(Dong1,ROWS($1:114)),)="1111",OFFSET(TH!K$1,SMALL(Dong1,ROWS($1:114)),),0))</f>
        <v>3000000</v>
      </c>
      <c r="H127" s="121">
        <f ca="1">IF(ROWS($1:114)&gt;COUNT(Dong1),"",IF(OFFSET(TH!M$1,SMALL(Dong1,ROWS($1:114)),)="1111",OFFSET(TH!K$1,SMALL(Dong1,ROWS($1:114)),),0))</f>
        <v>0</v>
      </c>
      <c r="I127" s="119">
        <f t="shared" ca="1" si="5"/>
        <v>2346671553</v>
      </c>
      <c r="J127" s="124"/>
      <c r="N127" s="605"/>
      <c r="O127" s="605"/>
    </row>
    <row r="128" spans="1:15" ht="21.75" customHeight="1">
      <c r="A128" s="118">
        <f ca="1">IF(ROWS($1:115)&gt;COUNT(Dong1),"",OFFSET(TH!C$1,SMALL(Dong1,ROWS($1:115)),))</f>
        <v>42362</v>
      </c>
      <c r="B128" s="118">
        <f ca="1">IF(ROWS($1:115)&gt;COUNT(Dong1),"",OFFSET(TH!E$1,SMALL(Dong1,ROWS($1:115)),))</f>
        <v>42362</v>
      </c>
      <c r="C128" s="119" t="str">
        <f ca="1">IF(ROWS($1:115)&gt;COUNT(Dong1),"",IF(OFFSET(TH!L$1,SMALL(Dong1,ROWS($1:115)),)="1111",OFFSET(TH!D$1,SMALL(Dong1,ROWS($1:115)),),""))</f>
        <v/>
      </c>
      <c r="D128" s="120" t="str">
        <f ca="1">IF(ROWS($1:115)&gt;COUNT(Dong1),"",IF(OFFSET(TH!M$1,SMALL(Dong1,ROWS($1:115)),)="1111",OFFSET(TH!D$1,SMALL(Dong1,ROWS($1:115)),),""))</f>
        <v>C45</v>
      </c>
      <c r="E128" s="215" t="str">
        <f ca="1">IF(ROWS($1:115)&gt;COUNT(Dong1),"",OFFSET(TH!F$1,SMALL(Dong1,ROWS($1:115)),))</f>
        <v>Nộp tiền mặt vào tài khoản</v>
      </c>
      <c r="F128" s="122" t="str">
        <f ca="1">IF(ROWS($1:115)&gt;COUNT(Dong1),"",IF(OFFSET(TH!M$1,SMALL(Dong1,ROWS($1:115)),)="1111",OFFSET(TH!L$1,SMALL(Dong1,ROWS($1:115)),),OFFSET(TH!M$1,SMALL(Dong1,ROWS($1:115)),)))</f>
        <v>1121</v>
      </c>
      <c r="G128" s="123">
        <f ca="1">IF(ROWS($1:115)&gt;COUNT(Dong1),"",IF(OFFSET(TH!L$1,SMALL(Dong1,ROWS($1:115)),)="1111",OFFSET(TH!K$1,SMALL(Dong1,ROWS($1:115)),),0))</f>
        <v>0</v>
      </c>
      <c r="H128" s="121">
        <f ca="1">IF(ROWS($1:115)&gt;COUNT(Dong1),"",IF(OFFSET(TH!M$1,SMALL(Dong1,ROWS($1:115)),)="1111",OFFSET(TH!K$1,SMALL(Dong1,ROWS($1:115)),),0))</f>
        <v>20200000</v>
      </c>
      <c r="I128" s="119">
        <f t="shared" ref="I128:I141" ca="1" si="6">IF(E128&lt;&gt;"",I127+G128-H128,0)</f>
        <v>2326471553</v>
      </c>
      <c r="J128" s="124"/>
      <c r="N128" s="605"/>
      <c r="O128" s="605"/>
    </row>
    <row r="129" spans="1:15" ht="21.75" customHeight="1">
      <c r="A129" s="118">
        <f ca="1">IF(ROWS($1:116)&gt;COUNT(Dong1),"",OFFSET(TH!C$1,SMALL(Dong1,ROWS($1:116)),))</f>
        <v>42362</v>
      </c>
      <c r="B129" s="118">
        <f ca="1">IF(ROWS($1:116)&gt;COUNT(Dong1),"",OFFSET(TH!E$1,SMALL(Dong1,ROWS($1:116)),))</f>
        <v>42362</v>
      </c>
      <c r="C129" s="119" t="str">
        <f ca="1">IF(ROWS($1:116)&gt;COUNT(Dong1),"",IF(OFFSET(TH!L$1,SMALL(Dong1,ROWS($1:116)),)="1111",OFFSET(TH!D$1,SMALL(Dong1,ROWS($1:116)),),""))</f>
        <v>T41</v>
      </c>
      <c r="D129" s="120" t="str">
        <f ca="1">IF(ROWS($1:116)&gt;COUNT(Dong1),"",IF(OFFSET(TH!M$1,SMALL(Dong1,ROWS($1:116)),)="1111",OFFSET(TH!D$1,SMALL(Dong1,ROWS($1:116)),),""))</f>
        <v/>
      </c>
      <c r="E129" s="215" t="str">
        <f ca="1">IF(ROWS($1:116)&gt;COUNT(Dong1),"",OFFSET(TH!F$1,SMALL(Dong1,ROWS($1:116)),))</f>
        <v>Rút sec nhập quỹ tiền mặt</v>
      </c>
      <c r="F129" s="122" t="str">
        <f ca="1">IF(ROWS($1:116)&gt;COUNT(Dong1),"",IF(OFFSET(TH!M$1,SMALL(Dong1,ROWS($1:116)),)="1111",OFFSET(TH!L$1,SMALL(Dong1,ROWS($1:116)),),OFFSET(TH!M$1,SMALL(Dong1,ROWS($1:116)),)))</f>
        <v>1121</v>
      </c>
      <c r="G129" s="123">
        <f ca="1">IF(ROWS($1:116)&gt;COUNT(Dong1),"",IF(OFFSET(TH!L$1,SMALL(Dong1,ROWS($1:116)),)="1111",OFFSET(TH!K$1,SMALL(Dong1,ROWS($1:116)),),0))</f>
        <v>4000000</v>
      </c>
      <c r="H129" s="121">
        <f ca="1">IF(ROWS($1:116)&gt;COUNT(Dong1),"",IF(OFFSET(TH!M$1,SMALL(Dong1,ROWS($1:116)),)="1111",OFFSET(TH!K$1,SMALL(Dong1,ROWS($1:116)),),0))</f>
        <v>0</v>
      </c>
      <c r="I129" s="119">
        <f t="shared" ca="1" si="6"/>
        <v>2330471553</v>
      </c>
      <c r="J129" s="124"/>
      <c r="N129" s="605"/>
      <c r="O129" s="605"/>
    </row>
    <row r="130" spans="1:15" ht="21.75" customHeight="1">
      <c r="A130" s="118">
        <f ca="1">IF(ROWS($1:117)&gt;COUNT(Dong1),"",OFFSET(TH!C$1,SMALL(Dong1,ROWS($1:117)),))</f>
        <v>42362</v>
      </c>
      <c r="B130" s="118">
        <f ca="1">IF(ROWS($1:117)&gt;COUNT(Dong1),"",OFFSET(TH!E$1,SMALL(Dong1,ROWS($1:117)),))</f>
        <v>42362</v>
      </c>
      <c r="C130" s="119" t="str">
        <f ca="1">IF(ROWS($1:117)&gt;COUNT(Dong1),"",IF(OFFSET(TH!L$1,SMALL(Dong1,ROWS($1:117)),)="1111",OFFSET(TH!D$1,SMALL(Dong1,ROWS($1:117)),),""))</f>
        <v>T42</v>
      </c>
      <c r="D130" s="120" t="str">
        <f ca="1">IF(ROWS($1:117)&gt;COUNT(Dong1),"",IF(OFFSET(TH!M$1,SMALL(Dong1,ROWS($1:117)),)="1111",OFFSET(TH!D$1,SMALL(Dong1,ROWS($1:117)),),""))</f>
        <v/>
      </c>
      <c r="E130" s="215" t="str">
        <f ca="1">IF(ROWS($1:117)&gt;COUNT(Dong1),"",OFFSET(TH!F$1,SMALL(Dong1,ROWS($1:117)),))</f>
        <v>Thu tiền hàng</v>
      </c>
      <c r="F130" s="122" t="str">
        <f ca="1">IF(ROWS($1:117)&gt;COUNT(Dong1),"",IF(OFFSET(TH!M$1,SMALL(Dong1,ROWS($1:117)),)="1111",OFFSET(TH!L$1,SMALL(Dong1,ROWS($1:117)),),OFFSET(TH!M$1,SMALL(Dong1,ROWS($1:117)),)))</f>
        <v>131</v>
      </c>
      <c r="G130" s="123">
        <f ca="1">IF(ROWS($1:117)&gt;COUNT(Dong1),"",IF(OFFSET(TH!L$1,SMALL(Dong1,ROWS($1:117)),)="1111",OFFSET(TH!K$1,SMALL(Dong1,ROWS($1:117)),),0))</f>
        <v>5348043</v>
      </c>
      <c r="H130" s="121">
        <f ca="1">IF(ROWS($1:117)&gt;COUNT(Dong1),"",IF(OFFSET(TH!M$1,SMALL(Dong1,ROWS($1:117)),)="1111",OFFSET(TH!K$1,SMALL(Dong1,ROWS($1:117)),),0))</f>
        <v>0</v>
      </c>
      <c r="I130" s="119">
        <f t="shared" ca="1" si="6"/>
        <v>2335819596</v>
      </c>
      <c r="J130" s="124"/>
      <c r="N130" s="605"/>
      <c r="O130" s="605"/>
    </row>
    <row r="131" spans="1:15" ht="21.75" customHeight="1">
      <c r="A131" s="118">
        <f ca="1">IF(ROWS($1:118)&gt;COUNT(Dong1),"",OFFSET(TH!C$1,SMALL(Dong1,ROWS($1:118)),))</f>
        <v>42367</v>
      </c>
      <c r="B131" s="118">
        <f ca="1">IF(ROWS($1:118)&gt;COUNT(Dong1),"",OFFSET(TH!E$1,SMALL(Dong1,ROWS($1:118)),))</f>
        <v>42367</v>
      </c>
      <c r="C131" s="119" t="str">
        <f ca="1">IF(ROWS($1:118)&gt;COUNT(Dong1),"",IF(OFFSET(TH!L$1,SMALL(Dong1,ROWS($1:118)),)="1111",OFFSET(TH!D$1,SMALL(Dong1,ROWS($1:118)),),""))</f>
        <v/>
      </c>
      <c r="D131" s="120" t="str">
        <f ca="1">IF(ROWS($1:118)&gt;COUNT(Dong1),"",IF(OFFSET(TH!M$1,SMALL(Dong1,ROWS($1:118)),)="1111",OFFSET(TH!D$1,SMALL(Dong1,ROWS($1:118)),),""))</f>
        <v>C46</v>
      </c>
      <c r="E131" s="215" t="str">
        <f ca="1">IF(ROWS($1:118)&gt;COUNT(Dong1),"",OFFSET(TH!F$1,SMALL(Dong1,ROWS($1:118)),))</f>
        <v>Nộp tiền mặt vào tài khoản</v>
      </c>
      <c r="F131" s="122" t="str">
        <f ca="1">IF(ROWS($1:118)&gt;COUNT(Dong1),"",IF(OFFSET(TH!M$1,SMALL(Dong1,ROWS($1:118)),)="1111",OFFSET(TH!L$1,SMALL(Dong1,ROWS($1:118)),),OFFSET(TH!M$1,SMALL(Dong1,ROWS($1:118)),)))</f>
        <v>1121</v>
      </c>
      <c r="G131" s="123">
        <f ca="1">IF(ROWS($1:118)&gt;COUNT(Dong1),"",IF(OFFSET(TH!L$1,SMALL(Dong1,ROWS($1:118)),)="1111",OFFSET(TH!K$1,SMALL(Dong1,ROWS($1:118)),),0))</f>
        <v>0</v>
      </c>
      <c r="H131" s="121">
        <f ca="1">IF(ROWS($1:118)&gt;COUNT(Dong1),"",IF(OFFSET(TH!M$1,SMALL(Dong1,ROWS($1:118)),)="1111",OFFSET(TH!K$1,SMALL(Dong1,ROWS($1:118)),),0))</f>
        <v>8000000</v>
      </c>
      <c r="I131" s="119">
        <f t="shared" ca="1" si="6"/>
        <v>2327819596</v>
      </c>
      <c r="J131" s="124"/>
      <c r="N131" s="605"/>
      <c r="O131" s="605"/>
    </row>
    <row r="132" spans="1:15" ht="21.75" customHeight="1">
      <c r="A132" s="118">
        <f ca="1">IF(ROWS($1:119)&gt;COUNT(Dong1),"",OFFSET(TH!C$1,SMALL(Dong1,ROWS($1:119)),))</f>
        <v>42367</v>
      </c>
      <c r="B132" s="118">
        <f ca="1">IF(ROWS($1:119)&gt;COUNT(Dong1),"",OFFSET(TH!E$1,SMALL(Dong1,ROWS($1:119)),))</f>
        <v>42367</v>
      </c>
      <c r="C132" s="119" t="str">
        <f ca="1">IF(ROWS($1:119)&gt;COUNT(Dong1),"",IF(OFFSET(TH!L$1,SMALL(Dong1,ROWS($1:119)),)="1111",OFFSET(TH!D$1,SMALL(Dong1,ROWS($1:119)),),""))</f>
        <v>T43</v>
      </c>
      <c r="D132" s="120" t="str">
        <f ca="1">IF(ROWS($1:119)&gt;COUNT(Dong1),"",IF(OFFSET(TH!M$1,SMALL(Dong1,ROWS($1:119)),)="1111",OFFSET(TH!D$1,SMALL(Dong1,ROWS($1:119)),),""))</f>
        <v/>
      </c>
      <c r="E132" s="215" t="str">
        <f ca="1">IF(ROWS($1:119)&gt;COUNT(Dong1),"",OFFSET(TH!F$1,SMALL(Dong1,ROWS($1:119)),))</f>
        <v>Thu tiền hàng</v>
      </c>
      <c r="F132" s="122" t="str">
        <f ca="1">IF(ROWS($1:119)&gt;COUNT(Dong1),"",IF(OFFSET(TH!M$1,SMALL(Dong1,ROWS($1:119)),)="1111",OFFSET(TH!L$1,SMALL(Dong1,ROWS($1:119)),),OFFSET(TH!M$1,SMALL(Dong1,ROWS($1:119)),)))</f>
        <v>131</v>
      </c>
      <c r="G132" s="123">
        <f ca="1">IF(ROWS($1:119)&gt;COUNT(Dong1),"",IF(OFFSET(TH!L$1,SMALL(Dong1,ROWS($1:119)),)="1111",OFFSET(TH!K$1,SMALL(Dong1,ROWS($1:119)),),0))</f>
        <v>17846400</v>
      </c>
      <c r="H132" s="121">
        <f ca="1">IF(ROWS($1:119)&gt;COUNT(Dong1),"",IF(OFFSET(TH!M$1,SMALL(Dong1,ROWS($1:119)),)="1111",OFFSET(TH!K$1,SMALL(Dong1,ROWS($1:119)),),0))</f>
        <v>0</v>
      </c>
      <c r="I132" s="119">
        <f t="shared" ca="1" si="6"/>
        <v>2345665996</v>
      </c>
      <c r="J132" s="124"/>
      <c r="N132" s="605"/>
      <c r="O132" s="605"/>
    </row>
    <row r="133" spans="1:15" ht="21.75" customHeight="1">
      <c r="A133" s="118">
        <f ca="1">IF(ROWS($1:120)&gt;COUNT(Dong1),"",OFFSET(TH!C$1,SMALL(Dong1,ROWS($1:120)),))</f>
        <v>42368</v>
      </c>
      <c r="B133" s="118">
        <f ca="1">IF(ROWS($1:120)&gt;COUNT(Dong1),"",OFFSET(TH!E$1,SMALL(Dong1,ROWS($1:120)),))</f>
        <v>42368</v>
      </c>
      <c r="C133" s="119" t="str">
        <f ca="1">IF(ROWS($1:120)&gt;COUNT(Dong1),"",IF(OFFSET(TH!L$1,SMALL(Dong1,ROWS($1:120)),)="1111",OFFSET(TH!D$1,SMALL(Dong1,ROWS($1:120)),),""))</f>
        <v>T44</v>
      </c>
      <c r="D133" s="120" t="str">
        <f ca="1">IF(ROWS($1:120)&gt;COUNT(Dong1),"",IF(OFFSET(TH!M$1,SMALL(Dong1,ROWS($1:120)),)="1111",OFFSET(TH!D$1,SMALL(Dong1,ROWS($1:120)),),""))</f>
        <v/>
      </c>
      <c r="E133" s="215" t="str">
        <f ca="1">IF(ROWS($1:120)&gt;COUNT(Dong1),"",OFFSET(TH!F$1,SMALL(Dong1,ROWS($1:120)),))</f>
        <v>Cước vận chuyển</v>
      </c>
      <c r="F133" s="122" t="str">
        <f ca="1">IF(ROWS($1:120)&gt;COUNT(Dong1),"",IF(OFFSET(TH!M$1,SMALL(Dong1,ROWS($1:120)),)="1111",OFFSET(TH!L$1,SMALL(Dong1,ROWS($1:120)),),OFFSET(TH!M$1,SMALL(Dong1,ROWS($1:120)),)))</f>
        <v>5111</v>
      </c>
      <c r="G133" s="123">
        <f ca="1">IF(ROWS($1:120)&gt;COUNT(Dong1),"",IF(OFFSET(TH!L$1,SMALL(Dong1,ROWS($1:120)),)="1111",OFFSET(TH!K$1,SMALL(Dong1,ROWS($1:120)),),0))</f>
        <v>5200000</v>
      </c>
      <c r="H133" s="121">
        <f ca="1">IF(ROWS($1:120)&gt;COUNT(Dong1),"",IF(OFFSET(TH!M$1,SMALL(Dong1,ROWS($1:120)),)="1111",OFFSET(TH!K$1,SMALL(Dong1,ROWS($1:120)),),0))</f>
        <v>0</v>
      </c>
      <c r="I133" s="119">
        <f t="shared" ca="1" si="6"/>
        <v>2350865996</v>
      </c>
      <c r="J133" s="124"/>
      <c r="N133" s="605"/>
      <c r="O133" s="605"/>
    </row>
    <row r="134" spans="1:15" ht="21.75" customHeight="1">
      <c r="A134" s="118">
        <f ca="1">IF(ROWS($1:121)&gt;COUNT(Dong1),"",OFFSET(TH!C$1,SMALL(Dong1,ROWS($1:121)),))</f>
        <v>42368</v>
      </c>
      <c r="B134" s="118">
        <f ca="1">IF(ROWS($1:121)&gt;COUNT(Dong1),"",OFFSET(TH!E$1,SMALL(Dong1,ROWS($1:121)),))</f>
        <v>42368</v>
      </c>
      <c r="C134" s="119" t="str">
        <f ca="1">IF(ROWS($1:121)&gt;COUNT(Dong1),"",IF(OFFSET(TH!L$1,SMALL(Dong1,ROWS($1:121)),)="1111",OFFSET(TH!D$1,SMALL(Dong1,ROWS($1:121)),),""))</f>
        <v>T44</v>
      </c>
      <c r="D134" s="120" t="str">
        <f ca="1">IF(ROWS($1:121)&gt;COUNT(Dong1),"",IF(OFFSET(TH!M$1,SMALL(Dong1,ROWS($1:121)),)="1111",OFFSET(TH!D$1,SMALL(Dong1,ROWS($1:121)),),""))</f>
        <v/>
      </c>
      <c r="E134" s="215" t="str">
        <f ca="1">IF(ROWS($1:121)&gt;COUNT(Dong1),"",OFFSET(TH!F$1,SMALL(Dong1,ROWS($1:121)),))</f>
        <v>VAT Cước vận chuyển</v>
      </c>
      <c r="F134" s="122" t="str">
        <f ca="1">IF(ROWS($1:121)&gt;COUNT(Dong1),"",IF(OFFSET(TH!M$1,SMALL(Dong1,ROWS($1:121)),)="1111",OFFSET(TH!L$1,SMALL(Dong1,ROWS($1:121)),),OFFSET(TH!M$1,SMALL(Dong1,ROWS($1:121)),)))</f>
        <v>3331</v>
      </c>
      <c r="G134" s="123">
        <f ca="1">IF(ROWS($1:121)&gt;COUNT(Dong1),"",IF(OFFSET(TH!L$1,SMALL(Dong1,ROWS($1:121)),)="1111",OFFSET(TH!K$1,SMALL(Dong1,ROWS($1:121)),),0))</f>
        <v>520000</v>
      </c>
      <c r="H134" s="121">
        <f ca="1">IF(ROWS($1:121)&gt;COUNT(Dong1),"",IF(OFFSET(TH!M$1,SMALL(Dong1,ROWS($1:121)),)="1111",OFFSET(TH!K$1,SMALL(Dong1,ROWS($1:121)),),0))</f>
        <v>0</v>
      </c>
      <c r="I134" s="119">
        <f t="shared" ca="1" si="6"/>
        <v>2351385996</v>
      </c>
      <c r="J134" s="124"/>
      <c r="N134" s="605"/>
      <c r="O134" s="605"/>
    </row>
    <row r="135" spans="1:15" ht="21.75" customHeight="1">
      <c r="A135" s="118">
        <f ca="1">IF(ROWS($1:122)&gt;COUNT(Dong1),"",OFFSET(TH!C$1,SMALL(Dong1,ROWS($1:122)),))</f>
        <v>42369</v>
      </c>
      <c r="B135" s="118">
        <f ca="1">IF(ROWS($1:122)&gt;COUNT(Dong1),"",OFFSET(TH!E$1,SMALL(Dong1,ROWS($1:122)),))</f>
        <v>42369</v>
      </c>
      <c r="C135" s="119" t="str">
        <f ca="1">IF(ROWS($1:122)&gt;COUNT(Dong1),"",IF(OFFSET(TH!L$1,SMALL(Dong1,ROWS($1:122)),)="1111",OFFSET(TH!D$1,SMALL(Dong1,ROWS($1:122)),),""))</f>
        <v>T45</v>
      </c>
      <c r="D135" s="120" t="str">
        <f ca="1">IF(ROWS($1:122)&gt;COUNT(Dong1),"",IF(OFFSET(TH!M$1,SMALL(Dong1,ROWS($1:122)),)="1111",OFFSET(TH!D$1,SMALL(Dong1,ROWS($1:122)),),""))</f>
        <v/>
      </c>
      <c r="E135" s="215" t="str">
        <f ca="1">IF(ROWS($1:122)&gt;COUNT(Dong1),"",OFFSET(TH!F$1,SMALL(Dong1,ROWS($1:122)),))</f>
        <v>Rút sec nhập quỹ tiền mặt</v>
      </c>
      <c r="F135" s="122" t="str">
        <f ca="1">IF(ROWS($1:122)&gt;COUNT(Dong1),"",IF(OFFSET(TH!M$1,SMALL(Dong1,ROWS($1:122)),)="1111",OFFSET(TH!L$1,SMALL(Dong1,ROWS($1:122)),),OFFSET(TH!M$1,SMALL(Dong1,ROWS($1:122)),)))</f>
        <v>1121</v>
      </c>
      <c r="G135" s="123">
        <f ca="1">IF(ROWS($1:122)&gt;COUNT(Dong1),"",IF(OFFSET(TH!L$1,SMALL(Dong1,ROWS($1:122)),)="1111",OFFSET(TH!K$1,SMALL(Dong1,ROWS($1:122)),),0))</f>
        <v>20900000</v>
      </c>
      <c r="H135" s="121">
        <f ca="1">IF(ROWS($1:122)&gt;COUNT(Dong1),"",IF(OFFSET(TH!M$1,SMALL(Dong1,ROWS($1:122)),)="1111",OFFSET(TH!K$1,SMALL(Dong1,ROWS($1:122)),),0))</f>
        <v>0</v>
      </c>
      <c r="I135" s="119">
        <f t="shared" ca="1" si="6"/>
        <v>2372285996</v>
      </c>
      <c r="J135" s="124"/>
      <c r="N135" s="605"/>
      <c r="O135" s="605"/>
    </row>
    <row r="136" spans="1:15" ht="21.75" customHeight="1">
      <c r="A136" s="118">
        <f ca="1">IF(ROWS($1:123)&gt;COUNT(Dong1),"",OFFSET(TH!C$1,SMALL(Dong1,ROWS($1:123)),))</f>
        <v>42369</v>
      </c>
      <c r="B136" s="118">
        <f ca="1">IF(ROWS($1:123)&gt;COUNT(Dong1),"",OFFSET(TH!E$1,SMALL(Dong1,ROWS($1:123)),))</f>
        <v>42369</v>
      </c>
      <c r="C136" s="119" t="str">
        <f ca="1">IF(ROWS($1:123)&gt;COUNT(Dong1),"",IF(OFFSET(TH!L$1,SMALL(Dong1,ROWS($1:123)),)="1111",OFFSET(TH!D$1,SMALL(Dong1,ROWS($1:123)),),""))</f>
        <v/>
      </c>
      <c r="D136" s="120" t="str">
        <f ca="1">IF(ROWS($1:123)&gt;COUNT(Dong1),"",IF(OFFSET(TH!M$1,SMALL(Dong1,ROWS($1:123)),)="1111",OFFSET(TH!D$1,SMALL(Dong1,ROWS($1:123)),),""))</f>
        <v>C47</v>
      </c>
      <c r="E136" s="215" t="str">
        <f ca="1">IF(ROWS($1:123)&gt;COUNT(Dong1),"",OFFSET(TH!F$1,SMALL(Dong1,ROWS($1:123)),))</f>
        <v>Thanh toán lương T12/2015</v>
      </c>
      <c r="F136" s="122" t="str">
        <f ca="1">IF(ROWS($1:123)&gt;COUNT(Dong1),"",IF(OFFSET(TH!M$1,SMALL(Dong1,ROWS($1:123)),)="1111",OFFSET(TH!L$1,SMALL(Dong1,ROWS($1:123)),),OFFSET(TH!M$1,SMALL(Dong1,ROWS($1:123)),)))</f>
        <v>3341</v>
      </c>
      <c r="G136" s="123">
        <f ca="1">IF(ROWS($1:123)&gt;COUNT(Dong1),"",IF(OFFSET(TH!L$1,SMALL(Dong1,ROWS($1:123)),)="1111",OFFSET(TH!K$1,SMALL(Dong1,ROWS($1:123)),),0))</f>
        <v>0</v>
      </c>
      <c r="H136" s="121">
        <f ca="1">IF(ROWS($1:123)&gt;COUNT(Dong1),"",IF(OFFSET(TH!M$1,SMALL(Dong1,ROWS($1:123)),)="1111",OFFSET(TH!K$1,SMALL(Dong1,ROWS($1:123)),),0))</f>
        <v>14800000</v>
      </c>
      <c r="I136" s="119">
        <f t="shared" ca="1" si="6"/>
        <v>2357485996</v>
      </c>
      <c r="J136" s="124"/>
      <c r="N136" s="605"/>
      <c r="O136" s="605"/>
    </row>
    <row r="137" spans="1:15" ht="21.75" customHeight="1">
      <c r="A137" s="118">
        <f ca="1">IF(ROWS($1:124)&gt;COUNT(Dong1),"",OFFSET(TH!C$1,SMALL(Dong1,ROWS($1:124)),))</f>
        <v>42369</v>
      </c>
      <c r="B137" s="118">
        <f ca="1">IF(ROWS($1:124)&gt;COUNT(Dong1),"",OFFSET(TH!E$1,SMALL(Dong1,ROWS($1:124)),))</f>
        <v>42369</v>
      </c>
      <c r="C137" s="119" t="str">
        <f ca="1">IF(ROWS($1:124)&gt;COUNT(Dong1),"",IF(OFFSET(TH!L$1,SMALL(Dong1,ROWS($1:124)),)="1111",OFFSET(TH!D$1,SMALL(Dong1,ROWS($1:124)),),""))</f>
        <v/>
      </c>
      <c r="D137" s="120" t="str">
        <f ca="1">IF(ROWS($1:124)&gt;COUNT(Dong1),"",IF(OFFSET(TH!M$1,SMALL(Dong1,ROWS($1:124)),)="1111",OFFSET(TH!D$1,SMALL(Dong1,ROWS($1:124)),),""))</f>
        <v>C48</v>
      </c>
      <c r="E137" s="215" t="str">
        <f ca="1">IF(ROWS($1:124)&gt;COUNT(Dong1),"",OFFSET(TH!F$1,SMALL(Dong1,ROWS($1:124)),))</f>
        <v>Thanh toán tiền thuê xe - Tháng 12</v>
      </c>
      <c r="F137" s="122" t="str">
        <f ca="1">IF(ROWS($1:124)&gt;COUNT(Dong1),"",IF(OFFSET(TH!M$1,SMALL(Dong1,ROWS($1:124)),)="1111",OFFSET(TH!L$1,SMALL(Dong1,ROWS($1:124)),),OFFSET(TH!M$1,SMALL(Dong1,ROWS($1:124)),)))</f>
        <v>642</v>
      </c>
      <c r="G137" s="123">
        <f ca="1">IF(ROWS($1:124)&gt;COUNT(Dong1),"",IF(OFFSET(TH!L$1,SMALL(Dong1,ROWS($1:124)),)="1111",OFFSET(TH!K$1,SMALL(Dong1,ROWS($1:124)),),0))</f>
        <v>0</v>
      </c>
      <c r="H137" s="121">
        <f ca="1">IF(ROWS($1:124)&gt;COUNT(Dong1),"",IF(OFFSET(TH!M$1,SMALL(Dong1,ROWS($1:124)),)="1111",OFFSET(TH!K$1,SMALL(Dong1,ROWS($1:124)),),0))</f>
        <v>5000000</v>
      </c>
      <c r="I137" s="119">
        <f t="shared" ca="1" si="6"/>
        <v>2352485996</v>
      </c>
      <c r="J137" s="124"/>
      <c r="N137" s="605"/>
      <c r="O137" s="605"/>
    </row>
    <row r="138" spans="1:15" ht="21.75" customHeight="1">
      <c r="A138" s="118">
        <f ca="1">IF(ROWS($1:125)&gt;COUNT(Dong1),"",OFFSET(TH!C$1,SMALL(Dong1,ROWS($1:125)),))</f>
        <v>42369</v>
      </c>
      <c r="B138" s="118">
        <f ca="1">IF(ROWS($1:125)&gt;COUNT(Dong1),"",OFFSET(TH!E$1,SMALL(Dong1,ROWS($1:125)),))</f>
        <v>42369</v>
      </c>
      <c r="C138" s="119" t="str">
        <f ca="1">IF(ROWS($1:125)&gt;COUNT(Dong1),"",IF(OFFSET(TH!L$1,SMALL(Dong1,ROWS($1:125)),)="1111",OFFSET(TH!D$1,SMALL(Dong1,ROWS($1:125)),),""))</f>
        <v/>
      </c>
      <c r="D138" s="120" t="str">
        <f ca="1">IF(ROWS($1:125)&gt;COUNT(Dong1),"",IF(OFFSET(TH!M$1,SMALL(Dong1,ROWS($1:125)),)="1111",OFFSET(TH!D$1,SMALL(Dong1,ROWS($1:125)),),""))</f>
        <v>C49</v>
      </c>
      <c r="E138" s="215" t="str">
        <f ca="1">IF(ROWS($1:125)&gt;COUNT(Dong1),"",OFFSET(TH!F$1,SMALL(Dong1,ROWS($1:125)),))</f>
        <v>Dầu DO</v>
      </c>
      <c r="F138" s="122" t="str">
        <f ca="1">IF(ROWS($1:125)&gt;COUNT(Dong1),"",IF(OFFSET(TH!M$1,SMALL(Dong1,ROWS($1:125)),)="1111",OFFSET(TH!L$1,SMALL(Dong1,ROWS($1:125)),),OFFSET(TH!M$1,SMALL(Dong1,ROWS($1:125)),)))</f>
        <v>642</v>
      </c>
      <c r="G138" s="123">
        <f ca="1">IF(ROWS($1:125)&gt;COUNT(Dong1),"",IF(OFFSET(TH!L$1,SMALL(Dong1,ROWS($1:125)),)="1111",OFFSET(TH!K$1,SMALL(Dong1,ROWS($1:125)),),0))</f>
        <v>0</v>
      </c>
      <c r="H138" s="121">
        <f ca="1">IF(ROWS($1:125)&gt;COUNT(Dong1),"",IF(OFFSET(TH!M$1,SMALL(Dong1,ROWS($1:125)),)="1111",OFFSET(TH!K$1,SMALL(Dong1,ROWS($1:125)),),0))</f>
        <v>18000059</v>
      </c>
      <c r="I138" s="119">
        <f t="shared" ca="1" si="6"/>
        <v>2334485937</v>
      </c>
      <c r="J138" s="124"/>
      <c r="N138" s="605"/>
      <c r="O138" s="605"/>
    </row>
    <row r="139" spans="1:15" ht="21.75" customHeight="1">
      <c r="A139" s="118">
        <f ca="1">IF(ROWS($1:126)&gt;COUNT(Dong1),"",OFFSET(TH!C$1,SMALL(Dong1,ROWS($1:126)),))</f>
        <v>42369</v>
      </c>
      <c r="B139" s="118">
        <f ca="1">IF(ROWS($1:126)&gt;COUNT(Dong1),"",OFFSET(TH!E$1,SMALL(Dong1,ROWS($1:126)),))</f>
        <v>42369</v>
      </c>
      <c r="C139" s="119" t="str">
        <f ca="1">IF(ROWS($1:126)&gt;COUNT(Dong1),"",IF(OFFSET(TH!L$1,SMALL(Dong1,ROWS($1:126)),)="1111",OFFSET(TH!D$1,SMALL(Dong1,ROWS($1:126)),),""))</f>
        <v/>
      </c>
      <c r="D139" s="120" t="str">
        <f ca="1">IF(ROWS($1:126)&gt;COUNT(Dong1),"",IF(OFFSET(TH!M$1,SMALL(Dong1,ROWS($1:126)),)="1111",OFFSET(TH!D$1,SMALL(Dong1,ROWS($1:126)),),""))</f>
        <v>C49</v>
      </c>
      <c r="E139" s="215" t="str">
        <f ca="1">IF(ROWS($1:126)&gt;COUNT(Dong1),"",OFFSET(TH!F$1,SMALL(Dong1,ROWS($1:126)),))</f>
        <v>VAT Dầu DO</v>
      </c>
      <c r="F139" s="122" t="str">
        <f ca="1">IF(ROWS($1:126)&gt;COUNT(Dong1),"",IF(OFFSET(TH!M$1,SMALL(Dong1,ROWS($1:126)),)="1111",OFFSET(TH!L$1,SMALL(Dong1,ROWS($1:126)),),OFFSET(TH!M$1,SMALL(Dong1,ROWS($1:126)),)))</f>
        <v>1331</v>
      </c>
      <c r="G139" s="123">
        <f ca="1">IF(ROWS($1:126)&gt;COUNT(Dong1),"",IF(OFFSET(TH!L$1,SMALL(Dong1,ROWS($1:126)),)="1111",OFFSET(TH!K$1,SMALL(Dong1,ROWS($1:126)),),0))</f>
        <v>0</v>
      </c>
      <c r="H139" s="121">
        <f ca="1">IF(ROWS($1:126)&gt;COUNT(Dong1),"",IF(OFFSET(TH!M$1,SMALL(Dong1,ROWS($1:126)),)="1111",OFFSET(TH!K$1,SMALL(Dong1,ROWS($1:126)),),0))</f>
        <v>1800006</v>
      </c>
      <c r="I139" s="119">
        <f t="shared" ca="1" si="6"/>
        <v>2332685931</v>
      </c>
      <c r="J139" s="124"/>
      <c r="N139" s="605"/>
      <c r="O139" s="605"/>
    </row>
    <row r="140" spans="1:15" ht="21.75" customHeight="1">
      <c r="A140" s="118">
        <f ca="1">IF(ROWS($1:127)&gt;COUNT(Dong1),"",OFFSET(TH!C$1,SMALL(Dong1,ROWS($1:127)),))</f>
        <v>42369</v>
      </c>
      <c r="B140" s="118">
        <f ca="1">IF(ROWS($1:127)&gt;COUNT(Dong1),"",OFFSET(TH!E$1,SMALL(Dong1,ROWS($1:127)),))</f>
        <v>42369</v>
      </c>
      <c r="C140" s="119" t="str">
        <f ca="1">IF(ROWS($1:127)&gt;COUNT(Dong1),"",IF(OFFSET(TH!L$1,SMALL(Dong1,ROWS($1:127)),)="1111",OFFSET(TH!D$1,SMALL(Dong1,ROWS($1:127)),),""))</f>
        <v>T46</v>
      </c>
      <c r="D140" s="120" t="str">
        <f ca="1">IF(ROWS($1:127)&gt;COUNT(Dong1),"",IF(OFFSET(TH!M$1,SMALL(Dong1,ROWS($1:127)),)="1111",OFFSET(TH!D$1,SMALL(Dong1,ROWS($1:127)),),""))</f>
        <v/>
      </c>
      <c r="E140" s="215" t="str">
        <f ca="1">IF(ROWS($1:127)&gt;COUNT(Dong1),"",OFFSET(TH!F$1,SMALL(Dong1,ROWS($1:127)),))</f>
        <v>Thu tiền hàng</v>
      </c>
      <c r="F140" s="122" t="str">
        <f ca="1">IF(ROWS($1:127)&gt;COUNT(Dong1),"",IF(OFFSET(TH!M$1,SMALL(Dong1,ROWS($1:127)),)="1111",OFFSET(TH!L$1,SMALL(Dong1,ROWS($1:127)),),OFFSET(TH!M$1,SMALL(Dong1,ROWS($1:127)),)))</f>
        <v>131</v>
      </c>
      <c r="G140" s="123">
        <f ca="1">IF(ROWS($1:127)&gt;COUNT(Dong1),"",IF(OFFSET(TH!L$1,SMALL(Dong1,ROWS($1:127)),)="1111",OFFSET(TH!K$1,SMALL(Dong1,ROWS($1:127)),),0))</f>
        <v>19645340</v>
      </c>
      <c r="H140" s="121">
        <f ca="1">IF(ROWS($1:127)&gt;COUNT(Dong1),"",IF(OFFSET(TH!M$1,SMALL(Dong1,ROWS($1:127)),)="1111",OFFSET(TH!K$1,SMALL(Dong1,ROWS($1:127)),),0))</f>
        <v>0</v>
      </c>
      <c r="I140" s="119">
        <f t="shared" ca="1" si="6"/>
        <v>2352331271</v>
      </c>
      <c r="J140" s="124"/>
      <c r="N140" s="605"/>
      <c r="O140" s="605"/>
    </row>
    <row r="141" spans="1:15" ht="21.75" customHeight="1">
      <c r="A141" s="118" t="str">
        <f ca="1">IF(ROWS($1:128)&gt;COUNT(Dong1),"",OFFSET(TH!C$1,SMALL(Dong1,ROWS($1:128)),))</f>
        <v/>
      </c>
      <c r="B141" s="118" t="str">
        <f ca="1">IF(ROWS($1:128)&gt;COUNT(Dong1),"",OFFSET(TH!E$1,SMALL(Dong1,ROWS($1:128)),))</f>
        <v/>
      </c>
      <c r="C141" s="119" t="str">
        <f ca="1">IF(ROWS($1:128)&gt;COUNT(Dong1),"",IF(OFFSET(TH!L$1,SMALL(Dong1,ROWS($1:128)),)="1111",OFFSET(TH!D$1,SMALL(Dong1,ROWS($1:128)),),""))</f>
        <v/>
      </c>
      <c r="D141" s="120" t="str">
        <f ca="1">IF(ROWS($1:128)&gt;COUNT(Dong1),"",IF(OFFSET(TH!M$1,SMALL(Dong1,ROWS($1:128)),)="1111",OFFSET(TH!D$1,SMALL(Dong1,ROWS($1:128)),),""))</f>
        <v/>
      </c>
      <c r="E141" s="215" t="str">
        <f ca="1">IF(ROWS($1:128)&gt;COUNT(Dong1),"",OFFSET(TH!F$1,SMALL(Dong1,ROWS($1:128)),))</f>
        <v/>
      </c>
      <c r="F141" s="122" t="str">
        <f ca="1">IF(ROWS($1:128)&gt;COUNT(Dong1),"",IF(OFFSET(TH!M$1,SMALL(Dong1,ROWS($1:128)),)="1111",OFFSET(TH!L$1,SMALL(Dong1,ROWS($1:128)),),OFFSET(TH!M$1,SMALL(Dong1,ROWS($1:128)),)))</f>
        <v/>
      </c>
      <c r="G141" s="123" t="str">
        <f ca="1">IF(ROWS($1:128)&gt;COUNT(Dong1),"",IF(OFFSET(TH!L$1,SMALL(Dong1,ROWS($1:128)),)="1111",OFFSET(TH!K$1,SMALL(Dong1,ROWS($1:128)),),0))</f>
        <v/>
      </c>
      <c r="H141" s="121" t="str">
        <f ca="1">IF(ROWS($1:128)&gt;COUNT(Dong1),"",IF(OFFSET(TH!M$1,SMALL(Dong1,ROWS($1:128)),)="1111",OFFSET(TH!K$1,SMALL(Dong1,ROWS($1:128)),),0))</f>
        <v/>
      </c>
      <c r="I141" s="119">
        <f t="shared" ca="1" si="6"/>
        <v>0</v>
      </c>
      <c r="J141" s="124"/>
      <c r="N141" s="605"/>
      <c r="O141" s="605"/>
    </row>
    <row r="142" spans="1:15" ht="21.75" customHeight="1">
      <c r="A142" s="118" t="str">
        <f ca="1">IF(ROWS($1:129)&gt;COUNT(Dong1),"",OFFSET(TH!C$1,SMALL(Dong1,ROWS($1:129)),))</f>
        <v/>
      </c>
      <c r="B142" s="118" t="str">
        <f ca="1">IF(ROWS($1:129)&gt;COUNT(Dong1),"",OFFSET(TH!E$1,SMALL(Dong1,ROWS($1:129)),))</f>
        <v/>
      </c>
      <c r="C142" s="119" t="str">
        <f ca="1">IF(ROWS($1:129)&gt;COUNT(Dong1),"",IF(OFFSET(TH!L$1,SMALL(Dong1,ROWS($1:129)),)="1111",OFFSET(TH!D$1,SMALL(Dong1,ROWS($1:129)),),""))</f>
        <v/>
      </c>
      <c r="D142" s="120" t="str">
        <f ca="1">IF(ROWS($1:129)&gt;COUNT(Dong1),"",IF(OFFSET(TH!M$1,SMALL(Dong1,ROWS($1:129)),)="1111",OFFSET(TH!D$1,SMALL(Dong1,ROWS($1:129)),),""))</f>
        <v/>
      </c>
      <c r="E142" s="215" t="str">
        <f ca="1">IF(ROWS($1:129)&gt;COUNT(Dong1),"",OFFSET(TH!F$1,SMALL(Dong1,ROWS($1:129)),))</f>
        <v/>
      </c>
      <c r="F142" s="122" t="str">
        <f ca="1">IF(ROWS($1:129)&gt;COUNT(Dong1),"",IF(OFFSET(TH!M$1,SMALL(Dong1,ROWS($1:129)),)="1111",OFFSET(TH!L$1,SMALL(Dong1,ROWS($1:129)),),OFFSET(TH!M$1,SMALL(Dong1,ROWS($1:129)),)))</f>
        <v/>
      </c>
      <c r="G142" s="123" t="str">
        <f ca="1">IF(ROWS($1:129)&gt;COUNT(Dong1),"",IF(OFFSET(TH!L$1,SMALL(Dong1,ROWS($1:129)),)="1111",OFFSET(TH!K$1,SMALL(Dong1,ROWS($1:129)),),0))</f>
        <v/>
      </c>
      <c r="H142" s="121" t="str">
        <f ca="1">IF(ROWS($1:129)&gt;COUNT(Dong1),"",IF(OFFSET(TH!M$1,SMALL(Dong1,ROWS($1:129)),)="1111",OFFSET(TH!K$1,SMALL(Dong1,ROWS($1:129)),),0))</f>
        <v/>
      </c>
      <c r="I142" s="119">
        <f t="shared" ref="I142" ca="1" si="7">IF(E142&lt;&gt;"",I141+G142-H142,0)</f>
        <v>0</v>
      </c>
      <c r="J142" s="124"/>
      <c r="N142" s="605"/>
      <c r="O142" s="605"/>
    </row>
    <row r="143" spans="1:15" ht="21.75" customHeight="1">
      <c r="A143" s="125"/>
      <c r="B143" s="124"/>
      <c r="C143" s="124"/>
      <c r="D143" s="124"/>
      <c r="E143" s="216"/>
      <c r="F143" s="126"/>
      <c r="G143" s="124"/>
      <c r="H143" s="124"/>
      <c r="I143" s="119"/>
      <c r="J143" s="124"/>
    </row>
    <row r="144" spans="1:15" s="114" customFormat="1" ht="21.75" customHeight="1">
      <c r="A144" s="127"/>
      <c r="B144" s="127"/>
      <c r="C144" s="127"/>
      <c r="D144" s="127"/>
      <c r="E144" s="127" t="s">
        <v>133</v>
      </c>
      <c r="F144" s="128" t="s">
        <v>19</v>
      </c>
      <c r="G144" s="127">
        <f ca="1">SUM(G14:G143)</f>
        <v>681643803</v>
      </c>
      <c r="H144" s="127">
        <f ca="1">SUM(H14:H143)</f>
        <v>742155772</v>
      </c>
      <c r="I144" s="128" t="s">
        <v>19</v>
      </c>
      <c r="J144" s="128" t="s">
        <v>19</v>
      </c>
    </row>
    <row r="145" spans="1:12" s="114" customFormat="1" ht="21.75" customHeight="1">
      <c r="A145" s="129"/>
      <c r="B145" s="129"/>
      <c r="C145" s="129"/>
      <c r="D145" s="129"/>
      <c r="E145" s="129" t="s">
        <v>134</v>
      </c>
      <c r="F145" s="130" t="s">
        <v>19</v>
      </c>
      <c r="G145" s="130" t="s">
        <v>19</v>
      </c>
      <c r="H145" s="130" t="s">
        <v>19</v>
      </c>
      <c r="I145" s="131">
        <f ca="1">I13+G144-H144</f>
        <v>2352331271</v>
      </c>
      <c r="J145" s="130" t="s">
        <v>19</v>
      </c>
    </row>
    <row r="146" spans="1:12">
      <c r="L146" s="238" t="s">
        <v>155</v>
      </c>
    </row>
    <row r="147" spans="1:12">
      <c r="A147" s="132" t="s">
        <v>156</v>
      </c>
      <c r="L147" s="238" t="s">
        <v>156</v>
      </c>
    </row>
    <row r="148" spans="1:12">
      <c r="A148" s="178" t="str">
        <f ca="1">"- Ngày mở sổ: "&amp;DAY($A$14)&amp;"/"&amp;MONTH($A$14)&amp;"/ " &amp;YEAR($A$14)</f>
        <v>- Ngày mở sổ: 2/10/ 2015</v>
      </c>
      <c r="L148" s="238" t="s">
        <v>135</v>
      </c>
    </row>
    <row r="149" spans="1:12">
      <c r="I149" s="188" t="str">
        <f ca="1">"Ngày "&amp;IF(OR($L$11=4,$L$11=6,$L$11=9,$L$11=11),"30",IF($L$11=2,"28","31"))&amp;" tháng "&amp;$O$11&amp;"  năm  "&amp;YEAR($A$14)</f>
        <v>Ngày 31 tháng 12  năm  2015</v>
      </c>
      <c r="L149" s="238" t="s">
        <v>153</v>
      </c>
    </row>
    <row r="150" spans="1:12" s="133" customFormat="1" ht="14.25">
      <c r="C150" s="133" t="s">
        <v>11</v>
      </c>
      <c r="E150" s="133" t="s">
        <v>12</v>
      </c>
      <c r="I150" s="133" t="s">
        <v>109</v>
      </c>
    </row>
    <row r="151" spans="1:12" s="134" customFormat="1">
      <c r="C151" s="134" t="s">
        <v>13</v>
      </c>
      <c r="E151" s="134" t="s">
        <v>13</v>
      </c>
      <c r="I151" s="134" t="s">
        <v>136</v>
      </c>
    </row>
    <row r="152" spans="1:12" s="134" customFormat="1"/>
    <row r="153" spans="1:12" s="134" customFormat="1"/>
    <row r="154" spans="1:12" s="134" customFormat="1"/>
    <row r="155" spans="1:12" s="134" customFormat="1"/>
    <row r="158" spans="1:12" ht="15.75">
      <c r="C158" s="213"/>
      <c r="I158" s="214"/>
    </row>
    <row r="159" spans="1:12">
      <c r="E159" s="109">
        <f ca="1">SUMIF($D$14:$D$36,#REF!,H14:H36)</f>
        <v>0</v>
      </c>
    </row>
    <row r="162" spans="1:10">
      <c r="A162" s="109">
        <v>2</v>
      </c>
      <c r="B162" s="109">
        <v>3</v>
      </c>
      <c r="C162" s="109">
        <v>4</v>
      </c>
      <c r="D162" s="109">
        <v>5</v>
      </c>
      <c r="E162" s="109">
        <v>6</v>
      </c>
      <c r="F162" s="109">
        <v>9</v>
      </c>
      <c r="G162" s="109">
        <v>10</v>
      </c>
      <c r="H162" s="109">
        <v>11</v>
      </c>
      <c r="I162" s="109">
        <v>12</v>
      </c>
      <c r="J162" s="109">
        <v>13</v>
      </c>
    </row>
  </sheetData>
  <autoFilter ref="A12:J145"/>
  <sortState ref="A13:P167">
    <sortCondition ref="A13:A167"/>
  </sortState>
  <mergeCells count="15">
    <mergeCell ref="N10:O10"/>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42">
    <cfRule type="expression" dxfId="5" priority="1" stopIfTrue="1">
      <formula>$B14&lt;&gt;""</formula>
    </cfRule>
  </conditionalFormatting>
  <dataValidations count="1">
    <dataValidation type="list" allowBlank="1" showInputMessage="1" showErrorMessage="1" sqref="L11">
      <formula1>"All,Quý I, Quý II, Quý III, Quý IV"</formula1>
    </dataValidation>
  </dataValidations>
  <printOptions horizontalCentered="1"/>
  <pageMargins left="0.6" right="0.2" top="0.3" bottom="0.3" header="0.1" footer="0.1"/>
  <pageSetup paperSize="9" scale="80" orientation="portrait" r:id="rId1"/>
  <headerFooter alignWithMargins="0">
    <oddFooter>&amp;RTrang &amp;P/&amp;N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28" activePane="bottomLeft" state="frozen"/>
      <selection activeCell="B1" sqref="B1:B2"/>
      <selection pane="bottomLeft" activeCell="W5" sqref="W5"/>
    </sheetView>
  </sheetViews>
  <sheetFormatPr defaultRowHeight="15"/>
  <cols>
    <col min="1" max="1" width="3.7109375" style="60" customWidth="1"/>
    <col min="2" max="2" width="5.28515625" style="60" customWidth="1"/>
    <col min="3" max="3" width="15.140625" style="60" customWidth="1"/>
    <col min="4" max="4" width="16" style="60" customWidth="1"/>
    <col min="5" max="5" width="3.85546875" style="60" customWidth="1"/>
    <col min="6" max="6" width="6" style="60" customWidth="1"/>
    <col min="7" max="8" width="6.7109375" style="60" customWidth="1"/>
    <col min="9" max="9" width="10.42578125" style="60" customWidth="1"/>
    <col min="10" max="10" width="5.85546875" style="60" customWidth="1"/>
    <col min="11" max="11" width="8.28515625" style="60" customWidth="1"/>
    <col min="12" max="12" width="5" style="60" customWidth="1"/>
    <col min="13" max="13" width="6.42578125" style="60" customWidth="1"/>
    <col min="14" max="14" width="3.140625" style="60" customWidth="1"/>
    <col min="15" max="15" width="6.42578125" style="60" customWidth="1"/>
    <col min="16" max="16" width="5" style="95" customWidth="1"/>
    <col min="17" max="17" width="6.7109375" style="60" customWidth="1"/>
    <col min="18" max="18" width="1.5703125" style="60" customWidth="1"/>
    <col min="19" max="19" width="5.7109375" style="60" customWidth="1"/>
    <col min="20" max="20" width="1.5703125" style="60" customWidth="1"/>
    <col min="21" max="21" width="5" style="60" customWidth="1"/>
    <col min="22" max="22" width="1.5703125" style="60" customWidth="1"/>
    <col min="23" max="23" width="5.5703125" style="60" customWidth="1"/>
  </cols>
  <sheetData>
    <row r="1" spans="1:23" ht="13.5" customHeight="1">
      <c r="B1" s="58" t="str">
        <f>TH!A1</f>
        <v>Đơn vị: CÔNG TY TNHH MỘT THÀNH VIÊN KHỞI NGUYÊN AN</v>
      </c>
      <c r="C1" s="69"/>
      <c r="D1" s="59"/>
      <c r="E1" s="59"/>
      <c r="F1" s="59"/>
      <c r="G1" s="59"/>
      <c r="I1" s="61"/>
      <c r="L1" s="62" t="str">
        <f>+IF(LEFT($U$4,1)="T","Mẫu số 01 - TT","Mẫu số 02 - TT")</f>
        <v>Mẫu số 02 - TT</v>
      </c>
      <c r="N1" s="63"/>
      <c r="O1" s="63"/>
      <c r="P1" s="64"/>
      <c r="Q1" s="65"/>
      <c r="R1" s="65"/>
      <c r="S1" s="65"/>
      <c r="T1" s="65"/>
      <c r="U1" s="65"/>
      <c r="V1" s="66"/>
      <c r="W1" s="65"/>
    </row>
    <row r="2" spans="1:23" ht="13.5" customHeight="1">
      <c r="B2" s="1032" t="str">
        <f>TH!A2</f>
        <v>Địa chỉ: Thửa đất số 144, tờ bản đồ số 12TĐH.1, tổ 1, khu phố Đông Tác, Phường Tân Đông Hiệp, Thị Xã Dĩ An, Tỉnh Bình Dương, Việt Nam</v>
      </c>
      <c r="C2" s="1032"/>
      <c r="D2" s="1032"/>
      <c r="E2" s="1032"/>
      <c r="F2" s="1032"/>
      <c r="G2" s="1032"/>
      <c r="H2" s="1032"/>
      <c r="I2" s="1032"/>
      <c r="L2" s="70" t="str">
        <f>IF($Q$4&gt;=2015,"(Ban hành theo Thông tư số 200/2014/TT-BTC ","(Ban hành kèm theo QĐ 48/2006/QĐ-BTC")</f>
        <v>(Ban hành kèm theo QĐ 48/2006/QĐ-BTC</v>
      </c>
      <c r="N2" s="71"/>
      <c r="O2" s="71"/>
      <c r="P2" s="64"/>
      <c r="Q2" s="65"/>
      <c r="R2" s="65"/>
      <c r="S2" s="65"/>
      <c r="T2" s="65"/>
      <c r="U2" s="65"/>
      <c r="V2" s="72"/>
      <c r="W2" s="73" t="s">
        <v>104</v>
      </c>
    </row>
    <row r="3" spans="1:23" ht="13.5" customHeight="1" thickBot="1">
      <c r="B3" s="1032"/>
      <c r="C3" s="1032"/>
      <c r="D3" s="1032"/>
      <c r="E3" s="1032"/>
      <c r="F3" s="1032"/>
      <c r="G3" s="1032"/>
      <c r="H3" s="1032"/>
      <c r="I3" s="1032"/>
      <c r="L3" s="70" t="str">
        <f>IF($Q$4=2015,"Ngày 22/12/2014 của Bộ Tài chính)","ngày 24/09/2006 của Bộ trưởng BTC)")</f>
        <v>ngày 24/09/2006 của Bộ trưởng BTC)</v>
      </c>
      <c r="N3" s="71"/>
      <c r="O3" s="71"/>
      <c r="P3" s="74"/>
      <c r="Q3" s="459"/>
      <c r="R3" s="193"/>
      <c r="S3" s="194" t="s">
        <v>321</v>
      </c>
      <c r="T3" s="193"/>
      <c r="U3" s="194" t="s">
        <v>105</v>
      </c>
      <c r="V3" s="72"/>
      <c r="W3" s="73" t="s">
        <v>105</v>
      </c>
    </row>
    <row r="4" spans="1:23" ht="22.5" thickBot="1">
      <c r="B4" s="69"/>
      <c r="C4" s="59"/>
      <c r="D4" s="59"/>
      <c r="E4" s="59"/>
      <c r="G4" s="75"/>
      <c r="H4" s="76" t="str">
        <f>IF(LEFT($U$4,1)="T","PHIẾU THU","PHIẾU CHI")</f>
        <v>PHIẾU CHI</v>
      </c>
      <c r="J4" s="75"/>
      <c r="K4" s="77"/>
      <c r="M4" s="77"/>
      <c r="N4" s="77"/>
      <c r="O4" s="77"/>
      <c r="P4" s="78"/>
      <c r="Q4" s="460"/>
      <c r="R4" s="79"/>
      <c r="S4" s="586">
        <v>3</v>
      </c>
      <c r="T4" s="79"/>
      <c r="U4" s="461" t="s">
        <v>4</v>
      </c>
      <c r="V4" s="105"/>
      <c r="W4" s="462">
        <v>34</v>
      </c>
    </row>
    <row r="5" spans="1:23">
      <c r="B5" s="69"/>
      <c r="C5" s="59"/>
      <c r="D5" s="59"/>
      <c r="E5" s="59"/>
      <c r="G5" s="75"/>
      <c r="H5" s="80" t="str">
        <f>IF(ISNA(VLOOKUP($M$7,TM,3,0)),"","Ngày  "&amp;DAY(VLOOKUP($M$7,TM,3,0))&amp;"  tháng  "&amp;MONTH(VLOOKUP($M$7,TM,3,0))&amp;"  năm  "&amp;YEAR(VLOOKUP($M$7,TM,3,0)))</f>
        <v>Ngày  30  tháng  9  năm  2015</v>
      </c>
      <c r="J5" s="75"/>
      <c r="K5" s="77"/>
      <c r="M5" s="77"/>
      <c r="N5" s="77"/>
      <c r="O5" s="77"/>
      <c r="P5" s="78"/>
      <c r="Q5" s="459"/>
      <c r="V5" s="68"/>
      <c r="W5" s="73"/>
    </row>
    <row r="6" spans="1:23" ht="13.5">
      <c r="A6" s="83"/>
      <c r="B6" s="81"/>
      <c r="C6" s="82"/>
      <c r="D6" s="82"/>
      <c r="E6" s="82"/>
      <c r="F6" s="83"/>
      <c r="G6" s="84"/>
      <c r="H6" s="84"/>
      <c r="I6" s="84"/>
      <c r="J6" s="83"/>
      <c r="K6" s="83"/>
      <c r="L6" s="85" t="str">
        <f>"Quyển số: 0"&amp;$S$4</f>
        <v>Quyển số: 03</v>
      </c>
      <c r="M6" s="83"/>
      <c r="N6" s="83"/>
      <c r="O6" s="86"/>
      <c r="P6" s="87"/>
      <c r="Q6" s="83"/>
      <c r="R6" s="83"/>
      <c r="S6" s="83"/>
      <c r="T6" s="83"/>
      <c r="U6" s="83"/>
      <c r="V6" s="88"/>
      <c r="W6" s="73"/>
    </row>
    <row r="7" spans="1:23" ht="13.5" customHeight="1">
      <c r="A7" s="83"/>
      <c r="B7" s="83"/>
      <c r="C7" s="83"/>
      <c r="D7" s="83"/>
      <c r="E7" s="81"/>
      <c r="F7" s="84"/>
      <c r="G7" s="84"/>
      <c r="H7" s="84"/>
      <c r="I7" s="84"/>
      <c r="J7" s="83"/>
      <c r="K7" s="83"/>
      <c r="L7" s="89" t="str">
        <f>"Số :    "</f>
        <v xml:space="preserve">Số :    </v>
      </c>
      <c r="M7" s="90" t="str">
        <f>$U$4&amp;IF($W$4&gt;=10,$W$4,"0"&amp;$W$4)</f>
        <v>C34</v>
      </c>
      <c r="N7" s="86"/>
      <c r="O7" s="86"/>
      <c r="P7" s="87"/>
      <c r="Q7" s="83"/>
      <c r="R7" s="83"/>
      <c r="S7" s="83"/>
      <c r="T7" s="83"/>
      <c r="U7" s="83"/>
      <c r="V7" s="83"/>
      <c r="W7" s="83"/>
    </row>
    <row r="8" spans="1:23" ht="13.5">
      <c r="A8" s="83"/>
      <c r="B8" s="83"/>
      <c r="C8" s="83"/>
      <c r="D8" s="83"/>
      <c r="E8" s="81"/>
      <c r="F8" s="81"/>
      <c r="G8" s="81"/>
      <c r="H8" s="81"/>
      <c r="I8" s="81"/>
      <c r="J8" s="83"/>
      <c r="K8" s="91"/>
      <c r="L8" s="85" t="s">
        <v>106</v>
      </c>
      <c r="M8" s="92" t="str">
        <f>IF($U$4="T","1111",IF($U$4="C",IF(ISNA(VLOOKUP($M$7,TM,13,0)),"",VLOOKUP($M$7,TM,12,0)),""))</f>
        <v>3341</v>
      </c>
      <c r="N8" s="86"/>
      <c r="O8" s="86"/>
      <c r="P8" s="93"/>
      <c r="Q8" s="83"/>
      <c r="R8" s="83"/>
      <c r="S8" s="83"/>
      <c r="T8" s="83"/>
      <c r="U8" s="83"/>
      <c r="V8" s="83"/>
      <c r="W8" s="83"/>
    </row>
    <row r="9" spans="1:23" ht="13.5">
      <c r="A9" s="83"/>
      <c r="B9" s="83"/>
      <c r="C9" s="83"/>
      <c r="D9" s="83"/>
      <c r="E9" s="81"/>
      <c r="F9" s="81"/>
      <c r="G9" s="81"/>
      <c r="H9" s="81"/>
      <c r="I9" s="81"/>
      <c r="J9" s="83"/>
      <c r="K9" s="91"/>
      <c r="L9" s="89" t="s">
        <v>107</v>
      </c>
      <c r="M9" s="92" t="str">
        <f>IF($U$4="C","1111",IF($U$4="T",IF(ISNA(VLOOKUP($M$7,TM,12,0)),"",VLOOKUP($M$7,TM,13,0)),""))</f>
        <v>1111</v>
      </c>
      <c r="N9" s="86"/>
      <c r="O9" s="86"/>
      <c r="P9" s="93"/>
      <c r="Q9" s="83"/>
      <c r="R9" s="83"/>
      <c r="S9" s="83"/>
      <c r="T9" s="83"/>
      <c r="U9" s="83"/>
      <c r="V9" s="83"/>
      <c r="W9" s="83"/>
    </row>
    <row r="10" spans="1:23">
      <c r="A10" s="83"/>
      <c r="B10" s="83"/>
      <c r="C10" s="94" t="str">
        <f>IF($U$4="T","Họ tên người nộp tiền :","Họ và tên người nhận tiền :")&amp;" "&amp;IF(ISNA(VLOOKUP($M$7,TM,8,0)),"",VLOOKUP($M$7,TM,8,0))</f>
        <v>Họ và tên người nhận tiền : Mai Thị Hường</v>
      </c>
      <c r="D10" s="81"/>
      <c r="E10" s="83"/>
      <c r="F10" s="81"/>
      <c r="G10" s="81"/>
      <c r="H10" s="81"/>
      <c r="I10" s="81"/>
      <c r="J10" s="83"/>
      <c r="K10" s="81"/>
      <c r="L10" s="89"/>
      <c r="M10" s="92"/>
      <c r="N10" s="86"/>
      <c r="O10" s="81"/>
      <c r="P10" s="87"/>
      <c r="Q10" s="83"/>
      <c r="R10" s="83"/>
      <c r="S10" s="83"/>
      <c r="T10" s="83"/>
      <c r="U10" s="83"/>
      <c r="V10" s="83"/>
      <c r="W10" s="83"/>
    </row>
    <row r="11" spans="1:23">
      <c r="C11" s="94" t="str">
        <f>"Địa chỉ :"</f>
        <v>Địa chỉ :</v>
      </c>
      <c r="E11" s="94"/>
      <c r="F11" s="94"/>
      <c r="G11" s="94"/>
      <c r="H11" s="94"/>
      <c r="I11" s="94"/>
      <c r="J11" s="94"/>
      <c r="K11" s="94"/>
      <c r="L11" s="94"/>
      <c r="M11" s="94"/>
      <c r="N11" s="94"/>
      <c r="O11" s="94"/>
      <c r="P11" s="74"/>
    </row>
    <row r="12" spans="1:23">
      <c r="C12" s="94" t="str">
        <f>IF($U$4="T","Lý do nộp :","Lý do chi :")&amp;" "&amp;IF(ISNA(VLOOKUP($M$7,TM,6,0)),"",VLOOKUP($M$7,TM,6,0))</f>
        <v>Lý do chi : Thanh toán lương T09/2015</v>
      </c>
      <c r="E12" s="94"/>
      <c r="F12" s="94"/>
      <c r="G12" s="94"/>
      <c r="H12" s="94"/>
      <c r="I12" s="94"/>
      <c r="J12" s="94"/>
      <c r="K12" s="94"/>
      <c r="L12" s="94"/>
      <c r="M12" s="94"/>
      <c r="N12" s="94"/>
      <c r="O12" s="94"/>
    </row>
    <row r="13" spans="1:23">
      <c r="C13" s="60" t="s">
        <v>118</v>
      </c>
      <c r="D13" s="96">
        <f ca="1">SUMIF(TM,$M$7,TH)</f>
        <v>12994047</v>
      </c>
      <c r="E13" s="60" t="s">
        <v>108</v>
      </c>
      <c r="F13" s="96"/>
      <c r="G13" s="96"/>
      <c r="P13" s="60"/>
    </row>
    <row r="14" spans="1:23">
      <c r="C14" s="60" t="str">
        <f ca="1">"Viết bằng chữ: " &amp;[25]!VND('IN-TC'!D13, TRUE)</f>
        <v>Viết bằng chữ: Mười hai triệu, chín trăm chín mươi bốn ngàn, không trăm bốn mươi bảy đồng</v>
      </c>
      <c r="P14" s="74"/>
    </row>
    <row r="15" spans="1:23">
      <c r="C15" s="94" t="str">
        <f>"Kèm theo :     " &amp;IF(OR(ISNA(VLOOKUP($M$7,TM,7,0)),VLOOKUP($M$7,TM,7,0)=""),"                           ",IF(VLOOKUP($M$7,TM,7,0)&lt;&gt;"","    HĐ  "&amp;(VLOOKUP($M$7,TM,7,0)))) &amp; "     chứng từ gốc. "</f>
        <v xml:space="preserve">Kèm theo :                                     chứng từ gốc. </v>
      </c>
      <c r="D15" s="94"/>
      <c r="F15" s="94"/>
      <c r="G15" s="94"/>
      <c r="H15" s="94"/>
      <c r="I15" s="94"/>
      <c r="J15" s="94"/>
      <c r="K15" s="94"/>
      <c r="L15" s="94"/>
      <c r="M15" s="94"/>
      <c r="N15" s="94"/>
      <c r="O15" s="94"/>
      <c r="P15" s="97"/>
    </row>
    <row r="16" spans="1:23">
      <c r="K16" s="98"/>
      <c r="L16" s="98"/>
      <c r="M16" s="106" t="str">
        <f>H5</f>
        <v>Ngày  30  tháng  9  năm  2015</v>
      </c>
      <c r="N16" s="98"/>
      <c r="O16" s="98"/>
      <c r="P16" s="60"/>
    </row>
    <row r="17" spans="1:23">
      <c r="C17" s="99" t="s">
        <v>109</v>
      </c>
      <c r="D17" s="100"/>
      <c r="E17" s="99" t="s">
        <v>12</v>
      </c>
      <c r="F17" s="100"/>
      <c r="G17" s="100"/>
      <c r="H17" s="99" t="str">
        <f>IF($U$4="C","Thủ quỹ","Người nộp tiền")</f>
        <v>Thủ quỹ</v>
      </c>
      <c r="J17" s="99" t="s">
        <v>110</v>
      </c>
      <c r="K17" s="100"/>
      <c r="M17" s="101" t="str">
        <f>IF($U$4="T","Thủ quỹ","Người nhận tiền")</f>
        <v>Người nhận tiền</v>
      </c>
      <c r="N17" s="102"/>
      <c r="O17" s="102"/>
      <c r="P17" s="60"/>
    </row>
    <row r="18" spans="1:23">
      <c r="A18" s="100"/>
      <c r="B18" s="100"/>
      <c r="C18" s="103" t="s">
        <v>111</v>
      </c>
      <c r="E18" s="103" t="s">
        <v>112</v>
      </c>
      <c r="H18" s="103" t="s">
        <v>112</v>
      </c>
      <c r="I18" s="100"/>
      <c r="J18" s="103" t="s">
        <v>112</v>
      </c>
      <c r="L18" s="100"/>
      <c r="M18" s="103" t="s">
        <v>112</v>
      </c>
      <c r="P18" s="100"/>
      <c r="Q18" s="100"/>
      <c r="R18" s="100"/>
      <c r="S18" s="100"/>
      <c r="T18" s="100"/>
      <c r="U18" s="100"/>
      <c r="V18" s="100"/>
      <c r="W18" s="100"/>
    </row>
    <row r="19" spans="1:23">
      <c r="P19" s="60"/>
    </row>
    <row r="20" spans="1:23">
      <c r="P20" s="60"/>
    </row>
    <row r="21" spans="1:23">
      <c r="P21" s="60"/>
    </row>
    <row r="22" spans="1:23">
      <c r="P22" s="60"/>
    </row>
    <row r="23" spans="1:23">
      <c r="I23" s="67"/>
      <c r="P23" s="60"/>
    </row>
    <row r="24" spans="1:23">
      <c r="C24" s="204"/>
      <c r="H24" s="204"/>
      <c r="J24" s="204"/>
      <c r="M24" s="204"/>
      <c r="P24" s="60"/>
    </row>
    <row r="25" spans="1:23">
      <c r="B25" s="60" t="s">
        <v>113</v>
      </c>
      <c r="P25" s="60"/>
    </row>
    <row r="26" spans="1:23">
      <c r="B26" s="94"/>
      <c r="C26" s="94" t="s">
        <v>114</v>
      </c>
      <c r="D26" s="94"/>
      <c r="E26" s="94"/>
      <c r="F26" s="94"/>
      <c r="G26" s="94"/>
      <c r="H26" s="94"/>
      <c r="I26" s="94"/>
      <c r="J26" s="94"/>
      <c r="K26" s="94"/>
      <c r="L26" s="94"/>
      <c r="M26" s="94"/>
      <c r="N26" s="94"/>
      <c r="O26" s="94"/>
      <c r="P26" s="60"/>
    </row>
    <row r="27" spans="1:23">
      <c r="B27" s="94"/>
      <c r="C27" s="94" t="s">
        <v>115</v>
      </c>
      <c r="D27" s="94"/>
      <c r="E27" s="94"/>
      <c r="F27" s="94"/>
      <c r="G27" s="94"/>
      <c r="H27" s="94"/>
      <c r="I27" s="94"/>
      <c r="J27" s="94"/>
      <c r="K27" s="94"/>
      <c r="L27" s="94"/>
      <c r="M27" s="94"/>
      <c r="N27" s="94"/>
      <c r="O27" s="94"/>
      <c r="P27" s="60"/>
    </row>
    <row r="46" spans="5:5">
      <c r="E46" s="104"/>
    </row>
    <row r="47" spans="5:5">
      <c r="E47" s="104"/>
    </row>
    <row r="48" spans="5:5">
      <c r="E48" s="104"/>
    </row>
    <row r="49" spans="5:5">
      <c r="E49" s="104"/>
    </row>
    <row r="50" spans="5:5">
      <c r="E50" s="104"/>
    </row>
    <row r="51" spans="5:5">
      <c r="E51" s="104"/>
    </row>
    <row r="52" spans="5:5">
      <c r="E52" s="104"/>
    </row>
    <row r="53" spans="5:5">
      <c r="E53" s="104"/>
    </row>
    <row r="54" spans="5:5">
      <c r="E54" s="104"/>
    </row>
    <row r="55" spans="5:5">
      <c r="E55" s="104"/>
    </row>
    <row r="56" spans="5:5">
      <c r="E56" s="104"/>
    </row>
    <row r="57" spans="5:5">
      <c r="E57" s="104"/>
    </row>
    <row r="58" spans="5:5">
      <c r="E58" s="104"/>
    </row>
    <row r="59" spans="5:5">
      <c r="E59" s="104"/>
    </row>
    <row r="60" spans="5:5">
      <c r="E60" s="104"/>
    </row>
    <row r="61" spans="5:5">
      <c r="E61" s="104"/>
    </row>
  </sheetData>
  <dataConsolidate/>
  <mergeCells count="1">
    <mergeCell ref="B2:I3"/>
  </mergeCells>
  <conditionalFormatting sqref="G8:G9 D7:D9">
    <cfRule type="expression" dxfId="4" priority="2" stopIfTrue="1">
      <formula>TYPE(B6)=16</formula>
    </cfRule>
  </conditionalFormatting>
  <conditionalFormatting sqref="D10">
    <cfRule type="expression" dxfId="3"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"01,02,03,04"</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94"/>
  <sheetViews>
    <sheetView topLeftCell="A6" workbookViewId="0">
      <pane ySplit="6" topLeftCell="A42" activePane="bottomLeft" state="frozen"/>
      <selection activeCell="A6" sqref="A6"/>
      <selection pane="bottomLeft" activeCell="K9" sqref="K9"/>
    </sheetView>
  </sheetViews>
  <sheetFormatPr defaultRowHeight="15.75"/>
  <cols>
    <col min="1" max="1" width="7.7109375" style="173" customWidth="1"/>
    <col min="2" max="2" width="6" style="174" customWidth="1"/>
    <col min="3" max="3" width="7.7109375" style="173" customWidth="1"/>
    <col min="4" max="4" width="38.7109375" style="172" customWidth="1"/>
    <col min="5" max="5" width="7.5703125" style="172" customWidth="1"/>
    <col min="6" max="6" width="14.28515625" style="172" customWidth="1"/>
    <col min="7" max="7" width="14.5703125" style="172" customWidth="1"/>
    <col min="8" max="8" width="14.7109375" style="418" customWidth="1"/>
    <col min="9" max="9" width="6.5703125" style="172" customWidth="1"/>
    <col min="10" max="10" width="2.85546875" style="172" customWidth="1"/>
    <col min="11" max="11" width="9.140625" style="172" customWidth="1"/>
    <col min="12" max="12" width="3.28515625" style="172" customWidth="1"/>
    <col min="13" max="13" width="8" style="172" customWidth="1"/>
    <col min="14" max="15" width="3.85546875" style="172" hidden="1" customWidth="1"/>
    <col min="16" max="16" width="1.7109375" style="172" customWidth="1"/>
    <col min="17" max="17" width="12.85546875" style="172" bestFit="1" customWidth="1"/>
    <col min="18" max="18" width="12.7109375" style="172" customWidth="1"/>
    <col min="19" max="19" width="15.140625" style="172" customWidth="1"/>
    <col min="20" max="20" width="12" style="172" bestFit="1" customWidth="1"/>
    <col min="21" max="16384" width="9.140625" style="172"/>
  </cols>
  <sheetData>
    <row r="1" spans="1:20" s="138" customFormat="1" ht="16.5" customHeight="1">
      <c r="A1" s="89" t="str">
        <f>TH!A1</f>
        <v>Đơn vị: CÔNG TY TNHH MỘT THÀNH VIÊN KHỞI NGUYÊN AN</v>
      </c>
      <c r="B1" s="139"/>
      <c r="C1" s="140"/>
      <c r="F1" s="217"/>
      <c r="G1" s="219" t="s">
        <v>154</v>
      </c>
      <c r="H1" s="567"/>
      <c r="I1" s="217"/>
      <c r="K1" s="773"/>
      <c r="L1" s="773"/>
    </row>
    <row r="2" spans="1:20" s="138" customFormat="1" ht="16.5" customHeight="1">
      <c r="A2" s="220" t="str">
        <f>TH!A2</f>
        <v>Địa chỉ: Thửa đất số 144, tờ bản đồ số 12TĐH.1, tổ 1, khu phố Đông Tác, Phường Tân Đông Hiệp, Thị Xã Dĩ An, Tỉnh Bình Dương, Việt Nam</v>
      </c>
      <c r="B2" s="175"/>
      <c r="C2" s="175"/>
      <c r="D2" s="175"/>
      <c r="F2" s="1033" t="str">
        <f ca="1">IF(YEAR($A$12)&gt;=2015,"(Ban hành theo Thông tư số 200/2014/TT-BTC  Ngày 22/12/2014 của Bộ Tài chính)","(Ban hành kèm theo QĐ 48/2006/QĐ-BTC ngày 24/09/2006 của Bộ trưởng BTC)")</f>
        <v>(Ban hành theo Thông tư số 200/2014/TT-BTC  Ngày 22/12/2014 của Bộ Tài chính)</v>
      </c>
      <c r="G2" s="1033"/>
      <c r="H2" s="1033"/>
      <c r="I2" s="218"/>
      <c r="K2" s="774"/>
      <c r="L2" s="774"/>
    </row>
    <row r="3" spans="1:20" s="138" customFormat="1" ht="16.5" customHeight="1">
      <c r="A3" s="175"/>
      <c r="B3" s="175"/>
      <c r="C3" s="175"/>
      <c r="D3" s="175"/>
      <c r="F3" s="1033"/>
      <c r="G3" s="1033"/>
      <c r="H3" s="1033"/>
      <c r="I3" s="218"/>
    </row>
    <row r="4" spans="1:20" s="138" customFormat="1" ht="19.5" customHeight="1">
      <c r="A4" s="1036" t="s">
        <v>137</v>
      </c>
      <c r="B4" s="1036"/>
      <c r="C4" s="1036"/>
      <c r="D4" s="1036"/>
      <c r="E4" s="1036"/>
      <c r="F4" s="1036"/>
      <c r="G4" s="1036"/>
      <c r="H4" s="1036"/>
      <c r="I4" s="1036"/>
    </row>
    <row r="5" spans="1:20" s="138" customFormat="1" ht="15">
      <c r="A5" s="1037" t="str">
        <f>"Nơi mở tài khoản giao dịch:  "&amp;IF($M$9="ACB"," Ngân Hàng ACB"," Ngân Hàng Eximbank - Chi Nhánh Chợ Lớn")</f>
        <v>Nơi mở tài khoản giao dịch:   Ngân Hàng Eximbank - Chi Nhánh Chợ Lớn</v>
      </c>
      <c r="B5" s="1037"/>
      <c r="C5" s="1037"/>
      <c r="D5" s="1037"/>
      <c r="E5" s="1037"/>
      <c r="F5" s="1037"/>
      <c r="G5" s="1037"/>
      <c r="H5" s="1037"/>
      <c r="I5" s="1037"/>
    </row>
    <row r="6" spans="1:20" s="138" customFormat="1" ht="15">
      <c r="D6" s="247" t="s">
        <v>158</v>
      </c>
      <c r="E6" s="1037" t="str">
        <f>IF($M$9="ACB","100983119","1004 148 5104 6511")</f>
        <v>1004 148 5104 6511</v>
      </c>
      <c r="F6" s="1037"/>
      <c r="G6" s="1037"/>
      <c r="H6" s="568" t="s">
        <v>108</v>
      </c>
      <c r="I6" s="248" t="str">
        <f>IF(H6="VNĐ","1121",IF(H6="USD","1122",""))</f>
        <v>1121</v>
      </c>
      <c r="N6" s="1027" t="s">
        <v>317</v>
      </c>
      <c r="O6" s="1027"/>
      <c r="Q6" s="1034" t="s">
        <v>259</v>
      </c>
      <c r="R6" s="1034" t="s">
        <v>415</v>
      </c>
      <c r="S6" s="1034" t="s">
        <v>318</v>
      </c>
    </row>
    <row r="7" spans="1:20" s="138" customFormat="1" ht="8.25" customHeight="1" thickBot="1">
      <c r="A7" s="141"/>
      <c r="B7" s="142"/>
      <c r="C7" s="141"/>
      <c r="D7" s="142"/>
      <c r="E7" s="142"/>
      <c r="F7" s="142"/>
      <c r="G7" s="142"/>
      <c r="H7" s="569"/>
      <c r="I7" s="142"/>
      <c r="Q7" s="1035"/>
      <c r="R7" s="1035"/>
      <c r="S7" s="1035"/>
    </row>
    <row r="8" spans="1:20" s="143" customFormat="1" ht="22.5" customHeight="1" thickBot="1">
      <c r="A8" s="1040" t="s">
        <v>138</v>
      </c>
      <c r="B8" s="1042" t="s">
        <v>1</v>
      </c>
      <c r="C8" s="1043"/>
      <c r="D8" s="1038" t="s">
        <v>0</v>
      </c>
      <c r="E8" s="1044" t="s">
        <v>14</v>
      </c>
      <c r="F8" s="1046" t="s">
        <v>139</v>
      </c>
      <c r="G8" s="1046"/>
      <c r="H8" s="1043"/>
      <c r="I8" s="1038" t="s">
        <v>127</v>
      </c>
      <c r="K8" s="136"/>
      <c r="L8" s="138"/>
      <c r="N8" s="575">
        <f>IF(K9="Quý I",1,IF(K9="Quý II",4,IF(K9="Quý III",7,IF(K9="Quý IV",10,""))))</f>
        <v>1</v>
      </c>
      <c r="O8" s="576">
        <f>IF(K9="Quý I",3,IF(K9="Quý II",6,IF(K9="Quý III",9,IF(K9="Quý IV",12,""))))</f>
        <v>3</v>
      </c>
      <c r="Q8" s="445" t="s">
        <v>260</v>
      </c>
      <c r="R8" s="446">
        <v>1039308</v>
      </c>
      <c r="S8" s="446"/>
      <c r="T8" s="447">
        <f>SUM(R8:S8)</f>
        <v>1039308</v>
      </c>
    </row>
    <row r="9" spans="1:20" s="143" customFormat="1" ht="22.5" customHeight="1" thickBot="1">
      <c r="A9" s="1041"/>
      <c r="B9" s="144" t="s">
        <v>15</v>
      </c>
      <c r="C9" s="145" t="s">
        <v>140</v>
      </c>
      <c r="D9" s="1039"/>
      <c r="E9" s="1045"/>
      <c r="F9" s="240" t="s">
        <v>141</v>
      </c>
      <c r="G9" s="146" t="s">
        <v>142</v>
      </c>
      <c r="H9" s="570" t="s">
        <v>143</v>
      </c>
      <c r="I9" s="1039"/>
      <c r="K9" s="176" t="s">
        <v>420</v>
      </c>
      <c r="L9" s="138"/>
      <c r="M9" s="444" t="s">
        <v>415</v>
      </c>
      <c r="Q9" s="149"/>
      <c r="R9" s="149"/>
      <c r="S9" s="149"/>
      <c r="T9" s="149"/>
    </row>
    <row r="10" spans="1:20" s="149" customFormat="1" ht="15">
      <c r="A10" s="147" t="s">
        <v>2</v>
      </c>
      <c r="B10" s="148" t="s">
        <v>3</v>
      </c>
      <c r="C10" s="147" t="s">
        <v>4</v>
      </c>
      <c r="D10" s="148" t="s">
        <v>5</v>
      </c>
      <c r="E10" s="148" t="s">
        <v>6</v>
      </c>
      <c r="F10" s="148">
        <v>1</v>
      </c>
      <c r="G10" s="148">
        <v>2</v>
      </c>
      <c r="H10" s="148">
        <v>3</v>
      </c>
      <c r="I10" s="148" t="s">
        <v>130</v>
      </c>
      <c r="L10" s="138"/>
      <c r="Q10" s="153"/>
      <c r="R10" s="153"/>
      <c r="S10" s="153"/>
      <c r="T10" s="153"/>
    </row>
    <row r="11" spans="1:20" s="153" customFormat="1" ht="18.75" customHeight="1">
      <c r="A11" s="150"/>
      <c r="B11" s="151"/>
      <c r="C11" s="150"/>
      <c r="D11" s="152" t="s">
        <v>7</v>
      </c>
      <c r="E11" s="152"/>
      <c r="F11" s="451"/>
      <c r="G11" s="451"/>
      <c r="H11" s="451">
        <f>IF($M$9="VCB",$R$8,$S$8)+SUMIF(_N112,"x",TH)-SUMIF(_C112,"x",TH)</f>
        <v>1039308</v>
      </c>
      <c r="I11" s="448"/>
      <c r="L11" s="138"/>
      <c r="Q11" s="143"/>
      <c r="R11" s="143"/>
      <c r="S11" s="143"/>
      <c r="T11" s="143"/>
    </row>
    <row r="12" spans="1:20" s="143" customFormat="1" ht="18.75" customHeight="1">
      <c r="A12" s="154">
        <f ca="1">IF(ROWS($1:1)&gt;COUNT(Dong2),"",OFFSET(TH!C$1,SMALL(Dong2,ROWS($1:1)),))</f>
        <v>42024</v>
      </c>
      <c r="B12" s="154" t="str">
        <f ca="1">IF(ROWS($1:1)&gt;COUNT(Dong2),"",OFFSET(TH!D$1,SMALL(Dong2,ROWS($1:1)),))</f>
        <v>GBN</v>
      </c>
      <c r="C12" s="154">
        <f ca="1">IF(ROWS($1:1)&gt;COUNT(Dong2),"",OFFSET(TH!E$1,SMALL(Dong2,ROWS($1:1)),))</f>
        <v>42024</v>
      </c>
      <c r="D12" s="221" t="str">
        <f ca="1">IF(ROWS($1:1)&gt;COUNT(Dong2),"",OFFSET(TH!F$1,SMALL(Dong2,ROWS($1:1)),))</f>
        <v>Thu phí dịch vụ SMS</v>
      </c>
      <c r="E12" s="154" t="str">
        <f ca="1">IF(ROWS($1:1)&gt;COUNT(Dong2),"",IF(OFFSET(TH!M$1,SMALL(Dong2,ROWS($1:1)),)=$I$6,OFFSET(TH!L$1,SMALL(Dong2,ROWS($1:1)),),OFFSET(TH!M$1,SMALL(Dong2,ROWS($1:1)),)))</f>
        <v>642</v>
      </c>
      <c r="F12" s="452">
        <f ca="1">IF(ROWS($1:1)&gt;COUNT(Dong2),"",IF(AND(IF($M$9="Q4",LEFT(OFFSET(TH!G$1,SMALL(Dong2,ROWS($1:1)),),2)=$M$9,LEFT(OFFSET(TH!G$1,SMALL(Dong2,ROWS($1:1)),),3)=$M$9),OFFSET(TH!L$1,SMALL(Dong2,ROWS($1:1)),)=$I$6),IF($I$6="1121",OFFSET(TH!K$1,SMALL(Dong2,ROWS($1:1)),),OFFSET(TH!#REF!,SMALL(Dong2,ROWS($1:1)),)),0))</f>
        <v>0</v>
      </c>
      <c r="G12" s="452">
        <f ca="1">IF(ROWS($1:1)&gt;COUNT(Dong2),"",IF(AND(IF($M$9="Q4",RIGHT(OFFSET(TH!G$1,SMALL(Dong2,ROWS($1:1)),),2)=$M$9,RIGHT(OFFSET(TH!G$1,SMALL(Dong2,ROWS($1:1)),),3)=$M$9),OFFSET(TH!M$1,SMALL(Dong2,ROWS($1:1)),)=$I$6),IF($I$6="1121",OFFSET(TH!K$1,SMALL(Dong2,ROWS($1:1)),),OFFSET(TH!#REF!,SMALL(Dong2,ROWS($1:1)),)),0))</f>
        <v>55000</v>
      </c>
      <c r="H12" s="577">
        <f ca="1">IF(A12&lt;&gt;"",H11+F12-G12,0)</f>
        <v>984308</v>
      </c>
      <c r="I12" s="449"/>
      <c r="L12" s="138"/>
    </row>
    <row r="13" spans="1:20" s="143" customFormat="1" ht="18.75" customHeight="1">
      <c r="A13" s="154">
        <f ca="1">IF(ROWS($1:2)&gt;COUNT(Dong2),"",OFFSET(TH!C$1,SMALL(Dong2,ROWS($1:2)),))</f>
        <v>42029</v>
      </c>
      <c r="B13" s="154" t="str">
        <f ca="1">IF(ROWS($1:2)&gt;COUNT(Dong2),"",OFFSET(TH!D$1,SMALL(Dong2,ROWS($1:2)),))</f>
        <v>GBN</v>
      </c>
      <c r="C13" s="154">
        <f ca="1">IF(ROWS($1:2)&gt;COUNT(Dong2),"",OFFSET(TH!E$1,SMALL(Dong2,ROWS($1:2)),))</f>
        <v>42029</v>
      </c>
      <c r="D13" s="221" t="str">
        <f ca="1">IF(ROWS($1:2)&gt;COUNT(Dong2),"",OFFSET(TH!F$1,SMALL(Dong2,ROWS($1:2)),))</f>
        <v>Phí quản lý tài khoản</v>
      </c>
      <c r="E13" s="154" t="str">
        <f ca="1">IF(ROWS($1:2)&gt;COUNT(Dong2),"",IF(OFFSET(TH!M$1,SMALL(Dong2,ROWS($1:2)),)=$I$6,OFFSET(TH!L$1,SMALL(Dong2,ROWS($1:2)),),OFFSET(TH!M$1,SMALL(Dong2,ROWS($1:2)),)))</f>
        <v>642</v>
      </c>
      <c r="F13" s="452">
        <f ca="1">IF(ROWS($1:2)&gt;COUNT(Dong2),"",IF(AND(IF($M$9="Q4",LEFT(OFFSET(TH!G$1,SMALL(Dong2,ROWS($1:2)),),2)=$M$9,LEFT(OFFSET(TH!G$1,SMALL(Dong2,ROWS($1:2)),),3)=$M$9),OFFSET(TH!L$1,SMALL(Dong2,ROWS($1:2)),)=$I$6),IF($I$6="1121",OFFSET(TH!K$1,SMALL(Dong2,ROWS($1:2)),),OFFSET(TH!#REF!,SMALL(Dong2,ROWS($1:2)),)),0))</f>
        <v>0</v>
      </c>
      <c r="G13" s="452">
        <f ca="1">IF(ROWS($1:2)&gt;COUNT(Dong2),"",IF(AND(IF($M$9="Q4",RIGHT(OFFSET(TH!G$1,SMALL(Dong2,ROWS($1:2)),),2)=$M$9,RIGHT(OFFSET(TH!G$1,SMALL(Dong2,ROWS($1:2)),),3)=$M$9),OFFSET(TH!M$1,SMALL(Dong2,ROWS($1:2)),)=$I$6),IF($I$6="1121",OFFSET(TH!K$1,SMALL(Dong2,ROWS($1:2)),),OFFSET(TH!#REF!,SMALL(Dong2,ROWS($1:2)),)),0))</f>
        <v>11000</v>
      </c>
      <c r="H13" s="577">
        <f t="shared" ref="H13:H40" ca="1" si="0">IF(A13&lt;&gt;"",H12+F13-G13,0)</f>
        <v>973308</v>
      </c>
      <c r="I13" s="449"/>
      <c r="L13" s="138"/>
    </row>
    <row r="14" spans="1:20" s="143" customFormat="1" ht="18.75" customHeight="1">
      <c r="A14" s="154">
        <f ca="1">IF(ROWS($1:3)&gt;COUNT(Dong2),"",OFFSET(TH!C$1,SMALL(Dong2,ROWS($1:3)),))</f>
        <v>42032</v>
      </c>
      <c r="B14" s="154" t="str">
        <f ca="1">IF(ROWS($1:3)&gt;COUNT(Dong2),"",OFFSET(TH!D$1,SMALL(Dong2,ROWS($1:3)),))</f>
        <v>GBC</v>
      </c>
      <c r="C14" s="154">
        <f ca="1">IF(ROWS($1:3)&gt;COUNT(Dong2),"",OFFSET(TH!E$1,SMALL(Dong2,ROWS($1:3)),))</f>
        <v>42032</v>
      </c>
      <c r="D14" s="221" t="str">
        <f ca="1">IF(ROWS($1:3)&gt;COUNT(Dong2),"",OFFSET(TH!F$1,SMALL(Dong2,ROWS($1:3)),))</f>
        <v>Thu tiền hàng</v>
      </c>
      <c r="E14" s="154" t="str">
        <f ca="1">IF(ROWS($1:3)&gt;COUNT(Dong2),"",IF(OFFSET(TH!M$1,SMALL(Dong2,ROWS($1:3)),)=$I$6,OFFSET(TH!L$1,SMALL(Dong2,ROWS($1:3)),),OFFSET(TH!M$1,SMALL(Dong2,ROWS($1:3)),)))</f>
        <v>131</v>
      </c>
      <c r="F14" s="452">
        <f ca="1">IF(ROWS($1:3)&gt;COUNT(Dong2),"",IF(AND(IF($M$9="Q4",LEFT(OFFSET(TH!G$1,SMALL(Dong2,ROWS($1:3)),),2)=$M$9,LEFT(OFFSET(TH!G$1,SMALL(Dong2,ROWS($1:3)),),3)=$M$9),OFFSET(TH!L$1,SMALL(Dong2,ROWS($1:3)),)=$I$6),IF($I$6="1121",OFFSET(TH!K$1,SMALL(Dong2,ROWS($1:3)),),OFFSET(TH!#REF!,SMALL(Dong2,ROWS($1:3)),)),0))</f>
        <v>13096573</v>
      </c>
      <c r="G14" s="452">
        <f ca="1">IF(ROWS($1:3)&gt;COUNT(Dong2),"",IF(AND(IF($M$9="Q4",RIGHT(OFFSET(TH!G$1,SMALL(Dong2,ROWS($1:3)),),2)=$M$9,RIGHT(OFFSET(TH!G$1,SMALL(Dong2,ROWS($1:3)),),3)=$M$9),OFFSET(TH!M$1,SMALL(Dong2,ROWS($1:3)),)=$I$6),IF($I$6="1121",OFFSET(TH!K$1,SMALL(Dong2,ROWS($1:3)),),OFFSET(TH!#REF!,SMALL(Dong2,ROWS($1:3)),)),0))</f>
        <v>0</v>
      </c>
      <c r="H14" s="577">
        <f t="shared" ca="1" si="0"/>
        <v>14069881</v>
      </c>
      <c r="I14" s="449"/>
      <c r="L14" s="138"/>
    </row>
    <row r="15" spans="1:20" s="143" customFormat="1" ht="18.75" customHeight="1">
      <c r="A15" s="154">
        <f ca="1">IF(ROWS($1:4)&gt;COUNT(Dong2),"",OFFSET(TH!C$1,SMALL(Dong2,ROWS($1:4)),))</f>
        <v>42033</v>
      </c>
      <c r="B15" s="154" t="str">
        <f ca="1">IF(ROWS($1:4)&gt;COUNT(Dong2),"",OFFSET(TH!D$1,SMALL(Dong2,ROWS($1:4)),))</f>
        <v>T09</v>
      </c>
      <c r="C15" s="154">
        <f ca="1">IF(ROWS($1:4)&gt;COUNT(Dong2),"",OFFSET(TH!E$1,SMALL(Dong2,ROWS($1:4)),))</f>
        <v>42033</v>
      </c>
      <c r="D15" s="221" t="str">
        <f ca="1">IF(ROWS($1:4)&gt;COUNT(Dong2),"",OFFSET(TH!F$1,SMALL(Dong2,ROWS($1:4)),))</f>
        <v>Rút sec nhập quỹ tiền mặt</v>
      </c>
      <c r="E15" s="154" t="str">
        <f ca="1">IF(ROWS($1:4)&gt;COUNT(Dong2),"",IF(OFFSET(TH!M$1,SMALL(Dong2,ROWS($1:4)),)=$I$6,OFFSET(TH!L$1,SMALL(Dong2,ROWS($1:4)),),OFFSET(TH!M$1,SMALL(Dong2,ROWS($1:4)),)))</f>
        <v>1111</v>
      </c>
      <c r="F15" s="452">
        <f ca="1">IF(ROWS($1:4)&gt;COUNT(Dong2),"",IF(AND(IF($M$9="Q4",LEFT(OFFSET(TH!G$1,SMALL(Dong2,ROWS($1:4)),),2)=$M$9,LEFT(OFFSET(TH!G$1,SMALL(Dong2,ROWS($1:4)),),3)=$M$9),OFFSET(TH!L$1,SMALL(Dong2,ROWS($1:4)),)=$I$6),IF($I$6="1121",OFFSET(TH!K$1,SMALL(Dong2,ROWS($1:4)),),OFFSET(TH!#REF!,SMALL(Dong2,ROWS($1:4)),)),0))</f>
        <v>0</v>
      </c>
      <c r="G15" s="452">
        <f ca="1">IF(ROWS($1:4)&gt;COUNT(Dong2),"",IF(AND(IF($M$9="Q4",RIGHT(OFFSET(TH!G$1,SMALL(Dong2,ROWS($1:4)),),2)=$M$9,RIGHT(OFFSET(TH!G$1,SMALL(Dong2,ROWS($1:4)),),3)=$M$9),OFFSET(TH!M$1,SMALL(Dong2,ROWS($1:4)),)=$I$6),IF($I$6="1121",OFFSET(TH!K$1,SMALL(Dong2,ROWS($1:4)),),OFFSET(TH!#REF!,SMALL(Dong2,ROWS($1:4)),)),0))</f>
        <v>13000000</v>
      </c>
      <c r="H15" s="577">
        <f t="shared" ca="1" si="0"/>
        <v>1069881</v>
      </c>
      <c r="I15" s="449"/>
      <c r="L15" s="138"/>
    </row>
    <row r="16" spans="1:20" s="143" customFormat="1" ht="18.75" customHeight="1">
      <c r="A16" s="154">
        <f ca="1">IF(ROWS($1:5)&gt;COUNT(Dong2),"",OFFSET(TH!C$1,SMALL(Dong2,ROWS($1:5)),))</f>
        <v>42045</v>
      </c>
      <c r="B16" s="154" t="str">
        <f ca="1">IF(ROWS($1:5)&gt;COUNT(Dong2),"",OFFSET(TH!D$1,SMALL(Dong2,ROWS($1:5)),))</f>
        <v>GBC</v>
      </c>
      <c r="C16" s="154">
        <f ca="1">IF(ROWS($1:5)&gt;COUNT(Dong2),"",OFFSET(TH!E$1,SMALL(Dong2,ROWS($1:5)),))</f>
        <v>42045</v>
      </c>
      <c r="D16" s="221" t="str">
        <f ca="1">IF(ROWS($1:5)&gt;COUNT(Dong2),"",OFFSET(TH!F$1,SMALL(Dong2,ROWS($1:5)),))</f>
        <v>Thu tiền hàng</v>
      </c>
      <c r="E16" s="154" t="str">
        <f ca="1">IF(ROWS($1:5)&gt;COUNT(Dong2),"",IF(OFFSET(TH!M$1,SMALL(Dong2,ROWS($1:5)),)=$I$6,OFFSET(TH!L$1,SMALL(Dong2,ROWS($1:5)),),OFFSET(TH!M$1,SMALL(Dong2,ROWS($1:5)),)))</f>
        <v>131</v>
      </c>
      <c r="F16" s="452">
        <f ca="1">IF(ROWS($1:5)&gt;COUNT(Dong2),"",IF(AND(IF($M$9="Q4",LEFT(OFFSET(TH!G$1,SMALL(Dong2,ROWS($1:5)),),2)=$M$9,LEFT(OFFSET(TH!G$1,SMALL(Dong2,ROWS($1:5)),),3)=$M$9),OFFSET(TH!L$1,SMALL(Dong2,ROWS($1:5)),)=$I$6),IF($I$6="1121",OFFSET(TH!K$1,SMALL(Dong2,ROWS($1:5)),),OFFSET(TH!#REF!,SMALL(Dong2,ROWS($1:5)),)),0))</f>
        <v>21004460</v>
      </c>
      <c r="G16" s="452">
        <f ca="1">IF(ROWS($1:5)&gt;COUNT(Dong2),"",IF(AND(IF($M$9="Q4",RIGHT(OFFSET(TH!G$1,SMALL(Dong2,ROWS($1:5)),),2)=$M$9,RIGHT(OFFSET(TH!G$1,SMALL(Dong2,ROWS($1:5)),),3)=$M$9),OFFSET(TH!M$1,SMALL(Dong2,ROWS($1:5)),)=$I$6),IF($I$6="1121",OFFSET(TH!K$1,SMALL(Dong2,ROWS($1:5)),),OFFSET(TH!#REF!,SMALL(Dong2,ROWS($1:5)),)),0))</f>
        <v>0</v>
      </c>
      <c r="H16" s="577">
        <f t="shared" ca="1" si="0"/>
        <v>22074341</v>
      </c>
      <c r="I16" s="449"/>
      <c r="L16" s="138"/>
    </row>
    <row r="17" spans="1:17" s="143" customFormat="1" ht="18.75" customHeight="1">
      <c r="A17" s="154">
        <f ca="1">IF(ROWS($1:6)&gt;COUNT(Dong2),"",OFFSET(TH!C$1,SMALL(Dong2,ROWS($1:6)),))</f>
        <v>42045</v>
      </c>
      <c r="B17" s="154" t="str">
        <f ca="1">IF(ROWS($1:6)&gt;COUNT(Dong2),"",OFFSET(TH!D$1,SMALL(Dong2,ROWS($1:6)),))</f>
        <v>T11</v>
      </c>
      <c r="C17" s="154">
        <f ca="1">IF(ROWS($1:6)&gt;COUNT(Dong2),"",OFFSET(TH!E$1,SMALL(Dong2,ROWS($1:6)),))</f>
        <v>42045</v>
      </c>
      <c r="D17" s="221" t="str">
        <f ca="1">IF(ROWS($1:6)&gt;COUNT(Dong2),"",OFFSET(TH!F$1,SMALL(Dong2,ROWS($1:6)),))</f>
        <v>Rút sec nhập quỹ tiền mặt</v>
      </c>
      <c r="E17" s="154" t="str">
        <f ca="1">IF(ROWS($1:6)&gt;COUNT(Dong2),"",IF(OFFSET(TH!M$1,SMALL(Dong2,ROWS($1:6)),)=$I$6,OFFSET(TH!L$1,SMALL(Dong2,ROWS($1:6)),),OFFSET(TH!M$1,SMALL(Dong2,ROWS($1:6)),)))</f>
        <v>1111</v>
      </c>
      <c r="F17" s="452">
        <f ca="1">IF(ROWS($1:6)&gt;COUNT(Dong2),"",IF(AND(IF($M$9="Q4",LEFT(OFFSET(TH!G$1,SMALL(Dong2,ROWS($1:6)),),2)=$M$9,LEFT(OFFSET(TH!G$1,SMALL(Dong2,ROWS($1:6)),),3)=$M$9),OFFSET(TH!L$1,SMALL(Dong2,ROWS($1:6)),)=$I$6),IF($I$6="1121",OFFSET(TH!K$1,SMALL(Dong2,ROWS($1:6)),),OFFSET(TH!#REF!,SMALL(Dong2,ROWS($1:6)),)),0))</f>
        <v>0</v>
      </c>
      <c r="G17" s="452">
        <f ca="1">IF(ROWS($1:6)&gt;COUNT(Dong2),"",IF(AND(IF($M$9="Q4",RIGHT(OFFSET(TH!G$1,SMALL(Dong2,ROWS($1:6)),),2)=$M$9,RIGHT(OFFSET(TH!G$1,SMALL(Dong2,ROWS($1:6)),),3)=$M$9),OFFSET(TH!M$1,SMALL(Dong2,ROWS($1:6)),)=$I$6),IF($I$6="1121",OFFSET(TH!K$1,SMALL(Dong2,ROWS($1:6)),),OFFSET(TH!#REF!,SMALL(Dong2,ROWS($1:6)),)),0))</f>
        <v>21050000</v>
      </c>
      <c r="H17" s="577">
        <f t="shared" ca="1" si="0"/>
        <v>1024341</v>
      </c>
      <c r="I17" s="449"/>
      <c r="L17" s="138"/>
    </row>
    <row r="18" spans="1:17" s="143" customFormat="1" ht="18.75" customHeight="1">
      <c r="A18" s="154">
        <f ca="1">IF(ROWS($1:7)&gt;COUNT(Dong2),"",OFFSET(TH!C$1,SMALL(Dong2,ROWS($1:7)),))</f>
        <v>42049</v>
      </c>
      <c r="B18" s="154" t="str">
        <f ca="1">IF(ROWS($1:7)&gt;COUNT(Dong2),"",OFFSET(TH!D$1,SMALL(Dong2,ROWS($1:7)),))</f>
        <v>GBN</v>
      </c>
      <c r="C18" s="154">
        <f ca="1">IF(ROWS($1:7)&gt;COUNT(Dong2),"",OFFSET(TH!E$1,SMALL(Dong2,ROWS($1:7)),))</f>
        <v>42049</v>
      </c>
      <c r="D18" s="221" t="str">
        <f ca="1">IF(ROWS($1:7)&gt;COUNT(Dong2),"",OFFSET(TH!F$1,SMALL(Dong2,ROWS($1:7)),))</f>
        <v>Thu phí dịch vụ SMS</v>
      </c>
      <c r="E18" s="154" t="str">
        <f ca="1">IF(ROWS($1:7)&gt;COUNT(Dong2),"",IF(OFFSET(TH!M$1,SMALL(Dong2,ROWS($1:7)),)=$I$6,OFFSET(TH!L$1,SMALL(Dong2,ROWS($1:7)),),OFFSET(TH!M$1,SMALL(Dong2,ROWS($1:7)),)))</f>
        <v>642</v>
      </c>
      <c r="F18" s="452">
        <f ca="1">IF(ROWS($1:7)&gt;COUNT(Dong2),"",IF(AND(IF($M$9="Q4",LEFT(OFFSET(TH!G$1,SMALL(Dong2,ROWS($1:7)),),2)=$M$9,LEFT(OFFSET(TH!G$1,SMALL(Dong2,ROWS($1:7)),),3)=$M$9),OFFSET(TH!L$1,SMALL(Dong2,ROWS($1:7)),)=$I$6),IF($I$6="1121",OFFSET(TH!K$1,SMALL(Dong2,ROWS($1:7)),),OFFSET(TH!#REF!,SMALL(Dong2,ROWS($1:7)),)),0))</f>
        <v>0</v>
      </c>
      <c r="G18" s="452">
        <f ca="1">IF(ROWS($1:7)&gt;COUNT(Dong2),"",IF(AND(IF($M$9="Q4",RIGHT(OFFSET(TH!G$1,SMALL(Dong2,ROWS($1:7)),),2)=$M$9,RIGHT(OFFSET(TH!G$1,SMALL(Dong2,ROWS($1:7)),),3)=$M$9),OFFSET(TH!M$1,SMALL(Dong2,ROWS($1:7)),)=$I$6),IF($I$6="1121",OFFSET(TH!K$1,SMALL(Dong2,ROWS($1:7)),),OFFSET(TH!#REF!,SMALL(Dong2,ROWS($1:7)),)),0))</f>
        <v>55000</v>
      </c>
      <c r="H18" s="577">
        <f t="shared" ca="1" si="0"/>
        <v>969341</v>
      </c>
      <c r="I18" s="449"/>
      <c r="L18" s="138"/>
    </row>
    <row r="19" spans="1:17" s="143" customFormat="1" ht="18.75" customHeight="1">
      <c r="A19" s="154">
        <f ca="1">IF(ROWS($1:8)&gt;COUNT(Dong2),"",OFFSET(TH!C$1,SMALL(Dong2,ROWS($1:8)),))</f>
        <v>42060</v>
      </c>
      <c r="B19" s="154" t="str">
        <f ca="1">IF(ROWS($1:8)&gt;COUNT(Dong2),"",OFFSET(TH!D$1,SMALL(Dong2,ROWS($1:8)),))</f>
        <v>GBN</v>
      </c>
      <c r="C19" s="154">
        <f ca="1">IF(ROWS($1:8)&gt;COUNT(Dong2),"",OFFSET(TH!E$1,SMALL(Dong2,ROWS($1:8)),))</f>
        <v>42060</v>
      </c>
      <c r="D19" s="221" t="str">
        <f ca="1">IF(ROWS($1:8)&gt;COUNT(Dong2),"",OFFSET(TH!F$1,SMALL(Dong2,ROWS($1:8)),))</f>
        <v>Phí quản lý tài khoản</v>
      </c>
      <c r="E19" s="154" t="str">
        <f ca="1">IF(ROWS($1:8)&gt;COUNT(Dong2),"",IF(OFFSET(TH!M$1,SMALL(Dong2,ROWS($1:8)),)=$I$6,OFFSET(TH!L$1,SMALL(Dong2,ROWS($1:8)),),OFFSET(TH!M$1,SMALL(Dong2,ROWS($1:8)),)))</f>
        <v>642</v>
      </c>
      <c r="F19" s="452">
        <f ca="1">IF(ROWS($1:8)&gt;COUNT(Dong2),"",IF(AND(IF($M$9="Q4",LEFT(OFFSET(TH!G$1,SMALL(Dong2,ROWS($1:8)),),2)=$M$9,LEFT(OFFSET(TH!G$1,SMALL(Dong2,ROWS($1:8)),),3)=$M$9),OFFSET(TH!L$1,SMALL(Dong2,ROWS($1:8)),)=$I$6),IF($I$6="1121",OFFSET(TH!K$1,SMALL(Dong2,ROWS($1:8)),),OFFSET(TH!#REF!,SMALL(Dong2,ROWS($1:8)),)),0))</f>
        <v>0</v>
      </c>
      <c r="G19" s="452">
        <f ca="1">IF(ROWS($1:8)&gt;COUNT(Dong2),"",IF(AND(IF($M$9="Q4",RIGHT(OFFSET(TH!G$1,SMALL(Dong2,ROWS($1:8)),),2)=$M$9,RIGHT(OFFSET(TH!G$1,SMALL(Dong2,ROWS($1:8)),),3)=$M$9),OFFSET(TH!M$1,SMALL(Dong2,ROWS($1:8)),)=$I$6),IF($I$6="1121",OFFSET(TH!K$1,SMALL(Dong2,ROWS($1:8)),),OFFSET(TH!#REF!,SMALL(Dong2,ROWS($1:8)),)),0))</f>
        <v>11000</v>
      </c>
      <c r="H19" s="577">
        <f t="shared" ca="1" si="0"/>
        <v>958341</v>
      </c>
      <c r="I19" s="449"/>
      <c r="L19" s="138"/>
    </row>
    <row r="20" spans="1:17" s="143" customFormat="1" ht="18.75" customHeight="1">
      <c r="A20" s="154">
        <f ca="1">IF(ROWS($1:9)&gt;COUNT(Dong2),"",OFFSET(TH!C$1,SMALL(Dong2,ROWS($1:9)),))</f>
        <v>42072</v>
      </c>
      <c r="B20" s="154" t="str">
        <f ca="1">IF(ROWS($1:9)&gt;COUNT(Dong2),"",OFFSET(TH!D$1,SMALL(Dong2,ROWS($1:9)),))</f>
        <v>GBN</v>
      </c>
      <c r="C20" s="154">
        <f ca="1">IF(ROWS($1:9)&gt;COUNT(Dong2),"",OFFSET(TH!E$1,SMALL(Dong2,ROWS($1:9)),))</f>
        <v>42072</v>
      </c>
      <c r="D20" s="221" t="str">
        <f ca="1">IF(ROWS($1:9)&gt;COUNT(Dong2),"",OFFSET(TH!F$1,SMALL(Dong2,ROWS($1:9)),))</f>
        <v>Thu phí dịch vụ SMS</v>
      </c>
      <c r="E20" s="154" t="str">
        <f ca="1">IF(ROWS($1:9)&gt;COUNT(Dong2),"",IF(OFFSET(TH!M$1,SMALL(Dong2,ROWS($1:9)),)=$I$6,OFFSET(TH!L$1,SMALL(Dong2,ROWS($1:9)),),OFFSET(TH!M$1,SMALL(Dong2,ROWS($1:9)),)))</f>
        <v>642</v>
      </c>
      <c r="F20" s="452">
        <f ca="1">IF(ROWS($1:9)&gt;COUNT(Dong2),"",IF(AND(IF($M$9="Q4",LEFT(OFFSET(TH!G$1,SMALL(Dong2,ROWS($1:9)),),2)=$M$9,LEFT(OFFSET(TH!G$1,SMALL(Dong2,ROWS($1:9)),),3)=$M$9),OFFSET(TH!L$1,SMALL(Dong2,ROWS($1:9)),)=$I$6),IF($I$6="1121",OFFSET(TH!K$1,SMALL(Dong2,ROWS($1:9)),),OFFSET(TH!#REF!,SMALL(Dong2,ROWS($1:9)),)),0))</f>
        <v>0</v>
      </c>
      <c r="G20" s="452">
        <f ca="1">IF(ROWS($1:9)&gt;COUNT(Dong2),"",IF(AND(IF($M$9="Q4",RIGHT(OFFSET(TH!G$1,SMALL(Dong2,ROWS($1:9)),),2)=$M$9,RIGHT(OFFSET(TH!G$1,SMALL(Dong2,ROWS($1:9)),),3)=$M$9),OFFSET(TH!M$1,SMALL(Dong2,ROWS($1:9)),)=$I$6),IF($I$6="1121",OFFSET(TH!K$1,SMALL(Dong2,ROWS($1:9)),),OFFSET(TH!#REF!,SMALL(Dong2,ROWS($1:9)),)),0))</f>
        <v>55000</v>
      </c>
      <c r="H20" s="577">
        <f t="shared" ca="1" si="0"/>
        <v>903341</v>
      </c>
      <c r="I20" s="449"/>
      <c r="L20" s="138"/>
    </row>
    <row r="21" spans="1:17" s="143" customFormat="1" ht="18.75" customHeight="1">
      <c r="A21" s="154">
        <f ca="1">IF(ROWS($1:10)&gt;COUNT(Dong2),"",OFFSET(TH!C$1,SMALL(Dong2,ROWS($1:10)),))</f>
        <v>42073</v>
      </c>
      <c r="B21" s="154" t="str">
        <f ca="1">IF(ROWS($1:10)&gt;COUNT(Dong2),"",OFFSET(TH!D$1,SMALL(Dong2,ROWS($1:10)),))</f>
        <v>GBC</v>
      </c>
      <c r="C21" s="154">
        <f ca="1">IF(ROWS($1:10)&gt;COUNT(Dong2),"",OFFSET(TH!E$1,SMALL(Dong2,ROWS($1:10)),))</f>
        <v>42073</v>
      </c>
      <c r="D21" s="221" t="str">
        <f ca="1">IF(ROWS($1:10)&gt;COUNT(Dong2),"",OFFSET(TH!F$1,SMALL(Dong2,ROWS($1:10)),))</f>
        <v>Thu tiền hàng</v>
      </c>
      <c r="E21" s="154" t="str">
        <f ca="1">IF(ROWS($1:10)&gt;COUNT(Dong2),"",IF(OFFSET(TH!M$1,SMALL(Dong2,ROWS($1:10)),)=$I$6,OFFSET(TH!L$1,SMALL(Dong2,ROWS($1:10)),),OFFSET(TH!M$1,SMALL(Dong2,ROWS($1:10)),)))</f>
        <v>131</v>
      </c>
      <c r="F21" s="452">
        <f ca="1">IF(ROWS($1:10)&gt;COUNT(Dong2),"",IF(AND(IF($M$9="Q4",LEFT(OFFSET(TH!G$1,SMALL(Dong2,ROWS($1:10)),),2)=$M$9,LEFT(OFFSET(TH!G$1,SMALL(Dong2,ROWS($1:10)),),3)=$M$9),OFFSET(TH!L$1,SMALL(Dong2,ROWS($1:10)),)=$I$6),IF($I$6="1121",OFFSET(TH!K$1,SMALL(Dong2,ROWS($1:10)),),OFFSET(TH!#REF!,SMALL(Dong2,ROWS($1:10)),)),0))</f>
        <v>2211000</v>
      </c>
      <c r="G21" s="452">
        <f ca="1">IF(ROWS($1:10)&gt;COUNT(Dong2),"",IF(AND(IF($M$9="Q4",RIGHT(OFFSET(TH!G$1,SMALL(Dong2,ROWS($1:10)),),2)=$M$9,RIGHT(OFFSET(TH!G$1,SMALL(Dong2,ROWS($1:10)),),3)=$M$9),OFFSET(TH!M$1,SMALL(Dong2,ROWS($1:10)),)=$I$6),IF($I$6="1121",OFFSET(TH!K$1,SMALL(Dong2,ROWS($1:10)),),OFFSET(TH!#REF!,SMALL(Dong2,ROWS($1:10)),)),0))</f>
        <v>0</v>
      </c>
      <c r="H21" s="577">
        <f t="shared" ca="1" si="0"/>
        <v>3114341</v>
      </c>
      <c r="I21" s="449"/>
      <c r="L21" s="138"/>
      <c r="Q21" s="447"/>
    </row>
    <row r="22" spans="1:17" s="143" customFormat="1" ht="18.75" customHeight="1">
      <c r="A22" s="154">
        <f ca="1">IF(ROWS($1:11)&gt;COUNT(Dong2),"",OFFSET(TH!C$1,SMALL(Dong2,ROWS($1:11)),))</f>
        <v>42074</v>
      </c>
      <c r="B22" s="154" t="str">
        <f ca="1">IF(ROWS($1:11)&gt;COUNT(Dong2),"",OFFSET(TH!D$1,SMALL(Dong2,ROWS($1:11)),))</f>
        <v>GBC</v>
      </c>
      <c r="C22" s="154">
        <f ca="1">IF(ROWS($1:11)&gt;COUNT(Dong2),"",OFFSET(TH!E$1,SMALL(Dong2,ROWS($1:11)),))</f>
        <v>42074</v>
      </c>
      <c r="D22" s="221" t="str">
        <f ca="1">IF(ROWS($1:11)&gt;COUNT(Dong2),"",OFFSET(TH!F$1,SMALL(Dong2,ROWS($1:11)),))</f>
        <v>Thu tiền hàng</v>
      </c>
      <c r="E22" s="154" t="str">
        <f ca="1">IF(ROWS($1:11)&gt;COUNT(Dong2),"",IF(OFFSET(TH!M$1,SMALL(Dong2,ROWS($1:11)),)=$I$6,OFFSET(TH!L$1,SMALL(Dong2,ROWS($1:11)),),OFFSET(TH!M$1,SMALL(Dong2,ROWS($1:11)),)))</f>
        <v>131</v>
      </c>
      <c r="F22" s="452">
        <f ca="1">IF(ROWS($1:11)&gt;COUNT(Dong2),"",IF(AND(IF($M$9="Q4",LEFT(OFFSET(TH!G$1,SMALL(Dong2,ROWS($1:11)),),2)=$M$9,LEFT(OFFSET(TH!G$1,SMALL(Dong2,ROWS($1:11)),),3)=$M$9),OFFSET(TH!L$1,SMALL(Dong2,ROWS($1:11)),)=$I$6),IF($I$6="1121",OFFSET(TH!K$1,SMALL(Dong2,ROWS($1:11)),),OFFSET(TH!#REF!,SMALL(Dong2,ROWS($1:11)),)),0))</f>
        <v>37878260</v>
      </c>
      <c r="G22" s="452">
        <f ca="1">IF(ROWS($1:11)&gt;COUNT(Dong2),"",IF(AND(IF($M$9="Q4",RIGHT(OFFSET(TH!G$1,SMALL(Dong2,ROWS($1:11)),),2)=$M$9,RIGHT(OFFSET(TH!G$1,SMALL(Dong2,ROWS($1:11)),),3)=$M$9),OFFSET(TH!M$1,SMALL(Dong2,ROWS($1:11)),)=$I$6),IF($I$6="1121",OFFSET(TH!K$1,SMALL(Dong2,ROWS($1:11)),),OFFSET(TH!#REF!,SMALL(Dong2,ROWS($1:11)),)),0))</f>
        <v>0</v>
      </c>
      <c r="H22" s="577">
        <f t="shared" ca="1" si="0"/>
        <v>40992601</v>
      </c>
      <c r="I22" s="449"/>
      <c r="L22" s="138"/>
    </row>
    <row r="23" spans="1:17" s="143" customFormat="1" ht="18.75" customHeight="1">
      <c r="A23" s="154">
        <f ca="1">IF(ROWS($1:12)&gt;COUNT(Dong2),"",OFFSET(TH!C$1,SMALL(Dong2,ROWS($1:12)),))</f>
        <v>42075</v>
      </c>
      <c r="B23" s="154" t="str">
        <f ca="1">IF(ROWS($1:12)&gt;COUNT(Dong2),"",OFFSET(TH!D$1,SMALL(Dong2,ROWS($1:12)),))</f>
        <v>T14</v>
      </c>
      <c r="C23" s="154">
        <f ca="1">IF(ROWS($1:12)&gt;COUNT(Dong2),"",OFFSET(TH!E$1,SMALL(Dong2,ROWS($1:12)),))</f>
        <v>42075</v>
      </c>
      <c r="D23" s="221" t="str">
        <f ca="1">IF(ROWS($1:12)&gt;COUNT(Dong2),"",OFFSET(TH!F$1,SMALL(Dong2,ROWS($1:12)),))</f>
        <v>Rút sec nhập quỹ tiền mặt</v>
      </c>
      <c r="E23" s="154" t="str">
        <f ca="1">IF(ROWS($1:12)&gt;COUNT(Dong2),"",IF(OFFSET(TH!M$1,SMALL(Dong2,ROWS($1:12)),)=$I$6,OFFSET(TH!L$1,SMALL(Dong2,ROWS($1:12)),),OFFSET(TH!M$1,SMALL(Dong2,ROWS($1:12)),)))</f>
        <v>1111</v>
      </c>
      <c r="F23" s="452">
        <f ca="1">IF(ROWS($1:12)&gt;COUNT(Dong2),"",IF(AND(IF($M$9="Q4",LEFT(OFFSET(TH!G$1,SMALL(Dong2,ROWS($1:12)),),2)=$M$9,LEFT(OFFSET(TH!G$1,SMALL(Dong2,ROWS($1:12)),),3)=$M$9),OFFSET(TH!L$1,SMALL(Dong2,ROWS($1:12)),)=$I$6),IF($I$6="1121",OFFSET(TH!K$1,SMALL(Dong2,ROWS($1:12)),),OFFSET(TH!#REF!,SMALL(Dong2,ROWS($1:12)),)),0))</f>
        <v>0</v>
      </c>
      <c r="G23" s="452">
        <f ca="1">IF(ROWS($1:12)&gt;COUNT(Dong2),"",IF(AND(IF($M$9="Q4",RIGHT(OFFSET(TH!G$1,SMALL(Dong2,ROWS($1:12)),),2)=$M$9,RIGHT(OFFSET(TH!G$1,SMALL(Dong2,ROWS($1:12)),),3)=$M$9),OFFSET(TH!M$1,SMALL(Dong2,ROWS($1:12)),)=$I$6),IF($I$6="1121",OFFSET(TH!K$1,SMALL(Dong2,ROWS($1:12)),),OFFSET(TH!#REF!,SMALL(Dong2,ROWS($1:12)),)),0))</f>
        <v>39950000</v>
      </c>
      <c r="H23" s="577">
        <f t="shared" ca="1" si="0"/>
        <v>1042601</v>
      </c>
      <c r="I23" s="449"/>
      <c r="L23" s="138"/>
      <c r="Q23" s="566"/>
    </row>
    <row r="24" spans="1:17" s="143" customFormat="1" ht="18.75" customHeight="1">
      <c r="A24" s="154">
        <f ca="1">IF(ROWS($1:13)&gt;COUNT(Dong2),"",OFFSET(TH!C$1,SMALL(Dong2,ROWS($1:13)),))</f>
        <v>42083</v>
      </c>
      <c r="B24" s="154" t="str">
        <f ca="1">IF(ROWS($1:13)&gt;COUNT(Dong2),"",OFFSET(TH!D$1,SMALL(Dong2,ROWS($1:13)),))</f>
        <v>GBC</v>
      </c>
      <c r="C24" s="154">
        <f ca="1">IF(ROWS($1:13)&gt;COUNT(Dong2),"",OFFSET(TH!E$1,SMALL(Dong2,ROWS($1:13)),))</f>
        <v>42083</v>
      </c>
      <c r="D24" s="221" t="str">
        <f ca="1">IF(ROWS($1:13)&gt;COUNT(Dong2),"",OFFSET(TH!F$1,SMALL(Dong2,ROWS($1:13)),))</f>
        <v>Thu tiền hàng</v>
      </c>
      <c r="E24" s="154" t="str">
        <f ca="1">IF(ROWS($1:13)&gt;COUNT(Dong2),"",IF(OFFSET(TH!M$1,SMALL(Dong2,ROWS($1:13)),)=$I$6,OFFSET(TH!L$1,SMALL(Dong2,ROWS($1:13)),),OFFSET(TH!M$1,SMALL(Dong2,ROWS($1:13)),)))</f>
        <v>131</v>
      </c>
      <c r="F24" s="452">
        <f ca="1">IF(ROWS($1:13)&gt;COUNT(Dong2),"",IF(AND(IF($M$9="Q4",LEFT(OFFSET(TH!G$1,SMALL(Dong2,ROWS($1:13)),),2)=$M$9,LEFT(OFFSET(TH!G$1,SMALL(Dong2,ROWS($1:13)),),3)=$M$9),OFFSET(TH!L$1,SMALL(Dong2,ROWS($1:13)),)=$I$6),IF($I$6="1121",OFFSET(TH!K$1,SMALL(Dong2,ROWS($1:13)),),OFFSET(TH!#REF!,SMALL(Dong2,ROWS($1:13)),)),0))</f>
        <v>14003000</v>
      </c>
      <c r="G24" s="452">
        <f ca="1">IF(ROWS($1:13)&gt;COUNT(Dong2),"",IF(AND(IF($M$9="Q4",RIGHT(OFFSET(TH!G$1,SMALL(Dong2,ROWS($1:13)),),2)=$M$9,RIGHT(OFFSET(TH!G$1,SMALL(Dong2,ROWS($1:13)),),3)=$M$9),OFFSET(TH!M$1,SMALL(Dong2,ROWS($1:13)),)=$I$6),IF($I$6="1121",OFFSET(TH!K$1,SMALL(Dong2,ROWS($1:13)),),OFFSET(TH!#REF!,SMALL(Dong2,ROWS($1:13)),)),0))</f>
        <v>0</v>
      </c>
      <c r="H24" s="577">
        <f t="shared" ca="1" si="0"/>
        <v>15045601</v>
      </c>
      <c r="I24" s="449"/>
      <c r="L24" s="138"/>
    </row>
    <row r="25" spans="1:17" s="143" customFormat="1" ht="18.75" customHeight="1">
      <c r="A25" s="154">
        <f ca="1">IF(ROWS($1:14)&gt;COUNT(Dong2),"",OFFSET(TH!C$1,SMALL(Dong2,ROWS($1:14)),))</f>
        <v>42083</v>
      </c>
      <c r="B25" s="154" t="str">
        <f ca="1">IF(ROWS($1:14)&gt;COUNT(Dong2),"",OFFSET(TH!D$1,SMALL(Dong2,ROWS($1:14)),))</f>
        <v>T16</v>
      </c>
      <c r="C25" s="154">
        <f ca="1">IF(ROWS($1:14)&gt;COUNT(Dong2),"",OFFSET(TH!E$1,SMALL(Dong2,ROWS($1:14)),))</f>
        <v>42083</v>
      </c>
      <c r="D25" s="221" t="str">
        <f ca="1">IF(ROWS($1:14)&gt;COUNT(Dong2),"",OFFSET(TH!F$1,SMALL(Dong2,ROWS($1:14)),))</f>
        <v>Rút sec nhập quỹ tiền mặt</v>
      </c>
      <c r="E25" s="154" t="str">
        <f ca="1">IF(ROWS($1:14)&gt;COUNT(Dong2),"",IF(OFFSET(TH!M$1,SMALL(Dong2,ROWS($1:14)),)=$I$6,OFFSET(TH!L$1,SMALL(Dong2,ROWS($1:14)),),OFFSET(TH!M$1,SMALL(Dong2,ROWS($1:14)),)))</f>
        <v>1111</v>
      </c>
      <c r="F25" s="452">
        <f ca="1">IF(ROWS($1:14)&gt;COUNT(Dong2),"",IF(AND(IF($M$9="Q4",LEFT(OFFSET(TH!G$1,SMALL(Dong2,ROWS($1:14)),),2)=$M$9,LEFT(OFFSET(TH!G$1,SMALL(Dong2,ROWS($1:14)),),3)=$M$9),OFFSET(TH!L$1,SMALL(Dong2,ROWS($1:14)),)=$I$6),IF($I$6="1121",OFFSET(TH!K$1,SMALL(Dong2,ROWS($1:14)),),OFFSET(TH!#REF!,SMALL(Dong2,ROWS($1:14)),)),0))</f>
        <v>0</v>
      </c>
      <c r="G25" s="452">
        <f ca="1">IF(ROWS($1:14)&gt;COUNT(Dong2),"",IF(AND(IF($M$9="Q4",RIGHT(OFFSET(TH!G$1,SMALL(Dong2,ROWS($1:14)),),2)=$M$9,RIGHT(OFFSET(TH!G$1,SMALL(Dong2,ROWS($1:14)),),3)=$M$9),OFFSET(TH!M$1,SMALL(Dong2,ROWS($1:14)),)=$I$6),IF($I$6="1121",OFFSET(TH!K$1,SMALL(Dong2,ROWS($1:14)),),OFFSET(TH!#REF!,SMALL(Dong2,ROWS($1:14)),)),0))</f>
        <v>14000000</v>
      </c>
      <c r="H25" s="577">
        <f t="shared" ca="1" si="0"/>
        <v>1045601</v>
      </c>
      <c r="I25" s="449"/>
      <c r="L25" s="138"/>
    </row>
    <row r="26" spans="1:17" s="143" customFormat="1" ht="18.75" customHeight="1">
      <c r="A26" s="154">
        <f ca="1">IF(ROWS($1:15)&gt;COUNT(Dong2),"",OFFSET(TH!C$1,SMALL(Dong2,ROWS($1:15)),))</f>
        <v>42087</v>
      </c>
      <c r="B26" s="154" t="str">
        <f ca="1">IF(ROWS($1:15)&gt;COUNT(Dong2),"",OFFSET(TH!D$1,SMALL(Dong2,ROWS($1:15)),))</f>
        <v>GBC</v>
      </c>
      <c r="C26" s="154">
        <f ca="1">IF(ROWS($1:15)&gt;COUNT(Dong2),"",OFFSET(TH!E$1,SMALL(Dong2,ROWS($1:15)),))</f>
        <v>42087</v>
      </c>
      <c r="D26" s="221" t="str">
        <f ca="1">IF(ROWS($1:15)&gt;COUNT(Dong2),"",OFFSET(TH!F$1,SMALL(Dong2,ROWS($1:15)),))</f>
        <v>Thu tiền hàng</v>
      </c>
      <c r="E26" s="154" t="str">
        <f ca="1">IF(ROWS($1:15)&gt;COUNT(Dong2),"",IF(OFFSET(TH!M$1,SMALL(Dong2,ROWS($1:15)),)=$I$6,OFFSET(TH!L$1,SMALL(Dong2,ROWS($1:15)),),OFFSET(TH!M$1,SMALL(Dong2,ROWS($1:15)),)))</f>
        <v>131</v>
      </c>
      <c r="F26" s="452">
        <f ca="1">IF(ROWS($1:15)&gt;COUNT(Dong2),"",IF(AND(IF($M$9="Q4",LEFT(OFFSET(TH!G$1,SMALL(Dong2,ROWS($1:15)),),2)=$M$9,LEFT(OFFSET(TH!G$1,SMALL(Dong2,ROWS($1:15)),),3)=$M$9),OFFSET(TH!L$1,SMALL(Dong2,ROWS($1:15)),)=$I$6),IF($I$6="1121",OFFSET(TH!K$1,SMALL(Dong2,ROWS($1:15)),),OFFSET(TH!#REF!,SMALL(Dong2,ROWS($1:15)),)),0))</f>
        <v>2475000</v>
      </c>
      <c r="G26" s="452">
        <f ca="1">IF(ROWS($1:15)&gt;COUNT(Dong2),"",IF(AND(IF($M$9="Q4",RIGHT(OFFSET(TH!G$1,SMALL(Dong2,ROWS($1:15)),),2)=$M$9,RIGHT(OFFSET(TH!G$1,SMALL(Dong2,ROWS($1:15)),),3)=$M$9),OFFSET(TH!M$1,SMALL(Dong2,ROWS($1:15)),)=$I$6),IF($I$6="1121",OFFSET(TH!K$1,SMALL(Dong2,ROWS($1:15)),),OFFSET(TH!#REF!,SMALL(Dong2,ROWS($1:15)),)),0))</f>
        <v>0</v>
      </c>
      <c r="H26" s="577">
        <f t="shared" ca="1" si="0"/>
        <v>3520601</v>
      </c>
      <c r="I26" s="449"/>
      <c r="L26" s="138"/>
    </row>
    <row r="27" spans="1:17" s="143" customFormat="1" ht="18.75" customHeight="1">
      <c r="A27" s="154">
        <f ca="1">IF(ROWS($1:16)&gt;COUNT(Dong2),"",OFFSET(TH!C$1,SMALL(Dong2,ROWS($1:16)),))</f>
        <v>42087</v>
      </c>
      <c r="B27" s="154" t="str">
        <f ca="1">IF(ROWS($1:16)&gt;COUNT(Dong2),"",OFFSET(TH!D$1,SMALL(Dong2,ROWS($1:16)),))</f>
        <v>T18</v>
      </c>
      <c r="C27" s="154">
        <f ca="1">IF(ROWS($1:16)&gt;COUNT(Dong2),"",OFFSET(TH!E$1,SMALL(Dong2,ROWS($1:16)),))</f>
        <v>42087</v>
      </c>
      <c r="D27" s="221" t="str">
        <f ca="1">IF(ROWS($1:16)&gt;COUNT(Dong2),"",OFFSET(TH!F$1,SMALL(Dong2,ROWS($1:16)),))</f>
        <v>Rút sec nhập quỹ tiền mặt</v>
      </c>
      <c r="E27" s="154" t="str">
        <f ca="1">IF(ROWS($1:16)&gt;COUNT(Dong2),"",IF(OFFSET(TH!M$1,SMALL(Dong2,ROWS($1:16)),)=$I$6,OFFSET(TH!L$1,SMALL(Dong2,ROWS($1:16)),),OFFSET(TH!M$1,SMALL(Dong2,ROWS($1:16)),)))</f>
        <v>1111</v>
      </c>
      <c r="F27" s="452">
        <f ca="1">IF(ROWS($1:16)&gt;COUNT(Dong2),"",IF(AND(IF($M$9="Q4",LEFT(OFFSET(TH!G$1,SMALL(Dong2,ROWS($1:16)),),2)=$M$9,LEFT(OFFSET(TH!G$1,SMALL(Dong2,ROWS($1:16)),),3)=$M$9),OFFSET(TH!L$1,SMALL(Dong2,ROWS($1:16)),)=$I$6),IF($I$6="1121",OFFSET(TH!K$1,SMALL(Dong2,ROWS($1:16)),),OFFSET(TH!#REF!,SMALL(Dong2,ROWS($1:16)),)),0))</f>
        <v>0</v>
      </c>
      <c r="G27" s="452">
        <f ca="1">IF(ROWS($1:16)&gt;COUNT(Dong2),"",IF(AND(IF($M$9="Q4",RIGHT(OFFSET(TH!G$1,SMALL(Dong2,ROWS($1:16)),),2)=$M$9,RIGHT(OFFSET(TH!G$1,SMALL(Dong2,ROWS($1:16)),),3)=$M$9),OFFSET(TH!M$1,SMALL(Dong2,ROWS($1:16)),)=$I$6),IF($I$6="1121",OFFSET(TH!K$1,SMALL(Dong2,ROWS($1:16)),),OFFSET(TH!#REF!,SMALL(Dong2,ROWS($1:16)),)),0))</f>
        <v>2500000</v>
      </c>
      <c r="H27" s="577">
        <f t="shared" ca="1" si="0"/>
        <v>1020601</v>
      </c>
      <c r="I27" s="449"/>
      <c r="L27" s="138"/>
    </row>
    <row r="28" spans="1:17" s="143" customFormat="1" ht="18.75" customHeight="1">
      <c r="A28" s="154">
        <f ca="1">IF(ROWS($1:17)&gt;COUNT(Dong2),"",OFFSET(TH!C$1,SMALL(Dong2,ROWS($1:17)),))</f>
        <v>42088</v>
      </c>
      <c r="B28" s="154" t="str">
        <f ca="1">IF(ROWS($1:17)&gt;COUNT(Dong2),"",OFFSET(TH!D$1,SMALL(Dong2,ROWS($1:17)),))</f>
        <v>GBC</v>
      </c>
      <c r="C28" s="154">
        <f ca="1">IF(ROWS($1:17)&gt;COUNT(Dong2),"",OFFSET(TH!E$1,SMALL(Dong2,ROWS($1:17)),))</f>
        <v>42088</v>
      </c>
      <c r="D28" s="221" t="str">
        <f ca="1">IF(ROWS($1:17)&gt;COUNT(Dong2),"",OFFSET(TH!F$1,SMALL(Dong2,ROWS($1:17)),))</f>
        <v>Lãi tiền gửi</v>
      </c>
      <c r="E28" s="154" t="str">
        <f ca="1">IF(ROWS($1:17)&gt;COUNT(Dong2),"",IF(OFFSET(TH!M$1,SMALL(Dong2,ROWS($1:17)),)=$I$6,OFFSET(TH!L$1,SMALL(Dong2,ROWS($1:17)),),OFFSET(TH!M$1,SMALL(Dong2,ROWS($1:17)),)))</f>
        <v>515</v>
      </c>
      <c r="F28" s="452">
        <f ca="1">IF(ROWS($1:17)&gt;COUNT(Dong2),"",IF(AND(IF($M$9="Q4",LEFT(OFFSET(TH!G$1,SMALL(Dong2,ROWS($1:17)),),2)=$M$9,LEFT(OFFSET(TH!G$1,SMALL(Dong2,ROWS($1:17)),),3)=$M$9),OFFSET(TH!L$1,SMALL(Dong2,ROWS($1:17)),)=$I$6),IF($I$6="1121",OFFSET(TH!K$1,SMALL(Dong2,ROWS($1:17)),),OFFSET(TH!#REF!,SMALL(Dong2,ROWS($1:17)),)),0))</f>
        <v>1558</v>
      </c>
      <c r="G28" s="452">
        <f ca="1">IF(ROWS($1:17)&gt;COUNT(Dong2),"",IF(AND(IF($M$9="Q4",RIGHT(OFFSET(TH!G$1,SMALL(Dong2,ROWS($1:17)),),2)=$M$9,RIGHT(OFFSET(TH!G$1,SMALL(Dong2,ROWS($1:17)),),3)=$M$9),OFFSET(TH!M$1,SMALL(Dong2,ROWS($1:17)),)=$I$6),IF($I$6="1121",OFFSET(TH!K$1,SMALL(Dong2,ROWS($1:17)),),OFFSET(TH!#REF!,SMALL(Dong2,ROWS($1:17)),)),0))</f>
        <v>0</v>
      </c>
      <c r="H28" s="577">
        <f t="shared" ca="1" si="0"/>
        <v>1022159</v>
      </c>
      <c r="I28" s="449"/>
      <c r="L28" s="138"/>
    </row>
    <row r="29" spans="1:17" s="143" customFormat="1" ht="18.75" customHeight="1">
      <c r="A29" s="154">
        <f ca="1">IF(ROWS($1:18)&gt;COUNT(Dong2),"",OFFSET(TH!C$1,SMALL(Dong2,ROWS($1:18)),))</f>
        <v>42088</v>
      </c>
      <c r="B29" s="154" t="str">
        <f ca="1">IF(ROWS($1:18)&gt;COUNT(Dong2),"",OFFSET(TH!D$1,SMALL(Dong2,ROWS($1:18)),))</f>
        <v>GBN</v>
      </c>
      <c r="C29" s="154">
        <f ca="1">IF(ROWS($1:18)&gt;COUNT(Dong2),"",OFFSET(TH!E$1,SMALL(Dong2,ROWS($1:18)),))</f>
        <v>42088</v>
      </c>
      <c r="D29" s="221" t="str">
        <f ca="1">IF(ROWS($1:18)&gt;COUNT(Dong2),"",OFFSET(TH!F$1,SMALL(Dong2,ROWS($1:18)),))</f>
        <v>Phí quản lý tài khoản</v>
      </c>
      <c r="E29" s="154" t="str">
        <f ca="1">IF(ROWS($1:18)&gt;COUNT(Dong2),"",IF(OFFSET(TH!M$1,SMALL(Dong2,ROWS($1:18)),)=$I$6,OFFSET(TH!L$1,SMALL(Dong2,ROWS($1:18)),),OFFSET(TH!M$1,SMALL(Dong2,ROWS($1:18)),)))</f>
        <v>642</v>
      </c>
      <c r="F29" s="452">
        <f ca="1">IF(ROWS($1:18)&gt;COUNT(Dong2),"",IF(AND(IF($M$9="Q4",LEFT(OFFSET(TH!G$1,SMALL(Dong2,ROWS($1:18)),),2)=$M$9,LEFT(OFFSET(TH!G$1,SMALL(Dong2,ROWS($1:18)),),3)=$M$9),OFFSET(TH!L$1,SMALL(Dong2,ROWS($1:18)),)=$I$6),IF($I$6="1121",OFFSET(TH!K$1,SMALL(Dong2,ROWS($1:18)),),OFFSET(TH!#REF!,SMALL(Dong2,ROWS($1:18)),)),0))</f>
        <v>0</v>
      </c>
      <c r="G29" s="452">
        <f ca="1">IF(ROWS($1:18)&gt;COUNT(Dong2),"",IF(AND(IF($M$9="Q4",RIGHT(OFFSET(TH!G$1,SMALL(Dong2,ROWS($1:18)),),2)=$M$9,RIGHT(OFFSET(TH!G$1,SMALL(Dong2,ROWS($1:18)),),3)=$M$9),OFFSET(TH!M$1,SMALL(Dong2,ROWS($1:18)),)=$I$6),IF($I$6="1121",OFFSET(TH!K$1,SMALL(Dong2,ROWS($1:18)),),OFFSET(TH!#REF!,SMALL(Dong2,ROWS($1:18)),)),0))</f>
        <v>11000</v>
      </c>
      <c r="H29" s="577">
        <f t="shared" ca="1" si="0"/>
        <v>1011159</v>
      </c>
      <c r="I29" s="449"/>
      <c r="L29" s="138"/>
    </row>
    <row r="30" spans="1:17" s="143" customFormat="1" ht="18.75" customHeight="1">
      <c r="A30" s="154">
        <f ca="1">IF(ROWS($1:19)&gt;COUNT(Dong2),"",OFFSET(TH!C$1,SMALL(Dong2,ROWS($1:19)),))</f>
        <v>42089</v>
      </c>
      <c r="B30" s="154" t="str">
        <f ca="1">IF(ROWS($1:19)&gt;COUNT(Dong2),"",OFFSET(TH!D$1,SMALL(Dong2,ROWS($1:19)),))</f>
        <v>GBC</v>
      </c>
      <c r="C30" s="154">
        <f ca="1">IF(ROWS($1:19)&gt;COUNT(Dong2),"",OFFSET(TH!E$1,SMALL(Dong2,ROWS($1:19)),))</f>
        <v>42089</v>
      </c>
      <c r="D30" s="221" t="str">
        <f ca="1">IF(ROWS($1:19)&gt;COUNT(Dong2),"",OFFSET(TH!F$1,SMALL(Dong2,ROWS($1:19)),))</f>
        <v>Thu tiền hàng</v>
      </c>
      <c r="E30" s="154" t="str">
        <f ca="1">IF(ROWS($1:19)&gt;COUNT(Dong2),"",IF(OFFSET(TH!M$1,SMALL(Dong2,ROWS($1:19)),)=$I$6,OFFSET(TH!L$1,SMALL(Dong2,ROWS($1:19)),),OFFSET(TH!M$1,SMALL(Dong2,ROWS($1:19)),)))</f>
        <v>131</v>
      </c>
      <c r="F30" s="452">
        <f ca="1">IF(ROWS($1:19)&gt;COUNT(Dong2),"",IF(AND(IF($M$9="Q4",LEFT(OFFSET(TH!G$1,SMALL(Dong2,ROWS($1:19)),),2)=$M$9,LEFT(OFFSET(TH!G$1,SMALL(Dong2,ROWS($1:19)),),3)=$M$9),OFFSET(TH!L$1,SMALL(Dong2,ROWS($1:19)),)=$I$6),IF($I$6="1121",OFFSET(TH!K$1,SMALL(Dong2,ROWS($1:19)),),OFFSET(TH!#REF!,SMALL(Dong2,ROWS($1:19)),)),0))</f>
        <v>20514460</v>
      </c>
      <c r="G30" s="452">
        <f ca="1">IF(ROWS($1:19)&gt;COUNT(Dong2),"",IF(AND(IF($M$9="Q4",RIGHT(OFFSET(TH!G$1,SMALL(Dong2,ROWS($1:19)),),2)=$M$9,RIGHT(OFFSET(TH!G$1,SMALL(Dong2,ROWS($1:19)),),3)=$M$9),OFFSET(TH!M$1,SMALL(Dong2,ROWS($1:19)),)=$I$6),IF($I$6="1121",OFFSET(TH!K$1,SMALL(Dong2,ROWS($1:19)),),OFFSET(TH!#REF!,SMALL(Dong2,ROWS($1:19)),)),0))</f>
        <v>0</v>
      </c>
      <c r="H30" s="577">
        <f t="shared" ca="1" si="0"/>
        <v>21525619</v>
      </c>
      <c r="I30" s="449"/>
      <c r="L30" s="138"/>
    </row>
    <row r="31" spans="1:17" s="143" customFormat="1" ht="18.75" customHeight="1">
      <c r="A31" s="154">
        <f ca="1">IF(ROWS($1:20)&gt;COUNT(Dong2),"",OFFSET(TH!C$1,SMALL(Dong2,ROWS($1:20)),))</f>
        <v>42089</v>
      </c>
      <c r="B31" s="154" t="str">
        <f ca="1">IF(ROWS($1:20)&gt;COUNT(Dong2),"",OFFSET(TH!D$1,SMALL(Dong2,ROWS($1:20)),))</f>
        <v>T19</v>
      </c>
      <c r="C31" s="154">
        <f ca="1">IF(ROWS($1:20)&gt;COUNT(Dong2),"",OFFSET(TH!E$1,SMALL(Dong2,ROWS($1:20)),))</f>
        <v>42089</v>
      </c>
      <c r="D31" s="221" t="str">
        <f ca="1">IF(ROWS($1:20)&gt;COUNT(Dong2),"",OFFSET(TH!F$1,SMALL(Dong2,ROWS($1:20)),))</f>
        <v>Rút sec nhập quỹ tiền mặt</v>
      </c>
      <c r="E31" s="154" t="str">
        <f ca="1">IF(ROWS($1:20)&gt;COUNT(Dong2),"",IF(OFFSET(TH!M$1,SMALL(Dong2,ROWS($1:20)),)=$I$6,OFFSET(TH!L$1,SMALL(Dong2,ROWS($1:20)),),OFFSET(TH!M$1,SMALL(Dong2,ROWS($1:20)),)))</f>
        <v>1111</v>
      </c>
      <c r="F31" s="452">
        <f ca="1">IF(ROWS($1:20)&gt;COUNT(Dong2),"",IF(AND(IF($M$9="Q4",LEFT(OFFSET(TH!G$1,SMALL(Dong2,ROWS($1:20)),),2)=$M$9,LEFT(OFFSET(TH!G$1,SMALL(Dong2,ROWS($1:20)),),3)=$M$9),OFFSET(TH!L$1,SMALL(Dong2,ROWS($1:20)),)=$I$6),IF($I$6="1121",OFFSET(TH!K$1,SMALL(Dong2,ROWS($1:20)),),OFFSET(TH!#REF!,SMALL(Dong2,ROWS($1:20)),)),0))</f>
        <v>0</v>
      </c>
      <c r="G31" s="452">
        <f ca="1">IF(ROWS($1:20)&gt;COUNT(Dong2),"",IF(AND(IF($M$9="Q4",RIGHT(OFFSET(TH!G$1,SMALL(Dong2,ROWS($1:20)),),2)=$M$9,RIGHT(OFFSET(TH!G$1,SMALL(Dong2,ROWS($1:20)),),3)=$M$9),OFFSET(TH!M$1,SMALL(Dong2,ROWS($1:20)),)=$I$6),IF($I$6="1121",OFFSET(TH!K$1,SMALL(Dong2,ROWS($1:20)),),OFFSET(TH!#REF!,SMALL(Dong2,ROWS($1:20)),)),0))</f>
        <v>20500000</v>
      </c>
      <c r="H31" s="577">
        <f t="shared" ca="1" si="0"/>
        <v>1025619</v>
      </c>
      <c r="I31" s="449"/>
      <c r="L31" s="138"/>
    </row>
    <row r="32" spans="1:17" s="143" customFormat="1" ht="18.75" customHeight="1">
      <c r="A32" s="154" t="str">
        <f ca="1">IF(ROWS($1:21)&gt;COUNT(Dong2),"",OFFSET(TH!C$1,SMALL(Dong2,ROWS($1:21)),))</f>
        <v/>
      </c>
      <c r="B32" s="154" t="str">
        <f ca="1">IF(ROWS($1:21)&gt;COUNT(Dong2),"",OFFSET(TH!D$1,SMALL(Dong2,ROWS($1:21)),))</f>
        <v/>
      </c>
      <c r="C32" s="154" t="str">
        <f ca="1">IF(ROWS($1:21)&gt;COUNT(Dong2),"",OFFSET(TH!E$1,SMALL(Dong2,ROWS($1:21)),))</f>
        <v/>
      </c>
      <c r="D32" s="221" t="str">
        <f ca="1">IF(ROWS($1:21)&gt;COUNT(Dong2),"",OFFSET(TH!F$1,SMALL(Dong2,ROWS($1:21)),))</f>
        <v/>
      </c>
      <c r="E32" s="154" t="str">
        <f ca="1">IF(ROWS($1:21)&gt;COUNT(Dong2),"",IF(OFFSET(TH!M$1,SMALL(Dong2,ROWS($1:21)),)=$I$6,OFFSET(TH!L$1,SMALL(Dong2,ROWS($1:21)),),OFFSET(TH!M$1,SMALL(Dong2,ROWS($1:21)),)))</f>
        <v/>
      </c>
      <c r="F32" s="452" t="str">
        <f ca="1">IF(ROWS($1:21)&gt;COUNT(Dong2),"",IF(AND(IF($M$9="Q4",LEFT(OFFSET(TH!G$1,SMALL(Dong2,ROWS($1:21)),),2)=$M$9,LEFT(OFFSET(TH!G$1,SMALL(Dong2,ROWS($1:21)),),3)=$M$9),OFFSET(TH!L$1,SMALL(Dong2,ROWS($1:21)),)=$I$6),IF($I$6="1121",OFFSET(TH!K$1,SMALL(Dong2,ROWS($1:21)),),OFFSET(TH!#REF!,SMALL(Dong2,ROWS($1:21)),)),0))</f>
        <v/>
      </c>
      <c r="G32" s="452" t="str">
        <f ca="1">IF(ROWS($1:21)&gt;COUNT(Dong2),"",IF(AND(IF($M$9="Q4",RIGHT(OFFSET(TH!G$1,SMALL(Dong2,ROWS($1:21)),),2)=$M$9,RIGHT(OFFSET(TH!G$1,SMALL(Dong2,ROWS($1:21)),),3)=$M$9),OFFSET(TH!M$1,SMALL(Dong2,ROWS($1:21)),)=$I$6),IF($I$6="1121",OFFSET(TH!K$1,SMALL(Dong2,ROWS($1:21)),),OFFSET(TH!#REF!,SMALL(Dong2,ROWS($1:21)),)),0))</f>
        <v/>
      </c>
      <c r="H32" s="577">
        <f t="shared" ca="1" si="0"/>
        <v>0</v>
      </c>
      <c r="I32" s="449"/>
      <c r="L32" s="138"/>
    </row>
    <row r="33" spans="1:12" s="143" customFormat="1" ht="18.75" customHeight="1">
      <c r="A33" s="154" t="str">
        <f ca="1">IF(ROWS($1:22)&gt;COUNT(Dong2),"",OFFSET(TH!C$1,SMALL(Dong2,ROWS($1:22)),))</f>
        <v/>
      </c>
      <c r="B33" s="154" t="str">
        <f ca="1">IF(ROWS($1:22)&gt;COUNT(Dong2),"",OFFSET(TH!D$1,SMALL(Dong2,ROWS($1:22)),))</f>
        <v/>
      </c>
      <c r="C33" s="154" t="str">
        <f ca="1">IF(ROWS($1:22)&gt;COUNT(Dong2),"",OFFSET(TH!E$1,SMALL(Dong2,ROWS($1:22)),))</f>
        <v/>
      </c>
      <c r="D33" s="221" t="str">
        <f ca="1">IF(ROWS($1:22)&gt;COUNT(Dong2),"",OFFSET(TH!F$1,SMALL(Dong2,ROWS($1:22)),))</f>
        <v/>
      </c>
      <c r="E33" s="154" t="str">
        <f ca="1">IF(ROWS($1:22)&gt;COUNT(Dong2),"",IF(OFFSET(TH!M$1,SMALL(Dong2,ROWS($1:22)),)=$I$6,OFFSET(TH!L$1,SMALL(Dong2,ROWS($1:22)),),OFFSET(TH!M$1,SMALL(Dong2,ROWS($1:22)),)))</f>
        <v/>
      </c>
      <c r="F33" s="452" t="str">
        <f ca="1">IF(ROWS($1:22)&gt;COUNT(Dong2),"",IF(AND(IF($M$9="Q4",LEFT(OFFSET(TH!G$1,SMALL(Dong2,ROWS($1:22)),),2)=$M$9,LEFT(OFFSET(TH!G$1,SMALL(Dong2,ROWS($1:22)),),3)=$M$9),OFFSET(TH!L$1,SMALL(Dong2,ROWS($1:22)),)=$I$6),IF($I$6="1121",OFFSET(TH!K$1,SMALL(Dong2,ROWS($1:22)),),OFFSET(TH!#REF!,SMALL(Dong2,ROWS($1:22)),)),0))</f>
        <v/>
      </c>
      <c r="G33" s="452" t="str">
        <f ca="1">IF(ROWS($1:22)&gt;COUNT(Dong2),"",IF(AND(IF($M$9="Q4",RIGHT(OFFSET(TH!G$1,SMALL(Dong2,ROWS($1:22)),),2)=$M$9,RIGHT(OFFSET(TH!G$1,SMALL(Dong2,ROWS($1:22)),),3)=$M$9),OFFSET(TH!M$1,SMALL(Dong2,ROWS($1:22)),)=$I$6),IF($I$6="1121",OFFSET(TH!K$1,SMALL(Dong2,ROWS($1:22)),),OFFSET(TH!#REF!,SMALL(Dong2,ROWS($1:22)),)),0))</f>
        <v/>
      </c>
      <c r="H33" s="577">
        <f t="shared" ca="1" si="0"/>
        <v>0</v>
      </c>
      <c r="I33" s="449"/>
      <c r="L33" s="138"/>
    </row>
    <row r="34" spans="1:12" s="143" customFormat="1" ht="18.75" customHeight="1">
      <c r="A34" s="154" t="str">
        <f ca="1">IF(ROWS($1:23)&gt;COUNT(Dong2),"",OFFSET(TH!C$1,SMALL(Dong2,ROWS($1:23)),))</f>
        <v/>
      </c>
      <c r="B34" s="154" t="str">
        <f ca="1">IF(ROWS($1:23)&gt;COUNT(Dong2),"",OFFSET(TH!D$1,SMALL(Dong2,ROWS($1:23)),))</f>
        <v/>
      </c>
      <c r="C34" s="154" t="str">
        <f ca="1">IF(ROWS($1:23)&gt;COUNT(Dong2),"",OFFSET(TH!E$1,SMALL(Dong2,ROWS($1:23)),))</f>
        <v/>
      </c>
      <c r="D34" s="221" t="str">
        <f ca="1">IF(ROWS($1:23)&gt;COUNT(Dong2),"",OFFSET(TH!F$1,SMALL(Dong2,ROWS($1:23)),))</f>
        <v/>
      </c>
      <c r="E34" s="154" t="str">
        <f ca="1">IF(ROWS($1:23)&gt;COUNT(Dong2),"",IF(OFFSET(TH!M$1,SMALL(Dong2,ROWS($1:23)),)=$I$6,OFFSET(TH!L$1,SMALL(Dong2,ROWS($1:23)),),OFFSET(TH!M$1,SMALL(Dong2,ROWS($1:23)),)))</f>
        <v/>
      </c>
      <c r="F34" s="452" t="str">
        <f ca="1">IF(ROWS($1:23)&gt;COUNT(Dong2),"",IF(AND(IF($M$9="Q4",LEFT(OFFSET(TH!G$1,SMALL(Dong2,ROWS($1:23)),),2)=$M$9,LEFT(OFFSET(TH!G$1,SMALL(Dong2,ROWS($1:23)),),3)=$M$9),OFFSET(TH!L$1,SMALL(Dong2,ROWS($1:23)),)=$I$6),IF($I$6="1121",OFFSET(TH!K$1,SMALL(Dong2,ROWS($1:23)),),OFFSET(TH!#REF!,SMALL(Dong2,ROWS($1:23)),)),0))</f>
        <v/>
      </c>
      <c r="G34" s="452" t="str">
        <f ca="1">IF(ROWS($1:23)&gt;COUNT(Dong2),"",IF(AND(IF($M$9="Q4",RIGHT(OFFSET(TH!G$1,SMALL(Dong2,ROWS($1:23)),),2)=$M$9,RIGHT(OFFSET(TH!G$1,SMALL(Dong2,ROWS($1:23)),),3)=$M$9),OFFSET(TH!M$1,SMALL(Dong2,ROWS($1:23)),)=$I$6),IF($I$6="1121",OFFSET(TH!K$1,SMALL(Dong2,ROWS($1:23)),),OFFSET(TH!#REF!,SMALL(Dong2,ROWS($1:23)),)),0))</f>
        <v/>
      </c>
      <c r="H34" s="577">
        <f t="shared" ca="1" si="0"/>
        <v>0</v>
      </c>
      <c r="I34" s="449"/>
      <c r="L34" s="138"/>
    </row>
    <row r="35" spans="1:12" s="143" customFormat="1" ht="18.75" customHeight="1">
      <c r="A35" s="154" t="str">
        <f ca="1">IF(ROWS($1:24)&gt;COUNT(Dong2),"",OFFSET(TH!C$1,SMALL(Dong2,ROWS($1:24)),))</f>
        <v/>
      </c>
      <c r="B35" s="154" t="str">
        <f ca="1">IF(ROWS($1:24)&gt;COUNT(Dong2),"",OFFSET(TH!D$1,SMALL(Dong2,ROWS($1:24)),))</f>
        <v/>
      </c>
      <c r="C35" s="154" t="str">
        <f ca="1">IF(ROWS($1:24)&gt;COUNT(Dong2),"",OFFSET(TH!E$1,SMALL(Dong2,ROWS($1:24)),))</f>
        <v/>
      </c>
      <c r="D35" s="221" t="str">
        <f ca="1">IF(ROWS($1:24)&gt;COUNT(Dong2),"",OFFSET(TH!F$1,SMALL(Dong2,ROWS($1:24)),))</f>
        <v/>
      </c>
      <c r="E35" s="154" t="str">
        <f ca="1">IF(ROWS($1:24)&gt;COUNT(Dong2),"",IF(OFFSET(TH!M$1,SMALL(Dong2,ROWS($1:24)),)=$I$6,OFFSET(TH!L$1,SMALL(Dong2,ROWS($1:24)),),OFFSET(TH!M$1,SMALL(Dong2,ROWS($1:24)),)))</f>
        <v/>
      </c>
      <c r="F35" s="452" t="str">
        <f ca="1">IF(ROWS($1:24)&gt;COUNT(Dong2),"",IF(AND(IF($M$9="Q4",LEFT(OFFSET(TH!G$1,SMALL(Dong2,ROWS($1:24)),),2)=$M$9,LEFT(OFFSET(TH!G$1,SMALL(Dong2,ROWS($1:24)),),3)=$M$9),OFFSET(TH!L$1,SMALL(Dong2,ROWS($1:24)),)=$I$6),IF($I$6="1121",OFFSET(TH!K$1,SMALL(Dong2,ROWS($1:24)),),OFFSET(TH!#REF!,SMALL(Dong2,ROWS($1:24)),)),0))</f>
        <v/>
      </c>
      <c r="G35" s="452" t="str">
        <f ca="1">IF(ROWS($1:24)&gt;COUNT(Dong2),"",IF(AND(IF($M$9="Q4",RIGHT(OFFSET(TH!G$1,SMALL(Dong2,ROWS($1:24)),),2)=$M$9,RIGHT(OFFSET(TH!G$1,SMALL(Dong2,ROWS($1:24)),),3)=$M$9),OFFSET(TH!M$1,SMALL(Dong2,ROWS($1:24)),)=$I$6),IF($I$6="1121",OFFSET(TH!K$1,SMALL(Dong2,ROWS($1:24)),),OFFSET(TH!#REF!,SMALL(Dong2,ROWS($1:24)),)),0))</f>
        <v/>
      </c>
      <c r="H35" s="577">
        <f t="shared" ca="1" si="0"/>
        <v>0</v>
      </c>
      <c r="I35" s="449"/>
      <c r="L35" s="138"/>
    </row>
    <row r="36" spans="1:12" s="143" customFormat="1" ht="18.75" customHeight="1">
      <c r="A36" s="154" t="str">
        <f ca="1">IF(ROWS($1:25)&gt;COUNT(Dong2),"",OFFSET(TH!C$1,SMALL(Dong2,ROWS($1:25)),))</f>
        <v/>
      </c>
      <c r="B36" s="154" t="str">
        <f ca="1">IF(ROWS($1:25)&gt;COUNT(Dong2),"",OFFSET(TH!D$1,SMALL(Dong2,ROWS($1:25)),))</f>
        <v/>
      </c>
      <c r="C36" s="154" t="str">
        <f ca="1">IF(ROWS($1:25)&gt;COUNT(Dong2),"",OFFSET(TH!E$1,SMALL(Dong2,ROWS($1:25)),))</f>
        <v/>
      </c>
      <c r="D36" s="221" t="str">
        <f ca="1">IF(ROWS($1:25)&gt;COUNT(Dong2),"",OFFSET(TH!F$1,SMALL(Dong2,ROWS($1:25)),))</f>
        <v/>
      </c>
      <c r="E36" s="154" t="str">
        <f ca="1">IF(ROWS($1:25)&gt;COUNT(Dong2),"",IF(OFFSET(TH!M$1,SMALL(Dong2,ROWS($1:25)),)=$I$6,OFFSET(TH!L$1,SMALL(Dong2,ROWS($1:25)),),OFFSET(TH!M$1,SMALL(Dong2,ROWS($1:25)),)))</f>
        <v/>
      </c>
      <c r="F36" s="452" t="str">
        <f ca="1">IF(ROWS($1:25)&gt;COUNT(Dong2),"",IF(AND(IF($M$9="Q4",LEFT(OFFSET(TH!G$1,SMALL(Dong2,ROWS($1:25)),),2)=$M$9,LEFT(OFFSET(TH!G$1,SMALL(Dong2,ROWS($1:25)),),3)=$M$9),OFFSET(TH!L$1,SMALL(Dong2,ROWS($1:25)),)=$I$6),IF($I$6="1121",OFFSET(TH!K$1,SMALL(Dong2,ROWS($1:25)),),OFFSET(TH!#REF!,SMALL(Dong2,ROWS($1:25)),)),0))</f>
        <v/>
      </c>
      <c r="G36" s="452" t="str">
        <f ca="1">IF(ROWS($1:25)&gt;COUNT(Dong2),"",IF(AND(IF($M$9="Q4",RIGHT(OFFSET(TH!G$1,SMALL(Dong2,ROWS($1:25)),),2)=$M$9,RIGHT(OFFSET(TH!G$1,SMALL(Dong2,ROWS($1:25)),),3)=$M$9),OFFSET(TH!M$1,SMALL(Dong2,ROWS($1:25)),)=$I$6),IF($I$6="1121",OFFSET(TH!K$1,SMALL(Dong2,ROWS($1:25)),),OFFSET(TH!#REF!,SMALL(Dong2,ROWS($1:25)),)),0))</f>
        <v/>
      </c>
      <c r="H36" s="577">
        <f t="shared" ca="1" si="0"/>
        <v>0</v>
      </c>
      <c r="I36" s="449"/>
      <c r="L36" s="138"/>
    </row>
    <row r="37" spans="1:12" s="143" customFormat="1" ht="18.75" customHeight="1">
      <c r="A37" s="154" t="str">
        <f ca="1">IF(ROWS($1:26)&gt;COUNT(Dong2),"",OFFSET(TH!C$1,SMALL(Dong2,ROWS($1:26)),))</f>
        <v/>
      </c>
      <c r="B37" s="154" t="str">
        <f ca="1">IF(ROWS($1:26)&gt;COUNT(Dong2),"",OFFSET(TH!D$1,SMALL(Dong2,ROWS($1:26)),))</f>
        <v/>
      </c>
      <c r="C37" s="154" t="str">
        <f ca="1">IF(ROWS($1:26)&gt;COUNT(Dong2),"",OFFSET(TH!E$1,SMALL(Dong2,ROWS($1:26)),))</f>
        <v/>
      </c>
      <c r="D37" s="221" t="str">
        <f ca="1">IF(ROWS($1:26)&gt;COUNT(Dong2),"",OFFSET(TH!F$1,SMALL(Dong2,ROWS($1:26)),))</f>
        <v/>
      </c>
      <c r="E37" s="154" t="str">
        <f ca="1">IF(ROWS($1:26)&gt;COUNT(Dong2),"",IF(OFFSET(TH!M$1,SMALL(Dong2,ROWS($1:26)),)=$I$6,OFFSET(TH!L$1,SMALL(Dong2,ROWS($1:26)),),OFFSET(TH!M$1,SMALL(Dong2,ROWS($1:26)),)))</f>
        <v/>
      </c>
      <c r="F37" s="452" t="str">
        <f ca="1">IF(ROWS($1:26)&gt;COUNT(Dong2),"",IF(AND(IF($M$9="Q4",LEFT(OFFSET(TH!G$1,SMALL(Dong2,ROWS($1:26)),),2)=$M$9,LEFT(OFFSET(TH!G$1,SMALL(Dong2,ROWS($1:26)),),3)=$M$9),OFFSET(TH!L$1,SMALL(Dong2,ROWS($1:26)),)=$I$6),IF($I$6="1121",OFFSET(TH!K$1,SMALL(Dong2,ROWS($1:26)),),OFFSET(TH!#REF!,SMALL(Dong2,ROWS($1:26)),)),0))</f>
        <v/>
      </c>
      <c r="G37" s="452" t="str">
        <f ca="1">IF(ROWS($1:26)&gt;COUNT(Dong2),"",IF(AND(IF($M$9="Q4",RIGHT(OFFSET(TH!G$1,SMALL(Dong2,ROWS($1:26)),),2)=$M$9,RIGHT(OFFSET(TH!G$1,SMALL(Dong2,ROWS($1:26)),),3)=$M$9),OFFSET(TH!M$1,SMALL(Dong2,ROWS($1:26)),)=$I$6),IF($I$6="1121",OFFSET(TH!K$1,SMALL(Dong2,ROWS($1:26)),),OFFSET(TH!#REF!,SMALL(Dong2,ROWS($1:26)),)),0))</f>
        <v/>
      </c>
      <c r="H37" s="577">
        <f t="shared" ca="1" si="0"/>
        <v>0</v>
      </c>
      <c r="I37" s="449"/>
      <c r="L37" s="138"/>
    </row>
    <row r="38" spans="1:12" s="143" customFormat="1" ht="18.75" customHeight="1">
      <c r="A38" s="154" t="str">
        <f ca="1">IF(ROWS($1:27)&gt;COUNT(Dong2),"",OFFSET(TH!C$1,SMALL(Dong2,ROWS($1:27)),))</f>
        <v/>
      </c>
      <c r="B38" s="154" t="str">
        <f ca="1">IF(ROWS($1:27)&gt;COUNT(Dong2),"",OFFSET(TH!D$1,SMALL(Dong2,ROWS($1:27)),))</f>
        <v/>
      </c>
      <c r="C38" s="154" t="str">
        <f ca="1">IF(ROWS($1:27)&gt;COUNT(Dong2),"",OFFSET(TH!E$1,SMALL(Dong2,ROWS($1:27)),))</f>
        <v/>
      </c>
      <c r="D38" s="221" t="str">
        <f ca="1">IF(ROWS($1:27)&gt;COUNT(Dong2),"",OFFSET(TH!F$1,SMALL(Dong2,ROWS($1:27)),))</f>
        <v/>
      </c>
      <c r="E38" s="154" t="str">
        <f ca="1">IF(ROWS($1:27)&gt;COUNT(Dong2),"",IF(OFFSET(TH!M$1,SMALL(Dong2,ROWS($1:27)),)=$I$6,OFFSET(TH!L$1,SMALL(Dong2,ROWS($1:27)),),OFFSET(TH!M$1,SMALL(Dong2,ROWS($1:27)),)))</f>
        <v/>
      </c>
      <c r="F38" s="452" t="str">
        <f ca="1">IF(ROWS($1:27)&gt;COUNT(Dong2),"",IF(AND(IF($M$9="Q4",LEFT(OFFSET(TH!G$1,SMALL(Dong2,ROWS($1:27)),),2)=$M$9,LEFT(OFFSET(TH!G$1,SMALL(Dong2,ROWS($1:27)),),3)=$M$9),OFFSET(TH!L$1,SMALL(Dong2,ROWS($1:27)),)=$I$6),IF($I$6="1121",OFFSET(TH!K$1,SMALL(Dong2,ROWS($1:27)),),OFFSET(TH!#REF!,SMALL(Dong2,ROWS($1:27)),)),0))</f>
        <v/>
      </c>
      <c r="G38" s="452" t="str">
        <f ca="1">IF(ROWS($1:27)&gt;COUNT(Dong2),"",IF(AND(IF($M$9="Q4",RIGHT(OFFSET(TH!G$1,SMALL(Dong2,ROWS($1:27)),),2)=$M$9,RIGHT(OFFSET(TH!G$1,SMALL(Dong2,ROWS($1:27)),),3)=$M$9),OFFSET(TH!M$1,SMALL(Dong2,ROWS($1:27)),)=$I$6),IF($I$6="1121",OFFSET(TH!K$1,SMALL(Dong2,ROWS($1:27)),),OFFSET(TH!#REF!,SMALL(Dong2,ROWS($1:27)),)),0))</f>
        <v/>
      </c>
      <c r="H38" s="577">
        <f t="shared" ca="1" si="0"/>
        <v>0</v>
      </c>
      <c r="I38" s="449"/>
      <c r="L38" s="138"/>
    </row>
    <row r="39" spans="1:12" s="143" customFormat="1" ht="18.75" customHeight="1">
      <c r="A39" s="154" t="str">
        <f ca="1">IF(ROWS($1:28)&gt;COUNT(Dong2),"",OFFSET(TH!C$1,SMALL(Dong2,ROWS($1:28)),))</f>
        <v/>
      </c>
      <c r="B39" s="154" t="str">
        <f ca="1">IF(ROWS($1:28)&gt;COUNT(Dong2),"",OFFSET(TH!D$1,SMALL(Dong2,ROWS($1:28)),))</f>
        <v/>
      </c>
      <c r="C39" s="154" t="str">
        <f ca="1">IF(ROWS($1:28)&gt;COUNT(Dong2),"",OFFSET(TH!E$1,SMALL(Dong2,ROWS($1:28)),))</f>
        <v/>
      </c>
      <c r="D39" s="221" t="str">
        <f ca="1">IF(ROWS($1:28)&gt;COUNT(Dong2),"",OFFSET(TH!F$1,SMALL(Dong2,ROWS($1:28)),))</f>
        <v/>
      </c>
      <c r="E39" s="154" t="str">
        <f ca="1">IF(ROWS($1:28)&gt;COUNT(Dong2),"",IF(OFFSET(TH!M$1,SMALL(Dong2,ROWS($1:28)),)=$I$6,OFFSET(TH!L$1,SMALL(Dong2,ROWS($1:28)),),OFFSET(TH!M$1,SMALL(Dong2,ROWS($1:28)),)))</f>
        <v/>
      </c>
      <c r="F39" s="452" t="str">
        <f ca="1">IF(ROWS($1:28)&gt;COUNT(Dong2),"",IF(AND(IF($M$9="Q4",LEFT(OFFSET(TH!G$1,SMALL(Dong2,ROWS($1:28)),),2)=$M$9,LEFT(OFFSET(TH!G$1,SMALL(Dong2,ROWS($1:28)),),3)=$M$9),OFFSET(TH!L$1,SMALL(Dong2,ROWS($1:28)),)=$I$6),IF($I$6="1121",OFFSET(TH!K$1,SMALL(Dong2,ROWS($1:28)),),OFFSET(TH!#REF!,SMALL(Dong2,ROWS($1:28)),)),0))</f>
        <v/>
      </c>
      <c r="G39" s="452" t="str">
        <f ca="1">IF(ROWS($1:28)&gt;COUNT(Dong2),"",IF(AND(IF($M$9="Q4",RIGHT(OFFSET(TH!G$1,SMALL(Dong2,ROWS($1:28)),),2)=$M$9,RIGHT(OFFSET(TH!G$1,SMALL(Dong2,ROWS($1:28)),),3)=$M$9),OFFSET(TH!M$1,SMALL(Dong2,ROWS($1:28)),)=$I$6),IF($I$6="1121",OFFSET(TH!K$1,SMALL(Dong2,ROWS($1:28)),),OFFSET(TH!#REF!,SMALL(Dong2,ROWS($1:28)),)),0))</f>
        <v/>
      </c>
      <c r="H39" s="577">
        <f t="shared" ca="1" si="0"/>
        <v>0</v>
      </c>
      <c r="I39" s="449"/>
      <c r="L39" s="138"/>
    </row>
    <row r="40" spans="1:12" s="143" customFormat="1" ht="18.75" customHeight="1">
      <c r="A40" s="154" t="str">
        <f ca="1">IF(ROWS($1:29)&gt;COUNT(Dong2),"",OFFSET(TH!C$1,SMALL(Dong2,ROWS($1:29)),))</f>
        <v/>
      </c>
      <c r="B40" s="154" t="str">
        <f ca="1">IF(ROWS($1:29)&gt;COUNT(Dong2),"",OFFSET(TH!D$1,SMALL(Dong2,ROWS($1:29)),))</f>
        <v/>
      </c>
      <c r="C40" s="154" t="str">
        <f ca="1">IF(ROWS($1:29)&gt;COUNT(Dong2),"",OFFSET(TH!E$1,SMALL(Dong2,ROWS($1:29)),))</f>
        <v/>
      </c>
      <c r="D40" s="221" t="str">
        <f ca="1">IF(ROWS($1:29)&gt;COUNT(Dong2),"",OFFSET(TH!F$1,SMALL(Dong2,ROWS($1:29)),))</f>
        <v/>
      </c>
      <c r="E40" s="154" t="str">
        <f ca="1">IF(ROWS($1:29)&gt;COUNT(Dong2),"",IF(OFFSET(TH!M$1,SMALL(Dong2,ROWS($1:29)),)=$I$6,OFFSET(TH!L$1,SMALL(Dong2,ROWS($1:29)),),OFFSET(TH!M$1,SMALL(Dong2,ROWS($1:29)),)))</f>
        <v/>
      </c>
      <c r="F40" s="452" t="str">
        <f ca="1">IF(ROWS($1:29)&gt;COUNT(Dong2),"",IF(AND(IF($M$9="Q4",LEFT(OFFSET(TH!G$1,SMALL(Dong2,ROWS($1:29)),),2)=$M$9,LEFT(OFFSET(TH!G$1,SMALL(Dong2,ROWS($1:29)),),3)=$M$9),OFFSET(TH!L$1,SMALL(Dong2,ROWS($1:29)),)=$I$6),IF($I$6="1121",OFFSET(TH!K$1,SMALL(Dong2,ROWS($1:29)),),OFFSET(TH!#REF!,SMALL(Dong2,ROWS($1:29)),)),0))</f>
        <v/>
      </c>
      <c r="G40" s="452" t="str">
        <f ca="1">IF(ROWS($1:29)&gt;COUNT(Dong2),"",IF(AND(IF($M$9="Q4",RIGHT(OFFSET(TH!G$1,SMALL(Dong2,ROWS($1:29)),),2)=$M$9,RIGHT(OFFSET(TH!G$1,SMALL(Dong2,ROWS($1:29)),),3)=$M$9),OFFSET(TH!M$1,SMALL(Dong2,ROWS($1:29)),)=$I$6),IF($I$6="1121",OFFSET(TH!K$1,SMALL(Dong2,ROWS($1:29)),),OFFSET(TH!#REF!,SMALL(Dong2,ROWS($1:29)),)),0))</f>
        <v/>
      </c>
      <c r="H40" s="577">
        <f t="shared" ca="1" si="0"/>
        <v>0</v>
      </c>
      <c r="I40" s="449"/>
    </row>
    <row r="41" spans="1:12" s="143" customFormat="1" ht="18.75" customHeight="1">
      <c r="A41" s="154" t="str">
        <f ca="1">IF(ROWS($1:30)&gt;COUNT(Dong2),"",OFFSET(TH!C$1,SMALL(Dong2,ROWS($1:30)),))</f>
        <v/>
      </c>
      <c r="B41" s="154" t="str">
        <f ca="1">IF(ROWS($1:30)&gt;COUNT(Dong2),"",OFFSET(TH!D$1,SMALL(Dong2,ROWS($1:30)),))</f>
        <v/>
      </c>
      <c r="C41" s="154" t="str">
        <f ca="1">IF(ROWS($1:30)&gt;COUNT(Dong2),"",OFFSET(TH!E$1,SMALL(Dong2,ROWS($1:30)),))</f>
        <v/>
      </c>
      <c r="D41" s="221" t="str">
        <f ca="1">IF(ROWS($1:30)&gt;COUNT(Dong2),"",OFFSET(TH!F$1,SMALL(Dong2,ROWS($1:30)),))</f>
        <v/>
      </c>
      <c r="E41" s="154" t="str">
        <f ca="1">IF(ROWS($1:30)&gt;COUNT(Dong2),"",IF(OFFSET(TH!M$1,SMALL(Dong2,ROWS($1:30)),)=$I$6,OFFSET(TH!L$1,SMALL(Dong2,ROWS($1:30)),),OFFSET(TH!M$1,SMALL(Dong2,ROWS($1:30)),)))</f>
        <v/>
      </c>
      <c r="F41" s="452" t="str">
        <f ca="1">IF(ROWS($1:30)&gt;COUNT(Dong2),"",IF(AND(IF($M$9="Q4",LEFT(OFFSET(TH!G$1,SMALL(Dong2,ROWS($1:30)),),2)=$M$9,LEFT(OFFSET(TH!G$1,SMALL(Dong2,ROWS($1:30)),),3)=$M$9),OFFSET(TH!L$1,SMALL(Dong2,ROWS($1:30)),)=$I$6),IF($I$6="1121",OFFSET(TH!K$1,SMALL(Dong2,ROWS($1:30)),),OFFSET(TH!#REF!,SMALL(Dong2,ROWS($1:30)),)),0))</f>
        <v/>
      </c>
      <c r="G41" s="452" t="str">
        <f ca="1">IF(ROWS($1:30)&gt;COUNT(Dong2),"",IF(AND(IF($M$9="Q4",RIGHT(OFFSET(TH!G$1,SMALL(Dong2,ROWS($1:30)),),2)=$M$9,RIGHT(OFFSET(TH!G$1,SMALL(Dong2,ROWS($1:30)),),3)=$M$9),OFFSET(TH!M$1,SMALL(Dong2,ROWS($1:30)),)=$I$6),IF($I$6="1121",OFFSET(TH!K$1,SMALL(Dong2,ROWS($1:30)),),OFFSET(TH!#REF!,SMALL(Dong2,ROWS($1:30)),)),0))</f>
        <v/>
      </c>
      <c r="H41" s="577">
        <f t="shared" ref="H41:H43" ca="1" si="1">IF(A41&lt;&gt;"",H40+F41-G41,0)</f>
        <v>0</v>
      </c>
      <c r="I41" s="449"/>
    </row>
    <row r="42" spans="1:12" s="143" customFormat="1" ht="18.75" customHeight="1">
      <c r="A42" s="154" t="str">
        <f ca="1">IF(ROWS($1:31)&gt;COUNT(Dong2),"",OFFSET(TH!C$1,SMALL(Dong2,ROWS($1:31)),))</f>
        <v/>
      </c>
      <c r="B42" s="154" t="str">
        <f ca="1">IF(ROWS($1:31)&gt;COUNT(Dong2),"",OFFSET(TH!D$1,SMALL(Dong2,ROWS($1:31)),))</f>
        <v/>
      </c>
      <c r="C42" s="154" t="str">
        <f ca="1">IF(ROWS($1:31)&gt;COUNT(Dong2),"",OFFSET(TH!E$1,SMALL(Dong2,ROWS($1:31)),))</f>
        <v/>
      </c>
      <c r="D42" s="221" t="str">
        <f ca="1">IF(ROWS($1:31)&gt;COUNT(Dong2),"",OFFSET(TH!F$1,SMALL(Dong2,ROWS($1:31)),))</f>
        <v/>
      </c>
      <c r="E42" s="154" t="str">
        <f ca="1">IF(ROWS($1:31)&gt;COUNT(Dong2),"",IF(OFFSET(TH!M$1,SMALL(Dong2,ROWS($1:31)),)=$I$6,OFFSET(TH!L$1,SMALL(Dong2,ROWS($1:31)),),OFFSET(TH!M$1,SMALL(Dong2,ROWS($1:31)),)))</f>
        <v/>
      </c>
      <c r="F42" s="452" t="str">
        <f ca="1">IF(ROWS($1:31)&gt;COUNT(Dong2),"",IF(AND(IF($M$9="Q4",LEFT(OFFSET(TH!G$1,SMALL(Dong2,ROWS($1:31)),),2)=$M$9,LEFT(OFFSET(TH!G$1,SMALL(Dong2,ROWS($1:31)),),3)=$M$9),OFFSET(TH!L$1,SMALL(Dong2,ROWS($1:31)),)=$I$6),IF($I$6="1121",OFFSET(TH!K$1,SMALL(Dong2,ROWS($1:31)),),OFFSET(TH!#REF!,SMALL(Dong2,ROWS($1:31)),)),0))</f>
        <v/>
      </c>
      <c r="G42" s="452" t="str">
        <f ca="1">IF(ROWS($1:31)&gt;COUNT(Dong2),"",IF(AND(IF($M$9="Q4",RIGHT(OFFSET(TH!G$1,SMALL(Dong2,ROWS($1:31)),),2)=$M$9,RIGHT(OFFSET(TH!G$1,SMALL(Dong2,ROWS($1:31)),),3)=$M$9),OFFSET(TH!M$1,SMALL(Dong2,ROWS($1:31)),)=$I$6),IF($I$6="1121",OFFSET(TH!K$1,SMALL(Dong2,ROWS($1:31)),),OFFSET(TH!#REF!,SMALL(Dong2,ROWS($1:31)),)),0))</f>
        <v/>
      </c>
      <c r="H42" s="577">
        <f t="shared" ca="1" si="1"/>
        <v>0</v>
      </c>
      <c r="I42" s="449"/>
    </row>
    <row r="43" spans="1:12" s="143" customFormat="1" ht="18.75" customHeight="1">
      <c r="A43" s="154" t="str">
        <f ca="1">IF(ROWS($1:32)&gt;COUNT(Dong2),"",OFFSET(TH!C$1,SMALL(Dong2,ROWS($1:32)),))</f>
        <v/>
      </c>
      <c r="B43" s="154" t="str">
        <f ca="1">IF(ROWS($1:32)&gt;COUNT(Dong2),"",OFFSET(TH!D$1,SMALL(Dong2,ROWS($1:32)),))</f>
        <v/>
      </c>
      <c r="C43" s="154" t="str">
        <f ca="1">IF(ROWS($1:32)&gt;COUNT(Dong2),"",OFFSET(TH!E$1,SMALL(Dong2,ROWS($1:32)),))</f>
        <v/>
      </c>
      <c r="D43" s="221" t="str">
        <f ca="1">IF(ROWS($1:32)&gt;COUNT(Dong2),"",OFFSET(TH!F$1,SMALL(Dong2,ROWS($1:32)),))</f>
        <v/>
      </c>
      <c r="E43" s="154" t="str">
        <f ca="1">IF(ROWS($1:32)&gt;COUNT(Dong2),"",IF(OFFSET(TH!M$1,SMALL(Dong2,ROWS($1:32)),)=$I$6,OFFSET(TH!L$1,SMALL(Dong2,ROWS($1:32)),),OFFSET(TH!M$1,SMALL(Dong2,ROWS($1:32)),)))</f>
        <v/>
      </c>
      <c r="F43" s="452" t="str">
        <f ca="1">IF(ROWS($1:32)&gt;COUNT(Dong2),"",IF(AND(IF($M$9="Q4",LEFT(OFFSET(TH!G$1,SMALL(Dong2,ROWS($1:32)),),2)=$M$9,LEFT(OFFSET(TH!G$1,SMALL(Dong2,ROWS($1:32)),),3)=$M$9),OFFSET(TH!L$1,SMALL(Dong2,ROWS($1:32)),)=$I$6),IF($I$6="1121",OFFSET(TH!K$1,SMALL(Dong2,ROWS($1:32)),),OFFSET(TH!#REF!,SMALL(Dong2,ROWS($1:32)),)),0))</f>
        <v/>
      </c>
      <c r="G43" s="452" t="str">
        <f ca="1">IF(ROWS($1:32)&gt;COUNT(Dong2),"",IF(AND(IF($M$9="Q4",RIGHT(OFFSET(TH!G$1,SMALL(Dong2,ROWS($1:32)),),2)=$M$9,RIGHT(OFFSET(TH!G$1,SMALL(Dong2,ROWS($1:32)),),3)=$M$9),OFFSET(TH!M$1,SMALL(Dong2,ROWS($1:32)),)=$I$6),IF($I$6="1121",OFFSET(TH!K$1,SMALL(Dong2,ROWS($1:32)),),OFFSET(TH!#REF!,SMALL(Dong2,ROWS($1:32)),)),0))</f>
        <v/>
      </c>
      <c r="H43" s="577">
        <f t="shared" ca="1" si="1"/>
        <v>0</v>
      </c>
      <c r="I43" s="449"/>
    </row>
    <row r="44" spans="1:12" s="143" customFormat="1" ht="18.75" customHeight="1">
      <c r="A44" s="154" t="str">
        <f ca="1">IF(ROWS($1:33)&gt;COUNT(Dong2),"",OFFSET(TH!C$1,SMALL(Dong2,ROWS($1:33)),))</f>
        <v/>
      </c>
      <c r="B44" s="154" t="str">
        <f ca="1">IF(ROWS($1:33)&gt;COUNT(Dong2),"",OFFSET(TH!D$1,SMALL(Dong2,ROWS($1:33)),))</f>
        <v/>
      </c>
      <c r="C44" s="154" t="str">
        <f ca="1">IF(ROWS($1:33)&gt;COUNT(Dong2),"",OFFSET(TH!E$1,SMALL(Dong2,ROWS($1:33)),))</f>
        <v/>
      </c>
      <c r="D44" s="221" t="str">
        <f ca="1">IF(ROWS($1:33)&gt;COUNT(Dong2),"",OFFSET(TH!F$1,SMALL(Dong2,ROWS($1:33)),))</f>
        <v/>
      </c>
      <c r="E44" s="154" t="str">
        <f ca="1">IF(ROWS($1:33)&gt;COUNT(Dong2),"",IF(OFFSET(TH!M$1,SMALL(Dong2,ROWS($1:33)),)=$I$6,OFFSET(TH!L$1,SMALL(Dong2,ROWS($1:33)),),OFFSET(TH!M$1,SMALL(Dong2,ROWS($1:33)),)))</f>
        <v/>
      </c>
      <c r="F44" s="452" t="str">
        <f ca="1">IF(ROWS($1:33)&gt;COUNT(Dong2),"",IF(AND(IF($M$9="Q4",LEFT(OFFSET(TH!G$1,SMALL(Dong2,ROWS($1:33)),),2)=$M$9,LEFT(OFFSET(TH!G$1,SMALL(Dong2,ROWS($1:33)),),3)=$M$9),OFFSET(TH!L$1,SMALL(Dong2,ROWS($1:33)),)=$I$6),IF($I$6="1121",OFFSET(TH!K$1,SMALL(Dong2,ROWS($1:33)),),OFFSET(TH!#REF!,SMALL(Dong2,ROWS($1:33)),)),0))</f>
        <v/>
      </c>
      <c r="G44" s="452" t="str">
        <f ca="1">IF(ROWS($1:33)&gt;COUNT(Dong2),"",IF(AND(IF($M$9="Q4",RIGHT(OFFSET(TH!G$1,SMALL(Dong2,ROWS($1:33)),),2)=$M$9,RIGHT(OFFSET(TH!G$1,SMALL(Dong2,ROWS($1:33)),),3)=$M$9),OFFSET(TH!M$1,SMALL(Dong2,ROWS($1:33)),)=$I$6),IF($I$6="1121",OFFSET(TH!K$1,SMALL(Dong2,ROWS($1:33)),),OFFSET(TH!#REF!,SMALL(Dong2,ROWS($1:33)),)),0))</f>
        <v/>
      </c>
      <c r="H44" s="577">
        <f t="shared" ref="H44" ca="1" si="2">IF(A44&lt;&gt;"",H43+F44-G44,0)</f>
        <v>0</v>
      </c>
      <c r="I44" s="449"/>
    </row>
    <row r="45" spans="1:12" s="143" customFormat="1" ht="18.75" customHeight="1">
      <c r="A45" s="154" t="str">
        <f ca="1">IF(ROWS($1:34)&gt;COUNT(Dong2),"",OFFSET(TH!C$1,SMALL(Dong2,ROWS($1:34)),))</f>
        <v/>
      </c>
      <c r="B45" s="154" t="str">
        <f ca="1">IF(ROWS($1:34)&gt;COUNT(Dong2),"",OFFSET(TH!D$1,SMALL(Dong2,ROWS($1:34)),))</f>
        <v/>
      </c>
      <c r="C45" s="154" t="str">
        <f ca="1">IF(ROWS($1:34)&gt;COUNT(Dong2),"",OFFSET(TH!E$1,SMALL(Dong2,ROWS($1:34)),))</f>
        <v/>
      </c>
      <c r="D45" s="221" t="str">
        <f ca="1">IF(ROWS($1:34)&gt;COUNT(Dong2),"",OFFSET(TH!F$1,SMALL(Dong2,ROWS($1:34)),))</f>
        <v/>
      </c>
      <c r="E45" s="154" t="str">
        <f ca="1">IF(ROWS($1:34)&gt;COUNT(Dong2),"",IF(OFFSET(TH!M$1,SMALL(Dong2,ROWS($1:34)),)=$I$6,OFFSET(TH!L$1,SMALL(Dong2,ROWS($1:34)),),OFFSET(TH!M$1,SMALL(Dong2,ROWS($1:34)),)))</f>
        <v/>
      </c>
      <c r="F45" s="452" t="str">
        <f ca="1">IF(ROWS($1:34)&gt;COUNT(Dong2),"",IF(AND(IF($M$9="Q4",LEFT(OFFSET(TH!G$1,SMALL(Dong2,ROWS($1:34)),),2)=$M$9,LEFT(OFFSET(TH!G$1,SMALL(Dong2,ROWS($1:34)),),3)=$M$9),OFFSET(TH!L$1,SMALL(Dong2,ROWS($1:34)),)=$I$6),IF($I$6="1121",OFFSET(TH!K$1,SMALL(Dong2,ROWS($1:34)),),OFFSET(TH!#REF!,SMALL(Dong2,ROWS($1:34)),)),0))</f>
        <v/>
      </c>
      <c r="G45" s="452" t="str">
        <f ca="1">IF(ROWS($1:34)&gt;COUNT(Dong2),"",IF(AND(IF($M$9="Q4",RIGHT(OFFSET(TH!G$1,SMALL(Dong2,ROWS($1:34)),),2)=$M$9,RIGHT(OFFSET(TH!G$1,SMALL(Dong2,ROWS($1:34)),),3)=$M$9),OFFSET(TH!M$1,SMALL(Dong2,ROWS($1:34)),)=$I$6),IF($I$6="1121",OFFSET(TH!K$1,SMALL(Dong2,ROWS($1:34)),),OFFSET(TH!#REF!,SMALL(Dong2,ROWS($1:34)),)),0))</f>
        <v/>
      </c>
      <c r="H45" s="577">
        <f t="shared" ref="H45:H86" ca="1" si="3">IF(A45&lt;&gt;"",H44+F45-G45,0)</f>
        <v>0</v>
      </c>
      <c r="I45" s="449"/>
    </row>
    <row r="46" spans="1:12" s="143" customFormat="1" ht="18.75" customHeight="1">
      <c r="A46" s="154" t="str">
        <f ca="1">IF(ROWS($1:35)&gt;COUNT(Dong2),"",OFFSET(TH!C$1,SMALL(Dong2,ROWS($1:35)),))</f>
        <v/>
      </c>
      <c r="B46" s="154" t="str">
        <f ca="1">IF(ROWS($1:35)&gt;COUNT(Dong2),"",OFFSET(TH!D$1,SMALL(Dong2,ROWS($1:35)),))</f>
        <v/>
      </c>
      <c r="C46" s="154" t="str">
        <f ca="1">IF(ROWS($1:35)&gt;COUNT(Dong2),"",OFFSET(TH!E$1,SMALL(Dong2,ROWS($1:35)),))</f>
        <v/>
      </c>
      <c r="D46" s="221" t="str">
        <f ca="1">IF(ROWS($1:35)&gt;COUNT(Dong2),"",OFFSET(TH!F$1,SMALL(Dong2,ROWS($1:35)),))</f>
        <v/>
      </c>
      <c r="E46" s="154" t="str">
        <f ca="1">IF(ROWS($1:35)&gt;COUNT(Dong2),"",IF(OFFSET(TH!M$1,SMALL(Dong2,ROWS($1:35)),)=$I$6,OFFSET(TH!L$1,SMALL(Dong2,ROWS($1:35)),),OFFSET(TH!M$1,SMALL(Dong2,ROWS($1:35)),)))</f>
        <v/>
      </c>
      <c r="F46" s="452" t="str">
        <f ca="1">IF(ROWS($1:35)&gt;COUNT(Dong2),"",IF(AND(IF($M$9="Q4",LEFT(OFFSET(TH!G$1,SMALL(Dong2,ROWS($1:35)),),2)=$M$9,LEFT(OFFSET(TH!G$1,SMALL(Dong2,ROWS($1:35)),),3)=$M$9),OFFSET(TH!L$1,SMALL(Dong2,ROWS($1:35)),)=$I$6),IF($I$6="1121",OFFSET(TH!K$1,SMALL(Dong2,ROWS($1:35)),),OFFSET(TH!#REF!,SMALL(Dong2,ROWS($1:35)),)),0))</f>
        <v/>
      </c>
      <c r="G46" s="452" t="str">
        <f ca="1">IF(ROWS($1:35)&gt;COUNT(Dong2),"",IF(AND(IF($M$9="Q4",RIGHT(OFFSET(TH!G$1,SMALL(Dong2,ROWS($1:35)),),2)=$M$9,RIGHT(OFFSET(TH!G$1,SMALL(Dong2,ROWS($1:35)),),3)=$M$9),OFFSET(TH!M$1,SMALL(Dong2,ROWS($1:35)),)=$I$6),IF($I$6="1121",OFFSET(TH!K$1,SMALL(Dong2,ROWS($1:35)),),OFFSET(TH!#REF!,SMALL(Dong2,ROWS($1:35)),)),0))</f>
        <v/>
      </c>
      <c r="H46" s="577">
        <f t="shared" ca="1" si="3"/>
        <v>0</v>
      </c>
      <c r="I46" s="449"/>
    </row>
    <row r="47" spans="1:12" s="143" customFormat="1" ht="18.75" customHeight="1">
      <c r="A47" s="154" t="str">
        <f ca="1">IF(ROWS($1:36)&gt;COUNT(Dong2),"",OFFSET(TH!C$1,SMALL(Dong2,ROWS($1:36)),))</f>
        <v/>
      </c>
      <c r="B47" s="154" t="str">
        <f ca="1">IF(ROWS($1:36)&gt;COUNT(Dong2),"",OFFSET(TH!D$1,SMALL(Dong2,ROWS($1:36)),))</f>
        <v/>
      </c>
      <c r="C47" s="154" t="str">
        <f ca="1">IF(ROWS($1:36)&gt;COUNT(Dong2),"",OFFSET(TH!E$1,SMALL(Dong2,ROWS($1:36)),))</f>
        <v/>
      </c>
      <c r="D47" s="221" t="str">
        <f ca="1">IF(ROWS($1:36)&gt;COUNT(Dong2),"",OFFSET(TH!F$1,SMALL(Dong2,ROWS($1:36)),))</f>
        <v/>
      </c>
      <c r="E47" s="154" t="str">
        <f ca="1">IF(ROWS($1:36)&gt;COUNT(Dong2),"",IF(OFFSET(TH!M$1,SMALL(Dong2,ROWS($1:36)),)=$I$6,OFFSET(TH!L$1,SMALL(Dong2,ROWS($1:36)),),OFFSET(TH!M$1,SMALL(Dong2,ROWS($1:36)),)))</f>
        <v/>
      </c>
      <c r="F47" s="452" t="str">
        <f ca="1">IF(ROWS($1:36)&gt;COUNT(Dong2),"",IF(AND(IF($M$9="Q4",LEFT(OFFSET(TH!G$1,SMALL(Dong2,ROWS($1:36)),),2)=$M$9,LEFT(OFFSET(TH!G$1,SMALL(Dong2,ROWS($1:36)),),3)=$M$9),OFFSET(TH!L$1,SMALL(Dong2,ROWS($1:36)),)=$I$6),IF($I$6="1121",OFFSET(TH!K$1,SMALL(Dong2,ROWS($1:36)),),OFFSET(TH!#REF!,SMALL(Dong2,ROWS($1:36)),)),0))</f>
        <v/>
      </c>
      <c r="G47" s="452" t="str">
        <f ca="1">IF(ROWS($1:36)&gt;COUNT(Dong2),"",IF(AND(IF($M$9="Q4",RIGHT(OFFSET(TH!G$1,SMALL(Dong2,ROWS($1:36)),),2)=$M$9,RIGHT(OFFSET(TH!G$1,SMALL(Dong2,ROWS($1:36)),),3)=$M$9),OFFSET(TH!M$1,SMALL(Dong2,ROWS($1:36)),)=$I$6),IF($I$6="1121",OFFSET(TH!K$1,SMALL(Dong2,ROWS($1:36)),),OFFSET(TH!#REF!,SMALL(Dong2,ROWS($1:36)),)),0))</f>
        <v/>
      </c>
      <c r="H47" s="577">
        <f t="shared" ca="1" si="3"/>
        <v>0</v>
      </c>
      <c r="I47" s="449"/>
    </row>
    <row r="48" spans="1:12" s="143" customFormat="1" ht="18.75" customHeight="1">
      <c r="A48" s="154" t="str">
        <f ca="1">IF(ROWS($1:37)&gt;COUNT(Dong2),"",OFFSET(TH!C$1,SMALL(Dong2,ROWS($1:37)),))</f>
        <v/>
      </c>
      <c r="B48" s="154" t="str">
        <f ca="1">IF(ROWS($1:37)&gt;COUNT(Dong2),"",OFFSET(TH!D$1,SMALL(Dong2,ROWS($1:37)),))</f>
        <v/>
      </c>
      <c r="C48" s="154" t="str">
        <f ca="1">IF(ROWS($1:37)&gt;COUNT(Dong2),"",OFFSET(TH!E$1,SMALL(Dong2,ROWS($1:37)),))</f>
        <v/>
      </c>
      <c r="D48" s="221" t="str">
        <f ca="1">IF(ROWS($1:37)&gt;COUNT(Dong2),"",OFFSET(TH!F$1,SMALL(Dong2,ROWS($1:37)),))</f>
        <v/>
      </c>
      <c r="E48" s="154" t="str">
        <f ca="1">IF(ROWS($1:37)&gt;COUNT(Dong2),"",IF(OFFSET(TH!M$1,SMALL(Dong2,ROWS($1:37)),)=$I$6,OFFSET(TH!L$1,SMALL(Dong2,ROWS($1:37)),),OFFSET(TH!M$1,SMALL(Dong2,ROWS($1:37)),)))</f>
        <v/>
      </c>
      <c r="F48" s="452" t="str">
        <f ca="1">IF(ROWS($1:37)&gt;COUNT(Dong2),"",IF(AND(IF($M$9="Q4",LEFT(OFFSET(TH!G$1,SMALL(Dong2,ROWS($1:37)),),2)=$M$9,LEFT(OFFSET(TH!G$1,SMALL(Dong2,ROWS($1:37)),),3)=$M$9),OFFSET(TH!L$1,SMALL(Dong2,ROWS($1:37)),)=$I$6),IF($I$6="1121",OFFSET(TH!K$1,SMALL(Dong2,ROWS($1:37)),),OFFSET(TH!#REF!,SMALL(Dong2,ROWS($1:37)),)),0))</f>
        <v/>
      </c>
      <c r="G48" s="452" t="str">
        <f ca="1">IF(ROWS($1:37)&gt;COUNT(Dong2),"",IF(AND(IF($M$9="Q4",RIGHT(OFFSET(TH!G$1,SMALL(Dong2,ROWS($1:37)),),2)=$M$9,RIGHT(OFFSET(TH!G$1,SMALL(Dong2,ROWS($1:37)),),3)=$M$9),OFFSET(TH!M$1,SMALL(Dong2,ROWS($1:37)),)=$I$6),IF($I$6="1121",OFFSET(TH!K$1,SMALL(Dong2,ROWS($1:37)),),OFFSET(TH!#REF!,SMALL(Dong2,ROWS($1:37)),)),0))</f>
        <v/>
      </c>
      <c r="H48" s="577">
        <f t="shared" ca="1" si="3"/>
        <v>0</v>
      </c>
      <c r="I48" s="449"/>
    </row>
    <row r="49" spans="1:9" s="143" customFormat="1" ht="18.75" customHeight="1">
      <c r="A49" s="154" t="str">
        <f ca="1">IF(ROWS($1:38)&gt;COUNT(Dong2),"",OFFSET(TH!C$1,SMALL(Dong2,ROWS($1:38)),))</f>
        <v/>
      </c>
      <c r="B49" s="154" t="str">
        <f ca="1">IF(ROWS($1:38)&gt;COUNT(Dong2),"",OFFSET(TH!D$1,SMALL(Dong2,ROWS($1:38)),))</f>
        <v/>
      </c>
      <c r="C49" s="154" t="str">
        <f ca="1">IF(ROWS($1:38)&gt;COUNT(Dong2),"",OFFSET(TH!E$1,SMALL(Dong2,ROWS($1:38)),))</f>
        <v/>
      </c>
      <c r="D49" s="221" t="str">
        <f ca="1">IF(ROWS($1:38)&gt;COUNT(Dong2),"",OFFSET(TH!F$1,SMALL(Dong2,ROWS($1:38)),))</f>
        <v/>
      </c>
      <c r="E49" s="154" t="str">
        <f ca="1">IF(ROWS($1:38)&gt;COUNT(Dong2),"",IF(OFFSET(TH!M$1,SMALL(Dong2,ROWS($1:38)),)=$I$6,OFFSET(TH!L$1,SMALL(Dong2,ROWS($1:38)),),OFFSET(TH!M$1,SMALL(Dong2,ROWS($1:38)),)))</f>
        <v/>
      </c>
      <c r="F49" s="452" t="str">
        <f ca="1">IF(ROWS($1:38)&gt;COUNT(Dong2),"",IF(AND(IF($M$9="Q4",LEFT(OFFSET(TH!G$1,SMALL(Dong2,ROWS($1:38)),),2)=$M$9,LEFT(OFFSET(TH!G$1,SMALL(Dong2,ROWS($1:38)),),3)=$M$9),OFFSET(TH!L$1,SMALL(Dong2,ROWS($1:38)),)=$I$6),IF($I$6="1121",OFFSET(TH!K$1,SMALL(Dong2,ROWS($1:38)),),OFFSET(TH!#REF!,SMALL(Dong2,ROWS($1:38)),)),0))</f>
        <v/>
      </c>
      <c r="G49" s="452" t="str">
        <f ca="1">IF(ROWS($1:38)&gt;COUNT(Dong2),"",IF(AND(IF($M$9="Q4",RIGHT(OFFSET(TH!G$1,SMALL(Dong2,ROWS($1:38)),),2)=$M$9,RIGHT(OFFSET(TH!G$1,SMALL(Dong2,ROWS($1:38)),),3)=$M$9),OFFSET(TH!M$1,SMALL(Dong2,ROWS($1:38)),)=$I$6),IF($I$6="1121",OFFSET(TH!K$1,SMALL(Dong2,ROWS($1:38)),),OFFSET(TH!#REF!,SMALL(Dong2,ROWS($1:38)),)),0))</f>
        <v/>
      </c>
      <c r="H49" s="577">
        <f t="shared" ca="1" si="3"/>
        <v>0</v>
      </c>
      <c r="I49" s="449"/>
    </row>
    <row r="50" spans="1:9" s="143" customFormat="1" ht="18.75" customHeight="1">
      <c r="A50" s="154" t="str">
        <f ca="1">IF(ROWS($1:39)&gt;COUNT(Dong2),"",OFFSET(TH!C$1,SMALL(Dong2,ROWS($1:39)),))</f>
        <v/>
      </c>
      <c r="B50" s="154" t="str">
        <f ca="1">IF(ROWS($1:39)&gt;COUNT(Dong2),"",OFFSET(TH!D$1,SMALL(Dong2,ROWS($1:39)),))</f>
        <v/>
      </c>
      <c r="C50" s="154" t="str">
        <f ca="1">IF(ROWS($1:39)&gt;COUNT(Dong2),"",OFFSET(TH!E$1,SMALL(Dong2,ROWS($1:39)),))</f>
        <v/>
      </c>
      <c r="D50" s="221" t="str">
        <f ca="1">IF(ROWS($1:39)&gt;COUNT(Dong2),"",OFFSET(TH!F$1,SMALL(Dong2,ROWS($1:39)),))</f>
        <v/>
      </c>
      <c r="E50" s="154" t="str">
        <f ca="1">IF(ROWS($1:39)&gt;COUNT(Dong2),"",IF(OFFSET(TH!M$1,SMALL(Dong2,ROWS($1:39)),)=$I$6,OFFSET(TH!L$1,SMALL(Dong2,ROWS($1:39)),),OFFSET(TH!M$1,SMALL(Dong2,ROWS($1:39)),)))</f>
        <v/>
      </c>
      <c r="F50" s="452" t="str">
        <f ca="1">IF(ROWS($1:39)&gt;COUNT(Dong2),"",IF(AND(IF($M$9="Q4",LEFT(OFFSET(TH!G$1,SMALL(Dong2,ROWS($1:39)),),2)=$M$9,LEFT(OFFSET(TH!G$1,SMALL(Dong2,ROWS($1:39)),),3)=$M$9),OFFSET(TH!L$1,SMALL(Dong2,ROWS($1:39)),)=$I$6),IF($I$6="1121",OFFSET(TH!K$1,SMALL(Dong2,ROWS($1:39)),),OFFSET(TH!#REF!,SMALL(Dong2,ROWS($1:39)),)),0))</f>
        <v/>
      </c>
      <c r="G50" s="452" t="str">
        <f ca="1">IF(ROWS($1:39)&gt;COUNT(Dong2),"",IF(AND(IF($M$9="Q4",RIGHT(OFFSET(TH!G$1,SMALL(Dong2,ROWS($1:39)),),2)=$M$9,RIGHT(OFFSET(TH!G$1,SMALL(Dong2,ROWS($1:39)),),3)=$M$9),OFFSET(TH!M$1,SMALL(Dong2,ROWS($1:39)),)=$I$6),IF($I$6="1121",OFFSET(TH!K$1,SMALL(Dong2,ROWS($1:39)),),OFFSET(TH!#REF!,SMALL(Dong2,ROWS($1:39)),)),0))</f>
        <v/>
      </c>
      <c r="H50" s="577">
        <f t="shared" ca="1" si="3"/>
        <v>0</v>
      </c>
      <c r="I50" s="449"/>
    </row>
    <row r="51" spans="1:9" s="143" customFormat="1" ht="18.75" customHeight="1">
      <c r="A51" s="154" t="str">
        <f ca="1">IF(ROWS($1:40)&gt;COUNT(Dong2),"",OFFSET(TH!C$1,SMALL(Dong2,ROWS($1:40)),))</f>
        <v/>
      </c>
      <c r="B51" s="154" t="str">
        <f ca="1">IF(ROWS($1:40)&gt;COUNT(Dong2),"",OFFSET(TH!D$1,SMALL(Dong2,ROWS($1:40)),))</f>
        <v/>
      </c>
      <c r="C51" s="154" t="str">
        <f ca="1">IF(ROWS($1:40)&gt;COUNT(Dong2),"",OFFSET(TH!E$1,SMALL(Dong2,ROWS($1:40)),))</f>
        <v/>
      </c>
      <c r="D51" s="221" t="str">
        <f ca="1">IF(ROWS($1:40)&gt;COUNT(Dong2),"",OFFSET(TH!F$1,SMALL(Dong2,ROWS($1:40)),))</f>
        <v/>
      </c>
      <c r="E51" s="154" t="str">
        <f ca="1">IF(ROWS($1:40)&gt;COUNT(Dong2),"",IF(OFFSET(TH!M$1,SMALL(Dong2,ROWS($1:40)),)=$I$6,OFFSET(TH!L$1,SMALL(Dong2,ROWS($1:40)),),OFFSET(TH!M$1,SMALL(Dong2,ROWS($1:40)),)))</f>
        <v/>
      </c>
      <c r="F51" s="452" t="str">
        <f ca="1">IF(ROWS($1:40)&gt;COUNT(Dong2),"",IF(AND(IF($M$9="Q4",LEFT(OFFSET(TH!G$1,SMALL(Dong2,ROWS($1:40)),),2)=$M$9,LEFT(OFFSET(TH!G$1,SMALL(Dong2,ROWS($1:40)),),3)=$M$9),OFFSET(TH!L$1,SMALL(Dong2,ROWS($1:40)),)=$I$6),IF($I$6="1121",OFFSET(TH!K$1,SMALL(Dong2,ROWS($1:40)),),OFFSET(TH!#REF!,SMALL(Dong2,ROWS($1:40)),)),0))</f>
        <v/>
      </c>
      <c r="G51" s="452" t="str">
        <f ca="1">IF(ROWS($1:40)&gt;COUNT(Dong2),"",IF(AND(IF($M$9="Q4",RIGHT(OFFSET(TH!G$1,SMALL(Dong2,ROWS($1:40)),),2)=$M$9,RIGHT(OFFSET(TH!G$1,SMALL(Dong2,ROWS($1:40)),),3)=$M$9),OFFSET(TH!M$1,SMALL(Dong2,ROWS($1:40)),)=$I$6),IF($I$6="1121",OFFSET(TH!K$1,SMALL(Dong2,ROWS($1:40)),),OFFSET(TH!#REF!,SMALL(Dong2,ROWS($1:40)),)),0))</f>
        <v/>
      </c>
      <c r="H51" s="577">
        <f t="shared" ca="1" si="3"/>
        <v>0</v>
      </c>
      <c r="I51" s="449"/>
    </row>
    <row r="52" spans="1:9" s="143" customFormat="1" ht="18.75" customHeight="1">
      <c r="A52" s="154" t="str">
        <f ca="1">IF(ROWS($1:41)&gt;COUNT(Dong2),"",OFFSET(TH!C$1,SMALL(Dong2,ROWS($1:41)),))</f>
        <v/>
      </c>
      <c r="B52" s="154" t="str">
        <f ca="1">IF(ROWS($1:41)&gt;COUNT(Dong2),"",OFFSET(TH!D$1,SMALL(Dong2,ROWS($1:41)),))</f>
        <v/>
      </c>
      <c r="C52" s="154" t="str">
        <f ca="1">IF(ROWS($1:41)&gt;COUNT(Dong2),"",OFFSET(TH!E$1,SMALL(Dong2,ROWS($1:41)),))</f>
        <v/>
      </c>
      <c r="D52" s="221" t="str">
        <f ca="1">IF(ROWS($1:41)&gt;COUNT(Dong2),"",OFFSET(TH!F$1,SMALL(Dong2,ROWS($1:41)),))</f>
        <v/>
      </c>
      <c r="E52" s="154" t="str">
        <f ca="1">IF(ROWS($1:41)&gt;COUNT(Dong2),"",IF(OFFSET(TH!M$1,SMALL(Dong2,ROWS($1:41)),)=$I$6,OFFSET(TH!L$1,SMALL(Dong2,ROWS($1:41)),),OFFSET(TH!M$1,SMALL(Dong2,ROWS($1:41)),)))</f>
        <v/>
      </c>
      <c r="F52" s="452" t="str">
        <f ca="1">IF(ROWS($1:41)&gt;COUNT(Dong2),"",IF(AND(IF($M$9="Q4",LEFT(OFFSET(TH!G$1,SMALL(Dong2,ROWS($1:41)),),2)=$M$9,LEFT(OFFSET(TH!G$1,SMALL(Dong2,ROWS($1:41)),),3)=$M$9),OFFSET(TH!L$1,SMALL(Dong2,ROWS($1:41)),)=$I$6),IF($I$6="1121",OFFSET(TH!K$1,SMALL(Dong2,ROWS($1:41)),),OFFSET(TH!#REF!,SMALL(Dong2,ROWS($1:41)),)),0))</f>
        <v/>
      </c>
      <c r="G52" s="452" t="str">
        <f ca="1">IF(ROWS($1:41)&gt;COUNT(Dong2),"",IF(AND(IF($M$9="Q4",RIGHT(OFFSET(TH!G$1,SMALL(Dong2,ROWS($1:41)),),2)=$M$9,RIGHT(OFFSET(TH!G$1,SMALL(Dong2,ROWS($1:41)),),3)=$M$9),OFFSET(TH!M$1,SMALL(Dong2,ROWS($1:41)),)=$I$6),IF($I$6="1121",OFFSET(TH!K$1,SMALL(Dong2,ROWS($1:41)),),OFFSET(TH!#REF!,SMALL(Dong2,ROWS($1:41)),)),0))</f>
        <v/>
      </c>
      <c r="H52" s="577">
        <f t="shared" ca="1" si="3"/>
        <v>0</v>
      </c>
      <c r="I52" s="449"/>
    </row>
    <row r="53" spans="1:9" s="143" customFormat="1" ht="18.75" customHeight="1">
      <c r="A53" s="154" t="str">
        <f ca="1">IF(ROWS($1:42)&gt;COUNT(Dong2),"",OFFSET(TH!C$1,SMALL(Dong2,ROWS($1:42)),))</f>
        <v/>
      </c>
      <c r="B53" s="154" t="str">
        <f ca="1">IF(ROWS($1:42)&gt;COUNT(Dong2),"",OFFSET(TH!D$1,SMALL(Dong2,ROWS($1:42)),))</f>
        <v/>
      </c>
      <c r="C53" s="154" t="str">
        <f ca="1">IF(ROWS($1:42)&gt;COUNT(Dong2),"",OFFSET(TH!E$1,SMALL(Dong2,ROWS($1:42)),))</f>
        <v/>
      </c>
      <c r="D53" s="221" t="str">
        <f ca="1">IF(ROWS($1:42)&gt;COUNT(Dong2),"",OFFSET(TH!F$1,SMALL(Dong2,ROWS($1:42)),))</f>
        <v/>
      </c>
      <c r="E53" s="154" t="str">
        <f ca="1">IF(ROWS($1:42)&gt;COUNT(Dong2),"",IF(OFFSET(TH!M$1,SMALL(Dong2,ROWS($1:42)),)=$I$6,OFFSET(TH!L$1,SMALL(Dong2,ROWS($1:42)),),OFFSET(TH!M$1,SMALL(Dong2,ROWS($1:42)),)))</f>
        <v/>
      </c>
      <c r="F53" s="452" t="str">
        <f ca="1">IF(ROWS($1:42)&gt;COUNT(Dong2),"",IF(AND(IF($M$9="Q4",LEFT(OFFSET(TH!G$1,SMALL(Dong2,ROWS($1:42)),),2)=$M$9,LEFT(OFFSET(TH!G$1,SMALL(Dong2,ROWS($1:42)),),3)=$M$9),OFFSET(TH!L$1,SMALL(Dong2,ROWS($1:42)),)=$I$6),IF($I$6="1121",OFFSET(TH!K$1,SMALL(Dong2,ROWS($1:42)),),OFFSET(TH!#REF!,SMALL(Dong2,ROWS($1:42)),)),0))</f>
        <v/>
      </c>
      <c r="G53" s="452" t="str">
        <f ca="1">IF(ROWS($1:42)&gt;COUNT(Dong2),"",IF(AND(IF($M$9="Q4",RIGHT(OFFSET(TH!G$1,SMALL(Dong2,ROWS($1:42)),),2)=$M$9,RIGHT(OFFSET(TH!G$1,SMALL(Dong2,ROWS($1:42)),),3)=$M$9),OFFSET(TH!M$1,SMALL(Dong2,ROWS($1:42)),)=$I$6),IF($I$6="1121",OFFSET(TH!K$1,SMALL(Dong2,ROWS($1:42)),),OFFSET(TH!#REF!,SMALL(Dong2,ROWS($1:42)),)),0))</f>
        <v/>
      </c>
      <c r="H53" s="577">
        <f t="shared" ca="1" si="3"/>
        <v>0</v>
      </c>
      <c r="I53" s="449"/>
    </row>
    <row r="54" spans="1:9" s="143" customFormat="1" ht="18.75" customHeight="1">
      <c r="A54" s="154" t="str">
        <f ca="1">IF(ROWS($1:43)&gt;COUNT(Dong2),"",OFFSET(TH!C$1,SMALL(Dong2,ROWS($1:43)),))</f>
        <v/>
      </c>
      <c r="B54" s="154" t="str">
        <f ca="1">IF(ROWS($1:43)&gt;COUNT(Dong2),"",OFFSET(TH!D$1,SMALL(Dong2,ROWS($1:43)),))</f>
        <v/>
      </c>
      <c r="C54" s="154" t="str">
        <f ca="1">IF(ROWS($1:43)&gt;COUNT(Dong2),"",OFFSET(TH!E$1,SMALL(Dong2,ROWS($1:43)),))</f>
        <v/>
      </c>
      <c r="D54" s="221" t="str">
        <f ca="1">IF(ROWS($1:43)&gt;COUNT(Dong2),"",OFFSET(TH!F$1,SMALL(Dong2,ROWS($1:43)),))</f>
        <v/>
      </c>
      <c r="E54" s="154" t="str">
        <f ca="1">IF(ROWS($1:43)&gt;COUNT(Dong2),"",IF(OFFSET(TH!M$1,SMALL(Dong2,ROWS($1:43)),)=$I$6,OFFSET(TH!L$1,SMALL(Dong2,ROWS($1:43)),),OFFSET(TH!M$1,SMALL(Dong2,ROWS($1:43)),)))</f>
        <v/>
      </c>
      <c r="F54" s="452" t="str">
        <f ca="1">IF(ROWS($1:43)&gt;COUNT(Dong2),"",IF(AND(IF($M$9="Q4",LEFT(OFFSET(TH!G$1,SMALL(Dong2,ROWS($1:43)),),2)=$M$9,LEFT(OFFSET(TH!G$1,SMALL(Dong2,ROWS($1:43)),),3)=$M$9),OFFSET(TH!L$1,SMALL(Dong2,ROWS($1:43)),)=$I$6),IF($I$6="1121",OFFSET(TH!K$1,SMALL(Dong2,ROWS($1:43)),),OFFSET(TH!#REF!,SMALL(Dong2,ROWS($1:43)),)),0))</f>
        <v/>
      </c>
      <c r="G54" s="452" t="str">
        <f ca="1">IF(ROWS($1:43)&gt;COUNT(Dong2),"",IF(AND(IF($M$9="Q4",RIGHT(OFFSET(TH!G$1,SMALL(Dong2,ROWS($1:43)),),2)=$M$9,RIGHT(OFFSET(TH!G$1,SMALL(Dong2,ROWS($1:43)),),3)=$M$9),OFFSET(TH!M$1,SMALL(Dong2,ROWS($1:43)),)=$I$6),IF($I$6="1121",OFFSET(TH!K$1,SMALL(Dong2,ROWS($1:43)),),OFFSET(TH!#REF!,SMALL(Dong2,ROWS($1:43)),)),0))</f>
        <v/>
      </c>
      <c r="H54" s="577">
        <f t="shared" ca="1" si="3"/>
        <v>0</v>
      </c>
      <c r="I54" s="449"/>
    </row>
    <row r="55" spans="1:9" s="143" customFormat="1" ht="18.75" customHeight="1">
      <c r="A55" s="154" t="str">
        <f ca="1">IF(ROWS($1:44)&gt;COUNT(Dong2),"",OFFSET(TH!C$1,SMALL(Dong2,ROWS($1:44)),))</f>
        <v/>
      </c>
      <c r="B55" s="154" t="str">
        <f ca="1">IF(ROWS($1:44)&gt;COUNT(Dong2),"",OFFSET(TH!D$1,SMALL(Dong2,ROWS($1:44)),))</f>
        <v/>
      </c>
      <c r="C55" s="154" t="str">
        <f ca="1">IF(ROWS($1:44)&gt;COUNT(Dong2),"",OFFSET(TH!E$1,SMALL(Dong2,ROWS($1:44)),))</f>
        <v/>
      </c>
      <c r="D55" s="221" t="str">
        <f ca="1">IF(ROWS($1:44)&gt;COUNT(Dong2),"",OFFSET(TH!F$1,SMALL(Dong2,ROWS($1:44)),))</f>
        <v/>
      </c>
      <c r="E55" s="154" t="str">
        <f ca="1">IF(ROWS($1:44)&gt;COUNT(Dong2),"",IF(OFFSET(TH!M$1,SMALL(Dong2,ROWS($1:44)),)=$I$6,OFFSET(TH!L$1,SMALL(Dong2,ROWS($1:44)),),OFFSET(TH!M$1,SMALL(Dong2,ROWS($1:44)),)))</f>
        <v/>
      </c>
      <c r="F55" s="452" t="str">
        <f ca="1">IF(ROWS($1:44)&gt;COUNT(Dong2),"",IF(AND(IF($M$9="Q4",LEFT(OFFSET(TH!G$1,SMALL(Dong2,ROWS($1:44)),),2)=$M$9,LEFT(OFFSET(TH!G$1,SMALL(Dong2,ROWS($1:44)),),3)=$M$9),OFFSET(TH!L$1,SMALL(Dong2,ROWS($1:44)),)=$I$6),IF($I$6="1121",OFFSET(TH!K$1,SMALL(Dong2,ROWS($1:44)),),OFFSET(TH!#REF!,SMALL(Dong2,ROWS($1:44)),)),0))</f>
        <v/>
      </c>
      <c r="G55" s="452" t="str">
        <f ca="1">IF(ROWS($1:44)&gt;COUNT(Dong2),"",IF(AND(IF($M$9="Q4",RIGHT(OFFSET(TH!G$1,SMALL(Dong2,ROWS($1:44)),),2)=$M$9,RIGHT(OFFSET(TH!G$1,SMALL(Dong2,ROWS($1:44)),),3)=$M$9),OFFSET(TH!M$1,SMALL(Dong2,ROWS($1:44)),)=$I$6),IF($I$6="1121",OFFSET(TH!K$1,SMALL(Dong2,ROWS($1:44)),),OFFSET(TH!#REF!,SMALL(Dong2,ROWS($1:44)),)),0))</f>
        <v/>
      </c>
      <c r="H55" s="577">
        <f t="shared" ca="1" si="3"/>
        <v>0</v>
      </c>
      <c r="I55" s="449"/>
    </row>
    <row r="56" spans="1:9" s="143" customFormat="1" ht="18.75" customHeight="1">
      <c r="A56" s="154" t="str">
        <f ca="1">IF(ROWS($1:45)&gt;COUNT(Dong2),"",OFFSET(TH!C$1,SMALL(Dong2,ROWS($1:45)),))</f>
        <v/>
      </c>
      <c r="B56" s="154" t="str">
        <f ca="1">IF(ROWS($1:45)&gt;COUNT(Dong2),"",OFFSET(TH!D$1,SMALL(Dong2,ROWS($1:45)),))</f>
        <v/>
      </c>
      <c r="C56" s="154" t="str">
        <f ca="1">IF(ROWS($1:45)&gt;COUNT(Dong2),"",OFFSET(TH!E$1,SMALL(Dong2,ROWS($1:45)),))</f>
        <v/>
      </c>
      <c r="D56" s="221" t="str">
        <f ca="1">IF(ROWS($1:45)&gt;COUNT(Dong2),"",OFFSET(TH!F$1,SMALL(Dong2,ROWS($1:45)),))</f>
        <v/>
      </c>
      <c r="E56" s="154" t="str">
        <f ca="1">IF(ROWS($1:45)&gt;COUNT(Dong2),"",IF(OFFSET(TH!M$1,SMALL(Dong2,ROWS($1:45)),)=$I$6,OFFSET(TH!L$1,SMALL(Dong2,ROWS($1:45)),),OFFSET(TH!M$1,SMALL(Dong2,ROWS($1:45)),)))</f>
        <v/>
      </c>
      <c r="F56" s="452" t="str">
        <f ca="1">IF(ROWS($1:45)&gt;COUNT(Dong2),"",IF(AND(IF($M$9="Q4",LEFT(OFFSET(TH!G$1,SMALL(Dong2,ROWS($1:45)),),2)=$M$9,LEFT(OFFSET(TH!G$1,SMALL(Dong2,ROWS($1:45)),),3)=$M$9),OFFSET(TH!L$1,SMALL(Dong2,ROWS($1:45)),)=$I$6),IF($I$6="1121",OFFSET(TH!K$1,SMALL(Dong2,ROWS($1:45)),),OFFSET(TH!#REF!,SMALL(Dong2,ROWS($1:45)),)),0))</f>
        <v/>
      </c>
      <c r="G56" s="452" t="str">
        <f ca="1">IF(ROWS($1:45)&gt;COUNT(Dong2),"",IF(AND(IF($M$9="Q4",RIGHT(OFFSET(TH!G$1,SMALL(Dong2,ROWS($1:45)),),2)=$M$9,RIGHT(OFFSET(TH!G$1,SMALL(Dong2,ROWS($1:45)),),3)=$M$9),OFFSET(TH!M$1,SMALL(Dong2,ROWS($1:45)),)=$I$6),IF($I$6="1121",OFFSET(TH!K$1,SMALL(Dong2,ROWS($1:45)),),OFFSET(TH!#REF!,SMALL(Dong2,ROWS($1:45)),)),0))</f>
        <v/>
      </c>
      <c r="H56" s="577">
        <f t="shared" ca="1" si="3"/>
        <v>0</v>
      </c>
      <c r="I56" s="449"/>
    </row>
    <row r="57" spans="1:9" s="143" customFormat="1" ht="18.75" customHeight="1">
      <c r="A57" s="154" t="str">
        <f ca="1">IF(ROWS($1:46)&gt;COUNT(Dong2),"",OFFSET(TH!C$1,SMALL(Dong2,ROWS($1:46)),))</f>
        <v/>
      </c>
      <c r="B57" s="154" t="str">
        <f ca="1">IF(ROWS($1:46)&gt;COUNT(Dong2),"",OFFSET(TH!D$1,SMALL(Dong2,ROWS($1:46)),))</f>
        <v/>
      </c>
      <c r="C57" s="154" t="str">
        <f ca="1">IF(ROWS($1:46)&gt;COUNT(Dong2),"",OFFSET(TH!E$1,SMALL(Dong2,ROWS($1:46)),))</f>
        <v/>
      </c>
      <c r="D57" s="221" t="str">
        <f ca="1">IF(ROWS($1:46)&gt;COUNT(Dong2),"",OFFSET(TH!F$1,SMALL(Dong2,ROWS($1:46)),))</f>
        <v/>
      </c>
      <c r="E57" s="154" t="str">
        <f ca="1">IF(ROWS($1:46)&gt;COUNT(Dong2),"",IF(OFFSET(TH!M$1,SMALL(Dong2,ROWS($1:46)),)=$I$6,OFFSET(TH!L$1,SMALL(Dong2,ROWS($1:46)),),OFFSET(TH!M$1,SMALL(Dong2,ROWS($1:46)),)))</f>
        <v/>
      </c>
      <c r="F57" s="452" t="str">
        <f ca="1">IF(ROWS($1:46)&gt;COUNT(Dong2),"",IF(AND(IF($M$9="Q4",LEFT(OFFSET(TH!G$1,SMALL(Dong2,ROWS($1:46)),),2)=$M$9,LEFT(OFFSET(TH!G$1,SMALL(Dong2,ROWS($1:46)),),3)=$M$9),OFFSET(TH!L$1,SMALL(Dong2,ROWS($1:46)),)=$I$6),IF($I$6="1121",OFFSET(TH!K$1,SMALL(Dong2,ROWS($1:46)),),OFFSET(TH!#REF!,SMALL(Dong2,ROWS($1:46)),)),0))</f>
        <v/>
      </c>
      <c r="G57" s="452" t="str">
        <f ca="1">IF(ROWS($1:46)&gt;COUNT(Dong2),"",IF(AND(IF($M$9="Q4",RIGHT(OFFSET(TH!G$1,SMALL(Dong2,ROWS($1:46)),),2)=$M$9,RIGHT(OFFSET(TH!G$1,SMALL(Dong2,ROWS($1:46)),),3)=$M$9),OFFSET(TH!M$1,SMALL(Dong2,ROWS($1:46)),)=$I$6),IF($I$6="1121",OFFSET(TH!K$1,SMALL(Dong2,ROWS($1:46)),),OFFSET(TH!#REF!,SMALL(Dong2,ROWS($1:46)),)),0))</f>
        <v/>
      </c>
      <c r="H57" s="577">
        <f t="shared" ca="1" si="3"/>
        <v>0</v>
      </c>
      <c r="I57" s="449"/>
    </row>
    <row r="58" spans="1:9" s="143" customFormat="1" ht="18.75" customHeight="1">
      <c r="A58" s="154" t="str">
        <f ca="1">IF(ROWS($1:47)&gt;COUNT(Dong2),"",OFFSET(TH!C$1,SMALL(Dong2,ROWS($1:47)),))</f>
        <v/>
      </c>
      <c r="B58" s="154" t="str">
        <f ca="1">IF(ROWS($1:47)&gt;COUNT(Dong2),"",OFFSET(TH!D$1,SMALL(Dong2,ROWS($1:47)),))</f>
        <v/>
      </c>
      <c r="C58" s="154" t="str">
        <f ca="1">IF(ROWS($1:47)&gt;COUNT(Dong2),"",OFFSET(TH!E$1,SMALL(Dong2,ROWS($1:47)),))</f>
        <v/>
      </c>
      <c r="D58" s="221" t="str">
        <f ca="1">IF(ROWS($1:47)&gt;COUNT(Dong2),"",OFFSET(TH!F$1,SMALL(Dong2,ROWS($1:47)),))</f>
        <v/>
      </c>
      <c r="E58" s="154" t="str">
        <f ca="1">IF(ROWS($1:47)&gt;COUNT(Dong2),"",IF(OFFSET(TH!M$1,SMALL(Dong2,ROWS($1:47)),)=$I$6,OFFSET(TH!L$1,SMALL(Dong2,ROWS($1:47)),),OFFSET(TH!M$1,SMALL(Dong2,ROWS($1:47)),)))</f>
        <v/>
      </c>
      <c r="F58" s="452" t="str">
        <f ca="1">IF(ROWS($1:47)&gt;COUNT(Dong2),"",IF(AND(IF($M$9="Q4",LEFT(OFFSET(TH!G$1,SMALL(Dong2,ROWS($1:47)),),2)=$M$9,LEFT(OFFSET(TH!G$1,SMALL(Dong2,ROWS($1:47)),),3)=$M$9),OFFSET(TH!L$1,SMALL(Dong2,ROWS($1:47)),)=$I$6),IF($I$6="1121",OFFSET(TH!K$1,SMALL(Dong2,ROWS($1:47)),),OFFSET(TH!#REF!,SMALL(Dong2,ROWS($1:47)),)),0))</f>
        <v/>
      </c>
      <c r="G58" s="452" t="str">
        <f ca="1">IF(ROWS($1:47)&gt;COUNT(Dong2),"",IF(AND(IF($M$9="Q4",RIGHT(OFFSET(TH!G$1,SMALL(Dong2,ROWS($1:47)),),2)=$M$9,RIGHT(OFFSET(TH!G$1,SMALL(Dong2,ROWS($1:47)),),3)=$M$9),OFFSET(TH!M$1,SMALL(Dong2,ROWS($1:47)),)=$I$6),IF($I$6="1121",OFFSET(TH!K$1,SMALL(Dong2,ROWS($1:47)),),OFFSET(TH!#REF!,SMALL(Dong2,ROWS($1:47)),)),0))</f>
        <v/>
      </c>
      <c r="H58" s="577">
        <f t="shared" ca="1" si="3"/>
        <v>0</v>
      </c>
      <c r="I58" s="449"/>
    </row>
    <row r="59" spans="1:9" s="143" customFormat="1" ht="18.75" customHeight="1">
      <c r="A59" s="154" t="str">
        <f ca="1">IF(ROWS($1:48)&gt;COUNT(Dong2),"",OFFSET(TH!C$1,SMALL(Dong2,ROWS($1:48)),))</f>
        <v/>
      </c>
      <c r="B59" s="154" t="str">
        <f ca="1">IF(ROWS($1:48)&gt;COUNT(Dong2),"",OFFSET(TH!D$1,SMALL(Dong2,ROWS($1:48)),))</f>
        <v/>
      </c>
      <c r="C59" s="154" t="str">
        <f ca="1">IF(ROWS($1:48)&gt;COUNT(Dong2),"",OFFSET(TH!E$1,SMALL(Dong2,ROWS($1:48)),))</f>
        <v/>
      </c>
      <c r="D59" s="221" t="str">
        <f ca="1">IF(ROWS($1:48)&gt;COUNT(Dong2),"",OFFSET(TH!F$1,SMALL(Dong2,ROWS($1:48)),))</f>
        <v/>
      </c>
      <c r="E59" s="154" t="str">
        <f ca="1">IF(ROWS($1:48)&gt;COUNT(Dong2),"",IF(OFFSET(TH!M$1,SMALL(Dong2,ROWS($1:48)),)=$I$6,OFFSET(TH!L$1,SMALL(Dong2,ROWS($1:48)),),OFFSET(TH!M$1,SMALL(Dong2,ROWS($1:48)),)))</f>
        <v/>
      </c>
      <c r="F59" s="452" t="str">
        <f ca="1">IF(ROWS($1:48)&gt;COUNT(Dong2),"",IF(AND(IF($M$9="Q4",LEFT(OFFSET(TH!G$1,SMALL(Dong2,ROWS($1:48)),),2)=$M$9,LEFT(OFFSET(TH!G$1,SMALL(Dong2,ROWS($1:48)),),3)=$M$9),OFFSET(TH!L$1,SMALL(Dong2,ROWS($1:48)),)=$I$6),IF($I$6="1121",OFFSET(TH!K$1,SMALL(Dong2,ROWS($1:48)),),OFFSET(TH!#REF!,SMALL(Dong2,ROWS($1:48)),)),0))</f>
        <v/>
      </c>
      <c r="G59" s="452" t="str">
        <f ca="1">IF(ROWS($1:48)&gt;COUNT(Dong2),"",IF(AND(IF($M$9="Q4",RIGHT(OFFSET(TH!G$1,SMALL(Dong2,ROWS($1:48)),),2)=$M$9,RIGHT(OFFSET(TH!G$1,SMALL(Dong2,ROWS($1:48)),),3)=$M$9),OFFSET(TH!M$1,SMALL(Dong2,ROWS($1:48)),)=$I$6),IF($I$6="1121",OFFSET(TH!K$1,SMALL(Dong2,ROWS($1:48)),),OFFSET(TH!#REF!,SMALL(Dong2,ROWS($1:48)),)),0))</f>
        <v/>
      </c>
      <c r="H59" s="577">
        <f t="shared" ca="1" si="3"/>
        <v>0</v>
      </c>
      <c r="I59" s="449"/>
    </row>
    <row r="60" spans="1:9" s="143" customFormat="1" ht="18.75" customHeight="1">
      <c r="A60" s="154" t="str">
        <f ca="1">IF(ROWS($1:49)&gt;COUNT(Dong2),"",OFFSET(TH!C$1,SMALL(Dong2,ROWS($1:49)),))</f>
        <v/>
      </c>
      <c r="B60" s="154" t="str">
        <f ca="1">IF(ROWS($1:49)&gt;COUNT(Dong2),"",OFFSET(TH!D$1,SMALL(Dong2,ROWS($1:49)),))</f>
        <v/>
      </c>
      <c r="C60" s="154" t="str">
        <f ca="1">IF(ROWS($1:49)&gt;COUNT(Dong2),"",OFFSET(TH!E$1,SMALL(Dong2,ROWS($1:49)),))</f>
        <v/>
      </c>
      <c r="D60" s="221" t="str">
        <f ca="1">IF(ROWS($1:49)&gt;COUNT(Dong2),"",OFFSET(TH!F$1,SMALL(Dong2,ROWS($1:49)),))</f>
        <v/>
      </c>
      <c r="E60" s="154" t="str">
        <f ca="1">IF(ROWS($1:49)&gt;COUNT(Dong2),"",IF(OFFSET(TH!M$1,SMALL(Dong2,ROWS($1:49)),)=$I$6,OFFSET(TH!L$1,SMALL(Dong2,ROWS($1:49)),),OFFSET(TH!M$1,SMALL(Dong2,ROWS($1:49)),)))</f>
        <v/>
      </c>
      <c r="F60" s="452" t="str">
        <f ca="1">IF(ROWS($1:49)&gt;COUNT(Dong2),"",IF(AND(IF($M$9="Q4",LEFT(OFFSET(TH!G$1,SMALL(Dong2,ROWS($1:49)),),2)=$M$9,LEFT(OFFSET(TH!G$1,SMALL(Dong2,ROWS($1:49)),),3)=$M$9),OFFSET(TH!L$1,SMALL(Dong2,ROWS($1:49)),)=$I$6),IF($I$6="1121",OFFSET(TH!K$1,SMALL(Dong2,ROWS($1:49)),),OFFSET(TH!#REF!,SMALL(Dong2,ROWS($1:49)),)),0))</f>
        <v/>
      </c>
      <c r="G60" s="452" t="str">
        <f ca="1">IF(ROWS($1:49)&gt;COUNT(Dong2),"",IF(AND(IF($M$9="Q4",RIGHT(OFFSET(TH!G$1,SMALL(Dong2,ROWS($1:49)),),2)=$M$9,RIGHT(OFFSET(TH!G$1,SMALL(Dong2,ROWS($1:49)),),3)=$M$9),OFFSET(TH!M$1,SMALL(Dong2,ROWS($1:49)),)=$I$6),IF($I$6="1121",OFFSET(TH!K$1,SMALL(Dong2,ROWS($1:49)),),OFFSET(TH!#REF!,SMALL(Dong2,ROWS($1:49)),)),0))</f>
        <v/>
      </c>
      <c r="H60" s="577">
        <f t="shared" ca="1" si="3"/>
        <v>0</v>
      </c>
      <c r="I60" s="449"/>
    </row>
    <row r="61" spans="1:9" s="143" customFormat="1" ht="18.75" customHeight="1">
      <c r="A61" s="154" t="str">
        <f ca="1">IF(ROWS($1:50)&gt;COUNT(Dong2),"",OFFSET(TH!C$1,SMALL(Dong2,ROWS($1:50)),))</f>
        <v/>
      </c>
      <c r="B61" s="154" t="str">
        <f ca="1">IF(ROWS($1:50)&gt;COUNT(Dong2),"",OFFSET(TH!D$1,SMALL(Dong2,ROWS($1:50)),))</f>
        <v/>
      </c>
      <c r="C61" s="154" t="str">
        <f ca="1">IF(ROWS($1:50)&gt;COUNT(Dong2),"",OFFSET(TH!E$1,SMALL(Dong2,ROWS($1:50)),))</f>
        <v/>
      </c>
      <c r="D61" s="221" t="str">
        <f ca="1">IF(ROWS($1:50)&gt;COUNT(Dong2),"",OFFSET(TH!F$1,SMALL(Dong2,ROWS($1:50)),))</f>
        <v/>
      </c>
      <c r="E61" s="154" t="str">
        <f ca="1">IF(ROWS($1:50)&gt;COUNT(Dong2),"",IF(OFFSET(TH!M$1,SMALL(Dong2,ROWS($1:50)),)=$I$6,OFFSET(TH!L$1,SMALL(Dong2,ROWS($1:50)),),OFFSET(TH!M$1,SMALL(Dong2,ROWS($1:50)),)))</f>
        <v/>
      </c>
      <c r="F61" s="452" t="str">
        <f ca="1">IF(ROWS($1:50)&gt;COUNT(Dong2),"",IF(AND(IF($M$9="Q4",LEFT(OFFSET(TH!G$1,SMALL(Dong2,ROWS($1:50)),),2)=$M$9,LEFT(OFFSET(TH!G$1,SMALL(Dong2,ROWS($1:50)),),3)=$M$9),OFFSET(TH!L$1,SMALL(Dong2,ROWS($1:50)),)=$I$6),IF($I$6="1121",OFFSET(TH!K$1,SMALL(Dong2,ROWS($1:50)),),OFFSET(TH!#REF!,SMALL(Dong2,ROWS($1:50)),)),0))</f>
        <v/>
      </c>
      <c r="G61" s="452" t="str">
        <f ca="1">IF(ROWS($1:50)&gt;COUNT(Dong2),"",IF(AND(IF($M$9="Q4",RIGHT(OFFSET(TH!G$1,SMALL(Dong2,ROWS($1:50)),),2)=$M$9,RIGHT(OFFSET(TH!G$1,SMALL(Dong2,ROWS($1:50)),),3)=$M$9),OFFSET(TH!M$1,SMALL(Dong2,ROWS($1:50)),)=$I$6),IF($I$6="1121",OFFSET(TH!K$1,SMALL(Dong2,ROWS($1:50)),),OFFSET(TH!#REF!,SMALL(Dong2,ROWS($1:50)),)),0))</f>
        <v/>
      </c>
      <c r="H61" s="577">
        <f t="shared" ca="1" si="3"/>
        <v>0</v>
      </c>
      <c r="I61" s="449"/>
    </row>
    <row r="62" spans="1:9" s="143" customFormat="1" ht="18.75" customHeight="1">
      <c r="A62" s="154" t="str">
        <f ca="1">IF(ROWS($1:51)&gt;COUNT(Dong2),"",OFFSET(TH!C$1,SMALL(Dong2,ROWS($1:51)),))</f>
        <v/>
      </c>
      <c r="B62" s="154" t="str">
        <f ca="1">IF(ROWS($1:51)&gt;COUNT(Dong2),"",OFFSET(TH!D$1,SMALL(Dong2,ROWS($1:51)),))</f>
        <v/>
      </c>
      <c r="C62" s="154" t="str">
        <f ca="1">IF(ROWS($1:51)&gt;COUNT(Dong2),"",OFFSET(TH!E$1,SMALL(Dong2,ROWS($1:51)),))</f>
        <v/>
      </c>
      <c r="D62" s="221" t="str">
        <f ca="1">IF(ROWS($1:51)&gt;COUNT(Dong2),"",OFFSET(TH!F$1,SMALL(Dong2,ROWS($1:51)),))</f>
        <v/>
      </c>
      <c r="E62" s="154" t="str">
        <f ca="1">IF(ROWS($1:51)&gt;COUNT(Dong2),"",IF(OFFSET(TH!M$1,SMALL(Dong2,ROWS($1:51)),)=$I$6,OFFSET(TH!L$1,SMALL(Dong2,ROWS($1:51)),),OFFSET(TH!M$1,SMALL(Dong2,ROWS($1:51)),)))</f>
        <v/>
      </c>
      <c r="F62" s="452" t="str">
        <f ca="1">IF(ROWS($1:51)&gt;COUNT(Dong2),"",IF(AND(IF($M$9="Q4",LEFT(OFFSET(TH!G$1,SMALL(Dong2,ROWS($1:51)),),2)=$M$9,LEFT(OFFSET(TH!G$1,SMALL(Dong2,ROWS($1:51)),),3)=$M$9),OFFSET(TH!L$1,SMALL(Dong2,ROWS($1:51)),)=$I$6),IF($I$6="1121",OFFSET(TH!K$1,SMALL(Dong2,ROWS($1:51)),),OFFSET(TH!#REF!,SMALL(Dong2,ROWS($1:51)),)),0))</f>
        <v/>
      </c>
      <c r="G62" s="452" t="str">
        <f ca="1">IF(ROWS($1:51)&gt;COUNT(Dong2),"",IF(AND(IF($M$9="Q4",RIGHT(OFFSET(TH!G$1,SMALL(Dong2,ROWS($1:51)),),2)=$M$9,RIGHT(OFFSET(TH!G$1,SMALL(Dong2,ROWS($1:51)),),3)=$M$9),OFFSET(TH!M$1,SMALL(Dong2,ROWS($1:51)),)=$I$6),IF($I$6="1121",OFFSET(TH!K$1,SMALL(Dong2,ROWS($1:51)),),OFFSET(TH!#REF!,SMALL(Dong2,ROWS($1:51)),)),0))</f>
        <v/>
      </c>
      <c r="H62" s="577">
        <f t="shared" ca="1" si="3"/>
        <v>0</v>
      </c>
      <c r="I62" s="449"/>
    </row>
    <row r="63" spans="1:9" s="143" customFormat="1" ht="18.75" customHeight="1">
      <c r="A63" s="154" t="str">
        <f ca="1">IF(ROWS($1:52)&gt;COUNT(Dong2),"",OFFSET(TH!C$1,SMALL(Dong2,ROWS($1:52)),))</f>
        <v/>
      </c>
      <c r="B63" s="154" t="str">
        <f ca="1">IF(ROWS($1:52)&gt;COUNT(Dong2),"",OFFSET(TH!D$1,SMALL(Dong2,ROWS($1:52)),))</f>
        <v/>
      </c>
      <c r="C63" s="154" t="str">
        <f ca="1">IF(ROWS($1:52)&gt;COUNT(Dong2),"",OFFSET(TH!E$1,SMALL(Dong2,ROWS($1:52)),))</f>
        <v/>
      </c>
      <c r="D63" s="221" t="str">
        <f ca="1">IF(ROWS($1:52)&gt;COUNT(Dong2),"",OFFSET(TH!F$1,SMALL(Dong2,ROWS($1:52)),))</f>
        <v/>
      </c>
      <c r="E63" s="154" t="str">
        <f ca="1">IF(ROWS($1:52)&gt;COUNT(Dong2),"",IF(OFFSET(TH!M$1,SMALL(Dong2,ROWS($1:52)),)=$I$6,OFFSET(TH!L$1,SMALL(Dong2,ROWS($1:52)),),OFFSET(TH!M$1,SMALL(Dong2,ROWS($1:52)),)))</f>
        <v/>
      </c>
      <c r="F63" s="452" t="str">
        <f ca="1">IF(ROWS($1:52)&gt;COUNT(Dong2),"",IF(AND(IF($M$9="Q4",LEFT(OFFSET(TH!G$1,SMALL(Dong2,ROWS($1:52)),),2)=$M$9,LEFT(OFFSET(TH!G$1,SMALL(Dong2,ROWS($1:52)),),3)=$M$9),OFFSET(TH!L$1,SMALL(Dong2,ROWS($1:52)),)=$I$6),IF($I$6="1121",OFFSET(TH!K$1,SMALL(Dong2,ROWS($1:52)),),OFFSET(TH!#REF!,SMALL(Dong2,ROWS($1:52)),)),0))</f>
        <v/>
      </c>
      <c r="G63" s="452" t="str">
        <f ca="1">IF(ROWS($1:52)&gt;COUNT(Dong2),"",IF(AND(IF($M$9="Q4",RIGHT(OFFSET(TH!G$1,SMALL(Dong2,ROWS($1:52)),),2)=$M$9,RIGHT(OFFSET(TH!G$1,SMALL(Dong2,ROWS($1:52)),),3)=$M$9),OFFSET(TH!M$1,SMALL(Dong2,ROWS($1:52)),)=$I$6),IF($I$6="1121",OFFSET(TH!K$1,SMALL(Dong2,ROWS($1:52)),),OFFSET(TH!#REF!,SMALL(Dong2,ROWS($1:52)),)),0))</f>
        <v/>
      </c>
      <c r="H63" s="577">
        <f t="shared" ca="1" si="3"/>
        <v>0</v>
      </c>
      <c r="I63" s="449"/>
    </row>
    <row r="64" spans="1:9" s="143" customFormat="1" ht="18.75" customHeight="1">
      <c r="A64" s="154" t="str">
        <f ca="1">IF(ROWS($1:53)&gt;COUNT(Dong2),"",OFFSET(TH!C$1,SMALL(Dong2,ROWS($1:53)),))</f>
        <v/>
      </c>
      <c r="B64" s="154" t="str">
        <f ca="1">IF(ROWS($1:53)&gt;COUNT(Dong2),"",OFFSET(TH!D$1,SMALL(Dong2,ROWS($1:53)),))</f>
        <v/>
      </c>
      <c r="C64" s="154" t="str">
        <f ca="1">IF(ROWS($1:53)&gt;COUNT(Dong2),"",OFFSET(TH!E$1,SMALL(Dong2,ROWS($1:53)),))</f>
        <v/>
      </c>
      <c r="D64" s="221" t="str">
        <f ca="1">IF(ROWS($1:53)&gt;COUNT(Dong2),"",OFFSET(TH!F$1,SMALL(Dong2,ROWS($1:53)),))</f>
        <v/>
      </c>
      <c r="E64" s="154" t="str">
        <f ca="1">IF(ROWS($1:53)&gt;COUNT(Dong2),"",IF(OFFSET(TH!M$1,SMALL(Dong2,ROWS($1:53)),)=$I$6,OFFSET(TH!L$1,SMALL(Dong2,ROWS($1:53)),),OFFSET(TH!M$1,SMALL(Dong2,ROWS($1:53)),)))</f>
        <v/>
      </c>
      <c r="F64" s="452" t="str">
        <f ca="1">IF(ROWS($1:53)&gt;COUNT(Dong2),"",IF(AND(IF($M$9="Q4",LEFT(OFFSET(TH!G$1,SMALL(Dong2,ROWS($1:53)),),2)=$M$9,LEFT(OFFSET(TH!G$1,SMALL(Dong2,ROWS($1:53)),),3)=$M$9),OFFSET(TH!L$1,SMALL(Dong2,ROWS($1:53)),)=$I$6),IF($I$6="1121",OFFSET(TH!K$1,SMALL(Dong2,ROWS($1:53)),),OFFSET(TH!#REF!,SMALL(Dong2,ROWS($1:53)),)),0))</f>
        <v/>
      </c>
      <c r="G64" s="452" t="str">
        <f ca="1">IF(ROWS($1:53)&gt;COUNT(Dong2),"",IF(AND(IF($M$9="Q4",RIGHT(OFFSET(TH!G$1,SMALL(Dong2,ROWS($1:53)),),2)=$M$9,RIGHT(OFFSET(TH!G$1,SMALL(Dong2,ROWS($1:53)),),3)=$M$9),OFFSET(TH!M$1,SMALL(Dong2,ROWS($1:53)),)=$I$6),IF($I$6="1121",OFFSET(TH!K$1,SMALL(Dong2,ROWS($1:53)),),OFFSET(TH!#REF!,SMALL(Dong2,ROWS($1:53)),)),0))</f>
        <v/>
      </c>
      <c r="H64" s="577">
        <f t="shared" ca="1" si="3"/>
        <v>0</v>
      </c>
      <c r="I64" s="449"/>
    </row>
    <row r="65" spans="1:9" s="143" customFormat="1" ht="18.75" customHeight="1">
      <c r="A65" s="154" t="str">
        <f ca="1">IF(ROWS($1:54)&gt;COUNT(Dong2),"",OFFSET(TH!C$1,SMALL(Dong2,ROWS($1:54)),))</f>
        <v/>
      </c>
      <c r="B65" s="154" t="str">
        <f ca="1">IF(ROWS($1:54)&gt;COUNT(Dong2),"",OFFSET(TH!D$1,SMALL(Dong2,ROWS($1:54)),))</f>
        <v/>
      </c>
      <c r="C65" s="154" t="str">
        <f ca="1">IF(ROWS($1:54)&gt;COUNT(Dong2),"",OFFSET(TH!E$1,SMALL(Dong2,ROWS($1:54)),))</f>
        <v/>
      </c>
      <c r="D65" s="221" t="str">
        <f ca="1">IF(ROWS($1:54)&gt;COUNT(Dong2),"",OFFSET(TH!F$1,SMALL(Dong2,ROWS($1:54)),))</f>
        <v/>
      </c>
      <c r="E65" s="154" t="str">
        <f ca="1">IF(ROWS($1:54)&gt;COUNT(Dong2),"",IF(OFFSET(TH!M$1,SMALL(Dong2,ROWS($1:54)),)=$I$6,OFFSET(TH!L$1,SMALL(Dong2,ROWS($1:54)),),OFFSET(TH!M$1,SMALL(Dong2,ROWS($1:54)),)))</f>
        <v/>
      </c>
      <c r="F65" s="452" t="str">
        <f ca="1">IF(ROWS($1:54)&gt;COUNT(Dong2),"",IF(AND(IF($M$9="Q4",LEFT(OFFSET(TH!G$1,SMALL(Dong2,ROWS($1:54)),),2)=$M$9,LEFT(OFFSET(TH!G$1,SMALL(Dong2,ROWS($1:54)),),3)=$M$9),OFFSET(TH!L$1,SMALL(Dong2,ROWS($1:54)),)=$I$6),IF($I$6="1121",OFFSET(TH!K$1,SMALL(Dong2,ROWS($1:54)),),OFFSET(TH!#REF!,SMALL(Dong2,ROWS($1:54)),)),0))</f>
        <v/>
      </c>
      <c r="G65" s="452" t="str">
        <f ca="1">IF(ROWS($1:54)&gt;COUNT(Dong2),"",IF(AND(IF($M$9="Q4",RIGHT(OFFSET(TH!G$1,SMALL(Dong2,ROWS($1:54)),),2)=$M$9,RIGHT(OFFSET(TH!G$1,SMALL(Dong2,ROWS($1:54)),),3)=$M$9),OFFSET(TH!M$1,SMALL(Dong2,ROWS($1:54)),)=$I$6),IF($I$6="1121",OFFSET(TH!K$1,SMALL(Dong2,ROWS($1:54)),),OFFSET(TH!#REF!,SMALL(Dong2,ROWS($1:54)),)),0))</f>
        <v/>
      </c>
      <c r="H65" s="577">
        <f t="shared" ca="1" si="3"/>
        <v>0</v>
      </c>
      <c r="I65" s="449"/>
    </row>
    <row r="66" spans="1:9" s="143" customFormat="1" ht="18.75" customHeight="1">
      <c r="A66" s="154" t="str">
        <f ca="1">IF(ROWS($1:55)&gt;COUNT(Dong2),"",OFFSET(TH!C$1,SMALL(Dong2,ROWS($1:55)),))</f>
        <v/>
      </c>
      <c r="B66" s="154" t="str">
        <f ca="1">IF(ROWS($1:55)&gt;COUNT(Dong2),"",OFFSET(TH!D$1,SMALL(Dong2,ROWS($1:55)),))</f>
        <v/>
      </c>
      <c r="C66" s="154" t="str">
        <f ca="1">IF(ROWS($1:55)&gt;COUNT(Dong2),"",OFFSET(TH!E$1,SMALL(Dong2,ROWS($1:55)),))</f>
        <v/>
      </c>
      <c r="D66" s="221" t="str">
        <f ca="1">IF(ROWS($1:55)&gt;COUNT(Dong2),"",OFFSET(TH!F$1,SMALL(Dong2,ROWS($1:55)),))</f>
        <v/>
      </c>
      <c r="E66" s="154" t="str">
        <f ca="1">IF(ROWS($1:55)&gt;COUNT(Dong2),"",IF(OFFSET(TH!M$1,SMALL(Dong2,ROWS($1:55)),)=$I$6,OFFSET(TH!L$1,SMALL(Dong2,ROWS($1:55)),),OFFSET(TH!M$1,SMALL(Dong2,ROWS($1:55)),)))</f>
        <v/>
      </c>
      <c r="F66" s="452" t="str">
        <f ca="1">IF(ROWS($1:55)&gt;COUNT(Dong2),"",IF(AND(IF($M$9="Q4",LEFT(OFFSET(TH!G$1,SMALL(Dong2,ROWS($1:55)),),2)=$M$9,LEFT(OFFSET(TH!G$1,SMALL(Dong2,ROWS($1:55)),),3)=$M$9),OFFSET(TH!L$1,SMALL(Dong2,ROWS($1:55)),)=$I$6),IF($I$6="1121",OFFSET(TH!K$1,SMALL(Dong2,ROWS($1:55)),),OFFSET(TH!#REF!,SMALL(Dong2,ROWS($1:55)),)),0))</f>
        <v/>
      </c>
      <c r="G66" s="452" t="str">
        <f ca="1">IF(ROWS($1:55)&gt;COUNT(Dong2),"",IF(AND(IF($M$9="Q4",RIGHT(OFFSET(TH!G$1,SMALL(Dong2,ROWS($1:55)),),2)=$M$9,RIGHT(OFFSET(TH!G$1,SMALL(Dong2,ROWS($1:55)),),3)=$M$9),OFFSET(TH!M$1,SMALL(Dong2,ROWS($1:55)),)=$I$6),IF($I$6="1121",OFFSET(TH!K$1,SMALL(Dong2,ROWS($1:55)),),OFFSET(TH!#REF!,SMALL(Dong2,ROWS($1:55)),)),0))</f>
        <v/>
      </c>
      <c r="H66" s="577">
        <f t="shared" ca="1" si="3"/>
        <v>0</v>
      </c>
      <c r="I66" s="449"/>
    </row>
    <row r="67" spans="1:9" s="143" customFormat="1" ht="18.75" customHeight="1">
      <c r="A67" s="154" t="str">
        <f ca="1">IF(ROWS($1:56)&gt;COUNT(Dong2),"",OFFSET(TH!C$1,SMALL(Dong2,ROWS($1:56)),))</f>
        <v/>
      </c>
      <c r="B67" s="154" t="str">
        <f ca="1">IF(ROWS($1:56)&gt;COUNT(Dong2),"",OFFSET(TH!D$1,SMALL(Dong2,ROWS($1:56)),))</f>
        <v/>
      </c>
      <c r="C67" s="154" t="str">
        <f ca="1">IF(ROWS($1:56)&gt;COUNT(Dong2),"",OFFSET(TH!E$1,SMALL(Dong2,ROWS($1:56)),))</f>
        <v/>
      </c>
      <c r="D67" s="221" t="str">
        <f ca="1">IF(ROWS($1:56)&gt;COUNT(Dong2),"",OFFSET(TH!F$1,SMALL(Dong2,ROWS($1:56)),))</f>
        <v/>
      </c>
      <c r="E67" s="154" t="str">
        <f ca="1">IF(ROWS($1:56)&gt;COUNT(Dong2),"",IF(OFFSET(TH!M$1,SMALL(Dong2,ROWS($1:56)),)=$I$6,OFFSET(TH!L$1,SMALL(Dong2,ROWS($1:56)),),OFFSET(TH!M$1,SMALL(Dong2,ROWS($1:56)),)))</f>
        <v/>
      </c>
      <c r="F67" s="452" t="str">
        <f ca="1">IF(ROWS($1:56)&gt;COUNT(Dong2),"",IF(AND(IF($M$9="Q4",LEFT(OFFSET(TH!G$1,SMALL(Dong2,ROWS($1:56)),),2)=$M$9,LEFT(OFFSET(TH!G$1,SMALL(Dong2,ROWS($1:56)),),3)=$M$9),OFFSET(TH!L$1,SMALL(Dong2,ROWS($1:56)),)=$I$6),IF($I$6="1121",OFFSET(TH!K$1,SMALL(Dong2,ROWS($1:56)),),OFFSET(TH!#REF!,SMALL(Dong2,ROWS($1:56)),)),0))</f>
        <v/>
      </c>
      <c r="G67" s="452" t="str">
        <f ca="1">IF(ROWS($1:56)&gt;COUNT(Dong2),"",IF(AND(IF($M$9="Q4",RIGHT(OFFSET(TH!G$1,SMALL(Dong2,ROWS($1:56)),),2)=$M$9,RIGHT(OFFSET(TH!G$1,SMALL(Dong2,ROWS($1:56)),),3)=$M$9),OFFSET(TH!M$1,SMALL(Dong2,ROWS($1:56)),)=$I$6),IF($I$6="1121",OFFSET(TH!K$1,SMALL(Dong2,ROWS($1:56)),),OFFSET(TH!#REF!,SMALL(Dong2,ROWS($1:56)),)),0))</f>
        <v/>
      </c>
      <c r="H67" s="577">
        <f t="shared" ca="1" si="3"/>
        <v>0</v>
      </c>
      <c r="I67" s="449"/>
    </row>
    <row r="68" spans="1:9" s="143" customFormat="1" ht="18.75" customHeight="1">
      <c r="A68" s="154" t="str">
        <f ca="1">IF(ROWS($1:57)&gt;COUNT(Dong2),"",OFFSET(TH!C$1,SMALL(Dong2,ROWS($1:57)),))</f>
        <v/>
      </c>
      <c r="B68" s="154" t="str">
        <f ca="1">IF(ROWS($1:57)&gt;COUNT(Dong2),"",OFFSET(TH!D$1,SMALL(Dong2,ROWS($1:57)),))</f>
        <v/>
      </c>
      <c r="C68" s="154" t="str">
        <f ca="1">IF(ROWS($1:57)&gt;COUNT(Dong2),"",OFFSET(TH!E$1,SMALL(Dong2,ROWS($1:57)),))</f>
        <v/>
      </c>
      <c r="D68" s="221" t="str">
        <f ca="1">IF(ROWS($1:57)&gt;COUNT(Dong2),"",OFFSET(TH!F$1,SMALL(Dong2,ROWS($1:57)),))</f>
        <v/>
      </c>
      <c r="E68" s="154" t="str">
        <f ca="1">IF(ROWS($1:57)&gt;COUNT(Dong2),"",IF(OFFSET(TH!M$1,SMALL(Dong2,ROWS($1:57)),)=$I$6,OFFSET(TH!L$1,SMALL(Dong2,ROWS($1:57)),),OFFSET(TH!M$1,SMALL(Dong2,ROWS($1:57)),)))</f>
        <v/>
      </c>
      <c r="F68" s="452" t="str">
        <f ca="1">IF(ROWS($1:57)&gt;COUNT(Dong2),"",IF(AND(IF($M$9="Q4",LEFT(OFFSET(TH!G$1,SMALL(Dong2,ROWS($1:57)),),2)=$M$9,LEFT(OFFSET(TH!G$1,SMALL(Dong2,ROWS($1:57)),),3)=$M$9),OFFSET(TH!L$1,SMALL(Dong2,ROWS($1:57)),)=$I$6),IF($I$6="1121",OFFSET(TH!K$1,SMALL(Dong2,ROWS($1:57)),),OFFSET(TH!#REF!,SMALL(Dong2,ROWS($1:57)),)),0))</f>
        <v/>
      </c>
      <c r="G68" s="452" t="str">
        <f ca="1">IF(ROWS($1:57)&gt;COUNT(Dong2),"",IF(AND(IF($M$9="Q4",RIGHT(OFFSET(TH!G$1,SMALL(Dong2,ROWS($1:57)),),2)=$M$9,RIGHT(OFFSET(TH!G$1,SMALL(Dong2,ROWS($1:57)),),3)=$M$9),OFFSET(TH!M$1,SMALL(Dong2,ROWS($1:57)),)=$I$6),IF($I$6="1121",OFFSET(TH!K$1,SMALL(Dong2,ROWS($1:57)),),OFFSET(TH!#REF!,SMALL(Dong2,ROWS($1:57)),)),0))</f>
        <v/>
      </c>
      <c r="H68" s="577">
        <f t="shared" ca="1" si="3"/>
        <v>0</v>
      </c>
      <c r="I68" s="449"/>
    </row>
    <row r="69" spans="1:9" s="143" customFormat="1" ht="18.75" customHeight="1">
      <c r="A69" s="154" t="str">
        <f ca="1">IF(ROWS($1:58)&gt;COUNT(Dong2),"",OFFSET(TH!C$1,SMALL(Dong2,ROWS($1:58)),))</f>
        <v/>
      </c>
      <c r="B69" s="154" t="str">
        <f ca="1">IF(ROWS($1:58)&gt;COUNT(Dong2),"",OFFSET(TH!D$1,SMALL(Dong2,ROWS($1:58)),))</f>
        <v/>
      </c>
      <c r="C69" s="154" t="str">
        <f ca="1">IF(ROWS($1:58)&gt;COUNT(Dong2),"",OFFSET(TH!E$1,SMALL(Dong2,ROWS($1:58)),))</f>
        <v/>
      </c>
      <c r="D69" s="221" t="str">
        <f ca="1">IF(ROWS($1:58)&gt;COUNT(Dong2),"",OFFSET(TH!F$1,SMALL(Dong2,ROWS($1:58)),))</f>
        <v/>
      </c>
      <c r="E69" s="154" t="str">
        <f ca="1">IF(ROWS($1:58)&gt;COUNT(Dong2),"",IF(OFFSET(TH!M$1,SMALL(Dong2,ROWS($1:58)),)=$I$6,OFFSET(TH!L$1,SMALL(Dong2,ROWS($1:58)),),OFFSET(TH!M$1,SMALL(Dong2,ROWS($1:58)),)))</f>
        <v/>
      </c>
      <c r="F69" s="452" t="str">
        <f ca="1">IF(ROWS($1:58)&gt;COUNT(Dong2),"",IF(AND(IF($M$9="Q4",LEFT(OFFSET(TH!G$1,SMALL(Dong2,ROWS($1:58)),),2)=$M$9,LEFT(OFFSET(TH!G$1,SMALL(Dong2,ROWS($1:58)),),3)=$M$9),OFFSET(TH!L$1,SMALL(Dong2,ROWS($1:58)),)=$I$6),IF($I$6="1121",OFFSET(TH!K$1,SMALL(Dong2,ROWS($1:58)),),OFFSET(TH!#REF!,SMALL(Dong2,ROWS($1:58)),)),0))</f>
        <v/>
      </c>
      <c r="G69" s="452" t="str">
        <f ca="1">IF(ROWS($1:58)&gt;COUNT(Dong2),"",IF(AND(IF($M$9="Q4",RIGHT(OFFSET(TH!G$1,SMALL(Dong2,ROWS($1:58)),),2)=$M$9,RIGHT(OFFSET(TH!G$1,SMALL(Dong2,ROWS($1:58)),),3)=$M$9),OFFSET(TH!M$1,SMALL(Dong2,ROWS($1:58)),)=$I$6),IF($I$6="1121",OFFSET(TH!K$1,SMALL(Dong2,ROWS($1:58)),),OFFSET(TH!#REF!,SMALL(Dong2,ROWS($1:58)),)),0))</f>
        <v/>
      </c>
      <c r="H69" s="577">
        <f t="shared" ca="1" si="3"/>
        <v>0</v>
      </c>
      <c r="I69" s="449"/>
    </row>
    <row r="70" spans="1:9" s="143" customFormat="1" ht="18.75" customHeight="1">
      <c r="A70" s="154" t="str">
        <f ca="1">IF(ROWS($1:59)&gt;COUNT(Dong2),"",OFFSET(TH!C$1,SMALL(Dong2,ROWS($1:59)),))</f>
        <v/>
      </c>
      <c r="B70" s="154" t="str">
        <f ca="1">IF(ROWS($1:59)&gt;COUNT(Dong2),"",OFFSET(TH!D$1,SMALL(Dong2,ROWS($1:59)),))</f>
        <v/>
      </c>
      <c r="C70" s="154" t="str">
        <f ca="1">IF(ROWS($1:59)&gt;COUNT(Dong2),"",OFFSET(TH!E$1,SMALL(Dong2,ROWS($1:59)),))</f>
        <v/>
      </c>
      <c r="D70" s="221" t="str">
        <f ca="1">IF(ROWS($1:59)&gt;COUNT(Dong2),"",OFFSET(TH!F$1,SMALL(Dong2,ROWS($1:59)),))</f>
        <v/>
      </c>
      <c r="E70" s="154" t="str">
        <f ca="1">IF(ROWS($1:59)&gt;COUNT(Dong2),"",IF(OFFSET(TH!M$1,SMALL(Dong2,ROWS($1:59)),)=$I$6,OFFSET(TH!L$1,SMALL(Dong2,ROWS($1:59)),),OFFSET(TH!M$1,SMALL(Dong2,ROWS($1:59)),)))</f>
        <v/>
      </c>
      <c r="F70" s="452" t="str">
        <f ca="1">IF(ROWS($1:59)&gt;COUNT(Dong2),"",IF(AND(IF($M$9="Q4",LEFT(OFFSET(TH!G$1,SMALL(Dong2,ROWS($1:59)),),2)=$M$9,LEFT(OFFSET(TH!G$1,SMALL(Dong2,ROWS($1:59)),),3)=$M$9),OFFSET(TH!L$1,SMALL(Dong2,ROWS($1:59)),)=$I$6),IF($I$6="1121",OFFSET(TH!K$1,SMALL(Dong2,ROWS($1:59)),),OFFSET(TH!#REF!,SMALL(Dong2,ROWS($1:59)),)),0))</f>
        <v/>
      </c>
      <c r="G70" s="452" t="str">
        <f ca="1">IF(ROWS($1:59)&gt;COUNT(Dong2),"",IF(AND(IF($M$9="Q4",RIGHT(OFFSET(TH!G$1,SMALL(Dong2,ROWS($1:59)),),2)=$M$9,RIGHT(OFFSET(TH!G$1,SMALL(Dong2,ROWS($1:59)),),3)=$M$9),OFFSET(TH!M$1,SMALL(Dong2,ROWS($1:59)),)=$I$6),IF($I$6="1121",OFFSET(TH!K$1,SMALL(Dong2,ROWS($1:59)),),OFFSET(TH!#REF!,SMALL(Dong2,ROWS($1:59)),)),0))</f>
        <v/>
      </c>
      <c r="H70" s="577">
        <f t="shared" ca="1" si="3"/>
        <v>0</v>
      </c>
      <c r="I70" s="449"/>
    </row>
    <row r="71" spans="1:9" s="143" customFormat="1" ht="18.75" customHeight="1">
      <c r="A71" s="154" t="str">
        <f ca="1">IF(ROWS($1:60)&gt;COUNT(Dong2),"",OFFSET(TH!C$1,SMALL(Dong2,ROWS($1:60)),))</f>
        <v/>
      </c>
      <c r="B71" s="154" t="str">
        <f ca="1">IF(ROWS($1:60)&gt;COUNT(Dong2),"",OFFSET(TH!D$1,SMALL(Dong2,ROWS($1:60)),))</f>
        <v/>
      </c>
      <c r="C71" s="154" t="str">
        <f ca="1">IF(ROWS($1:60)&gt;COUNT(Dong2),"",OFFSET(TH!E$1,SMALL(Dong2,ROWS($1:60)),))</f>
        <v/>
      </c>
      <c r="D71" s="221" t="str">
        <f ca="1">IF(ROWS($1:60)&gt;COUNT(Dong2),"",OFFSET(TH!F$1,SMALL(Dong2,ROWS($1:60)),))</f>
        <v/>
      </c>
      <c r="E71" s="154" t="str">
        <f ca="1">IF(ROWS($1:60)&gt;COUNT(Dong2),"",IF(OFFSET(TH!M$1,SMALL(Dong2,ROWS($1:60)),)=$I$6,OFFSET(TH!L$1,SMALL(Dong2,ROWS($1:60)),),OFFSET(TH!M$1,SMALL(Dong2,ROWS($1:60)),)))</f>
        <v/>
      </c>
      <c r="F71" s="452" t="str">
        <f ca="1">IF(ROWS($1:60)&gt;COUNT(Dong2),"",IF(AND(IF($M$9="Q4",LEFT(OFFSET(TH!G$1,SMALL(Dong2,ROWS($1:60)),),2)=$M$9,LEFT(OFFSET(TH!G$1,SMALL(Dong2,ROWS($1:60)),),3)=$M$9),OFFSET(TH!L$1,SMALL(Dong2,ROWS($1:60)),)=$I$6),IF($I$6="1121",OFFSET(TH!K$1,SMALL(Dong2,ROWS($1:60)),),OFFSET(TH!#REF!,SMALL(Dong2,ROWS($1:60)),)),0))</f>
        <v/>
      </c>
      <c r="G71" s="452" t="str">
        <f ca="1">IF(ROWS($1:60)&gt;COUNT(Dong2),"",IF(AND(IF($M$9="Q4",RIGHT(OFFSET(TH!G$1,SMALL(Dong2,ROWS($1:60)),),2)=$M$9,RIGHT(OFFSET(TH!G$1,SMALL(Dong2,ROWS($1:60)),),3)=$M$9),OFFSET(TH!M$1,SMALL(Dong2,ROWS($1:60)),)=$I$6),IF($I$6="1121",OFFSET(TH!K$1,SMALL(Dong2,ROWS($1:60)),),OFFSET(TH!#REF!,SMALL(Dong2,ROWS($1:60)),)),0))</f>
        <v/>
      </c>
      <c r="H71" s="577">
        <f t="shared" ca="1" si="3"/>
        <v>0</v>
      </c>
      <c r="I71" s="449"/>
    </row>
    <row r="72" spans="1:9" s="143" customFormat="1" ht="18.75" customHeight="1">
      <c r="A72" s="154" t="str">
        <f ca="1">IF(ROWS($1:61)&gt;COUNT(Dong2),"",OFFSET(TH!C$1,SMALL(Dong2,ROWS($1:61)),))</f>
        <v/>
      </c>
      <c r="B72" s="154" t="str">
        <f ca="1">IF(ROWS($1:61)&gt;COUNT(Dong2),"",OFFSET(TH!D$1,SMALL(Dong2,ROWS($1:61)),))</f>
        <v/>
      </c>
      <c r="C72" s="154" t="str">
        <f ca="1">IF(ROWS($1:61)&gt;COUNT(Dong2),"",OFFSET(TH!E$1,SMALL(Dong2,ROWS($1:61)),))</f>
        <v/>
      </c>
      <c r="D72" s="221" t="str">
        <f ca="1">IF(ROWS($1:61)&gt;COUNT(Dong2),"",OFFSET(TH!F$1,SMALL(Dong2,ROWS($1:61)),))</f>
        <v/>
      </c>
      <c r="E72" s="154" t="str">
        <f ca="1">IF(ROWS($1:61)&gt;COUNT(Dong2),"",IF(OFFSET(TH!M$1,SMALL(Dong2,ROWS($1:61)),)=$I$6,OFFSET(TH!L$1,SMALL(Dong2,ROWS($1:61)),),OFFSET(TH!M$1,SMALL(Dong2,ROWS($1:61)),)))</f>
        <v/>
      </c>
      <c r="F72" s="452" t="str">
        <f ca="1">IF(ROWS($1:61)&gt;COUNT(Dong2),"",IF(AND(IF($M$9="Q4",LEFT(OFFSET(TH!G$1,SMALL(Dong2,ROWS($1:61)),),2)=$M$9,LEFT(OFFSET(TH!G$1,SMALL(Dong2,ROWS($1:61)),),3)=$M$9),OFFSET(TH!L$1,SMALL(Dong2,ROWS($1:61)),)=$I$6),IF($I$6="1121",OFFSET(TH!K$1,SMALL(Dong2,ROWS($1:61)),),OFFSET(TH!#REF!,SMALL(Dong2,ROWS($1:61)),)),0))</f>
        <v/>
      </c>
      <c r="G72" s="452" t="str">
        <f ca="1">IF(ROWS($1:61)&gt;COUNT(Dong2),"",IF(AND(IF($M$9="Q4",RIGHT(OFFSET(TH!G$1,SMALL(Dong2,ROWS($1:61)),),2)=$M$9,RIGHT(OFFSET(TH!G$1,SMALL(Dong2,ROWS($1:61)),),3)=$M$9),OFFSET(TH!M$1,SMALL(Dong2,ROWS($1:61)),)=$I$6),IF($I$6="1121",OFFSET(TH!K$1,SMALL(Dong2,ROWS($1:61)),),OFFSET(TH!#REF!,SMALL(Dong2,ROWS($1:61)),)),0))</f>
        <v/>
      </c>
      <c r="H72" s="577">
        <f t="shared" ca="1" si="3"/>
        <v>0</v>
      </c>
      <c r="I72" s="449"/>
    </row>
    <row r="73" spans="1:9" s="143" customFormat="1" ht="18.75" customHeight="1">
      <c r="A73" s="154" t="str">
        <f ca="1">IF(ROWS($1:62)&gt;COUNT(Dong2),"",OFFSET(TH!C$1,SMALL(Dong2,ROWS($1:62)),))</f>
        <v/>
      </c>
      <c r="B73" s="154" t="str">
        <f ca="1">IF(ROWS($1:62)&gt;COUNT(Dong2),"",OFFSET(TH!D$1,SMALL(Dong2,ROWS($1:62)),))</f>
        <v/>
      </c>
      <c r="C73" s="154" t="str">
        <f ca="1">IF(ROWS($1:62)&gt;COUNT(Dong2),"",OFFSET(TH!E$1,SMALL(Dong2,ROWS($1:62)),))</f>
        <v/>
      </c>
      <c r="D73" s="221" t="str">
        <f ca="1">IF(ROWS($1:62)&gt;COUNT(Dong2),"",OFFSET(TH!F$1,SMALL(Dong2,ROWS($1:62)),))</f>
        <v/>
      </c>
      <c r="E73" s="154" t="str">
        <f ca="1">IF(ROWS($1:62)&gt;COUNT(Dong2),"",IF(OFFSET(TH!M$1,SMALL(Dong2,ROWS($1:62)),)=$I$6,OFFSET(TH!L$1,SMALL(Dong2,ROWS($1:62)),),OFFSET(TH!M$1,SMALL(Dong2,ROWS($1:62)),)))</f>
        <v/>
      </c>
      <c r="F73" s="452" t="str">
        <f ca="1">IF(ROWS($1:62)&gt;COUNT(Dong2),"",IF(AND(IF($M$9="Q4",LEFT(OFFSET(TH!G$1,SMALL(Dong2,ROWS($1:62)),),2)=$M$9,LEFT(OFFSET(TH!G$1,SMALL(Dong2,ROWS($1:62)),),3)=$M$9),OFFSET(TH!L$1,SMALL(Dong2,ROWS($1:62)),)=$I$6),IF($I$6="1121",OFFSET(TH!K$1,SMALL(Dong2,ROWS($1:62)),),OFFSET(TH!#REF!,SMALL(Dong2,ROWS($1:62)),)),0))</f>
        <v/>
      </c>
      <c r="G73" s="452" t="str">
        <f ca="1">IF(ROWS($1:62)&gt;COUNT(Dong2),"",IF(AND(IF($M$9="Q4",RIGHT(OFFSET(TH!G$1,SMALL(Dong2,ROWS($1:62)),),2)=$M$9,RIGHT(OFFSET(TH!G$1,SMALL(Dong2,ROWS($1:62)),),3)=$M$9),OFFSET(TH!M$1,SMALL(Dong2,ROWS($1:62)),)=$I$6),IF($I$6="1121",OFFSET(TH!K$1,SMALL(Dong2,ROWS($1:62)),),OFFSET(TH!#REF!,SMALL(Dong2,ROWS($1:62)),)),0))</f>
        <v/>
      </c>
      <c r="H73" s="577">
        <f t="shared" ca="1" si="3"/>
        <v>0</v>
      </c>
      <c r="I73" s="449"/>
    </row>
    <row r="74" spans="1:9" s="143" customFormat="1" ht="18.75" customHeight="1">
      <c r="A74" s="154" t="str">
        <f ca="1">IF(ROWS($1:63)&gt;COUNT(Dong2),"",OFFSET(TH!C$1,SMALL(Dong2,ROWS($1:63)),))</f>
        <v/>
      </c>
      <c r="B74" s="154" t="str">
        <f ca="1">IF(ROWS($1:63)&gt;COUNT(Dong2),"",OFFSET(TH!D$1,SMALL(Dong2,ROWS($1:63)),))</f>
        <v/>
      </c>
      <c r="C74" s="154" t="str">
        <f ca="1">IF(ROWS($1:63)&gt;COUNT(Dong2),"",OFFSET(TH!E$1,SMALL(Dong2,ROWS($1:63)),))</f>
        <v/>
      </c>
      <c r="D74" s="221" t="str">
        <f ca="1">IF(ROWS($1:63)&gt;COUNT(Dong2),"",OFFSET(TH!F$1,SMALL(Dong2,ROWS($1:63)),))</f>
        <v/>
      </c>
      <c r="E74" s="154" t="str">
        <f ca="1">IF(ROWS($1:63)&gt;COUNT(Dong2),"",IF(OFFSET(TH!M$1,SMALL(Dong2,ROWS($1:63)),)=$I$6,OFFSET(TH!L$1,SMALL(Dong2,ROWS($1:63)),),OFFSET(TH!M$1,SMALL(Dong2,ROWS($1:63)),)))</f>
        <v/>
      </c>
      <c r="F74" s="452" t="str">
        <f ca="1">IF(ROWS($1:63)&gt;COUNT(Dong2),"",IF(AND(IF($M$9="Q4",LEFT(OFFSET(TH!G$1,SMALL(Dong2,ROWS($1:63)),),2)=$M$9,LEFT(OFFSET(TH!G$1,SMALL(Dong2,ROWS($1:63)),),3)=$M$9),OFFSET(TH!L$1,SMALL(Dong2,ROWS($1:63)),)=$I$6),IF($I$6="1121",OFFSET(TH!K$1,SMALL(Dong2,ROWS($1:63)),),OFFSET(TH!#REF!,SMALL(Dong2,ROWS($1:63)),)),0))</f>
        <v/>
      </c>
      <c r="G74" s="452" t="str">
        <f ca="1">IF(ROWS($1:63)&gt;COUNT(Dong2),"",IF(AND(IF($M$9="Q4",RIGHT(OFFSET(TH!G$1,SMALL(Dong2,ROWS($1:63)),),2)=$M$9,RIGHT(OFFSET(TH!G$1,SMALL(Dong2,ROWS($1:63)),),3)=$M$9),OFFSET(TH!M$1,SMALL(Dong2,ROWS($1:63)),)=$I$6),IF($I$6="1121",OFFSET(TH!K$1,SMALL(Dong2,ROWS($1:63)),),OFFSET(TH!#REF!,SMALL(Dong2,ROWS($1:63)),)),0))</f>
        <v/>
      </c>
      <c r="H74" s="577">
        <f t="shared" ca="1" si="3"/>
        <v>0</v>
      </c>
      <c r="I74" s="449"/>
    </row>
    <row r="75" spans="1:9" s="143" customFormat="1" ht="18.75" customHeight="1">
      <c r="A75" s="154" t="str">
        <f ca="1">IF(ROWS($1:64)&gt;COUNT(Dong2),"",OFFSET(TH!C$1,SMALL(Dong2,ROWS($1:64)),))</f>
        <v/>
      </c>
      <c r="B75" s="154" t="str">
        <f ca="1">IF(ROWS($1:64)&gt;COUNT(Dong2),"",OFFSET(TH!D$1,SMALL(Dong2,ROWS($1:64)),))</f>
        <v/>
      </c>
      <c r="C75" s="154" t="str">
        <f ca="1">IF(ROWS($1:64)&gt;COUNT(Dong2),"",OFFSET(TH!E$1,SMALL(Dong2,ROWS($1:64)),))</f>
        <v/>
      </c>
      <c r="D75" s="221" t="str">
        <f ca="1">IF(ROWS($1:64)&gt;COUNT(Dong2),"",OFFSET(TH!F$1,SMALL(Dong2,ROWS($1:64)),))</f>
        <v/>
      </c>
      <c r="E75" s="154" t="str">
        <f ca="1">IF(ROWS($1:64)&gt;COUNT(Dong2),"",IF(OFFSET(TH!M$1,SMALL(Dong2,ROWS($1:64)),)=$I$6,OFFSET(TH!L$1,SMALL(Dong2,ROWS($1:64)),),OFFSET(TH!M$1,SMALL(Dong2,ROWS($1:64)),)))</f>
        <v/>
      </c>
      <c r="F75" s="452" t="str">
        <f ca="1">IF(ROWS($1:64)&gt;COUNT(Dong2),"",IF(AND(IF($M$9="Q4",LEFT(OFFSET(TH!G$1,SMALL(Dong2,ROWS($1:64)),),2)=$M$9,LEFT(OFFSET(TH!G$1,SMALL(Dong2,ROWS($1:64)),),3)=$M$9),OFFSET(TH!L$1,SMALL(Dong2,ROWS($1:64)),)=$I$6),IF($I$6="1121",OFFSET(TH!K$1,SMALL(Dong2,ROWS($1:64)),),OFFSET(TH!#REF!,SMALL(Dong2,ROWS($1:64)),)),0))</f>
        <v/>
      </c>
      <c r="G75" s="452" t="str">
        <f ca="1">IF(ROWS($1:64)&gt;COUNT(Dong2),"",IF(AND(IF($M$9="Q4",RIGHT(OFFSET(TH!G$1,SMALL(Dong2,ROWS($1:64)),),2)=$M$9,RIGHT(OFFSET(TH!G$1,SMALL(Dong2,ROWS($1:64)),),3)=$M$9),OFFSET(TH!M$1,SMALL(Dong2,ROWS($1:64)),)=$I$6),IF($I$6="1121",OFFSET(TH!K$1,SMALL(Dong2,ROWS($1:64)),),OFFSET(TH!#REF!,SMALL(Dong2,ROWS($1:64)),)),0))</f>
        <v/>
      </c>
      <c r="H75" s="577">
        <f t="shared" ca="1" si="3"/>
        <v>0</v>
      </c>
      <c r="I75" s="449"/>
    </row>
    <row r="76" spans="1:9" s="143" customFormat="1" ht="18.75" customHeight="1">
      <c r="A76" s="154" t="str">
        <f ca="1">IF(ROWS($1:65)&gt;COUNT(Dong2),"",OFFSET(TH!C$1,SMALL(Dong2,ROWS($1:65)),))</f>
        <v/>
      </c>
      <c r="B76" s="154" t="str">
        <f ca="1">IF(ROWS($1:65)&gt;COUNT(Dong2),"",OFFSET(TH!D$1,SMALL(Dong2,ROWS($1:65)),))</f>
        <v/>
      </c>
      <c r="C76" s="154" t="str">
        <f ca="1">IF(ROWS($1:65)&gt;COUNT(Dong2),"",OFFSET(TH!E$1,SMALL(Dong2,ROWS($1:65)),))</f>
        <v/>
      </c>
      <c r="D76" s="221" t="str">
        <f ca="1">IF(ROWS($1:65)&gt;COUNT(Dong2),"",OFFSET(TH!F$1,SMALL(Dong2,ROWS($1:65)),))</f>
        <v/>
      </c>
      <c r="E76" s="154" t="str">
        <f ca="1">IF(ROWS($1:65)&gt;COUNT(Dong2),"",IF(OFFSET(TH!M$1,SMALL(Dong2,ROWS($1:65)),)=$I$6,OFFSET(TH!L$1,SMALL(Dong2,ROWS($1:65)),),OFFSET(TH!M$1,SMALL(Dong2,ROWS($1:65)),)))</f>
        <v/>
      </c>
      <c r="F76" s="452" t="str">
        <f ca="1">IF(ROWS($1:65)&gt;COUNT(Dong2),"",IF(AND(IF($M$9="Q4",LEFT(OFFSET(TH!G$1,SMALL(Dong2,ROWS($1:65)),),2)=$M$9,LEFT(OFFSET(TH!G$1,SMALL(Dong2,ROWS($1:65)),),3)=$M$9),OFFSET(TH!L$1,SMALL(Dong2,ROWS($1:65)),)=$I$6),IF($I$6="1121",OFFSET(TH!K$1,SMALL(Dong2,ROWS($1:65)),),OFFSET(TH!#REF!,SMALL(Dong2,ROWS($1:65)),)),0))</f>
        <v/>
      </c>
      <c r="G76" s="452" t="str">
        <f ca="1">IF(ROWS($1:65)&gt;COUNT(Dong2),"",IF(AND(IF($M$9="Q4",RIGHT(OFFSET(TH!G$1,SMALL(Dong2,ROWS($1:65)),),2)=$M$9,RIGHT(OFFSET(TH!G$1,SMALL(Dong2,ROWS($1:65)),),3)=$M$9),OFFSET(TH!M$1,SMALL(Dong2,ROWS($1:65)),)=$I$6),IF($I$6="1121",OFFSET(TH!K$1,SMALL(Dong2,ROWS($1:65)),),OFFSET(TH!#REF!,SMALL(Dong2,ROWS($1:65)),)),0))</f>
        <v/>
      </c>
      <c r="H76" s="577">
        <f t="shared" ca="1" si="3"/>
        <v>0</v>
      </c>
      <c r="I76" s="449"/>
    </row>
    <row r="77" spans="1:9" s="143" customFormat="1" ht="18.75" customHeight="1">
      <c r="A77" s="154" t="str">
        <f ca="1">IF(ROWS($1:66)&gt;COUNT(Dong2),"",OFFSET(TH!C$1,SMALL(Dong2,ROWS($1:66)),))</f>
        <v/>
      </c>
      <c r="B77" s="154" t="str">
        <f ca="1">IF(ROWS($1:66)&gt;COUNT(Dong2),"",OFFSET(TH!D$1,SMALL(Dong2,ROWS($1:66)),))</f>
        <v/>
      </c>
      <c r="C77" s="154" t="str">
        <f ca="1">IF(ROWS($1:66)&gt;COUNT(Dong2),"",OFFSET(TH!E$1,SMALL(Dong2,ROWS($1:66)),))</f>
        <v/>
      </c>
      <c r="D77" s="221" t="str">
        <f ca="1">IF(ROWS($1:66)&gt;COUNT(Dong2),"",OFFSET(TH!F$1,SMALL(Dong2,ROWS($1:66)),))</f>
        <v/>
      </c>
      <c r="E77" s="154" t="str">
        <f ca="1">IF(ROWS($1:66)&gt;COUNT(Dong2),"",IF(OFFSET(TH!M$1,SMALL(Dong2,ROWS($1:66)),)=$I$6,OFFSET(TH!L$1,SMALL(Dong2,ROWS($1:66)),),OFFSET(TH!M$1,SMALL(Dong2,ROWS($1:66)),)))</f>
        <v/>
      </c>
      <c r="F77" s="452" t="str">
        <f ca="1">IF(ROWS($1:66)&gt;COUNT(Dong2),"",IF(AND(IF($M$9="Q4",LEFT(OFFSET(TH!G$1,SMALL(Dong2,ROWS($1:66)),),2)=$M$9,LEFT(OFFSET(TH!G$1,SMALL(Dong2,ROWS($1:66)),),3)=$M$9),OFFSET(TH!L$1,SMALL(Dong2,ROWS($1:66)),)=$I$6),IF($I$6="1121",OFFSET(TH!K$1,SMALL(Dong2,ROWS($1:66)),),OFFSET(TH!#REF!,SMALL(Dong2,ROWS($1:66)),)),0))</f>
        <v/>
      </c>
      <c r="G77" s="452" t="str">
        <f ca="1">IF(ROWS($1:66)&gt;COUNT(Dong2),"",IF(AND(IF($M$9="Q4",RIGHT(OFFSET(TH!G$1,SMALL(Dong2,ROWS($1:66)),),2)=$M$9,RIGHT(OFFSET(TH!G$1,SMALL(Dong2,ROWS($1:66)),),3)=$M$9),OFFSET(TH!M$1,SMALL(Dong2,ROWS($1:66)),)=$I$6),IF($I$6="1121",OFFSET(TH!K$1,SMALL(Dong2,ROWS($1:66)),),OFFSET(TH!#REF!,SMALL(Dong2,ROWS($1:66)),)),0))</f>
        <v/>
      </c>
      <c r="H77" s="577">
        <f t="shared" ca="1" si="3"/>
        <v>0</v>
      </c>
      <c r="I77" s="449"/>
    </row>
    <row r="78" spans="1:9" s="143" customFormat="1" ht="18.75" customHeight="1">
      <c r="A78" s="154" t="str">
        <f ca="1">IF(ROWS($1:67)&gt;COUNT(Dong2),"",OFFSET(TH!C$1,SMALL(Dong2,ROWS($1:67)),))</f>
        <v/>
      </c>
      <c r="B78" s="154" t="str">
        <f ca="1">IF(ROWS($1:67)&gt;COUNT(Dong2),"",OFFSET(TH!D$1,SMALL(Dong2,ROWS($1:67)),))</f>
        <v/>
      </c>
      <c r="C78" s="154" t="str">
        <f ca="1">IF(ROWS($1:67)&gt;COUNT(Dong2),"",OFFSET(TH!E$1,SMALL(Dong2,ROWS($1:67)),))</f>
        <v/>
      </c>
      <c r="D78" s="221" t="str">
        <f ca="1">IF(ROWS($1:67)&gt;COUNT(Dong2),"",OFFSET(TH!F$1,SMALL(Dong2,ROWS($1:67)),))</f>
        <v/>
      </c>
      <c r="E78" s="154" t="str">
        <f ca="1">IF(ROWS($1:67)&gt;COUNT(Dong2),"",IF(OFFSET(TH!M$1,SMALL(Dong2,ROWS($1:67)),)=$I$6,OFFSET(TH!L$1,SMALL(Dong2,ROWS($1:67)),),OFFSET(TH!M$1,SMALL(Dong2,ROWS($1:67)),)))</f>
        <v/>
      </c>
      <c r="F78" s="452" t="str">
        <f ca="1">IF(ROWS($1:67)&gt;COUNT(Dong2),"",IF(AND(IF($M$9="Q4",LEFT(OFFSET(TH!G$1,SMALL(Dong2,ROWS($1:67)),),2)=$M$9,LEFT(OFFSET(TH!G$1,SMALL(Dong2,ROWS($1:67)),),3)=$M$9),OFFSET(TH!L$1,SMALL(Dong2,ROWS($1:67)),)=$I$6),IF($I$6="1121",OFFSET(TH!K$1,SMALL(Dong2,ROWS($1:67)),),OFFSET(TH!#REF!,SMALL(Dong2,ROWS($1:67)),)),0))</f>
        <v/>
      </c>
      <c r="G78" s="452" t="str">
        <f ca="1">IF(ROWS($1:67)&gt;COUNT(Dong2),"",IF(AND(IF($M$9="Q4",RIGHT(OFFSET(TH!G$1,SMALL(Dong2,ROWS($1:67)),),2)=$M$9,RIGHT(OFFSET(TH!G$1,SMALL(Dong2,ROWS($1:67)),),3)=$M$9),OFFSET(TH!M$1,SMALL(Dong2,ROWS($1:67)),)=$I$6),IF($I$6="1121",OFFSET(TH!K$1,SMALL(Dong2,ROWS($1:67)),),OFFSET(TH!#REF!,SMALL(Dong2,ROWS($1:67)),)),0))</f>
        <v/>
      </c>
      <c r="H78" s="577">
        <f t="shared" ca="1" si="3"/>
        <v>0</v>
      </c>
      <c r="I78" s="449"/>
    </row>
    <row r="79" spans="1:9" s="143" customFormat="1" ht="18.75" customHeight="1">
      <c r="A79" s="154" t="str">
        <f ca="1">IF(ROWS($1:68)&gt;COUNT(Dong2),"",OFFSET(TH!C$1,SMALL(Dong2,ROWS($1:68)),))</f>
        <v/>
      </c>
      <c r="B79" s="154" t="str">
        <f ca="1">IF(ROWS($1:68)&gt;COUNT(Dong2),"",OFFSET(TH!D$1,SMALL(Dong2,ROWS($1:68)),))</f>
        <v/>
      </c>
      <c r="C79" s="154" t="str">
        <f ca="1">IF(ROWS($1:68)&gt;COUNT(Dong2),"",OFFSET(TH!E$1,SMALL(Dong2,ROWS($1:68)),))</f>
        <v/>
      </c>
      <c r="D79" s="221" t="str">
        <f ca="1">IF(ROWS($1:68)&gt;COUNT(Dong2),"",OFFSET(TH!F$1,SMALL(Dong2,ROWS($1:68)),))</f>
        <v/>
      </c>
      <c r="E79" s="154" t="str">
        <f ca="1">IF(ROWS($1:68)&gt;COUNT(Dong2),"",IF(OFFSET(TH!M$1,SMALL(Dong2,ROWS($1:68)),)=$I$6,OFFSET(TH!L$1,SMALL(Dong2,ROWS($1:68)),),OFFSET(TH!M$1,SMALL(Dong2,ROWS($1:68)),)))</f>
        <v/>
      </c>
      <c r="F79" s="452" t="str">
        <f ca="1">IF(ROWS($1:68)&gt;COUNT(Dong2),"",IF(AND(IF($M$9="Q4",LEFT(OFFSET(TH!G$1,SMALL(Dong2,ROWS($1:68)),),2)=$M$9,LEFT(OFFSET(TH!G$1,SMALL(Dong2,ROWS($1:68)),),3)=$M$9),OFFSET(TH!L$1,SMALL(Dong2,ROWS($1:68)),)=$I$6),IF($I$6="1121",OFFSET(TH!K$1,SMALL(Dong2,ROWS($1:68)),),OFFSET(TH!#REF!,SMALL(Dong2,ROWS($1:68)),)),0))</f>
        <v/>
      </c>
      <c r="G79" s="452" t="str">
        <f ca="1">IF(ROWS($1:68)&gt;COUNT(Dong2),"",IF(AND(IF($M$9="Q4",RIGHT(OFFSET(TH!G$1,SMALL(Dong2,ROWS($1:68)),),2)=$M$9,RIGHT(OFFSET(TH!G$1,SMALL(Dong2,ROWS($1:68)),),3)=$M$9),OFFSET(TH!M$1,SMALL(Dong2,ROWS($1:68)),)=$I$6),IF($I$6="1121",OFFSET(TH!K$1,SMALL(Dong2,ROWS($1:68)),),OFFSET(TH!#REF!,SMALL(Dong2,ROWS($1:68)),)),0))</f>
        <v/>
      </c>
      <c r="H79" s="577">
        <f t="shared" ca="1" si="3"/>
        <v>0</v>
      </c>
      <c r="I79" s="449"/>
    </row>
    <row r="80" spans="1:9" s="143" customFormat="1" ht="18.75" customHeight="1">
      <c r="A80" s="154" t="str">
        <f ca="1">IF(ROWS($1:69)&gt;COUNT(Dong2),"",OFFSET(TH!C$1,SMALL(Dong2,ROWS($1:69)),))</f>
        <v/>
      </c>
      <c r="B80" s="154" t="str">
        <f ca="1">IF(ROWS($1:69)&gt;COUNT(Dong2),"",OFFSET(TH!D$1,SMALL(Dong2,ROWS($1:69)),))</f>
        <v/>
      </c>
      <c r="C80" s="154" t="str">
        <f ca="1">IF(ROWS($1:69)&gt;COUNT(Dong2),"",OFFSET(TH!E$1,SMALL(Dong2,ROWS($1:69)),))</f>
        <v/>
      </c>
      <c r="D80" s="221" t="str">
        <f ca="1">IF(ROWS($1:69)&gt;COUNT(Dong2),"",OFFSET(TH!F$1,SMALL(Dong2,ROWS($1:69)),))</f>
        <v/>
      </c>
      <c r="E80" s="154" t="str">
        <f ca="1">IF(ROWS($1:69)&gt;COUNT(Dong2),"",IF(OFFSET(TH!M$1,SMALL(Dong2,ROWS($1:69)),)=$I$6,OFFSET(TH!L$1,SMALL(Dong2,ROWS($1:69)),),OFFSET(TH!M$1,SMALL(Dong2,ROWS($1:69)),)))</f>
        <v/>
      </c>
      <c r="F80" s="452" t="str">
        <f ca="1">IF(ROWS($1:69)&gt;COUNT(Dong2),"",IF(AND(IF($M$9="Q4",LEFT(OFFSET(TH!G$1,SMALL(Dong2,ROWS($1:69)),),2)=$M$9,LEFT(OFFSET(TH!G$1,SMALL(Dong2,ROWS($1:69)),),3)=$M$9),OFFSET(TH!L$1,SMALL(Dong2,ROWS($1:69)),)=$I$6),IF($I$6="1121",OFFSET(TH!K$1,SMALL(Dong2,ROWS($1:69)),),OFFSET(TH!#REF!,SMALL(Dong2,ROWS($1:69)),)),0))</f>
        <v/>
      </c>
      <c r="G80" s="452" t="str">
        <f ca="1">IF(ROWS($1:69)&gt;COUNT(Dong2),"",IF(AND(IF($M$9="Q4",RIGHT(OFFSET(TH!G$1,SMALL(Dong2,ROWS($1:69)),),2)=$M$9,RIGHT(OFFSET(TH!G$1,SMALL(Dong2,ROWS($1:69)),),3)=$M$9),OFFSET(TH!M$1,SMALL(Dong2,ROWS($1:69)),)=$I$6),IF($I$6="1121",OFFSET(TH!K$1,SMALL(Dong2,ROWS($1:69)),),OFFSET(TH!#REF!,SMALL(Dong2,ROWS($1:69)),)),0))</f>
        <v/>
      </c>
      <c r="H80" s="577">
        <f t="shared" ca="1" si="3"/>
        <v>0</v>
      </c>
      <c r="I80" s="449"/>
    </row>
    <row r="81" spans="1:20" s="143" customFormat="1" ht="18.75" customHeight="1">
      <c r="A81" s="154" t="str">
        <f ca="1">IF(ROWS($1:70)&gt;COUNT(Dong2),"",OFFSET(TH!C$1,SMALL(Dong2,ROWS($1:70)),))</f>
        <v/>
      </c>
      <c r="B81" s="154" t="str">
        <f ca="1">IF(ROWS($1:70)&gt;COUNT(Dong2),"",OFFSET(TH!D$1,SMALL(Dong2,ROWS($1:70)),))</f>
        <v/>
      </c>
      <c r="C81" s="154" t="str">
        <f ca="1">IF(ROWS($1:70)&gt;COUNT(Dong2),"",OFFSET(TH!E$1,SMALL(Dong2,ROWS($1:70)),))</f>
        <v/>
      </c>
      <c r="D81" s="221" t="str">
        <f ca="1">IF(ROWS($1:70)&gt;COUNT(Dong2),"",OFFSET(TH!F$1,SMALL(Dong2,ROWS($1:70)),))</f>
        <v/>
      </c>
      <c r="E81" s="154" t="str">
        <f ca="1">IF(ROWS($1:70)&gt;COUNT(Dong2),"",IF(OFFSET(TH!M$1,SMALL(Dong2,ROWS($1:70)),)=$I$6,OFFSET(TH!L$1,SMALL(Dong2,ROWS($1:70)),),OFFSET(TH!M$1,SMALL(Dong2,ROWS($1:70)),)))</f>
        <v/>
      </c>
      <c r="F81" s="452" t="str">
        <f ca="1">IF(ROWS($1:70)&gt;COUNT(Dong2),"",IF(AND(IF($M$9="Q4",LEFT(OFFSET(TH!G$1,SMALL(Dong2,ROWS($1:70)),),2)=$M$9,LEFT(OFFSET(TH!G$1,SMALL(Dong2,ROWS($1:70)),),3)=$M$9),OFFSET(TH!L$1,SMALL(Dong2,ROWS($1:70)),)=$I$6),IF($I$6="1121",OFFSET(TH!K$1,SMALL(Dong2,ROWS($1:70)),),OFFSET(TH!#REF!,SMALL(Dong2,ROWS($1:70)),)),0))</f>
        <v/>
      </c>
      <c r="G81" s="452" t="str">
        <f ca="1">IF(ROWS($1:70)&gt;COUNT(Dong2),"",IF(AND(IF($M$9="Q4",RIGHT(OFFSET(TH!G$1,SMALL(Dong2,ROWS($1:70)),),2)=$M$9,RIGHT(OFFSET(TH!G$1,SMALL(Dong2,ROWS($1:70)),),3)=$M$9),OFFSET(TH!M$1,SMALL(Dong2,ROWS($1:70)),)=$I$6),IF($I$6="1121",OFFSET(TH!K$1,SMALL(Dong2,ROWS($1:70)),),OFFSET(TH!#REF!,SMALL(Dong2,ROWS($1:70)),)),0))</f>
        <v/>
      </c>
      <c r="H81" s="577">
        <f t="shared" ca="1" si="3"/>
        <v>0</v>
      </c>
      <c r="I81" s="449"/>
    </row>
    <row r="82" spans="1:20" s="143" customFormat="1" ht="18.75" customHeight="1">
      <c r="A82" s="154" t="str">
        <f ca="1">IF(ROWS($1:71)&gt;COUNT(Dong2),"",OFFSET(TH!C$1,SMALL(Dong2,ROWS($1:71)),))</f>
        <v/>
      </c>
      <c r="B82" s="154" t="str">
        <f ca="1">IF(ROWS($1:71)&gt;COUNT(Dong2),"",OFFSET(TH!D$1,SMALL(Dong2,ROWS($1:71)),))</f>
        <v/>
      </c>
      <c r="C82" s="154" t="str">
        <f ca="1">IF(ROWS($1:71)&gt;COUNT(Dong2),"",OFFSET(TH!E$1,SMALL(Dong2,ROWS($1:71)),))</f>
        <v/>
      </c>
      <c r="D82" s="221" t="str">
        <f ca="1">IF(ROWS($1:71)&gt;COUNT(Dong2),"",OFFSET(TH!F$1,SMALL(Dong2,ROWS($1:71)),))</f>
        <v/>
      </c>
      <c r="E82" s="154" t="str">
        <f ca="1">IF(ROWS($1:71)&gt;COUNT(Dong2),"",IF(OFFSET(TH!M$1,SMALL(Dong2,ROWS($1:71)),)=$I$6,OFFSET(TH!L$1,SMALL(Dong2,ROWS($1:71)),),OFFSET(TH!M$1,SMALL(Dong2,ROWS($1:71)),)))</f>
        <v/>
      </c>
      <c r="F82" s="452" t="str">
        <f ca="1">IF(ROWS($1:71)&gt;COUNT(Dong2),"",IF(AND(IF($M$9="Q4",LEFT(OFFSET(TH!G$1,SMALL(Dong2,ROWS($1:71)),),2)=$M$9,LEFT(OFFSET(TH!G$1,SMALL(Dong2,ROWS($1:71)),),3)=$M$9),OFFSET(TH!L$1,SMALL(Dong2,ROWS($1:71)),)=$I$6),IF($I$6="1121",OFFSET(TH!K$1,SMALL(Dong2,ROWS($1:71)),),OFFSET(TH!#REF!,SMALL(Dong2,ROWS($1:71)),)),0))</f>
        <v/>
      </c>
      <c r="G82" s="452" t="str">
        <f ca="1">IF(ROWS($1:71)&gt;COUNT(Dong2),"",IF(AND(IF($M$9="Q4",RIGHT(OFFSET(TH!G$1,SMALL(Dong2,ROWS($1:71)),),2)=$M$9,RIGHT(OFFSET(TH!G$1,SMALL(Dong2,ROWS($1:71)),),3)=$M$9),OFFSET(TH!M$1,SMALL(Dong2,ROWS($1:71)),)=$I$6),IF($I$6="1121",OFFSET(TH!K$1,SMALL(Dong2,ROWS($1:71)),),OFFSET(TH!#REF!,SMALL(Dong2,ROWS($1:71)),)),0))</f>
        <v/>
      </c>
      <c r="H82" s="577">
        <f t="shared" ca="1" si="3"/>
        <v>0</v>
      </c>
      <c r="I82" s="449"/>
    </row>
    <row r="83" spans="1:20" s="143" customFormat="1" ht="18.75" customHeight="1">
      <c r="A83" s="154" t="str">
        <f ca="1">IF(ROWS($1:72)&gt;COUNT(Dong2),"",OFFSET(TH!C$1,SMALL(Dong2,ROWS($1:72)),))</f>
        <v/>
      </c>
      <c r="B83" s="154" t="str">
        <f ca="1">IF(ROWS($1:72)&gt;COUNT(Dong2),"",OFFSET(TH!D$1,SMALL(Dong2,ROWS($1:72)),))</f>
        <v/>
      </c>
      <c r="C83" s="154" t="str">
        <f ca="1">IF(ROWS($1:72)&gt;COUNT(Dong2),"",OFFSET(TH!E$1,SMALL(Dong2,ROWS($1:72)),))</f>
        <v/>
      </c>
      <c r="D83" s="221" t="str">
        <f ca="1">IF(ROWS($1:72)&gt;COUNT(Dong2),"",OFFSET(TH!F$1,SMALL(Dong2,ROWS($1:72)),))</f>
        <v/>
      </c>
      <c r="E83" s="154" t="str">
        <f ca="1">IF(ROWS($1:72)&gt;COUNT(Dong2),"",IF(OFFSET(TH!M$1,SMALL(Dong2,ROWS($1:72)),)=$I$6,OFFSET(TH!L$1,SMALL(Dong2,ROWS($1:72)),),OFFSET(TH!M$1,SMALL(Dong2,ROWS($1:72)),)))</f>
        <v/>
      </c>
      <c r="F83" s="452" t="str">
        <f ca="1">IF(ROWS($1:72)&gt;COUNT(Dong2),"",IF(AND(IF($M$9="Q4",LEFT(OFFSET(TH!G$1,SMALL(Dong2,ROWS($1:72)),),2)=$M$9,LEFT(OFFSET(TH!G$1,SMALL(Dong2,ROWS($1:72)),),3)=$M$9),OFFSET(TH!L$1,SMALL(Dong2,ROWS($1:72)),)=$I$6),IF($I$6="1121",OFFSET(TH!K$1,SMALL(Dong2,ROWS($1:72)),),OFFSET(TH!#REF!,SMALL(Dong2,ROWS($1:72)),)),0))</f>
        <v/>
      </c>
      <c r="G83" s="452" t="str">
        <f ca="1">IF(ROWS($1:72)&gt;COUNT(Dong2),"",IF(AND(IF($M$9="Q4",RIGHT(OFFSET(TH!G$1,SMALL(Dong2,ROWS($1:72)),),2)=$M$9,RIGHT(OFFSET(TH!G$1,SMALL(Dong2,ROWS($1:72)),),3)=$M$9),OFFSET(TH!M$1,SMALL(Dong2,ROWS($1:72)),)=$I$6),IF($I$6="1121",OFFSET(TH!K$1,SMALL(Dong2,ROWS($1:72)),),OFFSET(TH!#REF!,SMALL(Dong2,ROWS($1:72)),)),0))</f>
        <v/>
      </c>
      <c r="H83" s="577">
        <f t="shared" ca="1" si="3"/>
        <v>0</v>
      </c>
      <c r="I83" s="449"/>
    </row>
    <row r="84" spans="1:20" s="143" customFormat="1" ht="18.75" customHeight="1">
      <c r="A84" s="154" t="str">
        <f ca="1">IF(ROWS($1:73)&gt;COUNT(Dong2),"",OFFSET(TH!C$1,SMALL(Dong2,ROWS($1:73)),))</f>
        <v/>
      </c>
      <c r="B84" s="154" t="str">
        <f ca="1">IF(ROWS($1:73)&gt;COUNT(Dong2),"",OFFSET(TH!D$1,SMALL(Dong2,ROWS($1:73)),))</f>
        <v/>
      </c>
      <c r="C84" s="154" t="str">
        <f ca="1">IF(ROWS($1:73)&gt;COUNT(Dong2),"",OFFSET(TH!E$1,SMALL(Dong2,ROWS($1:73)),))</f>
        <v/>
      </c>
      <c r="D84" s="221" t="str">
        <f ca="1">IF(ROWS($1:73)&gt;COUNT(Dong2),"",OFFSET(TH!F$1,SMALL(Dong2,ROWS($1:73)),))</f>
        <v/>
      </c>
      <c r="E84" s="154" t="str">
        <f ca="1">IF(ROWS($1:73)&gt;COUNT(Dong2),"",IF(OFFSET(TH!M$1,SMALL(Dong2,ROWS($1:73)),)=$I$6,OFFSET(TH!L$1,SMALL(Dong2,ROWS($1:73)),),OFFSET(TH!M$1,SMALL(Dong2,ROWS($1:73)),)))</f>
        <v/>
      </c>
      <c r="F84" s="452" t="str">
        <f ca="1">IF(ROWS($1:73)&gt;COUNT(Dong2),"",IF(AND(IF($M$9="Q4",LEFT(OFFSET(TH!G$1,SMALL(Dong2,ROWS($1:73)),),2)=$M$9,LEFT(OFFSET(TH!G$1,SMALL(Dong2,ROWS($1:73)),),3)=$M$9),OFFSET(TH!L$1,SMALL(Dong2,ROWS($1:73)),)=$I$6),IF($I$6="1121",OFFSET(TH!K$1,SMALL(Dong2,ROWS($1:73)),),OFFSET(TH!#REF!,SMALL(Dong2,ROWS($1:73)),)),0))</f>
        <v/>
      </c>
      <c r="G84" s="452" t="str">
        <f ca="1">IF(ROWS($1:73)&gt;COUNT(Dong2),"",IF(AND(IF($M$9="Q4",RIGHT(OFFSET(TH!G$1,SMALL(Dong2,ROWS($1:73)),),2)=$M$9,RIGHT(OFFSET(TH!G$1,SMALL(Dong2,ROWS($1:73)),),3)=$M$9),OFFSET(TH!M$1,SMALL(Dong2,ROWS($1:73)),)=$I$6),IF($I$6="1121",OFFSET(TH!K$1,SMALL(Dong2,ROWS($1:73)),),OFFSET(TH!#REF!,SMALL(Dong2,ROWS($1:73)),)),0))</f>
        <v/>
      </c>
      <c r="H84" s="577">
        <f t="shared" ca="1" si="3"/>
        <v>0</v>
      </c>
      <c r="I84" s="449"/>
    </row>
    <row r="85" spans="1:20" s="143" customFormat="1" ht="18.75" customHeight="1">
      <c r="A85" s="154" t="str">
        <f ca="1">IF(ROWS($1:74)&gt;COUNT(Dong2),"",OFFSET(TH!C$1,SMALL(Dong2,ROWS($1:74)),))</f>
        <v/>
      </c>
      <c r="B85" s="154" t="str">
        <f ca="1">IF(ROWS($1:74)&gt;COUNT(Dong2),"",OFFSET(TH!D$1,SMALL(Dong2,ROWS($1:74)),))</f>
        <v/>
      </c>
      <c r="C85" s="154" t="str">
        <f ca="1">IF(ROWS($1:74)&gt;COUNT(Dong2),"",OFFSET(TH!E$1,SMALL(Dong2,ROWS($1:74)),))</f>
        <v/>
      </c>
      <c r="D85" s="221" t="str">
        <f ca="1">IF(ROWS($1:74)&gt;COUNT(Dong2),"",OFFSET(TH!F$1,SMALL(Dong2,ROWS($1:74)),))</f>
        <v/>
      </c>
      <c r="E85" s="154" t="str">
        <f ca="1">IF(ROWS($1:74)&gt;COUNT(Dong2),"",IF(OFFSET(TH!M$1,SMALL(Dong2,ROWS($1:74)),)=$I$6,OFFSET(TH!L$1,SMALL(Dong2,ROWS($1:74)),),OFFSET(TH!M$1,SMALL(Dong2,ROWS($1:74)),)))</f>
        <v/>
      </c>
      <c r="F85" s="452" t="str">
        <f ca="1">IF(ROWS($1:74)&gt;COUNT(Dong2),"",IF(AND(IF($M$9="Q4",LEFT(OFFSET(TH!G$1,SMALL(Dong2,ROWS($1:74)),),2)=$M$9,LEFT(OFFSET(TH!G$1,SMALL(Dong2,ROWS($1:74)),),3)=$M$9),OFFSET(TH!L$1,SMALL(Dong2,ROWS($1:74)),)=$I$6),IF($I$6="1121",OFFSET(TH!K$1,SMALL(Dong2,ROWS($1:74)),),OFFSET(TH!#REF!,SMALL(Dong2,ROWS($1:74)),)),0))</f>
        <v/>
      </c>
      <c r="G85" s="452" t="str">
        <f ca="1">IF(ROWS($1:74)&gt;COUNT(Dong2),"",IF(AND(IF($M$9="Q4",RIGHT(OFFSET(TH!G$1,SMALL(Dong2,ROWS($1:74)),),2)=$M$9,RIGHT(OFFSET(TH!G$1,SMALL(Dong2,ROWS($1:74)),),3)=$M$9),OFFSET(TH!M$1,SMALL(Dong2,ROWS($1:74)),)=$I$6),IF($I$6="1121",OFFSET(TH!K$1,SMALL(Dong2,ROWS($1:74)),),OFFSET(TH!#REF!,SMALL(Dong2,ROWS($1:74)),)),0))</f>
        <v/>
      </c>
      <c r="H85" s="577">
        <f t="shared" ca="1" si="3"/>
        <v>0</v>
      </c>
      <c r="I85" s="449"/>
    </row>
    <row r="86" spans="1:20" s="143" customFormat="1" ht="18.75" customHeight="1">
      <c r="A86" s="154" t="str">
        <f ca="1">IF(ROWS($1:75)&gt;COUNT(Dong2),"",OFFSET(TH!C$1,SMALL(Dong2,ROWS($1:75)),))</f>
        <v/>
      </c>
      <c r="B86" s="154" t="str">
        <f ca="1">IF(ROWS($1:75)&gt;COUNT(Dong2),"",OFFSET(TH!D$1,SMALL(Dong2,ROWS($1:75)),))</f>
        <v/>
      </c>
      <c r="C86" s="154" t="str">
        <f ca="1">IF(ROWS($1:75)&gt;COUNT(Dong2),"",OFFSET(TH!E$1,SMALL(Dong2,ROWS($1:75)),))</f>
        <v/>
      </c>
      <c r="D86" s="221" t="str">
        <f ca="1">IF(ROWS($1:75)&gt;COUNT(Dong2),"",OFFSET(TH!F$1,SMALL(Dong2,ROWS($1:75)),))</f>
        <v/>
      </c>
      <c r="E86" s="154" t="str">
        <f ca="1">IF(ROWS($1:75)&gt;COUNT(Dong2),"",IF(OFFSET(TH!M$1,SMALL(Dong2,ROWS($1:75)),)=$I$6,OFFSET(TH!L$1,SMALL(Dong2,ROWS($1:75)),),OFFSET(TH!M$1,SMALL(Dong2,ROWS($1:75)),)))</f>
        <v/>
      </c>
      <c r="F86" s="452" t="str">
        <f ca="1">IF(ROWS($1:75)&gt;COUNT(Dong2),"",IF(AND(IF($M$9="Q4",LEFT(OFFSET(TH!G$1,SMALL(Dong2,ROWS($1:75)),),2)=$M$9,LEFT(OFFSET(TH!G$1,SMALL(Dong2,ROWS($1:75)),),3)=$M$9),OFFSET(TH!L$1,SMALL(Dong2,ROWS($1:75)),)=$I$6),IF($I$6="1121",OFFSET(TH!K$1,SMALL(Dong2,ROWS($1:75)),),OFFSET(TH!#REF!,SMALL(Dong2,ROWS($1:75)),)),0))</f>
        <v/>
      </c>
      <c r="G86" s="452" t="str">
        <f ca="1">IF(ROWS($1:75)&gt;COUNT(Dong2),"",IF(AND(IF($M$9="Q4",RIGHT(OFFSET(TH!G$1,SMALL(Dong2,ROWS($1:75)),),2)=$M$9,RIGHT(OFFSET(TH!G$1,SMALL(Dong2,ROWS($1:75)),),3)=$M$9),OFFSET(TH!M$1,SMALL(Dong2,ROWS($1:75)),)=$I$6),IF($I$6="1121",OFFSET(TH!K$1,SMALL(Dong2,ROWS($1:75)),),OFFSET(TH!#REF!,SMALL(Dong2,ROWS($1:75)),)),0))</f>
        <v/>
      </c>
      <c r="H86" s="577">
        <f t="shared" ca="1" si="3"/>
        <v>0</v>
      </c>
      <c r="I86" s="449"/>
    </row>
    <row r="87" spans="1:20" s="143" customFormat="1" ht="18.75" customHeight="1">
      <c r="A87" s="154"/>
      <c r="B87" s="154"/>
      <c r="C87" s="154"/>
      <c r="D87" s="221"/>
      <c r="E87" s="154"/>
      <c r="F87" s="452"/>
      <c r="G87" s="452"/>
      <c r="H87" s="577"/>
      <c r="I87" s="449"/>
      <c r="Q87" s="153"/>
      <c r="R87" s="153"/>
      <c r="S87" s="153"/>
      <c r="T87" s="153"/>
    </row>
    <row r="88" spans="1:20" s="153" customFormat="1" ht="18.75" customHeight="1">
      <c r="A88" s="155"/>
      <c r="B88" s="156"/>
      <c r="C88" s="155"/>
      <c r="D88" s="152" t="s">
        <v>133</v>
      </c>
      <c r="E88" s="157"/>
      <c r="F88" s="451">
        <f ca="1">SUM(F12:F87)</f>
        <v>111184311</v>
      </c>
      <c r="G88" s="451">
        <f ca="1">SUM(G12:G87)</f>
        <v>111198000</v>
      </c>
      <c r="H88" s="451">
        <f ca="1">H11+F88-G88</f>
        <v>1025619</v>
      </c>
      <c r="I88" s="450"/>
    </row>
    <row r="89" spans="1:20" s="153" customFormat="1" ht="18.75" customHeight="1">
      <c r="A89" s="155"/>
      <c r="B89" s="156"/>
      <c r="C89" s="155"/>
      <c r="D89" s="152" t="s">
        <v>10</v>
      </c>
      <c r="E89" s="157"/>
      <c r="F89" s="158"/>
      <c r="G89" s="158"/>
      <c r="H89" s="451">
        <f ca="1">H88</f>
        <v>1025619</v>
      </c>
      <c r="I89" s="157"/>
    </row>
    <row r="90" spans="1:20" s="153" customFormat="1" ht="22.5" customHeight="1">
      <c r="A90" s="238" t="s">
        <v>155</v>
      </c>
      <c r="B90" s="159"/>
      <c r="F90" s="160"/>
      <c r="H90" s="571"/>
      <c r="I90" s="161"/>
    </row>
    <row r="91" spans="1:20" s="153" customFormat="1" ht="12.75">
      <c r="A91" s="178" t="str">
        <f ca="1">"- Ngày mở sổ: "&amp;DAY($A$12)&amp;"/"&amp;MONTH($A$12)&amp;"/ " &amp;YEAR($A$12)</f>
        <v>- Ngày mở sổ: 20/1/ 2015</v>
      </c>
      <c r="B91" s="162"/>
      <c r="F91" s="160"/>
      <c r="H91" s="571"/>
      <c r="I91" s="161"/>
    </row>
    <row r="92" spans="1:20" s="153" customFormat="1" ht="12.75">
      <c r="A92" s="163"/>
      <c r="B92" s="164"/>
      <c r="C92" s="165"/>
      <c r="F92" s="160"/>
      <c r="G92" s="188" t="str">
        <f ca="1">"Ngày "&amp;IF(OR($K$9=4,$K$9=6,$K$9=9,$K$9=11),"30",IF($K$9=2,"28","31"))&amp;"  tháng  "&amp;$O$8&amp;"  năm   "&amp;YEAR($A$12)</f>
        <v>Ngày 31  tháng  3  năm   2015</v>
      </c>
      <c r="H92" s="571"/>
    </row>
    <row r="93" spans="1:20" s="153" customFormat="1" ht="17.25" customHeight="1">
      <c r="B93" s="166" t="s">
        <v>11</v>
      </c>
      <c r="D93" s="166" t="s">
        <v>12</v>
      </c>
      <c r="F93" s="167"/>
      <c r="G93" s="208" t="s">
        <v>109</v>
      </c>
      <c r="H93" s="572"/>
      <c r="I93" s="222"/>
      <c r="J93" s="168"/>
      <c r="K93" s="163"/>
      <c r="L93" s="163"/>
    </row>
    <row r="94" spans="1:20" s="153" customFormat="1">
      <c r="B94" s="209" t="s">
        <v>13</v>
      </c>
      <c r="D94" s="169" t="s">
        <v>13</v>
      </c>
      <c r="F94" s="170"/>
      <c r="G94" s="210" t="s">
        <v>136</v>
      </c>
      <c r="H94" s="571"/>
      <c r="K94" s="171"/>
      <c r="L94" s="171"/>
      <c r="Q94" s="172"/>
      <c r="R94" s="172"/>
      <c r="S94" s="172"/>
      <c r="T94" s="172"/>
    </row>
  </sheetData>
  <autoFilter ref="A10:K91"/>
  <mergeCells count="14">
    <mergeCell ref="I8:I9"/>
    <mergeCell ref="E6:G6"/>
    <mergeCell ref="A8:A9"/>
    <mergeCell ref="B8:C8"/>
    <mergeCell ref="D8:D9"/>
    <mergeCell ref="E8:E9"/>
    <mergeCell ref="F8:H8"/>
    <mergeCell ref="F2:H3"/>
    <mergeCell ref="N6:O6"/>
    <mergeCell ref="Q6:Q7"/>
    <mergeCell ref="R6:R7"/>
    <mergeCell ref="S6:S7"/>
    <mergeCell ref="A4:I4"/>
    <mergeCell ref="A5:I5"/>
  </mergeCells>
  <dataValidations count="2">
    <dataValidation type="list" allowBlank="1" showInputMessage="1" showErrorMessage="1" sqref="M9">
      <formula1>"VCB,EIB"</formula1>
    </dataValidation>
    <dataValidation type="list" allowBlank="1" showInputMessage="1" showErrorMessage="1" sqref="K9">
      <formula1>"Quý I, Quý II, Quý III, Quý IV"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I43"/>
  <sheetViews>
    <sheetView showZeros="0" topLeftCell="A3" workbookViewId="0">
      <pane ySplit="3" topLeftCell="A21" activePane="bottomLeft" state="frozen"/>
      <selection activeCell="A3" sqref="A3"/>
      <selection pane="bottomLeft" activeCell="G28" sqref="G28"/>
    </sheetView>
  </sheetViews>
  <sheetFormatPr defaultColWidth="8" defaultRowHeight="13.5"/>
  <cols>
    <col min="1" max="1" width="5.5703125" style="179" customWidth="1"/>
    <col min="2" max="2" width="59.140625" style="179" customWidth="1"/>
    <col min="3" max="8" width="16.42578125" style="179" customWidth="1"/>
    <col min="9" max="16384" width="8" style="179"/>
  </cols>
  <sheetData>
    <row r="1" spans="1:9">
      <c r="A1" s="797" t="str">
        <f>TH!$A$1</f>
        <v>Đơn vị: CÔNG TY TNHH MỘT THÀNH VIÊN KHỞI NGUYÊN AN</v>
      </c>
    </row>
    <row r="2" spans="1:9">
      <c r="A2" s="798" t="str">
        <f>TH!$A$2</f>
        <v>Địa chỉ: Thửa đất số 144, tờ bản đồ số 12TĐH.1, tổ 1, khu phố Đông Tác, Phường Tân Đông Hiệp, Thị Xã Dĩ An, Tỉnh Bình Dương, Việt Nam</v>
      </c>
    </row>
    <row r="3" spans="1:9" ht="27" customHeight="1">
      <c r="A3" s="1048" t="s">
        <v>320</v>
      </c>
      <c r="B3" s="1048"/>
      <c r="C3" s="1048"/>
      <c r="D3" s="1048"/>
      <c r="E3" s="1048"/>
      <c r="F3" s="1048"/>
      <c r="G3" s="1048"/>
      <c r="H3" s="1048"/>
    </row>
    <row r="4" spans="1:9" s="10" customFormat="1" ht="14.25" customHeight="1">
      <c r="A4" s="1049" t="s">
        <v>35</v>
      </c>
      <c r="B4" s="1051" t="s">
        <v>36</v>
      </c>
      <c r="C4" s="1053" t="s">
        <v>37</v>
      </c>
      <c r="D4" s="1054"/>
      <c r="E4" s="1053" t="s">
        <v>38</v>
      </c>
      <c r="F4" s="1054"/>
      <c r="G4" s="1053" t="s">
        <v>41</v>
      </c>
      <c r="H4" s="1054"/>
    </row>
    <row r="5" spans="1:9" s="10" customFormat="1" ht="14.25" customHeight="1">
      <c r="A5" s="1050"/>
      <c r="B5" s="1052"/>
      <c r="C5" s="583" t="s">
        <v>42</v>
      </c>
      <c r="D5" s="583" t="s">
        <v>43</v>
      </c>
      <c r="E5" s="583" t="s">
        <v>42</v>
      </c>
      <c r="F5" s="583" t="s">
        <v>43</v>
      </c>
      <c r="G5" s="583" t="s">
        <v>42</v>
      </c>
      <c r="H5" s="583" t="s">
        <v>43</v>
      </c>
    </row>
    <row r="6" spans="1:9" s="10" customFormat="1" ht="16.5" customHeight="1">
      <c r="A6" s="6">
        <f t="shared" ref="A6:A35" si="0">IF(B6&lt;&gt;"",ROW()-5,"")</f>
        <v>1</v>
      </c>
      <c r="B6" s="191" t="s">
        <v>1070</v>
      </c>
      <c r="C6" s="8"/>
      <c r="D6" s="8"/>
      <c r="E6" s="8">
        <f t="array" ref="E6">SUM(IF("131"&amp;B6=KHN&amp;KH,TH))</f>
        <v>13896030</v>
      </c>
      <c r="F6" s="8">
        <f t="array" ref="F6">SUM(IF("131"&amp;B6=KHC&amp;KH,TH))</f>
        <v>13896030</v>
      </c>
      <c r="G6" s="54">
        <f t="shared" ref="G6:G35" si="1">ROUND(MAX(C6+E6-D6-F6,0),2)</f>
        <v>0</v>
      </c>
      <c r="H6" s="54">
        <f t="shared" ref="H6:H35" si="2">ROUND(MAX(D6+F6-C6-E6,0),2)</f>
        <v>0</v>
      </c>
    </row>
    <row r="7" spans="1:9" s="10" customFormat="1" ht="16.5" customHeight="1">
      <c r="A7" s="6">
        <f t="shared" si="0"/>
        <v>2</v>
      </c>
      <c r="B7" s="202" t="s">
        <v>435</v>
      </c>
      <c r="C7" s="8"/>
      <c r="D7" s="8"/>
      <c r="E7" s="8">
        <f t="array" ref="E7">SUM(IF("131"&amp;B7=KHN&amp;KH,TH))</f>
        <v>10191500</v>
      </c>
      <c r="F7" s="8">
        <f t="array" ref="F7">SUM(IF("131"&amp;B7=KHC&amp;KH,TH))</f>
        <v>10191500</v>
      </c>
      <c r="G7" s="54">
        <f t="shared" si="1"/>
        <v>0</v>
      </c>
      <c r="H7" s="54">
        <f t="shared" si="2"/>
        <v>0</v>
      </c>
      <c r="I7" s="10" t="str">
        <f>IF(ISNA(VLOOKUP(B7,'[26]131'!$B$6:$H$38,1,0)),"","x")</f>
        <v/>
      </c>
    </row>
    <row r="8" spans="1:9" s="10" customFormat="1" ht="16.5" customHeight="1">
      <c r="A8" s="6">
        <f t="shared" si="0"/>
        <v>3</v>
      </c>
      <c r="B8" s="191" t="s">
        <v>1014</v>
      </c>
      <c r="C8" s="8"/>
      <c r="D8" s="8"/>
      <c r="E8" s="8">
        <f t="array" ref="E8">SUM(IF("131"&amp;B8=KHN&amp;KH,TH))</f>
        <v>15948856</v>
      </c>
      <c r="F8" s="8">
        <f t="array" ref="F8">SUM(IF("131"&amp;B8=KHC&amp;KH,TH))</f>
        <v>15948856</v>
      </c>
      <c r="G8" s="54">
        <f t="shared" si="1"/>
        <v>0</v>
      </c>
      <c r="H8" s="54">
        <f t="shared" si="2"/>
        <v>0</v>
      </c>
    </row>
    <row r="9" spans="1:9" s="10" customFormat="1" ht="16.5" customHeight="1">
      <c r="A9" s="6">
        <f t="shared" si="0"/>
        <v>4</v>
      </c>
      <c r="B9" s="202" t="s">
        <v>424</v>
      </c>
      <c r="C9" s="8">
        <v>70139021</v>
      </c>
      <c r="D9" s="8"/>
      <c r="E9" s="8">
        <f t="array" ref="E9">SUM(IF("131"&amp;B9=KHN&amp;KH,TH))</f>
        <v>151825226</v>
      </c>
      <c r="F9" s="8">
        <f t="array" ref="F9">SUM(IF("131"&amp;B9=KHC&amp;KH,TH))</f>
        <v>215134243</v>
      </c>
      <c r="G9" s="750">
        <f t="shared" si="1"/>
        <v>6830004</v>
      </c>
      <c r="H9" s="750">
        <f t="shared" si="2"/>
        <v>0</v>
      </c>
      <c r="I9" s="10" t="str">
        <f>IF(ISNA(VLOOKUP(B9,'[26]131'!$B$6:$H$38,1,0)),"","x")</f>
        <v>x</v>
      </c>
    </row>
    <row r="10" spans="1:9" s="10" customFormat="1" ht="16.5" customHeight="1">
      <c r="A10" s="6">
        <f t="shared" si="0"/>
        <v>5</v>
      </c>
      <c r="B10" s="191" t="s">
        <v>1092</v>
      </c>
      <c r="C10" s="8"/>
      <c r="D10" s="8"/>
      <c r="E10" s="8">
        <f t="array" ref="E10">SUM(IF("131"&amp;B10=KHN&amp;KH,TH))</f>
        <v>4842233</v>
      </c>
      <c r="F10" s="8">
        <f t="array" ref="F10">SUM(IF("131"&amp;B10=KHC&amp;KH,TH))</f>
        <v>4842233</v>
      </c>
      <c r="G10" s="750">
        <f t="shared" si="1"/>
        <v>0</v>
      </c>
      <c r="H10" s="750">
        <f t="shared" si="2"/>
        <v>0</v>
      </c>
    </row>
    <row r="11" spans="1:9" s="10" customFormat="1" ht="16.5" customHeight="1">
      <c r="A11" s="6">
        <f t="shared" si="0"/>
        <v>6</v>
      </c>
      <c r="B11" s="7" t="s">
        <v>444</v>
      </c>
      <c r="C11" s="8"/>
      <c r="D11" s="8"/>
      <c r="E11" s="8">
        <f t="array" ref="E11">SUM(IF("131"&amp;B11=KHN&amp;KH,TH))</f>
        <v>53093761</v>
      </c>
      <c r="F11" s="8">
        <f t="array" ref="F11">SUM(IF("131"&amp;B11=KHC&amp;KH,TH))</f>
        <v>53093761</v>
      </c>
      <c r="G11" s="750">
        <f t="shared" si="1"/>
        <v>0</v>
      </c>
      <c r="H11" s="750">
        <f t="shared" si="2"/>
        <v>0</v>
      </c>
      <c r="I11" s="10" t="str">
        <f>IF(ISNA(VLOOKUP(B11,'[26]131'!$B$6:$H$38,1,0)),"","x")</f>
        <v/>
      </c>
    </row>
    <row r="12" spans="1:9" s="10" customFormat="1" ht="16.5" customHeight="1">
      <c r="A12" s="6">
        <f t="shared" si="0"/>
        <v>7</v>
      </c>
      <c r="B12" s="191" t="s">
        <v>992</v>
      </c>
      <c r="C12" s="8"/>
      <c r="D12" s="8"/>
      <c r="E12" s="8">
        <f t="array" ref="E12">SUM(IF("131"&amp;B12=KHN&amp;KH,TH))</f>
        <v>6215000</v>
      </c>
      <c r="F12" s="8">
        <f t="array" ref="F12">SUM(IF("131"&amp;B12=KHC&amp;KH,TH))</f>
        <v>6215000</v>
      </c>
      <c r="G12" s="750">
        <f t="shared" si="1"/>
        <v>0</v>
      </c>
      <c r="H12" s="750">
        <f t="shared" si="2"/>
        <v>0</v>
      </c>
    </row>
    <row r="13" spans="1:9" s="10" customFormat="1" ht="16.5" customHeight="1">
      <c r="A13" s="6">
        <f t="shared" si="0"/>
        <v>8</v>
      </c>
      <c r="B13" s="7" t="s">
        <v>446</v>
      </c>
      <c r="C13" s="8"/>
      <c r="D13" s="8"/>
      <c r="E13" s="8">
        <f t="array" ref="E13">SUM(IF("131"&amp;B13=KHN&amp;KH,TH))</f>
        <v>43673905</v>
      </c>
      <c r="F13" s="8">
        <f t="array" ref="F13">SUM(IF("131"&amp;B13=KHC&amp;KH,TH))</f>
        <v>43673905</v>
      </c>
      <c r="G13" s="750">
        <f t="shared" si="1"/>
        <v>0</v>
      </c>
      <c r="H13" s="750">
        <f t="shared" si="2"/>
        <v>0</v>
      </c>
      <c r="I13" s="10" t="str">
        <f>IF(ISNA(VLOOKUP(B13,'[26]131'!$B$6:$H$38,1,0)),"","x")</f>
        <v/>
      </c>
    </row>
    <row r="14" spans="1:9" s="10" customFormat="1" ht="16.5" customHeight="1">
      <c r="A14" s="6">
        <f t="shared" si="0"/>
        <v>9</v>
      </c>
      <c r="B14" s="824" t="s">
        <v>1081</v>
      </c>
      <c r="C14" s="8"/>
      <c r="D14" s="8"/>
      <c r="E14" s="8">
        <f t="array" ref="E14">SUM(IF("131"&amp;B14=KHN&amp;KH,TH))</f>
        <v>13880225</v>
      </c>
      <c r="F14" s="8">
        <f t="array" ref="F14">SUM(IF("131"&amp;B14=KHC&amp;KH,TH))</f>
        <v>13880225</v>
      </c>
      <c r="G14" s="750">
        <f t="shared" si="1"/>
        <v>0</v>
      </c>
      <c r="H14" s="750">
        <f t="shared" si="2"/>
        <v>0</v>
      </c>
    </row>
    <row r="15" spans="1:9" s="10" customFormat="1" ht="16.5" customHeight="1">
      <c r="A15" s="6">
        <f t="shared" si="0"/>
        <v>10</v>
      </c>
      <c r="B15" s="191" t="s">
        <v>970</v>
      </c>
      <c r="C15" s="8"/>
      <c r="D15" s="8"/>
      <c r="E15" s="8">
        <f t="array" ref="E15">SUM(IF("131"&amp;B15=KHN&amp;KH,TH))</f>
        <v>4796880</v>
      </c>
      <c r="F15" s="8">
        <f t="array" ref="F15">SUM(IF("131"&amp;B15=KHC&amp;KH,TH))</f>
        <v>4796880</v>
      </c>
      <c r="G15" s="750">
        <f t="shared" si="1"/>
        <v>0</v>
      </c>
      <c r="H15" s="750">
        <f t="shared" si="2"/>
        <v>0</v>
      </c>
      <c r="I15" s="10" t="str">
        <f>IF(ISNA(VLOOKUP(B15,'[26]131'!$B$6:$H$38,1,0)),"","x")</f>
        <v/>
      </c>
    </row>
    <row r="16" spans="1:9" s="10" customFormat="1" ht="16.5" customHeight="1">
      <c r="A16" s="6">
        <f t="shared" si="0"/>
        <v>11</v>
      </c>
      <c r="B16" s="7" t="s">
        <v>416</v>
      </c>
      <c r="C16" s="8"/>
      <c r="D16" s="8"/>
      <c r="E16" s="8">
        <f t="array" ref="E16">SUM(IF("131"&amp;B16=KHN&amp;KH,TH))</f>
        <v>29986000</v>
      </c>
      <c r="F16" s="8">
        <f t="array" ref="F16">SUM(IF("131"&amp;B16=KHC&amp;KH,TH))</f>
        <v>29986000</v>
      </c>
      <c r="G16" s="750">
        <f t="shared" si="1"/>
        <v>0</v>
      </c>
      <c r="H16" s="750">
        <f t="shared" si="2"/>
        <v>0</v>
      </c>
      <c r="I16" s="10" t="str">
        <f>IF(ISNA(VLOOKUP(B16,'[26]131'!$B$6:$H$38,1,0)),"","x")</f>
        <v>x</v>
      </c>
    </row>
    <row r="17" spans="1:9" s="10" customFormat="1" ht="16.5" customHeight="1">
      <c r="A17" s="6">
        <f t="shared" si="0"/>
        <v>12</v>
      </c>
      <c r="B17" s="7" t="s">
        <v>414</v>
      </c>
      <c r="C17" s="8"/>
      <c r="D17" s="8"/>
      <c r="E17" s="8">
        <f t="array" ref="E17">SUM(IF("131"&amp;B17=KHN&amp;KH,TH))</f>
        <v>109060705</v>
      </c>
      <c r="F17" s="8">
        <f t="array" ref="F17">SUM(IF("131"&amp;B17=KHC&amp;KH,TH))</f>
        <v>18796008</v>
      </c>
      <c r="G17" s="750">
        <f t="shared" si="1"/>
        <v>90264697</v>
      </c>
      <c r="H17" s="750">
        <f t="shared" si="2"/>
        <v>0</v>
      </c>
      <c r="I17" s="10" t="str">
        <f>IF(ISNA(VLOOKUP(B17,'[26]131'!$B$6:$H$38,1,0)),"","x")</f>
        <v>x</v>
      </c>
    </row>
    <row r="18" spans="1:9" s="10" customFormat="1" ht="16.5" customHeight="1">
      <c r="A18" s="6">
        <f t="shared" si="0"/>
        <v>13</v>
      </c>
      <c r="B18" s="191" t="s">
        <v>1106</v>
      </c>
      <c r="C18" s="8"/>
      <c r="D18" s="8"/>
      <c r="E18" s="8">
        <f t="array" ref="E18">SUM(IF("131"&amp;B18=KHN&amp;KH,TH))</f>
        <v>16979141</v>
      </c>
      <c r="F18" s="8">
        <f t="array" ref="F18">SUM(IF("131"&amp;B18=KHC&amp;KH,TH))</f>
        <v>16979141</v>
      </c>
      <c r="G18" s="750">
        <f t="shared" si="1"/>
        <v>0</v>
      </c>
      <c r="H18" s="750">
        <f t="shared" si="2"/>
        <v>0</v>
      </c>
    </row>
    <row r="19" spans="1:9" s="10" customFormat="1" ht="16.5" customHeight="1">
      <c r="A19" s="6">
        <f t="shared" si="0"/>
        <v>14</v>
      </c>
      <c r="B19" s="191" t="s">
        <v>413</v>
      </c>
      <c r="C19" s="8"/>
      <c r="D19" s="8"/>
      <c r="E19" s="8">
        <f t="array" ref="E19">SUM(IF("131"&amp;B19=KHN&amp;KH,TH))</f>
        <v>703505000</v>
      </c>
      <c r="F19" s="8">
        <f t="array" ref="F19">SUM(IF("131"&amp;B19=KHC&amp;KH,TH))</f>
        <v>365415380</v>
      </c>
      <c r="G19" s="750">
        <f t="shared" si="1"/>
        <v>338089620</v>
      </c>
      <c r="H19" s="750">
        <f t="shared" si="2"/>
        <v>0</v>
      </c>
      <c r="I19" s="10" t="str">
        <f>IF(ISNA(VLOOKUP(B19,'[26]131'!$B$6:$H$38,1,0)),"","x")</f>
        <v>x</v>
      </c>
    </row>
    <row r="20" spans="1:9" s="10" customFormat="1" ht="16.5" customHeight="1">
      <c r="A20" s="6">
        <f t="shared" si="0"/>
        <v>15</v>
      </c>
      <c r="B20" s="191" t="s">
        <v>1010</v>
      </c>
      <c r="C20" s="8"/>
      <c r="D20" s="8"/>
      <c r="E20" s="8">
        <f t="array" ref="E20">SUM(IF("131"&amp;B20=KHN&amp;KH,TH))</f>
        <v>330000</v>
      </c>
      <c r="F20" s="8">
        <f t="array" ref="F20">SUM(IF("131"&amp;B20=KHC&amp;KH,TH))</f>
        <v>330000</v>
      </c>
      <c r="G20" s="750">
        <f t="shared" si="1"/>
        <v>0</v>
      </c>
      <c r="H20" s="750">
        <f t="shared" si="2"/>
        <v>0</v>
      </c>
    </row>
    <row r="21" spans="1:9" s="10" customFormat="1" ht="16.5" customHeight="1">
      <c r="A21" s="6">
        <f t="shared" si="0"/>
        <v>16</v>
      </c>
      <c r="B21" s="191" t="s">
        <v>1073</v>
      </c>
      <c r="C21" s="8"/>
      <c r="D21" s="8"/>
      <c r="E21" s="8">
        <f t="array" ref="E21">SUM(IF("131"&amp;B21=KHN&amp;KH,TH))</f>
        <v>9625000</v>
      </c>
      <c r="F21" s="8">
        <f t="array" ref="F21">SUM(IF("131"&amp;B21=KHC&amp;KH,TH))</f>
        <v>9625000</v>
      </c>
      <c r="G21" s="750">
        <f t="shared" si="1"/>
        <v>0</v>
      </c>
      <c r="H21" s="750">
        <f t="shared" si="2"/>
        <v>0</v>
      </c>
    </row>
    <row r="22" spans="1:9" s="10" customFormat="1" ht="16.5" customHeight="1">
      <c r="A22" s="6">
        <f t="shared" si="0"/>
        <v>17</v>
      </c>
      <c r="B22" s="191" t="s">
        <v>450</v>
      </c>
      <c r="C22" s="8"/>
      <c r="D22" s="8"/>
      <c r="E22" s="8">
        <f t="array" ref="E22">SUM(IF("131"&amp;B22=KHN&amp;KH,TH))</f>
        <v>109713428</v>
      </c>
      <c r="F22" s="8">
        <f t="array" ref="F22">SUM(IF("131"&amp;B22=KHC&amp;KH,TH))</f>
        <v>94866200</v>
      </c>
      <c r="G22" s="750">
        <f t="shared" si="1"/>
        <v>14847228</v>
      </c>
      <c r="H22" s="750">
        <f t="shared" si="2"/>
        <v>0</v>
      </c>
      <c r="I22" s="10" t="str">
        <f>IF(ISNA(VLOOKUP(B22,'[26]131'!$B$6:$H$38,1,0)),"","x")</f>
        <v/>
      </c>
    </row>
    <row r="23" spans="1:9" s="10" customFormat="1" ht="16.5" customHeight="1">
      <c r="A23" s="6">
        <f t="shared" si="0"/>
        <v>18</v>
      </c>
      <c r="B23" s="191" t="s">
        <v>1029</v>
      </c>
      <c r="C23" s="8"/>
      <c r="D23" s="8"/>
      <c r="E23" s="8">
        <f t="array" ref="E23">SUM(IF("131"&amp;B23=KHN&amp;KH,TH))</f>
        <v>1320000</v>
      </c>
      <c r="F23" s="8">
        <f t="array" ref="F23">SUM(IF("131"&amp;B23=KHC&amp;KH,TH))</f>
        <v>1320000</v>
      </c>
      <c r="G23" s="750">
        <f t="shared" si="1"/>
        <v>0</v>
      </c>
      <c r="H23" s="750">
        <f t="shared" si="2"/>
        <v>0</v>
      </c>
      <c r="I23" s="10" t="str">
        <f>IF(ISNA(VLOOKUP(B23,'[26]131'!$B$6:$H$38,1,0)),"","x")</f>
        <v>x</v>
      </c>
    </row>
    <row r="24" spans="1:9" s="10" customFormat="1" ht="16.5" customHeight="1">
      <c r="A24" s="6">
        <f t="shared" si="0"/>
        <v>19</v>
      </c>
      <c r="B24" s="191" t="s">
        <v>449</v>
      </c>
      <c r="C24" s="8"/>
      <c r="D24" s="8"/>
      <c r="E24" s="8">
        <f t="array" ref="E24">SUM(IF("131"&amp;B24=KHN&amp;KH,TH))</f>
        <v>31712588</v>
      </c>
      <c r="F24" s="8">
        <f t="array" ref="F24">SUM(IF("131"&amp;B24=KHC&amp;KH,TH))</f>
        <v>31712588</v>
      </c>
      <c r="G24" s="750">
        <f t="shared" si="1"/>
        <v>0</v>
      </c>
      <c r="H24" s="750">
        <f t="shared" si="2"/>
        <v>0</v>
      </c>
      <c r="I24" s="10" t="str">
        <f>IF(ISNA(VLOOKUP(B24,'[26]131'!$B$6:$H$38,1,0)),"","x")</f>
        <v/>
      </c>
    </row>
    <row r="25" spans="1:9" s="10" customFormat="1" ht="16.5" customHeight="1">
      <c r="A25" s="6">
        <f t="shared" si="0"/>
        <v>20</v>
      </c>
      <c r="B25" s="7" t="s">
        <v>445</v>
      </c>
      <c r="C25" s="8"/>
      <c r="D25" s="8"/>
      <c r="E25" s="8">
        <f t="array" ref="E25">SUM(IF("131"&amp;B25=KHN&amp;KH,TH))</f>
        <v>71110314</v>
      </c>
      <c r="F25" s="8">
        <f t="array" ref="F25">SUM(IF("131"&amp;B25=KHC&amp;KH,TH))</f>
        <v>71110314</v>
      </c>
      <c r="G25" s="750">
        <f t="shared" si="1"/>
        <v>0</v>
      </c>
      <c r="H25" s="750">
        <f t="shared" si="2"/>
        <v>0</v>
      </c>
      <c r="I25" s="10" t="str">
        <f>IF(ISNA(VLOOKUP(B25,'[26]131'!$B$6:$H$38,1,0)),"","x")</f>
        <v/>
      </c>
    </row>
    <row r="26" spans="1:9" s="10" customFormat="1" ht="16.5" customHeight="1">
      <c r="A26" s="6">
        <f t="shared" si="0"/>
        <v>21</v>
      </c>
      <c r="B26" s="7" t="s">
        <v>441</v>
      </c>
      <c r="C26" s="8"/>
      <c r="D26" s="8"/>
      <c r="E26" s="8">
        <f t="array" ref="E26">SUM(IF("131"&amp;B26=KHN&amp;KH,TH))</f>
        <v>264513037</v>
      </c>
      <c r="F26" s="8">
        <f t="array" ref="F26">SUM(IF("131"&amp;B26=KHC&amp;KH,TH))</f>
        <v>181890167</v>
      </c>
      <c r="G26" s="750">
        <f t="shared" si="1"/>
        <v>82622870</v>
      </c>
      <c r="H26" s="750">
        <f t="shared" si="2"/>
        <v>0</v>
      </c>
      <c r="I26" s="10" t="str">
        <f>IF(ISNA(VLOOKUP(B26,'[26]131'!$B$6:$H$38,1,0)),"","x")</f>
        <v/>
      </c>
    </row>
    <row r="27" spans="1:9" s="10" customFormat="1" ht="16.5" customHeight="1">
      <c r="A27" s="6">
        <f t="shared" si="0"/>
        <v>22</v>
      </c>
      <c r="B27" s="191" t="s">
        <v>1027</v>
      </c>
      <c r="C27" s="8"/>
      <c r="D27" s="8"/>
      <c r="E27" s="8">
        <f t="array" ref="E27">SUM(IF("131"&amp;B27=KHN&amp;KH,TH))</f>
        <v>23265000</v>
      </c>
      <c r="F27" s="8">
        <f t="array" ref="F27">SUM(IF("131"&amp;B27=KHC&amp;KH,TH))</f>
        <v>15950000</v>
      </c>
      <c r="G27" s="750">
        <f t="shared" si="1"/>
        <v>7315000</v>
      </c>
      <c r="H27" s="750">
        <f t="shared" si="2"/>
        <v>0</v>
      </c>
      <c r="I27" s="10" t="str">
        <f>IF(ISNA(VLOOKUP(B27,'[26]131'!$B$6:$H$38,1,0)),"","x")</f>
        <v/>
      </c>
    </row>
    <row r="28" spans="1:9" s="10" customFormat="1" ht="16.5" customHeight="1">
      <c r="A28" s="6">
        <f t="shared" si="0"/>
        <v>23</v>
      </c>
      <c r="B28" s="191" t="s">
        <v>1042</v>
      </c>
      <c r="C28" s="8"/>
      <c r="D28" s="8"/>
      <c r="E28" s="8">
        <f t="array" ref="E28">SUM(IF("131"&amp;B28=KHN&amp;KH,TH))</f>
        <v>128734486</v>
      </c>
      <c r="F28" s="8">
        <f t="array" ref="F28">SUM(IF("131"&amp;B28=KHC&amp;KH,TH))</f>
        <v>128734486</v>
      </c>
      <c r="G28" s="750">
        <f t="shared" si="1"/>
        <v>0</v>
      </c>
      <c r="H28" s="750">
        <f t="shared" si="2"/>
        <v>0</v>
      </c>
    </row>
    <row r="29" spans="1:9" s="10" customFormat="1" ht="16.5" customHeight="1">
      <c r="A29" s="6">
        <f t="shared" si="0"/>
        <v>24</v>
      </c>
      <c r="B29" s="191" t="s">
        <v>1063</v>
      </c>
      <c r="C29" s="8"/>
      <c r="D29" s="8"/>
      <c r="E29" s="8">
        <f t="array" ref="E29">SUM(IF("131"&amp;B29=KHN&amp;KH,TH))</f>
        <v>75416880</v>
      </c>
      <c r="F29" s="8">
        <f t="array" ref="F29">SUM(IF("131"&amp;B29=KHC&amp;KH,TH))</f>
        <v>75416880</v>
      </c>
      <c r="G29" s="750">
        <f t="shared" si="1"/>
        <v>0</v>
      </c>
      <c r="H29" s="750">
        <f t="shared" si="2"/>
        <v>0</v>
      </c>
    </row>
    <row r="30" spans="1:9" s="10" customFormat="1" ht="16.5" customHeight="1">
      <c r="A30" s="6">
        <f t="shared" si="0"/>
        <v>25</v>
      </c>
      <c r="B30" s="7" t="s">
        <v>430</v>
      </c>
      <c r="C30" s="8"/>
      <c r="D30" s="8"/>
      <c r="E30" s="8">
        <f t="array" ref="E30">SUM(IF("131"&amp;B30=KHN&amp;KH,TH))</f>
        <v>32592560</v>
      </c>
      <c r="F30" s="8">
        <f t="array" ref="F30">SUM(IF("131"&amp;B30=KHC&amp;KH,TH))</f>
        <v>32592560</v>
      </c>
      <c r="G30" s="750">
        <f t="shared" si="1"/>
        <v>0</v>
      </c>
      <c r="H30" s="750">
        <f t="shared" si="2"/>
        <v>0</v>
      </c>
      <c r="I30" s="10" t="str">
        <f>IF(ISNA(VLOOKUP(B30,'[26]131'!$B$6:$H$38,1,0)),"","x")</f>
        <v/>
      </c>
    </row>
    <row r="31" spans="1:9" s="10" customFormat="1" ht="16.5" customHeight="1">
      <c r="A31" s="6">
        <f t="shared" si="0"/>
        <v>26</v>
      </c>
      <c r="B31" s="191" t="s">
        <v>1056</v>
      </c>
      <c r="C31" s="8"/>
      <c r="D31" s="8"/>
      <c r="E31" s="8">
        <f t="array" ref="E31">SUM(IF("131"&amp;B31=KHN&amp;KH,TH))</f>
        <v>19800000</v>
      </c>
      <c r="F31" s="8">
        <f t="array" ref="F31">SUM(IF("131"&amp;B31=KHC&amp;KH,TH))</f>
        <v>19800000</v>
      </c>
      <c r="G31" s="750">
        <f t="shared" si="1"/>
        <v>0</v>
      </c>
      <c r="H31" s="750">
        <f t="shared" si="2"/>
        <v>0</v>
      </c>
    </row>
    <row r="32" spans="1:9" s="10" customFormat="1" ht="16.5" customHeight="1">
      <c r="A32" s="6">
        <f t="shared" si="0"/>
        <v>27</v>
      </c>
      <c r="B32" s="191" t="s">
        <v>972</v>
      </c>
      <c r="C32" s="8"/>
      <c r="D32" s="8"/>
      <c r="E32" s="8">
        <f t="array" ref="E32">SUM(IF("131"&amp;B32=KHN&amp;KH,TH))</f>
        <v>3579400</v>
      </c>
      <c r="F32" s="8">
        <f t="array" ref="F32">SUM(IF("131"&amp;B32=KHC&amp;KH,TH))</f>
        <v>3579400</v>
      </c>
      <c r="G32" s="750">
        <f t="shared" si="1"/>
        <v>0</v>
      </c>
      <c r="H32" s="750">
        <f t="shared" si="2"/>
        <v>0</v>
      </c>
    </row>
    <row r="33" spans="1:9" s="10" customFormat="1" ht="16.5" customHeight="1">
      <c r="A33" s="6">
        <f t="shared" si="0"/>
        <v>28</v>
      </c>
      <c r="B33" s="191" t="s">
        <v>1023</v>
      </c>
      <c r="C33" s="8"/>
      <c r="D33" s="8"/>
      <c r="E33" s="8">
        <f t="array" ref="E33">SUM(IF("131"&amp;B33=KHN&amp;KH,TH))</f>
        <v>15741000</v>
      </c>
      <c r="F33" s="8">
        <f t="array" ref="F33">SUM(IF("131"&amp;B33=KHC&amp;KH,TH))</f>
        <v>15741000</v>
      </c>
      <c r="G33" s="750">
        <f t="shared" si="1"/>
        <v>0</v>
      </c>
      <c r="H33" s="750">
        <f t="shared" si="2"/>
        <v>0</v>
      </c>
    </row>
    <row r="34" spans="1:9" s="10" customFormat="1" ht="16.5" customHeight="1">
      <c r="A34" s="6">
        <f t="shared" si="0"/>
        <v>29</v>
      </c>
      <c r="B34" s="191" t="s">
        <v>1051</v>
      </c>
      <c r="C34" s="8"/>
      <c r="D34" s="8"/>
      <c r="E34" s="8">
        <f t="array" ref="E34">SUM(IF("131"&amp;B34=KHN&amp;KH,TH))</f>
        <v>3905550</v>
      </c>
      <c r="F34" s="8">
        <f t="array" ref="F34">SUM(IF("131"&amp;B34=KHC&amp;KH,TH))</f>
        <v>3905550</v>
      </c>
      <c r="G34" s="750">
        <f t="shared" si="1"/>
        <v>0</v>
      </c>
      <c r="H34" s="750">
        <f t="shared" si="2"/>
        <v>0</v>
      </c>
    </row>
    <row r="35" spans="1:9" s="10" customFormat="1" ht="16.5" customHeight="1">
      <c r="A35" s="6">
        <f t="shared" si="0"/>
        <v>30</v>
      </c>
      <c r="B35" s="191" t="s">
        <v>1085</v>
      </c>
      <c r="C35" s="8"/>
      <c r="D35" s="8"/>
      <c r="E35" s="8">
        <f t="array" ref="E35">SUM(IF("131"&amp;B35=KHN&amp;KH,TH))</f>
        <v>822800</v>
      </c>
      <c r="F35" s="8">
        <f t="array" ref="F35">SUM(IF("131"&amp;B35=KHC&amp;KH,TH))</f>
        <v>822800</v>
      </c>
      <c r="G35" s="750">
        <f t="shared" si="1"/>
        <v>0</v>
      </c>
      <c r="H35" s="750">
        <f t="shared" si="2"/>
        <v>0</v>
      </c>
    </row>
    <row r="36" spans="1:9" s="10" customFormat="1" ht="16.5" customHeight="1">
      <c r="A36" s="6" t="str">
        <f t="shared" ref="A36" si="3">IF(B36&lt;&gt;"",ROW()-5,"")</f>
        <v/>
      </c>
      <c r="B36" s="44"/>
      <c r="C36" s="8"/>
      <c r="D36" s="8"/>
      <c r="E36" s="8"/>
      <c r="F36" s="8"/>
      <c r="G36" s="54"/>
      <c r="H36" s="54"/>
      <c r="I36" s="10" t="str">
        <f>IF(ISNA(VLOOKUP(B36,'[26]131'!$B$6:$H$38,1,0)),"","x")</f>
        <v/>
      </c>
    </row>
    <row r="37" spans="1:9" s="14" customFormat="1" ht="14.25" customHeight="1">
      <c r="A37" s="11"/>
      <c r="B37" s="12" t="s">
        <v>39</v>
      </c>
      <c r="C37" s="13">
        <f t="shared" ref="C37:H37" si="4">SUM(C6:C36)</f>
        <v>70139021</v>
      </c>
      <c r="D37" s="13">
        <f t="shared" si="4"/>
        <v>0</v>
      </c>
      <c r="E37" s="13">
        <f t="shared" si="4"/>
        <v>1970076505</v>
      </c>
      <c r="F37" s="13">
        <f t="shared" si="4"/>
        <v>1500246107</v>
      </c>
      <c r="G37" s="13">
        <f t="shared" si="4"/>
        <v>539969419</v>
      </c>
      <c r="H37" s="13">
        <f t="shared" si="4"/>
        <v>0</v>
      </c>
    </row>
    <row r="38" spans="1:9">
      <c r="E38" s="15"/>
      <c r="F38" s="15"/>
    </row>
    <row r="39" spans="1:9">
      <c r="E39" s="15">
        <f>E37-CDPS!E14</f>
        <v>0</v>
      </c>
      <c r="F39" s="15">
        <f>F37-CDPS!F14</f>
        <v>0</v>
      </c>
    </row>
    <row r="41" spans="1:9">
      <c r="E41" s="15"/>
      <c r="F41" s="1047" t="s">
        <v>404</v>
      </c>
      <c r="G41" s="1047"/>
      <c r="H41" s="1047"/>
    </row>
    <row r="42" spans="1:9">
      <c r="F42" s="1047" t="s">
        <v>109</v>
      </c>
      <c r="G42" s="1047"/>
      <c r="H42" s="1047"/>
    </row>
    <row r="43" spans="1:9">
      <c r="E43" s="181"/>
      <c r="F43" s="1047" t="s">
        <v>136</v>
      </c>
      <c r="G43" s="1047"/>
      <c r="H43" s="1047"/>
    </row>
  </sheetData>
  <sortState ref="A6:I46">
    <sortCondition ref="B6:B46"/>
  </sortState>
  <mergeCells count="9">
    <mergeCell ref="F41:H41"/>
    <mergeCell ref="F42:H42"/>
    <mergeCell ref="F43:H43"/>
    <mergeCell ref="A3:H3"/>
    <mergeCell ref="A4:A5"/>
    <mergeCell ref="B4:B5"/>
    <mergeCell ref="C4:D4"/>
    <mergeCell ref="E4:F4"/>
    <mergeCell ref="G4:H4"/>
  </mergeCells>
  <printOptions horizontalCentered="1"/>
  <pageMargins left="0.6" right="0.2" top="0.3" bottom="0.3" header="0.1" footer="0.1"/>
  <pageSetup paperSize="9" scale="85" orientation="landscape"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K106"/>
  <sheetViews>
    <sheetView topLeftCell="A6" workbookViewId="0">
      <pane ySplit="8" topLeftCell="A16" activePane="bottomLeft" state="frozen"/>
      <selection activeCell="A6" sqref="A6"/>
      <selection pane="bottomLeft" activeCell="E7" sqref="E7:H7"/>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441" customFormat="1" ht="14.25" customHeight="1">
      <c r="A1" s="588" t="str">
        <f>TH!A1</f>
        <v>Đơn vị: CÔNG TY TNHH MỘT THÀNH VIÊN KHỞI NGUYÊN AN</v>
      </c>
      <c r="B1" s="580"/>
      <c r="C1" s="580"/>
      <c r="G1" s="2"/>
      <c r="H1" s="1057" t="s">
        <v>46</v>
      </c>
      <c r="I1" s="1057"/>
      <c r="J1" s="1057"/>
    </row>
    <row r="2" spans="1:10" s="441" customFormat="1" ht="14.25" customHeight="1">
      <c r="A2" s="587" t="str">
        <f>TH!A2</f>
        <v>Địa chỉ: Thửa đất số 144, tờ bản đồ số 12TĐH.1, tổ 1, khu phố Đông Tác, Phường Tân Đông Hiệp, Thị Xã Dĩ An, Tỉnh Bình Dương, Việt Nam</v>
      </c>
      <c r="B2" s="580"/>
      <c r="C2" s="580"/>
      <c r="G2" s="17"/>
      <c r="H2" s="1058" t="str">
        <f ca="1">IF(YEAR($A$14)&gt;=2015,"(Ban hành theo Thông tư số 200/2014/TT-BTC  Ngày 22/12/2014 của Bộ Tài chính)","(Ban hành kèm theo QĐ 48/2006/QĐ-BTC ngày 24/09/2006 của Bộ trưởng BTC)")</f>
        <v>(Ban hành theo Thông tư số 200/2014/TT-BTC  Ngày 22/12/2014 của Bộ Tài chính)</v>
      </c>
      <c r="I2" s="1058"/>
      <c r="J2" s="1058"/>
    </row>
    <row r="3" spans="1:10" s="441" customFormat="1" ht="14.25" customHeight="1">
      <c r="A3" s="582"/>
      <c r="B3" s="580"/>
      <c r="C3" s="580"/>
      <c r="G3" s="17"/>
      <c r="H3" s="1058"/>
      <c r="I3" s="1058"/>
      <c r="J3" s="1058"/>
    </row>
    <row r="4" spans="1:10" s="5" customFormat="1" ht="28.5" customHeight="1">
      <c r="A4" s="1059" t="s">
        <v>26</v>
      </c>
      <c r="B4" s="1059"/>
      <c r="C4" s="1059"/>
      <c r="D4" s="1059"/>
      <c r="E4" s="1059"/>
      <c r="F4" s="1059"/>
      <c r="G4" s="1059"/>
      <c r="H4" s="1059"/>
      <c r="I4" s="1059"/>
      <c r="J4" s="1059"/>
    </row>
    <row r="5" spans="1:10" s="18" customFormat="1" ht="14.25" customHeight="1">
      <c r="E5" s="578" t="s">
        <v>27</v>
      </c>
    </row>
    <row r="6" spans="1:10" s="18" customFormat="1" ht="14.25" customHeight="1">
      <c r="E6" s="578" t="s">
        <v>323</v>
      </c>
    </row>
    <row r="7" spans="1:10" s="18" customFormat="1" ht="14.25" customHeight="1">
      <c r="D7" s="20" t="s">
        <v>45</v>
      </c>
      <c r="E7" s="1060" t="s">
        <v>1027</v>
      </c>
      <c r="F7" s="1060"/>
      <c r="G7" s="1060"/>
      <c r="H7" s="1060"/>
    </row>
    <row r="8" spans="1:10" s="18" customFormat="1" ht="14.25" customHeight="1">
      <c r="E8" s="578" t="s">
        <v>29</v>
      </c>
    </row>
    <row r="9" spans="1:10" s="18" customFormat="1" ht="6.75" customHeight="1">
      <c r="B9" s="578"/>
      <c r="C9" s="1061"/>
      <c r="D9" s="1061"/>
      <c r="E9" s="1061"/>
      <c r="F9" s="1061"/>
      <c r="G9" s="1061"/>
      <c r="H9" s="1061"/>
      <c r="I9" s="1061"/>
      <c r="J9" s="1061"/>
    </row>
    <row r="10" spans="1:10" s="18" customFormat="1" ht="14.25" customHeight="1">
      <c r="A10" s="1024" t="s">
        <v>20</v>
      </c>
      <c r="B10" s="1062" t="s">
        <v>1</v>
      </c>
      <c r="C10" s="1062"/>
      <c r="D10" s="1024" t="s">
        <v>0</v>
      </c>
      <c r="E10" s="1024" t="s">
        <v>14</v>
      </c>
      <c r="F10" s="1024" t="s">
        <v>30</v>
      </c>
      <c r="G10" s="1055" t="s">
        <v>21</v>
      </c>
      <c r="H10" s="1056"/>
      <c r="I10" s="1055" t="s">
        <v>31</v>
      </c>
      <c r="J10" s="1056"/>
    </row>
    <row r="11" spans="1:10" s="18" customFormat="1" ht="24.75" customHeight="1">
      <c r="A11" s="1024"/>
      <c r="B11" s="30" t="s">
        <v>15</v>
      </c>
      <c r="C11" s="30" t="s">
        <v>32</v>
      </c>
      <c r="D11" s="1024"/>
      <c r="E11" s="1024"/>
      <c r="F11" s="1024"/>
      <c r="G11" s="30" t="s">
        <v>22</v>
      </c>
      <c r="H11" s="30" t="s">
        <v>23</v>
      </c>
      <c r="I11" s="30" t="s">
        <v>22</v>
      </c>
      <c r="J11" s="30" t="s">
        <v>23</v>
      </c>
    </row>
    <row r="12" spans="1:10" s="18" customFormat="1" ht="11.25" customHeight="1">
      <c r="A12" s="584" t="s">
        <v>2</v>
      </c>
      <c r="B12" s="585" t="s">
        <v>3</v>
      </c>
      <c r="C12" s="584" t="s">
        <v>4</v>
      </c>
      <c r="D12" s="584" t="s">
        <v>5</v>
      </c>
      <c r="E12" s="584" t="s">
        <v>6</v>
      </c>
      <c r="F12" s="584">
        <v>1</v>
      </c>
      <c r="G12" s="584">
        <v>2</v>
      </c>
      <c r="H12" s="584">
        <v>3</v>
      </c>
      <c r="I12" s="584">
        <v>4</v>
      </c>
      <c r="J12" s="584">
        <v>5</v>
      </c>
    </row>
    <row r="13" spans="1:10" s="18" customFormat="1" ht="18" customHeight="1">
      <c r="A13" s="584"/>
      <c r="B13" s="584"/>
      <c r="C13" s="584"/>
      <c r="D13" s="23" t="s">
        <v>7</v>
      </c>
      <c r="E13" s="584"/>
      <c r="F13" s="24"/>
      <c r="G13" s="24"/>
      <c r="H13" s="24"/>
      <c r="I13" s="46">
        <f>VLOOKUP($E$7,'131'!$B$6:$H$36,2,0)</f>
        <v>0</v>
      </c>
      <c r="J13" s="46">
        <f>VLOOKUP($E$7,'131'!$B$6:$H$36,3,0)</f>
        <v>0</v>
      </c>
    </row>
    <row r="14" spans="1:10" s="18" customFormat="1" ht="18" customHeight="1">
      <c r="A14" s="9">
        <f ca="1">IF(ROWS($1:1)&gt;COUNT(Dong14),"",OFFSET(TH!C$1,SMALL(Dong14,ROWS($1:1)),))</f>
        <v>42248</v>
      </c>
      <c r="B14" s="9" t="str">
        <f ca="1">IF(ROWS($1:1)&gt;COUNT(Dong14),"",OFFSET(TH!D$1,SMALL(Dong14,ROWS($1:1)),))</f>
        <v>X09</v>
      </c>
      <c r="C14" s="9">
        <f ca="1">IF(ROWS($1:1)&gt;COUNT(Dong14),"",OFFSET(TH!E$1,SMALL(Dong14,ROWS($1:1)),))</f>
        <v>42248</v>
      </c>
      <c r="D14" s="212" t="str">
        <f ca="1">IF(ROWS($1:1)&gt;COUNT(Dong14),"",OFFSET(TH!F$1,SMALL(Dong14,ROWS($1:1)),))</f>
        <v>Thùng carton 5 lớp (60x34x23)</v>
      </c>
      <c r="E14" s="45" t="str">
        <f ca="1">IF(ROWS($1:1)&gt;COUNT(Dong14),"",IF(OFFSET(TH!L$1,SMALL(Dong14,ROWS($1:1)),)="331",OFFSET(TH!M$1,SMALL(Dong14,ROWS($1:1)),),OFFSET(TH!L$1,SMALL(Dong14,ROWS($1:1)),)))</f>
        <v>131</v>
      </c>
      <c r="F14" s="45"/>
      <c r="G14" s="57">
        <f ca="1">IF(ROWS($1:1)&gt;COUNT(Dong14),"",IF(OFFSET(TH!L$1,SMALL(Dong14,ROWS($1:1)),)="131",OFFSET(TH!K$1,SMALL(Dong14,ROWS($1:1)),),0))</f>
        <v>1330000</v>
      </c>
      <c r="H14" s="57">
        <f ca="1">IF(ROWS($1:1)&gt;COUNT(Dong14),"",IF(OFFSET(TH!M$1,SMALL(Dong14,ROWS($1:1)),)="131",OFFSET(TH!K$1,SMALL(Dong14,ROWS($1:1)),),0))</f>
        <v>0</v>
      </c>
      <c r="I14" s="25">
        <f ca="1">IF(D14&lt;&gt;"",MAX(I13+G14-H14-J13,0),0)</f>
        <v>1330000</v>
      </c>
      <c r="J14" s="25">
        <f ca="1">IF(D14&lt;&gt;"",MAX(J13+H14-I13-G14,0),0)</f>
        <v>0</v>
      </c>
    </row>
    <row r="15" spans="1:10" s="18" customFormat="1" ht="18" customHeight="1">
      <c r="A15" s="9">
        <f ca="1">IF(ROWS($1:2)&gt;COUNT(Dong14),"",OFFSET(TH!C$1,SMALL(Dong14,ROWS($1:2)),))</f>
        <v>42248</v>
      </c>
      <c r="B15" s="9" t="str">
        <f ca="1">IF(ROWS($1:2)&gt;COUNT(Dong14),"",OFFSET(TH!D$1,SMALL(Dong14,ROWS($1:2)),))</f>
        <v>X09</v>
      </c>
      <c r="C15" s="9">
        <f ca="1">IF(ROWS($1:2)&gt;COUNT(Dong14),"",OFFSET(TH!E$1,SMALL(Dong14,ROWS($1:2)),))</f>
        <v>42248</v>
      </c>
      <c r="D15" s="212" t="str">
        <f ca="1">IF(ROWS($1:2)&gt;COUNT(Dong14),"",OFFSET(TH!F$1,SMALL(Dong14,ROWS($1:2)),))</f>
        <v>VAT Thùng</v>
      </c>
      <c r="E15" s="45" t="str">
        <f ca="1">IF(ROWS($1:2)&gt;COUNT(Dong14),"",IF(OFFSET(TH!L$1,SMALL(Dong14,ROWS($1:2)),)="331",OFFSET(TH!M$1,SMALL(Dong14,ROWS($1:2)),),OFFSET(TH!L$1,SMALL(Dong14,ROWS($1:2)),)))</f>
        <v>131</v>
      </c>
      <c r="F15" s="45"/>
      <c r="G15" s="57">
        <f ca="1">IF(ROWS($1:2)&gt;COUNT(Dong14),"",IF(OFFSET(TH!L$1,SMALL(Dong14,ROWS($1:2)),)="131",OFFSET(TH!K$1,SMALL(Dong14,ROWS($1:2)),),0))</f>
        <v>133000</v>
      </c>
      <c r="H15" s="57">
        <f ca="1">IF(ROWS($1:2)&gt;COUNT(Dong14),"",IF(OFFSET(TH!M$1,SMALL(Dong14,ROWS($1:2)),)="131",OFFSET(TH!K$1,SMALL(Dong14,ROWS($1:2)),),0))</f>
        <v>0</v>
      </c>
      <c r="I15" s="25">
        <f t="shared" ref="I15:I30" ca="1" si="0">IF(D15&lt;&gt;"",MAX(I14+G15-H15-J14,0),0)</f>
        <v>1463000</v>
      </c>
      <c r="J15" s="25">
        <f t="shared" ref="J15:J30" ca="1" si="1">IF(D15&lt;&gt;"",MAX(J14+H15-I14-G15,0),0)</f>
        <v>0</v>
      </c>
    </row>
    <row r="16" spans="1:10" s="18" customFormat="1" ht="18" customHeight="1">
      <c r="A16" s="9">
        <f ca="1">IF(ROWS($1:3)&gt;COUNT(Dong14),"",OFFSET(TH!C$1,SMALL(Dong14,ROWS($1:3)),))</f>
        <v>42248</v>
      </c>
      <c r="B16" s="9" t="str">
        <f ca="1">IF(ROWS($1:3)&gt;COUNT(Dong14),"",OFFSET(TH!D$1,SMALL(Dong14,ROWS($1:3)),))</f>
        <v>T35</v>
      </c>
      <c r="C16" s="9">
        <f ca="1">IF(ROWS($1:3)&gt;COUNT(Dong14),"",OFFSET(TH!E$1,SMALL(Dong14,ROWS($1:3)),))</f>
        <v>42248</v>
      </c>
      <c r="D16" s="212" t="str">
        <f ca="1">IF(ROWS($1:3)&gt;COUNT(Dong14),"",OFFSET(TH!F$1,SMALL(Dong14,ROWS($1:3)),))</f>
        <v>Thu tiền hàng</v>
      </c>
      <c r="E16" s="45" t="str">
        <f ca="1">IF(ROWS($1:3)&gt;COUNT(Dong14),"",IF(OFFSET(TH!L$1,SMALL(Dong14,ROWS($1:3)),)="331",OFFSET(TH!M$1,SMALL(Dong14,ROWS($1:3)),),OFFSET(TH!L$1,SMALL(Dong14,ROWS($1:3)),)))</f>
        <v>1111</v>
      </c>
      <c r="F16" s="45"/>
      <c r="G16" s="57">
        <f ca="1">IF(ROWS($1:3)&gt;COUNT(Dong14),"",IF(OFFSET(TH!L$1,SMALL(Dong14,ROWS($1:3)),)="131",OFFSET(TH!K$1,SMALL(Dong14,ROWS($1:3)),),0))</f>
        <v>0</v>
      </c>
      <c r="H16" s="57">
        <f ca="1">IF(ROWS($1:3)&gt;COUNT(Dong14),"",IF(OFFSET(TH!M$1,SMALL(Dong14,ROWS($1:3)),)="131",OFFSET(TH!K$1,SMALL(Dong14,ROWS($1:3)),),0))</f>
        <v>1463000</v>
      </c>
      <c r="I16" s="25">
        <f t="shared" ca="1" si="0"/>
        <v>0</v>
      </c>
      <c r="J16" s="25">
        <f t="shared" ca="1" si="1"/>
        <v>0</v>
      </c>
    </row>
    <row r="17" spans="1:10" s="18" customFormat="1" ht="18" customHeight="1">
      <c r="A17" s="9">
        <f ca="1">IF(ROWS($1:4)&gt;COUNT(Dong14),"",OFFSET(TH!C$1,SMALL(Dong14,ROWS($1:4)),))</f>
        <v>42261</v>
      </c>
      <c r="B17" s="9" t="str">
        <f ca="1">IF(ROWS($1:4)&gt;COUNT(Dong14),"",OFFSET(TH!D$1,SMALL(Dong14,ROWS($1:4)),))</f>
        <v>X12</v>
      </c>
      <c r="C17" s="9">
        <f ca="1">IF(ROWS($1:4)&gt;COUNT(Dong14),"",OFFSET(TH!E$1,SMALL(Dong14,ROWS($1:4)),))</f>
        <v>42261</v>
      </c>
      <c r="D17" s="212" t="str">
        <f ca="1">IF(ROWS($1:4)&gt;COUNT(Dong14),"",OFFSET(TH!F$1,SMALL(Dong14,ROWS($1:4)),))</f>
        <v>Thùng carton 5 lớp (60x34x23)</v>
      </c>
      <c r="E17" s="45" t="str">
        <f ca="1">IF(ROWS($1:4)&gt;COUNT(Dong14),"",IF(OFFSET(TH!L$1,SMALL(Dong14,ROWS($1:4)),)="331",OFFSET(TH!M$1,SMALL(Dong14,ROWS($1:4)),),OFFSET(TH!L$1,SMALL(Dong14,ROWS($1:4)),)))</f>
        <v>131</v>
      </c>
      <c r="F17" s="45"/>
      <c r="G17" s="57">
        <f ca="1">IF(ROWS($1:4)&gt;COUNT(Dong14),"",IF(OFFSET(TH!L$1,SMALL(Dong14,ROWS($1:4)),)="131",OFFSET(TH!K$1,SMALL(Dong14,ROWS($1:4)),),0))</f>
        <v>1330000</v>
      </c>
      <c r="H17" s="57">
        <f ca="1">IF(ROWS($1:4)&gt;COUNT(Dong14),"",IF(OFFSET(TH!M$1,SMALL(Dong14,ROWS($1:4)),)="131",OFFSET(TH!K$1,SMALL(Dong14,ROWS($1:4)),),0))</f>
        <v>0</v>
      </c>
      <c r="I17" s="25">
        <f t="shared" ca="1" si="0"/>
        <v>1330000</v>
      </c>
      <c r="J17" s="25">
        <f t="shared" ca="1" si="1"/>
        <v>0</v>
      </c>
    </row>
    <row r="18" spans="1:10" s="18" customFormat="1" ht="18" customHeight="1">
      <c r="A18" s="9">
        <f ca="1">IF(ROWS($1:5)&gt;COUNT(Dong14),"",OFFSET(TH!C$1,SMALL(Dong14,ROWS($1:5)),))</f>
        <v>42261</v>
      </c>
      <c r="B18" s="9" t="str">
        <f ca="1">IF(ROWS($1:5)&gt;COUNT(Dong14),"",OFFSET(TH!D$1,SMALL(Dong14,ROWS($1:5)),))</f>
        <v>X12</v>
      </c>
      <c r="C18" s="9">
        <f ca="1">IF(ROWS($1:5)&gt;COUNT(Dong14),"",OFFSET(TH!E$1,SMALL(Dong14,ROWS($1:5)),))</f>
        <v>42261</v>
      </c>
      <c r="D18" s="212" t="str">
        <f ca="1">IF(ROWS($1:5)&gt;COUNT(Dong14),"",OFFSET(TH!F$1,SMALL(Dong14,ROWS($1:5)),))</f>
        <v>VAT Thùng</v>
      </c>
      <c r="E18" s="45" t="str">
        <f ca="1">IF(ROWS($1:5)&gt;COUNT(Dong14),"",IF(OFFSET(TH!L$1,SMALL(Dong14,ROWS($1:5)),)="331",OFFSET(TH!M$1,SMALL(Dong14,ROWS($1:5)),),OFFSET(TH!L$1,SMALL(Dong14,ROWS($1:5)),)))</f>
        <v>131</v>
      </c>
      <c r="F18" s="45"/>
      <c r="G18" s="57">
        <f ca="1">IF(ROWS($1:5)&gt;COUNT(Dong14),"",IF(OFFSET(TH!L$1,SMALL(Dong14,ROWS($1:5)),)="131",OFFSET(TH!K$1,SMALL(Dong14,ROWS($1:5)),),0))</f>
        <v>133000</v>
      </c>
      <c r="H18" s="57">
        <f ca="1">IF(ROWS($1:5)&gt;COUNT(Dong14),"",IF(OFFSET(TH!M$1,SMALL(Dong14,ROWS($1:5)),)="131",OFFSET(TH!K$1,SMALL(Dong14,ROWS($1:5)),),0))</f>
        <v>0</v>
      </c>
      <c r="I18" s="25">
        <f t="shared" ca="1" si="0"/>
        <v>1463000</v>
      </c>
      <c r="J18" s="25">
        <f t="shared" ca="1" si="1"/>
        <v>0</v>
      </c>
    </row>
    <row r="19" spans="1:10" s="18" customFormat="1" ht="18" customHeight="1">
      <c r="A19" s="9">
        <f ca="1">IF(ROWS($1:6)&gt;COUNT(Dong14),"",OFFSET(TH!C$1,SMALL(Dong14,ROWS($1:6)),))</f>
        <v>42261</v>
      </c>
      <c r="B19" s="9" t="str">
        <f ca="1">IF(ROWS($1:6)&gt;COUNT(Dong14),"",OFFSET(TH!D$1,SMALL(Dong14,ROWS($1:6)),))</f>
        <v>T37</v>
      </c>
      <c r="C19" s="9">
        <f ca="1">IF(ROWS($1:6)&gt;COUNT(Dong14),"",OFFSET(TH!E$1,SMALL(Dong14,ROWS($1:6)),))</f>
        <v>42261</v>
      </c>
      <c r="D19" s="212" t="str">
        <f ca="1">IF(ROWS($1:6)&gt;COUNT(Dong14),"",OFFSET(TH!F$1,SMALL(Dong14,ROWS($1:6)),))</f>
        <v>Thu tiền hàng</v>
      </c>
      <c r="E19" s="45" t="str">
        <f ca="1">IF(ROWS($1:6)&gt;COUNT(Dong14),"",IF(OFFSET(TH!L$1,SMALL(Dong14,ROWS($1:6)),)="331",OFFSET(TH!M$1,SMALL(Dong14,ROWS($1:6)),),OFFSET(TH!L$1,SMALL(Dong14,ROWS($1:6)),)))</f>
        <v>1111</v>
      </c>
      <c r="F19" s="45"/>
      <c r="G19" s="57">
        <f ca="1">IF(ROWS($1:6)&gt;COUNT(Dong14),"",IF(OFFSET(TH!L$1,SMALL(Dong14,ROWS($1:6)),)="131",OFFSET(TH!K$1,SMALL(Dong14,ROWS($1:6)),),0))</f>
        <v>0</v>
      </c>
      <c r="H19" s="57">
        <f ca="1">IF(ROWS($1:6)&gt;COUNT(Dong14),"",IF(OFFSET(TH!M$1,SMALL(Dong14,ROWS($1:6)),)="131",OFFSET(TH!K$1,SMALL(Dong14,ROWS($1:6)),),0))</f>
        <v>1463000</v>
      </c>
      <c r="I19" s="25">
        <f t="shared" ca="1" si="0"/>
        <v>0</v>
      </c>
      <c r="J19" s="25">
        <f t="shared" ca="1" si="1"/>
        <v>0</v>
      </c>
    </row>
    <row r="20" spans="1:10" s="18" customFormat="1" ht="18" customHeight="1">
      <c r="A20" s="9">
        <f ca="1">IF(ROWS($1:7)&gt;COUNT(Dong14),"",OFFSET(TH!C$1,SMALL(Dong14,ROWS($1:7)),))</f>
        <v>42282</v>
      </c>
      <c r="B20" s="9" t="str">
        <f ca="1">IF(ROWS($1:7)&gt;COUNT(Dong14),"",OFFSET(TH!D$1,SMALL(Dong14,ROWS($1:7)),))</f>
        <v>X01</v>
      </c>
      <c r="C20" s="9">
        <f ca="1">IF(ROWS($1:7)&gt;COUNT(Dong14),"",OFFSET(TH!E$1,SMALL(Dong14,ROWS($1:7)),))</f>
        <v>42282</v>
      </c>
      <c r="D20" s="212" t="str">
        <f ca="1">IF(ROWS($1:7)&gt;COUNT(Dong14),"",OFFSET(TH!F$1,SMALL(Dong14,ROWS($1:7)),))</f>
        <v>Thùng carton 5 lớp (60x34x23)</v>
      </c>
      <c r="E20" s="45" t="str">
        <f ca="1">IF(ROWS($1:7)&gt;COUNT(Dong14),"",IF(OFFSET(TH!L$1,SMALL(Dong14,ROWS($1:7)),)="331",OFFSET(TH!M$1,SMALL(Dong14,ROWS($1:7)),),OFFSET(TH!L$1,SMALL(Dong14,ROWS($1:7)),)))</f>
        <v>131</v>
      </c>
      <c r="F20" s="45"/>
      <c r="G20" s="57">
        <f ca="1">IF(ROWS($1:7)&gt;COUNT(Dong14),"",IF(OFFSET(TH!L$1,SMALL(Dong14,ROWS($1:7)),)="131",OFFSET(TH!K$1,SMALL(Dong14,ROWS($1:7)),),0))</f>
        <v>2660000</v>
      </c>
      <c r="H20" s="57">
        <f ca="1">IF(ROWS($1:7)&gt;COUNT(Dong14),"",IF(OFFSET(TH!M$1,SMALL(Dong14,ROWS($1:7)),)="131",OFFSET(TH!K$1,SMALL(Dong14,ROWS($1:7)),),0))</f>
        <v>0</v>
      </c>
      <c r="I20" s="25">
        <f t="shared" ca="1" si="0"/>
        <v>2660000</v>
      </c>
      <c r="J20" s="25">
        <f t="shared" ca="1" si="1"/>
        <v>0</v>
      </c>
    </row>
    <row r="21" spans="1:10" s="18" customFormat="1" ht="18" customHeight="1">
      <c r="A21" s="9">
        <f ca="1">IF(ROWS($1:8)&gt;COUNT(Dong14),"",OFFSET(TH!C$1,SMALL(Dong14,ROWS($1:8)),))</f>
        <v>42282</v>
      </c>
      <c r="B21" s="9" t="str">
        <f ca="1">IF(ROWS($1:8)&gt;COUNT(Dong14),"",OFFSET(TH!D$1,SMALL(Dong14,ROWS($1:8)),))</f>
        <v>X01</v>
      </c>
      <c r="C21" s="9">
        <f ca="1">IF(ROWS($1:8)&gt;COUNT(Dong14),"",OFFSET(TH!E$1,SMALL(Dong14,ROWS($1:8)),))</f>
        <v>42282</v>
      </c>
      <c r="D21" s="212" t="str">
        <f ca="1">IF(ROWS($1:8)&gt;COUNT(Dong14),"",OFFSET(TH!F$1,SMALL(Dong14,ROWS($1:8)),))</f>
        <v>VAT Thùng</v>
      </c>
      <c r="E21" s="45" t="str">
        <f ca="1">IF(ROWS($1:8)&gt;COUNT(Dong14),"",IF(OFFSET(TH!L$1,SMALL(Dong14,ROWS($1:8)),)="331",OFFSET(TH!M$1,SMALL(Dong14,ROWS($1:8)),),OFFSET(TH!L$1,SMALL(Dong14,ROWS($1:8)),)))</f>
        <v>131</v>
      </c>
      <c r="F21" s="45"/>
      <c r="G21" s="57">
        <f ca="1">IF(ROWS($1:8)&gt;COUNT(Dong14),"",IF(OFFSET(TH!L$1,SMALL(Dong14,ROWS($1:8)),)="131",OFFSET(TH!K$1,SMALL(Dong14,ROWS($1:8)),),0))</f>
        <v>266000</v>
      </c>
      <c r="H21" s="57">
        <f ca="1">IF(ROWS($1:8)&gt;COUNT(Dong14),"",IF(OFFSET(TH!M$1,SMALL(Dong14,ROWS($1:8)),)="131",OFFSET(TH!K$1,SMALL(Dong14,ROWS($1:8)),),0))</f>
        <v>0</v>
      </c>
      <c r="I21" s="25">
        <f t="shared" ca="1" si="0"/>
        <v>2926000</v>
      </c>
      <c r="J21" s="25">
        <f t="shared" ca="1" si="1"/>
        <v>0</v>
      </c>
    </row>
    <row r="22" spans="1:10" s="18" customFormat="1" ht="18" customHeight="1">
      <c r="A22" s="9">
        <f ca="1">IF(ROWS($1:9)&gt;COUNT(Dong14),"",OFFSET(TH!C$1,SMALL(Dong14,ROWS($1:9)),))</f>
        <v>42282</v>
      </c>
      <c r="B22" s="9" t="str">
        <f ca="1">IF(ROWS($1:9)&gt;COUNT(Dong14),"",OFFSET(TH!D$1,SMALL(Dong14,ROWS($1:9)),))</f>
        <v>T01</v>
      </c>
      <c r="C22" s="9">
        <f ca="1">IF(ROWS($1:9)&gt;COUNT(Dong14),"",OFFSET(TH!E$1,SMALL(Dong14,ROWS($1:9)),))</f>
        <v>42282</v>
      </c>
      <c r="D22" s="212" t="str">
        <f ca="1">IF(ROWS($1:9)&gt;COUNT(Dong14),"",OFFSET(TH!F$1,SMALL(Dong14,ROWS($1:9)),))</f>
        <v>Thu tiền hàng</v>
      </c>
      <c r="E22" s="45" t="str">
        <f ca="1">IF(ROWS($1:9)&gt;COUNT(Dong14),"",IF(OFFSET(TH!L$1,SMALL(Dong14,ROWS($1:9)),)="331",OFFSET(TH!M$1,SMALL(Dong14,ROWS($1:9)),),OFFSET(TH!L$1,SMALL(Dong14,ROWS($1:9)),)))</f>
        <v>1111</v>
      </c>
      <c r="F22" s="45"/>
      <c r="G22" s="57">
        <f ca="1">IF(ROWS($1:9)&gt;COUNT(Dong14),"",IF(OFFSET(TH!L$1,SMALL(Dong14,ROWS($1:9)),)="131",OFFSET(TH!K$1,SMALL(Dong14,ROWS($1:9)),),0))</f>
        <v>0</v>
      </c>
      <c r="H22" s="57">
        <f ca="1">IF(ROWS($1:9)&gt;COUNT(Dong14),"",IF(OFFSET(TH!M$1,SMALL(Dong14,ROWS($1:9)),)="131",OFFSET(TH!K$1,SMALL(Dong14,ROWS($1:9)),),0))</f>
        <v>2926000</v>
      </c>
      <c r="I22" s="25">
        <f t="shared" ca="1" si="0"/>
        <v>0</v>
      </c>
      <c r="J22" s="25">
        <f t="shared" ca="1" si="1"/>
        <v>0</v>
      </c>
    </row>
    <row r="23" spans="1:10" s="18" customFormat="1" ht="18" customHeight="1">
      <c r="A23" s="9">
        <f ca="1">IF(ROWS($1:10)&gt;COUNT(Dong14),"",OFFSET(TH!C$1,SMALL(Dong14,ROWS($1:10)),))</f>
        <v>42301</v>
      </c>
      <c r="B23" s="9" t="str">
        <f ca="1">IF(ROWS($1:10)&gt;COUNT(Dong14),"",OFFSET(TH!D$1,SMALL(Dong14,ROWS($1:10)),))</f>
        <v>X14</v>
      </c>
      <c r="C23" s="9">
        <f ca="1">IF(ROWS($1:10)&gt;COUNT(Dong14),"",OFFSET(TH!E$1,SMALL(Dong14,ROWS($1:10)),))</f>
        <v>42301</v>
      </c>
      <c r="D23" s="212" t="str">
        <f ca="1">IF(ROWS($1:10)&gt;COUNT(Dong14),"",OFFSET(TH!F$1,SMALL(Dong14,ROWS($1:10)),))</f>
        <v>Thùng carton 5 lớp (73x39x30)</v>
      </c>
      <c r="E23" s="45" t="str">
        <f ca="1">IF(ROWS($1:10)&gt;COUNT(Dong14),"",IF(OFFSET(TH!L$1,SMALL(Dong14,ROWS($1:10)),)="331",OFFSET(TH!M$1,SMALL(Dong14,ROWS($1:10)),),OFFSET(TH!L$1,SMALL(Dong14,ROWS($1:10)),)))</f>
        <v>131</v>
      </c>
      <c r="F23" s="45"/>
      <c r="G23" s="57">
        <f ca="1">IF(ROWS($1:10)&gt;COUNT(Dong14),"",IF(OFFSET(TH!L$1,SMALL(Dong14,ROWS($1:10)),)="131",OFFSET(TH!K$1,SMALL(Dong14,ROWS($1:10)),),0))</f>
        <v>3860000</v>
      </c>
      <c r="H23" s="57">
        <f ca="1">IF(ROWS($1:10)&gt;COUNT(Dong14),"",IF(OFFSET(TH!M$1,SMALL(Dong14,ROWS($1:10)),)="131",OFFSET(TH!K$1,SMALL(Dong14,ROWS($1:10)),),0))</f>
        <v>0</v>
      </c>
      <c r="I23" s="25">
        <f t="shared" ca="1" si="0"/>
        <v>3860000</v>
      </c>
      <c r="J23" s="25">
        <f t="shared" ca="1" si="1"/>
        <v>0</v>
      </c>
    </row>
    <row r="24" spans="1:10" s="18" customFormat="1" ht="18" customHeight="1">
      <c r="A24" s="9">
        <f ca="1">IF(ROWS($1:11)&gt;COUNT(Dong14),"",OFFSET(TH!C$1,SMALL(Dong14,ROWS($1:11)),))</f>
        <v>42301</v>
      </c>
      <c r="B24" s="9" t="str">
        <f ca="1">IF(ROWS($1:11)&gt;COUNT(Dong14),"",OFFSET(TH!D$1,SMALL(Dong14,ROWS($1:11)),))</f>
        <v>X14</v>
      </c>
      <c r="C24" s="9">
        <f ca="1">IF(ROWS($1:11)&gt;COUNT(Dong14),"",OFFSET(TH!E$1,SMALL(Dong14,ROWS($1:11)),))</f>
        <v>42301</v>
      </c>
      <c r="D24" s="212" t="str">
        <f ca="1">IF(ROWS($1:11)&gt;COUNT(Dong14),"",OFFSET(TH!F$1,SMALL(Dong14,ROWS($1:11)),))</f>
        <v>VAT Thùng</v>
      </c>
      <c r="E24" s="45" t="str">
        <f ca="1">IF(ROWS($1:11)&gt;COUNT(Dong14),"",IF(OFFSET(TH!L$1,SMALL(Dong14,ROWS($1:11)),)="331",OFFSET(TH!M$1,SMALL(Dong14,ROWS($1:11)),),OFFSET(TH!L$1,SMALL(Dong14,ROWS($1:11)),)))</f>
        <v>131</v>
      </c>
      <c r="F24" s="45"/>
      <c r="G24" s="57">
        <f ca="1">IF(ROWS($1:11)&gt;COUNT(Dong14),"",IF(OFFSET(TH!L$1,SMALL(Dong14,ROWS($1:11)),)="131",OFFSET(TH!K$1,SMALL(Dong14,ROWS($1:11)),),0))</f>
        <v>386000</v>
      </c>
      <c r="H24" s="57">
        <f ca="1">IF(ROWS($1:11)&gt;COUNT(Dong14),"",IF(OFFSET(TH!M$1,SMALL(Dong14,ROWS($1:11)),)="131",OFFSET(TH!K$1,SMALL(Dong14,ROWS($1:11)),),0))</f>
        <v>0</v>
      </c>
      <c r="I24" s="25">
        <f t="shared" ca="1" si="0"/>
        <v>4246000</v>
      </c>
      <c r="J24" s="25">
        <f t="shared" ca="1" si="1"/>
        <v>0</v>
      </c>
    </row>
    <row r="25" spans="1:10" s="18" customFormat="1" ht="18" customHeight="1">
      <c r="A25" s="9">
        <f ca="1">IF(ROWS($1:12)&gt;COUNT(Dong14),"",OFFSET(TH!C$1,SMALL(Dong14,ROWS($1:12)),))</f>
        <v>42301</v>
      </c>
      <c r="B25" s="9" t="str">
        <f ca="1">IF(ROWS($1:12)&gt;COUNT(Dong14),"",OFFSET(TH!D$1,SMALL(Dong14,ROWS($1:12)),))</f>
        <v>T13</v>
      </c>
      <c r="C25" s="9">
        <f ca="1">IF(ROWS($1:12)&gt;COUNT(Dong14),"",OFFSET(TH!E$1,SMALL(Dong14,ROWS($1:12)),))</f>
        <v>42301</v>
      </c>
      <c r="D25" s="212" t="str">
        <f ca="1">IF(ROWS($1:12)&gt;COUNT(Dong14),"",OFFSET(TH!F$1,SMALL(Dong14,ROWS($1:12)),))</f>
        <v>Thu tiền hàng</v>
      </c>
      <c r="E25" s="45" t="str">
        <f ca="1">IF(ROWS($1:12)&gt;COUNT(Dong14),"",IF(OFFSET(TH!L$1,SMALL(Dong14,ROWS($1:12)),)="331",OFFSET(TH!M$1,SMALL(Dong14,ROWS($1:12)),),OFFSET(TH!L$1,SMALL(Dong14,ROWS($1:12)),)))</f>
        <v>1111</v>
      </c>
      <c r="F25" s="45"/>
      <c r="G25" s="57">
        <f ca="1">IF(ROWS($1:12)&gt;COUNT(Dong14),"",IF(OFFSET(TH!L$1,SMALL(Dong14,ROWS($1:12)),)="131",OFFSET(TH!K$1,SMALL(Dong14,ROWS($1:12)),),0))</f>
        <v>0</v>
      </c>
      <c r="H25" s="57">
        <f ca="1">IF(ROWS($1:12)&gt;COUNT(Dong14),"",IF(OFFSET(TH!M$1,SMALL(Dong14,ROWS($1:12)),)="131",OFFSET(TH!K$1,SMALL(Dong14,ROWS($1:12)),),0))</f>
        <v>4246000</v>
      </c>
      <c r="I25" s="25">
        <f t="shared" ca="1" si="0"/>
        <v>0</v>
      </c>
      <c r="J25" s="25">
        <f t="shared" ca="1" si="1"/>
        <v>0</v>
      </c>
    </row>
    <row r="26" spans="1:10" s="18" customFormat="1" ht="18" customHeight="1">
      <c r="A26" s="9">
        <f ca="1">IF(ROWS($1:13)&gt;COUNT(Dong14),"",OFFSET(TH!C$1,SMALL(Dong14,ROWS($1:13)),))</f>
        <v>42329</v>
      </c>
      <c r="B26" s="9" t="str">
        <f ca="1">IF(ROWS($1:13)&gt;COUNT(Dong14),"",OFFSET(TH!D$1,SMALL(Dong14,ROWS($1:13)),))</f>
        <v>X27</v>
      </c>
      <c r="C26" s="9">
        <f ca="1">IF(ROWS($1:13)&gt;COUNT(Dong14),"",OFFSET(TH!E$1,SMALL(Dong14,ROWS($1:13)),))</f>
        <v>42329</v>
      </c>
      <c r="D26" s="212" t="str">
        <f ca="1">IF(ROWS($1:13)&gt;COUNT(Dong14),"",OFFSET(TH!F$1,SMALL(Dong14,ROWS($1:13)),))</f>
        <v>Thùng carton 5 lớp (60x34x23)</v>
      </c>
      <c r="E26" s="45" t="str">
        <f ca="1">IF(ROWS($1:13)&gt;COUNT(Dong14),"",IF(OFFSET(TH!L$1,SMALL(Dong14,ROWS($1:13)),)="331",OFFSET(TH!M$1,SMALL(Dong14,ROWS($1:13)),),OFFSET(TH!L$1,SMALL(Dong14,ROWS($1:13)),)))</f>
        <v>131</v>
      </c>
      <c r="F26" s="45"/>
      <c r="G26" s="57">
        <f ca="1">IF(ROWS($1:13)&gt;COUNT(Dong14),"",IF(OFFSET(TH!L$1,SMALL(Dong14,ROWS($1:13)),)="131",OFFSET(TH!K$1,SMALL(Dong14,ROWS($1:13)),),0))</f>
        <v>5320000</v>
      </c>
      <c r="H26" s="57">
        <f ca="1">IF(ROWS($1:13)&gt;COUNT(Dong14),"",IF(OFFSET(TH!M$1,SMALL(Dong14,ROWS($1:13)),)="131",OFFSET(TH!K$1,SMALL(Dong14,ROWS($1:13)),),0))</f>
        <v>0</v>
      </c>
      <c r="I26" s="25">
        <f t="shared" ca="1" si="0"/>
        <v>5320000</v>
      </c>
      <c r="J26" s="25">
        <f t="shared" ca="1" si="1"/>
        <v>0</v>
      </c>
    </row>
    <row r="27" spans="1:10" s="18" customFormat="1" ht="18" customHeight="1">
      <c r="A27" s="9">
        <f ca="1">IF(ROWS($1:14)&gt;COUNT(Dong14),"",OFFSET(TH!C$1,SMALL(Dong14,ROWS($1:14)),))</f>
        <v>42329</v>
      </c>
      <c r="B27" s="9" t="str">
        <f ca="1">IF(ROWS($1:14)&gt;COUNT(Dong14),"",OFFSET(TH!D$1,SMALL(Dong14,ROWS($1:14)),))</f>
        <v>X27</v>
      </c>
      <c r="C27" s="9">
        <f ca="1">IF(ROWS($1:14)&gt;COUNT(Dong14),"",OFFSET(TH!E$1,SMALL(Dong14,ROWS($1:14)),))</f>
        <v>42329</v>
      </c>
      <c r="D27" s="212" t="str">
        <f ca="1">IF(ROWS($1:14)&gt;COUNT(Dong14),"",OFFSET(TH!F$1,SMALL(Dong14,ROWS($1:14)),))</f>
        <v>VAT Thùng</v>
      </c>
      <c r="E27" s="45" t="str">
        <f ca="1">IF(ROWS($1:14)&gt;COUNT(Dong14),"",IF(OFFSET(TH!L$1,SMALL(Dong14,ROWS($1:14)),)="331",OFFSET(TH!M$1,SMALL(Dong14,ROWS($1:14)),),OFFSET(TH!L$1,SMALL(Dong14,ROWS($1:14)),)))</f>
        <v>131</v>
      </c>
      <c r="F27" s="45"/>
      <c r="G27" s="57">
        <f ca="1">IF(ROWS($1:14)&gt;COUNT(Dong14),"",IF(OFFSET(TH!L$1,SMALL(Dong14,ROWS($1:14)),)="131",OFFSET(TH!K$1,SMALL(Dong14,ROWS($1:14)),),0))</f>
        <v>532000</v>
      </c>
      <c r="H27" s="57">
        <f ca="1">IF(ROWS($1:14)&gt;COUNT(Dong14),"",IF(OFFSET(TH!M$1,SMALL(Dong14,ROWS($1:14)),)="131",OFFSET(TH!K$1,SMALL(Dong14,ROWS($1:14)),),0))</f>
        <v>0</v>
      </c>
      <c r="I27" s="25">
        <f t="shared" ca="1" si="0"/>
        <v>5852000</v>
      </c>
      <c r="J27" s="25">
        <f t="shared" ca="1" si="1"/>
        <v>0</v>
      </c>
    </row>
    <row r="28" spans="1:10" s="18" customFormat="1" ht="18" customHeight="1">
      <c r="A28" s="9">
        <f ca="1">IF(ROWS($1:15)&gt;COUNT(Dong14),"",OFFSET(TH!C$1,SMALL(Dong14,ROWS($1:15)),))</f>
        <v>42329</v>
      </c>
      <c r="B28" s="9" t="str">
        <f ca="1">IF(ROWS($1:15)&gt;COUNT(Dong14),"",OFFSET(TH!D$1,SMALL(Dong14,ROWS($1:15)),))</f>
        <v>T25</v>
      </c>
      <c r="C28" s="9">
        <f ca="1">IF(ROWS($1:15)&gt;COUNT(Dong14),"",OFFSET(TH!E$1,SMALL(Dong14,ROWS($1:15)),))</f>
        <v>42329</v>
      </c>
      <c r="D28" s="212" t="str">
        <f ca="1">IF(ROWS($1:15)&gt;COUNT(Dong14),"",OFFSET(TH!F$1,SMALL(Dong14,ROWS($1:15)),))</f>
        <v>Thu tiền hàng</v>
      </c>
      <c r="E28" s="45" t="str">
        <f ca="1">IF(ROWS($1:15)&gt;COUNT(Dong14),"",IF(OFFSET(TH!L$1,SMALL(Dong14,ROWS($1:15)),)="331",OFFSET(TH!M$1,SMALL(Dong14,ROWS($1:15)),),OFFSET(TH!L$1,SMALL(Dong14,ROWS($1:15)),)))</f>
        <v>1111</v>
      </c>
      <c r="F28" s="45"/>
      <c r="G28" s="57">
        <f ca="1">IF(ROWS($1:15)&gt;COUNT(Dong14),"",IF(OFFSET(TH!L$1,SMALL(Dong14,ROWS($1:15)),)="131",OFFSET(TH!K$1,SMALL(Dong14,ROWS($1:15)),),0))</f>
        <v>0</v>
      </c>
      <c r="H28" s="57">
        <f ca="1">IF(ROWS($1:15)&gt;COUNT(Dong14),"",IF(OFFSET(TH!M$1,SMALL(Dong14,ROWS($1:15)),)="131",OFFSET(TH!K$1,SMALL(Dong14,ROWS($1:15)),),0))</f>
        <v>5852000</v>
      </c>
      <c r="I28" s="25">
        <f t="shared" ca="1" si="0"/>
        <v>0</v>
      </c>
      <c r="J28" s="25">
        <f t="shared" ca="1" si="1"/>
        <v>0</v>
      </c>
    </row>
    <row r="29" spans="1:10" s="18" customFormat="1" ht="18" customHeight="1">
      <c r="A29" s="9">
        <f ca="1">IF(ROWS($1:16)&gt;COUNT(Dong14),"",OFFSET(TH!C$1,SMALL(Dong14,ROWS($1:16)),))</f>
        <v>42362</v>
      </c>
      <c r="B29" s="9" t="str">
        <f ca="1">IF(ROWS($1:16)&gt;COUNT(Dong14),"",OFFSET(TH!D$1,SMALL(Dong14,ROWS($1:16)),))</f>
        <v>X41</v>
      </c>
      <c r="C29" s="9">
        <f ca="1">IF(ROWS($1:16)&gt;COUNT(Dong14),"",OFFSET(TH!E$1,SMALL(Dong14,ROWS($1:16)),))</f>
        <v>42362</v>
      </c>
      <c r="D29" s="212" t="str">
        <f ca="1">IF(ROWS($1:16)&gt;COUNT(Dong14),"",OFFSET(TH!F$1,SMALL(Dong14,ROWS($1:16)),))</f>
        <v>Thùng carton 5 lớp (60x34x23)</v>
      </c>
      <c r="E29" s="45" t="str">
        <f ca="1">IF(ROWS($1:16)&gt;COUNT(Dong14),"",IF(OFFSET(TH!L$1,SMALL(Dong14,ROWS($1:16)),)="331",OFFSET(TH!M$1,SMALL(Dong14,ROWS($1:16)),),OFFSET(TH!L$1,SMALL(Dong14,ROWS($1:16)),)))</f>
        <v>131</v>
      </c>
      <c r="F29" s="45"/>
      <c r="G29" s="57">
        <f ca="1">IF(ROWS($1:16)&gt;COUNT(Dong14),"",IF(OFFSET(TH!L$1,SMALL(Dong14,ROWS($1:16)),)="131",OFFSET(TH!K$1,SMALL(Dong14,ROWS($1:16)),),0))</f>
        <v>6650000</v>
      </c>
      <c r="H29" s="57">
        <f ca="1">IF(ROWS($1:16)&gt;COUNT(Dong14),"",IF(OFFSET(TH!M$1,SMALL(Dong14,ROWS($1:16)),)="131",OFFSET(TH!K$1,SMALL(Dong14,ROWS($1:16)),),0))</f>
        <v>0</v>
      </c>
      <c r="I29" s="25">
        <f t="shared" ca="1" si="0"/>
        <v>6650000</v>
      </c>
      <c r="J29" s="25">
        <f t="shared" ca="1" si="1"/>
        <v>0</v>
      </c>
    </row>
    <row r="30" spans="1:10" s="18" customFormat="1" ht="18" customHeight="1">
      <c r="A30" s="9">
        <f ca="1">IF(ROWS($1:17)&gt;COUNT(Dong14),"",OFFSET(TH!C$1,SMALL(Dong14,ROWS($1:17)),))</f>
        <v>42362</v>
      </c>
      <c r="B30" s="9" t="str">
        <f ca="1">IF(ROWS($1:17)&gt;COUNT(Dong14),"",OFFSET(TH!D$1,SMALL(Dong14,ROWS($1:17)),))</f>
        <v>X41</v>
      </c>
      <c r="C30" s="9">
        <f ca="1">IF(ROWS($1:17)&gt;COUNT(Dong14),"",OFFSET(TH!E$1,SMALL(Dong14,ROWS($1:17)),))</f>
        <v>42362</v>
      </c>
      <c r="D30" s="212" t="str">
        <f ca="1">IF(ROWS($1:17)&gt;COUNT(Dong14),"",OFFSET(TH!F$1,SMALL(Dong14,ROWS($1:17)),))</f>
        <v>VAT Thùng</v>
      </c>
      <c r="E30" s="45" t="str">
        <f ca="1">IF(ROWS($1:17)&gt;COUNT(Dong14),"",IF(OFFSET(TH!L$1,SMALL(Dong14,ROWS($1:17)),)="331",OFFSET(TH!M$1,SMALL(Dong14,ROWS($1:17)),),OFFSET(TH!L$1,SMALL(Dong14,ROWS($1:17)),)))</f>
        <v>131</v>
      </c>
      <c r="F30" s="45"/>
      <c r="G30" s="57">
        <f ca="1">IF(ROWS($1:17)&gt;COUNT(Dong14),"",IF(OFFSET(TH!L$1,SMALL(Dong14,ROWS($1:17)),)="131",OFFSET(TH!K$1,SMALL(Dong14,ROWS($1:17)),),0))</f>
        <v>665000</v>
      </c>
      <c r="H30" s="57">
        <f ca="1">IF(ROWS($1:17)&gt;COUNT(Dong14),"",IF(OFFSET(TH!M$1,SMALL(Dong14,ROWS($1:17)),)="131",OFFSET(TH!K$1,SMALL(Dong14,ROWS($1:17)),),0))</f>
        <v>0</v>
      </c>
      <c r="I30" s="25">
        <f t="shared" ca="1" si="0"/>
        <v>7315000</v>
      </c>
      <c r="J30" s="25">
        <f t="shared" ca="1" si="1"/>
        <v>0</v>
      </c>
    </row>
    <row r="31" spans="1:10" s="18" customFormat="1" ht="18" customHeight="1">
      <c r="A31" s="9" t="str">
        <f ca="1">IF(ROWS($1:18)&gt;COUNT(Dong14),"",OFFSET(TH!C$1,SMALL(Dong14,ROWS($1:18)),))</f>
        <v/>
      </c>
      <c r="B31" s="9" t="str">
        <f ca="1">IF(ROWS($1:18)&gt;COUNT(Dong14),"",OFFSET(TH!D$1,SMALL(Dong14,ROWS($1:18)),))</f>
        <v/>
      </c>
      <c r="C31" s="9" t="str">
        <f ca="1">IF(ROWS($1:18)&gt;COUNT(Dong14),"",OFFSET(TH!E$1,SMALL(Dong14,ROWS($1:18)),))</f>
        <v/>
      </c>
      <c r="D31" s="212" t="str">
        <f ca="1">IF(ROWS($1:18)&gt;COUNT(Dong14),"",OFFSET(TH!F$1,SMALL(Dong14,ROWS($1:18)),))</f>
        <v/>
      </c>
      <c r="E31" s="45" t="str">
        <f ca="1">IF(ROWS($1:18)&gt;COUNT(Dong14),"",IF(OFFSET(TH!L$1,SMALL(Dong14,ROWS($1:18)),)="331",OFFSET(TH!M$1,SMALL(Dong14,ROWS($1:18)),),OFFSET(TH!L$1,SMALL(Dong14,ROWS($1:18)),)))</f>
        <v/>
      </c>
      <c r="F31" s="45"/>
      <c r="G31" s="57" t="str">
        <f ca="1">IF(ROWS($1:18)&gt;COUNT(Dong14),"",IF(OFFSET(TH!L$1,SMALL(Dong14,ROWS($1:18)),)="131",OFFSET(TH!K$1,SMALL(Dong14,ROWS($1:18)),),0))</f>
        <v/>
      </c>
      <c r="H31" s="57" t="str">
        <f ca="1">IF(ROWS($1:18)&gt;COUNT(Dong14),"",IF(OFFSET(TH!M$1,SMALL(Dong14,ROWS($1:18)),)="131",OFFSET(TH!K$1,SMALL(Dong14,ROWS($1:18)),),0))</f>
        <v/>
      </c>
      <c r="I31" s="25">
        <f t="shared" ref="I31:I39" ca="1" si="2">IF(D31&lt;&gt;"",MAX(I30+G31-H31-J30,0),0)</f>
        <v>0</v>
      </c>
      <c r="J31" s="25">
        <f t="shared" ref="J31:J39" ca="1" si="3">IF(D31&lt;&gt;"",MAX(J30+H31-I30-G31,0),0)</f>
        <v>0</v>
      </c>
    </row>
    <row r="32" spans="1:10" s="18" customFormat="1" ht="18" customHeight="1">
      <c r="A32" s="9" t="str">
        <f ca="1">IF(ROWS($1:19)&gt;COUNT(Dong14),"",OFFSET(TH!C$1,SMALL(Dong14,ROWS($1:19)),))</f>
        <v/>
      </c>
      <c r="B32" s="9" t="str">
        <f ca="1">IF(ROWS($1:19)&gt;COUNT(Dong14),"",OFFSET(TH!D$1,SMALL(Dong14,ROWS($1:19)),))</f>
        <v/>
      </c>
      <c r="C32" s="9" t="str">
        <f ca="1">IF(ROWS($1:19)&gt;COUNT(Dong14),"",OFFSET(TH!E$1,SMALL(Dong14,ROWS($1:19)),))</f>
        <v/>
      </c>
      <c r="D32" s="212" t="str">
        <f ca="1">IF(ROWS($1:19)&gt;COUNT(Dong14),"",OFFSET(TH!F$1,SMALL(Dong14,ROWS($1:19)),))</f>
        <v/>
      </c>
      <c r="E32" s="45" t="str">
        <f ca="1">IF(ROWS($1:19)&gt;COUNT(Dong14),"",IF(OFFSET(TH!L$1,SMALL(Dong14,ROWS($1:19)),)="331",OFFSET(TH!M$1,SMALL(Dong14,ROWS($1:19)),),OFFSET(TH!L$1,SMALL(Dong14,ROWS($1:19)),)))</f>
        <v/>
      </c>
      <c r="F32" s="45"/>
      <c r="G32" s="57" t="str">
        <f ca="1">IF(ROWS($1:19)&gt;COUNT(Dong14),"",IF(OFFSET(TH!L$1,SMALL(Dong14,ROWS($1:19)),)="131",OFFSET(TH!K$1,SMALL(Dong14,ROWS($1:19)),),0))</f>
        <v/>
      </c>
      <c r="H32" s="57" t="str">
        <f ca="1">IF(ROWS($1:19)&gt;COUNT(Dong14),"",IF(OFFSET(TH!M$1,SMALL(Dong14,ROWS($1:19)),)="131",OFFSET(TH!K$1,SMALL(Dong14,ROWS($1:19)),),0))</f>
        <v/>
      </c>
      <c r="I32" s="25">
        <f t="shared" ca="1" si="2"/>
        <v>0</v>
      </c>
      <c r="J32" s="25">
        <f t="shared" ca="1" si="3"/>
        <v>0</v>
      </c>
    </row>
    <row r="33" spans="1:10" s="18" customFormat="1" ht="18" customHeight="1">
      <c r="A33" s="9" t="str">
        <f ca="1">IF(ROWS($1:20)&gt;COUNT(Dong14),"",OFFSET(TH!C$1,SMALL(Dong14,ROWS($1:20)),))</f>
        <v/>
      </c>
      <c r="B33" s="9" t="str">
        <f ca="1">IF(ROWS($1:20)&gt;COUNT(Dong14),"",OFFSET(TH!D$1,SMALL(Dong14,ROWS($1:20)),))</f>
        <v/>
      </c>
      <c r="C33" s="9" t="str">
        <f ca="1">IF(ROWS($1:20)&gt;COUNT(Dong14),"",OFFSET(TH!E$1,SMALL(Dong14,ROWS($1:20)),))</f>
        <v/>
      </c>
      <c r="D33" s="212" t="str">
        <f ca="1">IF(ROWS($1:20)&gt;COUNT(Dong14),"",OFFSET(TH!F$1,SMALL(Dong14,ROWS($1:20)),))</f>
        <v/>
      </c>
      <c r="E33" s="45" t="str">
        <f ca="1">IF(ROWS($1:20)&gt;COUNT(Dong14),"",IF(OFFSET(TH!L$1,SMALL(Dong14,ROWS($1:20)),)="331",OFFSET(TH!M$1,SMALL(Dong14,ROWS($1:20)),),OFFSET(TH!L$1,SMALL(Dong14,ROWS($1:20)),)))</f>
        <v/>
      </c>
      <c r="F33" s="45"/>
      <c r="G33" s="57" t="str">
        <f ca="1">IF(ROWS($1:20)&gt;COUNT(Dong14),"",IF(OFFSET(TH!L$1,SMALL(Dong14,ROWS($1:20)),)="131",OFFSET(TH!K$1,SMALL(Dong14,ROWS($1:20)),),0))</f>
        <v/>
      </c>
      <c r="H33" s="57" t="str">
        <f ca="1">IF(ROWS($1:20)&gt;COUNT(Dong14),"",IF(OFFSET(TH!M$1,SMALL(Dong14,ROWS($1:20)),)="131",OFFSET(TH!K$1,SMALL(Dong14,ROWS($1:20)),),0))</f>
        <v/>
      </c>
      <c r="I33" s="25">
        <f t="shared" ca="1" si="2"/>
        <v>0</v>
      </c>
      <c r="J33" s="25">
        <f t="shared" ca="1" si="3"/>
        <v>0</v>
      </c>
    </row>
    <row r="34" spans="1:10" s="18" customFormat="1" ht="18" customHeight="1">
      <c r="A34" s="9" t="str">
        <f ca="1">IF(ROWS($1:21)&gt;COUNT(Dong14),"",OFFSET(TH!C$1,SMALL(Dong14,ROWS($1:21)),))</f>
        <v/>
      </c>
      <c r="B34" s="9" t="str">
        <f ca="1">IF(ROWS($1:21)&gt;COUNT(Dong14),"",OFFSET(TH!D$1,SMALL(Dong14,ROWS($1:21)),))</f>
        <v/>
      </c>
      <c r="C34" s="9" t="str">
        <f ca="1">IF(ROWS($1:21)&gt;COUNT(Dong14),"",OFFSET(TH!E$1,SMALL(Dong14,ROWS($1:21)),))</f>
        <v/>
      </c>
      <c r="D34" s="212" t="str">
        <f ca="1">IF(ROWS($1:21)&gt;COUNT(Dong14),"",OFFSET(TH!F$1,SMALL(Dong14,ROWS($1:21)),))</f>
        <v/>
      </c>
      <c r="E34" s="45" t="str">
        <f ca="1">IF(ROWS($1:21)&gt;COUNT(Dong14),"",IF(OFFSET(TH!L$1,SMALL(Dong14,ROWS($1:21)),)="331",OFFSET(TH!M$1,SMALL(Dong14,ROWS($1:21)),),OFFSET(TH!L$1,SMALL(Dong14,ROWS($1:21)),)))</f>
        <v/>
      </c>
      <c r="F34" s="45"/>
      <c r="G34" s="57" t="str">
        <f ca="1">IF(ROWS($1:21)&gt;COUNT(Dong14),"",IF(OFFSET(TH!L$1,SMALL(Dong14,ROWS($1:21)),)="131",OFFSET(TH!K$1,SMALL(Dong14,ROWS($1:21)),),0))</f>
        <v/>
      </c>
      <c r="H34" s="57" t="str">
        <f ca="1">IF(ROWS($1:21)&gt;COUNT(Dong14),"",IF(OFFSET(TH!M$1,SMALL(Dong14,ROWS($1:21)),)="131",OFFSET(TH!K$1,SMALL(Dong14,ROWS($1:21)),),0))</f>
        <v/>
      </c>
      <c r="I34" s="25">
        <f t="shared" ca="1" si="2"/>
        <v>0</v>
      </c>
      <c r="J34" s="25">
        <f t="shared" ca="1" si="3"/>
        <v>0</v>
      </c>
    </row>
    <row r="35" spans="1:10" s="18" customFormat="1" ht="18" customHeight="1">
      <c r="A35" s="9" t="str">
        <f ca="1">IF(ROWS($1:22)&gt;COUNT(Dong14),"",OFFSET(TH!C$1,SMALL(Dong14,ROWS($1:22)),))</f>
        <v/>
      </c>
      <c r="B35" s="9" t="str">
        <f ca="1">IF(ROWS($1:22)&gt;COUNT(Dong14),"",OFFSET(TH!D$1,SMALL(Dong14,ROWS($1:22)),))</f>
        <v/>
      </c>
      <c r="C35" s="9" t="str">
        <f ca="1">IF(ROWS($1:22)&gt;COUNT(Dong14),"",OFFSET(TH!E$1,SMALL(Dong14,ROWS($1:22)),))</f>
        <v/>
      </c>
      <c r="D35" s="212" t="str">
        <f ca="1">IF(ROWS($1:22)&gt;COUNT(Dong14),"",OFFSET(TH!F$1,SMALL(Dong14,ROWS($1:22)),))</f>
        <v/>
      </c>
      <c r="E35" s="45" t="str">
        <f ca="1">IF(ROWS($1:22)&gt;COUNT(Dong14),"",IF(OFFSET(TH!L$1,SMALL(Dong14,ROWS($1:22)),)="331",OFFSET(TH!M$1,SMALL(Dong14,ROWS($1:22)),),OFFSET(TH!L$1,SMALL(Dong14,ROWS($1:22)),)))</f>
        <v/>
      </c>
      <c r="F35" s="45"/>
      <c r="G35" s="57" t="str">
        <f ca="1">IF(ROWS($1:22)&gt;COUNT(Dong14),"",IF(OFFSET(TH!L$1,SMALL(Dong14,ROWS($1:22)),)="131",OFFSET(TH!K$1,SMALL(Dong14,ROWS($1:22)),),0))</f>
        <v/>
      </c>
      <c r="H35" s="57" t="str">
        <f ca="1">IF(ROWS($1:22)&gt;COUNT(Dong14),"",IF(OFFSET(TH!M$1,SMALL(Dong14,ROWS($1:22)),)="131",OFFSET(TH!K$1,SMALL(Dong14,ROWS($1:22)),),0))</f>
        <v/>
      </c>
      <c r="I35" s="25">
        <f t="shared" ca="1" si="2"/>
        <v>0</v>
      </c>
      <c r="J35" s="25">
        <f t="shared" ca="1" si="3"/>
        <v>0</v>
      </c>
    </row>
    <row r="36" spans="1:10" s="18" customFormat="1" ht="18" customHeight="1">
      <c r="A36" s="9" t="str">
        <f ca="1">IF(ROWS($1:23)&gt;COUNT(Dong14),"",OFFSET(TH!C$1,SMALL(Dong14,ROWS($1:23)),))</f>
        <v/>
      </c>
      <c r="B36" s="9" t="str">
        <f ca="1">IF(ROWS($1:23)&gt;COUNT(Dong14),"",OFFSET(TH!D$1,SMALL(Dong14,ROWS($1:23)),))</f>
        <v/>
      </c>
      <c r="C36" s="9" t="str">
        <f ca="1">IF(ROWS($1:23)&gt;COUNT(Dong14),"",OFFSET(TH!E$1,SMALL(Dong14,ROWS($1:23)),))</f>
        <v/>
      </c>
      <c r="D36" s="212" t="str">
        <f ca="1">IF(ROWS($1:23)&gt;COUNT(Dong14),"",OFFSET(TH!F$1,SMALL(Dong14,ROWS($1:23)),))</f>
        <v/>
      </c>
      <c r="E36" s="45" t="str">
        <f ca="1">IF(ROWS($1:23)&gt;COUNT(Dong14),"",IF(OFFSET(TH!L$1,SMALL(Dong14,ROWS($1:23)),)="331",OFFSET(TH!M$1,SMALL(Dong14,ROWS($1:23)),),OFFSET(TH!L$1,SMALL(Dong14,ROWS($1:23)),)))</f>
        <v/>
      </c>
      <c r="F36" s="45"/>
      <c r="G36" s="57" t="str">
        <f ca="1">IF(ROWS($1:23)&gt;COUNT(Dong14),"",IF(OFFSET(TH!L$1,SMALL(Dong14,ROWS($1:23)),)="131",OFFSET(TH!K$1,SMALL(Dong14,ROWS($1:23)),),0))</f>
        <v/>
      </c>
      <c r="H36" s="57" t="str">
        <f ca="1">IF(ROWS($1:23)&gt;COUNT(Dong14),"",IF(OFFSET(TH!M$1,SMALL(Dong14,ROWS($1:23)),)="131",OFFSET(TH!K$1,SMALL(Dong14,ROWS($1:23)),),0))</f>
        <v/>
      </c>
      <c r="I36" s="25">
        <f t="shared" ca="1" si="2"/>
        <v>0</v>
      </c>
      <c r="J36" s="25">
        <f t="shared" ca="1" si="3"/>
        <v>0</v>
      </c>
    </row>
    <row r="37" spans="1:10" s="18" customFormat="1" ht="18" customHeight="1">
      <c r="A37" s="9" t="str">
        <f ca="1">IF(ROWS($1:24)&gt;COUNT(Dong14),"",OFFSET(TH!C$1,SMALL(Dong14,ROWS($1:24)),))</f>
        <v/>
      </c>
      <c r="B37" s="9" t="str">
        <f ca="1">IF(ROWS($1:24)&gt;COUNT(Dong14),"",OFFSET(TH!D$1,SMALL(Dong14,ROWS($1:24)),))</f>
        <v/>
      </c>
      <c r="C37" s="9" t="str">
        <f ca="1">IF(ROWS($1:24)&gt;COUNT(Dong14),"",OFFSET(TH!E$1,SMALL(Dong14,ROWS($1:24)),))</f>
        <v/>
      </c>
      <c r="D37" s="212" t="str">
        <f ca="1">IF(ROWS($1:24)&gt;COUNT(Dong14),"",OFFSET(TH!F$1,SMALL(Dong14,ROWS($1:24)),))</f>
        <v/>
      </c>
      <c r="E37" s="45" t="str">
        <f ca="1">IF(ROWS($1:24)&gt;COUNT(Dong14),"",IF(OFFSET(TH!L$1,SMALL(Dong14,ROWS($1:24)),)="331",OFFSET(TH!M$1,SMALL(Dong14,ROWS($1:24)),),OFFSET(TH!L$1,SMALL(Dong14,ROWS($1:24)),)))</f>
        <v/>
      </c>
      <c r="F37" s="45"/>
      <c r="G37" s="57" t="str">
        <f ca="1">IF(ROWS($1:24)&gt;COUNT(Dong14),"",IF(OFFSET(TH!L$1,SMALL(Dong14,ROWS($1:24)),)="131",OFFSET(TH!K$1,SMALL(Dong14,ROWS($1:24)),),0))</f>
        <v/>
      </c>
      <c r="H37" s="57" t="str">
        <f ca="1">IF(ROWS($1:24)&gt;COUNT(Dong14),"",IF(OFFSET(TH!M$1,SMALL(Dong14,ROWS($1:24)),)="131",OFFSET(TH!K$1,SMALL(Dong14,ROWS($1:24)),),0))</f>
        <v/>
      </c>
      <c r="I37" s="25">
        <f t="shared" ca="1" si="2"/>
        <v>0</v>
      </c>
      <c r="J37" s="25">
        <f t="shared" ca="1" si="3"/>
        <v>0</v>
      </c>
    </row>
    <row r="38" spans="1:10" s="18" customFormat="1" ht="18" customHeight="1">
      <c r="A38" s="9" t="str">
        <f ca="1">IF(ROWS($1:25)&gt;COUNT(Dong14),"",OFFSET(TH!C$1,SMALL(Dong14,ROWS($1:25)),))</f>
        <v/>
      </c>
      <c r="B38" s="9" t="str">
        <f ca="1">IF(ROWS($1:25)&gt;COUNT(Dong14),"",OFFSET(TH!D$1,SMALL(Dong14,ROWS($1:25)),))</f>
        <v/>
      </c>
      <c r="C38" s="9" t="str">
        <f ca="1">IF(ROWS($1:25)&gt;COUNT(Dong14),"",OFFSET(TH!E$1,SMALL(Dong14,ROWS($1:25)),))</f>
        <v/>
      </c>
      <c r="D38" s="212" t="str">
        <f ca="1">IF(ROWS($1:25)&gt;COUNT(Dong14),"",OFFSET(TH!F$1,SMALL(Dong14,ROWS($1:25)),))</f>
        <v/>
      </c>
      <c r="E38" s="45" t="str">
        <f ca="1">IF(ROWS($1:25)&gt;COUNT(Dong14),"",IF(OFFSET(TH!L$1,SMALL(Dong14,ROWS($1:25)),)="331",OFFSET(TH!M$1,SMALL(Dong14,ROWS($1:25)),),OFFSET(TH!L$1,SMALL(Dong14,ROWS($1:25)),)))</f>
        <v/>
      </c>
      <c r="F38" s="45"/>
      <c r="G38" s="57" t="str">
        <f ca="1">IF(ROWS($1:25)&gt;COUNT(Dong14),"",IF(OFFSET(TH!L$1,SMALL(Dong14,ROWS($1:25)),)="131",OFFSET(TH!K$1,SMALL(Dong14,ROWS($1:25)),),0))</f>
        <v/>
      </c>
      <c r="H38" s="57" t="str">
        <f ca="1">IF(ROWS($1:25)&gt;COUNT(Dong14),"",IF(OFFSET(TH!M$1,SMALL(Dong14,ROWS($1:25)),)="131",OFFSET(TH!K$1,SMALL(Dong14,ROWS($1:25)),),0))</f>
        <v/>
      </c>
      <c r="I38" s="25">
        <f t="shared" ca="1" si="2"/>
        <v>0</v>
      </c>
      <c r="J38" s="25">
        <f t="shared" ca="1" si="3"/>
        <v>0</v>
      </c>
    </row>
    <row r="39" spans="1:10" s="18" customFormat="1" ht="18" customHeight="1">
      <c r="A39" s="9" t="str">
        <f ca="1">IF(ROWS($1:26)&gt;COUNT(Dong14),"",OFFSET(TH!C$1,SMALL(Dong14,ROWS($1:26)),))</f>
        <v/>
      </c>
      <c r="B39" s="9" t="str">
        <f ca="1">IF(ROWS($1:26)&gt;COUNT(Dong14),"",OFFSET(TH!D$1,SMALL(Dong14,ROWS($1:26)),))</f>
        <v/>
      </c>
      <c r="C39" s="9" t="str">
        <f ca="1">IF(ROWS($1:26)&gt;COUNT(Dong14),"",OFFSET(TH!E$1,SMALL(Dong14,ROWS($1:26)),))</f>
        <v/>
      </c>
      <c r="D39" s="212" t="str">
        <f ca="1">IF(ROWS($1:26)&gt;COUNT(Dong14),"",OFFSET(TH!F$1,SMALL(Dong14,ROWS($1:26)),))</f>
        <v/>
      </c>
      <c r="E39" s="45" t="str">
        <f ca="1">IF(ROWS($1:26)&gt;COUNT(Dong14),"",IF(OFFSET(TH!L$1,SMALL(Dong14,ROWS($1:26)),)="331",OFFSET(TH!M$1,SMALL(Dong14,ROWS($1:26)),),OFFSET(TH!L$1,SMALL(Dong14,ROWS($1:26)),)))</f>
        <v/>
      </c>
      <c r="F39" s="45"/>
      <c r="G39" s="57" t="str">
        <f ca="1">IF(ROWS($1:26)&gt;COUNT(Dong14),"",IF(OFFSET(TH!L$1,SMALL(Dong14,ROWS($1:26)),)="131",OFFSET(TH!K$1,SMALL(Dong14,ROWS($1:26)),),0))</f>
        <v/>
      </c>
      <c r="H39" s="57" t="str">
        <f ca="1">IF(ROWS($1:26)&gt;COUNT(Dong14),"",IF(OFFSET(TH!M$1,SMALL(Dong14,ROWS($1:26)),)="131",OFFSET(TH!K$1,SMALL(Dong14,ROWS($1:26)),),0))</f>
        <v/>
      </c>
      <c r="I39" s="25">
        <f t="shared" ca="1" si="2"/>
        <v>0</v>
      </c>
      <c r="J39" s="25">
        <f t="shared" ca="1" si="3"/>
        <v>0</v>
      </c>
    </row>
    <row r="40" spans="1:10" s="18" customFormat="1" ht="18" customHeight="1">
      <c r="A40" s="9" t="str">
        <f ca="1">IF(ROWS($1:27)&gt;COUNT(Dong14),"",OFFSET(TH!C$1,SMALL(Dong14,ROWS($1:27)),))</f>
        <v/>
      </c>
      <c r="B40" s="9" t="str">
        <f ca="1">IF(ROWS($1:27)&gt;COUNT(Dong14),"",OFFSET(TH!D$1,SMALL(Dong14,ROWS($1:27)),))</f>
        <v/>
      </c>
      <c r="C40" s="9" t="str">
        <f ca="1">IF(ROWS($1:27)&gt;COUNT(Dong14),"",OFFSET(TH!E$1,SMALL(Dong14,ROWS($1:27)),))</f>
        <v/>
      </c>
      <c r="D40" s="212" t="str">
        <f ca="1">IF(ROWS($1:27)&gt;COUNT(Dong14),"",OFFSET(TH!F$1,SMALL(Dong14,ROWS($1:27)),))</f>
        <v/>
      </c>
      <c r="E40" s="45" t="str">
        <f ca="1">IF(ROWS($1:27)&gt;COUNT(Dong14),"",IF(OFFSET(TH!L$1,SMALL(Dong14,ROWS($1:27)),)="331",OFFSET(TH!M$1,SMALL(Dong14,ROWS($1:27)),),OFFSET(TH!L$1,SMALL(Dong14,ROWS($1:27)),)))</f>
        <v/>
      </c>
      <c r="F40" s="45"/>
      <c r="G40" s="57" t="str">
        <f ca="1">IF(ROWS($1:27)&gt;COUNT(Dong14),"",IF(OFFSET(TH!L$1,SMALL(Dong14,ROWS($1:27)),)="131",OFFSET(TH!K$1,SMALL(Dong14,ROWS($1:27)),),0))</f>
        <v/>
      </c>
      <c r="H40" s="57" t="str">
        <f ca="1">IF(ROWS($1:27)&gt;COUNT(Dong14),"",IF(OFFSET(TH!M$1,SMALL(Dong14,ROWS($1:27)),)="131",OFFSET(TH!K$1,SMALL(Dong14,ROWS($1:27)),),0))</f>
        <v/>
      </c>
      <c r="I40" s="25">
        <f t="shared" ref="I40:I54" ca="1" si="4">IF(D40&lt;&gt;"",MAX(I39+G40-H40-J39,0),0)</f>
        <v>0</v>
      </c>
      <c r="J40" s="25">
        <f t="shared" ref="J40:J54" ca="1" si="5">IF(D40&lt;&gt;"",MAX(J39+H40-I39-G40,0),0)</f>
        <v>0</v>
      </c>
    </row>
    <row r="41" spans="1:10" s="18" customFormat="1" ht="18" customHeight="1">
      <c r="A41" s="9" t="str">
        <f ca="1">IF(ROWS($1:28)&gt;COUNT(Dong14),"",OFFSET(TH!C$1,SMALL(Dong14,ROWS($1:28)),))</f>
        <v/>
      </c>
      <c r="B41" s="9" t="str">
        <f ca="1">IF(ROWS($1:28)&gt;COUNT(Dong14),"",OFFSET(TH!D$1,SMALL(Dong14,ROWS($1:28)),))</f>
        <v/>
      </c>
      <c r="C41" s="9" t="str">
        <f ca="1">IF(ROWS($1:28)&gt;COUNT(Dong14),"",OFFSET(TH!E$1,SMALL(Dong14,ROWS($1:28)),))</f>
        <v/>
      </c>
      <c r="D41" s="212" t="str">
        <f ca="1">IF(ROWS($1:28)&gt;COUNT(Dong14),"",OFFSET(TH!F$1,SMALL(Dong14,ROWS($1:28)),))</f>
        <v/>
      </c>
      <c r="E41" s="45" t="str">
        <f ca="1">IF(ROWS($1:28)&gt;COUNT(Dong14),"",IF(OFFSET(TH!L$1,SMALL(Dong14,ROWS($1:28)),)="331",OFFSET(TH!M$1,SMALL(Dong14,ROWS($1:28)),),OFFSET(TH!L$1,SMALL(Dong14,ROWS($1:28)),)))</f>
        <v/>
      </c>
      <c r="F41" s="45"/>
      <c r="G41" s="57" t="str">
        <f ca="1">IF(ROWS($1:28)&gt;COUNT(Dong14),"",IF(OFFSET(TH!L$1,SMALL(Dong14,ROWS($1:28)),)="131",OFFSET(TH!K$1,SMALL(Dong14,ROWS($1:28)),),0))</f>
        <v/>
      </c>
      <c r="H41" s="57" t="str">
        <f ca="1">IF(ROWS($1:28)&gt;COUNT(Dong14),"",IF(OFFSET(TH!M$1,SMALL(Dong14,ROWS($1:28)),)="131",OFFSET(TH!K$1,SMALL(Dong14,ROWS($1:28)),),0))</f>
        <v/>
      </c>
      <c r="I41" s="25">
        <f t="shared" ca="1" si="4"/>
        <v>0</v>
      </c>
      <c r="J41" s="25">
        <f t="shared" ca="1" si="5"/>
        <v>0</v>
      </c>
    </row>
    <row r="42" spans="1:10" s="18" customFormat="1" ht="18" customHeight="1">
      <c r="A42" s="9" t="str">
        <f ca="1">IF(ROWS($1:29)&gt;COUNT(Dong14),"",OFFSET(TH!C$1,SMALL(Dong14,ROWS($1:29)),))</f>
        <v/>
      </c>
      <c r="B42" s="9" t="str">
        <f ca="1">IF(ROWS($1:29)&gt;COUNT(Dong14),"",OFFSET(TH!D$1,SMALL(Dong14,ROWS($1:29)),))</f>
        <v/>
      </c>
      <c r="C42" s="9" t="str">
        <f ca="1">IF(ROWS($1:29)&gt;COUNT(Dong14),"",OFFSET(TH!E$1,SMALL(Dong14,ROWS($1:29)),))</f>
        <v/>
      </c>
      <c r="D42" s="212" t="str">
        <f ca="1">IF(ROWS($1:29)&gt;COUNT(Dong14),"",OFFSET(TH!F$1,SMALL(Dong14,ROWS($1:29)),))</f>
        <v/>
      </c>
      <c r="E42" s="45" t="str">
        <f ca="1">IF(ROWS($1:29)&gt;COUNT(Dong14),"",IF(OFFSET(TH!L$1,SMALL(Dong14,ROWS($1:29)),)="331",OFFSET(TH!M$1,SMALL(Dong14,ROWS($1:29)),),OFFSET(TH!L$1,SMALL(Dong14,ROWS($1:29)),)))</f>
        <v/>
      </c>
      <c r="F42" s="45"/>
      <c r="G42" s="57" t="str">
        <f ca="1">IF(ROWS($1:29)&gt;COUNT(Dong14),"",IF(OFFSET(TH!L$1,SMALL(Dong14,ROWS($1:29)),)="131",OFFSET(TH!K$1,SMALL(Dong14,ROWS($1:29)),),0))</f>
        <v/>
      </c>
      <c r="H42" s="57" t="str">
        <f ca="1">IF(ROWS($1:29)&gt;COUNT(Dong14),"",IF(OFFSET(TH!M$1,SMALL(Dong14,ROWS($1:29)),)="131",OFFSET(TH!K$1,SMALL(Dong14,ROWS($1:29)),),0))</f>
        <v/>
      </c>
      <c r="I42" s="25">
        <f t="shared" ca="1" si="4"/>
        <v>0</v>
      </c>
      <c r="J42" s="25">
        <f t="shared" ca="1" si="5"/>
        <v>0</v>
      </c>
    </row>
    <row r="43" spans="1:10" s="18" customFormat="1" ht="18" customHeight="1">
      <c r="A43" s="9" t="str">
        <f ca="1">IF(ROWS($1:30)&gt;COUNT(Dong14),"",OFFSET(TH!C$1,SMALL(Dong14,ROWS($1:30)),))</f>
        <v/>
      </c>
      <c r="B43" s="9" t="str">
        <f ca="1">IF(ROWS($1:30)&gt;COUNT(Dong14),"",OFFSET(TH!D$1,SMALL(Dong14,ROWS($1:30)),))</f>
        <v/>
      </c>
      <c r="C43" s="9" t="str">
        <f ca="1">IF(ROWS($1:30)&gt;COUNT(Dong14),"",OFFSET(TH!E$1,SMALL(Dong14,ROWS($1:30)),))</f>
        <v/>
      </c>
      <c r="D43" s="212" t="str">
        <f ca="1">IF(ROWS($1:30)&gt;COUNT(Dong14),"",OFFSET(TH!F$1,SMALL(Dong14,ROWS($1:30)),))</f>
        <v/>
      </c>
      <c r="E43" s="45" t="str">
        <f ca="1">IF(ROWS($1:30)&gt;COUNT(Dong14),"",IF(OFFSET(TH!L$1,SMALL(Dong14,ROWS($1:30)),)="331",OFFSET(TH!M$1,SMALL(Dong14,ROWS($1:30)),),OFFSET(TH!L$1,SMALL(Dong14,ROWS($1:30)),)))</f>
        <v/>
      </c>
      <c r="F43" s="45"/>
      <c r="G43" s="57" t="str">
        <f ca="1">IF(ROWS($1:30)&gt;COUNT(Dong14),"",IF(OFFSET(TH!L$1,SMALL(Dong14,ROWS($1:30)),)="131",OFFSET(TH!K$1,SMALL(Dong14,ROWS($1:30)),),0))</f>
        <v/>
      </c>
      <c r="H43" s="57" t="str">
        <f ca="1">IF(ROWS($1:30)&gt;COUNT(Dong14),"",IF(OFFSET(TH!M$1,SMALL(Dong14,ROWS($1:30)),)="131",OFFSET(TH!K$1,SMALL(Dong14,ROWS($1:30)),),0))</f>
        <v/>
      </c>
      <c r="I43" s="25">
        <f t="shared" ca="1" si="4"/>
        <v>0</v>
      </c>
      <c r="J43" s="25">
        <f t="shared" ca="1" si="5"/>
        <v>0</v>
      </c>
    </row>
    <row r="44" spans="1:10" s="18" customFormat="1" ht="18" customHeight="1">
      <c r="A44" s="9" t="str">
        <f ca="1">IF(ROWS($1:31)&gt;COUNT(Dong14),"",OFFSET(TH!C$1,SMALL(Dong14,ROWS($1:31)),))</f>
        <v/>
      </c>
      <c r="B44" s="9" t="str">
        <f ca="1">IF(ROWS($1:31)&gt;COUNT(Dong14),"",OFFSET(TH!D$1,SMALL(Dong14,ROWS($1:31)),))</f>
        <v/>
      </c>
      <c r="C44" s="9" t="str">
        <f ca="1">IF(ROWS($1:31)&gt;COUNT(Dong14),"",OFFSET(TH!E$1,SMALL(Dong14,ROWS($1:31)),))</f>
        <v/>
      </c>
      <c r="D44" s="212" t="str">
        <f ca="1">IF(ROWS($1:31)&gt;COUNT(Dong14),"",OFFSET(TH!F$1,SMALL(Dong14,ROWS($1:31)),))</f>
        <v/>
      </c>
      <c r="E44" s="45" t="str">
        <f ca="1">IF(ROWS($1:31)&gt;COUNT(Dong14),"",IF(OFFSET(TH!L$1,SMALL(Dong14,ROWS($1:31)),)="331",OFFSET(TH!M$1,SMALL(Dong14,ROWS($1:31)),),OFFSET(TH!L$1,SMALL(Dong14,ROWS($1:31)),)))</f>
        <v/>
      </c>
      <c r="F44" s="45"/>
      <c r="G44" s="57" t="str">
        <f ca="1">IF(ROWS($1:31)&gt;COUNT(Dong14),"",IF(OFFSET(TH!L$1,SMALL(Dong14,ROWS($1:31)),)="131",OFFSET(TH!K$1,SMALL(Dong14,ROWS($1:31)),),0))</f>
        <v/>
      </c>
      <c r="H44" s="57" t="str">
        <f ca="1">IF(ROWS($1:31)&gt;COUNT(Dong14),"",IF(OFFSET(TH!M$1,SMALL(Dong14,ROWS($1:31)),)="131",OFFSET(TH!K$1,SMALL(Dong14,ROWS($1:31)),),0))</f>
        <v/>
      </c>
      <c r="I44" s="25">
        <f t="shared" ca="1" si="4"/>
        <v>0</v>
      </c>
      <c r="J44" s="25">
        <f t="shared" ca="1" si="5"/>
        <v>0</v>
      </c>
    </row>
    <row r="45" spans="1:10" s="18" customFormat="1" ht="18" customHeight="1">
      <c r="A45" s="9" t="str">
        <f ca="1">IF(ROWS($1:32)&gt;COUNT(Dong14),"",OFFSET(TH!C$1,SMALL(Dong14,ROWS($1:32)),))</f>
        <v/>
      </c>
      <c r="B45" s="9" t="str">
        <f ca="1">IF(ROWS($1:32)&gt;COUNT(Dong14),"",OFFSET(TH!D$1,SMALL(Dong14,ROWS($1:32)),))</f>
        <v/>
      </c>
      <c r="C45" s="9" t="str">
        <f ca="1">IF(ROWS($1:32)&gt;COUNT(Dong14),"",OFFSET(TH!E$1,SMALL(Dong14,ROWS($1:32)),))</f>
        <v/>
      </c>
      <c r="D45" s="212" t="str">
        <f ca="1">IF(ROWS($1:32)&gt;COUNT(Dong14),"",OFFSET(TH!F$1,SMALL(Dong14,ROWS($1:32)),))</f>
        <v/>
      </c>
      <c r="E45" s="45" t="str">
        <f ca="1">IF(ROWS($1:32)&gt;COUNT(Dong14),"",IF(OFFSET(TH!L$1,SMALL(Dong14,ROWS($1:32)),)="331",OFFSET(TH!M$1,SMALL(Dong14,ROWS($1:32)),),OFFSET(TH!L$1,SMALL(Dong14,ROWS($1:32)),)))</f>
        <v/>
      </c>
      <c r="F45" s="45"/>
      <c r="G45" s="57" t="str">
        <f ca="1">IF(ROWS($1:32)&gt;COUNT(Dong14),"",IF(OFFSET(TH!L$1,SMALL(Dong14,ROWS($1:32)),)="131",OFFSET(TH!K$1,SMALL(Dong14,ROWS($1:32)),),0))</f>
        <v/>
      </c>
      <c r="H45" s="57" t="str">
        <f ca="1">IF(ROWS($1:32)&gt;COUNT(Dong14),"",IF(OFFSET(TH!M$1,SMALL(Dong14,ROWS($1:32)),)="131",OFFSET(TH!K$1,SMALL(Dong14,ROWS($1:32)),),0))</f>
        <v/>
      </c>
      <c r="I45" s="25">
        <f t="shared" ca="1" si="4"/>
        <v>0</v>
      </c>
      <c r="J45" s="25">
        <f t="shared" ca="1" si="5"/>
        <v>0</v>
      </c>
    </row>
    <row r="46" spans="1:10" s="18" customFormat="1" ht="18" customHeight="1">
      <c r="A46" s="9" t="str">
        <f ca="1">IF(ROWS($1:33)&gt;COUNT(Dong14),"",OFFSET(TH!C$1,SMALL(Dong14,ROWS($1:33)),))</f>
        <v/>
      </c>
      <c r="B46" s="9" t="str">
        <f ca="1">IF(ROWS($1:33)&gt;COUNT(Dong14),"",OFFSET(TH!D$1,SMALL(Dong14,ROWS($1:33)),))</f>
        <v/>
      </c>
      <c r="C46" s="9" t="str">
        <f ca="1">IF(ROWS($1:33)&gt;COUNT(Dong14),"",OFFSET(TH!E$1,SMALL(Dong14,ROWS($1:33)),))</f>
        <v/>
      </c>
      <c r="D46" s="212" t="str">
        <f ca="1">IF(ROWS($1:33)&gt;COUNT(Dong14),"",OFFSET(TH!F$1,SMALL(Dong14,ROWS($1:33)),))</f>
        <v/>
      </c>
      <c r="E46" s="45" t="str">
        <f ca="1">IF(ROWS($1:33)&gt;COUNT(Dong14),"",IF(OFFSET(TH!L$1,SMALL(Dong14,ROWS($1:33)),)="331",OFFSET(TH!M$1,SMALL(Dong14,ROWS($1:33)),),OFFSET(TH!L$1,SMALL(Dong14,ROWS($1:33)),)))</f>
        <v/>
      </c>
      <c r="F46" s="45"/>
      <c r="G46" s="57" t="str">
        <f ca="1">IF(ROWS($1:33)&gt;COUNT(Dong14),"",IF(OFFSET(TH!L$1,SMALL(Dong14,ROWS($1:33)),)="131",OFFSET(TH!K$1,SMALL(Dong14,ROWS($1:33)),),0))</f>
        <v/>
      </c>
      <c r="H46" s="57" t="str">
        <f ca="1">IF(ROWS($1:33)&gt;COUNT(Dong14),"",IF(OFFSET(TH!M$1,SMALL(Dong14,ROWS($1:33)),)="131",OFFSET(TH!K$1,SMALL(Dong14,ROWS($1:33)),),0))</f>
        <v/>
      </c>
      <c r="I46" s="25">
        <f t="shared" ca="1" si="4"/>
        <v>0</v>
      </c>
      <c r="J46" s="25">
        <f t="shared" ca="1" si="5"/>
        <v>0</v>
      </c>
    </row>
    <row r="47" spans="1:10" s="18" customFormat="1" ht="18" customHeight="1">
      <c r="A47" s="9" t="str">
        <f ca="1">IF(ROWS($1:34)&gt;COUNT(Dong14),"",OFFSET(TH!C$1,SMALL(Dong14,ROWS($1:34)),))</f>
        <v/>
      </c>
      <c r="B47" s="9" t="str">
        <f ca="1">IF(ROWS($1:34)&gt;COUNT(Dong14),"",OFFSET(TH!D$1,SMALL(Dong14,ROWS($1:34)),))</f>
        <v/>
      </c>
      <c r="C47" s="9" t="str">
        <f ca="1">IF(ROWS($1:34)&gt;COUNT(Dong14),"",OFFSET(TH!E$1,SMALL(Dong14,ROWS($1:34)),))</f>
        <v/>
      </c>
      <c r="D47" s="212" t="str">
        <f ca="1">IF(ROWS($1:34)&gt;COUNT(Dong14),"",OFFSET(TH!F$1,SMALL(Dong14,ROWS($1:34)),))</f>
        <v/>
      </c>
      <c r="E47" s="45" t="str">
        <f ca="1">IF(ROWS($1:34)&gt;COUNT(Dong14),"",IF(OFFSET(TH!L$1,SMALL(Dong14,ROWS($1:34)),)="331",OFFSET(TH!M$1,SMALL(Dong14,ROWS($1:34)),),OFFSET(TH!L$1,SMALL(Dong14,ROWS($1:34)),)))</f>
        <v/>
      </c>
      <c r="F47" s="45"/>
      <c r="G47" s="57" t="str">
        <f ca="1">IF(ROWS($1:34)&gt;COUNT(Dong14),"",IF(OFFSET(TH!L$1,SMALL(Dong14,ROWS($1:34)),)="131",OFFSET(TH!K$1,SMALL(Dong14,ROWS($1:34)),),0))</f>
        <v/>
      </c>
      <c r="H47" s="57" t="str">
        <f ca="1">IF(ROWS($1:34)&gt;COUNT(Dong14),"",IF(OFFSET(TH!M$1,SMALL(Dong14,ROWS($1:34)),)="131",OFFSET(TH!K$1,SMALL(Dong14,ROWS($1:34)),),0))</f>
        <v/>
      </c>
      <c r="I47" s="25">
        <f t="shared" ca="1" si="4"/>
        <v>0</v>
      </c>
      <c r="J47" s="25">
        <f t="shared" ca="1" si="5"/>
        <v>0</v>
      </c>
    </row>
    <row r="48" spans="1:10" s="18" customFormat="1" ht="18" customHeight="1">
      <c r="A48" s="9" t="str">
        <f ca="1">IF(ROWS($1:35)&gt;COUNT(Dong14),"",OFFSET(TH!C$1,SMALL(Dong14,ROWS($1:35)),))</f>
        <v/>
      </c>
      <c r="B48" s="9" t="str">
        <f ca="1">IF(ROWS($1:35)&gt;COUNT(Dong14),"",OFFSET(TH!D$1,SMALL(Dong14,ROWS($1:35)),))</f>
        <v/>
      </c>
      <c r="C48" s="9" t="str">
        <f ca="1">IF(ROWS($1:35)&gt;COUNT(Dong14),"",OFFSET(TH!E$1,SMALL(Dong14,ROWS($1:35)),))</f>
        <v/>
      </c>
      <c r="D48" s="212" t="str">
        <f ca="1">IF(ROWS($1:35)&gt;COUNT(Dong14),"",OFFSET(TH!F$1,SMALL(Dong14,ROWS($1:35)),))</f>
        <v/>
      </c>
      <c r="E48" s="45" t="str">
        <f ca="1">IF(ROWS($1:35)&gt;COUNT(Dong14),"",IF(OFFSET(TH!L$1,SMALL(Dong14,ROWS($1:35)),)="331",OFFSET(TH!M$1,SMALL(Dong14,ROWS($1:35)),),OFFSET(TH!L$1,SMALL(Dong14,ROWS($1:35)),)))</f>
        <v/>
      </c>
      <c r="F48" s="45"/>
      <c r="G48" s="57" t="str">
        <f ca="1">IF(ROWS($1:35)&gt;COUNT(Dong14),"",IF(OFFSET(TH!L$1,SMALL(Dong14,ROWS($1:35)),)="131",OFFSET(TH!K$1,SMALL(Dong14,ROWS($1:35)),),0))</f>
        <v/>
      </c>
      <c r="H48" s="57" t="str">
        <f ca="1">IF(ROWS($1:35)&gt;COUNT(Dong14),"",IF(OFFSET(TH!M$1,SMALL(Dong14,ROWS($1:35)),)="131",OFFSET(TH!K$1,SMALL(Dong14,ROWS($1:35)),),0))</f>
        <v/>
      </c>
      <c r="I48" s="25">
        <f t="shared" ca="1" si="4"/>
        <v>0</v>
      </c>
      <c r="J48" s="25">
        <f t="shared" ca="1" si="5"/>
        <v>0</v>
      </c>
    </row>
    <row r="49" spans="1:10" s="18" customFormat="1" ht="18" customHeight="1">
      <c r="A49" s="9" t="str">
        <f ca="1">IF(ROWS($1:36)&gt;COUNT(Dong14),"",OFFSET(TH!C$1,SMALL(Dong14,ROWS($1:36)),))</f>
        <v/>
      </c>
      <c r="B49" s="9" t="str">
        <f ca="1">IF(ROWS($1:36)&gt;COUNT(Dong14),"",OFFSET(TH!D$1,SMALL(Dong14,ROWS($1:36)),))</f>
        <v/>
      </c>
      <c r="C49" s="9" t="str">
        <f ca="1">IF(ROWS($1:36)&gt;COUNT(Dong14),"",OFFSET(TH!E$1,SMALL(Dong14,ROWS($1:36)),))</f>
        <v/>
      </c>
      <c r="D49" s="212" t="str">
        <f ca="1">IF(ROWS($1:36)&gt;COUNT(Dong14),"",OFFSET(TH!F$1,SMALL(Dong14,ROWS($1:36)),))</f>
        <v/>
      </c>
      <c r="E49" s="45" t="str">
        <f ca="1">IF(ROWS($1:36)&gt;COUNT(Dong14),"",IF(OFFSET(TH!L$1,SMALL(Dong14,ROWS($1:36)),)="331",OFFSET(TH!M$1,SMALL(Dong14,ROWS($1:36)),),OFFSET(TH!L$1,SMALL(Dong14,ROWS($1:36)),)))</f>
        <v/>
      </c>
      <c r="F49" s="45"/>
      <c r="G49" s="57" t="str">
        <f ca="1">IF(ROWS($1:36)&gt;COUNT(Dong14),"",IF(OFFSET(TH!L$1,SMALL(Dong14,ROWS($1:36)),)="131",OFFSET(TH!K$1,SMALL(Dong14,ROWS($1:36)),),0))</f>
        <v/>
      </c>
      <c r="H49" s="57" t="str">
        <f ca="1">IF(ROWS($1:36)&gt;COUNT(Dong14),"",IF(OFFSET(TH!M$1,SMALL(Dong14,ROWS($1:36)),)="131",OFFSET(TH!K$1,SMALL(Dong14,ROWS($1:36)),),0))</f>
        <v/>
      </c>
      <c r="I49" s="25">
        <f t="shared" ca="1" si="4"/>
        <v>0</v>
      </c>
      <c r="J49" s="25">
        <f t="shared" ca="1" si="5"/>
        <v>0</v>
      </c>
    </row>
    <row r="50" spans="1:10" s="18" customFormat="1" ht="18" customHeight="1">
      <c r="A50" s="9" t="str">
        <f ca="1">IF(ROWS($1:37)&gt;COUNT(Dong14),"",OFFSET(TH!C$1,SMALL(Dong14,ROWS($1:37)),))</f>
        <v/>
      </c>
      <c r="B50" s="9" t="str">
        <f ca="1">IF(ROWS($1:37)&gt;COUNT(Dong14),"",OFFSET(TH!D$1,SMALL(Dong14,ROWS($1:37)),))</f>
        <v/>
      </c>
      <c r="C50" s="9" t="str">
        <f ca="1">IF(ROWS($1:37)&gt;COUNT(Dong14),"",OFFSET(TH!E$1,SMALL(Dong14,ROWS($1:37)),))</f>
        <v/>
      </c>
      <c r="D50" s="212" t="str">
        <f ca="1">IF(ROWS($1:37)&gt;COUNT(Dong14),"",OFFSET(TH!F$1,SMALL(Dong14,ROWS($1:37)),))</f>
        <v/>
      </c>
      <c r="E50" s="45" t="str">
        <f ca="1">IF(ROWS($1:37)&gt;COUNT(Dong14),"",IF(OFFSET(TH!L$1,SMALL(Dong14,ROWS($1:37)),)="331",OFFSET(TH!M$1,SMALL(Dong14,ROWS($1:37)),),OFFSET(TH!L$1,SMALL(Dong14,ROWS($1:37)),)))</f>
        <v/>
      </c>
      <c r="F50" s="45"/>
      <c r="G50" s="57" t="str">
        <f ca="1">IF(ROWS($1:37)&gt;COUNT(Dong14),"",IF(OFFSET(TH!L$1,SMALL(Dong14,ROWS($1:37)),)="131",OFFSET(TH!K$1,SMALL(Dong14,ROWS($1:37)),),0))</f>
        <v/>
      </c>
      <c r="H50" s="57" t="str">
        <f ca="1">IF(ROWS($1:37)&gt;COUNT(Dong14),"",IF(OFFSET(TH!M$1,SMALL(Dong14,ROWS($1:37)),)="131",OFFSET(TH!K$1,SMALL(Dong14,ROWS($1:37)),),0))</f>
        <v/>
      </c>
      <c r="I50" s="25">
        <f t="shared" ca="1" si="4"/>
        <v>0</v>
      </c>
      <c r="J50" s="25">
        <f t="shared" ca="1" si="5"/>
        <v>0</v>
      </c>
    </row>
    <row r="51" spans="1:10" s="18" customFormat="1" ht="18" customHeight="1">
      <c r="A51" s="9" t="str">
        <f ca="1">IF(ROWS($1:38)&gt;COUNT(Dong14),"",OFFSET(TH!C$1,SMALL(Dong14,ROWS($1:38)),))</f>
        <v/>
      </c>
      <c r="B51" s="9" t="str">
        <f ca="1">IF(ROWS($1:38)&gt;COUNT(Dong14),"",OFFSET(TH!D$1,SMALL(Dong14,ROWS($1:38)),))</f>
        <v/>
      </c>
      <c r="C51" s="9" t="str">
        <f ca="1">IF(ROWS($1:38)&gt;COUNT(Dong14),"",OFFSET(TH!E$1,SMALL(Dong14,ROWS($1:38)),))</f>
        <v/>
      </c>
      <c r="D51" s="212" t="str">
        <f ca="1">IF(ROWS($1:38)&gt;COUNT(Dong14),"",OFFSET(TH!F$1,SMALL(Dong14,ROWS($1:38)),))</f>
        <v/>
      </c>
      <c r="E51" s="45" t="str">
        <f ca="1">IF(ROWS($1:38)&gt;COUNT(Dong14),"",IF(OFFSET(TH!L$1,SMALL(Dong14,ROWS($1:38)),)="331",OFFSET(TH!M$1,SMALL(Dong14,ROWS($1:38)),),OFFSET(TH!L$1,SMALL(Dong14,ROWS($1:38)),)))</f>
        <v/>
      </c>
      <c r="F51" s="45"/>
      <c r="G51" s="57" t="str">
        <f ca="1">IF(ROWS($1:38)&gt;COUNT(Dong14),"",IF(OFFSET(TH!L$1,SMALL(Dong14,ROWS($1:38)),)="131",OFFSET(TH!K$1,SMALL(Dong14,ROWS($1:38)),),0))</f>
        <v/>
      </c>
      <c r="H51" s="57" t="str">
        <f ca="1">IF(ROWS($1:38)&gt;COUNT(Dong14),"",IF(OFFSET(TH!M$1,SMALL(Dong14,ROWS($1:38)),)="131",OFFSET(TH!K$1,SMALL(Dong14,ROWS($1:38)),),0))</f>
        <v/>
      </c>
      <c r="I51" s="25">
        <f t="shared" ca="1" si="4"/>
        <v>0</v>
      </c>
      <c r="J51" s="25">
        <f t="shared" ca="1" si="5"/>
        <v>0</v>
      </c>
    </row>
    <row r="52" spans="1:10" s="18" customFormat="1" ht="18" customHeight="1">
      <c r="A52" s="9" t="str">
        <f ca="1">IF(ROWS($1:39)&gt;COUNT(Dong14),"",OFFSET(TH!C$1,SMALL(Dong14,ROWS($1:39)),))</f>
        <v/>
      </c>
      <c r="B52" s="9" t="str">
        <f ca="1">IF(ROWS($1:39)&gt;COUNT(Dong14),"",OFFSET(TH!D$1,SMALL(Dong14,ROWS($1:39)),))</f>
        <v/>
      </c>
      <c r="C52" s="9" t="str">
        <f ca="1">IF(ROWS($1:39)&gt;COUNT(Dong14),"",OFFSET(TH!E$1,SMALL(Dong14,ROWS($1:39)),))</f>
        <v/>
      </c>
      <c r="D52" s="212" t="str">
        <f ca="1">IF(ROWS($1:39)&gt;COUNT(Dong14),"",OFFSET(TH!F$1,SMALL(Dong14,ROWS($1:39)),))</f>
        <v/>
      </c>
      <c r="E52" s="45" t="str">
        <f ca="1">IF(ROWS($1:39)&gt;COUNT(Dong14),"",IF(OFFSET(TH!L$1,SMALL(Dong14,ROWS($1:39)),)="331",OFFSET(TH!M$1,SMALL(Dong14,ROWS($1:39)),),OFFSET(TH!L$1,SMALL(Dong14,ROWS($1:39)),)))</f>
        <v/>
      </c>
      <c r="F52" s="45"/>
      <c r="G52" s="57" t="str">
        <f ca="1">IF(ROWS($1:39)&gt;COUNT(Dong14),"",IF(OFFSET(TH!L$1,SMALL(Dong14,ROWS($1:39)),)="131",OFFSET(TH!K$1,SMALL(Dong14,ROWS($1:39)),),0))</f>
        <v/>
      </c>
      <c r="H52" s="57" t="str">
        <f ca="1">IF(ROWS($1:39)&gt;COUNT(Dong14),"",IF(OFFSET(TH!M$1,SMALL(Dong14,ROWS($1:39)),)="131",OFFSET(TH!K$1,SMALL(Dong14,ROWS($1:39)),),0))</f>
        <v/>
      </c>
      <c r="I52" s="25">
        <f t="shared" ca="1" si="4"/>
        <v>0</v>
      </c>
      <c r="J52" s="25">
        <f t="shared" ca="1" si="5"/>
        <v>0</v>
      </c>
    </row>
    <row r="53" spans="1:10" s="18" customFormat="1" ht="18" customHeight="1">
      <c r="A53" s="9" t="str">
        <f ca="1">IF(ROWS($1:40)&gt;COUNT(Dong14),"",OFFSET(TH!C$1,SMALL(Dong14,ROWS($1:40)),))</f>
        <v/>
      </c>
      <c r="B53" s="9" t="str">
        <f ca="1">IF(ROWS($1:40)&gt;COUNT(Dong14),"",OFFSET(TH!D$1,SMALL(Dong14,ROWS($1:40)),))</f>
        <v/>
      </c>
      <c r="C53" s="9" t="str">
        <f ca="1">IF(ROWS($1:40)&gt;COUNT(Dong14),"",OFFSET(TH!E$1,SMALL(Dong14,ROWS($1:40)),))</f>
        <v/>
      </c>
      <c r="D53" s="212" t="str">
        <f ca="1">IF(ROWS($1:40)&gt;COUNT(Dong14),"",OFFSET(TH!F$1,SMALL(Dong14,ROWS($1:40)),))</f>
        <v/>
      </c>
      <c r="E53" s="45" t="str">
        <f ca="1">IF(ROWS($1:40)&gt;COUNT(Dong14),"",IF(OFFSET(TH!L$1,SMALL(Dong14,ROWS($1:40)),)="331",OFFSET(TH!M$1,SMALL(Dong14,ROWS($1:40)),),OFFSET(TH!L$1,SMALL(Dong14,ROWS($1:40)),)))</f>
        <v/>
      </c>
      <c r="F53" s="45"/>
      <c r="G53" s="57" t="str">
        <f ca="1">IF(ROWS($1:40)&gt;COUNT(Dong14),"",IF(OFFSET(TH!L$1,SMALL(Dong14,ROWS($1:40)),)="131",OFFSET(TH!K$1,SMALL(Dong14,ROWS($1:40)),),0))</f>
        <v/>
      </c>
      <c r="H53" s="57" t="str">
        <f ca="1">IF(ROWS($1:40)&gt;COUNT(Dong14),"",IF(OFFSET(TH!M$1,SMALL(Dong14,ROWS($1:40)),)="131",OFFSET(TH!K$1,SMALL(Dong14,ROWS($1:40)),),0))</f>
        <v/>
      </c>
      <c r="I53" s="25">
        <f t="shared" ca="1" si="4"/>
        <v>0</v>
      </c>
      <c r="J53" s="25">
        <f t="shared" ca="1" si="5"/>
        <v>0</v>
      </c>
    </row>
    <row r="54" spans="1:10" s="18" customFormat="1" ht="18" customHeight="1">
      <c r="A54" s="9" t="str">
        <f ca="1">IF(ROWS($1:41)&gt;COUNT(Dong14),"",OFFSET(TH!C$1,SMALL(Dong14,ROWS($1:41)),))</f>
        <v/>
      </c>
      <c r="B54" s="9" t="str">
        <f ca="1">IF(ROWS($1:41)&gt;COUNT(Dong14),"",OFFSET(TH!D$1,SMALL(Dong14,ROWS($1:41)),))</f>
        <v/>
      </c>
      <c r="C54" s="9" t="str">
        <f ca="1">IF(ROWS($1:41)&gt;COUNT(Dong14),"",OFFSET(TH!E$1,SMALL(Dong14,ROWS($1:41)),))</f>
        <v/>
      </c>
      <c r="D54" s="212" t="str">
        <f ca="1">IF(ROWS($1:41)&gt;COUNT(Dong14),"",OFFSET(TH!F$1,SMALL(Dong14,ROWS($1:41)),))</f>
        <v/>
      </c>
      <c r="E54" s="45" t="str">
        <f ca="1">IF(ROWS($1:41)&gt;COUNT(Dong14),"",IF(OFFSET(TH!L$1,SMALL(Dong14,ROWS($1:41)),)="331",OFFSET(TH!M$1,SMALL(Dong14,ROWS($1:41)),),OFFSET(TH!L$1,SMALL(Dong14,ROWS($1:41)),)))</f>
        <v/>
      </c>
      <c r="F54" s="45"/>
      <c r="G54" s="57" t="str">
        <f ca="1">IF(ROWS($1:41)&gt;COUNT(Dong14),"",IF(OFFSET(TH!L$1,SMALL(Dong14,ROWS($1:41)),)="131",OFFSET(TH!K$1,SMALL(Dong14,ROWS($1:41)),),0))</f>
        <v/>
      </c>
      <c r="H54" s="57" t="str">
        <f ca="1">IF(ROWS($1:41)&gt;COUNT(Dong14),"",IF(OFFSET(TH!M$1,SMALL(Dong14,ROWS($1:41)),)="131",OFFSET(TH!K$1,SMALL(Dong14,ROWS($1:41)),),0))</f>
        <v/>
      </c>
      <c r="I54" s="25">
        <f t="shared" ca="1" si="4"/>
        <v>0</v>
      </c>
      <c r="J54" s="25">
        <f t="shared" ca="1" si="5"/>
        <v>0</v>
      </c>
    </row>
    <row r="55" spans="1:10" s="18" customFormat="1" ht="18" customHeight="1">
      <c r="A55" s="9" t="str">
        <f ca="1">IF(ROWS($1:42)&gt;COUNT(Dong14),"",OFFSET(TH!C$1,SMALL(Dong14,ROWS($1:42)),))</f>
        <v/>
      </c>
      <c r="B55" s="9" t="str">
        <f ca="1">IF(ROWS($1:42)&gt;COUNT(Dong14),"",OFFSET(TH!D$1,SMALL(Dong14,ROWS($1:42)),))</f>
        <v/>
      </c>
      <c r="C55" s="9" t="str">
        <f ca="1">IF(ROWS($1:42)&gt;COUNT(Dong14),"",OFFSET(TH!E$1,SMALL(Dong14,ROWS($1:42)),))</f>
        <v/>
      </c>
      <c r="D55" s="212" t="str">
        <f ca="1">IF(ROWS($1:42)&gt;COUNT(Dong14),"",OFFSET(TH!F$1,SMALL(Dong14,ROWS($1:42)),))</f>
        <v/>
      </c>
      <c r="E55" s="45" t="str">
        <f ca="1">IF(ROWS($1:42)&gt;COUNT(Dong14),"",IF(OFFSET(TH!L$1,SMALL(Dong14,ROWS($1:42)),)="331",OFFSET(TH!M$1,SMALL(Dong14,ROWS($1:42)),),OFFSET(TH!L$1,SMALL(Dong14,ROWS($1:42)),)))</f>
        <v/>
      </c>
      <c r="F55" s="45"/>
      <c r="G55" s="57" t="str">
        <f ca="1">IF(ROWS($1:42)&gt;COUNT(Dong14),"",IF(OFFSET(TH!L$1,SMALL(Dong14,ROWS($1:42)),)="131",OFFSET(TH!K$1,SMALL(Dong14,ROWS($1:42)),),0))</f>
        <v/>
      </c>
      <c r="H55" s="57" t="str">
        <f ca="1">IF(ROWS($1:42)&gt;COUNT(Dong14),"",IF(OFFSET(TH!M$1,SMALL(Dong14,ROWS($1:42)),)="131",OFFSET(TH!K$1,SMALL(Dong14,ROWS($1:42)),),0))</f>
        <v/>
      </c>
      <c r="I55" s="25">
        <f t="shared" ref="I55:I90" ca="1" si="6">IF(D55&lt;&gt;"",MAX(I54+G55-H55-J54,0),0)</f>
        <v>0</v>
      </c>
      <c r="J55" s="25">
        <f t="shared" ref="J55:J90" ca="1" si="7">IF(D55&lt;&gt;"",MAX(J54+H55-I54-G55,0),0)</f>
        <v>0</v>
      </c>
    </row>
    <row r="56" spans="1:10" s="18" customFormat="1" ht="18" customHeight="1">
      <c r="A56" s="9" t="str">
        <f ca="1">IF(ROWS($1:43)&gt;COUNT(Dong14),"",OFFSET(TH!C$1,SMALL(Dong14,ROWS($1:43)),))</f>
        <v/>
      </c>
      <c r="B56" s="9" t="str">
        <f ca="1">IF(ROWS($1:43)&gt;COUNT(Dong14),"",OFFSET(TH!D$1,SMALL(Dong14,ROWS($1:43)),))</f>
        <v/>
      </c>
      <c r="C56" s="9" t="str">
        <f ca="1">IF(ROWS($1:43)&gt;COUNT(Dong14),"",OFFSET(TH!E$1,SMALL(Dong14,ROWS($1:43)),))</f>
        <v/>
      </c>
      <c r="D56" s="212" t="str">
        <f ca="1">IF(ROWS($1:43)&gt;COUNT(Dong14),"",OFFSET(TH!F$1,SMALL(Dong14,ROWS($1:43)),))</f>
        <v/>
      </c>
      <c r="E56" s="45" t="str">
        <f ca="1">IF(ROWS($1:43)&gt;COUNT(Dong14),"",IF(OFFSET(TH!L$1,SMALL(Dong14,ROWS($1:43)),)="331",OFFSET(TH!M$1,SMALL(Dong14,ROWS($1:43)),),OFFSET(TH!L$1,SMALL(Dong14,ROWS($1:43)),)))</f>
        <v/>
      </c>
      <c r="F56" s="45"/>
      <c r="G56" s="57" t="str">
        <f ca="1">IF(ROWS($1:43)&gt;COUNT(Dong14),"",IF(OFFSET(TH!L$1,SMALL(Dong14,ROWS($1:43)),)="131",OFFSET(TH!K$1,SMALL(Dong14,ROWS($1:43)),),0))</f>
        <v/>
      </c>
      <c r="H56" s="57" t="str">
        <f ca="1">IF(ROWS($1:43)&gt;COUNT(Dong14),"",IF(OFFSET(TH!M$1,SMALL(Dong14,ROWS($1:43)),)="131",OFFSET(TH!K$1,SMALL(Dong14,ROWS($1:43)),),0))</f>
        <v/>
      </c>
      <c r="I56" s="25">
        <f t="shared" ca="1" si="6"/>
        <v>0</v>
      </c>
      <c r="J56" s="25">
        <f t="shared" ca="1" si="7"/>
        <v>0</v>
      </c>
    </row>
    <row r="57" spans="1:10" s="18" customFormat="1" ht="18" customHeight="1">
      <c r="A57" s="9" t="str">
        <f ca="1">IF(ROWS($1:44)&gt;COUNT(Dong14),"",OFFSET(TH!C$1,SMALL(Dong14,ROWS($1:44)),))</f>
        <v/>
      </c>
      <c r="B57" s="9" t="str">
        <f ca="1">IF(ROWS($1:44)&gt;COUNT(Dong14),"",OFFSET(TH!D$1,SMALL(Dong14,ROWS($1:44)),))</f>
        <v/>
      </c>
      <c r="C57" s="9" t="str">
        <f ca="1">IF(ROWS($1:44)&gt;COUNT(Dong14),"",OFFSET(TH!E$1,SMALL(Dong14,ROWS($1:44)),))</f>
        <v/>
      </c>
      <c r="D57" s="212" t="str">
        <f ca="1">IF(ROWS($1:44)&gt;COUNT(Dong14),"",OFFSET(TH!F$1,SMALL(Dong14,ROWS($1:44)),))</f>
        <v/>
      </c>
      <c r="E57" s="45" t="str">
        <f ca="1">IF(ROWS($1:44)&gt;COUNT(Dong14),"",IF(OFFSET(TH!L$1,SMALL(Dong14,ROWS($1:44)),)="331",OFFSET(TH!M$1,SMALL(Dong14,ROWS($1:44)),),OFFSET(TH!L$1,SMALL(Dong14,ROWS($1:44)),)))</f>
        <v/>
      </c>
      <c r="F57" s="45"/>
      <c r="G57" s="57" t="str">
        <f ca="1">IF(ROWS($1:44)&gt;COUNT(Dong14),"",IF(OFFSET(TH!L$1,SMALL(Dong14,ROWS($1:44)),)="131",OFFSET(TH!K$1,SMALL(Dong14,ROWS($1:44)),),0))</f>
        <v/>
      </c>
      <c r="H57" s="57" t="str">
        <f ca="1">IF(ROWS($1:44)&gt;COUNT(Dong14),"",IF(OFFSET(TH!M$1,SMALL(Dong14,ROWS($1:44)),)="131",OFFSET(TH!K$1,SMALL(Dong14,ROWS($1:44)),),0))</f>
        <v/>
      </c>
      <c r="I57" s="25">
        <f t="shared" ca="1" si="6"/>
        <v>0</v>
      </c>
      <c r="J57" s="25">
        <f t="shared" ca="1" si="7"/>
        <v>0</v>
      </c>
    </row>
    <row r="58" spans="1:10" s="18" customFormat="1" ht="18" customHeight="1">
      <c r="A58" s="9" t="str">
        <f ca="1">IF(ROWS($1:45)&gt;COUNT(Dong14),"",OFFSET(TH!C$1,SMALL(Dong14,ROWS($1:45)),))</f>
        <v/>
      </c>
      <c r="B58" s="9" t="str">
        <f ca="1">IF(ROWS($1:45)&gt;COUNT(Dong14),"",OFFSET(TH!D$1,SMALL(Dong14,ROWS($1:45)),))</f>
        <v/>
      </c>
      <c r="C58" s="9" t="str">
        <f ca="1">IF(ROWS($1:45)&gt;COUNT(Dong14),"",OFFSET(TH!E$1,SMALL(Dong14,ROWS($1:45)),))</f>
        <v/>
      </c>
      <c r="D58" s="212" t="str">
        <f ca="1">IF(ROWS($1:45)&gt;COUNT(Dong14),"",OFFSET(TH!F$1,SMALL(Dong14,ROWS($1:45)),))</f>
        <v/>
      </c>
      <c r="E58" s="45" t="str">
        <f ca="1">IF(ROWS($1:45)&gt;COUNT(Dong14),"",IF(OFFSET(TH!L$1,SMALL(Dong14,ROWS($1:45)),)="331",OFFSET(TH!M$1,SMALL(Dong14,ROWS($1:45)),),OFFSET(TH!L$1,SMALL(Dong14,ROWS($1:45)),)))</f>
        <v/>
      </c>
      <c r="F58" s="45"/>
      <c r="G58" s="57" t="str">
        <f ca="1">IF(ROWS($1:45)&gt;COUNT(Dong14),"",IF(OFFSET(TH!L$1,SMALL(Dong14,ROWS($1:45)),)="131",OFFSET(TH!K$1,SMALL(Dong14,ROWS($1:45)),),0))</f>
        <v/>
      </c>
      <c r="H58" s="57" t="str">
        <f ca="1">IF(ROWS($1:45)&gt;COUNT(Dong14),"",IF(OFFSET(TH!M$1,SMALL(Dong14,ROWS($1:45)),)="131",OFFSET(TH!K$1,SMALL(Dong14,ROWS($1:45)),),0))</f>
        <v/>
      </c>
      <c r="I58" s="25">
        <f t="shared" ca="1" si="6"/>
        <v>0</v>
      </c>
      <c r="J58" s="25">
        <f t="shared" ca="1" si="7"/>
        <v>0</v>
      </c>
    </row>
    <row r="59" spans="1:10" s="18" customFormat="1" ht="18" customHeight="1">
      <c r="A59" s="9" t="str">
        <f ca="1">IF(ROWS($1:46)&gt;COUNT(Dong14),"",OFFSET(TH!C$1,SMALL(Dong14,ROWS($1:46)),))</f>
        <v/>
      </c>
      <c r="B59" s="9" t="str">
        <f ca="1">IF(ROWS($1:46)&gt;COUNT(Dong14),"",OFFSET(TH!D$1,SMALL(Dong14,ROWS($1:46)),))</f>
        <v/>
      </c>
      <c r="C59" s="9" t="str">
        <f ca="1">IF(ROWS($1:46)&gt;COUNT(Dong14),"",OFFSET(TH!E$1,SMALL(Dong14,ROWS($1:46)),))</f>
        <v/>
      </c>
      <c r="D59" s="212" t="str">
        <f ca="1">IF(ROWS($1:46)&gt;COUNT(Dong14),"",OFFSET(TH!F$1,SMALL(Dong14,ROWS($1:46)),))</f>
        <v/>
      </c>
      <c r="E59" s="45" t="str">
        <f ca="1">IF(ROWS($1:46)&gt;COUNT(Dong14),"",IF(OFFSET(TH!L$1,SMALL(Dong14,ROWS($1:46)),)="331",OFFSET(TH!M$1,SMALL(Dong14,ROWS($1:46)),),OFFSET(TH!L$1,SMALL(Dong14,ROWS($1:46)),)))</f>
        <v/>
      </c>
      <c r="F59" s="45"/>
      <c r="G59" s="57" t="str">
        <f ca="1">IF(ROWS($1:46)&gt;COUNT(Dong14),"",IF(OFFSET(TH!L$1,SMALL(Dong14,ROWS($1:46)),)="131",OFFSET(TH!K$1,SMALL(Dong14,ROWS($1:46)),),0))</f>
        <v/>
      </c>
      <c r="H59" s="57" t="str">
        <f ca="1">IF(ROWS($1:46)&gt;COUNT(Dong14),"",IF(OFFSET(TH!M$1,SMALL(Dong14,ROWS($1:46)),)="131",OFFSET(TH!K$1,SMALL(Dong14,ROWS($1:46)),),0))</f>
        <v/>
      </c>
      <c r="I59" s="25">
        <f t="shared" ca="1" si="6"/>
        <v>0</v>
      </c>
      <c r="J59" s="25">
        <f t="shared" ca="1" si="7"/>
        <v>0</v>
      </c>
    </row>
    <row r="60" spans="1:10" s="18" customFormat="1" ht="18" customHeight="1">
      <c r="A60" s="9" t="str">
        <f ca="1">IF(ROWS($1:47)&gt;COUNT(Dong14),"",OFFSET(TH!C$1,SMALL(Dong14,ROWS($1:47)),))</f>
        <v/>
      </c>
      <c r="B60" s="9" t="str">
        <f ca="1">IF(ROWS($1:47)&gt;COUNT(Dong14),"",OFFSET(TH!D$1,SMALL(Dong14,ROWS($1:47)),))</f>
        <v/>
      </c>
      <c r="C60" s="9" t="str">
        <f ca="1">IF(ROWS($1:47)&gt;COUNT(Dong14),"",OFFSET(TH!E$1,SMALL(Dong14,ROWS($1:47)),))</f>
        <v/>
      </c>
      <c r="D60" s="212" t="str">
        <f ca="1">IF(ROWS($1:47)&gt;COUNT(Dong14),"",OFFSET(TH!F$1,SMALL(Dong14,ROWS($1:47)),))</f>
        <v/>
      </c>
      <c r="E60" s="45" t="str">
        <f ca="1">IF(ROWS($1:47)&gt;COUNT(Dong14),"",IF(OFFSET(TH!L$1,SMALL(Dong14,ROWS($1:47)),)="331",OFFSET(TH!M$1,SMALL(Dong14,ROWS($1:47)),),OFFSET(TH!L$1,SMALL(Dong14,ROWS($1:47)),)))</f>
        <v/>
      </c>
      <c r="F60" s="45"/>
      <c r="G60" s="57" t="str">
        <f ca="1">IF(ROWS($1:47)&gt;COUNT(Dong14),"",IF(OFFSET(TH!L$1,SMALL(Dong14,ROWS($1:47)),)="131",OFFSET(TH!K$1,SMALL(Dong14,ROWS($1:47)),),0))</f>
        <v/>
      </c>
      <c r="H60" s="57" t="str">
        <f ca="1">IF(ROWS($1:47)&gt;COUNT(Dong14),"",IF(OFFSET(TH!M$1,SMALL(Dong14,ROWS($1:47)),)="131",OFFSET(TH!K$1,SMALL(Dong14,ROWS($1:47)),),0))</f>
        <v/>
      </c>
      <c r="I60" s="25">
        <f t="shared" ca="1" si="6"/>
        <v>0</v>
      </c>
      <c r="J60" s="25">
        <f t="shared" ca="1" si="7"/>
        <v>0</v>
      </c>
    </row>
    <row r="61" spans="1:10" s="18" customFormat="1" ht="18" customHeight="1">
      <c r="A61" s="9" t="str">
        <f ca="1">IF(ROWS($1:48)&gt;COUNT(Dong14),"",OFFSET(TH!C$1,SMALL(Dong14,ROWS($1:48)),))</f>
        <v/>
      </c>
      <c r="B61" s="9" t="str">
        <f ca="1">IF(ROWS($1:48)&gt;COUNT(Dong14),"",OFFSET(TH!D$1,SMALL(Dong14,ROWS($1:48)),))</f>
        <v/>
      </c>
      <c r="C61" s="9" t="str">
        <f ca="1">IF(ROWS($1:48)&gt;COUNT(Dong14),"",OFFSET(TH!E$1,SMALL(Dong14,ROWS($1:48)),))</f>
        <v/>
      </c>
      <c r="D61" s="212" t="str">
        <f ca="1">IF(ROWS($1:48)&gt;COUNT(Dong14),"",OFFSET(TH!F$1,SMALL(Dong14,ROWS($1:48)),))</f>
        <v/>
      </c>
      <c r="E61" s="45" t="str">
        <f ca="1">IF(ROWS($1:48)&gt;COUNT(Dong14),"",IF(OFFSET(TH!L$1,SMALL(Dong14,ROWS($1:48)),)="331",OFFSET(TH!M$1,SMALL(Dong14,ROWS($1:48)),),OFFSET(TH!L$1,SMALL(Dong14,ROWS($1:48)),)))</f>
        <v/>
      </c>
      <c r="F61" s="45"/>
      <c r="G61" s="57" t="str">
        <f ca="1">IF(ROWS($1:48)&gt;COUNT(Dong14),"",IF(OFFSET(TH!L$1,SMALL(Dong14,ROWS($1:48)),)="131",OFFSET(TH!K$1,SMALL(Dong14,ROWS($1:48)),),0))</f>
        <v/>
      </c>
      <c r="H61" s="57" t="str">
        <f ca="1">IF(ROWS($1:48)&gt;COUNT(Dong14),"",IF(OFFSET(TH!M$1,SMALL(Dong14,ROWS($1:48)),)="131",OFFSET(TH!K$1,SMALL(Dong14,ROWS($1:48)),),0))</f>
        <v/>
      </c>
      <c r="I61" s="25">
        <f t="shared" ca="1" si="6"/>
        <v>0</v>
      </c>
      <c r="J61" s="25">
        <f t="shared" ca="1" si="7"/>
        <v>0</v>
      </c>
    </row>
    <row r="62" spans="1:10" s="18" customFormat="1" ht="18" customHeight="1">
      <c r="A62" s="9" t="str">
        <f ca="1">IF(ROWS($1:49)&gt;COUNT(Dong14),"",OFFSET(TH!C$1,SMALL(Dong14,ROWS($1:49)),))</f>
        <v/>
      </c>
      <c r="B62" s="9" t="str">
        <f ca="1">IF(ROWS($1:49)&gt;COUNT(Dong14),"",OFFSET(TH!D$1,SMALL(Dong14,ROWS($1:49)),))</f>
        <v/>
      </c>
      <c r="C62" s="9" t="str">
        <f ca="1">IF(ROWS($1:49)&gt;COUNT(Dong14),"",OFFSET(TH!E$1,SMALL(Dong14,ROWS($1:49)),))</f>
        <v/>
      </c>
      <c r="D62" s="212" t="str">
        <f ca="1">IF(ROWS($1:49)&gt;COUNT(Dong14),"",OFFSET(TH!F$1,SMALL(Dong14,ROWS($1:49)),))</f>
        <v/>
      </c>
      <c r="E62" s="45" t="str">
        <f ca="1">IF(ROWS($1:49)&gt;COUNT(Dong14),"",IF(OFFSET(TH!L$1,SMALL(Dong14,ROWS($1:49)),)="331",OFFSET(TH!M$1,SMALL(Dong14,ROWS($1:49)),),OFFSET(TH!L$1,SMALL(Dong14,ROWS($1:49)),)))</f>
        <v/>
      </c>
      <c r="F62" s="45"/>
      <c r="G62" s="57" t="str">
        <f ca="1">IF(ROWS($1:49)&gt;COUNT(Dong14),"",IF(OFFSET(TH!L$1,SMALL(Dong14,ROWS($1:49)),)="131",OFFSET(TH!K$1,SMALL(Dong14,ROWS($1:49)),),0))</f>
        <v/>
      </c>
      <c r="H62" s="57" t="str">
        <f ca="1">IF(ROWS($1:49)&gt;COUNT(Dong14),"",IF(OFFSET(TH!M$1,SMALL(Dong14,ROWS($1:49)),)="131",OFFSET(TH!K$1,SMALL(Dong14,ROWS($1:49)),),0))</f>
        <v/>
      </c>
      <c r="I62" s="25">
        <f t="shared" ca="1" si="6"/>
        <v>0</v>
      </c>
      <c r="J62" s="25">
        <f t="shared" ca="1" si="7"/>
        <v>0</v>
      </c>
    </row>
    <row r="63" spans="1:10" s="18" customFormat="1" ht="18" customHeight="1">
      <c r="A63" s="9" t="str">
        <f ca="1">IF(ROWS($1:50)&gt;COUNT(Dong14),"",OFFSET(TH!C$1,SMALL(Dong14,ROWS($1:50)),))</f>
        <v/>
      </c>
      <c r="B63" s="9" t="str">
        <f ca="1">IF(ROWS($1:50)&gt;COUNT(Dong14),"",OFFSET(TH!D$1,SMALL(Dong14,ROWS($1:50)),))</f>
        <v/>
      </c>
      <c r="C63" s="9" t="str">
        <f ca="1">IF(ROWS($1:50)&gt;COUNT(Dong14),"",OFFSET(TH!E$1,SMALL(Dong14,ROWS($1:50)),))</f>
        <v/>
      </c>
      <c r="D63" s="212" t="str">
        <f ca="1">IF(ROWS($1:50)&gt;COUNT(Dong14),"",OFFSET(TH!F$1,SMALL(Dong14,ROWS($1:50)),))</f>
        <v/>
      </c>
      <c r="E63" s="45" t="str">
        <f ca="1">IF(ROWS($1:50)&gt;COUNT(Dong14),"",IF(OFFSET(TH!L$1,SMALL(Dong14,ROWS($1:50)),)="331",OFFSET(TH!M$1,SMALL(Dong14,ROWS($1:50)),),OFFSET(TH!L$1,SMALL(Dong14,ROWS($1:50)),)))</f>
        <v/>
      </c>
      <c r="F63" s="45"/>
      <c r="G63" s="57" t="str">
        <f ca="1">IF(ROWS($1:50)&gt;COUNT(Dong14),"",IF(OFFSET(TH!L$1,SMALL(Dong14,ROWS($1:50)),)="131",OFFSET(TH!K$1,SMALL(Dong14,ROWS($1:50)),),0))</f>
        <v/>
      </c>
      <c r="H63" s="57" t="str">
        <f ca="1">IF(ROWS($1:50)&gt;COUNT(Dong14),"",IF(OFFSET(TH!M$1,SMALL(Dong14,ROWS($1:50)),)="131",OFFSET(TH!K$1,SMALL(Dong14,ROWS($1:50)),),0))</f>
        <v/>
      </c>
      <c r="I63" s="25">
        <f t="shared" ca="1" si="6"/>
        <v>0</v>
      </c>
      <c r="J63" s="25">
        <f t="shared" ca="1" si="7"/>
        <v>0</v>
      </c>
    </row>
    <row r="64" spans="1:10" s="18" customFormat="1" ht="18" customHeight="1">
      <c r="A64" s="9" t="str">
        <f ca="1">IF(ROWS($1:51)&gt;COUNT(Dong14),"",OFFSET(TH!C$1,SMALL(Dong14,ROWS($1:51)),))</f>
        <v/>
      </c>
      <c r="B64" s="9" t="str">
        <f ca="1">IF(ROWS($1:51)&gt;COUNT(Dong14),"",OFFSET(TH!D$1,SMALL(Dong14,ROWS($1:51)),))</f>
        <v/>
      </c>
      <c r="C64" s="9" t="str">
        <f ca="1">IF(ROWS($1:51)&gt;COUNT(Dong14),"",OFFSET(TH!E$1,SMALL(Dong14,ROWS($1:51)),))</f>
        <v/>
      </c>
      <c r="D64" s="212" t="str">
        <f ca="1">IF(ROWS($1:51)&gt;COUNT(Dong14),"",OFFSET(TH!F$1,SMALL(Dong14,ROWS($1:51)),))</f>
        <v/>
      </c>
      <c r="E64" s="45" t="str">
        <f ca="1">IF(ROWS($1:51)&gt;COUNT(Dong14),"",IF(OFFSET(TH!L$1,SMALL(Dong14,ROWS($1:51)),)="331",OFFSET(TH!M$1,SMALL(Dong14,ROWS($1:51)),),OFFSET(TH!L$1,SMALL(Dong14,ROWS($1:51)),)))</f>
        <v/>
      </c>
      <c r="F64" s="45"/>
      <c r="G64" s="57" t="str">
        <f ca="1">IF(ROWS($1:51)&gt;COUNT(Dong14),"",IF(OFFSET(TH!L$1,SMALL(Dong14,ROWS($1:51)),)="131",OFFSET(TH!K$1,SMALL(Dong14,ROWS($1:51)),),0))</f>
        <v/>
      </c>
      <c r="H64" s="57" t="str">
        <f ca="1">IF(ROWS($1:51)&gt;COUNT(Dong14),"",IF(OFFSET(TH!M$1,SMALL(Dong14,ROWS($1:51)),)="131",OFFSET(TH!K$1,SMALL(Dong14,ROWS($1:51)),),0))</f>
        <v/>
      </c>
      <c r="I64" s="25">
        <f t="shared" ca="1" si="6"/>
        <v>0</v>
      </c>
      <c r="J64" s="25">
        <f t="shared" ca="1" si="7"/>
        <v>0</v>
      </c>
    </row>
    <row r="65" spans="1:10" s="18" customFormat="1" ht="18" customHeight="1">
      <c r="A65" s="9" t="str">
        <f ca="1">IF(ROWS($1:52)&gt;COUNT(Dong14),"",OFFSET(TH!C$1,SMALL(Dong14,ROWS($1:52)),))</f>
        <v/>
      </c>
      <c r="B65" s="9" t="str">
        <f ca="1">IF(ROWS($1:52)&gt;COUNT(Dong14),"",OFFSET(TH!D$1,SMALL(Dong14,ROWS($1:52)),))</f>
        <v/>
      </c>
      <c r="C65" s="9" t="str">
        <f ca="1">IF(ROWS($1:52)&gt;COUNT(Dong14),"",OFFSET(TH!E$1,SMALL(Dong14,ROWS($1:52)),))</f>
        <v/>
      </c>
      <c r="D65" s="212" t="str">
        <f ca="1">IF(ROWS($1:52)&gt;COUNT(Dong14),"",OFFSET(TH!F$1,SMALL(Dong14,ROWS($1:52)),))</f>
        <v/>
      </c>
      <c r="E65" s="45" t="str">
        <f ca="1">IF(ROWS($1:52)&gt;COUNT(Dong14),"",IF(OFFSET(TH!L$1,SMALL(Dong14,ROWS($1:52)),)="331",OFFSET(TH!M$1,SMALL(Dong14,ROWS($1:52)),),OFFSET(TH!L$1,SMALL(Dong14,ROWS($1:52)),)))</f>
        <v/>
      </c>
      <c r="F65" s="45"/>
      <c r="G65" s="57" t="str">
        <f ca="1">IF(ROWS($1:52)&gt;COUNT(Dong14),"",IF(OFFSET(TH!L$1,SMALL(Dong14,ROWS($1:52)),)="131",OFFSET(TH!K$1,SMALL(Dong14,ROWS($1:52)),),0))</f>
        <v/>
      </c>
      <c r="H65" s="57" t="str">
        <f ca="1">IF(ROWS($1:52)&gt;COUNT(Dong14),"",IF(OFFSET(TH!M$1,SMALL(Dong14,ROWS($1:52)),)="131",OFFSET(TH!K$1,SMALL(Dong14,ROWS($1:52)),),0))</f>
        <v/>
      </c>
      <c r="I65" s="25">
        <f t="shared" ca="1" si="6"/>
        <v>0</v>
      </c>
      <c r="J65" s="25">
        <f t="shared" ca="1" si="7"/>
        <v>0</v>
      </c>
    </row>
    <row r="66" spans="1:10" s="18" customFormat="1" ht="18" customHeight="1">
      <c r="A66" s="9" t="str">
        <f ca="1">IF(ROWS($1:53)&gt;COUNT(Dong14),"",OFFSET(TH!C$1,SMALL(Dong14,ROWS($1:53)),))</f>
        <v/>
      </c>
      <c r="B66" s="9" t="str">
        <f ca="1">IF(ROWS($1:53)&gt;COUNT(Dong14),"",OFFSET(TH!D$1,SMALL(Dong14,ROWS($1:53)),))</f>
        <v/>
      </c>
      <c r="C66" s="9" t="str">
        <f ca="1">IF(ROWS($1:53)&gt;COUNT(Dong14),"",OFFSET(TH!E$1,SMALL(Dong14,ROWS($1:53)),))</f>
        <v/>
      </c>
      <c r="D66" s="212" t="str">
        <f ca="1">IF(ROWS($1:53)&gt;COUNT(Dong14),"",OFFSET(TH!F$1,SMALL(Dong14,ROWS($1:53)),))</f>
        <v/>
      </c>
      <c r="E66" s="45" t="str">
        <f ca="1">IF(ROWS($1:53)&gt;COUNT(Dong14),"",IF(OFFSET(TH!L$1,SMALL(Dong14,ROWS($1:53)),)="331",OFFSET(TH!M$1,SMALL(Dong14,ROWS($1:53)),),OFFSET(TH!L$1,SMALL(Dong14,ROWS($1:53)),)))</f>
        <v/>
      </c>
      <c r="F66" s="45"/>
      <c r="G66" s="57" t="str">
        <f ca="1">IF(ROWS($1:53)&gt;COUNT(Dong14),"",IF(OFFSET(TH!L$1,SMALL(Dong14,ROWS($1:53)),)="131",OFFSET(TH!K$1,SMALL(Dong14,ROWS($1:53)),),0))</f>
        <v/>
      </c>
      <c r="H66" s="57" t="str">
        <f ca="1">IF(ROWS($1:53)&gt;COUNT(Dong14),"",IF(OFFSET(TH!M$1,SMALL(Dong14,ROWS($1:53)),)="131",OFFSET(TH!K$1,SMALL(Dong14,ROWS($1:53)),),0))</f>
        <v/>
      </c>
      <c r="I66" s="25">
        <f t="shared" ca="1" si="6"/>
        <v>0</v>
      </c>
      <c r="J66" s="25">
        <f t="shared" ca="1" si="7"/>
        <v>0</v>
      </c>
    </row>
    <row r="67" spans="1:10" s="18" customFormat="1" ht="18" customHeight="1">
      <c r="A67" s="9" t="str">
        <f ca="1">IF(ROWS($1:54)&gt;COUNT(Dong14),"",OFFSET(TH!C$1,SMALL(Dong14,ROWS($1:54)),))</f>
        <v/>
      </c>
      <c r="B67" s="9" t="str">
        <f ca="1">IF(ROWS($1:54)&gt;COUNT(Dong14),"",OFFSET(TH!D$1,SMALL(Dong14,ROWS($1:54)),))</f>
        <v/>
      </c>
      <c r="C67" s="9" t="str">
        <f ca="1">IF(ROWS($1:54)&gt;COUNT(Dong14),"",OFFSET(TH!E$1,SMALL(Dong14,ROWS($1:54)),))</f>
        <v/>
      </c>
      <c r="D67" s="212" t="str">
        <f ca="1">IF(ROWS($1:54)&gt;COUNT(Dong14),"",OFFSET(TH!F$1,SMALL(Dong14,ROWS($1:54)),))</f>
        <v/>
      </c>
      <c r="E67" s="45" t="str">
        <f ca="1">IF(ROWS($1:54)&gt;COUNT(Dong14),"",IF(OFFSET(TH!L$1,SMALL(Dong14,ROWS($1:54)),)="331",OFFSET(TH!M$1,SMALL(Dong14,ROWS($1:54)),),OFFSET(TH!L$1,SMALL(Dong14,ROWS($1:54)),)))</f>
        <v/>
      </c>
      <c r="F67" s="45"/>
      <c r="G67" s="57" t="str">
        <f ca="1">IF(ROWS($1:54)&gt;COUNT(Dong14),"",IF(OFFSET(TH!L$1,SMALL(Dong14,ROWS($1:54)),)="131",OFFSET(TH!K$1,SMALL(Dong14,ROWS($1:54)),),0))</f>
        <v/>
      </c>
      <c r="H67" s="57" t="str">
        <f ca="1">IF(ROWS($1:54)&gt;COUNT(Dong14),"",IF(OFFSET(TH!M$1,SMALL(Dong14,ROWS($1:54)),)="131",OFFSET(TH!K$1,SMALL(Dong14,ROWS($1:54)),),0))</f>
        <v/>
      </c>
      <c r="I67" s="25">
        <f t="shared" ca="1" si="6"/>
        <v>0</v>
      </c>
      <c r="J67" s="25">
        <f t="shared" ca="1" si="7"/>
        <v>0</v>
      </c>
    </row>
    <row r="68" spans="1:10" s="18" customFormat="1" ht="18" customHeight="1">
      <c r="A68" s="9" t="str">
        <f ca="1">IF(ROWS($1:55)&gt;COUNT(Dong14),"",OFFSET(TH!C$1,SMALL(Dong14,ROWS($1:55)),))</f>
        <v/>
      </c>
      <c r="B68" s="9" t="str">
        <f ca="1">IF(ROWS($1:55)&gt;COUNT(Dong14),"",OFFSET(TH!D$1,SMALL(Dong14,ROWS($1:55)),))</f>
        <v/>
      </c>
      <c r="C68" s="9" t="str">
        <f ca="1">IF(ROWS($1:55)&gt;COUNT(Dong14),"",OFFSET(TH!E$1,SMALL(Dong14,ROWS($1:55)),))</f>
        <v/>
      </c>
      <c r="D68" s="212" t="str">
        <f ca="1">IF(ROWS($1:55)&gt;COUNT(Dong14),"",OFFSET(TH!F$1,SMALL(Dong14,ROWS($1:55)),))</f>
        <v/>
      </c>
      <c r="E68" s="45" t="str">
        <f ca="1">IF(ROWS($1:55)&gt;COUNT(Dong14),"",IF(OFFSET(TH!L$1,SMALL(Dong14,ROWS($1:55)),)="331",OFFSET(TH!M$1,SMALL(Dong14,ROWS($1:55)),),OFFSET(TH!L$1,SMALL(Dong14,ROWS($1:55)),)))</f>
        <v/>
      </c>
      <c r="F68" s="45"/>
      <c r="G68" s="57" t="str">
        <f ca="1">IF(ROWS($1:55)&gt;COUNT(Dong14),"",IF(OFFSET(TH!L$1,SMALL(Dong14,ROWS($1:55)),)="131",OFFSET(TH!K$1,SMALL(Dong14,ROWS($1:55)),),0))</f>
        <v/>
      </c>
      <c r="H68" s="57" t="str">
        <f ca="1">IF(ROWS($1:55)&gt;COUNT(Dong14),"",IF(OFFSET(TH!M$1,SMALL(Dong14,ROWS($1:55)),)="131",OFFSET(TH!K$1,SMALL(Dong14,ROWS($1:55)),),0))</f>
        <v/>
      </c>
      <c r="I68" s="25">
        <f t="shared" ca="1" si="6"/>
        <v>0</v>
      </c>
      <c r="J68" s="25">
        <f t="shared" ca="1" si="7"/>
        <v>0</v>
      </c>
    </row>
    <row r="69" spans="1:10" s="18" customFormat="1" ht="18" customHeight="1">
      <c r="A69" s="9" t="str">
        <f ca="1">IF(ROWS($1:56)&gt;COUNT(Dong14),"",OFFSET(TH!C$1,SMALL(Dong14,ROWS($1:56)),))</f>
        <v/>
      </c>
      <c r="B69" s="9" t="str">
        <f ca="1">IF(ROWS($1:56)&gt;COUNT(Dong14),"",OFFSET(TH!D$1,SMALL(Dong14,ROWS($1:56)),))</f>
        <v/>
      </c>
      <c r="C69" s="9" t="str">
        <f ca="1">IF(ROWS($1:56)&gt;COUNT(Dong14),"",OFFSET(TH!E$1,SMALL(Dong14,ROWS($1:56)),))</f>
        <v/>
      </c>
      <c r="D69" s="212" t="str">
        <f ca="1">IF(ROWS($1:56)&gt;COUNT(Dong14),"",OFFSET(TH!F$1,SMALL(Dong14,ROWS($1:56)),))</f>
        <v/>
      </c>
      <c r="E69" s="45" t="str">
        <f ca="1">IF(ROWS($1:56)&gt;COUNT(Dong14),"",IF(OFFSET(TH!L$1,SMALL(Dong14,ROWS($1:56)),)="331",OFFSET(TH!M$1,SMALL(Dong14,ROWS($1:56)),),OFFSET(TH!L$1,SMALL(Dong14,ROWS($1:56)),)))</f>
        <v/>
      </c>
      <c r="F69" s="45"/>
      <c r="G69" s="57" t="str">
        <f ca="1">IF(ROWS($1:56)&gt;COUNT(Dong14),"",IF(OFFSET(TH!L$1,SMALL(Dong14,ROWS($1:56)),)="131",OFFSET(TH!K$1,SMALL(Dong14,ROWS($1:56)),),0))</f>
        <v/>
      </c>
      <c r="H69" s="57" t="str">
        <f ca="1">IF(ROWS($1:56)&gt;COUNT(Dong14),"",IF(OFFSET(TH!M$1,SMALL(Dong14,ROWS($1:56)),)="131",OFFSET(TH!K$1,SMALL(Dong14,ROWS($1:56)),),0))</f>
        <v/>
      </c>
      <c r="I69" s="25">
        <f t="shared" ca="1" si="6"/>
        <v>0</v>
      </c>
      <c r="J69" s="25">
        <f t="shared" ca="1" si="7"/>
        <v>0</v>
      </c>
    </row>
    <row r="70" spans="1:10" s="18" customFormat="1" ht="18" customHeight="1">
      <c r="A70" s="9" t="str">
        <f ca="1">IF(ROWS($1:57)&gt;COUNT(Dong14),"",OFFSET(TH!C$1,SMALL(Dong14,ROWS($1:57)),))</f>
        <v/>
      </c>
      <c r="B70" s="9" t="str">
        <f ca="1">IF(ROWS($1:57)&gt;COUNT(Dong14),"",OFFSET(TH!D$1,SMALL(Dong14,ROWS($1:57)),))</f>
        <v/>
      </c>
      <c r="C70" s="9" t="str">
        <f ca="1">IF(ROWS($1:57)&gt;COUNT(Dong14),"",OFFSET(TH!E$1,SMALL(Dong14,ROWS($1:57)),))</f>
        <v/>
      </c>
      <c r="D70" s="212" t="str">
        <f ca="1">IF(ROWS($1:57)&gt;COUNT(Dong14),"",OFFSET(TH!F$1,SMALL(Dong14,ROWS($1:57)),))</f>
        <v/>
      </c>
      <c r="E70" s="45" t="str">
        <f ca="1">IF(ROWS($1:57)&gt;COUNT(Dong14),"",IF(OFFSET(TH!L$1,SMALL(Dong14,ROWS($1:57)),)="331",OFFSET(TH!M$1,SMALL(Dong14,ROWS($1:57)),),OFFSET(TH!L$1,SMALL(Dong14,ROWS($1:57)),)))</f>
        <v/>
      </c>
      <c r="F70" s="45"/>
      <c r="G70" s="57" t="str">
        <f ca="1">IF(ROWS($1:57)&gt;COUNT(Dong14),"",IF(OFFSET(TH!L$1,SMALL(Dong14,ROWS($1:57)),)="131",OFFSET(TH!K$1,SMALL(Dong14,ROWS($1:57)),),0))</f>
        <v/>
      </c>
      <c r="H70" s="57" t="str">
        <f ca="1">IF(ROWS($1:57)&gt;COUNT(Dong14),"",IF(OFFSET(TH!M$1,SMALL(Dong14,ROWS($1:57)),)="131",OFFSET(TH!K$1,SMALL(Dong14,ROWS($1:57)),),0))</f>
        <v/>
      </c>
      <c r="I70" s="25">
        <f t="shared" ca="1" si="6"/>
        <v>0</v>
      </c>
      <c r="J70" s="25">
        <f t="shared" ca="1" si="7"/>
        <v>0</v>
      </c>
    </row>
    <row r="71" spans="1:10" s="18" customFormat="1" ht="18" customHeight="1">
      <c r="A71" s="9" t="str">
        <f ca="1">IF(ROWS($1:58)&gt;COUNT(Dong14),"",OFFSET(TH!C$1,SMALL(Dong14,ROWS($1:58)),))</f>
        <v/>
      </c>
      <c r="B71" s="9" t="str">
        <f ca="1">IF(ROWS($1:58)&gt;COUNT(Dong14),"",OFFSET(TH!D$1,SMALL(Dong14,ROWS($1:58)),))</f>
        <v/>
      </c>
      <c r="C71" s="9" t="str">
        <f ca="1">IF(ROWS($1:58)&gt;COUNT(Dong14),"",OFFSET(TH!E$1,SMALL(Dong14,ROWS($1:58)),))</f>
        <v/>
      </c>
      <c r="D71" s="212" t="str">
        <f ca="1">IF(ROWS($1:58)&gt;COUNT(Dong14),"",OFFSET(TH!F$1,SMALL(Dong14,ROWS($1:58)),))</f>
        <v/>
      </c>
      <c r="E71" s="45" t="str">
        <f ca="1">IF(ROWS($1:58)&gt;COUNT(Dong14),"",IF(OFFSET(TH!L$1,SMALL(Dong14,ROWS($1:58)),)="331",OFFSET(TH!M$1,SMALL(Dong14,ROWS($1:58)),),OFFSET(TH!L$1,SMALL(Dong14,ROWS($1:58)),)))</f>
        <v/>
      </c>
      <c r="F71" s="45"/>
      <c r="G71" s="57" t="str">
        <f ca="1">IF(ROWS($1:58)&gt;COUNT(Dong14),"",IF(OFFSET(TH!L$1,SMALL(Dong14,ROWS($1:58)),)="131",OFFSET(TH!K$1,SMALL(Dong14,ROWS($1:58)),),0))</f>
        <v/>
      </c>
      <c r="H71" s="57" t="str">
        <f ca="1">IF(ROWS($1:58)&gt;COUNT(Dong14),"",IF(OFFSET(TH!M$1,SMALL(Dong14,ROWS($1:58)),)="131",OFFSET(TH!K$1,SMALL(Dong14,ROWS($1:58)),),0))</f>
        <v/>
      </c>
      <c r="I71" s="25">
        <f t="shared" ca="1" si="6"/>
        <v>0</v>
      </c>
      <c r="J71" s="25">
        <f t="shared" ca="1" si="7"/>
        <v>0</v>
      </c>
    </row>
    <row r="72" spans="1:10" s="18" customFormat="1" ht="18" customHeight="1">
      <c r="A72" s="9" t="str">
        <f ca="1">IF(ROWS($1:59)&gt;COUNT(Dong14),"",OFFSET(TH!C$1,SMALL(Dong14,ROWS($1:59)),))</f>
        <v/>
      </c>
      <c r="B72" s="9" t="str">
        <f ca="1">IF(ROWS($1:59)&gt;COUNT(Dong14),"",OFFSET(TH!D$1,SMALL(Dong14,ROWS($1:59)),))</f>
        <v/>
      </c>
      <c r="C72" s="9" t="str">
        <f ca="1">IF(ROWS($1:59)&gt;COUNT(Dong14),"",OFFSET(TH!E$1,SMALL(Dong14,ROWS($1:59)),))</f>
        <v/>
      </c>
      <c r="D72" s="212" t="str">
        <f ca="1">IF(ROWS($1:59)&gt;COUNT(Dong14),"",OFFSET(TH!F$1,SMALL(Dong14,ROWS($1:59)),))</f>
        <v/>
      </c>
      <c r="E72" s="45" t="str">
        <f ca="1">IF(ROWS($1:59)&gt;COUNT(Dong14),"",IF(OFFSET(TH!L$1,SMALL(Dong14,ROWS($1:59)),)="331",OFFSET(TH!M$1,SMALL(Dong14,ROWS($1:59)),),OFFSET(TH!L$1,SMALL(Dong14,ROWS($1:59)),)))</f>
        <v/>
      </c>
      <c r="F72" s="45"/>
      <c r="G72" s="57" t="str">
        <f ca="1">IF(ROWS($1:59)&gt;COUNT(Dong14),"",IF(OFFSET(TH!L$1,SMALL(Dong14,ROWS($1:59)),)="131",OFFSET(TH!K$1,SMALL(Dong14,ROWS($1:59)),),0))</f>
        <v/>
      </c>
      <c r="H72" s="57" t="str">
        <f ca="1">IF(ROWS($1:59)&gt;COUNT(Dong14),"",IF(OFFSET(TH!M$1,SMALL(Dong14,ROWS($1:59)),)="131",OFFSET(TH!K$1,SMALL(Dong14,ROWS($1:59)),),0))</f>
        <v/>
      </c>
      <c r="I72" s="25">
        <f t="shared" ca="1" si="6"/>
        <v>0</v>
      </c>
      <c r="J72" s="25">
        <f t="shared" ca="1" si="7"/>
        <v>0</v>
      </c>
    </row>
    <row r="73" spans="1:10" s="18" customFormat="1" ht="18" customHeight="1">
      <c r="A73" s="9" t="str">
        <f ca="1">IF(ROWS($1:60)&gt;COUNT(Dong14),"",OFFSET(TH!C$1,SMALL(Dong14,ROWS($1:60)),))</f>
        <v/>
      </c>
      <c r="B73" s="9" t="str">
        <f ca="1">IF(ROWS($1:60)&gt;COUNT(Dong14),"",OFFSET(TH!D$1,SMALL(Dong14,ROWS($1:60)),))</f>
        <v/>
      </c>
      <c r="C73" s="9" t="str">
        <f ca="1">IF(ROWS($1:60)&gt;COUNT(Dong14),"",OFFSET(TH!E$1,SMALL(Dong14,ROWS($1:60)),))</f>
        <v/>
      </c>
      <c r="D73" s="212" t="str">
        <f ca="1">IF(ROWS($1:60)&gt;COUNT(Dong14),"",OFFSET(TH!F$1,SMALL(Dong14,ROWS($1:60)),))</f>
        <v/>
      </c>
      <c r="E73" s="45" t="str">
        <f ca="1">IF(ROWS($1:60)&gt;COUNT(Dong14),"",IF(OFFSET(TH!L$1,SMALL(Dong14,ROWS($1:60)),)="331",OFFSET(TH!M$1,SMALL(Dong14,ROWS($1:60)),),OFFSET(TH!L$1,SMALL(Dong14,ROWS($1:60)),)))</f>
        <v/>
      </c>
      <c r="F73" s="45"/>
      <c r="G73" s="57" t="str">
        <f ca="1">IF(ROWS($1:60)&gt;COUNT(Dong14),"",IF(OFFSET(TH!L$1,SMALL(Dong14,ROWS($1:60)),)="131",OFFSET(TH!K$1,SMALL(Dong14,ROWS($1:60)),),0))</f>
        <v/>
      </c>
      <c r="H73" s="57" t="str">
        <f ca="1">IF(ROWS($1:60)&gt;COUNT(Dong14),"",IF(OFFSET(TH!M$1,SMALL(Dong14,ROWS($1:60)),)="131",OFFSET(TH!K$1,SMALL(Dong14,ROWS($1:60)),),0))</f>
        <v/>
      </c>
      <c r="I73" s="25">
        <f t="shared" ca="1" si="6"/>
        <v>0</v>
      </c>
      <c r="J73" s="25">
        <f t="shared" ca="1" si="7"/>
        <v>0</v>
      </c>
    </row>
    <row r="74" spans="1:10" s="18" customFormat="1" ht="18" customHeight="1">
      <c r="A74" s="9" t="str">
        <f ca="1">IF(ROWS($1:61)&gt;COUNT(Dong14),"",OFFSET(TH!C$1,SMALL(Dong14,ROWS($1:61)),))</f>
        <v/>
      </c>
      <c r="B74" s="9" t="str">
        <f ca="1">IF(ROWS($1:61)&gt;COUNT(Dong14),"",OFFSET(TH!D$1,SMALL(Dong14,ROWS($1:61)),))</f>
        <v/>
      </c>
      <c r="C74" s="9" t="str">
        <f ca="1">IF(ROWS($1:61)&gt;COUNT(Dong14),"",OFFSET(TH!E$1,SMALL(Dong14,ROWS($1:61)),))</f>
        <v/>
      </c>
      <c r="D74" s="212" t="str">
        <f ca="1">IF(ROWS($1:61)&gt;COUNT(Dong14),"",OFFSET(TH!F$1,SMALL(Dong14,ROWS($1:61)),))</f>
        <v/>
      </c>
      <c r="E74" s="45" t="str">
        <f ca="1">IF(ROWS($1:61)&gt;COUNT(Dong14),"",IF(OFFSET(TH!L$1,SMALL(Dong14,ROWS($1:61)),)="331",OFFSET(TH!M$1,SMALL(Dong14,ROWS($1:61)),),OFFSET(TH!L$1,SMALL(Dong14,ROWS($1:61)),)))</f>
        <v/>
      </c>
      <c r="F74" s="45"/>
      <c r="G74" s="57" t="str">
        <f ca="1">IF(ROWS($1:61)&gt;COUNT(Dong14),"",IF(OFFSET(TH!L$1,SMALL(Dong14,ROWS($1:61)),)="131",OFFSET(TH!K$1,SMALL(Dong14,ROWS($1:61)),),0))</f>
        <v/>
      </c>
      <c r="H74" s="57" t="str">
        <f ca="1">IF(ROWS($1:61)&gt;COUNT(Dong14),"",IF(OFFSET(TH!M$1,SMALL(Dong14,ROWS($1:61)),)="131",OFFSET(TH!K$1,SMALL(Dong14,ROWS($1:61)),),0))</f>
        <v/>
      </c>
      <c r="I74" s="25">
        <f t="shared" ca="1" si="6"/>
        <v>0</v>
      </c>
      <c r="J74" s="25">
        <f t="shared" ca="1" si="7"/>
        <v>0</v>
      </c>
    </row>
    <row r="75" spans="1:10" s="18" customFormat="1" ht="18" customHeight="1">
      <c r="A75" s="9" t="str">
        <f ca="1">IF(ROWS($1:62)&gt;COUNT(Dong14),"",OFFSET(TH!C$1,SMALL(Dong14,ROWS($1:62)),))</f>
        <v/>
      </c>
      <c r="B75" s="9" t="str">
        <f ca="1">IF(ROWS($1:62)&gt;COUNT(Dong14),"",OFFSET(TH!D$1,SMALL(Dong14,ROWS($1:62)),))</f>
        <v/>
      </c>
      <c r="C75" s="9" t="str">
        <f ca="1">IF(ROWS($1:62)&gt;COUNT(Dong14),"",OFFSET(TH!E$1,SMALL(Dong14,ROWS($1:62)),))</f>
        <v/>
      </c>
      <c r="D75" s="212" t="str">
        <f ca="1">IF(ROWS($1:62)&gt;COUNT(Dong14),"",OFFSET(TH!F$1,SMALL(Dong14,ROWS($1:62)),))</f>
        <v/>
      </c>
      <c r="E75" s="45" t="str">
        <f ca="1">IF(ROWS($1:62)&gt;COUNT(Dong14),"",IF(OFFSET(TH!L$1,SMALL(Dong14,ROWS($1:62)),)="331",OFFSET(TH!M$1,SMALL(Dong14,ROWS($1:62)),),OFFSET(TH!L$1,SMALL(Dong14,ROWS($1:62)),)))</f>
        <v/>
      </c>
      <c r="F75" s="45"/>
      <c r="G75" s="57" t="str">
        <f ca="1">IF(ROWS($1:62)&gt;COUNT(Dong14),"",IF(OFFSET(TH!L$1,SMALL(Dong14,ROWS($1:62)),)="131",OFFSET(TH!K$1,SMALL(Dong14,ROWS($1:62)),),0))</f>
        <v/>
      </c>
      <c r="H75" s="57" t="str">
        <f ca="1">IF(ROWS($1:62)&gt;COUNT(Dong14),"",IF(OFFSET(TH!M$1,SMALL(Dong14,ROWS($1:62)),)="131",OFFSET(TH!K$1,SMALL(Dong14,ROWS($1:62)),),0))</f>
        <v/>
      </c>
      <c r="I75" s="25">
        <f t="shared" ca="1" si="6"/>
        <v>0</v>
      </c>
      <c r="J75" s="25">
        <f t="shared" ca="1" si="7"/>
        <v>0</v>
      </c>
    </row>
    <row r="76" spans="1:10" s="18" customFormat="1" ht="18" customHeight="1">
      <c r="A76" s="9" t="str">
        <f ca="1">IF(ROWS($1:63)&gt;COUNT(Dong14),"",OFFSET(TH!C$1,SMALL(Dong14,ROWS($1:63)),))</f>
        <v/>
      </c>
      <c r="B76" s="9" t="str">
        <f ca="1">IF(ROWS($1:63)&gt;COUNT(Dong14),"",OFFSET(TH!D$1,SMALL(Dong14,ROWS($1:63)),))</f>
        <v/>
      </c>
      <c r="C76" s="9" t="str">
        <f ca="1">IF(ROWS($1:63)&gt;COUNT(Dong14),"",OFFSET(TH!E$1,SMALL(Dong14,ROWS($1:63)),))</f>
        <v/>
      </c>
      <c r="D76" s="212" t="str">
        <f ca="1">IF(ROWS($1:63)&gt;COUNT(Dong14),"",OFFSET(TH!F$1,SMALL(Dong14,ROWS($1:63)),))</f>
        <v/>
      </c>
      <c r="E76" s="45" t="str">
        <f ca="1">IF(ROWS($1:63)&gt;COUNT(Dong14),"",IF(OFFSET(TH!L$1,SMALL(Dong14,ROWS($1:63)),)="331",OFFSET(TH!M$1,SMALL(Dong14,ROWS($1:63)),),OFFSET(TH!L$1,SMALL(Dong14,ROWS($1:63)),)))</f>
        <v/>
      </c>
      <c r="F76" s="45"/>
      <c r="G76" s="57" t="str">
        <f ca="1">IF(ROWS($1:63)&gt;COUNT(Dong14),"",IF(OFFSET(TH!L$1,SMALL(Dong14,ROWS($1:63)),)="131",OFFSET(TH!K$1,SMALL(Dong14,ROWS($1:63)),),0))</f>
        <v/>
      </c>
      <c r="H76" s="57" t="str">
        <f ca="1">IF(ROWS($1:63)&gt;COUNT(Dong14),"",IF(OFFSET(TH!M$1,SMALL(Dong14,ROWS($1:63)),)="131",OFFSET(TH!K$1,SMALL(Dong14,ROWS($1:63)),),0))</f>
        <v/>
      </c>
      <c r="I76" s="25">
        <f t="shared" ca="1" si="6"/>
        <v>0</v>
      </c>
      <c r="J76" s="25">
        <f t="shared" ca="1" si="7"/>
        <v>0</v>
      </c>
    </row>
    <row r="77" spans="1:10" s="18" customFormat="1" ht="18" customHeight="1">
      <c r="A77" s="9" t="str">
        <f ca="1">IF(ROWS($1:64)&gt;COUNT(Dong14),"",OFFSET(TH!C$1,SMALL(Dong14,ROWS($1:64)),))</f>
        <v/>
      </c>
      <c r="B77" s="9" t="str">
        <f ca="1">IF(ROWS($1:64)&gt;COUNT(Dong14),"",OFFSET(TH!D$1,SMALL(Dong14,ROWS($1:64)),))</f>
        <v/>
      </c>
      <c r="C77" s="9" t="str">
        <f ca="1">IF(ROWS($1:64)&gt;COUNT(Dong14),"",OFFSET(TH!E$1,SMALL(Dong14,ROWS($1:64)),))</f>
        <v/>
      </c>
      <c r="D77" s="212" t="str">
        <f ca="1">IF(ROWS($1:64)&gt;COUNT(Dong14),"",OFFSET(TH!F$1,SMALL(Dong14,ROWS($1:64)),))</f>
        <v/>
      </c>
      <c r="E77" s="45" t="str">
        <f ca="1">IF(ROWS($1:64)&gt;COUNT(Dong14),"",IF(OFFSET(TH!L$1,SMALL(Dong14,ROWS($1:64)),)="331",OFFSET(TH!M$1,SMALL(Dong14,ROWS($1:64)),),OFFSET(TH!L$1,SMALL(Dong14,ROWS($1:64)),)))</f>
        <v/>
      </c>
      <c r="F77" s="45"/>
      <c r="G77" s="57" t="str">
        <f ca="1">IF(ROWS($1:64)&gt;COUNT(Dong14),"",IF(OFFSET(TH!L$1,SMALL(Dong14,ROWS($1:64)),)="131",OFFSET(TH!K$1,SMALL(Dong14,ROWS($1:64)),),0))</f>
        <v/>
      </c>
      <c r="H77" s="57" t="str">
        <f ca="1">IF(ROWS($1:64)&gt;COUNT(Dong14),"",IF(OFFSET(TH!M$1,SMALL(Dong14,ROWS($1:64)),)="131",OFFSET(TH!K$1,SMALL(Dong14,ROWS($1:64)),),0))</f>
        <v/>
      </c>
      <c r="I77" s="25">
        <f t="shared" ca="1" si="6"/>
        <v>0</v>
      </c>
      <c r="J77" s="25">
        <f t="shared" ca="1" si="7"/>
        <v>0</v>
      </c>
    </row>
    <row r="78" spans="1:10" s="18" customFormat="1" ht="18" customHeight="1">
      <c r="A78" s="9" t="str">
        <f ca="1">IF(ROWS($1:65)&gt;COUNT(Dong14),"",OFFSET(TH!C$1,SMALL(Dong14,ROWS($1:65)),))</f>
        <v/>
      </c>
      <c r="B78" s="9" t="str">
        <f ca="1">IF(ROWS($1:65)&gt;COUNT(Dong14),"",OFFSET(TH!D$1,SMALL(Dong14,ROWS($1:65)),))</f>
        <v/>
      </c>
      <c r="C78" s="9" t="str">
        <f ca="1">IF(ROWS($1:65)&gt;COUNT(Dong14),"",OFFSET(TH!E$1,SMALL(Dong14,ROWS($1:65)),))</f>
        <v/>
      </c>
      <c r="D78" s="212" t="str">
        <f ca="1">IF(ROWS($1:65)&gt;COUNT(Dong14),"",OFFSET(TH!F$1,SMALL(Dong14,ROWS($1:65)),))</f>
        <v/>
      </c>
      <c r="E78" s="45" t="str">
        <f ca="1">IF(ROWS($1:65)&gt;COUNT(Dong14),"",IF(OFFSET(TH!L$1,SMALL(Dong14,ROWS($1:65)),)="331",OFFSET(TH!M$1,SMALL(Dong14,ROWS($1:65)),),OFFSET(TH!L$1,SMALL(Dong14,ROWS($1:65)),)))</f>
        <v/>
      </c>
      <c r="F78" s="45"/>
      <c r="G78" s="57" t="str">
        <f ca="1">IF(ROWS($1:65)&gt;COUNT(Dong14),"",IF(OFFSET(TH!L$1,SMALL(Dong14,ROWS($1:65)),)="131",OFFSET(TH!K$1,SMALL(Dong14,ROWS($1:65)),),0))</f>
        <v/>
      </c>
      <c r="H78" s="57" t="str">
        <f ca="1">IF(ROWS($1:65)&gt;COUNT(Dong14),"",IF(OFFSET(TH!M$1,SMALL(Dong14,ROWS($1:65)),)="131",OFFSET(TH!K$1,SMALL(Dong14,ROWS($1:65)),),0))</f>
        <v/>
      </c>
      <c r="I78" s="25">
        <f t="shared" ca="1" si="6"/>
        <v>0</v>
      </c>
      <c r="J78" s="25">
        <f t="shared" ca="1" si="7"/>
        <v>0</v>
      </c>
    </row>
    <row r="79" spans="1:10" s="18" customFormat="1" ht="18" customHeight="1">
      <c r="A79" s="9" t="str">
        <f ca="1">IF(ROWS($1:66)&gt;COUNT(Dong14),"",OFFSET(TH!C$1,SMALL(Dong14,ROWS($1:66)),))</f>
        <v/>
      </c>
      <c r="B79" s="9" t="str">
        <f ca="1">IF(ROWS($1:66)&gt;COUNT(Dong14),"",OFFSET(TH!D$1,SMALL(Dong14,ROWS($1:66)),))</f>
        <v/>
      </c>
      <c r="C79" s="9" t="str">
        <f ca="1">IF(ROWS($1:66)&gt;COUNT(Dong14),"",OFFSET(TH!E$1,SMALL(Dong14,ROWS($1:66)),))</f>
        <v/>
      </c>
      <c r="D79" s="212" t="str">
        <f ca="1">IF(ROWS($1:66)&gt;COUNT(Dong14),"",OFFSET(TH!F$1,SMALL(Dong14,ROWS($1:66)),))</f>
        <v/>
      </c>
      <c r="E79" s="45" t="str">
        <f ca="1">IF(ROWS($1:66)&gt;COUNT(Dong14),"",IF(OFFSET(TH!L$1,SMALL(Dong14,ROWS($1:66)),)="331",OFFSET(TH!M$1,SMALL(Dong14,ROWS($1:66)),),OFFSET(TH!L$1,SMALL(Dong14,ROWS($1:66)),)))</f>
        <v/>
      </c>
      <c r="F79" s="45"/>
      <c r="G79" s="57" t="str">
        <f ca="1">IF(ROWS($1:66)&gt;COUNT(Dong14),"",IF(OFFSET(TH!L$1,SMALL(Dong14,ROWS($1:66)),)="131",OFFSET(TH!K$1,SMALL(Dong14,ROWS($1:66)),),0))</f>
        <v/>
      </c>
      <c r="H79" s="57" t="str">
        <f ca="1">IF(ROWS($1:66)&gt;COUNT(Dong14),"",IF(OFFSET(TH!M$1,SMALL(Dong14,ROWS($1:66)),)="131",OFFSET(TH!K$1,SMALL(Dong14,ROWS($1:66)),),0))</f>
        <v/>
      </c>
      <c r="I79" s="25">
        <f t="shared" ca="1" si="6"/>
        <v>0</v>
      </c>
      <c r="J79" s="25">
        <f t="shared" ca="1" si="7"/>
        <v>0</v>
      </c>
    </row>
    <row r="80" spans="1:10" s="18" customFormat="1" ht="18" customHeight="1">
      <c r="A80" s="9" t="str">
        <f ca="1">IF(ROWS($1:67)&gt;COUNT(Dong14),"",OFFSET(TH!C$1,SMALL(Dong14,ROWS($1:67)),))</f>
        <v/>
      </c>
      <c r="B80" s="9" t="str">
        <f ca="1">IF(ROWS($1:67)&gt;COUNT(Dong14),"",OFFSET(TH!D$1,SMALL(Dong14,ROWS($1:67)),))</f>
        <v/>
      </c>
      <c r="C80" s="9" t="str">
        <f ca="1">IF(ROWS($1:67)&gt;COUNT(Dong14),"",OFFSET(TH!E$1,SMALL(Dong14,ROWS($1:67)),))</f>
        <v/>
      </c>
      <c r="D80" s="212" t="str">
        <f ca="1">IF(ROWS($1:67)&gt;COUNT(Dong14),"",OFFSET(TH!F$1,SMALL(Dong14,ROWS($1:67)),))</f>
        <v/>
      </c>
      <c r="E80" s="45" t="str">
        <f ca="1">IF(ROWS($1:67)&gt;COUNT(Dong14),"",IF(OFFSET(TH!L$1,SMALL(Dong14,ROWS($1:67)),)="331",OFFSET(TH!M$1,SMALL(Dong14,ROWS($1:67)),),OFFSET(TH!L$1,SMALL(Dong14,ROWS($1:67)),)))</f>
        <v/>
      </c>
      <c r="F80" s="45"/>
      <c r="G80" s="57" t="str">
        <f ca="1">IF(ROWS($1:67)&gt;COUNT(Dong14),"",IF(OFFSET(TH!L$1,SMALL(Dong14,ROWS($1:67)),)="131",OFFSET(TH!K$1,SMALL(Dong14,ROWS($1:67)),),0))</f>
        <v/>
      </c>
      <c r="H80" s="57" t="str">
        <f ca="1">IF(ROWS($1:67)&gt;COUNT(Dong14),"",IF(OFFSET(TH!M$1,SMALL(Dong14,ROWS($1:67)),)="131",OFFSET(TH!K$1,SMALL(Dong14,ROWS($1:67)),),0))</f>
        <v/>
      </c>
      <c r="I80" s="25">
        <f t="shared" ca="1" si="6"/>
        <v>0</v>
      </c>
      <c r="J80" s="25">
        <f t="shared" ca="1" si="7"/>
        <v>0</v>
      </c>
    </row>
    <row r="81" spans="1:11" s="18" customFormat="1" ht="18" customHeight="1">
      <c r="A81" s="9" t="str">
        <f ca="1">IF(ROWS($1:68)&gt;COUNT(Dong14),"",OFFSET(TH!C$1,SMALL(Dong14,ROWS($1:68)),))</f>
        <v/>
      </c>
      <c r="B81" s="9" t="str">
        <f ca="1">IF(ROWS($1:68)&gt;COUNT(Dong14),"",OFFSET(TH!D$1,SMALL(Dong14,ROWS($1:68)),))</f>
        <v/>
      </c>
      <c r="C81" s="9" t="str">
        <f ca="1">IF(ROWS($1:68)&gt;COUNT(Dong14),"",OFFSET(TH!E$1,SMALL(Dong14,ROWS($1:68)),))</f>
        <v/>
      </c>
      <c r="D81" s="212" t="str">
        <f ca="1">IF(ROWS($1:68)&gt;COUNT(Dong14),"",OFFSET(TH!F$1,SMALL(Dong14,ROWS($1:68)),))</f>
        <v/>
      </c>
      <c r="E81" s="45" t="str">
        <f ca="1">IF(ROWS($1:68)&gt;COUNT(Dong14),"",IF(OFFSET(TH!L$1,SMALL(Dong14,ROWS($1:68)),)="331",OFFSET(TH!M$1,SMALL(Dong14,ROWS($1:68)),),OFFSET(TH!L$1,SMALL(Dong14,ROWS($1:68)),)))</f>
        <v/>
      </c>
      <c r="F81" s="45"/>
      <c r="G81" s="57" t="str">
        <f ca="1">IF(ROWS($1:68)&gt;COUNT(Dong14),"",IF(OFFSET(TH!L$1,SMALL(Dong14,ROWS($1:68)),)="131",OFFSET(TH!K$1,SMALL(Dong14,ROWS($1:68)),),0))</f>
        <v/>
      </c>
      <c r="H81" s="57" t="str">
        <f ca="1">IF(ROWS($1:68)&gt;COUNT(Dong14),"",IF(OFFSET(TH!M$1,SMALL(Dong14,ROWS($1:68)),)="131",OFFSET(TH!K$1,SMALL(Dong14,ROWS($1:68)),),0))</f>
        <v/>
      </c>
      <c r="I81" s="25">
        <f t="shared" ca="1" si="6"/>
        <v>0</v>
      </c>
      <c r="J81" s="25">
        <f t="shared" ca="1" si="7"/>
        <v>0</v>
      </c>
    </row>
    <row r="82" spans="1:11" s="18" customFormat="1" ht="18" customHeight="1">
      <c r="A82" s="9" t="str">
        <f ca="1">IF(ROWS($1:69)&gt;COUNT(Dong14),"",OFFSET(TH!C$1,SMALL(Dong14,ROWS($1:69)),))</f>
        <v/>
      </c>
      <c r="B82" s="9" t="str">
        <f ca="1">IF(ROWS($1:69)&gt;COUNT(Dong14),"",OFFSET(TH!D$1,SMALL(Dong14,ROWS($1:69)),))</f>
        <v/>
      </c>
      <c r="C82" s="9" t="str">
        <f ca="1">IF(ROWS($1:69)&gt;COUNT(Dong14),"",OFFSET(TH!E$1,SMALL(Dong14,ROWS($1:69)),))</f>
        <v/>
      </c>
      <c r="D82" s="212" t="str">
        <f ca="1">IF(ROWS($1:69)&gt;COUNT(Dong14),"",OFFSET(TH!F$1,SMALL(Dong14,ROWS($1:69)),))</f>
        <v/>
      </c>
      <c r="E82" s="45" t="str">
        <f ca="1">IF(ROWS($1:69)&gt;COUNT(Dong14),"",IF(OFFSET(TH!L$1,SMALL(Dong14,ROWS($1:69)),)="331",OFFSET(TH!M$1,SMALL(Dong14,ROWS($1:69)),),OFFSET(TH!L$1,SMALL(Dong14,ROWS($1:69)),)))</f>
        <v/>
      </c>
      <c r="F82" s="45"/>
      <c r="G82" s="57" t="str">
        <f ca="1">IF(ROWS($1:69)&gt;COUNT(Dong14),"",IF(OFFSET(TH!L$1,SMALL(Dong14,ROWS($1:69)),)="131",OFFSET(TH!K$1,SMALL(Dong14,ROWS($1:69)),),0))</f>
        <v/>
      </c>
      <c r="H82" s="57" t="str">
        <f ca="1">IF(ROWS($1:69)&gt;COUNT(Dong14),"",IF(OFFSET(TH!M$1,SMALL(Dong14,ROWS($1:69)),)="131",OFFSET(TH!K$1,SMALL(Dong14,ROWS($1:69)),),0))</f>
        <v/>
      </c>
      <c r="I82" s="25">
        <f t="shared" ca="1" si="6"/>
        <v>0</v>
      </c>
      <c r="J82" s="25">
        <f t="shared" ca="1" si="7"/>
        <v>0</v>
      </c>
    </row>
    <row r="83" spans="1:11" s="18" customFormat="1" ht="18" customHeight="1">
      <c r="A83" s="9" t="str">
        <f ca="1">IF(ROWS($1:70)&gt;COUNT(Dong14),"",OFFSET(TH!C$1,SMALL(Dong14,ROWS($1:70)),))</f>
        <v/>
      </c>
      <c r="B83" s="9" t="str">
        <f ca="1">IF(ROWS($1:70)&gt;COUNT(Dong14),"",OFFSET(TH!D$1,SMALL(Dong14,ROWS($1:70)),))</f>
        <v/>
      </c>
      <c r="C83" s="9" t="str">
        <f ca="1">IF(ROWS($1:70)&gt;COUNT(Dong14),"",OFFSET(TH!E$1,SMALL(Dong14,ROWS($1:70)),))</f>
        <v/>
      </c>
      <c r="D83" s="212" t="str">
        <f ca="1">IF(ROWS($1:70)&gt;COUNT(Dong14),"",OFFSET(TH!F$1,SMALL(Dong14,ROWS($1:70)),))</f>
        <v/>
      </c>
      <c r="E83" s="45" t="str">
        <f ca="1">IF(ROWS($1:70)&gt;COUNT(Dong14),"",IF(OFFSET(TH!L$1,SMALL(Dong14,ROWS($1:70)),)="331",OFFSET(TH!M$1,SMALL(Dong14,ROWS($1:70)),),OFFSET(TH!L$1,SMALL(Dong14,ROWS($1:70)),)))</f>
        <v/>
      </c>
      <c r="F83" s="45"/>
      <c r="G83" s="57" t="str">
        <f ca="1">IF(ROWS($1:70)&gt;COUNT(Dong14),"",IF(OFFSET(TH!L$1,SMALL(Dong14,ROWS($1:70)),)="131",OFFSET(TH!K$1,SMALL(Dong14,ROWS($1:70)),),0))</f>
        <v/>
      </c>
      <c r="H83" s="57" t="str">
        <f ca="1">IF(ROWS($1:70)&gt;COUNT(Dong14),"",IF(OFFSET(TH!M$1,SMALL(Dong14,ROWS($1:70)),)="131",OFFSET(TH!K$1,SMALL(Dong14,ROWS($1:70)),),0))</f>
        <v/>
      </c>
      <c r="I83" s="25">
        <f t="shared" ca="1" si="6"/>
        <v>0</v>
      </c>
      <c r="J83" s="25">
        <f t="shared" ca="1" si="7"/>
        <v>0</v>
      </c>
    </row>
    <row r="84" spans="1:11" s="18" customFormat="1" ht="18" customHeight="1">
      <c r="A84" s="9" t="str">
        <f ca="1">IF(ROWS($1:71)&gt;COUNT(Dong14),"",OFFSET(TH!C$1,SMALL(Dong14,ROWS($1:71)),))</f>
        <v/>
      </c>
      <c r="B84" s="9" t="str">
        <f ca="1">IF(ROWS($1:71)&gt;COUNT(Dong14),"",OFFSET(TH!D$1,SMALL(Dong14,ROWS($1:71)),))</f>
        <v/>
      </c>
      <c r="C84" s="9" t="str">
        <f ca="1">IF(ROWS($1:71)&gt;COUNT(Dong14),"",OFFSET(TH!E$1,SMALL(Dong14,ROWS($1:71)),))</f>
        <v/>
      </c>
      <c r="D84" s="212" t="str">
        <f ca="1">IF(ROWS($1:71)&gt;COUNT(Dong14),"",OFFSET(TH!F$1,SMALL(Dong14,ROWS($1:71)),))</f>
        <v/>
      </c>
      <c r="E84" s="45" t="str">
        <f ca="1">IF(ROWS($1:71)&gt;COUNT(Dong14),"",IF(OFFSET(TH!L$1,SMALL(Dong14,ROWS($1:71)),)="331",OFFSET(TH!M$1,SMALL(Dong14,ROWS($1:71)),),OFFSET(TH!L$1,SMALL(Dong14,ROWS($1:71)),)))</f>
        <v/>
      </c>
      <c r="F84" s="45"/>
      <c r="G84" s="57" t="str">
        <f ca="1">IF(ROWS($1:71)&gt;COUNT(Dong14),"",IF(OFFSET(TH!L$1,SMALL(Dong14,ROWS($1:71)),)="131",OFFSET(TH!K$1,SMALL(Dong14,ROWS($1:71)),),0))</f>
        <v/>
      </c>
      <c r="H84" s="57" t="str">
        <f ca="1">IF(ROWS($1:71)&gt;COUNT(Dong14),"",IF(OFFSET(TH!M$1,SMALL(Dong14,ROWS($1:71)),)="131",OFFSET(TH!K$1,SMALL(Dong14,ROWS($1:71)),),0))</f>
        <v/>
      </c>
      <c r="I84" s="25">
        <f t="shared" ca="1" si="6"/>
        <v>0</v>
      </c>
      <c r="J84" s="25">
        <f t="shared" ca="1" si="7"/>
        <v>0</v>
      </c>
    </row>
    <row r="85" spans="1:11" s="18" customFormat="1" ht="18" customHeight="1">
      <c r="A85" s="9" t="str">
        <f ca="1">IF(ROWS($1:72)&gt;COUNT(Dong14),"",OFFSET(TH!C$1,SMALL(Dong14,ROWS($1:72)),))</f>
        <v/>
      </c>
      <c r="B85" s="9" t="str">
        <f ca="1">IF(ROWS($1:72)&gt;COUNT(Dong14),"",OFFSET(TH!D$1,SMALL(Dong14,ROWS($1:72)),))</f>
        <v/>
      </c>
      <c r="C85" s="9" t="str">
        <f ca="1">IF(ROWS($1:72)&gt;COUNT(Dong14),"",OFFSET(TH!E$1,SMALL(Dong14,ROWS($1:72)),))</f>
        <v/>
      </c>
      <c r="D85" s="212" t="str">
        <f ca="1">IF(ROWS($1:72)&gt;COUNT(Dong14),"",OFFSET(TH!F$1,SMALL(Dong14,ROWS($1:72)),))</f>
        <v/>
      </c>
      <c r="E85" s="45" t="str">
        <f ca="1">IF(ROWS($1:72)&gt;COUNT(Dong14),"",IF(OFFSET(TH!L$1,SMALL(Dong14,ROWS($1:72)),)="331",OFFSET(TH!M$1,SMALL(Dong14,ROWS($1:72)),),OFFSET(TH!L$1,SMALL(Dong14,ROWS($1:72)),)))</f>
        <v/>
      </c>
      <c r="F85" s="45"/>
      <c r="G85" s="57" t="str">
        <f ca="1">IF(ROWS($1:72)&gt;COUNT(Dong14),"",IF(OFFSET(TH!L$1,SMALL(Dong14,ROWS($1:72)),)="131",OFFSET(TH!K$1,SMALL(Dong14,ROWS($1:72)),),0))</f>
        <v/>
      </c>
      <c r="H85" s="57" t="str">
        <f ca="1">IF(ROWS($1:72)&gt;COUNT(Dong14),"",IF(OFFSET(TH!M$1,SMALL(Dong14,ROWS($1:72)),)="131",OFFSET(TH!K$1,SMALL(Dong14,ROWS($1:72)),),0))</f>
        <v/>
      </c>
      <c r="I85" s="25">
        <f t="shared" ca="1" si="6"/>
        <v>0</v>
      </c>
      <c r="J85" s="25">
        <f t="shared" ca="1" si="7"/>
        <v>0</v>
      </c>
    </row>
    <row r="86" spans="1:11" s="18" customFormat="1" ht="18" customHeight="1">
      <c r="A86" s="9" t="str">
        <f ca="1">IF(ROWS($1:73)&gt;COUNT(Dong14),"",OFFSET(TH!C$1,SMALL(Dong14,ROWS($1:73)),))</f>
        <v/>
      </c>
      <c r="B86" s="9" t="str">
        <f ca="1">IF(ROWS($1:73)&gt;COUNT(Dong14),"",OFFSET(TH!D$1,SMALL(Dong14,ROWS($1:73)),))</f>
        <v/>
      </c>
      <c r="C86" s="9" t="str">
        <f ca="1">IF(ROWS($1:73)&gt;COUNT(Dong14),"",OFFSET(TH!E$1,SMALL(Dong14,ROWS($1:73)),))</f>
        <v/>
      </c>
      <c r="D86" s="212" t="str">
        <f ca="1">IF(ROWS($1:73)&gt;COUNT(Dong14),"",OFFSET(TH!F$1,SMALL(Dong14,ROWS($1:73)),))</f>
        <v/>
      </c>
      <c r="E86" s="45" t="str">
        <f ca="1">IF(ROWS($1:73)&gt;COUNT(Dong14),"",IF(OFFSET(TH!L$1,SMALL(Dong14,ROWS($1:73)),)="331",OFFSET(TH!M$1,SMALL(Dong14,ROWS($1:73)),),OFFSET(TH!L$1,SMALL(Dong14,ROWS($1:73)),)))</f>
        <v/>
      </c>
      <c r="F86" s="45"/>
      <c r="G86" s="57" t="str">
        <f ca="1">IF(ROWS($1:73)&gt;COUNT(Dong14),"",IF(OFFSET(TH!L$1,SMALL(Dong14,ROWS($1:73)),)="131",OFFSET(TH!K$1,SMALL(Dong14,ROWS($1:73)),),0))</f>
        <v/>
      </c>
      <c r="H86" s="57" t="str">
        <f ca="1">IF(ROWS($1:73)&gt;COUNT(Dong14),"",IF(OFFSET(TH!M$1,SMALL(Dong14,ROWS($1:73)),)="131",OFFSET(TH!K$1,SMALL(Dong14,ROWS($1:73)),),0))</f>
        <v/>
      </c>
      <c r="I86" s="25">
        <f t="shared" ca="1" si="6"/>
        <v>0</v>
      </c>
      <c r="J86" s="25">
        <f t="shared" ca="1" si="7"/>
        <v>0</v>
      </c>
    </row>
    <row r="87" spans="1:11" s="18" customFormat="1" ht="18" customHeight="1">
      <c r="A87" s="9" t="str">
        <f ca="1">IF(ROWS($1:74)&gt;COUNT(Dong14),"",OFFSET(TH!C$1,SMALL(Dong14,ROWS($1:74)),))</f>
        <v/>
      </c>
      <c r="B87" s="9" t="str">
        <f ca="1">IF(ROWS($1:74)&gt;COUNT(Dong14),"",OFFSET(TH!D$1,SMALL(Dong14,ROWS($1:74)),))</f>
        <v/>
      </c>
      <c r="C87" s="9" t="str">
        <f ca="1">IF(ROWS($1:74)&gt;COUNT(Dong14),"",OFFSET(TH!E$1,SMALL(Dong14,ROWS($1:74)),))</f>
        <v/>
      </c>
      <c r="D87" s="212" t="str">
        <f ca="1">IF(ROWS($1:74)&gt;COUNT(Dong14),"",OFFSET(TH!F$1,SMALL(Dong14,ROWS($1:74)),))</f>
        <v/>
      </c>
      <c r="E87" s="45" t="str">
        <f ca="1">IF(ROWS($1:74)&gt;COUNT(Dong14),"",IF(OFFSET(TH!L$1,SMALL(Dong14,ROWS($1:74)),)="331",OFFSET(TH!M$1,SMALL(Dong14,ROWS($1:74)),),OFFSET(TH!L$1,SMALL(Dong14,ROWS($1:74)),)))</f>
        <v/>
      </c>
      <c r="F87" s="45"/>
      <c r="G87" s="57" t="str">
        <f ca="1">IF(ROWS($1:74)&gt;COUNT(Dong14),"",IF(OFFSET(TH!L$1,SMALL(Dong14,ROWS($1:74)),)="131",OFFSET(TH!K$1,SMALL(Dong14,ROWS($1:74)),),0))</f>
        <v/>
      </c>
      <c r="H87" s="57" t="str">
        <f ca="1">IF(ROWS($1:74)&gt;COUNT(Dong14),"",IF(OFFSET(TH!M$1,SMALL(Dong14,ROWS($1:74)),)="131",OFFSET(TH!K$1,SMALL(Dong14,ROWS($1:74)),),0))</f>
        <v/>
      </c>
      <c r="I87" s="25">
        <f t="shared" ca="1" si="6"/>
        <v>0</v>
      </c>
      <c r="J87" s="25">
        <f t="shared" ca="1" si="7"/>
        <v>0</v>
      </c>
    </row>
    <row r="88" spans="1:11" s="18" customFormat="1" ht="18" customHeight="1">
      <c r="A88" s="9" t="str">
        <f ca="1">IF(ROWS($1:75)&gt;COUNT(Dong14),"",OFFSET(TH!C$1,SMALL(Dong14,ROWS($1:75)),))</f>
        <v/>
      </c>
      <c r="B88" s="9" t="str">
        <f ca="1">IF(ROWS($1:75)&gt;COUNT(Dong14),"",OFFSET(TH!D$1,SMALL(Dong14,ROWS($1:75)),))</f>
        <v/>
      </c>
      <c r="C88" s="9" t="str">
        <f ca="1">IF(ROWS($1:75)&gt;COUNT(Dong14),"",OFFSET(TH!E$1,SMALL(Dong14,ROWS($1:75)),))</f>
        <v/>
      </c>
      <c r="D88" s="212" t="str">
        <f ca="1">IF(ROWS($1:75)&gt;COUNT(Dong14),"",OFFSET(TH!F$1,SMALL(Dong14,ROWS($1:75)),))</f>
        <v/>
      </c>
      <c r="E88" s="45" t="str">
        <f ca="1">IF(ROWS($1:75)&gt;COUNT(Dong14),"",IF(OFFSET(TH!L$1,SMALL(Dong14,ROWS($1:75)),)="331",OFFSET(TH!M$1,SMALL(Dong14,ROWS($1:75)),),OFFSET(TH!L$1,SMALL(Dong14,ROWS($1:75)),)))</f>
        <v/>
      </c>
      <c r="F88" s="45"/>
      <c r="G88" s="57" t="str">
        <f ca="1">IF(ROWS($1:75)&gt;COUNT(Dong14),"",IF(OFFSET(TH!L$1,SMALL(Dong14,ROWS($1:75)),)="131",OFFSET(TH!K$1,SMALL(Dong14,ROWS($1:75)),),0))</f>
        <v/>
      </c>
      <c r="H88" s="57" t="str">
        <f ca="1">IF(ROWS($1:75)&gt;COUNT(Dong14),"",IF(OFFSET(TH!M$1,SMALL(Dong14,ROWS($1:75)),)="131",OFFSET(TH!K$1,SMALL(Dong14,ROWS($1:75)),),0))</f>
        <v/>
      </c>
      <c r="I88" s="25">
        <f t="shared" ca="1" si="6"/>
        <v>0</v>
      </c>
      <c r="J88" s="25">
        <f t="shared" ca="1" si="7"/>
        <v>0</v>
      </c>
    </row>
    <row r="89" spans="1:11" s="18" customFormat="1" ht="18" customHeight="1">
      <c r="A89" s="9" t="str">
        <f ca="1">IF(ROWS($1:76)&gt;COUNT(Dong14),"",OFFSET(TH!C$1,SMALL(Dong14,ROWS($1:76)),))</f>
        <v/>
      </c>
      <c r="B89" s="9" t="str">
        <f ca="1">IF(ROWS($1:76)&gt;COUNT(Dong14),"",OFFSET(TH!D$1,SMALL(Dong14,ROWS($1:76)),))</f>
        <v/>
      </c>
      <c r="C89" s="9" t="str">
        <f ca="1">IF(ROWS($1:76)&gt;COUNT(Dong14),"",OFFSET(TH!E$1,SMALL(Dong14,ROWS($1:76)),))</f>
        <v/>
      </c>
      <c r="D89" s="212" t="str">
        <f ca="1">IF(ROWS($1:76)&gt;COUNT(Dong14),"",OFFSET(TH!F$1,SMALL(Dong14,ROWS($1:76)),))</f>
        <v/>
      </c>
      <c r="E89" s="45" t="str">
        <f ca="1">IF(ROWS($1:76)&gt;COUNT(Dong14),"",IF(OFFSET(TH!L$1,SMALL(Dong14,ROWS($1:76)),)="331",OFFSET(TH!M$1,SMALL(Dong14,ROWS($1:76)),),OFFSET(TH!L$1,SMALL(Dong14,ROWS($1:76)),)))</f>
        <v/>
      </c>
      <c r="F89" s="45"/>
      <c r="G89" s="57" t="str">
        <f ca="1">IF(ROWS($1:76)&gt;COUNT(Dong14),"",IF(OFFSET(TH!L$1,SMALL(Dong14,ROWS($1:76)),)="131",OFFSET(TH!K$1,SMALL(Dong14,ROWS($1:76)),),0))</f>
        <v/>
      </c>
      <c r="H89" s="57" t="str">
        <f ca="1">IF(ROWS($1:76)&gt;COUNT(Dong14),"",IF(OFFSET(TH!M$1,SMALL(Dong14,ROWS($1:76)),)="131",OFFSET(TH!K$1,SMALL(Dong14,ROWS($1:76)),),0))</f>
        <v/>
      </c>
      <c r="I89" s="25">
        <f t="shared" ca="1" si="6"/>
        <v>0</v>
      </c>
      <c r="J89" s="25">
        <f t="shared" ca="1" si="7"/>
        <v>0</v>
      </c>
    </row>
    <row r="90" spans="1:11" s="18" customFormat="1" ht="18" customHeight="1">
      <c r="A90" s="9" t="str">
        <f ca="1">IF(ROWS($1:77)&gt;COUNT(Dong14),"",OFFSET(TH!C$1,SMALL(Dong14,ROWS($1:77)),))</f>
        <v/>
      </c>
      <c r="B90" s="9" t="str">
        <f ca="1">IF(ROWS($1:77)&gt;COUNT(Dong14),"",OFFSET(TH!D$1,SMALL(Dong14,ROWS($1:77)),))</f>
        <v/>
      </c>
      <c r="C90" s="9" t="str">
        <f ca="1">IF(ROWS($1:77)&gt;COUNT(Dong14),"",OFFSET(TH!E$1,SMALL(Dong14,ROWS($1:77)),))</f>
        <v/>
      </c>
      <c r="D90" s="212" t="str">
        <f ca="1">IF(ROWS($1:77)&gt;COUNT(Dong14),"",OFFSET(TH!F$1,SMALL(Dong14,ROWS($1:77)),))</f>
        <v/>
      </c>
      <c r="E90" s="45" t="str">
        <f ca="1">IF(ROWS($1:77)&gt;COUNT(Dong14),"",IF(OFFSET(TH!L$1,SMALL(Dong14,ROWS($1:77)),)="331",OFFSET(TH!M$1,SMALL(Dong14,ROWS($1:77)),),OFFSET(TH!L$1,SMALL(Dong14,ROWS($1:77)),)))</f>
        <v/>
      </c>
      <c r="F90" s="45"/>
      <c r="G90" s="57" t="str">
        <f ca="1">IF(ROWS($1:77)&gt;COUNT(Dong14),"",IF(OFFSET(TH!L$1,SMALL(Dong14,ROWS($1:77)),)="131",OFFSET(TH!K$1,SMALL(Dong14,ROWS($1:77)),),0))</f>
        <v/>
      </c>
      <c r="H90" s="57" t="str">
        <f ca="1">IF(ROWS($1:77)&gt;COUNT(Dong14),"",IF(OFFSET(TH!M$1,SMALL(Dong14,ROWS($1:77)),)="131",OFFSET(TH!K$1,SMALL(Dong14,ROWS($1:77)),),0))</f>
        <v/>
      </c>
      <c r="I90" s="25">
        <f t="shared" ca="1" si="6"/>
        <v>0</v>
      </c>
      <c r="J90" s="25">
        <f t="shared" ca="1" si="7"/>
        <v>0</v>
      </c>
    </row>
    <row r="91" spans="1:11" s="18" customFormat="1" ht="18" customHeight="1">
      <c r="A91" s="9"/>
      <c r="B91" s="9"/>
      <c r="C91" s="9"/>
      <c r="D91" s="212"/>
      <c r="E91" s="45"/>
      <c r="F91" s="45"/>
      <c r="G91" s="57"/>
      <c r="H91" s="57"/>
      <c r="I91" s="25"/>
      <c r="J91" s="25"/>
    </row>
    <row r="92" spans="1:11" s="18" customFormat="1" ht="18" customHeight="1">
      <c r="A92" s="24"/>
      <c r="B92" s="584"/>
      <c r="C92" s="26"/>
      <c r="D92" s="23" t="s">
        <v>33</v>
      </c>
      <c r="E92" s="584" t="s">
        <v>19</v>
      </c>
      <c r="F92" s="584" t="s">
        <v>19</v>
      </c>
      <c r="G92" s="27">
        <f ca="1">SUM(G14:G30)</f>
        <v>23265000</v>
      </c>
      <c r="H92" s="27">
        <f ca="1">SUM(H14:H30)</f>
        <v>15950000</v>
      </c>
      <c r="I92" s="27" t="s">
        <v>19</v>
      </c>
      <c r="J92" s="27" t="s">
        <v>19</v>
      </c>
    </row>
    <row r="93" spans="1:11" s="18" customFormat="1" ht="18" customHeight="1">
      <c r="A93" s="24"/>
      <c r="B93" s="584"/>
      <c r="C93" s="584"/>
      <c r="D93" s="23" t="s">
        <v>10</v>
      </c>
      <c r="E93" s="584" t="s">
        <v>19</v>
      </c>
      <c r="F93" s="584" t="s">
        <v>19</v>
      </c>
      <c r="G93" s="27" t="s">
        <v>19</v>
      </c>
      <c r="H93" s="27" t="s">
        <v>19</v>
      </c>
      <c r="I93" s="27">
        <f ca="1">MAX(I13+G92-H92-J13,0)</f>
        <v>7315000</v>
      </c>
      <c r="J93" s="27">
        <f ca="1">MAX(J13+H92-G92-I13,0)</f>
        <v>0</v>
      </c>
    </row>
    <row r="94" spans="1:11" s="18" customFormat="1" ht="6" customHeight="1">
      <c r="B94" s="578"/>
      <c r="C94" s="578"/>
      <c r="E94" s="578"/>
    </row>
    <row r="95" spans="1:11" s="18" customFormat="1" ht="14.25" customHeight="1">
      <c r="A95" s="28" t="s">
        <v>152</v>
      </c>
      <c r="B95" s="578"/>
      <c r="C95" s="578"/>
      <c r="E95" s="578"/>
      <c r="K95" s="28" t="s">
        <v>152</v>
      </c>
    </row>
    <row r="96" spans="1:11" s="18" customFormat="1" ht="14.25" customHeight="1">
      <c r="A96" s="28" t="str">
        <f ca="1">"- Ngày mở sổ: "&amp;DAY($A$14)&amp;"/"&amp;MONTH($A$14)&amp;"/ " &amp;YEAR($A$14)</f>
        <v>- Ngày mở sổ: 1/9/ 2015</v>
      </c>
      <c r="B96" s="578"/>
      <c r="C96" s="578"/>
      <c r="E96" s="578"/>
      <c r="K96" s="28" t="s">
        <v>34</v>
      </c>
    </row>
    <row r="97" spans="2:10" s="18" customFormat="1" ht="14.25" customHeight="1">
      <c r="B97" s="578"/>
      <c r="C97" s="578"/>
      <c r="E97" s="1012" t="str">
        <f ca="1">"Ngày 31 tháng  12  năm  "&amp;YEAR($A$14)</f>
        <v>Ngày 31 tháng  12  năm  2015</v>
      </c>
      <c r="F97" s="1012"/>
      <c r="G97" s="1012"/>
      <c r="H97" s="1012"/>
      <c r="I97" s="1012"/>
      <c r="J97" s="1012"/>
    </row>
    <row r="98" spans="2:10" s="18" customFormat="1" ht="14.25" customHeight="1">
      <c r="C98" s="578" t="s">
        <v>11</v>
      </c>
      <c r="E98" s="1012" t="s">
        <v>12</v>
      </c>
      <c r="F98" s="1012"/>
      <c r="G98" s="1012"/>
      <c r="H98" s="1012"/>
      <c r="I98" s="1012"/>
      <c r="J98" s="1012"/>
    </row>
    <row r="99" spans="2:10" s="18" customFormat="1" ht="14.25" customHeight="1">
      <c r="C99" s="578" t="s">
        <v>13</v>
      </c>
      <c r="E99" s="1012" t="s">
        <v>13</v>
      </c>
      <c r="F99" s="1012"/>
      <c r="G99" s="1012"/>
      <c r="H99" s="1012"/>
      <c r="I99" s="1012"/>
      <c r="J99" s="1012"/>
    </row>
    <row r="100" spans="2:10" s="29" customFormat="1"/>
    <row r="106" spans="2:10" ht="15">
      <c r="C106" s="579" t="s">
        <v>151</v>
      </c>
    </row>
  </sheetData>
  <autoFilter ref="A12:J25"/>
  <mergeCells count="15">
    <mergeCell ref="A10:A11"/>
    <mergeCell ref="B10:C10"/>
    <mergeCell ref="D10:D11"/>
    <mergeCell ref="E10:E11"/>
    <mergeCell ref="F10:F11"/>
    <mergeCell ref="H1:J1"/>
    <mergeCell ref="H2:J3"/>
    <mergeCell ref="A4:J4"/>
    <mergeCell ref="E7:H7"/>
    <mergeCell ref="C9:J9"/>
    <mergeCell ref="G10:H10"/>
    <mergeCell ref="I10:J10"/>
    <mergeCell ref="E97:J97"/>
    <mergeCell ref="E98:J98"/>
    <mergeCell ref="E99:J99"/>
  </mergeCells>
  <dataValidations count="1">
    <dataValidation type="list" allowBlank="1" showInputMessage="1" showErrorMessage="1" sqref="E7:H7">
      <formula1>DS_131</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26"/>
  <sheetViews>
    <sheetView showZeros="0" topLeftCell="A3" workbookViewId="0">
      <pane ySplit="3" topLeftCell="A6" activePane="bottomLeft" state="frozen"/>
      <selection activeCell="A3" sqref="A3"/>
      <selection pane="bottomLeft" activeCell="B17" sqref="B17"/>
    </sheetView>
  </sheetViews>
  <sheetFormatPr defaultColWidth="8" defaultRowHeight="13.5"/>
  <cols>
    <col min="1" max="1" width="5.5703125" style="179" customWidth="1"/>
    <col min="2" max="2" width="59.140625" style="179" customWidth="1"/>
    <col min="3" max="8" width="16.42578125" style="179" customWidth="1"/>
    <col min="9" max="16384" width="8" style="179"/>
  </cols>
  <sheetData>
    <row r="1" spans="1:9">
      <c r="A1" s="797" t="str">
        <f>TH!$A$1</f>
        <v>Đơn vị: CÔNG TY TNHH MỘT THÀNH VIÊN KHỞI NGUYÊN AN</v>
      </c>
    </row>
    <row r="2" spans="1:9">
      <c r="A2" s="798" t="str">
        <f>TH!$A$2</f>
        <v>Địa chỉ: Thửa đất số 144, tờ bản đồ số 12TĐH.1, tổ 1, khu phố Đông Tác, Phường Tân Đông Hiệp, Thị Xã Dĩ An, Tỉnh Bình Dương, Việt Nam</v>
      </c>
    </row>
    <row r="3" spans="1:9" ht="27" customHeight="1">
      <c r="A3" s="1048" t="s">
        <v>102</v>
      </c>
      <c r="B3" s="1048"/>
      <c r="C3" s="1048"/>
      <c r="D3" s="1048"/>
      <c r="E3" s="1048"/>
      <c r="F3" s="1048"/>
      <c r="G3" s="1048"/>
      <c r="H3" s="1048"/>
    </row>
    <row r="4" spans="1:9" s="10" customFormat="1" ht="14.25" customHeight="1">
      <c r="A4" s="1049" t="s">
        <v>35</v>
      </c>
      <c r="B4" s="1051" t="s">
        <v>36</v>
      </c>
      <c r="C4" s="1053" t="s">
        <v>37</v>
      </c>
      <c r="D4" s="1054"/>
      <c r="E4" s="1053" t="s">
        <v>38</v>
      </c>
      <c r="F4" s="1054"/>
      <c r="G4" s="1053" t="s">
        <v>41</v>
      </c>
      <c r="H4" s="1054"/>
    </row>
    <row r="5" spans="1:9" s="10" customFormat="1" ht="14.25" customHeight="1">
      <c r="A5" s="1050"/>
      <c r="B5" s="1052"/>
      <c r="C5" s="195" t="s">
        <v>42</v>
      </c>
      <c r="D5" s="195" t="s">
        <v>43</v>
      </c>
      <c r="E5" s="195" t="s">
        <v>42</v>
      </c>
      <c r="F5" s="195" t="s">
        <v>43</v>
      </c>
      <c r="G5" s="195" t="s">
        <v>42</v>
      </c>
      <c r="H5" s="195" t="s">
        <v>43</v>
      </c>
    </row>
    <row r="6" spans="1:9" s="10" customFormat="1" ht="16.5" customHeight="1">
      <c r="A6" s="6">
        <f>IF(B6&lt;&gt;"",ROW()-5,"")</f>
        <v>1</v>
      </c>
      <c r="B6" s="7" t="s">
        <v>466</v>
      </c>
      <c r="C6" s="8"/>
      <c r="D6" s="8"/>
      <c r="E6" s="8">
        <f t="array" ref="E6">SUM(IF("331"&amp;B6=KHN&amp;KH,TH))</f>
        <v>68082815</v>
      </c>
      <c r="F6" s="8">
        <f t="array" ref="F6">SUM(IF("331"&amp;B6=KHC&amp;KH,TH))</f>
        <v>68082815</v>
      </c>
      <c r="G6" s="54">
        <f t="shared" ref="G6:G7" si="0">ROUND(MAX(C6+E6-D6-F6,0),2)</f>
        <v>0</v>
      </c>
      <c r="H6" s="54">
        <f t="shared" ref="H6:H7" si="1">ROUND(MAX(D6+F6-C6-E6,0),2)</f>
        <v>0</v>
      </c>
      <c r="I6" s="10" t="str">
        <f>IF(ISNA(VLOOKUP(B6,'[27]331'!$B$4:$B$15,1,0)),"","x")</f>
        <v/>
      </c>
    </row>
    <row r="7" spans="1:9" s="10" customFormat="1" ht="16.5" customHeight="1">
      <c r="A7" s="6">
        <f t="shared" ref="A7" si="2">IF(B7&lt;&gt;"",ROW()-5,"")</f>
        <v>2</v>
      </c>
      <c r="B7" s="7" t="s">
        <v>494</v>
      </c>
      <c r="C7" s="8"/>
      <c r="D7" s="8"/>
      <c r="E7" s="8">
        <f t="array" ref="E7">SUM(IF("331"&amp;B7=KHN&amp;KH,TH))</f>
        <v>837210441</v>
      </c>
      <c r="F7" s="8">
        <f t="array" ref="F7">SUM(IF("331"&amp;B7=KHC&amp;KH,TH))</f>
        <v>837210441</v>
      </c>
      <c r="G7" s="54">
        <f t="shared" si="0"/>
        <v>0</v>
      </c>
      <c r="H7" s="54">
        <f t="shared" si="1"/>
        <v>0</v>
      </c>
      <c r="I7" s="10" t="str">
        <f>IF(ISNA(VLOOKUP(B7,'[27]331'!$B$4:$B$15,1,0)),"","x")</f>
        <v/>
      </c>
    </row>
    <row r="8" spans="1:9" s="10" customFormat="1" ht="16.5" customHeight="1">
      <c r="A8" s="6">
        <f t="shared" ref="A8:A11" si="3">IF(B8&lt;&gt;"",ROW()-5,"")</f>
        <v>3</v>
      </c>
      <c r="B8" s="7" t="s">
        <v>509</v>
      </c>
      <c r="C8" s="8"/>
      <c r="D8" s="8"/>
      <c r="E8" s="8">
        <f t="array" ref="E8">SUM(IF("331"&amp;B8=KHN&amp;KH,TH))</f>
        <v>148525493</v>
      </c>
      <c r="F8" s="8">
        <f t="array" ref="F8">SUM(IF("331"&amp;B8=KHC&amp;KH,TH))</f>
        <v>148525493</v>
      </c>
      <c r="G8" s="750">
        <f t="shared" ref="G8:G11" si="4">ROUND(MAX(C8+E8-D8-F8,0),2)</f>
        <v>0</v>
      </c>
      <c r="H8" s="750">
        <f t="shared" ref="H8:H11" si="5">ROUND(MAX(D8+F8-C8-E8,0),2)</f>
        <v>0</v>
      </c>
    </row>
    <row r="9" spans="1:9" s="10" customFormat="1" ht="16.5" customHeight="1">
      <c r="A9" s="6">
        <f t="shared" si="3"/>
        <v>4</v>
      </c>
      <c r="B9" s="7" t="s">
        <v>543</v>
      </c>
      <c r="C9" s="8"/>
      <c r="D9" s="8"/>
      <c r="E9" s="8">
        <f t="array" ref="E9">SUM(IF("331"&amp;B9=KHN&amp;KH,TH))</f>
        <v>4510550</v>
      </c>
      <c r="F9" s="8">
        <f t="array" ref="F9">SUM(IF("331"&amp;B9=KHC&amp;KH,TH))</f>
        <v>4510550</v>
      </c>
      <c r="G9" s="750">
        <f t="shared" si="4"/>
        <v>0</v>
      </c>
      <c r="H9" s="750">
        <f t="shared" si="5"/>
        <v>0</v>
      </c>
    </row>
    <row r="10" spans="1:9" s="10" customFormat="1" ht="16.5" customHeight="1">
      <c r="A10" s="6">
        <f t="shared" si="3"/>
        <v>5</v>
      </c>
      <c r="B10" s="7" t="s">
        <v>564</v>
      </c>
      <c r="C10" s="8"/>
      <c r="D10" s="8"/>
      <c r="E10" s="8">
        <f t="array" ref="E10">SUM(IF("331"&amp;B10=KHN&amp;KH,TH))</f>
        <v>2584956</v>
      </c>
      <c r="F10" s="8">
        <f t="array" ref="F10">SUM(IF("331"&amp;B10=KHC&amp;KH,TH))</f>
        <v>2584956</v>
      </c>
      <c r="G10" s="750">
        <f t="shared" si="4"/>
        <v>0</v>
      </c>
      <c r="H10" s="750">
        <f t="shared" si="5"/>
        <v>0</v>
      </c>
    </row>
    <row r="11" spans="1:9" s="10" customFormat="1" ht="16.5" customHeight="1">
      <c r="A11" s="6">
        <f t="shared" si="3"/>
        <v>6</v>
      </c>
      <c r="B11" s="7" t="s">
        <v>448</v>
      </c>
      <c r="C11" s="8"/>
      <c r="D11" s="8"/>
      <c r="E11" s="8">
        <f t="array" ref="E11">SUM(IF("331"&amp;B11=KHN&amp;KH,TH))</f>
        <v>285900456</v>
      </c>
      <c r="F11" s="8">
        <f t="array" ref="F11">SUM(IF("331"&amp;B11=KHC&amp;KH,TH))</f>
        <v>505299296</v>
      </c>
      <c r="G11" s="750">
        <f t="shared" si="4"/>
        <v>0</v>
      </c>
      <c r="H11" s="750">
        <f t="shared" si="5"/>
        <v>219398840</v>
      </c>
    </row>
    <row r="12" spans="1:9" s="10" customFormat="1" ht="16.5" customHeight="1">
      <c r="A12" s="6">
        <f t="shared" ref="A12:A17" si="6">IF(B12&lt;&gt;"",ROW()-5,"")</f>
        <v>7</v>
      </c>
      <c r="B12" s="7" t="s">
        <v>842</v>
      </c>
      <c r="C12" s="8"/>
      <c r="D12" s="8"/>
      <c r="E12" s="8">
        <f t="array" ref="E12">SUM(IF("331"&amp;B12=KHN&amp;KH,TH))</f>
        <v>0</v>
      </c>
      <c r="F12" s="8">
        <f t="array" ref="F12">SUM(IF("331"&amp;B12=KHC&amp;KH,TH))</f>
        <v>97640136</v>
      </c>
      <c r="G12" s="750">
        <f t="shared" ref="G12:G17" si="7">ROUND(MAX(C12+E12-D12-F12,0),2)</f>
        <v>0</v>
      </c>
      <c r="H12" s="750">
        <f t="shared" ref="H12:H17" si="8">ROUND(MAX(D12+F12-C12-E12,0),2)</f>
        <v>97640136</v>
      </c>
    </row>
    <row r="13" spans="1:9" s="10" customFormat="1" ht="16.5" customHeight="1">
      <c r="A13" s="6">
        <f t="shared" si="6"/>
        <v>8</v>
      </c>
      <c r="B13" s="7" t="s">
        <v>892</v>
      </c>
      <c r="C13" s="8"/>
      <c r="D13" s="8"/>
      <c r="E13" s="8">
        <f t="array" ref="E13">SUM(IF("331"&amp;B13=KHN&amp;KH,TH))</f>
        <v>789888</v>
      </c>
      <c r="F13" s="8">
        <f t="array" ref="F13">SUM(IF("331"&amp;B13=KHC&amp;KH,TH))</f>
        <v>71796416</v>
      </c>
      <c r="G13" s="750">
        <f t="shared" si="7"/>
        <v>0</v>
      </c>
      <c r="H13" s="750">
        <f t="shared" si="8"/>
        <v>71006528</v>
      </c>
    </row>
    <row r="14" spans="1:9" s="10" customFormat="1" ht="16.5" customHeight="1">
      <c r="A14" s="6">
        <f t="shared" si="6"/>
        <v>9</v>
      </c>
      <c r="B14" s="7" t="s">
        <v>904</v>
      </c>
      <c r="C14" s="8"/>
      <c r="D14" s="8"/>
      <c r="E14" s="8">
        <f t="array" ref="E14">SUM(IF("331"&amp;B14=KHN&amp;KH,TH))</f>
        <v>0</v>
      </c>
      <c r="F14" s="8">
        <f t="array" ref="F14">SUM(IF("331"&amp;B14=KHC&amp;KH,TH))</f>
        <v>162637223</v>
      </c>
      <c r="G14" s="750">
        <f t="shared" si="7"/>
        <v>0</v>
      </c>
      <c r="H14" s="750">
        <f t="shared" si="8"/>
        <v>162637223</v>
      </c>
    </row>
    <row r="15" spans="1:9" s="10" customFormat="1" ht="16.5" customHeight="1">
      <c r="A15" s="6">
        <f t="shared" si="6"/>
        <v>10</v>
      </c>
      <c r="B15" s="7" t="s">
        <v>957</v>
      </c>
      <c r="C15" s="8"/>
      <c r="D15" s="8"/>
      <c r="E15" s="8">
        <f t="array" ref="E15">SUM(IF("331"&amp;B15=KHN&amp;KH,TH))</f>
        <v>0</v>
      </c>
      <c r="F15" s="8">
        <f t="array" ref="F15">SUM(IF("331"&amp;B15=KHC&amp;KH,TH))</f>
        <v>240559220</v>
      </c>
      <c r="G15" s="750">
        <f t="shared" si="7"/>
        <v>0</v>
      </c>
      <c r="H15" s="750">
        <f t="shared" si="8"/>
        <v>240559220</v>
      </c>
    </row>
    <row r="16" spans="1:9" s="10" customFormat="1" ht="16.5" customHeight="1">
      <c r="A16" s="6">
        <f t="shared" si="6"/>
        <v>11</v>
      </c>
      <c r="B16" s="191" t="s">
        <v>958</v>
      </c>
      <c r="C16" s="8"/>
      <c r="D16" s="8">
        <v>33400573</v>
      </c>
      <c r="E16" s="8">
        <f t="array" ref="E16">SUM(IF("331"&amp;B16=KHN&amp;KH,TH))</f>
        <v>33400573</v>
      </c>
      <c r="F16" s="8">
        <f t="array" ref="F16">SUM(IF("331"&amp;B16=KHC&amp;KH,TH))</f>
        <v>0</v>
      </c>
      <c r="G16" s="750">
        <f t="shared" si="7"/>
        <v>0</v>
      </c>
      <c r="H16" s="750">
        <f t="shared" si="8"/>
        <v>0</v>
      </c>
    </row>
    <row r="17" spans="1:9" s="10" customFormat="1" ht="16.5" customHeight="1">
      <c r="A17" s="6">
        <f t="shared" si="6"/>
        <v>12</v>
      </c>
      <c r="B17" s="191" t="s">
        <v>959</v>
      </c>
      <c r="C17" s="8"/>
      <c r="D17" s="8">
        <v>62381000</v>
      </c>
      <c r="E17" s="8">
        <f t="array" ref="E17">SUM(IF("331"&amp;B17=KHN&amp;KH,TH))</f>
        <v>62381000</v>
      </c>
      <c r="F17" s="8">
        <f t="array" ref="F17">SUM(IF("331"&amp;B17=KHC&amp;KH,TH))</f>
        <v>0</v>
      </c>
      <c r="G17" s="750">
        <f t="shared" si="7"/>
        <v>0</v>
      </c>
      <c r="H17" s="750">
        <f t="shared" si="8"/>
        <v>0</v>
      </c>
    </row>
    <row r="18" spans="1:9" s="10" customFormat="1" ht="16.5" customHeight="1">
      <c r="A18" s="6">
        <f t="shared" ref="A18" si="9">IF(B18&lt;&gt;"",ROW()-5,"")</f>
        <v>13</v>
      </c>
      <c r="B18" s="191" t="s">
        <v>732</v>
      </c>
      <c r="C18" s="8"/>
      <c r="D18" s="8"/>
      <c r="E18" s="8">
        <f t="array" ref="E18">SUM(IF("331"&amp;B18=KHN&amp;KH,TH))</f>
        <v>55005632</v>
      </c>
      <c r="F18" s="8">
        <f t="array" ref="F18">SUM(IF("331"&amp;B18=KHC&amp;KH,TH))</f>
        <v>55005632</v>
      </c>
      <c r="G18" s="750">
        <f t="shared" ref="G18" si="10">ROUND(MAX(C18+E18-D18-F18,0),2)</f>
        <v>0</v>
      </c>
      <c r="H18" s="750">
        <f t="shared" ref="H18" si="11">ROUND(MAX(D18+F18-C18-E18,0),2)</f>
        <v>0</v>
      </c>
    </row>
    <row r="19" spans="1:9" s="10" customFormat="1" ht="16.5" customHeight="1">
      <c r="A19" s="6" t="str">
        <f>IF(B19&lt;&gt;"",ROW()-3,"")</f>
        <v/>
      </c>
      <c r="B19" s="44"/>
      <c r="C19" s="8"/>
      <c r="D19" s="8"/>
      <c r="E19" s="456"/>
      <c r="F19" s="456"/>
      <c r="G19" s="457"/>
      <c r="H19" s="457"/>
      <c r="I19" s="10" t="str">
        <f>IF(ISNA(VLOOKUP(B19,'[27]331'!$B$4:$B$15,1,0)),"","x")</f>
        <v/>
      </c>
    </row>
    <row r="20" spans="1:9" s="14" customFormat="1" ht="14.25" customHeight="1">
      <c r="A20" s="11"/>
      <c r="B20" s="12" t="s">
        <v>39</v>
      </c>
      <c r="C20" s="13">
        <f t="shared" ref="C20:H20" si="12">SUM(C6:C19)</f>
        <v>0</v>
      </c>
      <c r="D20" s="13">
        <f t="shared" si="12"/>
        <v>95781573</v>
      </c>
      <c r="E20" s="13">
        <f t="shared" si="12"/>
        <v>1498391804</v>
      </c>
      <c r="F20" s="13">
        <f t="shared" si="12"/>
        <v>2193852178</v>
      </c>
      <c r="G20" s="13">
        <f t="shared" si="12"/>
        <v>0</v>
      </c>
      <c r="H20" s="13">
        <f t="shared" si="12"/>
        <v>791241947</v>
      </c>
    </row>
    <row r="21" spans="1:9">
      <c r="E21" s="15"/>
      <c r="F21" s="15"/>
    </row>
    <row r="22" spans="1:9">
      <c r="E22" s="15">
        <f>E20-CDPS!E21</f>
        <v>0</v>
      </c>
      <c r="F22" s="15">
        <f>F20-CDPS!F21</f>
        <v>0</v>
      </c>
    </row>
    <row r="24" spans="1:9">
      <c r="E24" s="15"/>
      <c r="F24" s="1047" t="s">
        <v>404</v>
      </c>
      <c r="G24" s="1047"/>
      <c r="H24" s="1047"/>
    </row>
    <row r="25" spans="1:9">
      <c r="F25" s="1047" t="s">
        <v>109</v>
      </c>
      <c r="G25" s="1047"/>
      <c r="H25" s="1047"/>
    </row>
    <row r="26" spans="1:9">
      <c r="E26" s="181"/>
      <c r="F26" s="1047" t="s">
        <v>136</v>
      </c>
      <c r="G26" s="1047"/>
      <c r="H26" s="1047"/>
    </row>
  </sheetData>
  <mergeCells count="9">
    <mergeCell ref="F24:H24"/>
    <mergeCell ref="F25:H25"/>
    <mergeCell ref="F26:H26"/>
    <mergeCell ref="A3:H3"/>
    <mergeCell ref="G4:H4"/>
    <mergeCell ref="A4:A5"/>
    <mergeCell ref="B4:B5"/>
    <mergeCell ref="C4:D4"/>
    <mergeCell ref="E4:F4"/>
  </mergeCells>
  <phoneticPr fontId="21" type="noConversion"/>
  <printOptions horizontalCentered="1"/>
  <pageMargins left="0.6" right="0.2" top="0.3" bottom="0.3" header="0.1" footer="0.1"/>
  <pageSetup paperSize="9" scale="85" orientation="landscape"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173"/>
  <sheetViews>
    <sheetView topLeftCell="A6" workbookViewId="0">
      <pane ySplit="8" topLeftCell="A14" activePane="bottomLeft" state="frozen"/>
      <selection activeCell="A6" sqref="A6"/>
      <selection pane="bottomLeft" activeCell="J15" sqref="J1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588" t="str">
        <f>TH!A1</f>
        <v>Đơn vị: CÔNG TY TNHH MỘT THÀNH VIÊN KHỞI NGUYÊN AN</v>
      </c>
      <c r="B1" s="16"/>
      <c r="C1" s="16"/>
      <c r="G1" s="2"/>
      <c r="H1" s="1057" t="s">
        <v>46</v>
      </c>
      <c r="I1" s="1057"/>
      <c r="J1" s="1057"/>
    </row>
    <row r="2" spans="1:10" s="3" customFormat="1" ht="14.25" customHeight="1">
      <c r="A2" s="587" t="str">
        <f>TH!A2</f>
        <v>Địa chỉ: Thửa đất số 144, tờ bản đồ số 12TĐH.1, tổ 1, khu phố Đông Tác, Phường Tân Đông Hiệp, Thị Xã Dĩ An, Tỉnh Bình Dương, Việt Nam</v>
      </c>
      <c r="B2" s="16"/>
      <c r="C2" s="16"/>
      <c r="G2" s="17"/>
      <c r="H2" s="1058" t="str">
        <f ca="1">IF(YEAR($A$14)&gt;=2015,"(Ban hành theo Thông tư số 200/2014/TT-BTC  Ngày 22/12/2014 của Bộ Tài chính)","(Ban hành kèm theo QĐ 48/2006/QĐ-BTC ngày 24/09/2006 của Bộ trưởng BTC)")</f>
        <v>(Ban hành theo Thông tư số 200/2014/TT-BTC  Ngày 22/12/2014 của Bộ Tài chính)</v>
      </c>
      <c r="I2" s="1058"/>
      <c r="J2" s="1058"/>
    </row>
    <row r="3" spans="1:10" s="3" customFormat="1" ht="14.25" customHeight="1">
      <c r="A3" s="4"/>
      <c r="B3" s="16"/>
      <c r="C3" s="16"/>
      <c r="G3" s="17"/>
      <c r="H3" s="1058"/>
      <c r="I3" s="1058"/>
      <c r="J3" s="1058"/>
    </row>
    <row r="4" spans="1:10" s="5" customFormat="1" ht="28.5" customHeight="1">
      <c r="A4" s="1059" t="s">
        <v>26</v>
      </c>
      <c r="B4" s="1059"/>
      <c r="C4" s="1059"/>
      <c r="D4" s="1059"/>
      <c r="E4" s="1059"/>
      <c r="F4" s="1059"/>
      <c r="G4" s="1059"/>
      <c r="H4" s="1059"/>
      <c r="I4" s="1059"/>
      <c r="J4" s="1059"/>
    </row>
    <row r="5" spans="1:10" s="18" customFormat="1" ht="14.25" customHeight="1">
      <c r="E5" s="19" t="s">
        <v>27</v>
      </c>
    </row>
    <row r="6" spans="1:10" s="18" customFormat="1" ht="14.25" customHeight="1">
      <c r="E6" s="19" t="s">
        <v>28</v>
      </c>
    </row>
    <row r="7" spans="1:10" s="18" customFormat="1" ht="14.25" customHeight="1">
      <c r="D7" s="20" t="s">
        <v>45</v>
      </c>
      <c r="E7" s="1060" t="s">
        <v>959</v>
      </c>
      <c r="F7" s="1060"/>
      <c r="G7" s="1060"/>
      <c r="H7" s="1060"/>
    </row>
    <row r="8" spans="1:10" s="18" customFormat="1" ht="14.25" customHeight="1">
      <c r="E8" s="19" t="s">
        <v>29</v>
      </c>
    </row>
    <row r="9" spans="1:10" s="18" customFormat="1" ht="6.75" customHeight="1">
      <c r="B9" s="19"/>
      <c r="C9" s="1061"/>
      <c r="D9" s="1061"/>
      <c r="E9" s="1061"/>
      <c r="F9" s="1061"/>
      <c r="G9" s="1061"/>
      <c r="H9" s="1061"/>
      <c r="I9" s="1061"/>
      <c r="J9" s="1061"/>
    </row>
    <row r="10" spans="1:10" s="18" customFormat="1" ht="14.25" customHeight="1">
      <c r="A10" s="1024" t="s">
        <v>20</v>
      </c>
      <c r="B10" s="1062" t="s">
        <v>1</v>
      </c>
      <c r="C10" s="1062"/>
      <c r="D10" s="1024" t="s">
        <v>0</v>
      </c>
      <c r="E10" s="1024" t="s">
        <v>14</v>
      </c>
      <c r="F10" s="1024" t="s">
        <v>30</v>
      </c>
      <c r="G10" s="1055" t="s">
        <v>21</v>
      </c>
      <c r="H10" s="1056"/>
      <c r="I10" s="1055" t="s">
        <v>31</v>
      </c>
      <c r="J10" s="1056"/>
    </row>
    <row r="11" spans="1:10" s="18" customFormat="1" ht="24.75" customHeight="1">
      <c r="A11" s="1024"/>
      <c r="B11" s="30" t="s">
        <v>15</v>
      </c>
      <c r="C11" s="30" t="s">
        <v>32</v>
      </c>
      <c r="D11" s="1024"/>
      <c r="E11" s="1024"/>
      <c r="F11" s="1024"/>
      <c r="G11" s="30" t="s">
        <v>22</v>
      </c>
      <c r="H11" s="30" t="s">
        <v>23</v>
      </c>
      <c r="I11" s="30" t="s">
        <v>22</v>
      </c>
      <c r="J11" s="30" t="s">
        <v>23</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46">
        <f>VLOOKUP($E$7,'331'!$B$6:$H$19,2,0)</f>
        <v>0</v>
      </c>
      <c r="J13" s="46">
        <f>VLOOKUP($E$7,'331'!$B$6:$H$19,3,0)</f>
        <v>62381000</v>
      </c>
    </row>
    <row r="14" spans="1:10" s="18" customFormat="1" ht="18" customHeight="1">
      <c r="A14" s="9">
        <f ca="1">IF(ROWS($1:1)&gt;COUNT(Dong),"",OFFSET(TH!C$1,SMALL(Dong,ROWS($1:1)),))</f>
        <v>42276</v>
      </c>
      <c r="B14" s="9" t="str">
        <f ca="1">IF(ROWS($1:1)&gt;COUNT(Dong),"",OFFSET(TH!D$1,SMALL(Dong,ROWS($1:1)),))</f>
        <v>GBN</v>
      </c>
      <c r="C14" s="9">
        <f ca="1">IF(ROWS($1:1)&gt;COUNT(Dong),"",OFFSET(TH!E$1,SMALL(Dong,ROWS($1:1)),))</f>
        <v>42276</v>
      </c>
      <c r="D14" s="212" t="str">
        <f ca="1">IF(ROWS($1:1)&gt;COUNT(Dong),"",OFFSET(TH!F$1,SMALL(Dong,ROWS($1:1)),))</f>
        <v>Thanh toán tiền hàng</v>
      </c>
      <c r="E14" s="45" t="str">
        <f ca="1">IF(ROWS($1:1)&gt;COUNT(Dong),"",IF(OFFSET(TH!L$1,SMALL(Dong,ROWS($1:1)),)="331",OFFSET(TH!M$1,SMALL(Dong,ROWS($1:1)),),OFFSET(TH!L$1,SMALL(Dong,ROWS($1:1)),)))</f>
        <v>1121</v>
      </c>
      <c r="F14" s="45"/>
      <c r="G14" s="57">
        <f ca="1">IF(ROWS($1:1)&gt;COUNT(Dong),"",IF(OFFSET(TH!L$1,SMALL(Dong,ROWS($1:1)),)="331",OFFSET(TH!K$1,SMALL(Dong,ROWS($1:1)),),0))</f>
        <v>29101914</v>
      </c>
      <c r="H14" s="57">
        <f ca="1">IF(ROWS($1:1)&gt;COUNT(Dong),"",IF(OFFSET(TH!M$1,SMALL(Dong,ROWS($1:1)),)="331",OFFSET(TH!K$1,SMALL(Dong,ROWS($1:1)),),0))</f>
        <v>0</v>
      </c>
      <c r="I14" s="25">
        <f ca="1">IF(D14&lt;&gt;"",MAX(I13+G14-H14-J13,0),0)</f>
        <v>0</v>
      </c>
      <c r="J14" s="25">
        <f ca="1">IF(D14&lt;&gt;"",MAX(J13+H14-I13-G14,0),0)</f>
        <v>33279086</v>
      </c>
    </row>
    <row r="15" spans="1:10" s="18" customFormat="1" ht="18" customHeight="1">
      <c r="A15" s="9">
        <f ca="1">IF(ROWS($1:2)&gt;COUNT(Dong),"",OFFSET(TH!C$1,SMALL(Dong,ROWS($1:2)),))</f>
        <v>42310</v>
      </c>
      <c r="B15" s="9" t="str">
        <f ca="1">IF(ROWS($1:2)&gt;COUNT(Dong),"",OFFSET(TH!D$1,SMALL(Dong,ROWS($1:2)),))</f>
        <v>GBN</v>
      </c>
      <c r="C15" s="9">
        <f ca="1">IF(ROWS($1:2)&gt;COUNT(Dong),"",OFFSET(TH!E$1,SMALL(Dong,ROWS($1:2)),))</f>
        <v>42310</v>
      </c>
      <c r="D15" s="212" t="str">
        <f ca="1">IF(ROWS($1:2)&gt;COUNT(Dong),"",OFFSET(TH!F$1,SMALL(Dong,ROWS($1:2)),))</f>
        <v>Thanh toán tiền hàng</v>
      </c>
      <c r="E15" s="45" t="str">
        <f ca="1">IF(ROWS($1:2)&gt;COUNT(Dong),"",IF(OFFSET(TH!L$1,SMALL(Dong,ROWS($1:2)),)="331",OFFSET(TH!M$1,SMALL(Dong,ROWS($1:2)),),OFFSET(TH!L$1,SMALL(Dong,ROWS($1:2)),)))</f>
        <v>1121</v>
      </c>
      <c r="F15" s="45"/>
      <c r="G15" s="57">
        <f ca="1">IF(ROWS($1:2)&gt;COUNT(Dong),"",IF(OFFSET(TH!L$1,SMALL(Dong,ROWS($1:2)),)="331",OFFSET(TH!K$1,SMALL(Dong,ROWS($1:2)),),0))</f>
        <v>20612513</v>
      </c>
      <c r="H15" s="57">
        <f ca="1">IF(ROWS($1:2)&gt;COUNT(Dong),"",IF(OFFSET(TH!M$1,SMALL(Dong,ROWS($1:2)),)="331",OFFSET(TH!K$1,SMALL(Dong,ROWS($1:2)),),0))</f>
        <v>0</v>
      </c>
      <c r="I15" s="25">
        <f t="shared" ref="I15:I49" ca="1" si="0">IF(D15&lt;&gt;"",MAX(I14+G15-H15-J14,0),0)</f>
        <v>0</v>
      </c>
      <c r="J15" s="25">
        <f t="shared" ref="J15:J49" ca="1" si="1">IF(D15&lt;&gt;"",MAX(J14+H15-I14-G15,0),0)</f>
        <v>12666573</v>
      </c>
    </row>
    <row r="16" spans="1:10" s="18" customFormat="1" ht="18" customHeight="1">
      <c r="A16" s="9">
        <f ca="1">IF(ROWS($1:3)&gt;COUNT(Dong),"",OFFSET(TH!C$1,SMALL(Dong,ROWS($1:3)),))</f>
        <v>42345</v>
      </c>
      <c r="B16" s="9" t="str">
        <f ca="1">IF(ROWS($1:3)&gt;COUNT(Dong),"",OFFSET(TH!D$1,SMALL(Dong,ROWS($1:3)),))</f>
        <v>C40</v>
      </c>
      <c r="C16" s="9">
        <f ca="1">IF(ROWS($1:3)&gt;COUNT(Dong),"",OFFSET(TH!E$1,SMALL(Dong,ROWS($1:3)),))</f>
        <v>42345</v>
      </c>
      <c r="D16" s="212" t="str">
        <f ca="1">IF(ROWS($1:3)&gt;COUNT(Dong),"",OFFSET(TH!F$1,SMALL(Dong,ROWS($1:3)),))</f>
        <v>Thanh toán tiền hàng</v>
      </c>
      <c r="E16" s="45" t="str">
        <f ca="1">IF(ROWS($1:3)&gt;COUNT(Dong),"",IF(OFFSET(TH!L$1,SMALL(Dong,ROWS($1:3)),)="331",OFFSET(TH!M$1,SMALL(Dong,ROWS($1:3)),),OFFSET(TH!L$1,SMALL(Dong,ROWS($1:3)),)))</f>
        <v>1111</v>
      </c>
      <c r="F16" s="45"/>
      <c r="G16" s="57">
        <f ca="1">IF(ROWS($1:3)&gt;COUNT(Dong),"",IF(OFFSET(TH!L$1,SMALL(Dong,ROWS($1:3)),)="331",OFFSET(TH!K$1,SMALL(Dong,ROWS($1:3)),),0))</f>
        <v>12666573</v>
      </c>
      <c r="H16" s="57">
        <f ca="1">IF(ROWS($1:3)&gt;COUNT(Dong),"",IF(OFFSET(TH!M$1,SMALL(Dong,ROWS($1:3)),)="331",OFFSET(TH!K$1,SMALL(Dong,ROWS($1:3)),),0))</f>
        <v>0</v>
      </c>
      <c r="I16" s="25">
        <f t="shared" ca="1" si="0"/>
        <v>0</v>
      </c>
      <c r="J16" s="25">
        <f t="shared" ca="1" si="1"/>
        <v>0</v>
      </c>
    </row>
    <row r="17" spans="1:10" s="18" customFormat="1" ht="18" customHeight="1">
      <c r="A17" s="9" t="str">
        <f ca="1">IF(ROWS($1:4)&gt;COUNT(Dong),"",OFFSET(TH!C$1,SMALL(Dong,ROWS($1:4)),))</f>
        <v/>
      </c>
      <c r="B17" s="9" t="str">
        <f ca="1">IF(ROWS($1:4)&gt;COUNT(Dong),"",OFFSET(TH!D$1,SMALL(Dong,ROWS($1:4)),))</f>
        <v/>
      </c>
      <c r="C17" s="9" t="str">
        <f ca="1">IF(ROWS($1:4)&gt;COUNT(Dong),"",OFFSET(TH!E$1,SMALL(Dong,ROWS($1:4)),))</f>
        <v/>
      </c>
      <c r="D17" s="212" t="str">
        <f ca="1">IF(ROWS($1:4)&gt;COUNT(Dong),"",OFFSET(TH!F$1,SMALL(Dong,ROWS($1:4)),))</f>
        <v/>
      </c>
      <c r="E17" s="45" t="str">
        <f ca="1">IF(ROWS($1:4)&gt;COUNT(Dong),"",IF(OFFSET(TH!L$1,SMALL(Dong,ROWS($1:4)),)="331",OFFSET(TH!M$1,SMALL(Dong,ROWS($1:4)),),OFFSET(TH!L$1,SMALL(Dong,ROWS($1:4)),)))</f>
        <v/>
      </c>
      <c r="F17" s="45"/>
      <c r="G17" s="57" t="str">
        <f ca="1">IF(ROWS($1:4)&gt;COUNT(Dong),"",IF(OFFSET(TH!L$1,SMALL(Dong,ROWS($1:4)),)="331",OFFSET(TH!K$1,SMALL(Dong,ROWS($1:4)),),0))</f>
        <v/>
      </c>
      <c r="H17" s="57" t="str">
        <f ca="1">IF(ROWS($1:4)&gt;COUNT(Dong),"",IF(OFFSET(TH!M$1,SMALL(Dong,ROWS($1:4)),)="331",OFFSET(TH!K$1,SMALL(Dong,ROWS($1:4)),),0))</f>
        <v/>
      </c>
      <c r="I17" s="25">
        <f t="shared" ca="1" si="0"/>
        <v>0</v>
      </c>
      <c r="J17" s="25">
        <f t="shared" ca="1" si="1"/>
        <v>0</v>
      </c>
    </row>
    <row r="18" spans="1:10" s="18" customFormat="1" ht="18" customHeight="1">
      <c r="A18" s="9" t="str">
        <f ca="1">IF(ROWS($1:5)&gt;COUNT(Dong),"",OFFSET(TH!C$1,SMALL(Dong,ROWS($1:5)),))</f>
        <v/>
      </c>
      <c r="B18" s="9" t="str">
        <f ca="1">IF(ROWS($1:5)&gt;COUNT(Dong),"",OFFSET(TH!D$1,SMALL(Dong,ROWS($1:5)),))</f>
        <v/>
      </c>
      <c r="C18" s="9" t="str">
        <f ca="1">IF(ROWS($1:5)&gt;COUNT(Dong),"",OFFSET(TH!E$1,SMALL(Dong,ROWS($1:5)),))</f>
        <v/>
      </c>
      <c r="D18" s="212" t="str">
        <f ca="1">IF(ROWS($1:5)&gt;COUNT(Dong),"",OFFSET(TH!F$1,SMALL(Dong,ROWS($1:5)),))</f>
        <v/>
      </c>
      <c r="E18" s="45" t="str">
        <f ca="1">IF(ROWS($1:5)&gt;COUNT(Dong),"",IF(OFFSET(TH!L$1,SMALL(Dong,ROWS($1:5)),)="331",OFFSET(TH!M$1,SMALL(Dong,ROWS($1:5)),),OFFSET(TH!L$1,SMALL(Dong,ROWS($1:5)),)))</f>
        <v/>
      </c>
      <c r="F18" s="45"/>
      <c r="G18" s="57" t="str">
        <f ca="1">IF(ROWS($1:5)&gt;COUNT(Dong),"",IF(OFFSET(TH!L$1,SMALL(Dong,ROWS($1:5)),)="331",OFFSET(TH!K$1,SMALL(Dong,ROWS($1:5)),),0))</f>
        <v/>
      </c>
      <c r="H18" s="57" t="str">
        <f ca="1">IF(ROWS($1:5)&gt;COUNT(Dong),"",IF(OFFSET(TH!M$1,SMALL(Dong,ROWS($1:5)),)="331",OFFSET(TH!K$1,SMALL(Dong,ROWS($1:5)),),0))</f>
        <v/>
      </c>
      <c r="I18" s="25">
        <f t="shared" ca="1" si="0"/>
        <v>0</v>
      </c>
      <c r="J18" s="25">
        <f t="shared" ca="1" si="1"/>
        <v>0</v>
      </c>
    </row>
    <row r="19" spans="1:10" s="18" customFormat="1" ht="18" customHeight="1">
      <c r="A19" s="9" t="str">
        <f ca="1">IF(ROWS($1:6)&gt;COUNT(Dong),"",OFFSET(TH!C$1,SMALL(Dong,ROWS($1:6)),))</f>
        <v/>
      </c>
      <c r="B19" s="9" t="str">
        <f ca="1">IF(ROWS($1:6)&gt;COUNT(Dong),"",OFFSET(TH!D$1,SMALL(Dong,ROWS($1:6)),))</f>
        <v/>
      </c>
      <c r="C19" s="9" t="str">
        <f ca="1">IF(ROWS($1:6)&gt;COUNT(Dong),"",OFFSET(TH!E$1,SMALL(Dong,ROWS($1:6)),))</f>
        <v/>
      </c>
      <c r="D19" s="212" t="str">
        <f ca="1">IF(ROWS($1:6)&gt;COUNT(Dong),"",OFFSET(TH!F$1,SMALL(Dong,ROWS($1:6)),))</f>
        <v/>
      </c>
      <c r="E19" s="45" t="str">
        <f ca="1">IF(ROWS($1:6)&gt;COUNT(Dong),"",IF(OFFSET(TH!L$1,SMALL(Dong,ROWS($1:6)),)="331",OFFSET(TH!M$1,SMALL(Dong,ROWS($1:6)),),OFFSET(TH!L$1,SMALL(Dong,ROWS($1:6)),)))</f>
        <v/>
      </c>
      <c r="F19" s="45"/>
      <c r="G19" s="57" t="str">
        <f ca="1">IF(ROWS($1:6)&gt;COUNT(Dong),"",IF(OFFSET(TH!L$1,SMALL(Dong,ROWS($1:6)),)="331",OFFSET(TH!K$1,SMALL(Dong,ROWS($1:6)),),0))</f>
        <v/>
      </c>
      <c r="H19" s="57" t="str">
        <f ca="1">IF(ROWS($1:6)&gt;COUNT(Dong),"",IF(OFFSET(TH!M$1,SMALL(Dong,ROWS($1:6)),)="331",OFFSET(TH!K$1,SMALL(Dong,ROWS($1:6)),),0))</f>
        <v/>
      </c>
      <c r="I19" s="25">
        <f t="shared" ca="1" si="0"/>
        <v>0</v>
      </c>
      <c r="J19" s="25">
        <f t="shared" ca="1" si="1"/>
        <v>0</v>
      </c>
    </row>
    <row r="20" spans="1:10" s="18" customFormat="1" ht="18" customHeight="1">
      <c r="A20" s="9" t="str">
        <f ca="1">IF(ROWS($1:7)&gt;COUNT(Dong),"",OFFSET(TH!C$1,SMALL(Dong,ROWS($1:7)),))</f>
        <v/>
      </c>
      <c r="B20" s="9" t="str">
        <f ca="1">IF(ROWS($1:7)&gt;COUNT(Dong),"",OFFSET(TH!D$1,SMALL(Dong,ROWS($1:7)),))</f>
        <v/>
      </c>
      <c r="C20" s="9" t="str">
        <f ca="1">IF(ROWS($1:7)&gt;COUNT(Dong),"",OFFSET(TH!E$1,SMALL(Dong,ROWS($1:7)),))</f>
        <v/>
      </c>
      <c r="D20" s="212" t="str">
        <f ca="1">IF(ROWS($1:7)&gt;COUNT(Dong),"",OFFSET(TH!F$1,SMALL(Dong,ROWS($1:7)),))</f>
        <v/>
      </c>
      <c r="E20" s="45" t="str">
        <f ca="1">IF(ROWS($1:7)&gt;COUNT(Dong),"",IF(OFFSET(TH!L$1,SMALL(Dong,ROWS($1:7)),)="331",OFFSET(TH!M$1,SMALL(Dong,ROWS($1:7)),),OFFSET(TH!L$1,SMALL(Dong,ROWS($1:7)),)))</f>
        <v/>
      </c>
      <c r="F20" s="45"/>
      <c r="G20" s="57" t="str">
        <f ca="1">IF(ROWS($1:7)&gt;COUNT(Dong),"",IF(OFFSET(TH!L$1,SMALL(Dong,ROWS($1:7)),)="331",OFFSET(TH!K$1,SMALL(Dong,ROWS($1:7)),),0))</f>
        <v/>
      </c>
      <c r="H20" s="57" t="str">
        <f ca="1">IF(ROWS($1:7)&gt;COUNT(Dong),"",IF(OFFSET(TH!M$1,SMALL(Dong,ROWS($1:7)),)="331",OFFSET(TH!K$1,SMALL(Dong,ROWS($1:7)),),0))</f>
        <v/>
      </c>
      <c r="I20" s="25">
        <f t="shared" ca="1" si="0"/>
        <v>0</v>
      </c>
      <c r="J20" s="25">
        <f t="shared" ca="1" si="1"/>
        <v>0</v>
      </c>
    </row>
    <row r="21" spans="1:10" s="18" customFormat="1" ht="18" customHeight="1">
      <c r="A21" s="9" t="str">
        <f ca="1">IF(ROWS($1:8)&gt;COUNT(Dong),"",OFFSET(TH!C$1,SMALL(Dong,ROWS($1:8)),))</f>
        <v/>
      </c>
      <c r="B21" s="9" t="str">
        <f ca="1">IF(ROWS($1:8)&gt;COUNT(Dong),"",OFFSET(TH!D$1,SMALL(Dong,ROWS($1:8)),))</f>
        <v/>
      </c>
      <c r="C21" s="9" t="str">
        <f ca="1">IF(ROWS($1:8)&gt;COUNT(Dong),"",OFFSET(TH!E$1,SMALL(Dong,ROWS($1:8)),))</f>
        <v/>
      </c>
      <c r="D21" s="212" t="str">
        <f ca="1">IF(ROWS($1:8)&gt;COUNT(Dong),"",OFFSET(TH!F$1,SMALL(Dong,ROWS($1:8)),))</f>
        <v/>
      </c>
      <c r="E21" s="45" t="str">
        <f ca="1">IF(ROWS($1:8)&gt;COUNT(Dong),"",IF(OFFSET(TH!L$1,SMALL(Dong,ROWS($1:8)),)="331",OFFSET(TH!M$1,SMALL(Dong,ROWS($1:8)),),OFFSET(TH!L$1,SMALL(Dong,ROWS($1:8)),)))</f>
        <v/>
      </c>
      <c r="F21" s="45"/>
      <c r="G21" s="57" t="str">
        <f ca="1">IF(ROWS($1:8)&gt;COUNT(Dong),"",IF(OFFSET(TH!L$1,SMALL(Dong,ROWS($1:8)),)="331",OFFSET(TH!K$1,SMALL(Dong,ROWS($1:8)),),0))</f>
        <v/>
      </c>
      <c r="H21" s="57" t="str">
        <f ca="1">IF(ROWS($1:8)&gt;COUNT(Dong),"",IF(OFFSET(TH!M$1,SMALL(Dong,ROWS($1:8)),)="331",OFFSET(TH!K$1,SMALL(Dong,ROWS($1:8)),),0))</f>
        <v/>
      </c>
      <c r="I21" s="25">
        <f t="shared" ca="1" si="0"/>
        <v>0</v>
      </c>
      <c r="J21" s="25">
        <f t="shared" ca="1" si="1"/>
        <v>0</v>
      </c>
    </row>
    <row r="22" spans="1:10" s="18" customFormat="1" ht="18" customHeight="1">
      <c r="A22" s="9" t="str">
        <f ca="1">IF(ROWS($1:9)&gt;COUNT(Dong),"",OFFSET(TH!C$1,SMALL(Dong,ROWS($1:9)),))</f>
        <v/>
      </c>
      <c r="B22" s="9" t="str">
        <f ca="1">IF(ROWS($1:9)&gt;COUNT(Dong),"",OFFSET(TH!D$1,SMALL(Dong,ROWS($1:9)),))</f>
        <v/>
      </c>
      <c r="C22" s="9" t="str">
        <f ca="1">IF(ROWS($1:9)&gt;COUNT(Dong),"",OFFSET(TH!E$1,SMALL(Dong,ROWS($1:9)),))</f>
        <v/>
      </c>
      <c r="D22" s="212" t="str">
        <f ca="1">IF(ROWS($1:9)&gt;COUNT(Dong),"",OFFSET(TH!F$1,SMALL(Dong,ROWS($1:9)),))</f>
        <v/>
      </c>
      <c r="E22" s="45" t="str">
        <f ca="1">IF(ROWS($1:9)&gt;COUNT(Dong),"",IF(OFFSET(TH!L$1,SMALL(Dong,ROWS($1:9)),)="331",OFFSET(TH!M$1,SMALL(Dong,ROWS($1:9)),),OFFSET(TH!L$1,SMALL(Dong,ROWS($1:9)),)))</f>
        <v/>
      </c>
      <c r="F22" s="45"/>
      <c r="G22" s="57" t="str">
        <f ca="1">IF(ROWS($1:9)&gt;COUNT(Dong),"",IF(OFFSET(TH!L$1,SMALL(Dong,ROWS($1:9)),)="331",OFFSET(TH!K$1,SMALL(Dong,ROWS($1:9)),),0))</f>
        <v/>
      </c>
      <c r="H22" s="57" t="str">
        <f ca="1">IF(ROWS($1:9)&gt;COUNT(Dong),"",IF(OFFSET(TH!M$1,SMALL(Dong,ROWS($1:9)),)="331",OFFSET(TH!K$1,SMALL(Dong,ROWS($1:9)),),0))</f>
        <v/>
      </c>
      <c r="I22" s="25">
        <f t="shared" ca="1" si="0"/>
        <v>0</v>
      </c>
      <c r="J22" s="25">
        <f t="shared" ca="1" si="1"/>
        <v>0</v>
      </c>
    </row>
    <row r="23" spans="1:10" s="18" customFormat="1" ht="18" customHeight="1">
      <c r="A23" s="9" t="str">
        <f ca="1">IF(ROWS($1:10)&gt;COUNT(Dong),"",OFFSET(TH!C$1,SMALL(Dong,ROWS($1:10)),))</f>
        <v/>
      </c>
      <c r="B23" s="9" t="str">
        <f ca="1">IF(ROWS($1:10)&gt;COUNT(Dong),"",OFFSET(TH!D$1,SMALL(Dong,ROWS($1:10)),))</f>
        <v/>
      </c>
      <c r="C23" s="9" t="str">
        <f ca="1">IF(ROWS($1:10)&gt;COUNT(Dong),"",OFFSET(TH!E$1,SMALL(Dong,ROWS($1:10)),))</f>
        <v/>
      </c>
      <c r="D23" s="212" t="str">
        <f ca="1">IF(ROWS($1:10)&gt;COUNT(Dong),"",OFFSET(TH!F$1,SMALL(Dong,ROWS($1:10)),))</f>
        <v/>
      </c>
      <c r="E23" s="45" t="str">
        <f ca="1">IF(ROWS($1:10)&gt;COUNT(Dong),"",IF(OFFSET(TH!L$1,SMALL(Dong,ROWS($1:10)),)="331",OFFSET(TH!M$1,SMALL(Dong,ROWS($1:10)),),OFFSET(TH!L$1,SMALL(Dong,ROWS($1:10)),)))</f>
        <v/>
      </c>
      <c r="F23" s="45"/>
      <c r="G23" s="57" t="str">
        <f ca="1">IF(ROWS($1:10)&gt;COUNT(Dong),"",IF(OFFSET(TH!L$1,SMALL(Dong,ROWS($1:10)),)="331",OFFSET(TH!K$1,SMALL(Dong,ROWS($1:10)),),0))</f>
        <v/>
      </c>
      <c r="H23" s="57" t="str">
        <f ca="1">IF(ROWS($1:10)&gt;COUNT(Dong),"",IF(OFFSET(TH!M$1,SMALL(Dong,ROWS($1:10)),)="331",OFFSET(TH!K$1,SMALL(Dong,ROWS($1:10)),),0))</f>
        <v/>
      </c>
      <c r="I23" s="25">
        <f t="shared" ca="1" si="0"/>
        <v>0</v>
      </c>
      <c r="J23" s="25">
        <f t="shared" ca="1" si="1"/>
        <v>0</v>
      </c>
    </row>
    <row r="24" spans="1:10" s="18" customFormat="1" ht="18" customHeight="1">
      <c r="A24" s="9" t="str">
        <f ca="1">IF(ROWS($1:11)&gt;COUNT(Dong),"",OFFSET(TH!C$1,SMALL(Dong,ROWS($1:11)),))</f>
        <v/>
      </c>
      <c r="B24" s="9" t="str">
        <f ca="1">IF(ROWS($1:11)&gt;COUNT(Dong),"",OFFSET(TH!D$1,SMALL(Dong,ROWS($1:11)),))</f>
        <v/>
      </c>
      <c r="C24" s="9" t="str">
        <f ca="1">IF(ROWS($1:11)&gt;COUNT(Dong),"",OFFSET(TH!E$1,SMALL(Dong,ROWS($1:11)),))</f>
        <v/>
      </c>
      <c r="D24" s="212" t="str">
        <f ca="1">IF(ROWS($1:11)&gt;COUNT(Dong),"",OFFSET(TH!F$1,SMALL(Dong,ROWS($1:11)),))</f>
        <v/>
      </c>
      <c r="E24" s="45" t="str">
        <f ca="1">IF(ROWS($1:11)&gt;COUNT(Dong),"",IF(OFFSET(TH!L$1,SMALL(Dong,ROWS($1:11)),)="331",OFFSET(TH!M$1,SMALL(Dong,ROWS($1:11)),),OFFSET(TH!L$1,SMALL(Dong,ROWS($1:11)),)))</f>
        <v/>
      </c>
      <c r="F24" s="45"/>
      <c r="G24" s="57" t="str">
        <f ca="1">IF(ROWS($1:11)&gt;COUNT(Dong),"",IF(OFFSET(TH!L$1,SMALL(Dong,ROWS($1:11)),)="331",OFFSET(TH!K$1,SMALL(Dong,ROWS($1:11)),),0))</f>
        <v/>
      </c>
      <c r="H24" s="57" t="str">
        <f ca="1">IF(ROWS($1:11)&gt;COUNT(Dong),"",IF(OFFSET(TH!M$1,SMALL(Dong,ROWS($1:11)),)="331",OFFSET(TH!K$1,SMALL(Dong,ROWS($1:11)),),0))</f>
        <v/>
      </c>
      <c r="I24" s="25">
        <f t="shared" ca="1" si="0"/>
        <v>0</v>
      </c>
      <c r="J24" s="25">
        <f t="shared" ca="1" si="1"/>
        <v>0</v>
      </c>
    </row>
    <row r="25" spans="1:10" s="18" customFormat="1" ht="18" customHeight="1">
      <c r="A25" s="9" t="str">
        <f ca="1">IF(ROWS($1:12)&gt;COUNT(Dong),"",OFFSET(TH!C$1,SMALL(Dong,ROWS($1:12)),))</f>
        <v/>
      </c>
      <c r="B25" s="9" t="str">
        <f ca="1">IF(ROWS($1:12)&gt;COUNT(Dong),"",OFFSET(TH!D$1,SMALL(Dong,ROWS($1:12)),))</f>
        <v/>
      </c>
      <c r="C25" s="9" t="str">
        <f ca="1">IF(ROWS($1:12)&gt;COUNT(Dong),"",OFFSET(TH!E$1,SMALL(Dong,ROWS($1:12)),))</f>
        <v/>
      </c>
      <c r="D25" s="212" t="str">
        <f ca="1">IF(ROWS($1:12)&gt;COUNT(Dong),"",OFFSET(TH!F$1,SMALL(Dong,ROWS($1:12)),))</f>
        <v/>
      </c>
      <c r="E25" s="45" t="str">
        <f ca="1">IF(ROWS($1:12)&gt;COUNT(Dong),"",IF(OFFSET(TH!L$1,SMALL(Dong,ROWS($1:12)),)="331",OFFSET(TH!M$1,SMALL(Dong,ROWS($1:12)),),OFFSET(TH!L$1,SMALL(Dong,ROWS($1:12)),)))</f>
        <v/>
      </c>
      <c r="F25" s="45"/>
      <c r="G25" s="57" t="str">
        <f ca="1">IF(ROWS($1:12)&gt;COUNT(Dong),"",IF(OFFSET(TH!L$1,SMALL(Dong,ROWS($1:12)),)="331",OFFSET(TH!K$1,SMALL(Dong,ROWS($1:12)),),0))</f>
        <v/>
      </c>
      <c r="H25" s="57" t="str">
        <f ca="1">IF(ROWS($1:12)&gt;COUNT(Dong),"",IF(OFFSET(TH!M$1,SMALL(Dong,ROWS($1:12)),)="331",OFFSET(TH!K$1,SMALL(Dong,ROWS($1:12)),),0))</f>
        <v/>
      </c>
      <c r="I25" s="25">
        <f t="shared" ca="1" si="0"/>
        <v>0</v>
      </c>
      <c r="J25" s="25">
        <f t="shared" ca="1" si="1"/>
        <v>0</v>
      </c>
    </row>
    <row r="26" spans="1:10" s="18" customFormat="1" ht="18" customHeight="1">
      <c r="A26" s="9" t="str">
        <f ca="1">IF(ROWS($1:13)&gt;COUNT(Dong),"",OFFSET(TH!C$1,SMALL(Dong,ROWS($1:13)),))</f>
        <v/>
      </c>
      <c r="B26" s="9" t="str">
        <f ca="1">IF(ROWS($1:13)&gt;COUNT(Dong),"",OFFSET(TH!D$1,SMALL(Dong,ROWS($1:13)),))</f>
        <v/>
      </c>
      <c r="C26" s="9" t="str">
        <f ca="1">IF(ROWS($1:13)&gt;COUNT(Dong),"",OFFSET(TH!E$1,SMALL(Dong,ROWS($1:13)),))</f>
        <v/>
      </c>
      <c r="D26" s="212" t="str">
        <f ca="1">IF(ROWS($1:13)&gt;COUNT(Dong),"",OFFSET(TH!F$1,SMALL(Dong,ROWS($1:13)),))</f>
        <v/>
      </c>
      <c r="E26" s="45" t="str">
        <f ca="1">IF(ROWS($1:13)&gt;COUNT(Dong),"",IF(OFFSET(TH!L$1,SMALL(Dong,ROWS($1:13)),)="331",OFFSET(TH!M$1,SMALL(Dong,ROWS($1:13)),),OFFSET(TH!L$1,SMALL(Dong,ROWS($1:13)),)))</f>
        <v/>
      </c>
      <c r="F26" s="45"/>
      <c r="G26" s="57" t="str">
        <f ca="1">IF(ROWS($1:13)&gt;COUNT(Dong),"",IF(OFFSET(TH!L$1,SMALL(Dong,ROWS($1:13)),)="331",OFFSET(TH!K$1,SMALL(Dong,ROWS($1:13)),),0))</f>
        <v/>
      </c>
      <c r="H26" s="57" t="str">
        <f ca="1">IF(ROWS($1:13)&gt;COUNT(Dong),"",IF(OFFSET(TH!M$1,SMALL(Dong,ROWS($1:13)),)="331",OFFSET(TH!K$1,SMALL(Dong,ROWS($1:13)),),0))</f>
        <v/>
      </c>
      <c r="I26" s="25">
        <f t="shared" ca="1" si="0"/>
        <v>0</v>
      </c>
      <c r="J26" s="25">
        <f t="shared" ca="1" si="1"/>
        <v>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212" t="str">
        <f ca="1">IF(ROWS($1:14)&gt;COUNT(Dong),"",OFFSET(TH!F$1,SMALL(Dong,ROWS($1:14)),))</f>
        <v/>
      </c>
      <c r="E27" s="45" t="str">
        <f ca="1">IF(ROWS($1:14)&gt;COUNT(Dong),"",IF(OFFSET(TH!L$1,SMALL(Dong,ROWS($1:14)),)="331",OFFSET(TH!M$1,SMALL(Dong,ROWS($1:14)),),OFFSET(TH!L$1,SMALL(Dong,ROWS($1:14)),)))</f>
        <v/>
      </c>
      <c r="F27" s="45"/>
      <c r="G27" s="57" t="str">
        <f ca="1">IF(ROWS($1:14)&gt;COUNT(Dong),"",IF(OFFSET(TH!L$1,SMALL(Dong,ROWS($1:14)),)="331",OFFSET(TH!K$1,SMALL(Dong,ROWS($1:14)),),0))</f>
        <v/>
      </c>
      <c r="H27" s="57" t="str">
        <f ca="1">IF(ROWS($1:14)&gt;COUNT(Dong),"",IF(OFFSET(TH!M$1,SMALL(Dong,ROWS($1:14)),)="331",OFFSET(TH!K$1,SMALL(Dong,ROWS($1:14)),),0))</f>
        <v/>
      </c>
      <c r="I27" s="25">
        <f t="shared" ca="1" si="0"/>
        <v>0</v>
      </c>
      <c r="J27" s="25">
        <f t="shared" ca="1" si="1"/>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212" t="str">
        <f ca="1">IF(ROWS($1:15)&gt;COUNT(Dong),"",OFFSET(TH!F$1,SMALL(Dong,ROWS($1:15)),))</f>
        <v/>
      </c>
      <c r="E28" s="45" t="str">
        <f ca="1">IF(ROWS($1:15)&gt;COUNT(Dong),"",IF(OFFSET(TH!L$1,SMALL(Dong,ROWS($1:15)),)="331",OFFSET(TH!M$1,SMALL(Dong,ROWS($1:15)),),OFFSET(TH!L$1,SMALL(Dong,ROWS($1:15)),)))</f>
        <v/>
      </c>
      <c r="F28" s="45"/>
      <c r="G28" s="57" t="str">
        <f ca="1">IF(ROWS($1:15)&gt;COUNT(Dong),"",IF(OFFSET(TH!L$1,SMALL(Dong,ROWS($1:15)),)="331",OFFSET(TH!K$1,SMALL(Dong,ROWS($1:15)),),0))</f>
        <v/>
      </c>
      <c r="H28" s="57" t="str">
        <f ca="1">IF(ROWS($1:15)&gt;COUNT(Dong),"",IF(OFFSET(TH!M$1,SMALL(Dong,ROWS($1:15)),)="331",OFFSET(TH!K$1,SMALL(Dong,ROWS($1:15)),),0))</f>
        <v/>
      </c>
      <c r="I28" s="25">
        <f t="shared" ca="1" si="0"/>
        <v>0</v>
      </c>
      <c r="J28" s="25">
        <f t="shared" ca="1" si="1"/>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212" t="str">
        <f ca="1">IF(ROWS($1:16)&gt;COUNT(Dong),"",OFFSET(TH!F$1,SMALL(Dong,ROWS($1:16)),))</f>
        <v/>
      </c>
      <c r="E29" s="45" t="str">
        <f ca="1">IF(ROWS($1:16)&gt;COUNT(Dong),"",IF(OFFSET(TH!L$1,SMALL(Dong,ROWS($1:16)),)="331",OFFSET(TH!M$1,SMALL(Dong,ROWS($1:16)),),OFFSET(TH!L$1,SMALL(Dong,ROWS($1:16)),)))</f>
        <v/>
      </c>
      <c r="F29" s="45"/>
      <c r="G29" s="57" t="str">
        <f ca="1">IF(ROWS($1:16)&gt;COUNT(Dong),"",IF(OFFSET(TH!L$1,SMALL(Dong,ROWS($1:16)),)="331",OFFSET(TH!K$1,SMALL(Dong,ROWS($1:16)),),0))</f>
        <v/>
      </c>
      <c r="H29" s="57" t="str">
        <f ca="1">IF(ROWS($1:16)&gt;COUNT(Dong),"",IF(OFFSET(TH!M$1,SMALL(Dong,ROWS($1:16)),)="331",OFFSET(TH!K$1,SMALL(Dong,ROWS($1:16)),),0))</f>
        <v/>
      </c>
      <c r="I29" s="25">
        <f t="shared" ca="1" si="0"/>
        <v>0</v>
      </c>
      <c r="J29" s="25">
        <f t="shared" ca="1" si="1"/>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212" t="str">
        <f ca="1">IF(ROWS($1:17)&gt;COUNT(Dong),"",OFFSET(TH!F$1,SMALL(Dong,ROWS($1:17)),))</f>
        <v/>
      </c>
      <c r="E30" s="45" t="str">
        <f ca="1">IF(ROWS($1:17)&gt;COUNT(Dong),"",IF(OFFSET(TH!L$1,SMALL(Dong,ROWS($1:17)),)="331",OFFSET(TH!M$1,SMALL(Dong,ROWS($1:17)),),OFFSET(TH!L$1,SMALL(Dong,ROWS($1:17)),)))</f>
        <v/>
      </c>
      <c r="F30" s="45"/>
      <c r="G30" s="57" t="str">
        <f ca="1">IF(ROWS($1:17)&gt;COUNT(Dong),"",IF(OFFSET(TH!L$1,SMALL(Dong,ROWS($1:17)),)="331",OFFSET(TH!K$1,SMALL(Dong,ROWS($1:17)),),0))</f>
        <v/>
      </c>
      <c r="H30" s="57" t="str">
        <f ca="1">IF(ROWS($1:17)&gt;COUNT(Dong),"",IF(OFFSET(TH!M$1,SMALL(Dong,ROWS($1:17)),)="331",OFFSET(TH!K$1,SMALL(Dong,ROWS($1:17)),),0))</f>
        <v/>
      </c>
      <c r="I30" s="25">
        <f t="shared" ca="1" si="0"/>
        <v>0</v>
      </c>
      <c r="J30" s="25">
        <f t="shared" ca="1" si="1"/>
        <v>0</v>
      </c>
    </row>
    <row r="31" spans="1:10" s="18" customFormat="1" ht="18" customHeight="1">
      <c r="A31" s="9" t="str">
        <f ca="1">IF(ROWS($1:18)&gt;COUNT(Dong),"",OFFSET(TH!C$1,SMALL(Dong,ROWS($1:18)),))</f>
        <v/>
      </c>
      <c r="B31" s="9" t="str">
        <f ca="1">IF(ROWS($1:18)&gt;COUNT(Dong),"",OFFSET(TH!D$1,SMALL(Dong,ROWS($1:18)),))</f>
        <v/>
      </c>
      <c r="C31" s="9" t="str">
        <f ca="1">IF(ROWS($1:18)&gt;COUNT(Dong),"",OFFSET(TH!E$1,SMALL(Dong,ROWS($1:18)),))</f>
        <v/>
      </c>
      <c r="D31" s="212" t="str">
        <f ca="1">IF(ROWS($1:18)&gt;COUNT(Dong),"",OFFSET(TH!F$1,SMALL(Dong,ROWS($1:18)),))</f>
        <v/>
      </c>
      <c r="E31" s="45" t="str">
        <f ca="1">IF(ROWS($1:18)&gt;COUNT(Dong),"",IF(OFFSET(TH!L$1,SMALL(Dong,ROWS($1:18)),)="331",OFFSET(TH!M$1,SMALL(Dong,ROWS($1:18)),),OFFSET(TH!L$1,SMALL(Dong,ROWS($1:18)),)))</f>
        <v/>
      </c>
      <c r="F31" s="45"/>
      <c r="G31" s="57" t="str">
        <f ca="1">IF(ROWS($1:18)&gt;COUNT(Dong),"",IF(OFFSET(TH!L$1,SMALL(Dong,ROWS($1:18)),)="331",OFFSET(TH!K$1,SMALL(Dong,ROWS($1:18)),),0))</f>
        <v/>
      </c>
      <c r="H31" s="57" t="str">
        <f ca="1">IF(ROWS($1:18)&gt;COUNT(Dong),"",IF(OFFSET(TH!M$1,SMALL(Dong,ROWS($1:18)),)="331",OFFSET(TH!K$1,SMALL(Dong,ROWS($1:18)),),0))</f>
        <v/>
      </c>
      <c r="I31" s="25">
        <f t="shared" ca="1" si="0"/>
        <v>0</v>
      </c>
      <c r="J31" s="25">
        <f t="shared" ca="1" si="1"/>
        <v>0</v>
      </c>
    </row>
    <row r="32" spans="1:10" s="18" customFormat="1" ht="18" customHeight="1">
      <c r="A32" s="9" t="str">
        <f ca="1">IF(ROWS($1:19)&gt;COUNT(Dong),"",OFFSET(TH!C$1,SMALL(Dong,ROWS($1:19)),))</f>
        <v/>
      </c>
      <c r="B32" s="9" t="str">
        <f ca="1">IF(ROWS($1:19)&gt;COUNT(Dong),"",OFFSET(TH!D$1,SMALL(Dong,ROWS($1:19)),))</f>
        <v/>
      </c>
      <c r="C32" s="9" t="str">
        <f ca="1">IF(ROWS($1:19)&gt;COUNT(Dong),"",OFFSET(TH!E$1,SMALL(Dong,ROWS($1:19)),))</f>
        <v/>
      </c>
      <c r="D32" s="212" t="str">
        <f ca="1">IF(ROWS($1:19)&gt;COUNT(Dong),"",OFFSET(TH!F$1,SMALL(Dong,ROWS($1:19)),))</f>
        <v/>
      </c>
      <c r="E32" s="45" t="str">
        <f ca="1">IF(ROWS($1:19)&gt;COUNT(Dong),"",IF(OFFSET(TH!L$1,SMALL(Dong,ROWS($1:19)),)="331",OFFSET(TH!M$1,SMALL(Dong,ROWS($1:19)),),OFFSET(TH!L$1,SMALL(Dong,ROWS($1:19)),)))</f>
        <v/>
      </c>
      <c r="F32" s="45"/>
      <c r="G32" s="57" t="str">
        <f ca="1">IF(ROWS($1:19)&gt;COUNT(Dong),"",IF(OFFSET(TH!L$1,SMALL(Dong,ROWS($1:19)),)="331",OFFSET(TH!K$1,SMALL(Dong,ROWS($1:19)),),0))</f>
        <v/>
      </c>
      <c r="H32" s="57" t="str">
        <f ca="1">IF(ROWS($1:19)&gt;COUNT(Dong),"",IF(OFFSET(TH!M$1,SMALL(Dong,ROWS($1:19)),)="331",OFFSET(TH!K$1,SMALL(Dong,ROWS($1:19)),),0))</f>
        <v/>
      </c>
      <c r="I32" s="25">
        <f t="shared" ca="1" si="0"/>
        <v>0</v>
      </c>
      <c r="J32" s="25">
        <f t="shared" ca="1" si="1"/>
        <v>0</v>
      </c>
    </row>
    <row r="33" spans="1:10" s="18" customFormat="1" ht="18" customHeight="1">
      <c r="A33" s="9" t="str">
        <f ca="1">IF(ROWS($1:20)&gt;COUNT(Dong),"",OFFSET(TH!C$1,SMALL(Dong,ROWS($1:20)),))</f>
        <v/>
      </c>
      <c r="B33" s="9" t="str">
        <f ca="1">IF(ROWS($1:20)&gt;COUNT(Dong),"",OFFSET(TH!D$1,SMALL(Dong,ROWS($1:20)),))</f>
        <v/>
      </c>
      <c r="C33" s="9" t="str">
        <f ca="1">IF(ROWS($1:20)&gt;COUNT(Dong),"",OFFSET(TH!E$1,SMALL(Dong,ROWS($1:20)),))</f>
        <v/>
      </c>
      <c r="D33" s="212" t="str">
        <f ca="1">IF(ROWS($1:20)&gt;COUNT(Dong),"",OFFSET(TH!F$1,SMALL(Dong,ROWS($1:20)),))</f>
        <v/>
      </c>
      <c r="E33" s="45" t="str">
        <f ca="1">IF(ROWS($1:20)&gt;COUNT(Dong),"",IF(OFFSET(TH!L$1,SMALL(Dong,ROWS($1:20)),)="331",OFFSET(TH!M$1,SMALL(Dong,ROWS($1:20)),),OFFSET(TH!L$1,SMALL(Dong,ROWS($1:20)),)))</f>
        <v/>
      </c>
      <c r="F33" s="45"/>
      <c r="G33" s="57" t="str">
        <f ca="1">IF(ROWS($1:20)&gt;COUNT(Dong),"",IF(OFFSET(TH!L$1,SMALL(Dong,ROWS($1:20)),)="331",OFFSET(TH!K$1,SMALL(Dong,ROWS($1:20)),),0))</f>
        <v/>
      </c>
      <c r="H33" s="57" t="str">
        <f ca="1">IF(ROWS($1:20)&gt;COUNT(Dong),"",IF(OFFSET(TH!M$1,SMALL(Dong,ROWS($1:20)),)="331",OFFSET(TH!K$1,SMALL(Dong,ROWS($1:20)),),0))</f>
        <v/>
      </c>
      <c r="I33" s="25">
        <f t="shared" ca="1" si="0"/>
        <v>0</v>
      </c>
      <c r="J33" s="25">
        <f t="shared" ca="1" si="1"/>
        <v>0</v>
      </c>
    </row>
    <row r="34" spans="1:10" s="18" customFormat="1" ht="18" customHeight="1">
      <c r="A34" s="9" t="str">
        <f ca="1">IF(ROWS($1:21)&gt;COUNT(Dong),"",OFFSET(TH!C$1,SMALL(Dong,ROWS($1:21)),))</f>
        <v/>
      </c>
      <c r="B34" s="9" t="str">
        <f ca="1">IF(ROWS($1:21)&gt;COUNT(Dong),"",OFFSET(TH!D$1,SMALL(Dong,ROWS($1:21)),))</f>
        <v/>
      </c>
      <c r="C34" s="9" t="str">
        <f ca="1">IF(ROWS($1:21)&gt;COUNT(Dong),"",OFFSET(TH!E$1,SMALL(Dong,ROWS($1:21)),))</f>
        <v/>
      </c>
      <c r="D34" s="212" t="str">
        <f ca="1">IF(ROWS($1:21)&gt;COUNT(Dong),"",OFFSET(TH!F$1,SMALL(Dong,ROWS($1:21)),))</f>
        <v/>
      </c>
      <c r="E34" s="45" t="str">
        <f ca="1">IF(ROWS($1:21)&gt;COUNT(Dong),"",IF(OFFSET(TH!L$1,SMALL(Dong,ROWS($1:21)),)="331",OFFSET(TH!M$1,SMALL(Dong,ROWS($1:21)),),OFFSET(TH!L$1,SMALL(Dong,ROWS($1:21)),)))</f>
        <v/>
      </c>
      <c r="F34" s="45"/>
      <c r="G34" s="57" t="str">
        <f ca="1">IF(ROWS($1:21)&gt;COUNT(Dong),"",IF(OFFSET(TH!L$1,SMALL(Dong,ROWS($1:21)),)="331",OFFSET(TH!K$1,SMALL(Dong,ROWS($1:21)),),0))</f>
        <v/>
      </c>
      <c r="H34" s="57" t="str">
        <f ca="1">IF(ROWS($1:21)&gt;COUNT(Dong),"",IF(OFFSET(TH!M$1,SMALL(Dong,ROWS($1:21)),)="331",OFFSET(TH!K$1,SMALL(Dong,ROWS($1:21)),),0))</f>
        <v/>
      </c>
      <c r="I34" s="25">
        <f t="shared" ca="1" si="0"/>
        <v>0</v>
      </c>
      <c r="J34" s="25">
        <f t="shared" ca="1" si="1"/>
        <v>0</v>
      </c>
    </row>
    <row r="35" spans="1:10" s="18" customFormat="1" ht="18" customHeight="1">
      <c r="A35" s="9" t="str">
        <f ca="1">IF(ROWS($1:22)&gt;COUNT(Dong),"",OFFSET(TH!C$1,SMALL(Dong,ROWS($1:22)),))</f>
        <v/>
      </c>
      <c r="B35" s="9" t="str">
        <f ca="1">IF(ROWS($1:22)&gt;COUNT(Dong),"",OFFSET(TH!D$1,SMALL(Dong,ROWS($1:22)),))</f>
        <v/>
      </c>
      <c r="C35" s="9" t="str">
        <f ca="1">IF(ROWS($1:22)&gt;COUNT(Dong),"",OFFSET(TH!E$1,SMALL(Dong,ROWS($1:22)),))</f>
        <v/>
      </c>
      <c r="D35" s="212" t="str">
        <f ca="1">IF(ROWS($1:22)&gt;COUNT(Dong),"",OFFSET(TH!F$1,SMALL(Dong,ROWS($1:22)),))</f>
        <v/>
      </c>
      <c r="E35" s="45" t="str">
        <f ca="1">IF(ROWS($1:22)&gt;COUNT(Dong),"",IF(OFFSET(TH!L$1,SMALL(Dong,ROWS($1:22)),)="331",OFFSET(TH!M$1,SMALL(Dong,ROWS($1:22)),),OFFSET(TH!L$1,SMALL(Dong,ROWS($1:22)),)))</f>
        <v/>
      </c>
      <c r="F35" s="45"/>
      <c r="G35" s="57" t="str">
        <f ca="1">IF(ROWS($1:22)&gt;COUNT(Dong),"",IF(OFFSET(TH!L$1,SMALL(Dong,ROWS($1:22)),)="331",OFFSET(TH!K$1,SMALL(Dong,ROWS($1:22)),),0))</f>
        <v/>
      </c>
      <c r="H35" s="57" t="str">
        <f ca="1">IF(ROWS($1:22)&gt;COUNT(Dong),"",IF(OFFSET(TH!M$1,SMALL(Dong,ROWS($1:22)),)="331",OFFSET(TH!K$1,SMALL(Dong,ROWS($1:22)),),0))</f>
        <v/>
      </c>
      <c r="I35" s="25">
        <f t="shared" ca="1" si="0"/>
        <v>0</v>
      </c>
      <c r="J35" s="25">
        <f t="shared" ca="1" si="1"/>
        <v>0</v>
      </c>
    </row>
    <row r="36" spans="1:10" s="18" customFormat="1" ht="18" customHeight="1">
      <c r="A36" s="9" t="str">
        <f ca="1">IF(ROWS($1:23)&gt;COUNT(Dong),"",OFFSET(TH!C$1,SMALL(Dong,ROWS($1:23)),))</f>
        <v/>
      </c>
      <c r="B36" s="9" t="str">
        <f ca="1">IF(ROWS($1:23)&gt;COUNT(Dong),"",OFFSET(TH!D$1,SMALL(Dong,ROWS($1:23)),))</f>
        <v/>
      </c>
      <c r="C36" s="9" t="str">
        <f ca="1">IF(ROWS($1:23)&gt;COUNT(Dong),"",OFFSET(TH!E$1,SMALL(Dong,ROWS($1:23)),))</f>
        <v/>
      </c>
      <c r="D36" s="212" t="str">
        <f ca="1">IF(ROWS($1:23)&gt;COUNT(Dong),"",OFFSET(TH!F$1,SMALL(Dong,ROWS($1:23)),))</f>
        <v/>
      </c>
      <c r="E36" s="45" t="str">
        <f ca="1">IF(ROWS($1:23)&gt;COUNT(Dong),"",IF(OFFSET(TH!L$1,SMALL(Dong,ROWS($1:23)),)="331",OFFSET(TH!M$1,SMALL(Dong,ROWS($1:23)),),OFFSET(TH!L$1,SMALL(Dong,ROWS($1:23)),)))</f>
        <v/>
      </c>
      <c r="F36" s="45"/>
      <c r="G36" s="57" t="str">
        <f ca="1">IF(ROWS($1:23)&gt;COUNT(Dong),"",IF(OFFSET(TH!L$1,SMALL(Dong,ROWS($1:23)),)="331",OFFSET(TH!K$1,SMALL(Dong,ROWS($1:23)),),0))</f>
        <v/>
      </c>
      <c r="H36" s="57" t="str">
        <f ca="1">IF(ROWS($1:23)&gt;COUNT(Dong),"",IF(OFFSET(TH!M$1,SMALL(Dong,ROWS($1:23)),)="331",OFFSET(TH!K$1,SMALL(Dong,ROWS($1:23)),),0))</f>
        <v/>
      </c>
      <c r="I36" s="25">
        <f t="shared" ca="1" si="0"/>
        <v>0</v>
      </c>
      <c r="J36" s="25">
        <f t="shared" ca="1" si="1"/>
        <v>0</v>
      </c>
    </row>
    <row r="37" spans="1:10" s="18" customFormat="1" ht="18" customHeight="1">
      <c r="A37" s="9" t="str">
        <f ca="1">IF(ROWS($1:24)&gt;COUNT(Dong),"",OFFSET(TH!C$1,SMALL(Dong,ROWS($1:24)),))</f>
        <v/>
      </c>
      <c r="B37" s="9" t="str">
        <f ca="1">IF(ROWS($1:24)&gt;COUNT(Dong),"",OFFSET(TH!D$1,SMALL(Dong,ROWS($1:24)),))</f>
        <v/>
      </c>
      <c r="C37" s="9" t="str">
        <f ca="1">IF(ROWS($1:24)&gt;COUNT(Dong),"",OFFSET(TH!E$1,SMALL(Dong,ROWS($1:24)),))</f>
        <v/>
      </c>
      <c r="D37" s="212" t="str">
        <f ca="1">IF(ROWS($1:24)&gt;COUNT(Dong),"",OFFSET(TH!F$1,SMALL(Dong,ROWS($1:24)),))</f>
        <v/>
      </c>
      <c r="E37" s="45" t="str">
        <f ca="1">IF(ROWS($1:24)&gt;COUNT(Dong),"",IF(OFFSET(TH!L$1,SMALL(Dong,ROWS($1:24)),)="331",OFFSET(TH!M$1,SMALL(Dong,ROWS($1:24)),),OFFSET(TH!L$1,SMALL(Dong,ROWS($1:24)),)))</f>
        <v/>
      </c>
      <c r="F37" s="45"/>
      <c r="G37" s="57" t="str">
        <f ca="1">IF(ROWS($1:24)&gt;COUNT(Dong),"",IF(OFFSET(TH!L$1,SMALL(Dong,ROWS($1:24)),)="331",OFFSET(TH!K$1,SMALL(Dong,ROWS($1:24)),),0))</f>
        <v/>
      </c>
      <c r="H37" s="57" t="str">
        <f ca="1">IF(ROWS($1:24)&gt;COUNT(Dong),"",IF(OFFSET(TH!M$1,SMALL(Dong,ROWS($1:24)),)="331",OFFSET(TH!K$1,SMALL(Dong,ROWS($1:24)),),0))</f>
        <v/>
      </c>
      <c r="I37" s="25">
        <f t="shared" ca="1" si="0"/>
        <v>0</v>
      </c>
      <c r="J37" s="25">
        <f t="shared" ca="1" si="1"/>
        <v>0</v>
      </c>
    </row>
    <row r="38" spans="1:10" s="18" customFormat="1" ht="18" customHeight="1">
      <c r="A38" s="9" t="str">
        <f ca="1">IF(ROWS($1:25)&gt;COUNT(Dong),"",OFFSET(TH!C$1,SMALL(Dong,ROWS($1:25)),))</f>
        <v/>
      </c>
      <c r="B38" s="9" t="str">
        <f ca="1">IF(ROWS($1:25)&gt;COUNT(Dong),"",OFFSET(TH!D$1,SMALL(Dong,ROWS($1:25)),))</f>
        <v/>
      </c>
      <c r="C38" s="9" t="str">
        <f ca="1">IF(ROWS($1:25)&gt;COUNT(Dong),"",OFFSET(TH!E$1,SMALL(Dong,ROWS($1:25)),))</f>
        <v/>
      </c>
      <c r="D38" s="212" t="str">
        <f ca="1">IF(ROWS($1:25)&gt;COUNT(Dong),"",OFFSET(TH!F$1,SMALL(Dong,ROWS($1:25)),))</f>
        <v/>
      </c>
      <c r="E38" s="45" t="str">
        <f ca="1">IF(ROWS($1:25)&gt;COUNT(Dong),"",IF(OFFSET(TH!L$1,SMALL(Dong,ROWS($1:25)),)="331",OFFSET(TH!M$1,SMALL(Dong,ROWS($1:25)),),OFFSET(TH!L$1,SMALL(Dong,ROWS($1:25)),)))</f>
        <v/>
      </c>
      <c r="F38" s="45"/>
      <c r="G38" s="57" t="str">
        <f ca="1">IF(ROWS($1:25)&gt;COUNT(Dong),"",IF(OFFSET(TH!L$1,SMALL(Dong,ROWS($1:25)),)="331",OFFSET(TH!K$1,SMALL(Dong,ROWS($1:25)),),0))</f>
        <v/>
      </c>
      <c r="H38" s="57" t="str">
        <f ca="1">IF(ROWS($1:25)&gt;COUNT(Dong),"",IF(OFFSET(TH!M$1,SMALL(Dong,ROWS($1:25)),)="331",OFFSET(TH!K$1,SMALL(Dong,ROWS($1:25)),),0))</f>
        <v/>
      </c>
      <c r="I38" s="25">
        <f t="shared" ca="1" si="0"/>
        <v>0</v>
      </c>
      <c r="J38" s="25">
        <f t="shared" ca="1" si="1"/>
        <v>0</v>
      </c>
    </row>
    <row r="39" spans="1:10" s="18" customFormat="1" ht="18" customHeight="1">
      <c r="A39" s="9" t="str">
        <f ca="1">IF(ROWS($1:26)&gt;COUNT(Dong),"",OFFSET(TH!C$1,SMALL(Dong,ROWS($1:26)),))</f>
        <v/>
      </c>
      <c r="B39" s="9" t="str">
        <f ca="1">IF(ROWS($1:26)&gt;COUNT(Dong),"",OFFSET(TH!D$1,SMALL(Dong,ROWS($1:26)),))</f>
        <v/>
      </c>
      <c r="C39" s="9" t="str">
        <f ca="1">IF(ROWS($1:26)&gt;COUNT(Dong),"",OFFSET(TH!E$1,SMALL(Dong,ROWS($1:26)),))</f>
        <v/>
      </c>
      <c r="D39" s="212" t="str">
        <f ca="1">IF(ROWS($1:26)&gt;COUNT(Dong),"",OFFSET(TH!F$1,SMALL(Dong,ROWS($1:26)),))</f>
        <v/>
      </c>
      <c r="E39" s="45" t="str">
        <f ca="1">IF(ROWS($1:26)&gt;COUNT(Dong),"",IF(OFFSET(TH!L$1,SMALL(Dong,ROWS($1:26)),)="331",OFFSET(TH!M$1,SMALL(Dong,ROWS($1:26)),),OFFSET(TH!L$1,SMALL(Dong,ROWS($1:26)),)))</f>
        <v/>
      </c>
      <c r="F39" s="45"/>
      <c r="G39" s="57" t="str">
        <f ca="1">IF(ROWS($1:26)&gt;COUNT(Dong),"",IF(OFFSET(TH!L$1,SMALL(Dong,ROWS($1:26)),)="331",OFFSET(TH!K$1,SMALL(Dong,ROWS($1:26)),),0))</f>
        <v/>
      </c>
      <c r="H39" s="57" t="str">
        <f ca="1">IF(ROWS($1:26)&gt;COUNT(Dong),"",IF(OFFSET(TH!M$1,SMALL(Dong,ROWS($1:26)),)="331",OFFSET(TH!K$1,SMALL(Dong,ROWS($1:26)),),0))</f>
        <v/>
      </c>
      <c r="I39" s="25">
        <f t="shared" ca="1" si="0"/>
        <v>0</v>
      </c>
      <c r="J39" s="25">
        <f t="shared" ca="1" si="1"/>
        <v>0</v>
      </c>
    </row>
    <row r="40" spans="1:10" s="18" customFormat="1" ht="18" customHeight="1">
      <c r="A40" s="9" t="str">
        <f ca="1">IF(ROWS($1:27)&gt;COUNT(Dong),"",OFFSET(TH!C$1,SMALL(Dong,ROWS($1:27)),))</f>
        <v/>
      </c>
      <c r="B40" s="9" t="str">
        <f ca="1">IF(ROWS($1:27)&gt;COUNT(Dong),"",OFFSET(TH!D$1,SMALL(Dong,ROWS($1:27)),))</f>
        <v/>
      </c>
      <c r="C40" s="9" t="str">
        <f ca="1">IF(ROWS($1:27)&gt;COUNT(Dong),"",OFFSET(TH!E$1,SMALL(Dong,ROWS($1:27)),))</f>
        <v/>
      </c>
      <c r="D40" s="212" t="str">
        <f ca="1">IF(ROWS($1:27)&gt;COUNT(Dong),"",OFFSET(TH!F$1,SMALL(Dong,ROWS($1:27)),))</f>
        <v/>
      </c>
      <c r="E40" s="45" t="str">
        <f ca="1">IF(ROWS($1:27)&gt;COUNT(Dong),"",IF(OFFSET(TH!L$1,SMALL(Dong,ROWS($1:27)),)="331",OFFSET(TH!M$1,SMALL(Dong,ROWS($1:27)),),OFFSET(TH!L$1,SMALL(Dong,ROWS($1:27)),)))</f>
        <v/>
      </c>
      <c r="F40" s="45"/>
      <c r="G40" s="57" t="str">
        <f ca="1">IF(ROWS($1:27)&gt;COUNT(Dong),"",IF(OFFSET(TH!L$1,SMALL(Dong,ROWS($1:27)),)="331",OFFSET(TH!K$1,SMALL(Dong,ROWS($1:27)),),0))</f>
        <v/>
      </c>
      <c r="H40" s="57" t="str">
        <f ca="1">IF(ROWS($1:27)&gt;COUNT(Dong),"",IF(OFFSET(TH!M$1,SMALL(Dong,ROWS($1:27)),)="331",OFFSET(TH!K$1,SMALL(Dong,ROWS($1:27)),),0))</f>
        <v/>
      </c>
      <c r="I40" s="25">
        <f t="shared" ca="1" si="0"/>
        <v>0</v>
      </c>
      <c r="J40" s="25">
        <f t="shared" ca="1" si="1"/>
        <v>0</v>
      </c>
    </row>
    <row r="41" spans="1:10" s="18" customFormat="1" ht="18" customHeight="1">
      <c r="A41" s="9" t="str">
        <f ca="1">IF(ROWS($1:28)&gt;COUNT(Dong),"",OFFSET(TH!C$1,SMALL(Dong,ROWS($1:28)),))</f>
        <v/>
      </c>
      <c r="B41" s="9" t="str">
        <f ca="1">IF(ROWS($1:28)&gt;COUNT(Dong),"",OFFSET(TH!D$1,SMALL(Dong,ROWS($1:28)),))</f>
        <v/>
      </c>
      <c r="C41" s="9" t="str">
        <f ca="1">IF(ROWS($1:28)&gt;COUNT(Dong),"",OFFSET(TH!E$1,SMALL(Dong,ROWS($1:28)),))</f>
        <v/>
      </c>
      <c r="D41" s="212" t="str">
        <f ca="1">IF(ROWS($1:28)&gt;COUNT(Dong),"",OFFSET(TH!F$1,SMALL(Dong,ROWS($1:28)),))</f>
        <v/>
      </c>
      <c r="E41" s="45" t="str">
        <f ca="1">IF(ROWS($1:28)&gt;COUNT(Dong),"",IF(OFFSET(TH!L$1,SMALL(Dong,ROWS($1:28)),)="331",OFFSET(TH!M$1,SMALL(Dong,ROWS($1:28)),),OFFSET(TH!L$1,SMALL(Dong,ROWS($1:28)),)))</f>
        <v/>
      </c>
      <c r="F41" s="45"/>
      <c r="G41" s="57" t="str">
        <f ca="1">IF(ROWS($1:28)&gt;COUNT(Dong),"",IF(OFFSET(TH!L$1,SMALL(Dong,ROWS($1:28)),)="331",OFFSET(TH!K$1,SMALL(Dong,ROWS($1:28)),),0))</f>
        <v/>
      </c>
      <c r="H41" s="57" t="str">
        <f ca="1">IF(ROWS($1:28)&gt;COUNT(Dong),"",IF(OFFSET(TH!M$1,SMALL(Dong,ROWS($1:28)),)="331",OFFSET(TH!K$1,SMALL(Dong,ROWS($1:28)),),0))</f>
        <v/>
      </c>
      <c r="I41" s="25">
        <f t="shared" ca="1" si="0"/>
        <v>0</v>
      </c>
      <c r="J41" s="25">
        <f t="shared" ca="1" si="1"/>
        <v>0</v>
      </c>
    </row>
    <row r="42" spans="1:10" s="18" customFormat="1" ht="18" customHeight="1">
      <c r="A42" s="9" t="str">
        <f ca="1">IF(ROWS($1:29)&gt;COUNT(Dong),"",OFFSET(TH!C$1,SMALL(Dong,ROWS($1:29)),))</f>
        <v/>
      </c>
      <c r="B42" s="9" t="str">
        <f ca="1">IF(ROWS($1:29)&gt;COUNT(Dong),"",OFFSET(TH!D$1,SMALL(Dong,ROWS($1:29)),))</f>
        <v/>
      </c>
      <c r="C42" s="9" t="str">
        <f ca="1">IF(ROWS($1:29)&gt;COUNT(Dong),"",OFFSET(TH!E$1,SMALL(Dong,ROWS($1:29)),))</f>
        <v/>
      </c>
      <c r="D42" s="212" t="str">
        <f ca="1">IF(ROWS($1:29)&gt;COUNT(Dong),"",OFFSET(TH!F$1,SMALL(Dong,ROWS($1:29)),))</f>
        <v/>
      </c>
      <c r="E42" s="45" t="str">
        <f ca="1">IF(ROWS($1:29)&gt;COUNT(Dong),"",IF(OFFSET(TH!L$1,SMALL(Dong,ROWS($1:29)),)="331",OFFSET(TH!M$1,SMALL(Dong,ROWS($1:29)),),OFFSET(TH!L$1,SMALL(Dong,ROWS($1:29)),)))</f>
        <v/>
      </c>
      <c r="F42" s="45"/>
      <c r="G42" s="57" t="str">
        <f ca="1">IF(ROWS($1:29)&gt;COUNT(Dong),"",IF(OFFSET(TH!L$1,SMALL(Dong,ROWS($1:29)),)="331",OFFSET(TH!K$1,SMALL(Dong,ROWS($1:29)),),0))</f>
        <v/>
      </c>
      <c r="H42" s="57" t="str">
        <f ca="1">IF(ROWS($1:29)&gt;COUNT(Dong),"",IF(OFFSET(TH!M$1,SMALL(Dong,ROWS($1:29)),)="331",OFFSET(TH!K$1,SMALL(Dong,ROWS($1:29)),),0))</f>
        <v/>
      </c>
      <c r="I42" s="25">
        <f t="shared" ca="1" si="0"/>
        <v>0</v>
      </c>
      <c r="J42" s="25">
        <f t="shared" ca="1" si="1"/>
        <v>0</v>
      </c>
    </row>
    <row r="43" spans="1:10" s="18" customFormat="1" ht="18" customHeight="1">
      <c r="A43" s="9" t="str">
        <f ca="1">IF(ROWS($1:30)&gt;COUNT(Dong),"",OFFSET(TH!C$1,SMALL(Dong,ROWS($1:30)),))</f>
        <v/>
      </c>
      <c r="B43" s="9" t="str">
        <f ca="1">IF(ROWS($1:30)&gt;COUNT(Dong),"",OFFSET(TH!D$1,SMALL(Dong,ROWS($1:30)),))</f>
        <v/>
      </c>
      <c r="C43" s="9" t="str">
        <f ca="1">IF(ROWS($1:30)&gt;COUNT(Dong),"",OFFSET(TH!E$1,SMALL(Dong,ROWS($1:30)),))</f>
        <v/>
      </c>
      <c r="D43" s="212" t="str">
        <f ca="1">IF(ROWS($1:30)&gt;COUNT(Dong),"",OFFSET(TH!F$1,SMALL(Dong,ROWS($1:30)),))</f>
        <v/>
      </c>
      <c r="E43" s="45" t="str">
        <f ca="1">IF(ROWS($1:30)&gt;COUNT(Dong),"",IF(OFFSET(TH!L$1,SMALL(Dong,ROWS($1:30)),)="331",OFFSET(TH!M$1,SMALL(Dong,ROWS($1:30)),),OFFSET(TH!L$1,SMALL(Dong,ROWS($1:30)),)))</f>
        <v/>
      </c>
      <c r="F43" s="45"/>
      <c r="G43" s="57" t="str">
        <f ca="1">IF(ROWS($1:30)&gt;COUNT(Dong),"",IF(OFFSET(TH!L$1,SMALL(Dong,ROWS($1:30)),)="331",OFFSET(TH!K$1,SMALL(Dong,ROWS($1:30)),),0))</f>
        <v/>
      </c>
      <c r="H43" s="57" t="str">
        <f ca="1">IF(ROWS($1:30)&gt;COUNT(Dong),"",IF(OFFSET(TH!M$1,SMALL(Dong,ROWS($1:30)),)="331",OFFSET(TH!K$1,SMALL(Dong,ROWS($1:30)),),0))</f>
        <v/>
      </c>
      <c r="I43" s="25">
        <f t="shared" ca="1" si="0"/>
        <v>0</v>
      </c>
      <c r="J43" s="25">
        <f t="shared" ca="1" si="1"/>
        <v>0</v>
      </c>
    </row>
    <row r="44" spans="1:10" s="18" customFormat="1" ht="18" customHeight="1">
      <c r="A44" s="9" t="str">
        <f ca="1">IF(ROWS($1:31)&gt;COUNT(Dong),"",OFFSET(TH!C$1,SMALL(Dong,ROWS($1:31)),))</f>
        <v/>
      </c>
      <c r="B44" s="9" t="str">
        <f ca="1">IF(ROWS($1:31)&gt;COUNT(Dong),"",OFFSET(TH!D$1,SMALL(Dong,ROWS($1:31)),))</f>
        <v/>
      </c>
      <c r="C44" s="9" t="str">
        <f ca="1">IF(ROWS($1:31)&gt;COUNT(Dong),"",OFFSET(TH!E$1,SMALL(Dong,ROWS($1:31)),))</f>
        <v/>
      </c>
      <c r="D44" s="212" t="str">
        <f ca="1">IF(ROWS($1:31)&gt;COUNT(Dong),"",OFFSET(TH!F$1,SMALL(Dong,ROWS($1:31)),))</f>
        <v/>
      </c>
      <c r="E44" s="45" t="str">
        <f ca="1">IF(ROWS($1:31)&gt;COUNT(Dong),"",IF(OFFSET(TH!L$1,SMALL(Dong,ROWS($1:31)),)="331",OFFSET(TH!M$1,SMALL(Dong,ROWS($1:31)),),OFFSET(TH!L$1,SMALL(Dong,ROWS($1:31)),)))</f>
        <v/>
      </c>
      <c r="F44" s="45"/>
      <c r="G44" s="57" t="str">
        <f ca="1">IF(ROWS($1:31)&gt;COUNT(Dong),"",IF(OFFSET(TH!L$1,SMALL(Dong,ROWS($1:31)),)="331",OFFSET(TH!K$1,SMALL(Dong,ROWS($1:31)),),0))</f>
        <v/>
      </c>
      <c r="H44" s="57" t="str">
        <f ca="1">IF(ROWS($1:31)&gt;COUNT(Dong),"",IF(OFFSET(TH!M$1,SMALL(Dong,ROWS($1:31)),)="331",OFFSET(TH!K$1,SMALL(Dong,ROWS($1:31)),),0))</f>
        <v/>
      </c>
      <c r="I44" s="25">
        <f t="shared" ca="1" si="0"/>
        <v>0</v>
      </c>
      <c r="J44" s="25">
        <f t="shared" ca="1" si="1"/>
        <v>0</v>
      </c>
    </row>
    <row r="45" spans="1:10" s="18" customFormat="1" ht="18" customHeight="1">
      <c r="A45" s="9" t="str">
        <f ca="1">IF(ROWS($1:32)&gt;COUNT(Dong),"",OFFSET(TH!C$1,SMALL(Dong,ROWS($1:32)),))</f>
        <v/>
      </c>
      <c r="B45" s="9" t="str">
        <f ca="1">IF(ROWS($1:32)&gt;COUNT(Dong),"",OFFSET(TH!D$1,SMALL(Dong,ROWS($1:32)),))</f>
        <v/>
      </c>
      <c r="C45" s="9" t="str">
        <f ca="1">IF(ROWS($1:32)&gt;COUNT(Dong),"",OFFSET(TH!E$1,SMALL(Dong,ROWS($1:32)),))</f>
        <v/>
      </c>
      <c r="D45" s="212" t="str">
        <f ca="1">IF(ROWS($1:32)&gt;COUNT(Dong),"",OFFSET(TH!F$1,SMALL(Dong,ROWS($1:32)),))</f>
        <v/>
      </c>
      <c r="E45" s="45" t="str">
        <f ca="1">IF(ROWS($1:32)&gt;COUNT(Dong),"",IF(OFFSET(TH!L$1,SMALL(Dong,ROWS($1:32)),)="331",OFFSET(TH!M$1,SMALL(Dong,ROWS($1:32)),),OFFSET(TH!L$1,SMALL(Dong,ROWS($1:32)),)))</f>
        <v/>
      </c>
      <c r="F45" s="45"/>
      <c r="G45" s="57" t="str">
        <f ca="1">IF(ROWS($1:32)&gt;COUNT(Dong),"",IF(OFFSET(TH!L$1,SMALL(Dong,ROWS($1:32)),)="331",OFFSET(TH!K$1,SMALL(Dong,ROWS($1:32)),),0))</f>
        <v/>
      </c>
      <c r="H45" s="57" t="str">
        <f ca="1">IF(ROWS($1:32)&gt;COUNT(Dong),"",IF(OFFSET(TH!M$1,SMALL(Dong,ROWS($1:32)),)="331",OFFSET(TH!K$1,SMALL(Dong,ROWS($1:32)),),0))</f>
        <v/>
      </c>
      <c r="I45" s="25">
        <f t="shared" ca="1" si="0"/>
        <v>0</v>
      </c>
      <c r="J45" s="25">
        <f t="shared" ca="1" si="1"/>
        <v>0</v>
      </c>
    </row>
    <row r="46" spans="1:10" s="18" customFormat="1" ht="18" customHeight="1">
      <c r="A46" s="9" t="str">
        <f ca="1">IF(ROWS($1:33)&gt;COUNT(Dong),"",OFFSET(TH!C$1,SMALL(Dong,ROWS($1:33)),))</f>
        <v/>
      </c>
      <c r="B46" s="9" t="str">
        <f ca="1">IF(ROWS($1:33)&gt;COUNT(Dong),"",OFFSET(TH!D$1,SMALL(Dong,ROWS($1:33)),))</f>
        <v/>
      </c>
      <c r="C46" s="9" t="str">
        <f ca="1">IF(ROWS($1:33)&gt;COUNT(Dong),"",OFFSET(TH!E$1,SMALL(Dong,ROWS($1:33)),))</f>
        <v/>
      </c>
      <c r="D46" s="212" t="str">
        <f ca="1">IF(ROWS($1:33)&gt;COUNT(Dong),"",OFFSET(TH!F$1,SMALL(Dong,ROWS($1:33)),))</f>
        <v/>
      </c>
      <c r="E46" s="45" t="str">
        <f ca="1">IF(ROWS($1:33)&gt;COUNT(Dong),"",IF(OFFSET(TH!L$1,SMALL(Dong,ROWS($1:33)),)="331",OFFSET(TH!M$1,SMALL(Dong,ROWS($1:33)),),OFFSET(TH!L$1,SMALL(Dong,ROWS($1:33)),)))</f>
        <v/>
      </c>
      <c r="F46" s="45"/>
      <c r="G46" s="57" t="str">
        <f ca="1">IF(ROWS($1:33)&gt;COUNT(Dong),"",IF(OFFSET(TH!L$1,SMALL(Dong,ROWS($1:33)),)="331",OFFSET(TH!K$1,SMALL(Dong,ROWS($1:33)),),0))</f>
        <v/>
      </c>
      <c r="H46" s="57" t="str">
        <f ca="1">IF(ROWS($1:33)&gt;COUNT(Dong),"",IF(OFFSET(TH!M$1,SMALL(Dong,ROWS($1:33)),)="331",OFFSET(TH!K$1,SMALL(Dong,ROWS($1:33)),),0))</f>
        <v/>
      </c>
      <c r="I46" s="25">
        <f t="shared" ca="1" si="0"/>
        <v>0</v>
      </c>
      <c r="J46" s="25">
        <f t="shared" ca="1" si="1"/>
        <v>0</v>
      </c>
    </row>
    <row r="47" spans="1:10" s="18" customFormat="1" ht="18" customHeight="1">
      <c r="A47" s="9" t="str">
        <f ca="1">IF(ROWS($1:34)&gt;COUNT(Dong),"",OFFSET(TH!C$1,SMALL(Dong,ROWS($1:34)),))</f>
        <v/>
      </c>
      <c r="B47" s="9" t="str">
        <f ca="1">IF(ROWS($1:34)&gt;COUNT(Dong),"",OFFSET(TH!D$1,SMALL(Dong,ROWS($1:34)),))</f>
        <v/>
      </c>
      <c r="C47" s="9" t="str">
        <f ca="1">IF(ROWS($1:34)&gt;COUNT(Dong),"",OFFSET(TH!E$1,SMALL(Dong,ROWS($1:34)),))</f>
        <v/>
      </c>
      <c r="D47" s="212" t="str">
        <f ca="1">IF(ROWS($1:34)&gt;COUNT(Dong),"",OFFSET(TH!F$1,SMALL(Dong,ROWS($1:34)),))</f>
        <v/>
      </c>
      <c r="E47" s="45" t="str">
        <f ca="1">IF(ROWS($1:34)&gt;COUNT(Dong),"",IF(OFFSET(TH!L$1,SMALL(Dong,ROWS($1:34)),)="331",OFFSET(TH!M$1,SMALL(Dong,ROWS($1:34)),),OFFSET(TH!L$1,SMALL(Dong,ROWS($1:34)),)))</f>
        <v/>
      </c>
      <c r="F47" s="45"/>
      <c r="G47" s="57" t="str">
        <f ca="1">IF(ROWS($1:34)&gt;COUNT(Dong),"",IF(OFFSET(TH!L$1,SMALL(Dong,ROWS($1:34)),)="331",OFFSET(TH!K$1,SMALL(Dong,ROWS($1:34)),),0))</f>
        <v/>
      </c>
      <c r="H47" s="57" t="str">
        <f ca="1">IF(ROWS($1:34)&gt;COUNT(Dong),"",IF(OFFSET(TH!M$1,SMALL(Dong,ROWS($1:34)),)="331",OFFSET(TH!K$1,SMALL(Dong,ROWS($1:34)),),0))</f>
        <v/>
      </c>
      <c r="I47" s="25">
        <f t="shared" ca="1" si="0"/>
        <v>0</v>
      </c>
      <c r="J47" s="25">
        <f t="shared" ca="1" si="1"/>
        <v>0</v>
      </c>
    </row>
    <row r="48" spans="1:10" s="18" customFormat="1" ht="18" customHeight="1">
      <c r="A48" s="9" t="str">
        <f ca="1">IF(ROWS($1:35)&gt;COUNT(Dong),"",OFFSET(TH!C$1,SMALL(Dong,ROWS($1:35)),))</f>
        <v/>
      </c>
      <c r="B48" s="9" t="str">
        <f ca="1">IF(ROWS($1:35)&gt;COUNT(Dong),"",OFFSET(TH!D$1,SMALL(Dong,ROWS($1:35)),))</f>
        <v/>
      </c>
      <c r="C48" s="9" t="str">
        <f ca="1">IF(ROWS($1:35)&gt;COUNT(Dong),"",OFFSET(TH!E$1,SMALL(Dong,ROWS($1:35)),))</f>
        <v/>
      </c>
      <c r="D48" s="212" t="str">
        <f ca="1">IF(ROWS($1:35)&gt;COUNT(Dong),"",OFFSET(TH!F$1,SMALL(Dong,ROWS($1:35)),))</f>
        <v/>
      </c>
      <c r="E48" s="45" t="str">
        <f ca="1">IF(ROWS($1:35)&gt;COUNT(Dong),"",IF(OFFSET(TH!L$1,SMALL(Dong,ROWS($1:35)),)="331",OFFSET(TH!M$1,SMALL(Dong,ROWS($1:35)),),OFFSET(TH!L$1,SMALL(Dong,ROWS($1:35)),)))</f>
        <v/>
      </c>
      <c r="F48" s="45"/>
      <c r="G48" s="57" t="str">
        <f ca="1">IF(ROWS($1:35)&gt;COUNT(Dong),"",IF(OFFSET(TH!L$1,SMALL(Dong,ROWS($1:35)),)="331",OFFSET(TH!K$1,SMALL(Dong,ROWS($1:35)),),0))</f>
        <v/>
      </c>
      <c r="H48" s="57" t="str">
        <f ca="1">IF(ROWS($1:35)&gt;COUNT(Dong),"",IF(OFFSET(TH!M$1,SMALL(Dong,ROWS($1:35)),)="331",OFFSET(TH!K$1,SMALL(Dong,ROWS($1:35)),),0))</f>
        <v/>
      </c>
      <c r="I48" s="25">
        <f t="shared" ca="1" si="0"/>
        <v>0</v>
      </c>
      <c r="J48" s="25">
        <f t="shared" ca="1" si="1"/>
        <v>0</v>
      </c>
    </row>
    <row r="49" spans="1:10" s="18" customFormat="1" ht="18" customHeight="1">
      <c r="A49" s="9" t="str">
        <f ca="1">IF(ROWS($1:36)&gt;COUNT(Dong),"",OFFSET(TH!C$1,SMALL(Dong,ROWS($1:36)),))</f>
        <v/>
      </c>
      <c r="B49" s="9" t="str">
        <f ca="1">IF(ROWS($1:36)&gt;COUNT(Dong),"",OFFSET(TH!D$1,SMALL(Dong,ROWS($1:36)),))</f>
        <v/>
      </c>
      <c r="C49" s="9" t="str">
        <f ca="1">IF(ROWS($1:36)&gt;COUNT(Dong),"",OFFSET(TH!E$1,SMALL(Dong,ROWS($1:36)),))</f>
        <v/>
      </c>
      <c r="D49" s="212" t="str">
        <f ca="1">IF(ROWS($1:36)&gt;COUNT(Dong),"",OFFSET(TH!F$1,SMALL(Dong,ROWS($1:36)),))</f>
        <v/>
      </c>
      <c r="E49" s="45" t="str">
        <f ca="1">IF(ROWS($1:36)&gt;COUNT(Dong),"",IF(OFFSET(TH!L$1,SMALL(Dong,ROWS($1:36)),)="331",OFFSET(TH!M$1,SMALL(Dong,ROWS($1:36)),),OFFSET(TH!L$1,SMALL(Dong,ROWS($1:36)),)))</f>
        <v/>
      </c>
      <c r="F49" s="45"/>
      <c r="G49" s="57" t="str">
        <f ca="1">IF(ROWS($1:36)&gt;COUNT(Dong),"",IF(OFFSET(TH!L$1,SMALL(Dong,ROWS($1:36)),)="331",OFFSET(TH!K$1,SMALL(Dong,ROWS($1:36)),),0))</f>
        <v/>
      </c>
      <c r="H49" s="57" t="str">
        <f ca="1">IF(ROWS($1:36)&gt;COUNT(Dong),"",IF(OFFSET(TH!M$1,SMALL(Dong,ROWS($1:36)),)="331",OFFSET(TH!K$1,SMALL(Dong,ROWS($1:36)),),0))</f>
        <v/>
      </c>
      <c r="I49" s="25">
        <f t="shared" ca="1" si="0"/>
        <v>0</v>
      </c>
      <c r="J49" s="25">
        <f t="shared" ca="1" si="1"/>
        <v>0</v>
      </c>
    </row>
    <row r="50" spans="1:10" s="18" customFormat="1" ht="18" customHeight="1">
      <c r="A50" s="9" t="str">
        <f ca="1">IF(ROWS($1:37)&gt;COUNT(Dong),"",OFFSET(TH!C$1,SMALL(Dong,ROWS($1:37)),))</f>
        <v/>
      </c>
      <c r="B50" s="9" t="str">
        <f ca="1">IF(ROWS($1:37)&gt;COUNT(Dong),"",OFFSET(TH!D$1,SMALL(Dong,ROWS($1:37)),))</f>
        <v/>
      </c>
      <c r="C50" s="9" t="str">
        <f ca="1">IF(ROWS($1:37)&gt;COUNT(Dong),"",OFFSET(TH!E$1,SMALL(Dong,ROWS($1:37)),))</f>
        <v/>
      </c>
      <c r="D50" s="212" t="str">
        <f ca="1">IF(ROWS($1:37)&gt;COUNT(Dong),"",OFFSET(TH!F$1,SMALL(Dong,ROWS($1:37)),))</f>
        <v/>
      </c>
      <c r="E50" s="45" t="str">
        <f ca="1">IF(ROWS($1:37)&gt;COUNT(Dong),"",IF(OFFSET(TH!L$1,SMALL(Dong,ROWS($1:37)),)="331",OFFSET(TH!M$1,SMALL(Dong,ROWS($1:37)),),OFFSET(TH!L$1,SMALL(Dong,ROWS($1:37)),)))</f>
        <v/>
      </c>
      <c r="F50" s="45"/>
      <c r="G50" s="57" t="str">
        <f ca="1">IF(ROWS($1:37)&gt;COUNT(Dong),"",IF(OFFSET(TH!L$1,SMALL(Dong,ROWS($1:37)),)="331",OFFSET(TH!K$1,SMALL(Dong,ROWS($1:37)),),0))</f>
        <v/>
      </c>
      <c r="H50" s="57" t="str">
        <f ca="1">IF(ROWS($1:37)&gt;COUNT(Dong),"",IF(OFFSET(TH!M$1,SMALL(Dong,ROWS($1:37)),)="331",OFFSET(TH!K$1,SMALL(Dong,ROWS($1:37)),),0))</f>
        <v/>
      </c>
      <c r="I50" s="25">
        <f t="shared" ref="I50:I77" ca="1" si="2">IF(D50&lt;&gt;"",MAX(I49+G50-H50-J49,0),0)</f>
        <v>0</v>
      </c>
      <c r="J50" s="25">
        <f t="shared" ref="J50:J77" ca="1" si="3">IF(D50&lt;&gt;"",MAX(J49+H50-I49-G50,0),0)</f>
        <v>0</v>
      </c>
    </row>
    <row r="51" spans="1:10" s="18" customFormat="1" ht="18" customHeight="1">
      <c r="A51" s="9" t="str">
        <f ca="1">IF(ROWS($1:38)&gt;COUNT(Dong),"",OFFSET(TH!C$1,SMALL(Dong,ROWS($1:38)),))</f>
        <v/>
      </c>
      <c r="B51" s="9" t="str">
        <f ca="1">IF(ROWS($1:38)&gt;COUNT(Dong),"",OFFSET(TH!D$1,SMALL(Dong,ROWS($1:38)),))</f>
        <v/>
      </c>
      <c r="C51" s="9" t="str">
        <f ca="1">IF(ROWS($1:38)&gt;COUNT(Dong),"",OFFSET(TH!E$1,SMALL(Dong,ROWS($1:38)),))</f>
        <v/>
      </c>
      <c r="D51" s="212" t="str">
        <f ca="1">IF(ROWS($1:38)&gt;COUNT(Dong),"",OFFSET(TH!F$1,SMALL(Dong,ROWS($1:38)),))</f>
        <v/>
      </c>
      <c r="E51" s="45" t="str">
        <f ca="1">IF(ROWS($1:38)&gt;COUNT(Dong),"",IF(OFFSET(TH!L$1,SMALL(Dong,ROWS($1:38)),)="331",OFFSET(TH!M$1,SMALL(Dong,ROWS($1:38)),),OFFSET(TH!L$1,SMALL(Dong,ROWS($1:38)),)))</f>
        <v/>
      </c>
      <c r="F51" s="45"/>
      <c r="G51" s="57" t="str">
        <f ca="1">IF(ROWS($1:38)&gt;COUNT(Dong),"",IF(OFFSET(TH!L$1,SMALL(Dong,ROWS($1:38)),)="331",OFFSET(TH!K$1,SMALL(Dong,ROWS($1:38)),),0))</f>
        <v/>
      </c>
      <c r="H51" s="57" t="str">
        <f ca="1">IF(ROWS($1:38)&gt;COUNT(Dong),"",IF(OFFSET(TH!M$1,SMALL(Dong,ROWS($1:38)),)="331",OFFSET(TH!K$1,SMALL(Dong,ROWS($1:38)),),0))</f>
        <v/>
      </c>
      <c r="I51" s="25">
        <f t="shared" ca="1" si="2"/>
        <v>0</v>
      </c>
      <c r="J51" s="25">
        <f t="shared" ca="1" si="3"/>
        <v>0</v>
      </c>
    </row>
    <row r="52" spans="1:10" s="18" customFormat="1" ht="18" customHeight="1">
      <c r="A52" s="9" t="str">
        <f ca="1">IF(ROWS($1:39)&gt;COUNT(Dong),"",OFFSET(TH!C$1,SMALL(Dong,ROWS($1:39)),))</f>
        <v/>
      </c>
      <c r="B52" s="9" t="str">
        <f ca="1">IF(ROWS($1:39)&gt;COUNT(Dong),"",OFFSET(TH!D$1,SMALL(Dong,ROWS($1:39)),))</f>
        <v/>
      </c>
      <c r="C52" s="9" t="str">
        <f ca="1">IF(ROWS($1:39)&gt;COUNT(Dong),"",OFFSET(TH!E$1,SMALL(Dong,ROWS($1:39)),))</f>
        <v/>
      </c>
      <c r="D52" s="212" t="str">
        <f ca="1">IF(ROWS($1:39)&gt;COUNT(Dong),"",OFFSET(TH!F$1,SMALL(Dong,ROWS($1:39)),))</f>
        <v/>
      </c>
      <c r="E52" s="45" t="str">
        <f ca="1">IF(ROWS($1:39)&gt;COUNT(Dong),"",IF(OFFSET(TH!L$1,SMALL(Dong,ROWS($1:39)),)="331",OFFSET(TH!M$1,SMALL(Dong,ROWS($1:39)),),OFFSET(TH!L$1,SMALL(Dong,ROWS($1:39)),)))</f>
        <v/>
      </c>
      <c r="F52" s="45"/>
      <c r="G52" s="57" t="str">
        <f ca="1">IF(ROWS($1:39)&gt;COUNT(Dong),"",IF(OFFSET(TH!L$1,SMALL(Dong,ROWS($1:39)),)="331",OFFSET(TH!K$1,SMALL(Dong,ROWS($1:39)),),0))</f>
        <v/>
      </c>
      <c r="H52" s="57" t="str">
        <f ca="1">IF(ROWS($1:39)&gt;COUNT(Dong),"",IF(OFFSET(TH!M$1,SMALL(Dong,ROWS($1:39)),)="331",OFFSET(TH!K$1,SMALL(Dong,ROWS($1:39)),),0))</f>
        <v/>
      </c>
      <c r="I52" s="25">
        <f t="shared" ca="1" si="2"/>
        <v>0</v>
      </c>
      <c r="J52" s="25">
        <f t="shared" ca="1" si="3"/>
        <v>0</v>
      </c>
    </row>
    <row r="53" spans="1:10" s="18" customFormat="1" ht="18" customHeight="1">
      <c r="A53" s="9" t="str">
        <f ca="1">IF(ROWS($1:40)&gt;COUNT(Dong),"",OFFSET(TH!C$1,SMALL(Dong,ROWS($1:40)),))</f>
        <v/>
      </c>
      <c r="B53" s="9" t="str">
        <f ca="1">IF(ROWS($1:40)&gt;COUNT(Dong),"",OFFSET(TH!D$1,SMALL(Dong,ROWS($1:40)),))</f>
        <v/>
      </c>
      <c r="C53" s="9" t="str">
        <f ca="1">IF(ROWS($1:40)&gt;COUNT(Dong),"",OFFSET(TH!E$1,SMALL(Dong,ROWS($1:40)),))</f>
        <v/>
      </c>
      <c r="D53" s="212" t="str">
        <f ca="1">IF(ROWS($1:40)&gt;COUNT(Dong),"",OFFSET(TH!F$1,SMALL(Dong,ROWS($1:40)),))</f>
        <v/>
      </c>
      <c r="E53" s="45" t="str">
        <f ca="1">IF(ROWS($1:40)&gt;COUNT(Dong),"",IF(OFFSET(TH!L$1,SMALL(Dong,ROWS($1:40)),)="331",OFFSET(TH!M$1,SMALL(Dong,ROWS($1:40)),),OFFSET(TH!L$1,SMALL(Dong,ROWS($1:40)),)))</f>
        <v/>
      </c>
      <c r="F53" s="45"/>
      <c r="G53" s="57" t="str">
        <f ca="1">IF(ROWS($1:40)&gt;COUNT(Dong),"",IF(OFFSET(TH!L$1,SMALL(Dong,ROWS($1:40)),)="331",OFFSET(TH!K$1,SMALL(Dong,ROWS($1:40)),),0))</f>
        <v/>
      </c>
      <c r="H53" s="57" t="str">
        <f ca="1">IF(ROWS($1:40)&gt;COUNT(Dong),"",IF(OFFSET(TH!M$1,SMALL(Dong,ROWS($1:40)),)="331",OFFSET(TH!K$1,SMALL(Dong,ROWS($1:40)),),0))</f>
        <v/>
      </c>
      <c r="I53" s="25">
        <f t="shared" ca="1" si="2"/>
        <v>0</v>
      </c>
      <c r="J53" s="25">
        <f t="shared" ca="1" si="3"/>
        <v>0</v>
      </c>
    </row>
    <row r="54" spans="1:10" s="18" customFormat="1" ht="18" customHeight="1">
      <c r="A54" s="9" t="str">
        <f ca="1">IF(ROWS($1:41)&gt;COUNT(Dong),"",OFFSET(TH!C$1,SMALL(Dong,ROWS($1:41)),))</f>
        <v/>
      </c>
      <c r="B54" s="9" t="str">
        <f ca="1">IF(ROWS($1:41)&gt;COUNT(Dong),"",OFFSET(TH!D$1,SMALL(Dong,ROWS($1:41)),))</f>
        <v/>
      </c>
      <c r="C54" s="9" t="str">
        <f ca="1">IF(ROWS($1:41)&gt;COUNT(Dong),"",OFFSET(TH!E$1,SMALL(Dong,ROWS($1:41)),))</f>
        <v/>
      </c>
      <c r="D54" s="212" t="str">
        <f ca="1">IF(ROWS($1:41)&gt;COUNT(Dong),"",OFFSET(TH!F$1,SMALL(Dong,ROWS($1:41)),))</f>
        <v/>
      </c>
      <c r="E54" s="45" t="str">
        <f ca="1">IF(ROWS($1:41)&gt;COUNT(Dong),"",IF(OFFSET(TH!L$1,SMALL(Dong,ROWS($1:41)),)="331",OFFSET(TH!M$1,SMALL(Dong,ROWS($1:41)),),OFFSET(TH!L$1,SMALL(Dong,ROWS($1:41)),)))</f>
        <v/>
      </c>
      <c r="F54" s="45"/>
      <c r="G54" s="57" t="str">
        <f ca="1">IF(ROWS($1:41)&gt;COUNT(Dong),"",IF(OFFSET(TH!L$1,SMALL(Dong,ROWS($1:41)),)="331",OFFSET(TH!K$1,SMALL(Dong,ROWS($1:41)),),0))</f>
        <v/>
      </c>
      <c r="H54" s="57" t="str">
        <f ca="1">IF(ROWS($1:41)&gt;COUNT(Dong),"",IF(OFFSET(TH!M$1,SMALL(Dong,ROWS($1:41)),)="331",OFFSET(TH!K$1,SMALL(Dong,ROWS($1:41)),),0))</f>
        <v/>
      </c>
      <c r="I54" s="25">
        <f t="shared" ca="1" si="2"/>
        <v>0</v>
      </c>
      <c r="J54" s="25">
        <f t="shared" ca="1" si="3"/>
        <v>0</v>
      </c>
    </row>
    <row r="55" spans="1:10" s="18" customFormat="1" ht="18" customHeight="1">
      <c r="A55" s="9" t="str">
        <f ca="1">IF(ROWS($1:42)&gt;COUNT(Dong),"",OFFSET(TH!C$1,SMALL(Dong,ROWS($1:42)),))</f>
        <v/>
      </c>
      <c r="B55" s="9" t="str">
        <f ca="1">IF(ROWS($1:42)&gt;COUNT(Dong),"",OFFSET(TH!D$1,SMALL(Dong,ROWS($1:42)),))</f>
        <v/>
      </c>
      <c r="C55" s="9" t="str">
        <f ca="1">IF(ROWS($1:42)&gt;COUNT(Dong),"",OFFSET(TH!E$1,SMALL(Dong,ROWS($1:42)),))</f>
        <v/>
      </c>
      <c r="D55" s="212" t="str">
        <f ca="1">IF(ROWS($1:42)&gt;COUNT(Dong),"",OFFSET(TH!F$1,SMALL(Dong,ROWS($1:42)),))</f>
        <v/>
      </c>
      <c r="E55" s="45" t="str">
        <f ca="1">IF(ROWS($1:42)&gt;COUNT(Dong),"",IF(OFFSET(TH!L$1,SMALL(Dong,ROWS($1:42)),)="331",OFFSET(TH!M$1,SMALL(Dong,ROWS($1:42)),),OFFSET(TH!L$1,SMALL(Dong,ROWS($1:42)),)))</f>
        <v/>
      </c>
      <c r="F55" s="45"/>
      <c r="G55" s="57" t="str">
        <f ca="1">IF(ROWS($1:42)&gt;COUNT(Dong),"",IF(OFFSET(TH!L$1,SMALL(Dong,ROWS($1:42)),)="331",OFFSET(TH!K$1,SMALL(Dong,ROWS($1:42)),),0))</f>
        <v/>
      </c>
      <c r="H55" s="57" t="str">
        <f ca="1">IF(ROWS($1:42)&gt;COUNT(Dong),"",IF(OFFSET(TH!M$1,SMALL(Dong,ROWS($1:42)),)="331",OFFSET(TH!K$1,SMALL(Dong,ROWS($1:42)),),0))</f>
        <v/>
      </c>
      <c r="I55" s="25">
        <f t="shared" ca="1" si="2"/>
        <v>0</v>
      </c>
      <c r="J55" s="25">
        <f t="shared" ca="1" si="3"/>
        <v>0</v>
      </c>
    </row>
    <row r="56" spans="1:10" s="18" customFormat="1" ht="18" customHeight="1">
      <c r="A56" s="9" t="str">
        <f ca="1">IF(ROWS($1:43)&gt;COUNT(Dong),"",OFFSET(TH!C$1,SMALL(Dong,ROWS($1:43)),))</f>
        <v/>
      </c>
      <c r="B56" s="9" t="str">
        <f ca="1">IF(ROWS($1:43)&gt;COUNT(Dong),"",OFFSET(TH!D$1,SMALL(Dong,ROWS($1:43)),))</f>
        <v/>
      </c>
      <c r="C56" s="9" t="str">
        <f ca="1">IF(ROWS($1:43)&gt;COUNT(Dong),"",OFFSET(TH!E$1,SMALL(Dong,ROWS($1:43)),))</f>
        <v/>
      </c>
      <c r="D56" s="212" t="str">
        <f ca="1">IF(ROWS($1:43)&gt;COUNT(Dong),"",OFFSET(TH!F$1,SMALL(Dong,ROWS($1:43)),))</f>
        <v/>
      </c>
      <c r="E56" s="45" t="str">
        <f ca="1">IF(ROWS($1:43)&gt;COUNT(Dong),"",IF(OFFSET(TH!L$1,SMALL(Dong,ROWS($1:43)),)="331",OFFSET(TH!M$1,SMALL(Dong,ROWS($1:43)),),OFFSET(TH!L$1,SMALL(Dong,ROWS($1:43)),)))</f>
        <v/>
      </c>
      <c r="F56" s="45"/>
      <c r="G56" s="57" t="str">
        <f ca="1">IF(ROWS($1:43)&gt;COUNT(Dong),"",IF(OFFSET(TH!L$1,SMALL(Dong,ROWS($1:43)),)="331",OFFSET(TH!K$1,SMALL(Dong,ROWS($1:43)),),0))</f>
        <v/>
      </c>
      <c r="H56" s="57" t="str">
        <f ca="1">IF(ROWS($1:43)&gt;COUNT(Dong),"",IF(OFFSET(TH!M$1,SMALL(Dong,ROWS($1:43)),)="331",OFFSET(TH!K$1,SMALL(Dong,ROWS($1:43)),),0))</f>
        <v/>
      </c>
      <c r="I56" s="25">
        <f t="shared" ca="1" si="2"/>
        <v>0</v>
      </c>
      <c r="J56" s="25">
        <f t="shared" ca="1" si="3"/>
        <v>0</v>
      </c>
    </row>
    <row r="57" spans="1:10" s="18" customFormat="1" ht="18" customHeight="1">
      <c r="A57" s="9" t="str">
        <f ca="1">IF(ROWS($1:44)&gt;COUNT(Dong),"",OFFSET(TH!C$1,SMALL(Dong,ROWS($1:44)),))</f>
        <v/>
      </c>
      <c r="B57" s="9" t="str">
        <f ca="1">IF(ROWS($1:44)&gt;COUNT(Dong),"",OFFSET(TH!D$1,SMALL(Dong,ROWS($1:44)),))</f>
        <v/>
      </c>
      <c r="C57" s="9" t="str">
        <f ca="1">IF(ROWS($1:44)&gt;COUNT(Dong),"",OFFSET(TH!E$1,SMALL(Dong,ROWS($1:44)),))</f>
        <v/>
      </c>
      <c r="D57" s="212" t="str">
        <f ca="1">IF(ROWS($1:44)&gt;COUNT(Dong),"",OFFSET(TH!F$1,SMALL(Dong,ROWS($1:44)),))</f>
        <v/>
      </c>
      <c r="E57" s="45" t="str">
        <f ca="1">IF(ROWS($1:44)&gt;COUNT(Dong),"",IF(OFFSET(TH!L$1,SMALL(Dong,ROWS($1:44)),)="331",OFFSET(TH!M$1,SMALL(Dong,ROWS($1:44)),),OFFSET(TH!L$1,SMALL(Dong,ROWS($1:44)),)))</f>
        <v/>
      </c>
      <c r="F57" s="45"/>
      <c r="G57" s="57" t="str">
        <f ca="1">IF(ROWS($1:44)&gt;COUNT(Dong),"",IF(OFFSET(TH!L$1,SMALL(Dong,ROWS($1:44)),)="331",OFFSET(TH!K$1,SMALL(Dong,ROWS($1:44)),),0))</f>
        <v/>
      </c>
      <c r="H57" s="57" t="str">
        <f ca="1">IF(ROWS($1:44)&gt;COUNT(Dong),"",IF(OFFSET(TH!M$1,SMALL(Dong,ROWS($1:44)),)="331",OFFSET(TH!K$1,SMALL(Dong,ROWS($1:44)),),0))</f>
        <v/>
      </c>
      <c r="I57" s="25">
        <f t="shared" ca="1" si="2"/>
        <v>0</v>
      </c>
      <c r="J57" s="25">
        <f t="shared" ca="1" si="3"/>
        <v>0</v>
      </c>
    </row>
    <row r="58" spans="1:10" s="18" customFormat="1" ht="18" customHeight="1">
      <c r="A58" s="9" t="str">
        <f ca="1">IF(ROWS($1:45)&gt;COUNT(Dong),"",OFFSET(TH!C$1,SMALL(Dong,ROWS($1:45)),))</f>
        <v/>
      </c>
      <c r="B58" s="9" t="str">
        <f ca="1">IF(ROWS($1:45)&gt;COUNT(Dong),"",OFFSET(TH!D$1,SMALL(Dong,ROWS($1:45)),))</f>
        <v/>
      </c>
      <c r="C58" s="9" t="str">
        <f ca="1">IF(ROWS($1:45)&gt;COUNT(Dong),"",OFFSET(TH!E$1,SMALL(Dong,ROWS($1:45)),))</f>
        <v/>
      </c>
      <c r="D58" s="212" t="str">
        <f ca="1">IF(ROWS($1:45)&gt;COUNT(Dong),"",OFFSET(TH!F$1,SMALL(Dong,ROWS($1:45)),))</f>
        <v/>
      </c>
      <c r="E58" s="45" t="str">
        <f ca="1">IF(ROWS($1:45)&gt;COUNT(Dong),"",IF(OFFSET(TH!L$1,SMALL(Dong,ROWS($1:45)),)="331",OFFSET(TH!M$1,SMALL(Dong,ROWS($1:45)),),OFFSET(TH!L$1,SMALL(Dong,ROWS($1:45)),)))</f>
        <v/>
      </c>
      <c r="F58" s="45"/>
      <c r="G58" s="57" t="str">
        <f ca="1">IF(ROWS($1:45)&gt;COUNT(Dong),"",IF(OFFSET(TH!L$1,SMALL(Dong,ROWS($1:45)),)="331",OFFSET(TH!K$1,SMALL(Dong,ROWS($1:45)),),0))</f>
        <v/>
      </c>
      <c r="H58" s="57" t="str">
        <f ca="1">IF(ROWS($1:45)&gt;COUNT(Dong),"",IF(OFFSET(TH!M$1,SMALL(Dong,ROWS($1:45)),)="331",OFFSET(TH!K$1,SMALL(Dong,ROWS($1:45)),),0))</f>
        <v/>
      </c>
      <c r="I58" s="25">
        <f t="shared" ca="1" si="2"/>
        <v>0</v>
      </c>
      <c r="J58" s="25">
        <f t="shared" ca="1" si="3"/>
        <v>0</v>
      </c>
    </row>
    <row r="59" spans="1:10" s="18" customFormat="1" ht="18" customHeight="1">
      <c r="A59" s="9" t="str">
        <f ca="1">IF(ROWS($1:46)&gt;COUNT(Dong),"",OFFSET(TH!C$1,SMALL(Dong,ROWS($1:46)),))</f>
        <v/>
      </c>
      <c r="B59" s="9" t="str">
        <f ca="1">IF(ROWS($1:46)&gt;COUNT(Dong),"",OFFSET(TH!D$1,SMALL(Dong,ROWS($1:46)),))</f>
        <v/>
      </c>
      <c r="C59" s="9" t="str">
        <f ca="1">IF(ROWS($1:46)&gt;COUNT(Dong),"",OFFSET(TH!E$1,SMALL(Dong,ROWS($1:46)),))</f>
        <v/>
      </c>
      <c r="D59" s="212" t="str">
        <f ca="1">IF(ROWS($1:46)&gt;COUNT(Dong),"",OFFSET(TH!F$1,SMALL(Dong,ROWS($1:46)),))</f>
        <v/>
      </c>
      <c r="E59" s="45" t="str">
        <f ca="1">IF(ROWS($1:46)&gt;COUNT(Dong),"",IF(OFFSET(TH!L$1,SMALL(Dong,ROWS($1:46)),)="331",OFFSET(TH!M$1,SMALL(Dong,ROWS($1:46)),),OFFSET(TH!L$1,SMALL(Dong,ROWS($1:46)),)))</f>
        <v/>
      </c>
      <c r="F59" s="45"/>
      <c r="G59" s="57" t="str">
        <f ca="1">IF(ROWS($1:46)&gt;COUNT(Dong),"",IF(OFFSET(TH!L$1,SMALL(Dong,ROWS($1:46)),)="331",OFFSET(TH!K$1,SMALL(Dong,ROWS($1:46)),),0))</f>
        <v/>
      </c>
      <c r="H59" s="57" t="str">
        <f ca="1">IF(ROWS($1:46)&gt;COUNT(Dong),"",IF(OFFSET(TH!M$1,SMALL(Dong,ROWS($1:46)),)="331",OFFSET(TH!K$1,SMALL(Dong,ROWS($1:46)),),0))</f>
        <v/>
      </c>
      <c r="I59" s="25">
        <f t="shared" ca="1" si="2"/>
        <v>0</v>
      </c>
      <c r="J59" s="25">
        <f t="shared" ca="1" si="3"/>
        <v>0</v>
      </c>
    </row>
    <row r="60" spans="1:10" s="18" customFormat="1" ht="18" customHeight="1">
      <c r="A60" s="9" t="str">
        <f ca="1">IF(ROWS($1:47)&gt;COUNT(Dong),"",OFFSET(TH!C$1,SMALL(Dong,ROWS($1:47)),))</f>
        <v/>
      </c>
      <c r="B60" s="9" t="str">
        <f ca="1">IF(ROWS($1:47)&gt;COUNT(Dong),"",OFFSET(TH!D$1,SMALL(Dong,ROWS($1:47)),))</f>
        <v/>
      </c>
      <c r="C60" s="9" t="str">
        <f ca="1">IF(ROWS($1:47)&gt;COUNT(Dong),"",OFFSET(TH!E$1,SMALL(Dong,ROWS($1:47)),))</f>
        <v/>
      </c>
      <c r="D60" s="212" t="str">
        <f ca="1">IF(ROWS($1:47)&gt;COUNT(Dong),"",OFFSET(TH!F$1,SMALL(Dong,ROWS($1:47)),))</f>
        <v/>
      </c>
      <c r="E60" s="45" t="str">
        <f ca="1">IF(ROWS($1:47)&gt;COUNT(Dong),"",IF(OFFSET(TH!L$1,SMALL(Dong,ROWS($1:47)),)="331",OFFSET(TH!M$1,SMALL(Dong,ROWS($1:47)),),OFFSET(TH!L$1,SMALL(Dong,ROWS($1:47)),)))</f>
        <v/>
      </c>
      <c r="F60" s="45"/>
      <c r="G60" s="57" t="str">
        <f ca="1">IF(ROWS($1:47)&gt;COUNT(Dong),"",IF(OFFSET(TH!L$1,SMALL(Dong,ROWS($1:47)),)="331",OFFSET(TH!K$1,SMALL(Dong,ROWS($1:47)),),0))</f>
        <v/>
      </c>
      <c r="H60" s="57" t="str">
        <f ca="1">IF(ROWS($1:47)&gt;COUNT(Dong),"",IF(OFFSET(TH!M$1,SMALL(Dong,ROWS($1:47)),)="331",OFFSET(TH!K$1,SMALL(Dong,ROWS($1:47)),),0))</f>
        <v/>
      </c>
      <c r="I60" s="25">
        <f t="shared" ca="1" si="2"/>
        <v>0</v>
      </c>
      <c r="J60" s="25">
        <f t="shared" ca="1" si="3"/>
        <v>0</v>
      </c>
    </row>
    <row r="61" spans="1:10" s="18" customFormat="1" ht="18" customHeight="1">
      <c r="A61" s="9" t="str">
        <f ca="1">IF(ROWS($1:48)&gt;COUNT(Dong),"",OFFSET(TH!C$1,SMALL(Dong,ROWS($1:48)),))</f>
        <v/>
      </c>
      <c r="B61" s="9" t="str">
        <f ca="1">IF(ROWS($1:48)&gt;COUNT(Dong),"",OFFSET(TH!D$1,SMALL(Dong,ROWS($1:48)),))</f>
        <v/>
      </c>
      <c r="C61" s="9" t="str">
        <f ca="1">IF(ROWS($1:48)&gt;COUNT(Dong),"",OFFSET(TH!E$1,SMALL(Dong,ROWS($1:48)),))</f>
        <v/>
      </c>
      <c r="D61" s="212" t="str">
        <f ca="1">IF(ROWS($1:48)&gt;COUNT(Dong),"",OFFSET(TH!F$1,SMALL(Dong,ROWS($1:48)),))</f>
        <v/>
      </c>
      <c r="E61" s="45" t="str">
        <f ca="1">IF(ROWS($1:48)&gt;COUNT(Dong),"",IF(OFFSET(TH!L$1,SMALL(Dong,ROWS($1:48)),)="331",OFFSET(TH!M$1,SMALL(Dong,ROWS($1:48)),),OFFSET(TH!L$1,SMALL(Dong,ROWS($1:48)),)))</f>
        <v/>
      </c>
      <c r="F61" s="45"/>
      <c r="G61" s="57" t="str">
        <f ca="1">IF(ROWS($1:48)&gt;COUNT(Dong),"",IF(OFFSET(TH!L$1,SMALL(Dong,ROWS($1:48)),)="331",OFFSET(TH!K$1,SMALL(Dong,ROWS($1:48)),),0))</f>
        <v/>
      </c>
      <c r="H61" s="57" t="str">
        <f ca="1">IF(ROWS($1:48)&gt;COUNT(Dong),"",IF(OFFSET(TH!M$1,SMALL(Dong,ROWS($1:48)),)="331",OFFSET(TH!K$1,SMALL(Dong,ROWS($1:48)),),0))</f>
        <v/>
      </c>
      <c r="I61" s="25">
        <f t="shared" ca="1" si="2"/>
        <v>0</v>
      </c>
      <c r="J61" s="25">
        <f t="shared" ca="1" si="3"/>
        <v>0</v>
      </c>
    </row>
    <row r="62" spans="1:10" s="18" customFormat="1" ht="18" customHeight="1">
      <c r="A62" s="9" t="str">
        <f ca="1">IF(ROWS($1:49)&gt;COUNT(Dong),"",OFFSET(TH!C$1,SMALL(Dong,ROWS($1:49)),))</f>
        <v/>
      </c>
      <c r="B62" s="9" t="str">
        <f ca="1">IF(ROWS($1:49)&gt;COUNT(Dong),"",OFFSET(TH!D$1,SMALL(Dong,ROWS($1:49)),))</f>
        <v/>
      </c>
      <c r="C62" s="9" t="str">
        <f ca="1">IF(ROWS($1:49)&gt;COUNT(Dong),"",OFFSET(TH!E$1,SMALL(Dong,ROWS($1:49)),))</f>
        <v/>
      </c>
      <c r="D62" s="212" t="str">
        <f ca="1">IF(ROWS($1:49)&gt;COUNT(Dong),"",OFFSET(TH!F$1,SMALL(Dong,ROWS($1:49)),))</f>
        <v/>
      </c>
      <c r="E62" s="45" t="str">
        <f ca="1">IF(ROWS($1:49)&gt;COUNT(Dong),"",IF(OFFSET(TH!L$1,SMALL(Dong,ROWS($1:49)),)="331",OFFSET(TH!M$1,SMALL(Dong,ROWS($1:49)),),OFFSET(TH!L$1,SMALL(Dong,ROWS($1:49)),)))</f>
        <v/>
      </c>
      <c r="F62" s="45"/>
      <c r="G62" s="57" t="str">
        <f ca="1">IF(ROWS($1:49)&gt;COUNT(Dong),"",IF(OFFSET(TH!L$1,SMALL(Dong,ROWS($1:49)),)="331",OFFSET(TH!K$1,SMALL(Dong,ROWS($1:49)),),0))</f>
        <v/>
      </c>
      <c r="H62" s="57" t="str">
        <f ca="1">IF(ROWS($1:49)&gt;COUNT(Dong),"",IF(OFFSET(TH!M$1,SMALL(Dong,ROWS($1:49)),)="331",OFFSET(TH!K$1,SMALL(Dong,ROWS($1:49)),),0))</f>
        <v/>
      </c>
      <c r="I62" s="25">
        <f t="shared" ca="1" si="2"/>
        <v>0</v>
      </c>
      <c r="J62" s="25">
        <f t="shared" ca="1" si="3"/>
        <v>0</v>
      </c>
    </row>
    <row r="63" spans="1:10" s="18" customFormat="1" ht="18" customHeight="1">
      <c r="A63" s="9" t="str">
        <f ca="1">IF(ROWS($1:50)&gt;COUNT(Dong),"",OFFSET(TH!C$1,SMALL(Dong,ROWS($1:50)),))</f>
        <v/>
      </c>
      <c r="B63" s="9" t="str">
        <f ca="1">IF(ROWS($1:50)&gt;COUNT(Dong),"",OFFSET(TH!D$1,SMALL(Dong,ROWS($1:50)),))</f>
        <v/>
      </c>
      <c r="C63" s="9" t="str">
        <f ca="1">IF(ROWS($1:50)&gt;COUNT(Dong),"",OFFSET(TH!E$1,SMALL(Dong,ROWS($1:50)),))</f>
        <v/>
      </c>
      <c r="D63" s="212" t="str">
        <f ca="1">IF(ROWS($1:50)&gt;COUNT(Dong),"",OFFSET(TH!F$1,SMALL(Dong,ROWS($1:50)),))</f>
        <v/>
      </c>
      <c r="E63" s="45" t="str">
        <f ca="1">IF(ROWS($1:50)&gt;COUNT(Dong),"",IF(OFFSET(TH!L$1,SMALL(Dong,ROWS($1:50)),)="331",OFFSET(TH!M$1,SMALL(Dong,ROWS($1:50)),),OFFSET(TH!L$1,SMALL(Dong,ROWS($1:50)),)))</f>
        <v/>
      </c>
      <c r="F63" s="45"/>
      <c r="G63" s="57" t="str">
        <f ca="1">IF(ROWS($1:50)&gt;COUNT(Dong),"",IF(OFFSET(TH!L$1,SMALL(Dong,ROWS($1:50)),)="331",OFFSET(TH!K$1,SMALL(Dong,ROWS($1:50)),),0))</f>
        <v/>
      </c>
      <c r="H63" s="57" t="str">
        <f ca="1">IF(ROWS($1:50)&gt;COUNT(Dong),"",IF(OFFSET(TH!M$1,SMALL(Dong,ROWS($1:50)),)="331",OFFSET(TH!K$1,SMALL(Dong,ROWS($1:50)),),0))</f>
        <v/>
      </c>
      <c r="I63" s="25">
        <f t="shared" ca="1" si="2"/>
        <v>0</v>
      </c>
      <c r="J63" s="25">
        <f t="shared" ca="1" si="3"/>
        <v>0</v>
      </c>
    </row>
    <row r="64" spans="1:10" s="18" customFormat="1" ht="18" customHeight="1">
      <c r="A64" s="9" t="str">
        <f ca="1">IF(ROWS($1:51)&gt;COUNT(Dong),"",OFFSET(TH!C$1,SMALL(Dong,ROWS($1:51)),))</f>
        <v/>
      </c>
      <c r="B64" s="9" t="str">
        <f ca="1">IF(ROWS($1:51)&gt;COUNT(Dong),"",OFFSET(TH!D$1,SMALL(Dong,ROWS($1:51)),))</f>
        <v/>
      </c>
      <c r="C64" s="9" t="str">
        <f ca="1">IF(ROWS($1:51)&gt;COUNT(Dong),"",OFFSET(TH!E$1,SMALL(Dong,ROWS($1:51)),))</f>
        <v/>
      </c>
      <c r="D64" s="212" t="str">
        <f ca="1">IF(ROWS($1:51)&gt;COUNT(Dong),"",OFFSET(TH!F$1,SMALL(Dong,ROWS($1:51)),))</f>
        <v/>
      </c>
      <c r="E64" s="45" t="str">
        <f ca="1">IF(ROWS($1:51)&gt;COUNT(Dong),"",IF(OFFSET(TH!L$1,SMALL(Dong,ROWS($1:51)),)="331",OFFSET(TH!M$1,SMALL(Dong,ROWS($1:51)),),OFFSET(TH!L$1,SMALL(Dong,ROWS($1:51)),)))</f>
        <v/>
      </c>
      <c r="F64" s="45"/>
      <c r="G64" s="57" t="str">
        <f ca="1">IF(ROWS($1:51)&gt;COUNT(Dong),"",IF(OFFSET(TH!L$1,SMALL(Dong,ROWS($1:51)),)="331",OFFSET(TH!K$1,SMALL(Dong,ROWS($1:51)),),0))</f>
        <v/>
      </c>
      <c r="H64" s="57" t="str">
        <f ca="1">IF(ROWS($1:51)&gt;COUNT(Dong),"",IF(OFFSET(TH!M$1,SMALL(Dong,ROWS($1:51)),)="331",OFFSET(TH!K$1,SMALL(Dong,ROWS($1:51)),),0))</f>
        <v/>
      </c>
      <c r="I64" s="25">
        <f t="shared" ca="1" si="2"/>
        <v>0</v>
      </c>
      <c r="J64" s="25">
        <f t="shared" ca="1" si="3"/>
        <v>0</v>
      </c>
    </row>
    <row r="65" spans="1:10" s="18" customFormat="1" ht="18" customHeight="1">
      <c r="A65" s="9" t="str">
        <f ca="1">IF(ROWS($1:52)&gt;COUNT(Dong),"",OFFSET(TH!C$1,SMALL(Dong,ROWS($1:52)),))</f>
        <v/>
      </c>
      <c r="B65" s="9" t="str">
        <f ca="1">IF(ROWS($1:52)&gt;COUNT(Dong),"",OFFSET(TH!D$1,SMALL(Dong,ROWS($1:52)),))</f>
        <v/>
      </c>
      <c r="C65" s="9" t="str">
        <f ca="1">IF(ROWS($1:52)&gt;COUNT(Dong),"",OFFSET(TH!E$1,SMALL(Dong,ROWS($1:52)),))</f>
        <v/>
      </c>
      <c r="D65" s="212" t="str">
        <f ca="1">IF(ROWS($1:52)&gt;COUNT(Dong),"",OFFSET(TH!F$1,SMALL(Dong,ROWS($1:52)),))</f>
        <v/>
      </c>
      <c r="E65" s="45" t="str">
        <f ca="1">IF(ROWS($1:52)&gt;COUNT(Dong),"",IF(OFFSET(TH!L$1,SMALL(Dong,ROWS($1:52)),)="331",OFFSET(TH!M$1,SMALL(Dong,ROWS($1:52)),),OFFSET(TH!L$1,SMALL(Dong,ROWS($1:52)),)))</f>
        <v/>
      </c>
      <c r="F65" s="45"/>
      <c r="G65" s="57" t="str">
        <f ca="1">IF(ROWS($1:52)&gt;COUNT(Dong),"",IF(OFFSET(TH!L$1,SMALL(Dong,ROWS($1:52)),)="331",OFFSET(TH!K$1,SMALL(Dong,ROWS($1:52)),),0))</f>
        <v/>
      </c>
      <c r="H65" s="57" t="str">
        <f ca="1">IF(ROWS($1:52)&gt;COUNT(Dong),"",IF(OFFSET(TH!M$1,SMALL(Dong,ROWS($1:52)),)="331",OFFSET(TH!K$1,SMALL(Dong,ROWS($1:52)),),0))</f>
        <v/>
      </c>
      <c r="I65" s="25">
        <f t="shared" ca="1" si="2"/>
        <v>0</v>
      </c>
      <c r="J65" s="25">
        <f t="shared" ca="1" si="3"/>
        <v>0</v>
      </c>
    </row>
    <row r="66" spans="1:10" s="18" customFormat="1" ht="18" customHeight="1">
      <c r="A66" s="9" t="str">
        <f ca="1">IF(ROWS($1:53)&gt;COUNT(Dong),"",OFFSET(TH!C$1,SMALL(Dong,ROWS($1:53)),))</f>
        <v/>
      </c>
      <c r="B66" s="9" t="str">
        <f ca="1">IF(ROWS($1:53)&gt;COUNT(Dong),"",OFFSET(TH!D$1,SMALL(Dong,ROWS($1:53)),))</f>
        <v/>
      </c>
      <c r="C66" s="9" t="str">
        <f ca="1">IF(ROWS($1:53)&gt;COUNT(Dong),"",OFFSET(TH!E$1,SMALL(Dong,ROWS($1:53)),))</f>
        <v/>
      </c>
      <c r="D66" s="212" t="str">
        <f ca="1">IF(ROWS($1:53)&gt;COUNT(Dong),"",OFFSET(TH!F$1,SMALL(Dong,ROWS($1:53)),))</f>
        <v/>
      </c>
      <c r="E66" s="45" t="str">
        <f ca="1">IF(ROWS($1:53)&gt;COUNT(Dong),"",IF(OFFSET(TH!L$1,SMALL(Dong,ROWS($1:53)),)="331",OFFSET(TH!M$1,SMALL(Dong,ROWS($1:53)),),OFFSET(TH!L$1,SMALL(Dong,ROWS($1:53)),)))</f>
        <v/>
      </c>
      <c r="F66" s="45"/>
      <c r="G66" s="57" t="str">
        <f ca="1">IF(ROWS($1:53)&gt;COUNT(Dong),"",IF(OFFSET(TH!L$1,SMALL(Dong,ROWS($1:53)),)="331",OFFSET(TH!K$1,SMALL(Dong,ROWS($1:53)),),0))</f>
        <v/>
      </c>
      <c r="H66" s="57" t="str">
        <f ca="1">IF(ROWS($1:53)&gt;COUNT(Dong),"",IF(OFFSET(TH!M$1,SMALL(Dong,ROWS($1:53)),)="331",OFFSET(TH!K$1,SMALL(Dong,ROWS($1:53)),),0))</f>
        <v/>
      </c>
      <c r="I66" s="25">
        <f t="shared" ca="1" si="2"/>
        <v>0</v>
      </c>
      <c r="J66" s="25">
        <f t="shared" ca="1" si="3"/>
        <v>0</v>
      </c>
    </row>
    <row r="67" spans="1:10" s="18" customFormat="1" ht="18" customHeight="1">
      <c r="A67" s="9" t="str">
        <f ca="1">IF(ROWS($1:54)&gt;COUNT(Dong),"",OFFSET(TH!C$1,SMALL(Dong,ROWS($1:54)),))</f>
        <v/>
      </c>
      <c r="B67" s="9" t="str">
        <f ca="1">IF(ROWS($1:54)&gt;COUNT(Dong),"",OFFSET(TH!D$1,SMALL(Dong,ROWS($1:54)),))</f>
        <v/>
      </c>
      <c r="C67" s="9" t="str">
        <f ca="1">IF(ROWS($1:54)&gt;COUNT(Dong),"",OFFSET(TH!E$1,SMALL(Dong,ROWS($1:54)),))</f>
        <v/>
      </c>
      <c r="D67" s="212" t="str">
        <f ca="1">IF(ROWS($1:54)&gt;COUNT(Dong),"",OFFSET(TH!F$1,SMALL(Dong,ROWS($1:54)),))</f>
        <v/>
      </c>
      <c r="E67" s="45" t="str">
        <f ca="1">IF(ROWS($1:54)&gt;COUNT(Dong),"",IF(OFFSET(TH!L$1,SMALL(Dong,ROWS($1:54)),)="331",OFFSET(TH!M$1,SMALL(Dong,ROWS($1:54)),),OFFSET(TH!L$1,SMALL(Dong,ROWS($1:54)),)))</f>
        <v/>
      </c>
      <c r="F67" s="45"/>
      <c r="G67" s="57" t="str">
        <f ca="1">IF(ROWS($1:54)&gt;COUNT(Dong),"",IF(OFFSET(TH!L$1,SMALL(Dong,ROWS($1:54)),)="331",OFFSET(TH!K$1,SMALL(Dong,ROWS($1:54)),),0))</f>
        <v/>
      </c>
      <c r="H67" s="57" t="str">
        <f ca="1">IF(ROWS($1:54)&gt;COUNT(Dong),"",IF(OFFSET(TH!M$1,SMALL(Dong,ROWS($1:54)),)="331",OFFSET(TH!K$1,SMALL(Dong,ROWS($1:54)),),0))</f>
        <v/>
      </c>
      <c r="I67" s="25">
        <f t="shared" ca="1" si="2"/>
        <v>0</v>
      </c>
      <c r="J67" s="25">
        <f t="shared" ca="1" si="3"/>
        <v>0</v>
      </c>
    </row>
    <row r="68" spans="1:10" s="18" customFormat="1" ht="18" customHeight="1">
      <c r="A68" s="9" t="str">
        <f ca="1">IF(ROWS($1:55)&gt;COUNT(Dong),"",OFFSET(TH!C$1,SMALL(Dong,ROWS($1:55)),))</f>
        <v/>
      </c>
      <c r="B68" s="9" t="str">
        <f ca="1">IF(ROWS($1:55)&gt;COUNT(Dong),"",OFFSET(TH!D$1,SMALL(Dong,ROWS($1:55)),))</f>
        <v/>
      </c>
      <c r="C68" s="9" t="str">
        <f ca="1">IF(ROWS($1:55)&gt;COUNT(Dong),"",OFFSET(TH!E$1,SMALL(Dong,ROWS($1:55)),))</f>
        <v/>
      </c>
      <c r="D68" s="212" t="str">
        <f ca="1">IF(ROWS($1:55)&gt;COUNT(Dong),"",OFFSET(TH!F$1,SMALL(Dong,ROWS($1:55)),))</f>
        <v/>
      </c>
      <c r="E68" s="45" t="str">
        <f ca="1">IF(ROWS($1:55)&gt;COUNT(Dong),"",IF(OFFSET(TH!L$1,SMALL(Dong,ROWS($1:55)),)="331",OFFSET(TH!M$1,SMALL(Dong,ROWS($1:55)),),OFFSET(TH!L$1,SMALL(Dong,ROWS($1:55)),)))</f>
        <v/>
      </c>
      <c r="F68" s="45"/>
      <c r="G68" s="57" t="str">
        <f ca="1">IF(ROWS($1:55)&gt;COUNT(Dong),"",IF(OFFSET(TH!L$1,SMALL(Dong,ROWS($1:55)),)="331",OFFSET(TH!K$1,SMALL(Dong,ROWS($1:55)),),0))</f>
        <v/>
      </c>
      <c r="H68" s="57" t="str">
        <f ca="1">IF(ROWS($1:55)&gt;COUNT(Dong),"",IF(OFFSET(TH!M$1,SMALL(Dong,ROWS($1:55)),)="331",OFFSET(TH!K$1,SMALL(Dong,ROWS($1:55)),),0))</f>
        <v/>
      </c>
      <c r="I68" s="25">
        <f t="shared" ca="1" si="2"/>
        <v>0</v>
      </c>
      <c r="J68" s="25">
        <f t="shared" ca="1" si="3"/>
        <v>0</v>
      </c>
    </row>
    <row r="69" spans="1:10" s="18" customFormat="1" ht="18" customHeight="1">
      <c r="A69" s="9" t="str">
        <f ca="1">IF(ROWS($1:56)&gt;COUNT(Dong),"",OFFSET(TH!C$1,SMALL(Dong,ROWS($1:56)),))</f>
        <v/>
      </c>
      <c r="B69" s="9" t="str">
        <f ca="1">IF(ROWS($1:56)&gt;COUNT(Dong),"",OFFSET(TH!D$1,SMALL(Dong,ROWS($1:56)),))</f>
        <v/>
      </c>
      <c r="C69" s="9" t="str">
        <f ca="1">IF(ROWS($1:56)&gt;COUNT(Dong),"",OFFSET(TH!E$1,SMALL(Dong,ROWS($1:56)),))</f>
        <v/>
      </c>
      <c r="D69" s="212" t="str">
        <f ca="1">IF(ROWS($1:56)&gt;COUNT(Dong),"",OFFSET(TH!F$1,SMALL(Dong,ROWS($1:56)),))</f>
        <v/>
      </c>
      <c r="E69" s="45" t="str">
        <f ca="1">IF(ROWS($1:56)&gt;COUNT(Dong),"",IF(OFFSET(TH!L$1,SMALL(Dong,ROWS($1:56)),)="331",OFFSET(TH!M$1,SMALL(Dong,ROWS($1:56)),),OFFSET(TH!L$1,SMALL(Dong,ROWS($1:56)),)))</f>
        <v/>
      </c>
      <c r="F69" s="45"/>
      <c r="G69" s="57" t="str">
        <f ca="1">IF(ROWS($1:56)&gt;COUNT(Dong),"",IF(OFFSET(TH!L$1,SMALL(Dong,ROWS($1:56)),)="331",OFFSET(TH!K$1,SMALL(Dong,ROWS($1:56)),),0))</f>
        <v/>
      </c>
      <c r="H69" s="57" t="str">
        <f ca="1">IF(ROWS($1:56)&gt;COUNT(Dong),"",IF(OFFSET(TH!M$1,SMALL(Dong,ROWS($1:56)),)="331",OFFSET(TH!K$1,SMALL(Dong,ROWS($1:56)),),0))</f>
        <v/>
      </c>
      <c r="I69" s="25">
        <f t="shared" ca="1" si="2"/>
        <v>0</v>
      </c>
      <c r="J69" s="25">
        <f t="shared" ca="1" si="3"/>
        <v>0</v>
      </c>
    </row>
    <row r="70" spans="1:10" s="18" customFormat="1" ht="18" customHeight="1">
      <c r="A70" s="9" t="str">
        <f ca="1">IF(ROWS($1:57)&gt;COUNT(Dong),"",OFFSET(TH!C$1,SMALL(Dong,ROWS($1:57)),))</f>
        <v/>
      </c>
      <c r="B70" s="9" t="str">
        <f ca="1">IF(ROWS($1:57)&gt;COUNT(Dong),"",OFFSET(TH!D$1,SMALL(Dong,ROWS($1:57)),))</f>
        <v/>
      </c>
      <c r="C70" s="9" t="str">
        <f ca="1">IF(ROWS($1:57)&gt;COUNT(Dong),"",OFFSET(TH!E$1,SMALL(Dong,ROWS($1:57)),))</f>
        <v/>
      </c>
      <c r="D70" s="212" t="str">
        <f ca="1">IF(ROWS($1:57)&gt;COUNT(Dong),"",OFFSET(TH!F$1,SMALL(Dong,ROWS($1:57)),))</f>
        <v/>
      </c>
      <c r="E70" s="45" t="str">
        <f ca="1">IF(ROWS($1:57)&gt;COUNT(Dong),"",IF(OFFSET(TH!L$1,SMALL(Dong,ROWS($1:57)),)="331",OFFSET(TH!M$1,SMALL(Dong,ROWS($1:57)),),OFFSET(TH!L$1,SMALL(Dong,ROWS($1:57)),)))</f>
        <v/>
      </c>
      <c r="F70" s="45"/>
      <c r="G70" s="57" t="str">
        <f ca="1">IF(ROWS($1:57)&gt;COUNT(Dong),"",IF(OFFSET(TH!L$1,SMALL(Dong,ROWS($1:57)),)="331",OFFSET(TH!K$1,SMALL(Dong,ROWS($1:57)),),0))</f>
        <v/>
      </c>
      <c r="H70" s="57" t="str">
        <f ca="1">IF(ROWS($1:57)&gt;COUNT(Dong),"",IF(OFFSET(TH!M$1,SMALL(Dong,ROWS($1:57)),)="331",OFFSET(TH!K$1,SMALL(Dong,ROWS($1:57)),),0))</f>
        <v/>
      </c>
      <c r="I70" s="25">
        <f t="shared" ca="1" si="2"/>
        <v>0</v>
      </c>
      <c r="J70" s="25">
        <f t="shared" ca="1" si="3"/>
        <v>0</v>
      </c>
    </row>
    <row r="71" spans="1:10" s="18" customFormat="1" ht="18" customHeight="1">
      <c r="A71" s="9" t="str">
        <f ca="1">IF(ROWS($1:58)&gt;COUNT(Dong),"",OFFSET(TH!C$1,SMALL(Dong,ROWS($1:58)),))</f>
        <v/>
      </c>
      <c r="B71" s="9" t="str">
        <f ca="1">IF(ROWS($1:58)&gt;COUNT(Dong),"",OFFSET(TH!D$1,SMALL(Dong,ROWS($1:58)),))</f>
        <v/>
      </c>
      <c r="C71" s="9" t="str">
        <f ca="1">IF(ROWS($1:58)&gt;COUNT(Dong),"",OFFSET(TH!E$1,SMALL(Dong,ROWS($1:58)),))</f>
        <v/>
      </c>
      <c r="D71" s="212" t="str">
        <f ca="1">IF(ROWS($1:58)&gt;COUNT(Dong),"",OFFSET(TH!F$1,SMALL(Dong,ROWS($1:58)),))</f>
        <v/>
      </c>
      <c r="E71" s="45" t="str">
        <f ca="1">IF(ROWS($1:58)&gt;COUNT(Dong),"",IF(OFFSET(TH!L$1,SMALL(Dong,ROWS($1:58)),)="331",OFFSET(TH!M$1,SMALL(Dong,ROWS($1:58)),),OFFSET(TH!L$1,SMALL(Dong,ROWS($1:58)),)))</f>
        <v/>
      </c>
      <c r="F71" s="45"/>
      <c r="G71" s="57" t="str">
        <f ca="1">IF(ROWS($1:58)&gt;COUNT(Dong),"",IF(OFFSET(TH!L$1,SMALL(Dong,ROWS($1:58)),)="331",OFFSET(TH!K$1,SMALL(Dong,ROWS($1:58)),),0))</f>
        <v/>
      </c>
      <c r="H71" s="57" t="str">
        <f ca="1">IF(ROWS($1:58)&gt;COUNT(Dong),"",IF(OFFSET(TH!M$1,SMALL(Dong,ROWS($1:58)),)="331",OFFSET(TH!K$1,SMALL(Dong,ROWS($1:58)),),0))</f>
        <v/>
      </c>
      <c r="I71" s="25">
        <f t="shared" ca="1" si="2"/>
        <v>0</v>
      </c>
      <c r="J71" s="25">
        <f t="shared" ca="1" si="3"/>
        <v>0</v>
      </c>
    </row>
    <row r="72" spans="1:10" s="18" customFormat="1" ht="18" customHeight="1">
      <c r="A72" s="9" t="str">
        <f ca="1">IF(ROWS($1:59)&gt;COUNT(Dong),"",OFFSET(TH!C$1,SMALL(Dong,ROWS($1:59)),))</f>
        <v/>
      </c>
      <c r="B72" s="9" t="str">
        <f ca="1">IF(ROWS($1:59)&gt;COUNT(Dong),"",OFFSET(TH!D$1,SMALL(Dong,ROWS($1:59)),))</f>
        <v/>
      </c>
      <c r="C72" s="9" t="str">
        <f ca="1">IF(ROWS($1:59)&gt;COUNT(Dong),"",OFFSET(TH!E$1,SMALL(Dong,ROWS($1:59)),))</f>
        <v/>
      </c>
      <c r="D72" s="212" t="str">
        <f ca="1">IF(ROWS($1:59)&gt;COUNT(Dong),"",OFFSET(TH!F$1,SMALL(Dong,ROWS($1:59)),))</f>
        <v/>
      </c>
      <c r="E72" s="45" t="str">
        <f ca="1">IF(ROWS($1:59)&gt;COUNT(Dong),"",IF(OFFSET(TH!L$1,SMALL(Dong,ROWS($1:59)),)="331",OFFSET(TH!M$1,SMALL(Dong,ROWS($1:59)),),OFFSET(TH!L$1,SMALL(Dong,ROWS($1:59)),)))</f>
        <v/>
      </c>
      <c r="F72" s="45"/>
      <c r="G72" s="57" t="str">
        <f ca="1">IF(ROWS($1:59)&gt;COUNT(Dong),"",IF(OFFSET(TH!L$1,SMALL(Dong,ROWS($1:59)),)="331",OFFSET(TH!K$1,SMALL(Dong,ROWS($1:59)),),0))</f>
        <v/>
      </c>
      <c r="H72" s="57" t="str">
        <f ca="1">IF(ROWS($1:59)&gt;COUNT(Dong),"",IF(OFFSET(TH!M$1,SMALL(Dong,ROWS($1:59)),)="331",OFFSET(TH!K$1,SMALL(Dong,ROWS($1:59)),),0))</f>
        <v/>
      </c>
      <c r="I72" s="25">
        <f t="shared" ca="1" si="2"/>
        <v>0</v>
      </c>
      <c r="J72" s="25">
        <f t="shared" ca="1" si="3"/>
        <v>0</v>
      </c>
    </row>
    <row r="73" spans="1:10" s="18" customFormat="1" ht="18" customHeight="1">
      <c r="A73" s="9" t="str">
        <f ca="1">IF(ROWS($1:60)&gt;COUNT(Dong),"",OFFSET(TH!C$1,SMALL(Dong,ROWS($1:60)),))</f>
        <v/>
      </c>
      <c r="B73" s="9" t="str">
        <f ca="1">IF(ROWS($1:60)&gt;COUNT(Dong),"",OFFSET(TH!D$1,SMALL(Dong,ROWS($1:60)),))</f>
        <v/>
      </c>
      <c r="C73" s="9" t="str">
        <f ca="1">IF(ROWS($1:60)&gt;COUNT(Dong),"",OFFSET(TH!E$1,SMALL(Dong,ROWS($1:60)),))</f>
        <v/>
      </c>
      <c r="D73" s="212" t="str">
        <f ca="1">IF(ROWS($1:60)&gt;COUNT(Dong),"",OFFSET(TH!F$1,SMALL(Dong,ROWS($1:60)),))</f>
        <v/>
      </c>
      <c r="E73" s="45" t="str">
        <f ca="1">IF(ROWS($1:60)&gt;COUNT(Dong),"",IF(OFFSET(TH!L$1,SMALL(Dong,ROWS($1:60)),)="331",OFFSET(TH!M$1,SMALL(Dong,ROWS($1:60)),),OFFSET(TH!L$1,SMALL(Dong,ROWS($1:60)),)))</f>
        <v/>
      </c>
      <c r="F73" s="45"/>
      <c r="G73" s="57" t="str">
        <f ca="1">IF(ROWS($1:60)&gt;COUNT(Dong),"",IF(OFFSET(TH!L$1,SMALL(Dong,ROWS($1:60)),)="331",OFFSET(TH!K$1,SMALL(Dong,ROWS($1:60)),),0))</f>
        <v/>
      </c>
      <c r="H73" s="57" t="str">
        <f ca="1">IF(ROWS($1:60)&gt;COUNT(Dong),"",IF(OFFSET(TH!M$1,SMALL(Dong,ROWS($1:60)),)="331",OFFSET(TH!K$1,SMALL(Dong,ROWS($1:60)),),0))</f>
        <v/>
      </c>
      <c r="I73" s="25">
        <f t="shared" ca="1" si="2"/>
        <v>0</v>
      </c>
      <c r="J73" s="25">
        <f t="shared" ca="1" si="3"/>
        <v>0</v>
      </c>
    </row>
    <row r="74" spans="1:10" s="18" customFormat="1" ht="18" customHeight="1">
      <c r="A74" s="9" t="str">
        <f ca="1">IF(ROWS($1:61)&gt;COUNT(Dong),"",OFFSET(TH!C$1,SMALL(Dong,ROWS($1:61)),))</f>
        <v/>
      </c>
      <c r="B74" s="9" t="str">
        <f ca="1">IF(ROWS($1:61)&gt;COUNT(Dong),"",OFFSET(TH!D$1,SMALL(Dong,ROWS($1:61)),))</f>
        <v/>
      </c>
      <c r="C74" s="9" t="str">
        <f ca="1">IF(ROWS($1:61)&gt;COUNT(Dong),"",OFFSET(TH!E$1,SMALL(Dong,ROWS($1:61)),))</f>
        <v/>
      </c>
      <c r="D74" s="212" t="str">
        <f ca="1">IF(ROWS($1:61)&gt;COUNT(Dong),"",OFFSET(TH!F$1,SMALL(Dong,ROWS($1:61)),))</f>
        <v/>
      </c>
      <c r="E74" s="45" t="str">
        <f ca="1">IF(ROWS($1:61)&gt;COUNT(Dong),"",IF(OFFSET(TH!L$1,SMALL(Dong,ROWS($1:61)),)="331",OFFSET(TH!M$1,SMALL(Dong,ROWS($1:61)),),OFFSET(TH!L$1,SMALL(Dong,ROWS($1:61)),)))</f>
        <v/>
      </c>
      <c r="F74" s="45"/>
      <c r="G74" s="57" t="str">
        <f ca="1">IF(ROWS($1:61)&gt;COUNT(Dong),"",IF(OFFSET(TH!L$1,SMALL(Dong,ROWS($1:61)),)="331",OFFSET(TH!K$1,SMALL(Dong,ROWS($1:61)),),0))</f>
        <v/>
      </c>
      <c r="H74" s="57" t="str">
        <f ca="1">IF(ROWS($1:61)&gt;COUNT(Dong),"",IF(OFFSET(TH!M$1,SMALL(Dong,ROWS($1:61)),)="331",OFFSET(TH!K$1,SMALL(Dong,ROWS($1:61)),),0))</f>
        <v/>
      </c>
      <c r="I74" s="25">
        <f t="shared" ca="1" si="2"/>
        <v>0</v>
      </c>
      <c r="J74" s="25">
        <f t="shared" ca="1" si="3"/>
        <v>0</v>
      </c>
    </row>
    <row r="75" spans="1:10" s="18" customFormat="1" ht="18" customHeight="1">
      <c r="A75" s="9" t="str">
        <f ca="1">IF(ROWS($1:62)&gt;COUNT(Dong),"",OFFSET(TH!C$1,SMALL(Dong,ROWS($1:62)),))</f>
        <v/>
      </c>
      <c r="B75" s="9" t="str">
        <f ca="1">IF(ROWS($1:62)&gt;COUNT(Dong),"",OFFSET(TH!D$1,SMALL(Dong,ROWS($1:62)),))</f>
        <v/>
      </c>
      <c r="C75" s="9" t="str">
        <f ca="1">IF(ROWS($1:62)&gt;COUNT(Dong),"",OFFSET(TH!E$1,SMALL(Dong,ROWS($1:62)),))</f>
        <v/>
      </c>
      <c r="D75" s="212" t="str">
        <f ca="1">IF(ROWS($1:62)&gt;COUNT(Dong),"",OFFSET(TH!F$1,SMALL(Dong,ROWS($1:62)),))</f>
        <v/>
      </c>
      <c r="E75" s="45" t="str">
        <f ca="1">IF(ROWS($1:62)&gt;COUNT(Dong),"",IF(OFFSET(TH!L$1,SMALL(Dong,ROWS($1:62)),)="331",OFFSET(TH!M$1,SMALL(Dong,ROWS($1:62)),),OFFSET(TH!L$1,SMALL(Dong,ROWS($1:62)),)))</f>
        <v/>
      </c>
      <c r="F75" s="45"/>
      <c r="G75" s="57" t="str">
        <f ca="1">IF(ROWS($1:62)&gt;COUNT(Dong),"",IF(OFFSET(TH!L$1,SMALL(Dong,ROWS($1:62)),)="331",OFFSET(TH!K$1,SMALL(Dong,ROWS($1:62)),),0))</f>
        <v/>
      </c>
      <c r="H75" s="57" t="str">
        <f ca="1">IF(ROWS($1:62)&gt;COUNT(Dong),"",IF(OFFSET(TH!M$1,SMALL(Dong,ROWS($1:62)),)="331",OFFSET(TH!K$1,SMALL(Dong,ROWS($1:62)),),0))</f>
        <v/>
      </c>
      <c r="I75" s="25">
        <f t="shared" ca="1" si="2"/>
        <v>0</v>
      </c>
      <c r="J75" s="25">
        <f t="shared" ca="1" si="3"/>
        <v>0</v>
      </c>
    </row>
    <row r="76" spans="1:10" s="18" customFormat="1" ht="18" customHeight="1">
      <c r="A76" s="9" t="str">
        <f ca="1">IF(ROWS($1:63)&gt;COUNT(Dong),"",OFFSET(TH!C$1,SMALL(Dong,ROWS($1:63)),))</f>
        <v/>
      </c>
      <c r="B76" s="9" t="str">
        <f ca="1">IF(ROWS($1:63)&gt;COUNT(Dong),"",OFFSET(TH!D$1,SMALL(Dong,ROWS($1:63)),))</f>
        <v/>
      </c>
      <c r="C76" s="9" t="str">
        <f ca="1">IF(ROWS($1:63)&gt;COUNT(Dong),"",OFFSET(TH!E$1,SMALL(Dong,ROWS($1:63)),))</f>
        <v/>
      </c>
      <c r="D76" s="212" t="str">
        <f ca="1">IF(ROWS($1:63)&gt;COUNT(Dong),"",OFFSET(TH!F$1,SMALL(Dong,ROWS($1:63)),))</f>
        <v/>
      </c>
      <c r="E76" s="45" t="str">
        <f ca="1">IF(ROWS($1:63)&gt;COUNT(Dong),"",IF(OFFSET(TH!L$1,SMALL(Dong,ROWS($1:63)),)="331",OFFSET(TH!M$1,SMALL(Dong,ROWS($1:63)),),OFFSET(TH!L$1,SMALL(Dong,ROWS($1:63)),)))</f>
        <v/>
      </c>
      <c r="F76" s="45"/>
      <c r="G76" s="57" t="str">
        <f ca="1">IF(ROWS($1:63)&gt;COUNT(Dong),"",IF(OFFSET(TH!L$1,SMALL(Dong,ROWS($1:63)),)="331",OFFSET(TH!K$1,SMALL(Dong,ROWS($1:63)),),0))</f>
        <v/>
      </c>
      <c r="H76" s="57" t="str">
        <f ca="1">IF(ROWS($1:63)&gt;COUNT(Dong),"",IF(OFFSET(TH!M$1,SMALL(Dong,ROWS($1:63)),)="331",OFFSET(TH!K$1,SMALL(Dong,ROWS($1:63)),),0))</f>
        <v/>
      </c>
      <c r="I76" s="25">
        <f t="shared" ca="1" si="2"/>
        <v>0</v>
      </c>
      <c r="J76" s="25">
        <f t="shared" ca="1" si="3"/>
        <v>0</v>
      </c>
    </row>
    <row r="77" spans="1:10" s="18" customFormat="1" ht="18" customHeight="1">
      <c r="A77" s="9" t="str">
        <f ca="1">IF(ROWS($1:64)&gt;COUNT(Dong),"",OFFSET(TH!C$1,SMALL(Dong,ROWS($1:64)),))</f>
        <v/>
      </c>
      <c r="B77" s="9" t="str">
        <f ca="1">IF(ROWS($1:64)&gt;COUNT(Dong),"",OFFSET(TH!D$1,SMALL(Dong,ROWS($1:64)),))</f>
        <v/>
      </c>
      <c r="C77" s="9" t="str">
        <f ca="1">IF(ROWS($1:64)&gt;COUNT(Dong),"",OFFSET(TH!E$1,SMALL(Dong,ROWS($1:64)),))</f>
        <v/>
      </c>
      <c r="D77" s="212" t="str">
        <f ca="1">IF(ROWS($1:64)&gt;COUNT(Dong),"",OFFSET(TH!F$1,SMALL(Dong,ROWS($1:64)),))</f>
        <v/>
      </c>
      <c r="E77" s="45" t="str">
        <f ca="1">IF(ROWS($1:64)&gt;COUNT(Dong),"",IF(OFFSET(TH!L$1,SMALL(Dong,ROWS($1:64)),)="331",OFFSET(TH!M$1,SMALL(Dong,ROWS($1:64)),),OFFSET(TH!L$1,SMALL(Dong,ROWS($1:64)),)))</f>
        <v/>
      </c>
      <c r="F77" s="45"/>
      <c r="G77" s="57" t="str">
        <f ca="1">IF(ROWS($1:64)&gt;COUNT(Dong),"",IF(OFFSET(TH!L$1,SMALL(Dong,ROWS($1:64)),)="331",OFFSET(TH!K$1,SMALL(Dong,ROWS($1:64)),),0))</f>
        <v/>
      </c>
      <c r="H77" s="57" t="str">
        <f ca="1">IF(ROWS($1:64)&gt;COUNT(Dong),"",IF(OFFSET(TH!M$1,SMALL(Dong,ROWS($1:64)),)="331",OFFSET(TH!K$1,SMALL(Dong,ROWS($1:64)),),0))</f>
        <v/>
      </c>
      <c r="I77" s="25">
        <f t="shared" ca="1" si="2"/>
        <v>0</v>
      </c>
      <c r="J77" s="25">
        <f t="shared" ca="1" si="3"/>
        <v>0</v>
      </c>
    </row>
    <row r="78" spans="1:10" s="18" customFormat="1" ht="18" customHeight="1">
      <c r="A78" s="9" t="str">
        <f ca="1">IF(ROWS($1:65)&gt;COUNT(Dong),"",OFFSET(TH!C$1,SMALL(Dong,ROWS($1:65)),))</f>
        <v/>
      </c>
      <c r="B78" s="9" t="str">
        <f ca="1">IF(ROWS($1:65)&gt;COUNT(Dong),"",OFFSET(TH!D$1,SMALL(Dong,ROWS($1:65)),))</f>
        <v/>
      </c>
      <c r="C78" s="9" t="str">
        <f ca="1">IF(ROWS($1:65)&gt;COUNT(Dong),"",OFFSET(TH!E$1,SMALL(Dong,ROWS($1:65)),))</f>
        <v/>
      </c>
      <c r="D78" s="212" t="str">
        <f ca="1">IF(ROWS($1:65)&gt;COUNT(Dong),"",OFFSET(TH!F$1,SMALL(Dong,ROWS($1:65)),))</f>
        <v/>
      </c>
      <c r="E78" s="45" t="str">
        <f ca="1">IF(ROWS($1:65)&gt;COUNT(Dong),"",IF(OFFSET(TH!L$1,SMALL(Dong,ROWS($1:65)),)="331",OFFSET(TH!M$1,SMALL(Dong,ROWS($1:65)),),OFFSET(TH!L$1,SMALL(Dong,ROWS($1:65)),)))</f>
        <v/>
      </c>
      <c r="F78" s="45"/>
      <c r="G78" s="57" t="str">
        <f ca="1">IF(ROWS($1:65)&gt;COUNT(Dong),"",IF(OFFSET(TH!L$1,SMALL(Dong,ROWS($1:65)),)="331",OFFSET(TH!K$1,SMALL(Dong,ROWS($1:65)),),0))</f>
        <v/>
      </c>
      <c r="H78" s="57" t="str">
        <f ca="1">IF(ROWS($1:65)&gt;COUNT(Dong),"",IF(OFFSET(TH!M$1,SMALL(Dong,ROWS($1:65)),)="331",OFFSET(TH!K$1,SMALL(Dong,ROWS($1:65)),),0))</f>
        <v/>
      </c>
      <c r="I78" s="25">
        <f t="shared" ref="I78:I113" ca="1" si="4">IF(D78&lt;&gt;"",MAX(I77+G78-H78-J77,0),0)</f>
        <v>0</v>
      </c>
      <c r="J78" s="25">
        <f t="shared" ref="J78:J113" ca="1" si="5">IF(D78&lt;&gt;"",MAX(J77+H78-I77-G78,0),0)</f>
        <v>0</v>
      </c>
    </row>
    <row r="79" spans="1:10" s="18" customFormat="1" ht="18" customHeight="1">
      <c r="A79" s="9" t="str">
        <f ca="1">IF(ROWS($1:66)&gt;COUNT(Dong),"",OFFSET(TH!C$1,SMALL(Dong,ROWS($1:66)),))</f>
        <v/>
      </c>
      <c r="B79" s="9" t="str">
        <f ca="1">IF(ROWS($1:66)&gt;COUNT(Dong),"",OFFSET(TH!D$1,SMALL(Dong,ROWS($1:66)),))</f>
        <v/>
      </c>
      <c r="C79" s="9" t="str">
        <f ca="1">IF(ROWS($1:66)&gt;COUNT(Dong),"",OFFSET(TH!E$1,SMALL(Dong,ROWS($1:66)),))</f>
        <v/>
      </c>
      <c r="D79" s="212" t="str">
        <f ca="1">IF(ROWS($1:66)&gt;COUNT(Dong),"",OFFSET(TH!F$1,SMALL(Dong,ROWS($1:66)),))</f>
        <v/>
      </c>
      <c r="E79" s="45" t="str">
        <f ca="1">IF(ROWS($1:66)&gt;COUNT(Dong),"",IF(OFFSET(TH!L$1,SMALL(Dong,ROWS($1:66)),)="331",OFFSET(TH!M$1,SMALL(Dong,ROWS($1:66)),),OFFSET(TH!L$1,SMALL(Dong,ROWS($1:66)),)))</f>
        <v/>
      </c>
      <c r="F79" s="45"/>
      <c r="G79" s="57" t="str">
        <f ca="1">IF(ROWS($1:66)&gt;COUNT(Dong),"",IF(OFFSET(TH!L$1,SMALL(Dong,ROWS($1:66)),)="331",OFFSET(TH!K$1,SMALL(Dong,ROWS($1:66)),),0))</f>
        <v/>
      </c>
      <c r="H79" s="57" t="str">
        <f ca="1">IF(ROWS($1:66)&gt;COUNT(Dong),"",IF(OFFSET(TH!M$1,SMALL(Dong,ROWS($1:66)),)="331",OFFSET(TH!K$1,SMALL(Dong,ROWS($1:66)),),0))</f>
        <v/>
      </c>
      <c r="I79" s="25">
        <f t="shared" ca="1" si="4"/>
        <v>0</v>
      </c>
      <c r="J79" s="25">
        <f t="shared" ca="1" si="5"/>
        <v>0</v>
      </c>
    </row>
    <row r="80" spans="1:10" s="18" customFormat="1" ht="18" customHeight="1">
      <c r="A80" s="9" t="str">
        <f ca="1">IF(ROWS($1:67)&gt;COUNT(Dong),"",OFFSET(TH!C$1,SMALL(Dong,ROWS($1:67)),))</f>
        <v/>
      </c>
      <c r="B80" s="9" t="str">
        <f ca="1">IF(ROWS($1:67)&gt;COUNT(Dong),"",OFFSET(TH!D$1,SMALL(Dong,ROWS($1:67)),))</f>
        <v/>
      </c>
      <c r="C80" s="9" t="str">
        <f ca="1">IF(ROWS($1:67)&gt;COUNT(Dong),"",OFFSET(TH!E$1,SMALL(Dong,ROWS($1:67)),))</f>
        <v/>
      </c>
      <c r="D80" s="212" t="str">
        <f ca="1">IF(ROWS($1:67)&gt;COUNT(Dong),"",OFFSET(TH!F$1,SMALL(Dong,ROWS($1:67)),))</f>
        <v/>
      </c>
      <c r="E80" s="45" t="str">
        <f ca="1">IF(ROWS($1:67)&gt;COUNT(Dong),"",IF(OFFSET(TH!L$1,SMALL(Dong,ROWS($1:67)),)="331",OFFSET(TH!M$1,SMALL(Dong,ROWS($1:67)),),OFFSET(TH!L$1,SMALL(Dong,ROWS($1:67)),)))</f>
        <v/>
      </c>
      <c r="F80" s="45"/>
      <c r="G80" s="57" t="str">
        <f ca="1">IF(ROWS($1:67)&gt;COUNT(Dong),"",IF(OFFSET(TH!L$1,SMALL(Dong,ROWS($1:67)),)="331",OFFSET(TH!K$1,SMALL(Dong,ROWS($1:67)),),0))</f>
        <v/>
      </c>
      <c r="H80" s="57" t="str">
        <f ca="1">IF(ROWS($1:67)&gt;COUNT(Dong),"",IF(OFFSET(TH!M$1,SMALL(Dong,ROWS($1:67)),)="331",OFFSET(TH!K$1,SMALL(Dong,ROWS($1:67)),),0))</f>
        <v/>
      </c>
      <c r="I80" s="25">
        <f t="shared" ca="1" si="4"/>
        <v>0</v>
      </c>
      <c r="J80" s="25">
        <f t="shared" ca="1" si="5"/>
        <v>0</v>
      </c>
    </row>
    <row r="81" spans="1:10" s="18" customFormat="1" ht="18" customHeight="1">
      <c r="A81" s="9" t="str">
        <f ca="1">IF(ROWS($1:68)&gt;COUNT(Dong),"",OFFSET(TH!C$1,SMALL(Dong,ROWS($1:68)),))</f>
        <v/>
      </c>
      <c r="B81" s="9" t="str">
        <f ca="1">IF(ROWS($1:68)&gt;COUNT(Dong),"",OFFSET(TH!D$1,SMALL(Dong,ROWS($1:68)),))</f>
        <v/>
      </c>
      <c r="C81" s="9" t="str">
        <f ca="1">IF(ROWS($1:68)&gt;COUNT(Dong),"",OFFSET(TH!E$1,SMALL(Dong,ROWS($1:68)),))</f>
        <v/>
      </c>
      <c r="D81" s="212" t="str">
        <f ca="1">IF(ROWS($1:68)&gt;COUNT(Dong),"",OFFSET(TH!F$1,SMALL(Dong,ROWS($1:68)),))</f>
        <v/>
      </c>
      <c r="E81" s="45" t="str">
        <f ca="1">IF(ROWS($1:68)&gt;COUNT(Dong),"",IF(OFFSET(TH!L$1,SMALL(Dong,ROWS($1:68)),)="331",OFFSET(TH!M$1,SMALL(Dong,ROWS($1:68)),),OFFSET(TH!L$1,SMALL(Dong,ROWS($1:68)),)))</f>
        <v/>
      </c>
      <c r="F81" s="45"/>
      <c r="G81" s="57" t="str">
        <f ca="1">IF(ROWS($1:68)&gt;COUNT(Dong),"",IF(OFFSET(TH!L$1,SMALL(Dong,ROWS($1:68)),)="331",OFFSET(TH!K$1,SMALL(Dong,ROWS($1:68)),),0))</f>
        <v/>
      </c>
      <c r="H81" s="57" t="str">
        <f ca="1">IF(ROWS($1:68)&gt;COUNT(Dong),"",IF(OFFSET(TH!M$1,SMALL(Dong,ROWS($1:68)),)="331",OFFSET(TH!K$1,SMALL(Dong,ROWS($1:68)),),0))</f>
        <v/>
      </c>
      <c r="I81" s="25">
        <f t="shared" ca="1" si="4"/>
        <v>0</v>
      </c>
      <c r="J81" s="25">
        <f t="shared" ca="1" si="5"/>
        <v>0</v>
      </c>
    </row>
    <row r="82" spans="1:10" s="18" customFormat="1" ht="18" customHeight="1">
      <c r="A82" s="9" t="str">
        <f ca="1">IF(ROWS($1:69)&gt;COUNT(Dong),"",OFFSET(TH!C$1,SMALL(Dong,ROWS($1:69)),))</f>
        <v/>
      </c>
      <c r="B82" s="9" t="str">
        <f ca="1">IF(ROWS($1:69)&gt;COUNT(Dong),"",OFFSET(TH!D$1,SMALL(Dong,ROWS($1:69)),))</f>
        <v/>
      </c>
      <c r="C82" s="9" t="str">
        <f ca="1">IF(ROWS($1:69)&gt;COUNT(Dong),"",OFFSET(TH!E$1,SMALL(Dong,ROWS($1:69)),))</f>
        <v/>
      </c>
      <c r="D82" s="212" t="str">
        <f ca="1">IF(ROWS($1:69)&gt;COUNT(Dong),"",OFFSET(TH!F$1,SMALL(Dong,ROWS($1:69)),))</f>
        <v/>
      </c>
      <c r="E82" s="45" t="str">
        <f ca="1">IF(ROWS($1:69)&gt;COUNT(Dong),"",IF(OFFSET(TH!L$1,SMALL(Dong,ROWS($1:69)),)="331",OFFSET(TH!M$1,SMALL(Dong,ROWS($1:69)),),OFFSET(TH!L$1,SMALL(Dong,ROWS($1:69)),)))</f>
        <v/>
      </c>
      <c r="F82" s="45"/>
      <c r="G82" s="57" t="str">
        <f ca="1">IF(ROWS($1:69)&gt;COUNT(Dong),"",IF(OFFSET(TH!L$1,SMALL(Dong,ROWS($1:69)),)="331",OFFSET(TH!K$1,SMALL(Dong,ROWS($1:69)),),0))</f>
        <v/>
      </c>
      <c r="H82" s="57" t="str">
        <f ca="1">IF(ROWS($1:69)&gt;COUNT(Dong),"",IF(OFFSET(TH!M$1,SMALL(Dong,ROWS($1:69)),)="331",OFFSET(TH!K$1,SMALL(Dong,ROWS($1:69)),),0))</f>
        <v/>
      </c>
      <c r="I82" s="25">
        <f t="shared" ca="1" si="4"/>
        <v>0</v>
      </c>
      <c r="J82" s="25">
        <f t="shared" ca="1" si="5"/>
        <v>0</v>
      </c>
    </row>
    <row r="83" spans="1:10" s="18" customFormat="1" ht="18" customHeight="1">
      <c r="A83" s="9" t="str">
        <f ca="1">IF(ROWS($1:70)&gt;COUNT(Dong),"",OFFSET(TH!C$1,SMALL(Dong,ROWS($1:70)),))</f>
        <v/>
      </c>
      <c r="B83" s="9" t="str">
        <f ca="1">IF(ROWS($1:70)&gt;COUNT(Dong),"",OFFSET(TH!D$1,SMALL(Dong,ROWS($1:70)),))</f>
        <v/>
      </c>
      <c r="C83" s="9" t="str">
        <f ca="1">IF(ROWS($1:70)&gt;COUNT(Dong),"",OFFSET(TH!E$1,SMALL(Dong,ROWS($1:70)),))</f>
        <v/>
      </c>
      <c r="D83" s="212" t="str">
        <f ca="1">IF(ROWS($1:70)&gt;COUNT(Dong),"",OFFSET(TH!F$1,SMALL(Dong,ROWS($1:70)),))</f>
        <v/>
      </c>
      <c r="E83" s="45" t="str">
        <f ca="1">IF(ROWS($1:70)&gt;COUNT(Dong),"",IF(OFFSET(TH!L$1,SMALL(Dong,ROWS($1:70)),)="331",OFFSET(TH!M$1,SMALL(Dong,ROWS($1:70)),),OFFSET(TH!L$1,SMALL(Dong,ROWS($1:70)),)))</f>
        <v/>
      </c>
      <c r="F83" s="45"/>
      <c r="G83" s="57" t="str">
        <f ca="1">IF(ROWS($1:70)&gt;COUNT(Dong),"",IF(OFFSET(TH!L$1,SMALL(Dong,ROWS($1:70)),)="331",OFFSET(TH!K$1,SMALL(Dong,ROWS($1:70)),),0))</f>
        <v/>
      </c>
      <c r="H83" s="57" t="str">
        <f ca="1">IF(ROWS($1:70)&gt;COUNT(Dong),"",IF(OFFSET(TH!M$1,SMALL(Dong,ROWS($1:70)),)="331",OFFSET(TH!K$1,SMALL(Dong,ROWS($1:70)),),0))</f>
        <v/>
      </c>
      <c r="I83" s="25">
        <f t="shared" ca="1" si="4"/>
        <v>0</v>
      </c>
      <c r="J83" s="25">
        <f t="shared" ca="1" si="5"/>
        <v>0</v>
      </c>
    </row>
    <row r="84" spans="1:10" s="18" customFormat="1" ht="18" customHeight="1">
      <c r="A84" s="9" t="str">
        <f ca="1">IF(ROWS($1:71)&gt;COUNT(Dong),"",OFFSET(TH!C$1,SMALL(Dong,ROWS($1:71)),))</f>
        <v/>
      </c>
      <c r="B84" s="9" t="str">
        <f ca="1">IF(ROWS($1:71)&gt;COUNT(Dong),"",OFFSET(TH!D$1,SMALL(Dong,ROWS($1:71)),))</f>
        <v/>
      </c>
      <c r="C84" s="9" t="str">
        <f ca="1">IF(ROWS($1:71)&gt;COUNT(Dong),"",OFFSET(TH!E$1,SMALL(Dong,ROWS($1:71)),))</f>
        <v/>
      </c>
      <c r="D84" s="212" t="str">
        <f ca="1">IF(ROWS($1:71)&gt;COUNT(Dong),"",OFFSET(TH!F$1,SMALL(Dong,ROWS($1:71)),))</f>
        <v/>
      </c>
      <c r="E84" s="45" t="str">
        <f ca="1">IF(ROWS($1:71)&gt;COUNT(Dong),"",IF(OFFSET(TH!L$1,SMALL(Dong,ROWS($1:71)),)="331",OFFSET(TH!M$1,SMALL(Dong,ROWS($1:71)),),OFFSET(TH!L$1,SMALL(Dong,ROWS($1:71)),)))</f>
        <v/>
      </c>
      <c r="F84" s="45"/>
      <c r="G84" s="57" t="str">
        <f ca="1">IF(ROWS($1:71)&gt;COUNT(Dong),"",IF(OFFSET(TH!L$1,SMALL(Dong,ROWS($1:71)),)="331",OFFSET(TH!K$1,SMALL(Dong,ROWS($1:71)),),0))</f>
        <v/>
      </c>
      <c r="H84" s="57" t="str">
        <f ca="1">IF(ROWS($1:71)&gt;COUNT(Dong),"",IF(OFFSET(TH!M$1,SMALL(Dong,ROWS($1:71)),)="331",OFFSET(TH!K$1,SMALL(Dong,ROWS($1:71)),),0))</f>
        <v/>
      </c>
      <c r="I84" s="25">
        <f t="shared" ca="1" si="4"/>
        <v>0</v>
      </c>
      <c r="J84" s="25">
        <f t="shared" ca="1" si="5"/>
        <v>0</v>
      </c>
    </row>
    <row r="85" spans="1:10" s="18" customFormat="1" ht="18" customHeight="1">
      <c r="A85" s="9" t="str">
        <f ca="1">IF(ROWS($1:72)&gt;COUNT(Dong),"",OFFSET(TH!C$1,SMALL(Dong,ROWS($1:72)),))</f>
        <v/>
      </c>
      <c r="B85" s="9" t="str">
        <f ca="1">IF(ROWS($1:72)&gt;COUNT(Dong),"",OFFSET(TH!D$1,SMALL(Dong,ROWS($1:72)),))</f>
        <v/>
      </c>
      <c r="C85" s="9" t="str">
        <f ca="1">IF(ROWS($1:72)&gt;COUNT(Dong),"",OFFSET(TH!E$1,SMALL(Dong,ROWS($1:72)),))</f>
        <v/>
      </c>
      <c r="D85" s="212" t="str">
        <f ca="1">IF(ROWS($1:72)&gt;COUNT(Dong),"",OFFSET(TH!F$1,SMALL(Dong,ROWS($1:72)),))</f>
        <v/>
      </c>
      <c r="E85" s="45" t="str">
        <f ca="1">IF(ROWS($1:72)&gt;COUNT(Dong),"",IF(OFFSET(TH!L$1,SMALL(Dong,ROWS($1:72)),)="331",OFFSET(TH!M$1,SMALL(Dong,ROWS($1:72)),),OFFSET(TH!L$1,SMALL(Dong,ROWS($1:72)),)))</f>
        <v/>
      </c>
      <c r="F85" s="45"/>
      <c r="G85" s="57" t="str">
        <f ca="1">IF(ROWS($1:72)&gt;COUNT(Dong),"",IF(OFFSET(TH!L$1,SMALL(Dong,ROWS($1:72)),)="331",OFFSET(TH!K$1,SMALL(Dong,ROWS($1:72)),),0))</f>
        <v/>
      </c>
      <c r="H85" s="57" t="str">
        <f ca="1">IF(ROWS($1:72)&gt;COUNT(Dong),"",IF(OFFSET(TH!M$1,SMALL(Dong,ROWS($1:72)),)="331",OFFSET(TH!K$1,SMALL(Dong,ROWS($1:72)),),0))</f>
        <v/>
      </c>
      <c r="I85" s="25">
        <f t="shared" ca="1" si="4"/>
        <v>0</v>
      </c>
      <c r="J85" s="25">
        <f t="shared" ca="1" si="5"/>
        <v>0</v>
      </c>
    </row>
    <row r="86" spans="1:10" s="18" customFormat="1" ht="18" customHeight="1">
      <c r="A86" s="9" t="str">
        <f ca="1">IF(ROWS($1:73)&gt;COUNT(Dong),"",OFFSET(TH!C$1,SMALL(Dong,ROWS($1:73)),))</f>
        <v/>
      </c>
      <c r="B86" s="9" t="str">
        <f ca="1">IF(ROWS($1:73)&gt;COUNT(Dong),"",OFFSET(TH!D$1,SMALL(Dong,ROWS($1:73)),))</f>
        <v/>
      </c>
      <c r="C86" s="9" t="str">
        <f ca="1">IF(ROWS($1:73)&gt;COUNT(Dong),"",OFFSET(TH!E$1,SMALL(Dong,ROWS($1:73)),))</f>
        <v/>
      </c>
      <c r="D86" s="212" t="str">
        <f ca="1">IF(ROWS($1:73)&gt;COUNT(Dong),"",OFFSET(TH!F$1,SMALL(Dong,ROWS($1:73)),))</f>
        <v/>
      </c>
      <c r="E86" s="45" t="str">
        <f ca="1">IF(ROWS($1:73)&gt;COUNT(Dong),"",IF(OFFSET(TH!L$1,SMALL(Dong,ROWS($1:73)),)="331",OFFSET(TH!M$1,SMALL(Dong,ROWS($1:73)),),OFFSET(TH!L$1,SMALL(Dong,ROWS($1:73)),)))</f>
        <v/>
      </c>
      <c r="F86" s="45"/>
      <c r="G86" s="57" t="str">
        <f ca="1">IF(ROWS($1:73)&gt;COUNT(Dong),"",IF(OFFSET(TH!L$1,SMALL(Dong,ROWS($1:73)),)="331",OFFSET(TH!K$1,SMALL(Dong,ROWS($1:73)),),0))</f>
        <v/>
      </c>
      <c r="H86" s="57" t="str">
        <f ca="1">IF(ROWS($1:73)&gt;COUNT(Dong),"",IF(OFFSET(TH!M$1,SMALL(Dong,ROWS($1:73)),)="331",OFFSET(TH!K$1,SMALL(Dong,ROWS($1:73)),),0))</f>
        <v/>
      </c>
      <c r="I86" s="25">
        <f t="shared" ca="1" si="4"/>
        <v>0</v>
      </c>
      <c r="J86" s="25">
        <f t="shared" ca="1" si="5"/>
        <v>0</v>
      </c>
    </row>
    <row r="87" spans="1:10" s="18" customFormat="1" ht="18" customHeight="1">
      <c r="A87" s="9" t="str">
        <f ca="1">IF(ROWS($1:74)&gt;COUNT(Dong),"",OFFSET(TH!C$1,SMALL(Dong,ROWS($1:74)),))</f>
        <v/>
      </c>
      <c r="B87" s="9" t="str">
        <f ca="1">IF(ROWS($1:74)&gt;COUNT(Dong),"",OFFSET(TH!D$1,SMALL(Dong,ROWS($1:74)),))</f>
        <v/>
      </c>
      <c r="C87" s="9" t="str">
        <f ca="1">IF(ROWS($1:74)&gt;COUNT(Dong),"",OFFSET(TH!E$1,SMALL(Dong,ROWS($1:74)),))</f>
        <v/>
      </c>
      <c r="D87" s="212" t="str">
        <f ca="1">IF(ROWS($1:74)&gt;COUNT(Dong),"",OFFSET(TH!F$1,SMALL(Dong,ROWS($1:74)),))</f>
        <v/>
      </c>
      <c r="E87" s="45" t="str">
        <f ca="1">IF(ROWS($1:74)&gt;COUNT(Dong),"",IF(OFFSET(TH!L$1,SMALL(Dong,ROWS($1:74)),)="331",OFFSET(TH!M$1,SMALL(Dong,ROWS($1:74)),),OFFSET(TH!L$1,SMALL(Dong,ROWS($1:74)),)))</f>
        <v/>
      </c>
      <c r="F87" s="45"/>
      <c r="G87" s="57" t="str">
        <f ca="1">IF(ROWS($1:74)&gt;COUNT(Dong),"",IF(OFFSET(TH!L$1,SMALL(Dong,ROWS($1:74)),)="331",OFFSET(TH!K$1,SMALL(Dong,ROWS($1:74)),),0))</f>
        <v/>
      </c>
      <c r="H87" s="57" t="str">
        <f ca="1">IF(ROWS($1:74)&gt;COUNT(Dong),"",IF(OFFSET(TH!M$1,SMALL(Dong,ROWS($1:74)),)="331",OFFSET(TH!K$1,SMALL(Dong,ROWS($1:74)),),0))</f>
        <v/>
      </c>
      <c r="I87" s="25">
        <f t="shared" ca="1" si="4"/>
        <v>0</v>
      </c>
      <c r="J87" s="25">
        <f t="shared" ca="1" si="5"/>
        <v>0</v>
      </c>
    </row>
    <row r="88" spans="1:10" s="18" customFormat="1" ht="18" customHeight="1">
      <c r="A88" s="9" t="str">
        <f ca="1">IF(ROWS($1:75)&gt;COUNT(Dong),"",OFFSET(TH!C$1,SMALL(Dong,ROWS($1:75)),))</f>
        <v/>
      </c>
      <c r="B88" s="9" t="str">
        <f ca="1">IF(ROWS($1:75)&gt;COUNT(Dong),"",OFFSET(TH!D$1,SMALL(Dong,ROWS($1:75)),))</f>
        <v/>
      </c>
      <c r="C88" s="9" t="str">
        <f ca="1">IF(ROWS($1:75)&gt;COUNT(Dong),"",OFFSET(TH!E$1,SMALL(Dong,ROWS($1:75)),))</f>
        <v/>
      </c>
      <c r="D88" s="212" t="str">
        <f ca="1">IF(ROWS($1:75)&gt;COUNT(Dong),"",OFFSET(TH!F$1,SMALL(Dong,ROWS($1:75)),))</f>
        <v/>
      </c>
      <c r="E88" s="45" t="str">
        <f ca="1">IF(ROWS($1:75)&gt;COUNT(Dong),"",IF(OFFSET(TH!L$1,SMALL(Dong,ROWS($1:75)),)="331",OFFSET(TH!M$1,SMALL(Dong,ROWS($1:75)),),OFFSET(TH!L$1,SMALL(Dong,ROWS($1:75)),)))</f>
        <v/>
      </c>
      <c r="F88" s="45"/>
      <c r="G88" s="57" t="str">
        <f ca="1">IF(ROWS($1:75)&gt;COUNT(Dong),"",IF(OFFSET(TH!L$1,SMALL(Dong,ROWS($1:75)),)="331",OFFSET(TH!K$1,SMALL(Dong,ROWS($1:75)),),0))</f>
        <v/>
      </c>
      <c r="H88" s="57" t="str">
        <f ca="1">IF(ROWS($1:75)&gt;COUNT(Dong),"",IF(OFFSET(TH!M$1,SMALL(Dong,ROWS($1:75)),)="331",OFFSET(TH!K$1,SMALL(Dong,ROWS($1:75)),),0))</f>
        <v/>
      </c>
      <c r="I88" s="25">
        <f t="shared" ca="1" si="4"/>
        <v>0</v>
      </c>
      <c r="J88" s="25">
        <f t="shared" ca="1" si="5"/>
        <v>0</v>
      </c>
    </row>
    <row r="89" spans="1:10" s="18" customFormat="1" ht="18" customHeight="1">
      <c r="A89" s="9" t="str">
        <f ca="1">IF(ROWS($1:76)&gt;COUNT(Dong),"",OFFSET(TH!C$1,SMALL(Dong,ROWS($1:76)),))</f>
        <v/>
      </c>
      <c r="B89" s="9" t="str">
        <f ca="1">IF(ROWS($1:76)&gt;COUNT(Dong),"",OFFSET(TH!D$1,SMALL(Dong,ROWS($1:76)),))</f>
        <v/>
      </c>
      <c r="C89" s="9" t="str">
        <f ca="1">IF(ROWS($1:76)&gt;COUNT(Dong),"",OFFSET(TH!E$1,SMALL(Dong,ROWS($1:76)),))</f>
        <v/>
      </c>
      <c r="D89" s="212" t="str">
        <f ca="1">IF(ROWS($1:76)&gt;COUNT(Dong),"",OFFSET(TH!F$1,SMALL(Dong,ROWS($1:76)),))</f>
        <v/>
      </c>
      <c r="E89" s="45" t="str">
        <f ca="1">IF(ROWS($1:76)&gt;COUNT(Dong),"",IF(OFFSET(TH!L$1,SMALL(Dong,ROWS($1:76)),)="331",OFFSET(TH!M$1,SMALL(Dong,ROWS($1:76)),),OFFSET(TH!L$1,SMALL(Dong,ROWS($1:76)),)))</f>
        <v/>
      </c>
      <c r="F89" s="45"/>
      <c r="G89" s="57" t="str">
        <f ca="1">IF(ROWS($1:76)&gt;COUNT(Dong),"",IF(OFFSET(TH!L$1,SMALL(Dong,ROWS($1:76)),)="331",OFFSET(TH!K$1,SMALL(Dong,ROWS($1:76)),),0))</f>
        <v/>
      </c>
      <c r="H89" s="57" t="str">
        <f ca="1">IF(ROWS($1:76)&gt;COUNT(Dong),"",IF(OFFSET(TH!M$1,SMALL(Dong,ROWS($1:76)),)="331",OFFSET(TH!K$1,SMALL(Dong,ROWS($1:76)),),0))</f>
        <v/>
      </c>
      <c r="I89" s="25">
        <f t="shared" ca="1" si="4"/>
        <v>0</v>
      </c>
      <c r="J89" s="25">
        <f t="shared" ca="1" si="5"/>
        <v>0</v>
      </c>
    </row>
    <row r="90" spans="1:10" s="18" customFormat="1" ht="18" customHeight="1">
      <c r="A90" s="9" t="str">
        <f ca="1">IF(ROWS($1:77)&gt;COUNT(Dong),"",OFFSET(TH!C$1,SMALL(Dong,ROWS($1:77)),))</f>
        <v/>
      </c>
      <c r="B90" s="9" t="str">
        <f ca="1">IF(ROWS($1:77)&gt;COUNT(Dong),"",OFFSET(TH!D$1,SMALL(Dong,ROWS($1:77)),))</f>
        <v/>
      </c>
      <c r="C90" s="9" t="str">
        <f ca="1">IF(ROWS($1:77)&gt;COUNT(Dong),"",OFFSET(TH!E$1,SMALL(Dong,ROWS($1:77)),))</f>
        <v/>
      </c>
      <c r="D90" s="212" t="str">
        <f ca="1">IF(ROWS($1:77)&gt;COUNT(Dong),"",OFFSET(TH!F$1,SMALL(Dong,ROWS($1:77)),))</f>
        <v/>
      </c>
      <c r="E90" s="45" t="str">
        <f ca="1">IF(ROWS($1:77)&gt;COUNT(Dong),"",IF(OFFSET(TH!L$1,SMALL(Dong,ROWS($1:77)),)="331",OFFSET(TH!M$1,SMALL(Dong,ROWS($1:77)),),OFFSET(TH!L$1,SMALL(Dong,ROWS($1:77)),)))</f>
        <v/>
      </c>
      <c r="F90" s="45"/>
      <c r="G90" s="57" t="str">
        <f ca="1">IF(ROWS($1:77)&gt;COUNT(Dong),"",IF(OFFSET(TH!L$1,SMALL(Dong,ROWS($1:77)),)="331",OFFSET(TH!K$1,SMALL(Dong,ROWS($1:77)),),0))</f>
        <v/>
      </c>
      <c r="H90" s="57" t="str">
        <f ca="1">IF(ROWS($1:77)&gt;COUNT(Dong),"",IF(OFFSET(TH!M$1,SMALL(Dong,ROWS($1:77)),)="331",OFFSET(TH!K$1,SMALL(Dong,ROWS($1:77)),),0))</f>
        <v/>
      </c>
      <c r="I90" s="25">
        <f t="shared" ca="1" si="4"/>
        <v>0</v>
      </c>
      <c r="J90" s="25">
        <f t="shared" ca="1" si="5"/>
        <v>0</v>
      </c>
    </row>
    <row r="91" spans="1:10" s="18" customFormat="1" ht="18" customHeight="1">
      <c r="A91" s="9" t="str">
        <f ca="1">IF(ROWS($1:78)&gt;COUNT(Dong),"",OFFSET(TH!C$1,SMALL(Dong,ROWS($1:78)),))</f>
        <v/>
      </c>
      <c r="B91" s="9" t="str">
        <f ca="1">IF(ROWS($1:78)&gt;COUNT(Dong),"",OFFSET(TH!D$1,SMALL(Dong,ROWS($1:78)),))</f>
        <v/>
      </c>
      <c r="C91" s="9" t="str">
        <f ca="1">IF(ROWS($1:78)&gt;COUNT(Dong),"",OFFSET(TH!E$1,SMALL(Dong,ROWS($1:78)),))</f>
        <v/>
      </c>
      <c r="D91" s="212" t="str">
        <f ca="1">IF(ROWS($1:78)&gt;COUNT(Dong),"",OFFSET(TH!F$1,SMALL(Dong,ROWS($1:78)),))</f>
        <v/>
      </c>
      <c r="E91" s="45" t="str">
        <f ca="1">IF(ROWS($1:78)&gt;COUNT(Dong),"",IF(OFFSET(TH!L$1,SMALL(Dong,ROWS($1:78)),)="331",OFFSET(TH!M$1,SMALL(Dong,ROWS($1:78)),),OFFSET(TH!L$1,SMALL(Dong,ROWS($1:78)),)))</f>
        <v/>
      </c>
      <c r="F91" s="45"/>
      <c r="G91" s="57" t="str">
        <f ca="1">IF(ROWS($1:78)&gt;COUNT(Dong),"",IF(OFFSET(TH!L$1,SMALL(Dong,ROWS($1:78)),)="331",OFFSET(TH!K$1,SMALL(Dong,ROWS($1:78)),),0))</f>
        <v/>
      </c>
      <c r="H91" s="57" t="str">
        <f ca="1">IF(ROWS($1:78)&gt;COUNT(Dong),"",IF(OFFSET(TH!M$1,SMALL(Dong,ROWS($1:78)),)="331",OFFSET(TH!K$1,SMALL(Dong,ROWS($1:78)),),0))</f>
        <v/>
      </c>
      <c r="I91" s="25">
        <f t="shared" ca="1" si="4"/>
        <v>0</v>
      </c>
      <c r="J91" s="25">
        <f t="shared" ca="1" si="5"/>
        <v>0</v>
      </c>
    </row>
    <row r="92" spans="1:10" s="18" customFormat="1" ht="18" customHeight="1">
      <c r="A92" s="9" t="str">
        <f ca="1">IF(ROWS($1:79)&gt;COUNT(Dong),"",OFFSET(TH!C$1,SMALL(Dong,ROWS($1:79)),))</f>
        <v/>
      </c>
      <c r="B92" s="9" t="str">
        <f ca="1">IF(ROWS($1:79)&gt;COUNT(Dong),"",OFFSET(TH!D$1,SMALL(Dong,ROWS($1:79)),))</f>
        <v/>
      </c>
      <c r="C92" s="9" t="str">
        <f ca="1">IF(ROWS($1:79)&gt;COUNT(Dong),"",OFFSET(TH!E$1,SMALL(Dong,ROWS($1:79)),))</f>
        <v/>
      </c>
      <c r="D92" s="212" t="str">
        <f ca="1">IF(ROWS($1:79)&gt;COUNT(Dong),"",OFFSET(TH!F$1,SMALL(Dong,ROWS($1:79)),))</f>
        <v/>
      </c>
      <c r="E92" s="45" t="str">
        <f ca="1">IF(ROWS($1:79)&gt;COUNT(Dong),"",IF(OFFSET(TH!L$1,SMALL(Dong,ROWS($1:79)),)="331",OFFSET(TH!M$1,SMALL(Dong,ROWS($1:79)),),OFFSET(TH!L$1,SMALL(Dong,ROWS($1:79)),)))</f>
        <v/>
      </c>
      <c r="F92" s="45"/>
      <c r="G92" s="57" t="str">
        <f ca="1">IF(ROWS($1:79)&gt;COUNT(Dong),"",IF(OFFSET(TH!L$1,SMALL(Dong,ROWS($1:79)),)="331",OFFSET(TH!K$1,SMALL(Dong,ROWS($1:79)),),0))</f>
        <v/>
      </c>
      <c r="H92" s="57" t="str">
        <f ca="1">IF(ROWS($1:79)&gt;COUNT(Dong),"",IF(OFFSET(TH!M$1,SMALL(Dong,ROWS($1:79)),)="331",OFFSET(TH!K$1,SMALL(Dong,ROWS($1:79)),),0))</f>
        <v/>
      </c>
      <c r="I92" s="25">
        <f t="shared" ca="1" si="4"/>
        <v>0</v>
      </c>
      <c r="J92" s="25">
        <f t="shared" ca="1" si="5"/>
        <v>0</v>
      </c>
    </row>
    <row r="93" spans="1:10" s="18" customFormat="1" ht="18" customHeight="1">
      <c r="A93" s="9" t="str">
        <f ca="1">IF(ROWS($1:80)&gt;COUNT(Dong),"",OFFSET(TH!C$1,SMALL(Dong,ROWS($1:80)),))</f>
        <v/>
      </c>
      <c r="B93" s="9" t="str">
        <f ca="1">IF(ROWS($1:80)&gt;COUNT(Dong),"",OFFSET(TH!D$1,SMALL(Dong,ROWS($1:80)),))</f>
        <v/>
      </c>
      <c r="C93" s="9" t="str">
        <f ca="1">IF(ROWS($1:80)&gt;COUNT(Dong),"",OFFSET(TH!E$1,SMALL(Dong,ROWS($1:80)),))</f>
        <v/>
      </c>
      <c r="D93" s="212" t="str">
        <f ca="1">IF(ROWS($1:80)&gt;COUNT(Dong),"",OFFSET(TH!F$1,SMALL(Dong,ROWS($1:80)),))</f>
        <v/>
      </c>
      <c r="E93" s="45" t="str">
        <f ca="1">IF(ROWS($1:80)&gt;COUNT(Dong),"",IF(OFFSET(TH!L$1,SMALL(Dong,ROWS($1:80)),)="331",OFFSET(TH!M$1,SMALL(Dong,ROWS($1:80)),),OFFSET(TH!L$1,SMALL(Dong,ROWS($1:80)),)))</f>
        <v/>
      </c>
      <c r="F93" s="45"/>
      <c r="G93" s="57" t="str">
        <f ca="1">IF(ROWS($1:80)&gt;COUNT(Dong),"",IF(OFFSET(TH!L$1,SMALL(Dong,ROWS($1:80)),)="331",OFFSET(TH!K$1,SMALL(Dong,ROWS($1:80)),),0))</f>
        <v/>
      </c>
      <c r="H93" s="57" t="str">
        <f ca="1">IF(ROWS($1:80)&gt;COUNT(Dong),"",IF(OFFSET(TH!M$1,SMALL(Dong,ROWS($1:80)),)="331",OFFSET(TH!K$1,SMALL(Dong,ROWS($1:80)),),0))</f>
        <v/>
      </c>
      <c r="I93" s="25">
        <f t="shared" ca="1" si="4"/>
        <v>0</v>
      </c>
      <c r="J93" s="25">
        <f t="shared" ca="1" si="5"/>
        <v>0</v>
      </c>
    </row>
    <row r="94" spans="1:10" s="18" customFormat="1" ht="18" customHeight="1">
      <c r="A94" s="9" t="str">
        <f ca="1">IF(ROWS($1:81)&gt;COUNT(Dong),"",OFFSET(TH!C$1,SMALL(Dong,ROWS($1:81)),))</f>
        <v/>
      </c>
      <c r="B94" s="9" t="str">
        <f ca="1">IF(ROWS($1:81)&gt;COUNT(Dong),"",OFFSET(TH!D$1,SMALL(Dong,ROWS($1:81)),))</f>
        <v/>
      </c>
      <c r="C94" s="9" t="str">
        <f ca="1">IF(ROWS($1:81)&gt;COUNT(Dong),"",OFFSET(TH!E$1,SMALL(Dong,ROWS($1:81)),))</f>
        <v/>
      </c>
      <c r="D94" s="212" t="str">
        <f ca="1">IF(ROWS($1:81)&gt;COUNT(Dong),"",OFFSET(TH!F$1,SMALL(Dong,ROWS($1:81)),))</f>
        <v/>
      </c>
      <c r="E94" s="45" t="str">
        <f ca="1">IF(ROWS($1:81)&gt;COUNT(Dong),"",IF(OFFSET(TH!L$1,SMALL(Dong,ROWS($1:81)),)="331",OFFSET(TH!M$1,SMALL(Dong,ROWS($1:81)),),OFFSET(TH!L$1,SMALL(Dong,ROWS($1:81)),)))</f>
        <v/>
      </c>
      <c r="F94" s="45"/>
      <c r="G94" s="57" t="str">
        <f ca="1">IF(ROWS($1:81)&gt;COUNT(Dong),"",IF(OFFSET(TH!L$1,SMALL(Dong,ROWS($1:81)),)="331",OFFSET(TH!K$1,SMALL(Dong,ROWS($1:81)),),0))</f>
        <v/>
      </c>
      <c r="H94" s="57" t="str">
        <f ca="1">IF(ROWS($1:81)&gt;COUNT(Dong),"",IF(OFFSET(TH!M$1,SMALL(Dong,ROWS($1:81)),)="331",OFFSET(TH!K$1,SMALL(Dong,ROWS($1:81)),),0))</f>
        <v/>
      </c>
      <c r="I94" s="25">
        <f t="shared" ca="1" si="4"/>
        <v>0</v>
      </c>
      <c r="J94" s="25">
        <f t="shared" ca="1" si="5"/>
        <v>0</v>
      </c>
    </row>
    <row r="95" spans="1:10" s="18" customFormat="1" ht="18" customHeight="1">
      <c r="A95" s="9" t="str">
        <f ca="1">IF(ROWS($1:82)&gt;COUNT(Dong),"",OFFSET(TH!C$1,SMALL(Dong,ROWS($1:82)),))</f>
        <v/>
      </c>
      <c r="B95" s="9" t="str">
        <f ca="1">IF(ROWS($1:82)&gt;COUNT(Dong),"",OFFSET(TH!D$1,SMALL(Dong,ROWS($1:82)),))</f>
        <v/>
      </c>
      <c r="C95" s="9" t="str">
        <f ca="1">IF(ROWS($1:82)&gt;COUNT(Dong),"",OFFSET(TH!E$1,SMALL(Dong,ROWS($1:82)),))</f>
        <v/>
      </c>
      <c r="D95" s="212" t="str">
        <f ca="1">IF(ROWS($1:82)&gt;COUNT(Dong),"",OFFSET(TH!F$1,SMALL(Dong,ROWS($1:82)),))</f>
        <v/>
      </c>
      <c r="E95" s="45" t="str">
        <f ca="1">IF(ROWS($1:82)&gt;COUNT(Dong),"",IF(OFFSET(TH!L$1,SMALL(Dong,ROWS($1:82)),)="331",OFFSET(TH!M$1,SMALL(Dong,ROWS($1:82)),),OFFSET(TH!L$1,SMALL(Dong,ROWS($1:82)),)))</f>
        <v/>
      </c>
      <c r="F95" s="45"/>
      <c r="G95" s="57" t="str">
        <f ca="1">IF(ROWS($1:82)&gt;COUNT(Dong),"",IF(OFFSET(TH!L$1,SMALL(Dong,ROWS($1:82)),)="331",OFFSET(TH!K$1,SMALL(Dong,ROWS($1:82)),),0))</f>
        <v/>
      </c>
      <c r="H95" s="57" t="str">
        <f ca="1">IF(ROWS($1:82)&gt;COUNT(Dong),"",IF(OFFSET(TH!M$1,SMALL(Dong,ROWS($1:82)),)="331",OFFSET(TH!K$1,SMALL(Dong,ROWS($1:82)),),0))</f>
        <v/>
      </c>
      <c r="I95" s="25">
        <f t="shared" ca="1" si="4"/>
        <v>0</v>
      </c>
      <c r="J95" s="25">
        <f t="shared" ca="1" si="5"/>
        <v>0</v>
      </c>
    </row>
    <row r="96" spans="1:10" s="18" customFormat="1" ht="18" customHeight="1">
      <c r="A96" s="9" t="str">
        <f ca="1">IF(ROWS($1:83)&gt;COUNT(Dong),"",OFFSET(TH!C$1,SMALL(Dong,ROWS($1:83)),))</f>
        <v/>
      </c>
      <c r="B96" s="9" t="str">
        <f ca="1">IF(ROWS($1:83)&gt;COUNT(Dong),"",OFFSET(TH!D$1,SMALL(Dong,ROWS($1:83)),))</f>
        <v/>
      </c>
      <c r="C96" s="9" t="str">
        <f ca="1">IF(ROWS($1:83)&gt;COUNT(Dong),"",OFFSET(TH!E$1,SMALL(Dong,ROWS($1:83)),))</f>
        <v/>
      </c>
      <c r="D96" s="212" t="str">
        <f ca="1">IF(ROWS($1:83)&gt;COUNT(Dong),"",OFFSET(TH!F$1,SMALL(Dong,ROWS($1:83)),))</f>
        <v/>
      </c>
      <c r="E96" s="45" t="str">
        <f ca="1">IF(ROWS($1:83)&gt;COUNT(Dong),"",IF(OFFSET(TH!L$1,SMALL(Dong,ROWS($1:83)),)="331",OFFSET(TH!M$1,SMALL(Dong,ROWS($1:83)),),OFFSET(TH!L$1,SMALL(Dong,ROWS($1:83)),)))</f>
        <v/>
      </c>
      <c r="F96" s="45"/>
      <c r="G96" s="57" t="str">
        <f ca="1">IF(ROWS($1:83)&gt;COUNT(Dong),"",IF(OFFSET(TH!L$1,SMALL(Dong,ROWS($1:83)),)="331",OFFSET(TH!K$1,SMALL(Dong,ROWS($1:83)),),0))</f>
        <v/>
      </c>
      <c r="H96" s="57" t="str">
        <f ca="1">IF(ROWS($1:83)&gt;COUNT(Dong),"",IF(OFFSET(TH!M$1,SMALL(Dong,ROWS($1:83)),)="331",OFFSET(TH!K$1,SMALL(Dong,ROWS($1:83)),),0))</f>
        <v/>
      </c>
      <c r="I96" s="25">
        <f t="shared" ca="1" si="4"/>
        <v>0</v>
      </c>
      <c r="J96" s="25">
        <f t="shared" ca="1" si="5"/>
        <v>0</v>
      </c>
    </row>
    <row r="97" spans="1:10" s="18" customFormat="1" ht="18" customHeight="1">
      <c r="A97" s="9" t="str">
        <f ca="1">IF(ROWS($1:84)&gt;COUNT(Dong),"",OFFSET(TH!C$1,SMALL(Dong,ROWS($1:84)),))</f>
        <v/>
      </c>
      <c r="B97" s="9" t="str">
        <f ca="1">IF(ROWS($1:84)&gt;COUNT(Dong),"",OFFSET(TH!D$1,SMALL(Dong,ROWS($1:84)),))</f>
        <v/>
      </c>
      <c r="C97" s="9" t="str">
        <f ca="1">IF(ROWS($1:84)&gt;COUNT(Dong),"",OFFSET(TH!E$1,SMALL(Dong,ROWS($1:84)),))</f>
        <v/>
      </c>
      <c r="D97" s="212" t="str">
        <f ca="1">IF(ROWS($1:84)&gt;COUNT(Dong),"",OFFSET(TH!F$1,SMALL(Dong,ROWS($1:84)),))</f>
        <v/>
      </c>
      <c r="E97" s="45" t="str">
        <f ca="1">IF(ROWS($1:84)&gt;COUNT(Dong),"",IF(OFFSET(TH!L$1,SMALL(Dong,ROWS($1:84)),)="331",OFFSET(TH!M$1,SMALL(Dong,ROWS($1:84)),),OFFSET(TH!L$1,SMALL(Dong,ROWS($1:84)),)))</f>
        <v/>
      </c>
      <c r="F97" s="45"/>
      <c r="G97" s="57" t="str">
        <f ca="1">IF(ROWS($1:84)&gt;COUNT(Dong),"",IF(OFFSET(TH!L$1,SMALL(Dong,ROWS($1:84)),)="331",OFFSET(TH!K$1,SMALL(Dong,ROWS($1:84)),),0))</f>
        <v/>
      </c>
      <c r="H97" s="57" t="str">
        <f ca="1">IF(ROWS($1:84)&gt;COUNT(Dong),"",IF(OFFSET(TH!M$1,SMALL(Dong,ROWS($1:84)),)="331",OFFSET(TH!K$1,SMALL(Dong,ROWS($1:84)),),0))</f>
        <v/>
      </c>
      <c r="I97" s="25">
        <f t="shared" ca="1" si="4"/>
        <v>0</v>
      </c>
      <c r="J97" s="25">
        <f t="shared" ca="1" si="5"/>
        <v>0</v>
      </c>
    </row>
    <row r="98" spans="1:10" s="18" customFormat="1" ht="18" customHeight="1">
      <c r="A98" s="9" t="str">
        <f ca="1">IF(ROWS($1:85)&gt;COUNT(Dong),"",OFFSET(TH!C$1,SMALL(Dong,ROWS($1:85)),))</f>
        <v/>
      </c>
      <c r="B98" s="9" t="str">
        <f ca="1">IF(ROWS($1:85)&gt;COUNT(Dong),"",OFFSET(TH!D$1,SMALL(Dong,ROWS($1:85)),))</f>
        <v/>
      </c>
      <c r="C98" s="9" t="str">
        <f ca="1">IF(ROWS($1:85)&gt;COUNT(Dong),"",OFFSET(TH!E$1,SMALL(Dong,ROWS($1:85)),))</f>
        <v/>
      </c>
      <c r="D98" s="212" t="str">
        <f ca="1">IF(ROWS($1:85)&gt;COUNT(Dong),"",OFFSET(TH!F$1,SMALL(Dong,ROWS($1:85)),))</f>
        <v/>
      </c>
      <c r="E98" s="45" t="str">
        <f ca="1">IF(ROWS($1:85)&gt;COUNT(Dong),"",IF(OFFSET(TH!L$1,SMALL(Dong,ROWS($1:85)),)="331",OFFSET(TH!M$1,SMALL(Dong,ROWS($1:85)),),OFFSET(TH!L$1,SMALL(Dong,ROWS($1:85)),)))</f>
        <v/>
      </c>
      <c r="F98" s="45"/>
      <c r="G98" s="57" t="str">
        <f ca="1">IF(ROWS($1:85)&gt;COUNT(Dong),"",IF(OFFSET(TH!L$1,SMALL(Dong,ROWS($1:85)),)="331",OFFSET(TH!K$1,SMALL(Dong,ROWS($1:85)),),0))</f>
        <v/>
      </c>
      <c r="H98" s="57" t="str">
        <f ca="1">IF(ROWS($1:85)&gt;COUNT(Dong),"",IF(OFFSET(TH!M$1,SMALL(Dong,ROWS($1:85)),)="331",OFFSET(TH!K$1,SMALL(Dong,ROWS($1:85)),),0))</f>
        <v/>
      </c>
      <c r="I98" s="25">
        <f t="shared" ca="1" si="4"/>
        <v>0</v>
      </c>
      <c r="J98" s="25">
        <f t="shared" ca="1" si="5"/>
        <v>0</v>
      </c>
    </row>
    <row r="99" spans="1:10" s="18" customFormat="1" ht="18" customHeight="1">
      <c r="A99" s="9" t="str">
        <f ca="1">IF(ROWS($1:86)&gt;COUNT(Dong),"",OFFSET(TH!C$1,SMALL(Dong,ROWS($1:86)),))</f>
        <v/>
      </c>
      <c r="B99" s="9" t="str">
        <f ca="1">IF(ROWS($1:86)&gt;COUNT(Dong),"",OFFSET(TH!D$1,SMALL(Dong,ROWS($1:86)),))</f>
        <v/>
      </c>
      <c r="C99" s="9" t="str">
        <f ca="1">IF(ROWS($1:86)&gt;COUNT(Dong),"",OFFSET(TH!E$1,SMALL(Dong,ROWS($1:86)),))</f>
        <v/>
      </c>
      <c r="D99" s="212" t="str">
        <f ca="1">IF(ROWS($1:86)&gt;COUNT(Dong),"",OFFSET(TH!F$1,SMALL(Dong,ROWS($1:86)),))</f>
        <v/>
      </c>
      <c r="E99" s="45" t="str">
        <f ca="1">IF(ROWS($1:86)&gt;COUNT(Dong),"",IF(OFFSET(TH!L$1,SMALL(Dong,ROWS($1:86)),)="331",OFFSET(TH!M$1,SMALL(Dong,ROWS($1:86)),),OFFSET(TH!L$1,SMALL(Dong,ROWS($1:86)),)))</f>
        <v/>
      </c>
      <c r="F99" s="45"/>
      <c r="G99" s="57" t="str">
        <f ca="1">IF(ROWS($1:86)&gt;COUNT(Dong),"",IF(OFFSET(TH!L$1,SMALL(Dong,ROWS($1:86)),)="331",OFFSET(TH!K$1,SMALL(Dong,ROWS($1:86)),),0))</f>
        <v/>
      </c>
      <c r="H99" s="57" t="str">
        <f ca="1">IF(ROWS($1:86)&gt;COUNT(Dong),"",IF(OFFSET(TH!M$1,SMALL(Dong,ROWS($1:86)),)="331",OFFSET(TH!K$1,SMALL(Dong,ROWS($1:86)),),0))</f>
        <v/>
      </c>
      <c r="I99" s="25">
        <f t="shared" ca="1" si="4"/>
        <v>0</v>
      </c>
      <c r="J99" s="25">
        <f t="shared" ca="1" si="5"/>
        <v>0</v>
      </c>
    </row>
    <row r="100" spans="1:10" s="18" customFormat="1" ht="18" customHeight="1">
      <c r="A100" s="9" t="str">
        <f ca="1">IF(ROWS($1:87)&gt;COUNT(Dong),"",OFFSET(TH!C$1,SMALL(Dong,ROWS($1:87)),))</f>
        <v/>
      </c>
      <c r="B100" s="9" t="str">
        <f ca="1">IF(ROWS($1:87)&gt;COUNT(Dong),"",OFFSET(TH!D$1,SMALL(Dong,ROWS($1:87)),))</f>
        <v/>
      </c>
      <c r="C100" s="9" t="str">
        <f ca="1">IF(ROWS($1:87)&gt;COUNT(Dong),"",OFFSET(TH!E$1,SMALL(Dong,ROWS($1:87)),))</f>
        <v/>
      </c>
      <c r="D100" s="212" t="str">
        <f ca="1">IF(ROWS($1:87)&gt;COUNT(Dong),"",OFFSET(TH!F$1,SMALL(Dong,ROWS($1:87)),))</f>
        <v/>
      </c>
      <c r="E100" s="45" t="str">
        <f ca="1">IF(ROWS($1:87)&gt;COUNT(Dong),"",IF(OFFSET(TH!L$1,SMALL(Dong,ROWS($1:87)),)="331",OFFSET(TH!M$1,SMALL(Dong,ROWS($1:87)),),OFFSET(TH!L$1,SMALL(Dong,ROWS($1:87)),)))</f>
        <v/>
      </c>
      <c r="F100" s="45"/>
      <c r="G100" s="57" t="str">
        <f ca="1">IF(ROWS($1:87)&gt;COUNT(Dong),"",IF(OFFSET(TH!L$1,SMALL(Dong,ROWS($1:87)),)="331",OFFSET(TH!K$1,SMALL(Dong,ROWS($1:87)),),0))</f>
        <v/>
      </c>
      <c r="H100" s="57" t="str">
        <f ca="1">IF(ROWS($1:87)&gt;COUNT(Dong),"",IF(OFFSET(TH!M$1,SMALL(Dong,ROWS($1:87)),)="331",OFFSET(TH!K$1,SMALL(Dong,ROWS($1:87)),),0))</f>
        <v/>
      </c>
      <c r="I100" s="25">
        <f t="shared" ca="1" si="4"/>
        <v>0</v>
      </c>
      <c r="J100" s="25">
        <f t="shared" ca="1" si="5"/>
        <v>0</v>
      </c>
    </row>
    <row r="101" spans="1:10" s="18" customFormat="1" ht="18" customHeight="1">
      <c r="A101" s="9" t="str">
        <f ca="1">IF(ROWS($1:88)&gt;COUNT(Dong),"",OFFSET(TH!C$1,SMALL(Dong,ROWS($1:88)),))</f>
        <v/>
      </c>
      <c r="B101" s="9" t="str">
        <f ca="1">IF(ROWS($1:88)&gt;COUNT(Dong),"",OFFSET(TH!D$1,SMALL(Dong,ROWS($1:88)),))</f>
        <v/>
      </c>
      <c r="C101" s="9" t="str">
        <f ca="1">IF(ROWS($1:88)&gt;COUNT(Dong),"",OFFSET(TH!E$1,SMALL(Dong,ROWS($1:88)),))</f>
        <v/>
      </c>
      <c r="D101" s="212" t="str">
        <f ca="1">IF(ROWS($1:88)&gt;COUNT(Dong),"",OFFSET(TH!F$1,SMALL(Dong,ROWS($1:88)),))</f>
        <v/>
      </c>
      <c r="E101" s="45" t="str">
        <f ca="1">IF(ROWS($1:88)&gt;COUNT(Dong),"",IF(OFFSET(TH!L$1,SMALL(Dong,ROWS($1:88)),)="331",OFFSET(TH!M$1,SMALL(Dong,ROWS($1:88)),),OFFSET(TH!L$1,SMALL(Dong,ROWS($1:88)),)))</f>
        <v/>
      </c>
      <c r="F101" s="45"/>
      <c r="G101" s="57" t="str">
        <f ca="1">IF(ROWS($1:88)&gt;COUNT(Dong),"",IF(OFFSET(TH!L$1,SMALL(Dong,ROWS($1:88)),)="331",OFFSET(TH!K$1,SMALL(Dong,ROWS($1:88)),),0))</f>
        <v/>
      </c>
      <c r="H101" s="57" t="str">
        <f ca="1">IF(ROWS($1:88)&gt;COUNT(Dong),"",IF(OFFSET(TH!M$1,SMALL(Dong,ROWS($1:88)),)="331",OFFSET(TH!K$1,SMALL(Dong,ROWS($1:88)),),0))</f>
        <v/>
      </c>
      <c r="I101" s="25">
        <f t="shared" ca="1" si="4"/>
        <v>0</v>
      </c>
      <c r="J101" s="25">
        <f t="shared" ca="1" si="5"/>
        <v>0</v>
      </c>
    </row>
    <row r="102" spans="1:10" s="18" customFormat="1" ht="18" customHeight="1">
      <c r="A102" s="9" t="str">
        <f ca="1">IF(ROWS($1:89)&gt;COUNT(Dong),"",OFFSET(TH!C$1,SMALL(Dong,ROWS($1:89)),))</f>
        <v/>
      </c>
      <c r="B102" s="9" t="str">
        <f ca="1">IF(ROWS($1:89)&gt;COUNT(Dong),"",OFFSET(TH!D$1,SMALL(Dong,ROWS($1:89)),))</f>
        <v/>
      </c>
      <c r="C102" s="9" t="str">
        <f ca="1">IF(ROWS($1:89)&gt;COUNT(Dong),"",OFFSET(TH!E$1,SMALL(Dong,ROWS($1:89)),))</f>
        <v/>
      </c>
      <c r="D102" s="212" t="str">
        <f ca="1">IF(ROWS($1:89)&gt;COUNT(Dong),"",OFFSET(TH!F$1,SMALL(Dong,ROWS($1:89)),))</f>
        <v/>
      </c>
      <c r="E102" s="45" t="str">
        <f ca="1">IF(ROWS($1:89)&gt;COUNT(Dong),"",IF(OFFSET(TH!L$1,SMALL(Dong,ROWS($1:89)),)="331",OFFSET(TH!M$1,SMALL(Dong,ROWS($1:89)),),OFFSET(TH!L$1,SMALL(Dong,ROWS($1:89)),)))</f>
        <v/>
      </c>
      <c r="F102" s="45"/>
      <c r="G102" s="57" t="str">
        <f ca="1">IF(ROWS($1:89)&gt;COUNT(Dong),"",IF(OFFSET(TH!L$1,SMALL(Dong,ROWS($1:89)),)="331",OFFSET(TH!K$1,SMALL(Dong,ROWS($1:89)),),0))</f>
        <v/>
      </c>
      <c r="H102" s="57" t="str">
        <f ca="1">IF(ROWS($1:89)&gt;COUNT(Dong),"",IF(OFFSET(TH!M$1,SMALL(Dong,ROWS($1:89)),)="331",OFFSET(TH!K$1,SMALL(Dong,ROWS($1:89)),),0))</f>
        <v/>
      </c>
      <c r="I102" s="25">
        <f t="shared" ca="1" si="4"/>
        <v>0</v>
      </c>
      <c r="J102" s="25">
        <f t="shared" ca="1" si="5"/>
        <v>0</v>
      </c>
    </row>
    <row r="103" spans="1:10" s="18" customFormat="1" ht="18" customHeight="1">
      <c r="A103" s="9" t="str">
        <f ca="1">IF(ROWS($1:90)&gt;COUNT(Dong),"",OFFSET(TH!C$1,SMALL(Dong,ROWS($1:90)),))</f>
        <v/>
      </c>
      <c r="B103" s="9" t="str">
        <f ca="1">IF(ROWS($1:90)&gt;COUNT(Dong),"",OFFSET(TH!D$1,SMALL(Dong,ROWS($1:90)),))</f>
        <v/>
      </c>
      <c r="C103" s="9" t="str">
        <f ca="1">IF(ROWS($1:90)&gt;COUNT(Dong),"",OFFSET(TH!E$1,SMALL(Dong,ROWS($1:90)),))</f>
        <v/>
      </c>
      <c r="D103" s="212" t="str">
        <f ca="1">IF(ROWS($1:90)&gt;COUNT(Dong),"",OFFSET(TH!F$1,SMALL(Dong,ROWS($1:90)),))</f>
        <v/>
      </c>
      <c r="E103" s="45" t="str">
        <f ca="1">IF(ROWS($1:90)&gt;COUNT(Dong),"",IF(OFFSET(TH!L$1,SMALL(Dong,ROWS($1:90)),)="331",OFFSET(TH!M$1,SMALL(Dong,ROWS($1:90)),),OFFSET(TH!L$1,SMALL(Dong,ROWS($1:90)),)))</f>
        <v/>
      </c>
      <c r="F103" s="45"/>
      <c r="G103" s="57" t="str">
        <f ca="1">IF(ROWS($1:90)&gt;COUNT(Dong),"",IF(OFFSET(TH!L$1,SMALL(Dong,ROWS($1:90)),)="331",OFFSET(TH!K$1,SMALL(Dong,ROWS($1:90)),),0))</f>
        <v/>
      </c>
      <c r="H103" s="57" t="str">
        <f ca="1">IF(ROWS($1:90)&gt;COUNT(Dong),"",IF(OFFSET(TH!M$1,SMALL(Dong,ROWS($1:90)),)="331",OFFSET(TH!K$1,SMALL(Dong,ROWS($1:90)),),0))</f>
        <v/>
      </c>
      <c r="I103" s="25">
        <f t="shared" ca="1" si="4"/>
        <v>0</v>
      </c>
      <c r="J103" s="25">
        <f t="shared" ca="1" si="5"/>
        <v>0</v>
      </c>
    </row>
    <row r="104" spans="1:10" s="18" customFormat="1" ht="18" customHeight="1">
      <c r="A104" s="9" t="str">
        <f ca="1">IF(ROWS($1:91)&gt;COUNT(Dong),"",OFFSET(TH!C$1,SMALL(Dong,ROWS($1:91)),))</f>
        <v/>
      </c>
      <c r="B104" s="9" t="str">
        <f ca="1">IF(ROWS($1:91)&gt;COUNT(Dong),"",OFFSET(TH!D$1,SMALL(Dong,ROWS($1:91)),))</f>
        <v/>
      </c>
      <c r="C104" s="9" t="str">
        <f ca="1">IF(ROWS($1:91)&gt;COUNT(Dong),"",OFFSET(TH!E$1,SMALL(Dong,ROWS($1:91)),))</f>
        <v/>
      </c>
      <c r="D104" s="212" t="str">
        <f ca="1">IF(ROWS($1:91)&gt;COUNT(Dong),"",OFFSET(TH!F$1,SMALL(Dong,ROWS($1:91)),))</f>
        <v/>
      </c>
      <c r="E104" s="45" t="str">
        <f ca="1">IF(ROWS($1:91)&gt;COUNT(Dong),"",IF(OFFSET(TH!L$1,SMALL(Dong,ROWS($1:91)),)="331",OFFSET(TH!M$1,SMALL(Dong,ROWS($1:91)),),OFFSET(TH!L$1,SMALL(Dong,ROWS($1:91)),)))</f>
        <v/>
      </c>
      <c r="F104" s="45"/>
      <c r="G104" s="57" t="str">
        <f ca="1">IF(ROWS($1:91)&gt;COUNT(Dong),"",IF(OFFSET(TH!L$1,SMALL(Dong,ROWS($1:91)),)="331",OFFSET(TH!K$1,SMALL(Dong,ROWS($1:91)),),0))</f>
        <v/>
      </c>
      <c r="H104" s="57" t="str">
        <f ca="1">IF(ROWS($1:91)&gt;COUNT(Dong),"",IF(OFFSET(TH!M$1,SMALL(Dong,ROWS($1:91)),)="331",OFFSET(TH!K$1,SMALL(Dong,ROWS($1:91)),),0))</f>
        <v/>
      </c>
      <c r="I104" s="25">
        <f t="shared" ca="1" si="4"/>
        <v>0</v>
      </c>
      <c r="J104" s="25">
        <f t="shared" ca="1" si="5"/>
        <v>0</v>
      </c>
    </row>
    <row r="105" spans="1:10" s="18" customFormat="1" ht="18" customHeight="1">
      <c r="A105" s="9" t="str">
        <f ca="1">IF(ROWS($1:92)&gt;COUNT(Dong),"",OFFSET(TH!C$1,SMALL(Dong,ROWS($1:92)),))</f>
        <v/>
      </c>
      <c r="B105" s="9" t="str">
        <f ca="1">IF(ROWS($1:92)&gt;COUNT(Dong),"",OFFSET(TH!D$1,SMALL(Dong,ROWS($1:92)),))</f>
        <v/>
      </c>
      <c r="C105" s="9" t="str">
        <f ca="1">IF(ROWS($1:92)&gt;COUNT(Dong),"",OFFSET(TH!E$1,SMALL(Dong,ROWS($1:92)),))</f>
        <v/>
      </c>
      <c r="D105" s="212" t="str">
        <f ca="1">IF(ROWS($1:92)&gt;COUNT(Dong),"",OFFSET(TH!F$1,SMALL(Dong,ROWS($1:92)),))</f>
        <v/>
      </c>
      <c r="E105" s="45" t="str">
        <f ca="1">IF(ROWS($1:92)&gt;COUNT(Dong),"",IF(OFFSET(TH!L$1,SMALL(Dong,ROWS($1:92)),)="331",OFFSET(TH!M$1,SMALL(Dong,ROWS($1:92)),),OFFSET(TH!L$1,SMALL(Dong,ROWS($1:92)),)))</f>
        <v/>
      </c>
      <c r="F105" s="45"/>
      <c r="G105" s="57" t="str">
        <f ca="1">IF(ROWS($1:92)&gt;COUNT(Dong),"",IF(OFFSET(TH!L$1,SMALL(Dong,ROWS($1:92)),)="331",OFFSET(TH!K$1,SMALL(Dong,ROWS($1:92)),),0))</f>
        <v/>
      </c>
      <c r="H105" s="57" t="str">
        <f ca="1">IF(ROWS($1:92)&gt;COUNT(Dong),"",IF(OFFSET(TH!M$1,SMALL(Dong,ROWS($1:92)),)="331",OFFSET(TH!K$1,SMALL(Dong,ROWS($1:92)),),0))</f>
        <v/>
      </c>
      <c r="I105" s="25">
        <f t="shared" ca="1" si="4"/>
        <v>0</v>
      </c>
      <c r="J105" s="25">
        <f t="shared" ca="1" si="5"/>
        <v>0</v>
      </c>
    </row>
    <row r="106" spans="1:10" s="18" customFormat="1" ht="18" customHeight="1">
      <c r="A106" s="9" t="str">
        <f ca="1">IF(ROWS($1:93)&gt;COUNT(Dong),"",OFFSET(TH!C$1,SMALL(Dong,ROWS($1:93)),))</f>
        <v/>
      </c>
      <c r="B106" s="9" t="str">
        <f ca="1">IF(ROWS($1:93)&gt;COUNT(Dong),"",OFFSET(TH!D$1,SMALL(Dong,ROWS($1:93)),))</f>
        <v/>
      </c>
      <c r="C106" s="9" t="str">
        <f ca="1">IF(ROWS($1:93)&gt;COUNT(Dong),"",OFFSET(TH!E$1,SMALL(Dong,ROWS($1:93)),))</f>
        <v/>
      </c>
      <c r="D106" s="212" t="str">
        <f ca="1">IF(ROWS($1:93)&gt;COUNT(Dong),"",OFFSET(TH!F$1,SMALL(Dong,ROWS($1:93)),))</f>
        <v/>
      </c>
      <c r="E106" s="45" t="str">
        <f ca="1">IF(ROWS($1:93)&gt;COUNT(Dong),"",IF(OFFSET(TH!L$1,SMALL(Dong,ROWS($1:93)),)="331",OFFSET(TH!M$1,SMALL(Dong,ROWS($1:93)),),OFFSET(TH!L$1,SMALL(Dong,ROWS($1:93)),)))</f>
        <v/>
      </c>
      <c r="F106" s="45"/>
      <c r="G106" s="57" t="str">
        <f ca="1">IF(ROWS($1:93)&gt;COUNT(Dong),"",IF(OFFSET(TH!L$1,SMALL(Dong,ROWS($1:93)),)="331",OFFSET(TH!K$1,SMALL(Dong,ROWS($1:93)),),0))</f>
        <v/>
      </c>
      <c r="H106" s="57" t="str">
        <f ca="1">IF(ROWS($1:93)&gt;COUNT(Dong),"",IF(OFFSET(TH!M$1,SMALL(Dong,ROWS($1:93)),)="331",OFFSET(TH!K$1,SMALL(Dong,ROWS($1:93)),),0))</f>
        <v/>
      </c>
      <c r="I106" s="25">
        <f t="shared" ca="1" si="4"/>
        <v>0</v>
      </c>
      <c r="J106" s="25">
        <f t="shared" ca="1" si="5"/>
        <v>0</v>
      </c>
    </row>
    <row r="107" spans="1:10" s="18" customFormat="1" ht="18" customHeight="1">
      <c r="A107" s="9" t="str">
        <f ca="1">IF(ROWS($1:94)&gt;COUNT(Dong),"",OFFSET(TH!C$1,SMALL(Dong,ROWS($1:94)),))</f>
        <v/>
      </c>
      <c r="B107" s="9" t="str">
        <f ca="1">IF(ROWS($1:94)&gt;COUNT(Dong),"",OFFSET(TH!D$1,SMALL(Dong,ROWS($1:94)),))</f>
        <v/>
      </c>
      <c r="C107" s="9" t="str">
        <f ca="1">IF(ROWS($1:94)&gt;COUNT(Dong),"",OFFSET(TH!E$1,SMALL(Dong,ROWS($1:94)),))</f>
        <v/>
      </c>
      <c r="D107" s="212" t="str">
        <f ca="1">IF(ROWS($1:94)&gt;COUNT(Dong),"",OFFSET(TH!F$1,SMALL(Dong,ROWS($1:94)),))</f>
        <v/>
      </c>
      <c r="E107" s="45" t="str">
        <f ca="1">IF(ROWS($1:94)&gt;COUNT(Dong),"",IF(OFFSET(TH!L$1,SMALL(Dong,ROWS($1:94)),)="331",OFFSET(TH!M$1,SMALL(Dong,ROWS($1:94)),),OFFSET(TH!L$1,SMALL(Dong,ROWS($1:94)),)))</f>
        <v/>
      </c>
      <c r="F107" s="45"/>
      <c r="G107" s="57" t="str">
        <f ca="1">IF(ROWS($1:94)&gt;COUNT(Dong),"",IF(OFFSET(TH!L$1,SMALL(Dong,ROWS($1:94)),)="331",OFFSET(TH!K$1,SMALL(Dong,ROWS($1:94)),),0))</f>
        <v/>
      </c>
      <c r="H107" s="57" t="str">
        <f ca="1">IF(ROWS($1:94)&gt;COUNT(Dong),"",IF(OFFSET(TH!M$1,SMALL(Dong,ROWS($1:94)),)="331",OFFSET(TH!K$1,SMALL(Dong,ROWS($1:94)),),0))</f>
        <v/>
      </c>
      <c r="I107" s="25">
        <f t="shared" ca="1" si="4"/>
        <v>0</v>
      </c>
      <c r="J107" s="25">
        <f t="shared" ca="1" si="5"/>
        <v>0</v>
      </c>
    </row>
    <row r="108" spans="1:10" s="18" customFormat="1" ht="18" customHeight="1">
      <c r="A108" s="9" t="str">
        <f ca="1">IF(ROWS($1:95)&gt;COUNT(Dong),"",OFFSET(TH!C$1,SMALL(Dong,ROWS($1:95)),))</f>
        <v/>
      </c>
      <c r="B108" s="9" t="str">
        <f ca="1">IF(ROWS($1:95)&gt;COUNT(Dong),"",OFFSET(TH!D$1,SMALL(Dong,ROWS($1:95)),))</f>
        <v/>
      </c>
      <c r="C108" s="9" t="str">
        <f ca="1">IF(ROWS($1:95)&gt;COUNT(Dong),"",OFFSET(TH!E$1,SMALL(Dong,ROWS($1:95)),))</f>
        <v/>
      </c>
      <c r="D108" s="212" t="str">
        <f ca="1">IF(ROWS($1:95)&gt;COUNT(Dong),"",OFFSET(TH!F$1,SMALL(Dong,ROWS($1:95)),))</f>
        <v/>
      </c>
      <c r="E108" s="45" t="str">
        <f ca="1">IF(ROWS($1:95)&gt;COUNT(Dong),"",IF(OFFSET(TH!L$1,SMALL(Dong,ROWS($1:95)),)="331",OFFSET(TH!M$1,SMALL(Dong,ROWS($1:95)),),OFFSET(TH!L$1,SMALL(Dong,ROWS($1:95)),)))</f>
        <v/>
      </c>
      <c r="F108" s="45"/>
      <c r="G108" s="57" t="str">
        <f ca="1">IF(ROWS($1:95)&gt;COUNT(Dong),"",IF(OFFSET(TH!L$1,SMALL(Dong,ROWS($1:95)),)="331",OFFSET(TH!K$1,SMALL(Dong,ROWS($1:95)),),0))</f>
        <v/>
      </c>
      <c r="H108" s="57" t="str">
        <f ca="1">IF(ROWS($1:95)&gt;COUNT(Dong),"",IF(OFFSET(TH!M$1,SMALL(Dong,ROWS($1:95)),)="331",OFFSET(TH!K$1,SMALL(Dong,ROWS($1:95)),),0))</f>
        <v/>
      </c>
      <c r="I108" s="25">
        <f t="shared" ca="1" si="4"/>
        <v>0</v>
      </c>
      <c r="J108" s="25">
        <f t="shared" ca="1" si="5"/>
        <v>0</v>
      </c>
    </row>
    <row r="109" spans="1:10" s="18" customFormat="1" ht="18" customHeight="1">
      <c r="A109" s="9" t="str">
        <f ca="1">IF(ROWS($1:96)&gt;COUNT(Dong),"",OFFSET(TH!C$1,SMALL(Dong,ROWS($1:96)),))</f>
        <v/>
      </c>
      <c r="B109" s="9" t="str">
        <f ca="1">IF(ROWS($1:96)&gt;COUNT(Dong),"",OFFSET(TH!D$1,SMALL(Dong,ROWS($1:96)),))</f>
        <v/>
      </c>
      <c r="C109" s="9" t="str">
        <f ca="1">IF(ROWS($1:96)&gt;COUNT(Dong),"",OFFSET(TH!E$1,SMALL(Dong,ROWS($1:96)),))</f>
        <v/>
      </c>
      <c r="D109" s="212" t="str">
        <f ca="1">IF(ROWS($1:96)&gt;COUNT(Dong),"",OFFSET(TH!F$1,SMALL(Dong,ROWS($1:96)),))</f>
        <v/>
      </c>
      <c r="E109" s="45" t="str">
        <f ca="1">IF(ROWS($1:96)&gt;COUNT(Dong),"",IF(OFFSET(TH!L$1,SMALL(Dong,ROWS($1:96)),)="331",OFFSET(TH!M$1,SMALL(Dong,ROWS($1:96)),),OFFSET(TH!L$1,SMALL(Dong,ROWS($1:96)),)))</f>
        <v/>
      </c>
      <c r="F109" s="45"/>
      <c r="G109" s="57" t="str">
        <f ca="1">IF(ROWS($1:96)&gt;COUNT(Dong),"",IF(OFFSET(TH!L$1,SMALL(Dong,ROWS($1:96)),)="331",OFFSET(TH!K$1,SMALL(Dong,ROWS($1:96)),),0))</f>
        <v/>
      </c>
      <c r="H109" s="57" t="str">
        <f ca="1">IF(ROWS($1:96)&gt;COUNT(Dong),"",IF(OFFSET(TH!M$1,SMALL(Dong,ROWS($1:96)),)="331",OFFSET(TH!K$1,SMALL(Dong,ROWS($1:96)),),0))</f>
        <v/>
      </c>
      <c r="I109" s="25">
        <f t="shared" ca="1" si="4"/>
        <v>0</v>
      </c>
      <c r="J109" s="25">
        <f t="shared" ca="1" si="5"/>
        <v>0</v>
      </c>
    </row>
    <row r="110" spans="1:10" s="18" customFormat="1" ht="18" customHeight="1">
      <c r="A110" s="9" t="str">
        <f ca="1">IF(ROWS($1:97)&gt;COUNT(Dong),"",OFFSET(TH!C$1,SMALL(Dong,ROWS($1:97)),))</f>
        <v/>
      </c>
      <c r="B110" s="9" t="str">
        <f ca="1">IF(ROWS($1:97)&gt;COUNT(Dong),"",OFFSET(TH!D$1,SMALL(Dong,ROWS($1:97)),))</f>
        <v/>
      </c>
      <c r="C110" s="9" t="str">
        <f ca="1">IF(ROWS($1:97)&gt;COUNT(Dong),"",OFFSET(TH!E$1,SMALL(Dong,ROWS($1:97)),))</f>
        <v/>
      </c>
      <c r="D110" s="212" t="str">
        <f ca="1">IF(ROWS($1:97)&gt;COUNT(Dong),"",OFFSET(TH!F$1,SMALL(Dong,ROWS($1:97)),))</f>
        <v/>
      </c>
      <c r="E110" s="45" t="str">
        <f ca="1">IF(ROWS($1:97)&gt;COUNT(Dong),"",IF(OFFSET(TH!L$1,SMALL(Dong,ROWS($1:97)),)="331",OFFSET(TH!M$1,SMALL(Dong,ROWS($1:97)),),OFFSET(TH!L$1,SMALL(Dong,ROWS($1:97)),)))</f>
        <v/>
      </c>
      <c r="F110" s="45"/>
      <c r="G110" s="57" t="str">
        <f ca="1">IF(ROWS($1:97)&gt;COUNT(Dong),"",IF(OFFSET(TH!L$1,SMALL(Dong,ROWS($1:97)),)="331",OFFSET(TH!K$1,SMALL(Dong,ROWS($1:97)),),0))</f>
        <v/>
      </c>
      <c r="H110" s="57" t="str">
        <f ca="1">IF(ROWS($1:97)&gt;COUNT(Dong),"",IF(OFFSET(TH!M$1,SMALL(Dong,ROWS($1:97)),)="331",OFFSET(TH!K$1,SMALL(Dong,ROWS($1:97)),),0))</f>
        <v/>
      </c>
      <c r="I110" s="25">
        <f t="shared" ca="1" si="4"/>
        <v>0</v>
      </c>
      <c r="J110" s="25">
        <f t="shared" ca="1" si="5"/>
        <v>0</v>
      </c>
    </row>
    <row r="111" spans="1:10" s="18" customFormat="1" ht="18" customHeight="1">
      <c r="A111" s="9" t="str">
        <f ca="1">IF(ROWS($1:98)&gt;COUNT(Dong),"",OFFSET(TH!C$1,SMALL(Dong,ROWS($1:98)),))</f>
        <v/>
      </c>
      <c r="B111" s="9" t="str">
        <f ca="1">IF(ROWS($1:98)&gt;COUNT(Dong),"",OFFSET(TH!D$1,SMALL(Dong,ROWS($1:98)),))</f>
        <v/>
      </c>
      <c r="C111" s="9" t="str">
        <f ca="1">IF(ROWS($1:98)&gt;COUNT(Dong),"",OFFSET(TH!E$1,SMALL(Dong,ROWS($1:98)),))</f>
        <v/>
      </c>
      <c r="D111" s="212" t="str">
        <f ca="1">IF(ROWS($1:98)&gt;COUNT(Dong),"",OFFSET(TH!F$1,SMALL(Dong,ROWS($1:98)),))</f>
        <v/>
      </c>
      <c r="E111" s="45" t="str">
        <f ca="1">IF(ROWS($1:98)&gt;COUNT(Dong),"",IF(OFFSET(TH!L$1,SMALL(Dong,ROWS($1:98)),)="331",OFFSET(TH!M$1,SMALL(Dong,ROWS($1:98)),),OFFSET(TH!L$1,SMALL(Dong,ROWS($1:98)),)))</f>
        <v/>
      </c>
      <c r="F111" s="45"/>
      <c r="G111" s="57" t="str">
        <f ca="1">IF(ROWS($1:98)&gt;COUNT(Dong),"",IF(OFFSET(TH!L$1,SMALL(Dong,ROWS($1:98)),)="331",OFFSET(TH!K$1,SMALL(Dong,ROWS($1:98)),),0))</f>
        <v/>
      </c>
      <c r="H111" s="57" t="str">
        <f ca="1">IF(ROWS($1:98)&gt;COUNT(Dong),"",IF(OFFSET(TH!M$1,SMALL(Dong,ROWS($1:98)),)="331",OFFSET(TH!K$1,SMALL(Dong,ROWS($1:98)),),0))</f>
        <v/>
      </c>
      <c r="I111" s="25">
        <f t="shared" ca="1" si="4"/>
        <v>0</v>
      </c>
      <c r="J111" s="25">
        <f t="shared" ca="1" si="5"/>
        <v>0</v>
      </c>
    </row>
    <row r="112" spans="1:10" s="18" customFormat="1" ht="18" customHeight="1">
      <c r="A112" s="9" t="str">
        <f ca="1">IF(ROWS($1:99)&gt;COUNT(Dong),"",OFFSET(TH!C$1,SMALL(Dong,ROWS($1:99)),))</f>
        <v/>
      </c>
      <c r="B112" s="9" t="str">
        <f ca="1">IF(ROWS($1:99)&gt;COUNT(Dong),"",OFFSET(TH!D$1,SMALL(Dong,ROWS($1:99)),))</f>
        <v/>
      </c>
      <c r="C112" s="9" t="str">
        <f ca="1">IF(ROWS($1:99)&gt;COUNT(Dong),"",OFFSET(TH!E$1,SMALL(Dong,ROWS($1:99)),))</f>
        <v/>
      </c>
      <c r="D112" s="212" t="str">
        <f ca="1">IF(ROWS($1:99)&gt;COUNT(Dong),"",OFFSET(TH!F$1,SMALL(Dong,ROWS($1:99)),))</f>
        <v/>
      </c>
      <c r="E112" s="45" t="str">
        <f ca="1">IF(ROWS($1:99)&gt;COUNT(Dong),"",IF(OFFSET(TH!L$1,SMALL(Dong,ROWS($1:99)),)="331",OFFSET(TH!M$1,SMALL(Dong,ROWS($1:99)),),OFFSET(TH!L$1,SMALL(Dong,ROWS($1:99)),)))</f>
        <v/>
      </c>
      <c r="F112" s="45"/>
      <c r="G112" s="57" t="str">
        <f ca="1">IF(ROWS($1:99)&gt;COUNT(Dong),"",IF(OFFSET(TH!L$1,SMALL(Dong,ROWS($1:99)),)="331",OFFSET(TH!K$1,SMALL(Dong,ROWS($1:99)),),0))</f>
        <v/>
      </c>
      <c r="H112" s="57" t="str">
        <f ca="1">IF(ROWS($1:99)&gt;COUNT(Dong),"",IF(OFFSET(TH!M$1,SMALL(Dong,ROWS($1:99)),)="331",OFFSET(TH!K$1,SMALL(Dong,ROWS($1:99)),),0))</f>
        <v/>
      </c>
      <c r="I112" s="25">
        <f t="shared" ca="1" si="4"/>
        <v>0</v>
      </c>
      <c r="J112" s="25">
        <f t="shared" ca="1" si="5"/>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212" t="str">
        <f ca="1">IF(ROWS($1:100)&gt;COUNT(Dong),"",OFFSET(TH!F$1,SMALL(Dong,ROWS($1:100)),))</f>
        <v/>
      </c>
      <c r="E113" s="45" t="str">
        <f ca="1">IF(ROWS($1:100)&gt;COUNT(Dong),"",IF(OFFSET(TH!L$1,SMALL(Dong,ROWS($1:100)),)="331",OFFSET(TH!M$1,SMALL(Dong,ROWS($1:100)),),OFFSET(TH!L$1,SMALL(Dong,ROWS($1:100)),)))</f>
        <v/>
      </c>
      <c r="F113" s="45"/>
      <c r="G113" s="57" t="str">
        <f ca="1">IF(ROWS($1:100)&gt;COUNT(Dong),"",IF(OFFSET(TH!L$1,SMALL(Dong,ROWS($1:100)),)="331",OFFSET(TH!K$1,SMALL(Dong,ROWS($1:100)),),0))</f>
        <v/>
      </c>
      <c r="H113" s="57" t="str">
        <f ca="1">IF(ROWS($1:100)&gt;COUNT(Dong),"",IF(OFFSET(TH!M$1,SMALL(Dong,ROWS($1:100)),)="331",OFFSET(TH!K$1,SMALL(Dong,ROWS($1:100)),),0))</f>
        <v/>
      </c>
      <c r="I113" s="25">
        <f t="shared" ca="1" si="4"/>
        <v>0</v>
      </c>
      <c r="J113" s="25">
        <f t="shared" ca="1" si="5"/>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212" t="str">
        <f ca="1">IF(ROWS($1:101)&gt;COUNT(Dong),"",OFFSET(TH!F$1,SMALL(Dong,ROWS($1:101)),))</f>
        <v/>
      </c>
      <c r="E114" s="45" t="str">
        <f ca="1">IF(ROWS($1:101)&gt;COUNT(Dong),"",IF(OFFSET(TH!L$1,SMALL(Dong,ROWS($1:101)),)="331",OFFSET(TH!M$1,SMALL(Dong,ROWS($1:101)),),OFFSET(TH!L$1,SMALL(Dong,ROWS($1:101)),)))</f>
        <v/>
      </c>
      <c r="F114" s="45"/>
      <c r="G114" s="57" t="str">
        <f ca="1">IF(ROWS($1:101)&gt;COUNT(Dong),"",IF(OFFSET(TH!L$1,SMALL(Dong,ROWS($1:101)),)="331",OFFSET(TH!K$1,SMALL(Dong,ROWS($1:101)),),0))</f>
        <v/>
      </c>
      <c r="H114" s="57" t="str">
        <f ca="1">IF(ROWS($1:101)&gt;COUNT(Dong),"",IF(OFFSET(TH!M$1,SMALL(Dong,ROWS($1:101)),)="331",OFFSET(TH!K$1,SMALL(Dong,ROWS($1:101)),),0))</f>
        <v/>
      </c>
      <c r="I114" s="25">
        <f t="shared" ref="I114:I157" ca="1" si="6">IF(D114&lt;&gt;"",MAX(I113+G114-H114-J113,0),0)</f>
        <v>0</v>
      </c>
      <c r="J114" s="25">
        <f t="shared" ref="J114:J157" ca="1" si="7">IF(D114&lt;&gt;"",MAX(J113+H114-I113-G114,0),0)</f>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212" t="str">
        <f ca="1">IF(ROWS($1:102)&gt;COUNT(Dong),"",OFFSET(TH!F$1,SMALL(Dong,ROWS($1:102)),))</f>
        <v/>
      </c>
      <c r="E115" s="45" t="str">
        <f ca="1">IF(ROWS($1:102)&gt;COUNT(Dong),"",IF(OFFSET(TH!L$1,SMALL(Dong,ROWS($1:102)),)="331",OFFSET(TH!M$1,SMALL(Dong,ROWS($1:102)),),OFFSET(TH!L$1,SMALL(Dong,ROWS($1:102)),)))</f>
        <v/>
      </c>
      <c r="F115" s="45"/>
      <c r="G115" s="57" t="str">
        <f ca="1">IF(ROWS($1:102)&gt;COUNT(Dong),"",IF(OFFSET(TH!L$1,SMALL(Dong,ROWS($1:102)),)="331",OFFSET(TH!K$1,SMALL(Dong,ROWS($1:102)),),0))</f>
        <v/>
      </c>
      <c r="H115" s="57" t="str">
        <f ca="1">IF(ROWS($1:102)&gt;COUNT(Dong),"",IF(OFFSET(TH!M$1,SMALL(Dong,ROWS($1:102)),)="331",OFFSET(TH!K$1,SMALL(Dong,ROWS($1:102)),),0))</f>
        <v/>
      </c>
      <c r="I115" s="25">
        <f t="shared" ca="1" si="6"/>
        <v>0</v>
      </c>
      <c r="J115" s="25">
        <f t="shared" ca="1" si="7"/>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212" t="str">
        <f ca="1">IF(ROWS($1:103)&gt;COUNT(Dong),"",OFFSET(TH!F$1,SMALL(Dong,ROWS($1:103)),))</f>
        <v/>
      </c>
      <c r="E116" s="45" t="str">
        <f ca="1">IF(ROWS($1:103)&gt;COUNT(Dong),"",IF(OFFSET(TH!L$1,SMALL(Dong,ROWS($1:103)),)="331",OFFSET(TH!M$1,SMALL(Dong,ROWS($1:103)),),OFFSET(TH!L$1,SMALL(Dong,ROWS($1:103)),)))</f>
        <v/>
      </c>
      <c r="F116" s="45"/>
      <c r="G116" s="57" t="str">
        <f ca="1">IF(ROWS($1:103)&gt;COUNT(Dong),"",IF(OFFSET(TH!L$1,SMALL(Dong,ROWS($1:103)),)="331",OFFSET(TH!K$1,SMALL(Dong,ROWS($1:103)),),0))</f>
        <v/>
      </c>
      <c r="H116" s="57" t="str">
        <f ca="1">IF(ROWS($1:103)&gt;COUNT(Dong),"",IF(OFFSET(TH!M$1,SMALL(Dong,ROWS($1:103)),)="331",OFFSET(TH!K$1,SMALL(Dong,ROWS($1:103)),),0))</f>
        <v/>
      </c>
      <c r="I116" s="25">
        <f t="shared" ca="1" si="6"/>
        <v>0</v>
      </c>
      <c r="J116" s="25">
        <f t="shared" ca="1" si="7"/>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212" t="str">
        <f ca="1">IF(ROWS($1:104)&gt;COUNT(Dong),"",OFFSET(TH!F$1,SMALL(Dong,ROWS($1:104)),))</f>
        <v/>
      </c>
      <c r="E117" s="45" t="str">
        <f ca="1">IF(ROWS($1:104)&gt;COUNT(Dong),"",IF(OFFSET(TH!L$1,SMALL(Dong,ROWS($1:104)),)="331",OFFSET(TH!M$1,SMALL(Dong,ROWS($1:104)),),OFFSET(TH!L$1,SMALL(Dong,ROWS($1:104)),)))</f>
        <v/>
      </c>
      <c r="F117" s="45"/>
      <c r="G117" s="57" t="str">
        <f ca="1">IF(ROWS($1:104)&gt;COUNT(Dong),"",IF(OFFSET(TH!L$1,SMALL(Dong,ROWS($1:104)),)="331",OFFSET(TH!K$1,SMALL(Dong,ROWS($1:104)),),0))</f>
        <v/>
      </c>
      <c r="H117" s="57" t="str">
        <f ca="1">IF(ROWS($1:104)&gt;COUNT(Dong),"",IF(OFFSET(TH!M$1,SMALL(Dong,ROWS($1:104)),)="331",OFFSET(TH!K$1,SMALL(Dong,ROWS($1:104)),),0))</f>
        <v/>
      </c>
      <c r="I117" s="25">
        <f t="shared" ca="1" si="6"/>
        <v>0</v>
      </c>
      <c r="J117" s="25">
        <f t="shared" ca="1" si="7"/>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212" t="str">
        <f ca="1">IF(ROWS($1:105)&gt;COUNT(Dong),"",OFFSET(TH!F$1,SMALL(Dong,ROWS($1:105)),))</f>
        <v/>
      </c>
      <c r="E118" s="45" t="str">
        <f ca="1">IF(ROWS($1:105)&gt;COUNT(Dong),"",IF(OFFSET(TH!L$1,SMALL(Dong,ROWS($1:105)),)="331",OFFSET(TH!M$1,SMALL(Dong,ROWS($1:105)),),OFFSET(TH!L$1,SMALL(Dong,ROWS($1:105)),)))</f>
        <v/>
      </c>
      <c r="F118" s="45"/>
      <c r="G118" s="57" t="str">
        <f ca="1">IF(ROWS($1:105)&gt;COUNT(Dong),"",IF(OFFSET(TH!L$1,SMALL(Dong,ROWS($1:105)),)="331",OFFSET(TH!K$1,SMALL(Dong,ROWS($1:105)),),0))</f>
        <v/>
      </c>
      <c r="H118" s="57" t="str">
        <f ca="1">IF(ROWS($1:105)&gt;COUNT(Dong),"",IF(OFFSET(TH!M$1,SMALL(Dong,ROWS($1:105)),)="331",OFFSET(TH!K$1,SMALL(Dong,ROWS($1:105)),),0))</f>
        <v/>
      </c>
      <c r="I118" s="25">
        <f t="shared" ca="1" si="6"/>
        <v>0</v>
      </c>
      <c r="J118" s="25">
        <f t="shared" ca="1" si="7"/>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212" t="str">
        <f ca="1">IF(ROWS($1:106)&gt;COUNT(Dong),"",OFFSET(TH!F$1,SMALL(Dong,ROWS($1:106)),))</f>
        <v/>
      </c>
      <c r="E119" s="45" t="str">
        <f ca="1">IF(ROWS($1:106)&gt;COUNT(Dong),"",IF(OFFSET(TH!L$1,SMALL(Dong,ROWS($1:106)),)="331",OFFSET(TH!M$1,SMALL(Dong,ROWS($1:106)),),OFFSET(TH!L$1,SMALL(Dong,ROWS($1:106)),)))</f>
        <v/>
      </c>
      <c r="F119" s="45"/>
      <c r="G119" s="57" t="str">
        <f ca="1">IF(ROWS($1:106)&gt;COUNT(Dong),"",IF(OFFSET(TH!L$1,SMALL(Dong,ROWS($1:106)),)="331",OFFSET(TH!K$1,SMALL(Dong,ROWS($1:106)),),0))</f>
        <v/>
      </c>
      <c r="H119" s="57" t="str">
        <f ca="1">IF(ROWS($1:106)&gt;COUNT(Dong),"",IF(OFFSET(TH!M$1,SMALL(Dong,ROWS($1:106)),)="331",OFFSET(TH!K$1,SMALL(Dong,ROWS($1:106)),),0))</f>
        <v/>
      </c>
      <c r="I119" s="25">
        <f t="shared" ca="1" si="6"/>
        <v>0</v>
      </c>
      <c r="J119" s="25">
        <f t="shared" ca="1" si="7"/>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212" t="str">
        <f ca="1">IF(ROWS($1:107)&gt;COUNT(Dong),"",OFFSET(TH!F$1,SMALL(Dong,ROWS($1:107)),))</f>
        <v/>
      </c>
      <c r="E120" s="45" t="str">
        <f ca="1">IF(ROWS($1:107)&gt;COUNT(Dong),"",IF(OFFSET(TH!L$1,SMALL(Dong,ROWS($1:107)),)="331",OFFSET(TH!M$1,SMALL(Dong,ROWS($1:107)),),OFFSET(TH!L$1,SMALL(Dong,ROWS($1:107)),)))</f>
        <v/>
      </c>
      <c r="F120" s="45"/>
      <c r="G120" s="57" t="str">
        <f ca="1">IF(ROWS($1:107)&gt;COUNT(Dong),"",IF(OFFSET(TH!L$1,SMALL(Dong,ROWS($1:107)),)="331",OFFSET(TH!K$1,SMALL(Dong,ROWS($1:107)),),0))</f>
        <v/>
      </c>
      <c r="H120" s="57" t="str">
        <f ca="1">IF(ROWS($1:107)&gt;COUNT(Dong),"",IF(OFFSET(TH!M$1,SMALL(Dong,ROWS($1:107)),)="331",OFFSET(TH!K$1,SMALL(Dong,ROWS($1:107)),),0))</f>
        <v/>
      </c>
      <c r="I120" s="25">
        <f t="shared" ca="1" si="6"/>
        <v>0</v>
      </c>
      <c r="J120" s="25">
        <f t="shared" ca="1" si="7"/>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212" t="str">
        <f ca="1">IF(ROWS($1:108)&gt;COUNT(Dong),"",OFFSET(TH!F$1,SMALL(Dong,ROWS($1:108)),))</f>
        <v/>
      </c>
      <c r="E121" s="45" t="str">
        <f ca="1">IF(ROWS($1:108)&gt;COUNT(Dong),"",IF(OFFSET(TH!L$1,SMALL(Dong,ROWS($1:108)),)="331",OFFSET(TH!M$1,SMALL(Dong,ROWS($1:108)),),OFFSET(TH!L$1,SMALL(Dong,ROWS($1:108)),)))</f>
        <v/>
      </c>
      <c r="F121" s="45"/>
      <c r="G121" s="57" t="str">
        <f ca="1">IF(ROWS($1:108)&gt;COUNT(Dong),"",IF(OFFSET(TH!L$1,SMALL(Dong,ROWS($1:108)),)="331",OFFSET(TH!K$1,SMALL(Dong,ROWS($1:108)),),0))</f>
        <v/>
      </c>
      <c r="H121" s="57" t="str">
        <f ca="1">IF(ROWS($1:108)&gt;COUNT(Dong),"",IF(OFFSET(TH!M$1,SMALL(Dong,ROWS($1:108)),)="331",OFFSET(TH!K$1,SMALL(Dong,ROWS($1:108)),),0))</f>
        <v/>
      </c>
      <c r="I121" s="25">
        <f t="shared" ca="1" si="6"/>
        <v>0</v>
      </c>
      <c r="J121" s="25">
        <f t="shared" ca="1" si="7"/>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212" t="str">
        <f ca="1">IF(ROWS($1:109)&gt;COUNT(Dong),"",OFFSET(TH!F$1,SMALL(Dong,ROWS($1:109)),))</f>
        <v/>
      </c>
      <c r="E122" s="45" t="str">
        <f ca="1">IF(ROWS($1:109)&gt;COUNT(Dong),"",IF(OFFSET(TH!L$1,SMALL(Dong,ROWS($1:109)),)="331",OFFSET(TH!M$1,SMALL(Dong,ROWS($1:109)),),OFFSET(TH!L$1,SMALL(Dong,ROWS($1:109)),)))</f>
        <v/>
      </c>
      <c r="F122" s="45"/>
      <c r="G122" s="57" t="str">
        <f ca="1">IF(ROWS($1:109)&gt;COUNT(Dong),"",IF(OFFSET(TH!L$1,SMALL(Dong,ROWS($1:109)),)="331",OFFSET(TH!K$1,SMALL(Dong,ROWS($1:109)),),0))</f>
        <v/>
      </c>
      <c r="H122" s="57" t="str">
        <f ca="1">IF(ROWS($1:109)&gt;COUNT(Dong),"",IF(OFFSET(TH!M$1,SMALL(Dong,ROWS($1:109)),)="331",OFFSET(TH!K$1,SMALL(Dong,ROWS($1:109)),),0))</f>
        <v/>
      </c>
      <c r="I122" s="25">
        <f t="shared" ca="1" si="6"/>
        <v>0</v>
      </c>
      <c r="J122" s="25">
        <f t="shared" ca="1" si="7"/>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212" t="str">
        <f ca="1">IF(ROWS($1:110)&gt;COUNT(Dong),"",OFFSET(TH!F$1,SMALL(Dong,ROWS($1:110)),))</f>
        <v/>
      </c>
      <c r="E123" s="45" t="str">
        <f ca="1">IF(ROWS($1:110)&gt;COUNT(Dong),"",IF(OFFSET(TH!L$1,SMALL(Dong,ROWS($1:110)),)="331",OFFSET(TH!M$1,SMALL(Dong,ROWS($1:110)),),OFFSET(TH!L$1,SMALL(Dong,ROWS($1:110)),)))</f>
        <v/>
      </c>
      <c r="F123" s="45"/>
      <c r="G123" s="57" t="str">
        <f ca="1">IF(ROWS($1:110)&gt;COUNT(Dong),"",IF(OFFSET(TH!L$1,SMALL(Dong,ROWS($1:110)),)="331",OFFSET(TH!K$1,SMALL(Dong,ROWS($1:110)),),0))</f>
        <v/>
      </c>
      <c r="H123" s="57" t="str">
        <f ca="1">IF(ROWS($1:110)&gt;COUNT(Dong),"",IF(OFFSET(TH!M$1,SMALL(Dong,ROWS($1:110)),)="331",OFFSET(TH!K$1,SMALL(Dong,ROWS($1:110)),),0))</f>
        <v/>
      </c>
      <c r="I123" s="25">
        <f t="shared" ca="1" si="6"/>
        <v>0</v>
      </c>
      <c r="J123" s="25">
        <f t="shared" ca="1" si="7"/>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212" t="str">
        <f ca="1">IF(ROWS($1:111)&gt;COUNT(Dong),"",OFFSET(TH!F$1,SMALL(Dong,ROWS($1:111)),))</f>
        <v/>
      </c>
      <c r="E124" s="45" t="str">
        <f ca="1">IF(ROWS($1:111)&gt;COUNT(Dong),"",IF(OFFSET(TH!L$1,SMALL(Dong,ROWS($1:111)),)="331",OFFSET(TH!M$1,SMALL(Dong,ROWS($1:111)),),OFFSET(TH!L$1,SMALL(Dong,ROWS($1:111)),)))</f>
        <v/>
      </c>
      <c r="F124" s="45"/>
      <c r="G124" s="57" t="str">
        <f ca="1">IF(ROWS($1:111)&gt;COUNT(Dong),"",IF(OFFSET(TH!L$1,SMALL(Dong,ROWS($1:111)),)="331",OFFSET(TH!K$1,SMALL(Dong,ROWS($1:111)),),0))</f>
        <v/>
      </c>
      <c r="H124" s="57" t="str">
        <f ca="1">IF(ROWS($1:111)&gt;COUNT(Dong),"",IF(OFFSET(TH!M$1,SMALL(Dong,ROWS($1:111)),)="331",OFFSET(TH!K$1,SMALL(Dong,ROWS($1:111)),),0))</f>
        <v/>
      </c>
      <c r="I124" s="25">
        <f t="shared" ca="1" si="6"/>
        <v>0</v>
      </c>
      <c r="J124" s="25">
        <f t="shared" ca="1" si="7"/>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212" t="str">
        <f ca="1">IF(ROWS($1:112)&gt;COUNT(Dong),"",OFFSET(TH!F$1,SMALL(Dong,ROWS($1:112)),))</f>
        <v/>
      </c>
      <c r="E125" s="45" t="str">
        <f ca="1">IF(ROWS($1:112)&gt;COUNT(Dong),"",IF(OFFSET(TH!L$1,SMALL(Dong,ROWS($1:112)),)="331",OFFSET(TH!M$1,SMALL(Dong,ROWS($1:112)),),OFFSET(TH!L$1,SMALL(Dong,ROWS($1:112)),)))</f>
        <v/>
      </c>
      <c r="F125" s="45"/>
      <c r="G125" s="57" t="str">
        <f ca="1">IF(ROWS($1:112)&gt;COUNT(Dong),"",IF(OFFSET(TH!L$1,SMALL(Dong,ROWS($1:112)),)="331",OFFSET(TH!K$1,SMALL(Dong,ROWS($1:112)),),0))</f>
        <v/>
      </c>
      <c r="H125" s="57" t="str">
        <f ca="1">IF(ROWS($1:112)&gt;COUNT(Dong),"",IF(OFFSET(TH!M$1,SMALL(Dong,ROWS($1:112)),)="331",OFFSET(TH!K$1,SMALL(Dong,ROWS($1:112)),),0))</f>
        <v/>
      </c>
      <c r="I125" s="25">
        <f t="shared" ca="1" si="6"/>
        <v>0</v>
      </c>
      <c r="J125" s="25">
        <f t="shared" ca="1" si="7"/>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212" t="str">
        <f ca="1">IF(ROWS($1:113)&gt;COUNT(Dong),"",OFFSET(TH!F$1,SMALL(Dong,ROWS($1:113)),))</f>
        <v/>
      </c>
      <c r="E126" s="45" t="str">
        <f ca="1">IF(ROWS($1:113)&gt;COUNT(Dong),"",IF(OFFSET(TH!L$1,SMALL(Dong,ROWS($1:113)),)="331",OFFSET(TH!M$1,SMALL(Dong,ROWS($1:113)),),OFFSET(TH!L$1,SMALL(Dong,ROWS($1:113)),)))</f>
        <v/>
      </c>
      <c r="F126" s="45"/>
      <c r="G126" s="57" t="str">
        <f ca="1">IF(ROWS($1:113)&gt;COUNT(Dong),"",IF(OFFSET(TH!L$1,SMALL(Dong,ROWS($1:113)),)="331",OFFSET(TH!K$1,SMALL(Dong,ROWS($1:113)),),0))</f>
        <v/>
      </c>
      <c r="H126" s="57" t="str">
        <f ca="1">IF(ROWS($1:113)&gt;COUNT(Dong),"",IF(OFFSET(TH!M$1,SMALL(Dong,ROWS($1:113)),)="331",OFFSET(TH!K$1,SMALL(Dong,ROWS($1:113)),),0))</f>
        <v/>
      </c>
      <c r="I126" s="25">
        <f t="shared" ca="1" si="6"/>
        <v>0</v>
      </c>
      <c r="J126" s="25">
        <f t="shared" ca="1" si="7"/>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212" t="str">
        <f ca="1">IF(ROWS($1:114)&gt;COUNT(Dong),"",OFFSET(TH!F$1,SMALL(Dong,ROWS($1:114)),))</f>
        <v/>
      </c>
      <c r="E127" s="45" t="str">
        <f ca="1">IF(ROWS($1:114)&gt;COUNT(Dong),"",IF(OFFSET(TH!L$1,SMALL(Dong,ROWS($1:114)),)="331",OFFSET(TH!M$1,SMALL(Dong,ROWS($1:114)),),OFFSET(TH!L$1,SMALL(Dong,ROWS($1:114)),)))</f>
        <v/>
      </c>
      <c r="F127" s="45"/>
      <c r="G127" s="57" t="str">
        <f ca="1">IF(ROWS($1:114)&gt;COUNT(Dong),"",IF(OFFSET(TH!L$1,SMALL(Dong,ROWS($1:114)),)="331",OFFSET(TH!K$1,SMALL(Dong,ROWS($1:114)),),0))</f>
        <v/>
      </c>
      <c r="H127" s="57" t="str">
        <f ca="1">IF(ROWS($1:114)&gt;COUNT(Dong),"",IF(OFFSET(TH!M$1,SMALL(Dong,ROWS($1:114)),)="331",OFFSET(TH!K$1,SMALL(Dong,ROWS($1:114)),),0))</f>
        <v/>
      </c>
      <c r="I127" s="25">
        <f t="shared" ca="1" si="6"/>
        <v>0</v>
      </c>
      <c r="J127" s="25">
        <f t="shared" ca="1" si="7"/>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212" t="str">
        <f ca="1">IF(ROWS($1:115)&gt;COUNT(Dong),"",OFFSET(TH!F$1,SMALL(Dong,ROWS($1:115)),))</f>
        <v/>
      </c>
      <c r="E128" s="45" t="str">
        <f ca="1">IF(ROWS($1:115)&gt;COUNT(Dong),"",IF(OFFSET(TH!L$1,SMALL(Dong,ROWS($1:115)),)="331",OFFSET(TH!M$1,SMALL(Dong,ROWS($1:115)),),OFFSET(TH!L$1,SMALL(Dong,ROWS($1:115)),)))</f>
        <v/>
      </c>
      <c r="F128" s="45"/>
      <c r="G128" s="57" t="str">
        <f ca="1">IF(ROWS($1:115)&gt;COUNT(Dong),"",IF(OFFSET(TH!L$1,SMALL(Dong,ROWS($1:115)),)="331",OFFSET(TH!K$1,SMALL(Dong,ROWS($1:115)),),0))</f>
        <v/>
      </c>
      <c r="H128" s="57" t="str">
        <f ca="1">IF(ROWS($1:115)&gt;COUNT(Dong),"",IF(OFFSET(TH!M$1,SMALL(Dong,ROWS($1:115)),)="331",OFFSET(TH!K$1,SMALL(Dong,ROWS($1:115)),),0))</f>
        <v/>
      </c>
      <c r="I128" s="25">
        <f t="shared" ca="1" si="6"/>
        <v>0</v>
      </c>
      <c r="J128" s="25">
        <f t="shared" ca="1" si="7"/>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212" t="str">
        <f ca="1">IF(ROWS($1:116)&gt;COUNT(Dong),"",OFFSET(TH!F$1,SMALL(Dong,ROWS($1:116)),))</f>
        <v/>
      </c>
      <c r="E129" s="45" t="str">
        <f ca="1">IF(ROWS($1:116)&gt;COUNT(Dong),"",IF(OFFSET(TH!L$1,SMALL(Dong,ROWS($1:116)),)="331",OFFSET(TH!M$1,SMALL(Dong,ROWS($1:116)),),OFFSET(TH!L$1,SMALL(Dong,ROWS($1:116)),)))</f>
        <v/>
      </c>
      <c r="F129" s="45"/>
      <c r="G129" s="57" t="str">
        <f ca="1">IF(ROWS($1:116)&gt;COUNT(Dong),"",IF(OFFSET(TH!L$1,SMALL(Dong,ROWS($1:116)),)="331",OFFSET(TH!K$1,SMALL(Dong,ROWS($1:116)),),0))</f>
        <v/>
      </c>
      <c r="H129" s="57" t="str">
        <f ca="1">IF(ROWS($1:116)&gt;COUNT(Dong),"",IF(OFFSET(TH!M$1,SMALL(Dong,ROWS($1:116)),)="331",OFFSET(TH!K$1,SMALL(Dong,ROWS($1:116)),),0))</f>
        <v/>
      </c>
      <c r="I129" s="25">
        <f t="shared" ca="1" si="6"/>
        <v>0</v>
      </c>
      <c r="J129" s="25">
        <f t="shared" ca="1" si="7"/>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212" t="str">
        <f ca="1">IF(ROWS($1:117)&gt;COUNT(Dong),"",OFFSET(TH!F$1,SMALL(Dong,ROWS($1:117)),))</f>
        <v/>
      </c>
      <c r="E130" s="45" t="str">
        <f ca="1">IF(ROWS($1:117)&gt;COUNT(Dong),"",IF(OFFSET(TH!L$1,SMALL(Dong,ROWS($1:117)),)="331",OFFSET(TH!M$1,SMALL(Dong,ROWS($1:117)),),OFFSET(TH!L$1,SMALL(Dong,ROWS($1:117)),)))</f>
        <v/>
      </c>
      <c r="F130" s="45"/>
      <c r="G130" s="57" t="str">
        <f ca="1">IF(ROWS($1:117)&gt;COUNT(Dong),"",IF(OFFSET(TH!L$1,SMALL(Dong,ROWS($1:117)),)="331",OFFSET(TH!K$1,SMALL(Dong,ROWS($1:117)),),0))</f>
        <v/>
      </c>
      <c r="H130" s="57" t="str">
        <f ca="1">IF(ROWS($1:117)&gt;COUNT(Dong),"",IF(OFFSET(TH!M$1,SMALL(Dong,ROWS($1:117)),)="331",OFFSET(TH!K$1,SMALL(Dong,ROWS($1:117)),),0))</f>
        <v/>
      </c>
      <c r="I130" s="25">
        <f t="shared" ca="1" si="6"/>
        <v>0</v>
      </c>
      <c r="J130" s="25">
        <f t="shared" ca="1" si="7"/>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212" t="str">
        <f ca="1">IF(ROWS($1:118)&gt;COUNT(Dong),"",OFFSET(TH!F$1,SMALL(Dong,ROWS($1:118)),))</f>
        <v/>
      </c>
      <c r="E131" s="45" t="str">
        <f ca="1">IF(ROWS($1:118)&gt;COUNT(Dong),"",IF(OFFSET(TH!L$1,SMALL(Dong,ROWS($1:118)),)="331",OFFSET(TH!M$1,SMALL(Dong,ROWS($1:118)),),OFFSET(TH!L$1,SMALL(Dong,ROWS($1:118)),)))</f>
        <v/>
      </c>
      <c r="F131" s="45"/>
      <c r="G131" s="57" t="str">
        <f ca="1">IF(ROWS($1:118)&gt;COUNT(Dong),"",IF(OFFSET(TH!L$1,SMALL(Dong,ROWS($1:118)),)="331",OFFSET(TH!K$1,SMALL(Dong,ROWS($1:118)),),0))</f>
        <v/>
      </c>
      <c r="H131" s="57" t="str">
        <f ca="1">IF(ROWS($1:118)&gt;COUNT(Dong),"",IF(OFFSET(TH!M$1,SMALL(Dong,ROWS($1:118)),)="331",OFFSET(TH!K$1,SMALL(Dong,ROWS($1:118)),),0))</f>
        <v/>
      </c>
      <c r="I131" s="25">
        <f t="shared" ca="1" si="6"/>
        <v>0</v>
      </c>
      <c r="J131" s="25">
        <f t="shared" ca="1" si="7"/>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212" t="str">
        <f ca="1">IF(ROWS($1:119)&gt;COUNT(Dong),"",OFFSET(TH!F$1,SMALL(Dong,ROWS($1:119)),))</f>
        <v/>
      </c>
      <c r="E132" s="45" t="str">
        <f ca="1">IF(ROWS($1:119)&gt;COUNT(Dong),"",IF(OFFSET(TH!L$1,SMALL(Dong,ROWS($1:119)),)="331",OFFSET(TH!M$1,SMALL(Dong,ROWS($1:119)),),OFFSET(TH!L$1,SMALL(Dong,ROWS($1:119)),)))</f>
        <v/>
      </c>
      <c r="F132" s="45"/>
      <c r="G132" s="57" t="str">
        <f ca="1">IF(ROWS($1:119)&gt;COUNT(Dong),"",IF(OFFSET(TH!L$1,SMALL(Dong,ROWS($1:119)),)="331",OFFSET(TH!K$1,SMALL(Dong,ROWS($1:119)),),0))</f>
        <v/>
      </c>
      <c r="H132" s="57" t="str">
        <f ca="1">IF(ROWS($1:119)&gt;COUNT(Dong),"",IF(OFFSET(TH!M$1,SMALL(Dong,ROWS($1:119)),)="331",OFFSET(TH!K$1,SMALL(Dong,ROWS($1:119)),),0))</f>
        <v/>
      </c>
      <c r="I132" s="25">
        <f t="shared" ca="1" si="6"/>
        <v>0</v>
      </c>
      <c r="J132" s="25">
        <f t="shared" ca="1" si="7"/>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212" t="str">
        <f ca="1">IF(ROWS($1:120)&gt;COUNT(Dong),"",OFFSET(TH!F$1,SMALL(Dong,ROWS($1:120)),))</f>
        <v/>
      </c>
      <c r="E133" s="45" t="str">
        <f ca="1">IF(ROWS($1:120)&gt;COUNT(Dong),"",IF(OFFSET(TH!L$1,SMALL(Dong,ROWS($1:120)),)="331",OFFSET(TH!M$1,SMALL(Dong,ROWS($1:120)),),OFFSET(TH!L$1,SMALL(Dong,ROWS($1:120)),)))</f>
        <v/>
      </c>
      <c r="F133" s="45"/>
      <c r="G133" s="57" t="str">
        <f ca="1">IF(ROWS($1:120)&gt;COUNT(Dong),"",IF(OFFSET(TH!L$1,SMALL(Dong,ROWS($1:120)),)="331",OFFSET(TH!K$1,SMALL(Dong,ROWS($1:120)),),0))</f>
        <v/>
      </c>
      <c r="H133" s="57" t="str">
        <f ca="1">IF(ROWS($1:120)&gt;COUNT(Dong),"",IF(OFFSET(TH!M$1,SMALL(Dong,ROWS($1:120)),)="331",OFFSET(TH!K$1,SMALL(Dong,ROWS($1:120)),),0))</f>
        <v/>
      </c>
      <c r="I133" s="25">
        <f t="shared" ca="1" si="6"/>
        <v>0</v>
      </c>
      <c r="J133" s="25">
        <f t="shared" ca="1" si="7"/>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212" t="str">
        <f ca="1">IF(ROWS($1:121)&gt;COUNT(Dong),"",OFFSET(TH!F$1,SMALL(Dong,ROWS($1:121)),))</f>
        <v/>
      </c>
      <c r="E134" s="45" t="str">
        <f ca="1">IF(ROWS($1:121)&gt;COUNT(Dong),"",IF(OFFSET(TH!L$1,SMALL(Dong,ROWS($1:121)),)="331",OFFSET(TH!M$1,SMALL(Dong,ROWS($1:121)),),OFFSET(TH!L$1,SMALL(Dong,ROWS($1:121)),)))</f>
        <v/>
      </c>
      <c r="F134" s="45"/>
      <c r="G134" s="57" t="str">
        <f ca="1">IF(ROWS($1:121)&gt;COUNT(Dong),"",IF(OFFSET(TH!L$1,SMALL(Dong,ROWS($1:121)),)="331",OFFSET(TH!K$1,SMALL(Dong,ROWS($1:121)),),0))</f>
        <v/>
      </c>
      <c r="H134" s="57" t="str">
        <f ca="1">IF(ROWS($1:121)&gt;COUNT(Dong),"",IF(OFFSET(TH!M$1,SMALL(Dong,ROWS($1:121)),)="331",OFFSET(TH!K$1,SMALL(Dong,ROWS($1:121)),),0))</f>
        <v/>
      </c>
      <c r="I134" s="25">
        <f t="shared" ca="1" si="6"/>
        <v>0</v>
      </c>
      <c r="J134" s="25">
        <f t="shared" ca="1" si="7"/>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212" t="str">
        <f ca="1">IF(ROWS($1:122)&gt;COUNT(Dong),"",OFFSET(TH!F$1,SMALL(Dong,ROWS($1:122)),))</f>
        <v/>
      </c>
      <c r="E135" s="45" t="str">
        <f ca="1">IF(ROWS($1:122)&gt;COUNT(Dong),"",IF(OFFSET(TH!L$1,SMALL(Dong,ROWS($1:122)),)="331",OFFSET(TH!M$1,SMALL(Dong,ROWS($1:122)),),OFFSET(TH!L$1,SMALL(Dong,ROWS($1:122)),)))</f>
        <v/>
      </c>
      <c r="F135" s="45"/>
      <c r="G135" s="57" t="str">
        <f ca="1">IF(ROWS($1:122)&gt;COUNT(Dong),"",IF(OFFSET(TH!L$1,SMALL(Dong,ROWS($1:122)),)="331",OFFSET(TH!K$1,SMALL(Dong,ROWS($1:122)),),0))</f>
        <v/>
      </c>
      <c r="H135" s="57" t="str">
        <f ca="1">IF(ROWS($1:122)&gt;COUNT(Dong),"",IF(OFFSET(TH!M$1,SMALL(Dong,ROWS($1:122)),)="331",OFFSET(TH!K$1,SMALL(Dong,ROWS($1:122)),),0))</f>
        <v/>
      </c>
      <c r="I135" s="25">
        <f t="shared" ca="1" si="6"/>
        <v>0</v>
      </c>
      <c r="J135" s="25">
        <f t="shared" ca="1" si="7"/>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212" t="str">
        <f ca="1">IF(ROWS($1:123)&gt;COUNT(Dong),"",OFFSET(TH!F$1,SMALL(Dong,ROWS($1:123)),))</f>
        <v/>
      </c>
      <c r="E136" s="45" t="str">
        <f ca="1">IF(ROWS($1:123)&gt;COUNT(Dong),"",IF(OFFSET(TH!L$1,SMALL(Dong,ROWS($1:123)),)="331",OFFSET(TH!M$1,SMALL(Dong,ROWS($1:123)),),OFFSET(TH!L$1,SMALL(Dong,ROWS($1:123)),)))</f>
        <v/>
      </c>
      <c r="F136" s="45"/>
      <c r="G136" s="57" t="str">
        <f ca="1">IF(ROWS($1:123)&gt;COUNT(Dong),"",IF(OFFSET(TH!L$1,SMALL(Dong,ROWS($1:123)),)="331",OFFSET(TH!K$1,SMALL(Dong,ROWS($1:123)),),0))</f>
        <v/>
      </c>
      <c r="H136" s="57" t="str">
        <f ca="1">IF(ROWS($1:123)&gt;COUNT(Dong),"",IF(OFFSET(TH!M$1,SMALL(Dong,ROWS($1:123)),)="331",OFFSET(TH!K$1,SMALL(Dong,ROWS($1:123)),),0))</f>
        <v/>
      </c>
      <c r="I136" s="25">
        <f t="shared" ca="1" si="6"/>
        <v>0</v>
      </c>
      <c r="J136" s="25">
        <f t="shared" ca="1" si="7"/>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212" t="str">
        <f ca="1">IF(ROWS($1:124)&gt;COUNT(Dong),"",OFFSET(TH!F$1,SMALL(Dong,ROWS($1:124)),))</f>
        <v/>
      </c>
      <c r="E137" s="45" t="str">
        <f ca="1">IF(ROWS($1:124)&gt;COUNT(Dong),"",IF(OFFSET(TH!L$1,SMALL(Dong,ROWS($1:124)),)="331",OFFSET(TH!M$1,SMALL(Dong,ROWS($1:124)),),OFFSET(TH!L$1,SMALL(Dong,ROWS($1:124)),)))</f>
        <v/>
      </c>
      <c r="F137" s="45"/>
      <c r="G137" s="57" t="str">
        <f ca="1">IF(ROWS($1:124)&gt;COUNT(Dong),"",IF(OFFSET(TH!L$1,SMALL(Dong,ROWS($1:124)),)="331",OFFSET(TH!K$1,SMALL(Dong,ROWS($1:124)),),0))</f>
        <v/>
      </c>
      <c r="H137" s="57" t="str">
        <f ca="1">IF(ROWS($1:124)&gt;COUNT(Dong),"",IF(OFFSET(TH!M$1,SMALL(Dong,ROWS($1:124)),)="331",OFFSET(TH!K$1,SMALL(Dong,ROWS($1:124)),),0))</f>
        <v/>
      </c>
      <c r="I137" s="25">
        <f t="shared" ca="1" si="6"/>
        <v>0</v>
      </c>
      <c r="J137" s="25">
        <f t="shared" ca="1" si="7"/>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212" t="str">
        <f ca="1">IF(ROWS($1:125)&gt;COUNT(Dong),"",OFFSET(TH!F$1,SMALL(Dong,ROWS($1:125)),))</f>
        <v/>
      </c>
      <c r="E138" s="45" t="str">
        <f ca="1">IF(ROWS($1:125)&gt;COUNT(Dong),"",IF(OFFSET(TH!L$1,SMALL(Dong,ROWS($1:125)),)="331",OFFSET(TH!M$1,SMALL(Dong,ROWS($1:125)),),OFFSET(TH!L$1,SMALL(Dong,ROWS($1:125)),)))</f>
        <v/>
      </c>
      <c r="F138" s="45"/>
      <c r="G138" s="57" t="str">
        <f ca="1">IF(ROWS($1:125)&gt;COUNT(Dong),"",IF(OFFSET(TH!L$1,SMALL(Dong,ROWS($1:125)),)="331",OFFSET(TH!K$1,SMALL(Dong,ROWS($1:125)),),0))</f>
        <v/>
      </c>
      <c r="H138" s="57" t="str">
        <f ca="1">IF(ROWS($1:125)&gt;COUNT(Dong),"",IF(OFFSET(TH!M$1,SMALL(Dong,ROWS($1:125)),)="331",OFFSET(TH!K$1,SMALL(Dong,ROWS($1:125)),),0))</f>
        <v/>
      </c>
      <c r="I138" s="25">
        <f t="shared" ca="1" si="6"/>
        <v>0</v>
      </c>
      <c r="J138" s="25">
        <f t="shared" ca="1" si="7"/>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212" t="str">
        <f ca="1">IF(ROWS($1:126)&gt;COUNT(Dong),"",OFFSET(TH!F$1,SMALL(Dong,ROWS($1:126)),))</f>
        <v/>
      </c>
      <c r="E139" s="45" t="str">
        <f ca="1">IF(ROWS($1:126)&gt;COUNT(Dong),"",IF(OFFSET(TH!L$1,SMALL(Dong,ROWS($1:126)),)="331",OFFSET(TH!M$1,SMALL(Dong,ROWS($1:126)),),OFFSET(TH!L$1,SMALL(Dong,ROWS($1:126)),)))</f>
        <v/>
      </c>
      <c r="F139" s="45"/>
      <c r="G139" s="57" t="str">
        <f ca="1">IF(ROWS($1:126)&gt;COUNT(Dong),"",IF(OFFSET(TH!L$1,SMALL(Dong,ROWS($1:126)),)="331",OFFSET(TH!K$1,SMALL(Dong,ROWS($1:126)),),0))</f>
        <v/>
      </c>
      <c r="H139" s="57" t="str">
        <f ca="1">IF(ROWS($1:126)&gt;COUNT(Dong),"",IF(OFFSET(TH!M$1,SMALL(Dong,ROWS($1:126)),)="331",OFFSET(TH!K$1,SMALL(Dong,ROWS($1:126)),),0))</f>
        <v/>
      </c>
      <c r="I139" s="25">
        <f t="shared" ca="1" si="6"/>
        <v>0</v>
      </c>
      <c r="J139" s="25">
        <f t="shared" ca="1" si="7"/>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212" t="str">
        <f ca="1">IF(ROWS($1:127)&gt;COUNT(Dong),"",OFFSET(TH!F$1,SMALL(Dong,ROWS($1:127)),))</f>
        <v/>
      </c>
      <c r="E140" s="45" t="str">
        <f ca="1">IF(ROWS($1:127)&gt;COUNT(Dong),"",IF(OFFSET(TH!L$1,SMALL(Dong,ROWS($1:127)),)="331",OFFSET(TH!M$1,SMALL(Dong,ROWS($1:127)),),OFFSET(TH!L$1,SMALL(Dong,ROWS($1:127)),)))</f>
        <v/>
      </c>
      <c r="F140" s="45"/>
      <c r="G140" s="57" t="str">
        <f ca="1">IF(ROWS($1:127)&gt;COUNT(Dong),"",IF(OFFSET(TH!L$1,SMALL(Dong,ROWS($1:127)),)="331",OFFSET(TH!K$1,SMALL(Dong,ROWS($1:127)),),0))</f>
        <v/>
      </c>
      <c r="H140" s="57" t="str">
        <f ca="1">IF(ROWS($1:127)&gt;COUNT(Dong),"",IF(OFFSET(TH!M$1,SMALL(Dong,ROWS($1:127)),)="331",OFFSET(TH!K$1,SMALL(Dong,ROWS($1:127)),),0))</f>
        <v/>
      </c>
      <c r="I140" s="25">
        <f t="shared" ca="1" si="6"/>
        <v>0</v>
      </c>
      <c r="J140" s="25">
        <f t="shared" ca="1" si="7"/>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212" t="str">
        <f ca="1">IF(ROWS($1:128)&gt;COUNT(Dong),"",OFFSET(TH!F$1,SMALL(Dong,ROWS($1:128)),))</f>
        <v/>
      </c>
      <c r="E141" s="45" t="str">
        <f ca="1">IF(ROWS($1:128)&gt;COUNT(Dong),"",IF(OFFSET(TH!L$1,SMALL(Dong,ROWS($1:128)),)="331",OFFSET(TH!M$1,SMALL(Dong,ROWS($1:128)),),OFFSET(TH!L$1,SMALL(Dong,ROWS($1:128)),)))</f>
        <v/>
      </c>
      <c r="F141" s="45"/>
      <c r="G141" s="57" t="str">
        <f ca="1">IF(ROWS($1:128)&gt;COUNT(Dong),"",IF(OFFSET(TH!L$1,SMALL(Dong,ROWS($1:128)),)="331",OFFSET(TH!K$1,SMALL(Dong,ROWS($1:128)),),0))</f>
        <v/>
      </c>
      <c r="H141" s="57" t="str">
        <f ca="1">IF(ROWS($1:128)&gt;COUNT(Dong),"",IF(OFFSET(TH!M$1,SMALL(Dong,ROWS($1:128)),)="331",OFFSET(TH!K$1,SMALL(Dong,ROWS($1:128)),),0))</f>
        <v/>
      </c>
      <c r="I141" s="25">
        <f t="shared" ca="1" si="6"/>
        <v>0</v>
      </c>
      <c r="J141" s="25">
        <f t="shared" ca="1" si="7"/>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212" t="str">
        <f ca="1">IF(ROWS($1:129)&gt;COUNT(Dong),"",OFFSET(TH!F$1,SMALL(Dong,ROWS($1:129)),))</f>
        <v/>
      </c>
      <c r="E142" s="45" t="str">
        <f ca="1">IF(ROWS($1:129)&gt;COUNT(Dong),"",IF(OFFSET(TH!L$1,SMALL(Dong,ROWS($1:129)),)="331",OFFSET(TH!M$1,SMALL(Dong,ROWS($1:129)),),OFFSET(TH!L$1,SMALL(Dong,ROWS($1:129)),)))</f>
        <v/>
      </c>
      <c r="F142" s="45"/>
      <c r="G142" s="57" t="str">
        <f ca="1">IF(ROWS($1:129)&gt;COUNT(Dong),"",IF(OFFSET(TH!L$1,SMALL(Dong,ROWS($1:129)),)="331",OFFSET(TH!K$1,SMALL(Dong,ROWS($1:129)),),0))</f>
        <v/>
      </c>
      <c r="H142" s="57" t="str">
        <f ca="1">IF(ROWS($1:129)&gt;COUNT(Dong),"",IF(OFFSET(TH!M$1,SMALL(Dong,ROWS($1:129)),)="331",OFFSET(TH!K$1,SMALL(Dong,ROWS($1:129)),),0))</f>
        <v/>
      </c>
      <c r="I142" s="25">
        <f t="shared" ca="1" si="6"/>
        <v>0</v>
      </c>
      <c r="J142" s="25">
        <f t="shared" ca="1" si="7"/>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212" t="str">
        <f ca="1">IF(ROWS($1:130)&gt;COUNT(Dong),"",OFFSET(TH!F$1,SMALL(Dong,ROWS($1:130)),))</f>
        <v/>
      </c>
      <c r="E143" s="45" t="str">
        <f ca="1">IF(ROWS($1:130)&gt;COUNT(Dong),"",IF(OFFSET(TH!L$1,SMALL(Dong,ROWS($1:130)),)="331",OFFSET(TH!M$1,SMALL(Dong,ROWS($1:130)),),OFFSET(TH!L$1,SMALL(Dong,ROWS($1:130)),)))</f>
        <v/>
      </c>
      <c r="F143" s="45"/>
      <c r="G143" s="57" t="str">
        <f ca="1">IF(ROWS($1:130)&gt;COUNT(Dong),"",IF(OFFSET(TH!L$1,SMALL(Dong,ROWS($1:130)),)="331",OFFSET(TH!K$1,SMALL(Dong,ROWS($1:130)),),0))</f>
        <v/>
      </c>
      <c r="H143" s="57" t="str">
        <f ca="1">IF(ROWS($1:130)&gt;COUNT(Dong),"",IF(OFFSET(TH!M$1,SMALL(Dong,ROWS($1:130)),)="331",OFFSET(TH!K$1,SMALL(Dong,ROWS($1:130)),),0))</f>
        <v/>
      </c>
      <c r="I143" s="25">
        <f t="shared" ca="1" si="6"/>
        <v>0</v>
      </c>
      <c r="J143" s="25">
        <f t="shared" ca="1" si="7"/>
        <v>0</v>
      </c>
    </row>
    <row r="144" spans="1:10" s="18" customFormat="1" ht="18" customHeight="1">
      <c r="A144" s="9" t="str">
        <f ca="1">IF(ROWS($1:131)&gt;COUNT(Dong),"",OFFSET(TH!C$1,SMALL(Dong,ROWS($1:131)),))</f>
        <v/>
      </c>
      <c r="B144" s="9" t="str">
        <f ca="1">IF(ROWS($1:131)&gt;COUNT(Dong),"",OFFSET(TH!D$1,SMALL(Dong,ROWS($1:131)),))</f>
        <v/>
      </c>
      <c r="C144" s="9" t="str">
        <f ca="1">IF(ROWS($1:131)&gt;COUNT(Dong),"",OFFSET(TH!E$1,SMALL(Dong,ROWS($1:131)),))</f>
        <v/>
      </c>
      <c r="D144" s="212" t="str">
        <f ca="1">IF(ROWS($1:131)&gt;COUNT(Dong),"",OFFSET(TH!F$1,SMALL(Dong,ROWS($1:131)),))</f>
        <v/>
      </c>
      <c r="E144" s="45" t="str">
        <f ca="1">IF(ROWS($1:131)&gt;COUNT(Dong),"",IF(OFFSET(TH!L$1,SMALL(Dong,ROWS($1:131)),)="331",OFFSET(TH!M$1,SMALL(Dong,ROWS($1:131)),),OFFSET(TH!L$1,SMALL(Dong,ROWS($1:131)),)))</f>
        <v/>
      </c>
      <c r="F144" s="45"/>
      <c r="G144" s="57" t="str">
        <f ca="1">IF(ROWS($1:131)&gt;COUNT(Dong),"",IF(OFFSET(TH!L$1,SMALL(Dong,ROWS($1:131)),)="331",OFFSET(TH!K$1,SMALL(Dong,ROWS($1:131)),),0))</f>
        <v/>
      </c>
      <c r="H144" s="57" t="str">
        <f ca="1">IF(ROWS($1:131)&gt;COUNT(Dong),"",IF(OFFSET(TH!M$1,SMALL(Dong,ROWS($1:131)),)="331",OFFSET(TH!K$1,SMALL(Dong,ROWS($1:131)),),0))</f>
        <v/>
      </c>
      <c r="I144" s="25">
        <f t="shared" ca="1" si="6"/>
        <v>0</v>
      </c>
      <c r="J144" s="25">
        <f t="shared" ca="1" si="7"/>
        <v>0</v>
      </c>
    </row>
    <row r="145" spans="1:10" s="18" customFormat="1" ht="18" customHeight="1">
      <c r="A145" s="9" t="str">
        <f ca="1">IF(ROWS($1:132)&gt;COUNT(Dong),"",OFFSET(TH!C$1,SMALL(Dong,ROWS($1:132)),))</f>
        <v/>
      </c>
      <c r="B145" s="9" t="str">
        <f ca="1">IF(ROWS($1:132)&gt;COUNT(Dong),"",OFFSET(TH!D$1,SMALL(Dong,ROWS($1:132)),))</f>
        <v/>
      </c>
      <c r="C145" s="9" t="str">
        <f ca="1">IF(ROWS($1:132)&gt;COUNT(Dong),"",OFFSET(TH!E$1,SMALL(Dong,ROWS($1:132)),))</f>
        <v/>
      </c>
      <c r="D145" s="212" t="str">
        <f ca="1">IF(ROWS($1:132)&gt;COUNT(Dong),"",OFFSET(TH!F$1,SMALL(Dong,ROWS($1:132)),))</f>
        <v/>
      </c>
      <c r="E145" s="45" t="str">
        <f ca="1">IF(ROWS($1:132)&gt;COUNT(Dong),"",IF(OFFSET(TH!L$1,SMALL(Dong,ROWS($1:132)),)="331",OFFSET(TH!M$1,SMALL(Dong,ROWS($1:132)),),OFFSET(TH!L$1,SMALL(Dong,ROWS($1:132)),)))</f>
        <v/>
      </c>
      <c r="F145" s="45"/>
      <c r="G145" s="57" t="str">
        <f ca="1">IF(ROWS($1:132)&gt;COUNT(Dong),"",IF(OFFSET(TH!L$1,SMALL(Dong,ROWS($1:132)),)="331",OFFSET(TH!K$1,SMALL(Dong,ROWS($1:132)),),0))</f>
        <v/>
      </c>
      <c r="H145" s="57" t="str">
        <f ca="1">IF(ROWS($1:132)&gt;COUNT(Dong),"",IF(OFFSET(TH!M$1,SMALL(Dong,ROWS($1:132)),)="331",OFFSET(TH!K$1,SMALL(Dong,ROWS($1:132)),),0))</f>
        <v/>
      </c>
      <c r="I145" s="25">
        <f t="shared" ca="1" si="6"/>
        <v>0</v>
      </c>
      <c r="J145" s="25">
        <f t="shared" ca="1" si="7"/>
        <v>0</v>
      </c>
    </row>
    <row r="146" spans="1:10" s="18" customFormat="1" ht="18" customHeight="1">
      <c r="A146" s="9" t="str">
        <f ca="1">IF(ROWS($1:133)&gt;COUNT(Dong),"",OFFSET(TH!C$1,SMALL(Dong,ROWS($1:133)),))</f>
        <v/>
      </c>
      <c r="B146" s="9" t="str">
        <f ca="1">IF(ROWS($1:133)&gt;COUNT(Dong),"",OFFSET(TH!D$1,SMALL(Dong,ROWS($1:133)),))</f>
        <v/>
      </c>
      <c r="C146" s="9" t="str">
        <f ca="1">IF(ROWS($1:133)&gt;COUNT(Dong),"",OFFSET(TH!E$1,SMALL(Dong,ROWS($1:133)),))</f>
        <v/>
      </c>
      <c r="D146" s="212" t="str">
        <f ca="1">IF(ROWS($1:133)&gt;COUNT(Dong),"",OFFSET(TH!F$1,SMALL(Dong,ROWS($1:133)),))</f>
        <v/>
      </c>
      <c r="E146" s="45" t="str">
        <f ca="1">IF(ROWS($1:133)&gt;COUNT(Dong),"",IF(OFFSET(TH!L$1,SMALL(Dong,ROWS($1:133)),)="331",OFFSET(TH!M$1,SMALL(Dong,ROWS($1:133)),),OFFSET(TH!L$1,SMALL(Dong,ROWS($1:133)),)))</f>
        <v/>
      </c>
      <c r="F146" s="45"/>
      <c r="G146" s="57" t="str">
        <f ca="1">IF(ROWS($1:133)&gt;COUNT(Dong),"",IF(OFFSET(TH!L$1,SMALL(Dong,ROWS($1:133)),)="331",OFFSET(TH!K$1,SMALL(Dong,ROWS($1:133)),),0))</f>
        <v/>
      </c>
      <c r="H146" s="57" t="str">
        <f ca="1">IF(ROWS($1:133)&gt;COUNT(Dong),"",IF(OFFSET(TH!M$1,SMALL(Dong,ROWS($1:133)),)="331",OFFSET(TH!K$1,SMALL(Dong,ROWS($1:133)),),0))</f>
        <v/>
      </c>
      <c r="I146" s="25">
        <f t="shared" ca="1" si="6"/>
        <v>0</v>
      </c>
      <c r="J146" s="25">
        <f t="shared" ca="1" si="7"/>
        <v>0</v>
      </c>
    </row>
    <row r="147" spans="1:10" s="18" customFormat="1" ht="18" customHeight="1">
      <c r="A147" s="9" t="str">
        <f ca="1">IF(ROWS($1:134)&gt;COUNT(Dong),"",OFFSET(TH!C$1,SMALL(Dong,ROWS($1:134)),))</f>
        <v/>
      </c>
      <c r="B147" s="9" t="str">
        <f ca="1">IF(ROWS($1:134)&gt;COUNT(Dong),"",OFFSET(TH!D$1,SMALL(Dong,ROWS($1:134)),))</f>
        <v/>
      </c>
      <c r="C147" s="9" t="str">
        <f ca="1">IF(ROWS($1:134)&gt;COUNT(Dong),"",OFFSET(TH!E$1,SMALL(Dong,ROWS($1:134)),))</f>
        <v/>
      </c>
      <c r="D147" s="212" t="str">
        <f ca="1">IF(ROWS($1:134)&gt;COUNT(Dong),"",OFFSET(TH!F$1,SMALL(Dong,ROWS($1:134)),))</f>
        <v/>
      </c>
      <c r="E147" s="45" t="str">
        <f ca="1">IF(ROWS($1:134)&gt;COUNT(Dong),"",IF(OFFSET(TH!L$1,SMALL(Dong,ROWS($1:134)),)="331",OFFSET(TH!M$1,SMALL(Dong,ROWS($1:134)),),OFFSET(TH!L$1,SMALL(Dong,ROWS($1:134)),)))</f>
        <v/>
      </c>
      <c r="F147" s="45"/>
      <c r="G147" s="57" t="str">
        <f ca="1">IF(ROWS($1:134)&gt;COUNT(Dong),"",IF(OFFSET(TH!L$1,SMALL(Dong,ROWS($1:134)),)="331",OFFSET(TH!K$1,SMALL(Dong,ROWS($1:134)),),0))</f>
        <v/>
      </c>
      <c r="H147" s="57" t="str">
        <f ca="1">IF(ROWS($1:134)&gt;COUNT(Dong),"",IF(OFFSET(TH!M$1,SMALL(Dong,ROWS($1:134)),)="331",OFFSET(TH!K$1,SMALL(Dong,ROWS($1:134)),),0))</f>
        <v/>
      </c>
      <c r="I147" s="25">
        <f t="shared" ca="1" si="6"/>
        <v>0</v>
      </c>
      <c r="J147" s="25">
        <f t="shared" ca="1" si="7"/>
        <v>0</v>
      </c>
    </row>
    <row r="148" spans="1:10" s="18" customFormat="1" ht="18" customHeight="1">
      <c r="A148" s="9" t="str">
        <f ca="1">IF(ROWS($1:135)&gt;COUNT(Dong),"",OFFSET(TH!C$1,SMALL(Dong,ROWS($1:135)),))</f>
        <v/>
      </c>
      <c r="B148" s="9" t="str">
        <f ca="1">IF(ROWS($1:135)&gt;COUNT(Dong),"",OFFSET(TH!D$1,SMALL(Dong,ROWS($1:135)),))</f>
        <v/>
      </c>
      <c r="C148" s="9" t="str">
        <f ca="1">IF(ROWS($1:135)&gt;COUNT(Dong),"",OFFSET(TH!E$1,SMALL(Dong,ROWS($1:135)),))</f>
        <v/>
      </c>
      <c r="D148" s="212" t="str">
        <f ca="1">IF(ROWS($1:135)&gt;COUNT(Dong),"",OFFSET(TH!F$1,SMALL(Dong,ROWS($1:135)),))</f>
        <v/>
      </c>
      <c r="E148" s="45" t="str">
        <f ca="1">IF(ROWS($1:135)&gt;COUNT(Dong),"",IF(OFFSET(TH!L$1,SMALL(Dong,ROWS($1:135)),)="331",OFFSET(TH!M$1,SMALL(Dong,ROWS($1:135)),),OFFSET(TH!L$1,SMALL(Dong,ROWS($1:135)),)))</f>
        <v/>
      </c>
      <c r="F148" s="45"/>
      <c r="G148" s="57" t="str">
        <f ca="1">IF(ROWS($1:135)&gt;COUNT(Dong),"",IF(OFFSET(TH!L$1,SMALL(Dong,ROWS($1:135)),)="331",OFFSET(TH!K$1,SMALL(Dong,ROWS($1:135)),),0))</f>
        <v/>
      </c>
      <c r="H148" s="57" t="str">
        <f ca="1">IF(ROWS($1:135)&gt;COUNT(Dong),"",IF(OFFSET(TH!M$1,SMALL(Dong,ROWS($1:135)),)="331",OFFSET(TH!K$1,SMALL(Dong,ROWS($1:135)),),0))</f>
        <v/>
      </c>
      <c r="I148" s="25">
        <f t="shared" ca="1" si="6"/>
        <v>0</v>
      </c>
      <c r="J148" s="25">
        <f t="shared" ca="1" si="7"/>
        <v>0</v>
      </c>
    </row>
    <row r="149" spans="1:10" s="18" customFormat="1" ht="18" customHeight="1">
      <c r="A149" s="9" t="str">
        <f ca="1">IF(ROWS($1:136)&gt;COUNT(Dong),"",OFFSET(TH!C$1,SMALL(Dong,ROWS($1:136)),))</f>
        <v/>
      </c>
      <c r="B149" s="9" t="str">
        <f ca="1">IF(ROWS($1:136)&gt;COUNT(Dong),"",OFFSET(TH!D$1,SMALL(Dong,ROWS($1:136)),))</f>
        <v/>
      </c>
      <c r="C149" s="9" t="str">
        <f ca="1">IF(ROWS($1:136)&gt;COUNT(Dong),"",OFFSET(TH!E$1,SMALL(Dong,ROWS($1:136)),))</f>
        <v/>
      </c>
      <c r="D149" s="212" t="str">
        <f ca="1">IF(ROWS($1:136)&gt;COUNT(Dong),"",OFFSET(TH!F$1,SMALL(Dong,ROWS($1:136)),))</f>
        <v/>
      </c>
      <c r="E149" s="45" t="str">
        <f ca="1">IF(ROWS($1:136)&gt;COUNT(Dong),"",IF(OFFSET(TH!L$1,SMALL(Dong,ROWS($1:136)),)="331",OFFSET(TH!M$1,SMALL(Dong,ROWS($1:136)),),OFFSET(TH!L$1,SMALL(Dong,ROWS($1:136)),)))</f>
        <v/>
      </c>
      <c r="F149" s="45"/>
      <c r="G149" s="57" t="str">
        <f ca="1">IF(ROWS($1:136)&gt;COUNT(Dong),"",IF(OFFSET(TH!L$1,SMALL(Dong,ROWS($1:136)),)="331",OFFSET(TH!K$1,SMALL(Dong,ROWS($1:136)),),0))</f>
        <v/>
      </c>
      <c r="H149" s="57" t="str">
        <f ca="1">IF(ROWS($1:136)&gt;COUNT(Dong),"",IF(OFFSET(TH!M$1,SMALL(Dong,ROWS($1:136)),)="331",OFFSET(TH!K$1,SMALL(Dong,ROWS($1:136)),),0))</f>
        <v/>
      </c>
      <c r="I149" s="25">
        <f t="shared" ca="1" si="6"/>
        <v>0</v>
      </c>
      <c r="J149" s="25">
        <f t="shared" ca="1" si="7"/>
        <v>0</v>
      </c>
    </row>
    <row r="150" spans="1:10" s="18" customFormat="1" ht="18" customHeight="1">
      <c r="A150" s="9" t="str">
        <f ca="1">IF(ROWS($1:137)&gt;COUNT(Dong),"",OFFSET(TH!C$1,SMALL(Dong,ROWS($1:137)),))</f>
        <v/>
      </c>
      <c r="B150" s="9" t="str">
        <f ca="1">IF(ROWS($1:137)&gt;COUNT(Dong),"",OFFSET(TH!D$1,SMALL(Dong,ROWS($1:137)),))</f>
        <v/>
      </c>
      <c r="C150" s="9" t="str">
        <f ca="1">IF(ROWS($1:137)&gt;COUNT(Dong),"",OFFSET(TH!E$1,SMALL(Dong,ROWS($1:137)),))</f>
        <v/>
      </c>
      <c r="D150" s="212" t="str">
        <f ca="1">IF(ROWS($1:137)&gt;COUNT(Dong),"",OFFSET(TH!F$1,SMALL(Dong,ROWS($1:137)),))</f>
        <v/>
      </c>
      <c r="E150" s="45" t="str">
        <f ca="1">IF(ROWS($1:137)&gt;COUNT(Dong),"",IF(OFFSET(TH!L$1,SMALL(Dong,ROWS($1:137)),)="331",OFFSET(TH!M$1,SMALL(Dong,ROWS($1:137)),),OFFSET(TH!L$1,SMALL(Dong,ROWS($1:137)),)))</f>
        <v/>
      </c>
      <c r="F150" s="45"/>
      <c r="G150" s="57" t="str">
        <f ca="1">IF(ROWS($1:137)&gt;COUNT(Dong),"",IF(OFFSET(TH!L$1,SMALL(Dong,ROWS($1:137)),)="331",OFFSET(TH!K$1,SMALL(Dong,ROWS($1:137)),),0))</f>
        <v/>
      </c>
      <c r="H150" s="57" t="str">
        <f ca="1">IF(ROWS($1:137)&gt;COUNT(Dong),"",IF(OFFSET(TH!M$1,SMALL(Dong,ROWS($1:137)),)="331",OFFSET(TH!K$1,SMALL(Dong,ROWS($1:137)),),0))</f>
        <v/>
      </c>
      <c r="I150" s="25">
        <f t="shared" ca="1" si="6"/>
        <v>0</v>
      </c>
      <c r="J150" s="25">
        <f t="shared" ca="1" si="7"/>
        <v>0</v>
      </c>
    </row>
    <row r="151" spans="1:10" s="18" customFormat="1" ht="18" customHeight="1">
      <c r="A151" s="9" t="str">
        <f ca="1">IF(ROWS($1:138)&gt;COUNT(Dong),"",OFFSET(TH!C$1,SMALL(Dong,ROWS($1:138)),))</f>
        <v/>
      </c>
      <c r="B151" s="9" t="str">
        <f ca="1">IF(ROWS($1:138)&gt;COUNT(Dong),"",OFFSET(TH!D$1,SMALL(Dong,ROWS($1:138)),))</f>
        <v/>
      </c>
      <c r="C151" s="9" t="str">
        <f ca="1">IF(ROWS($1:138)&gt;COUNT(Dong),"",OFFSET(TH!E$1,SMALL(Dong,ROWS($1:138)),))</f>
        <v/>
      </c>
      <c r="D151" s="212" t="str">
        <f ca="1">IF(ROWS($1:138)&gt;COUNT(Dong),"",OFFSET(TH!F$1,SMALL(Dong,ROWS($1:138)),))</f>
        <v/>
      </c>
      <c r="E151" s="45" t="str">
        <f ca="1">IF(ROWS($1:138)&gt;COUNT(Dong),"",IF(OFFSET(TH!L$1,SMALL(Dong,ROWS($1:138)),)="331",OFFSET(TH!M$1,SMALL(Dong,ROWS($1:138)),),OFFSET(TH!L$1,SMALL(Dong,ROWS($1:138)),)))</f>
        <v/>
      </c>
      <c r="F151" s="45"/>
      <c r="G151" s="57" t="str">
        <f ca="1">IF(ROWS($1:138)&gt;COUNT(Dong),"",IF(OFFSET(TH!L$1,SMALL(Dong,ROWS($1:138)),)="331",OFFSET(TH!K$1,SMALL(Dong,ROWS($1:138)),),0))</f>
        <v/>
      </c>
      <c r="H151" s="57" t="str">
        <f ca="1">IF(ROWS($1:138)&gt;COUNT(Dong),"",IF(OFFSET(TH!M$1,SMALL(Dong,ROWS($1:138)),)="331",OFFSET(TH!K$1,SMALL(Dong,ROWS($1:138)),),0))</f>
        <v/>
      </c>
      <c r="I151" s="25">
        <f t="shared" ca="1" si="6"/>
        <v>0</v>
      </c>
      <c r="J151" s="25">
        <f t="shared" ca="1" si="7"/>
        <v>0</v>
      </c>
    </row>
    <row r="152" spans="1:10" s="18" customFormat="1" ht="18" customHeight="1">
      <c r="A152" s="9" t="str">
        <f ca="1">IF(ROWS($1:139)&gt;COUNT(Dong),"",OFFSET(TH!C$1,SMALL(Dong,ROWS($1:139)),))</f>
        <v/>
      </c>
      <c r="B152" s="9" t="str">
        <f ca="1">IF(ROWS($1:139)&gt;COUNT(Dong),"",OFFSET(TH!D$1,SMALL(Dong,ROWS($1:139)),))</f>
        <v/>
      </c>
      <c r="C152" s="9" t="str">
        <f ca="1">IF(ROWS($1:139)&gt;COUNT(Dong),"",OFFSET(TH!E$1,SMALL(Dong,ROWS($1:139)),))</f>
        <v/>
      </c>
      <c r="D152" s="212" t="str">
        <f ca="1">IF(ROWS($1:139)&gt;COUNT(Dong),"",OFFSET(TH!F$1,SMALL(Dong,ROWS($1:139)),))</f>
        <v/>
      </c>
      <c r="E152" s="45" t="str">
        <f ca="1">IF(ROWS($1:139)&gt;COUNT(Dong),"",IF(OFFSET(TH!L$1,SMALL(Dong,ROWS($1:139)),)="331",OFFSET(TH!M$1,SMALL(Dong,ROWS($1:139)),),OFFSET(TH!L$1,SMALL(Dong,ROWS($1:139)),)))</f>
        <v/>
      </c>
      <c r="F152" s="45"/>
      <c r="G152" s="57" t="str">
        <f ca="1">IF(ROWS($1:139)&gt;COUNT(Dong),"",IF(OFFSET(TH!L$1,SMALL(Dong,ROWS($1:139)),)="331",OFFSET(TH!K$1,SMALL(Dong,ROWS($1:139)),),0))</f>
        <v/>
      </c>
      <c r="H152" s="57" t="str">
        <f ca="1">IF(ROWS($1:139)&gt;COUNT(Dong),"",IF(OFFSET(TH!M$1,SMALL(Dong,ROWS($1:139)),)="331",OFFSET(TH!K$1,SMALL(Dong,ROWS($1:139)),),0))</f>
        <v/>
      </c>
      <c r="I152" s="25">
        <f t="shared" ca="1" si="6"/>
        <v>0</v>
      </c>
      <c r="J152" s="25">
        <f t="shared" ca="1" si="7"/>
        <v>0</v>
      </c>
    </row>
    <row r="153" spans="1:10" s="18" customFormat="1" ht="18" customHeight="1">
      <c r="A153" s="9" t="str">
        <f ca="1">IF(ROWS($1:140)&gt;COUNT(Dong),"",OFFSET(TH!C$1,SMALL(Dong,ROWS($1:140)),))</f>
        <v/>
      </c>
      <c r="B153" s="9" t="str">
        <f ca="1">IF(ROWS($1:140)&gt;COUNT(Dong),"",OFFSET(TH!D$1,SMALL(Dong,ROWS($1:140)),))</f>
        <v/>
      </c>
      <c r="C153" s="9" t="str">
        <f ca="1">IF(ROWS($1:140)&gt;COUNT(Dong),"",OFFSET(TH!E$1,SMALL(Dong,ROWS($1:140)),))</f>
        <v/>
      </c>
      <c r="D153" s="212" t="str">
        <f ca="1">IF(ROWS($1:140)&gt;COUNT(Dong),"",OFFSET(TH!F$1,SMALL(Dong,ROWS($1:140)),))</f>
        <v/>
      </c>
      <c r="E153" s="45" t="str">
        <f ca="1">IF(ROWS($1:140)&gt;COUNT(Dong),"",IF(OFFSET(TH!L$1,SMALL(Dong,ROWS($1:140)),)="331",OFFSET(TH!M$1,SMALL(Dong,ROWS($1:140)),),OFFSET(TH!L$1,SMALL(Dong,ROWS($1:140)),)))</f>
        <v/>
      </c>
      <c r="F153" s="45"/>
      <c r="G153" s="57" t="str">
        <f ca="1">IF(ROWS($1:140)&gt;COUNT(Dong),"",IF(OFFSET(TH!L$1,SMALL(Dong,ROWS($1:140)),)="331",OFFSET(TH!K$1,SMALL(Dong,ROWS($1:140)),),0))</f>
        <v/>
      </c>
      <c r="H153" s="57" t="str">
        <f ca="1">IF(ROWS($1:140)&gt;COUNT(Dong),"",IF(OFFSET(TH!M$1,SMALL(Dong,ROWS($1:140)),)="331",OFFSET(TH!K$1,SMALL(Dong,ROWS($1:140)),),0))</f>
        <v/>
      </c>
      <c r="I153" s="25">
        <f t="shared" ca="1" si="6"/>
        <v>0</v>
      </c>
      <c r="J153" s="25">
        <f t="shared" ca="1" si="7"/>
        <v>0</v>
      </c>
    </row>
    <row r="154" spans="1:10" s="18" customFormat="1" ht="18" customHeight="1">
      <c r="A154" s="9" t="str">
        <f ca="1">IF(ROWS($1:141)&gt;COUNT(Dong),"",OFFSET(TH!C$1,SMALL(Dong,ROWS($1:141)),))</f>
        <v/>
      </c>
      <c r="B154" s="9" t="str">
        <f ca="1">IF(ROWS($1:141)&gt;COUNT(Dong),"",OFFSET(TH!D$1,SMALL(Dong,ROWS($1:141)),))</f>
        <v/>
      </c>
      <c r="C154" s="9" t="str">
        <f ca="1">IF(ROWS($1:141)&gt;COUNT(Dong),"",OFFSET(TH!E$1,SMALL(Dong,ROWS($1:141)),))</f>
        <v/>
      </c>
      <c r="D154" s="212" t="str">
        <f ca="1">IF(ROWS($1:141)&gt;COUNT(Dong),"",OFFSET(TH!F$1,SMALL(Dong,ROWS($1:141)),))</f>
        <v/>
      </c>
      <c r="E154" s="45" t="str">
        <f ca="1">IF(ROWS($1:141)&gt;COUNT(Dong),"",IF(OFFSET(TH!L$1,SMALL(Dong,ROWS($1:141)),)="331",OFFSET(TH!M$1,SMALL(Dong,ROWS($1:141)),),OFFSET(TH!L$1,SMALL(Dong,ROWS($1:141)),)))</f>
        <v/>
      </c>
      <c r="F154" s="45"/>
      <c r="G154" s="57" t="str">
        <f ca="1">IF(ROWS($1:141)&gt;COUNT(Dong),"",IF(OFFSET(TH!L$1,SMALL(Dong,ROWS($1:141)),)="331",OFFSET(TH!K$1,SMALL(Dong,ROWS($1:141)),),0))</f>
        <v/>
      </c>
      <c r="H154" s="57" t="str">
        <f ca="1">IF(ROWS($1:141)&gt;COUNT(Dong),"",IF(OFFSET(TH!M$1,SMALL(Dong,ROWS($1:141)),)="331",OFFSET(TH!K$1,SMALL(Dong,ROWS($1:141)),),0))</f>
        <v/>
      </c>
      <c r="I154" s="25">
        <f t="shared" ca="1" si="6"/>
        <v>0</v>
      </c>
      <c r="J154" s="25">
        <f t="shared" ca="1" si="7"/>
        <v>0</v>
      </c>
    </row>
    <row r="155" spans="1:10" s="18" customFormat="1" ht="18" customHeight="1">
      <c r="A155" s="9" t="str">
        <f ca="1">IF(ROWS($1:142)&gt;COUNT(Dong),"",OFFSET(TH!C$1,SMALL(Dong,ROWS($1:142)),))</f>
        <v/>
      </c>
      <c r="B155" s="9" t="str">
        <f ca="1">IF(ROWS($1:142)&gt;COUNT(Dong),"",OFFSET(TH!D$1,SMALL(Dong,ROWS($1:142)),))</f>
        <v/>
      </c>
      <c r="C155" s="9" t="str">
        <f ca="1">IF(ROWS($1:142)&gt;COUNT(Dong),"",OFFSET(TH!E$1,SMALL(Dong,ROWS($1:142)),))</f>
        <v/>
      </c>
      <c r="D155" s="212" t="str">
        <f ca="1">IF(ROWS($1:142)&gt;COUNT(Dong),"",OFFSET(TH!F$1,SMALL(Dong,ROWS($1:142)),))</f>
        <v/>
      </c>
      <c r="E155" s="45" t="str">
        <f ca="1">IF(ROWS($1:142)&gt;COUNT(Dong),"",IF(OFFSET(TH!L$1,SMALL(Dong,ROWS($1:142)),)="331",OFFSET(TH!M$1,SMALL(Dong,ROWS($1:142)),),OFFSET(TH!L$1,SMALL(Dong,ROWS($1:142)),)))</f>
        <v/>
      </c>
      <c r="F155" s="45"/>
      <c r="G155" s="57" t="str">
        <f ca="1">IF(ROWS($1:142)&gt;COUNT(Dong),"",IF(OFFSET(TH!L$1,SMALL(Dong,ROWS($1:142)),)="331",OFFSET(TH!K$1,SMALL(Dong,ROWS($1:142)),),0))</f>
        <v/>
      </c>
      <c r="H155" s="57" t="str">
        <f ca="1">IF(ROWS($1:142)&gt;COUNT(Dong),"",IF(OFFSET(TH!M$1,SMALL(Dong,ROWS($1:142)),)="331",OFFSET(TH!K$1,SMALL(Dong,ROWS($1:142)),),0))</f>
        <v/>
      </c>
      <c r="I155" s="25">
        <f t="shared" ca="1" si="6"/>
        <v>0</v>
      </c>
      <c r="J155" s="25">
        <f t="shared" ca="1" si="7"/>
        <v>0</v>
      </c>
    </row>
    <row r="156" spans="1:10" s="18" customFormat="1" ht="18" customHeight="1">
      <c r="A156" s="9" t="str">
        <f ca="1">IF(ROWS($1:143)&gt;COUNT(Dong),"",OFFSET(TH!C$1,SMALL(Dong,ROWS($1:143)),))</f>
        <v/>
      </c>
      <c r="B156" s="9" t="str">
        <f ca="1">IF(ROWS($1:143)&gt;COUNT(Dong),"",OFFSET(TH!D$1,SMALL(Dong,ROWS($1:143)),))</f>
        <v/>
      </c>
      <c r="C156" s="9" t="str">
        <f ca="1">IF(ROWS($1:143)&gt;COUNT(Dong),"",OFFSET(TH!E$1,SMALL(Dong,ROWS($1:143)),))</f>
        <v/>
      </c>
      <c r="D156" s="212" t="str">
        <f ca="1">IF(ROWS($1:143)&gt;COUNT(Dong),"",OFFSET(TH!F$1,SMALL(Dong,ROWS($1:143)),))</f>
        <v/>
      </c>
      <c r="E156" s="45" t="str">
        <f ca="1">IF(ROWS($1:143)&gt;COUNT(Dong),"",IF(OFFSET(TH!L$1,SMALL(Dong,ROWS($1:143)),)="331",OFFSET(TH!M$1,SMALL(Dong,ROWS($1:143)),),OFFSET(TH!L$1,SMALL(Dong,ROWS($1:143)),)))</f>
        <v/>
      </c>
      <c r="F156" s="45"/>
      <c r="G156" s="57" t="str">
        <f ca="1">IF(ROWS($1:143)&gt;COUNT(Dong),"",IF(OFFSET(TH!L$1,SMALL(Dong,ROWS($1:143)),)="331",OFFSET(TH!K$1,SMALL(Dong,ROWS($1:143)),),0))</f>
        <v/>
      </c>
      <c r="H156" s="57" t="str">
        <f ca="1">IF(ROWS($1:143)&gt;COUNT(Dong),"",IF(OFFSET(TH!M$1,SMALL(Dong,ROWS($1:143)),)="331",OFFSET(TH!K$1,SMALL(Dong,ROWS($1:143)),),0))</f>
        <v/>
      </c>
      <c r="I156" s="25">
        <f t="shared" ca="1" si="6"/>
        <v>0</v>
      </c>
      <c r="J156" s="25">
        <f t="shared" ca="1" si="7"/>
        <v>0</v>
      </c>
    </row>
    <row r="157" spans="1:10" s="18" customFormat="1" ht="18" customHeight="1">
      <c r="A157" s="9" t="str">
        <f ca="1">IF(ROWS($1:144)&gt;COUNT(Dong),"",OFFSET(TH!C$1,SMALL(Dong,ROWS($1:144)),))</f>
        <v/>
      </c>
      <c r="B157" s="9" t="str">
        <f ca="1">IF(ROWS($1:144)&gt;COUNT(Dong),"",OFFSET(TH!D$1,SMALL(Dong,ROWS($1:144)),))</f>
        <v/>
      </c>
      <c r="C157" s="9" t="str">
        <f ca="1">IF(ROWS($1:144)&gt;COUNT(Dong),"",OFFSET(TH!E$1,SMALL(Dong,ROWS($1:144)),))</f>
        <v/>
      </c>
      <c r="D157" s="212" t="str">
        <f ca="1">IF(ROWS($1:144)&gt;COUNT(Dong),"",OFFSET(TH!F$1,SMALL(Dong,ROWS($1:144)),))</f>
        <v/>
      </c>
      <c r="E157" s="45" t="str">
        <f ca="1">IF(ROWS($1:144)&gt;COUNT(Dong),"",IF(OFFSET(TH!L$1,SMALL(Dong,ROWS($1:144)),)="331",OFFSET(TH!M$1,SMALL(Dong,ROWS($1:144)),),OFFSET(TH!L$1,SMALL(Dong,ROWS($1:144)),)))</f>
        <v/>
      </c>
      <c r="F157" s="45"/>
      <c r="G157" s="57" t="str">
        <f ca="1">IF(ROWS($1:144)&gt;COUNT(Dong),"",IF(OFFSET(TH!L$1,SMALL(Dong,ROWS($1:144)),)="331",OFFSET(TH!K$1,SMALL(Dong,ROWS($1:144)),),0))</f>
        <v/>
      </c>
      <c r="H157" s="57" t="str">
        <f ca="1">IF(ROWS($1:144)&gt;COUNT(Dong),"",IF(OFFSET(TH!M$1,SMALL(Dong,ROWS($1:144)),)="331",OFFSET(TH!K$1,SMALL(Dong,ROWS($1:144)),),0))</f>
        <v/>
      </c>
      <c r="I157" s="25">
        <f t="shared" ca="1" si="6"/>
        <v>0</v>
      </c>
      <c r="J157" s="25">
        <f t="shared" ca="1" si="7"/>
        <v>0</v>
      </c>
    </row>
    <row r="158" spans="1:10" s="18" customFormat="1" ht="18" customHeight="1">
      <c r="A158" s="9"/>
      <c r="B158" s="9"/>
      <c r="C158" s="9"/>
      <c r="D158" s="212"/>
      <c r="E158" s="45"/>
      <c r="F158" s="45"/>
      <c r="G158" s="57"/>
      <c r="H158" s="57"/>
      <c r="I158" s="25"/>
      <c r="J158" s="25"/>
    </row>
    <row r="159" spans="1:10" s="18" customFormat="1" ht="18" customHeight="1">
      <c r="A159" s="24"/>
      <c r="B159" s="21"/>
      <c r="C159" s="26"/>
      <c r="D159" s="23" t="s">
        <v>33</v>
      </c>
      <c r="E159" s="21" t="s">
        <v>19</v>
      </c>
      <c r="F159" s="21" t="s">
        <v>19</v>
      </c>
      <c r="G159" s="27">
        <f ca="1">SUM(G14:G158)</f>
        <v>62381000</v>
      </c>
      <c r="H159" s="27">
        <f ca="1">SUM(H14:H158)</f>
        <v>0</v>
      </c>
      <c r="I159" s="27" t="s">
        <v>19</v>
      </c>
      <c r="J159" s="27" t="s">
        <v>19</v>
      </c>
    </row>
    <row r="160" spans="1:10" s="18" customFormat="1" ht="18" customHeight="1">
      <c r="A160" s="24"/>
      <c r="B160" s="21"/>
      <c r="C160" s="21"/>
      <c r="D160" s="23" t="s">
        <v>10</v>
      </c>
      <c r="E160" s="21" t="s">
        <v>19</v>
      </c>
      <c r="F160" s="21" t="s">
        <v>19</v>
      </c>
      <c r="G160" s="27" t="s">
        <v>19</v>
      </c>
      <c r="H160" s="27" t="s">
        <v>19</v>
      </c>
      <c r="I160" s="27">
        <f ca="1">MAX(I13+G159-H159-J13,0)</f>
        <v>0</v>
      </c>
      <c r="J160" s="27">
        <f ca="1">MAX(J13+H159-G159-I13,0)</f>
        <v>0</v>
      </c>
    </row>
    <row r="161" spans="1:11" s="18" customFormat="1" ht="6" customHeight="1">
      <c r="B161" s="19"/>
      <c r="C161" s="19"/>
      <c r="E161" s="19"/>
    </row>
    <row r="162" spans="1:11" s="18" customFormat="1" ht="14.25" customHeight="1">
      <c r="A162" s="28" t="s">
        <v>152</v>
      </c>
      <c r="B162" s="19"/>
      <c r="C162" s="19"/>
      <c r="E162" s="19"/>
      <c r="K162" s="28" t="s">
        <v>152</v>
      </c>
    </row>
    <row r="163" spans="1:11" s="18" customFormat="1" ht="14.25" customHeight="1">
      <c r="A163" s="28" t="str">
        <f ca="1">"- Ngày mở sổ: "&amp;DAY($A$14)&amp;"/"&amp;MONTH($A$14)&amp;"/ " &amp;YEAR($A$14)</f>
        <v>- Ngày mở sổ: 29/9/ 2015</v>
      </c>
      <c r="B163" s="19"/>
      <c r="C163" s="19"/>
      <c r="E163" s="19"/>
      <c r="K163" s="28" t="s">
        <v>34</v>
      </c>
    </row>
    <row r="164" spans="1:11" s="18" customFormat="1" ht="14.25" customHeight="1">
      <c r="B164" s="19"/>
      <c r="C164" s="19"/>
      <c r="E164" s="1012" t="str">
        <f ca="1">"Ngày 31 tháng  12  năm  "&amp;YEAR($A$14)</f>
        <v>Ngày 31 tháng  12  năm  2015</v>
      </c>
      <c r="F164" s="1012"/>
      <c r="G164" s="1012"/>
      <c r="H164" s="1012"/>
      <c r="I164" s="1012"/>
      <c r="J164" s="1012"/>
    </row>
    <row r="165" spans="1:11" s="18" customFormat="1" ht="14.25" customHeight="1">
      <c r="C165" s="205" t="s">
        <v>11</v>
      </c>
      <c r="E165" s="1012" t="s">
        <v>12</v>
      </c>
      <c r="F165" s="1012"/>
      <c r="G165" s="1012"/>
      <c r="H165" s="1012"/>
      <c r="I165" s="1012"/>
      <c r="J165" s="1012"/>
    </row>
    <row r="166" spans="1:11" s="18" customFormat="1" ht="14.25" customHeight="1">
      <c r="C166" s="205" t="s">
        <v>13</v>
      </c>
      <c r="E166" s="1012" t="s">
        <v>13</v>
      </c>
      <c r="F166" s="1012"/>
      <c r="G166" s="1012"/>
      <c r="H166" s="1012"/>
      <c r="I166" s="1012"/>
      <c r="J166" s="1012"/>
    </row>
    <row r="167" spans="1:11" s="29" customFormat="1"/>
    <row r="173" spans="1:11" ht="15">
      <c r="C173" s="211" t="s">
        <v>151</v>
      </c>
    </row>
  </sheetData>
  <autoFilter ref="A12:J21"/>
  <mergeCells count="15">
    <mergeCell ref="E165:J165"/>
    <mergeCell ref="E166:J166"/>
    <mergeCell ref="A10:A11"/>
    <mergeCell ref="H1:J1"/>
    <mergeCell ref="H2:J3"/>
    <mergeCell ref="E7:H7"/>
    <mergeCell ref="E164:J164"/>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2:N25"/>
  <sheetViews>
    <sheetView zoomScale="90" workbookViewId="0">
      <selection activeCell="A3" sqref="A3:D3"/>
    </sheetView>
  </sheetViews>
  <sheetFormatPr defaultRowHeight="15"/>
  <cols>
    <col min="1" max="1" width="9.7109375" style="250" customWidth="1"/>
    <col min="2" max="2" width="7" style="250" customWidth="1"/>
    <col min="3" max="3" width="9.140625" style="250"/>
    <col min="4" max="4" width="40.140625" style="250" customWidth="1"/>
    <col min="5" max="5" width="6.5703125" style="250" customWidth="1"/>
    <col min="6" max="8" width="10" style="250" customWidth="1"/>
    <col min="9" max="9" width="13.7109375" style="250" customWidth="1"/>
    <col min="10" max="10" width="10" style="250" customWidth="1"/>
    <col min="11" max="11" width="8.7109375" style="250" customWidth="1"/>
    <col min="12" max="12" width="15" style="250" customWidth="1"/>
    <col min="13" max="13" width="10" style="250" customWidth="1"/>
    <col min="14" max="14" width="9.42578125" style="250" customWidth="1"/>
    <col min="15" max="16384" width="9.140625" style="250"/>
  </cols>
  <sheetData>
    <row r="2" spans="1:14">
      <c r="A2" s="797" t="str">
        <f>TH!$A$1</f>
        <v>Đơn vị: CÔNG TY TNHH MỘT THÀNH VIÊN KHỞI NGUYÊN AN</v>
      </c>
      <c r="C2" s="251"/>
      <c r="F2" s="252"/>
      <c r="G2" s="252"/>
      <c r="H2" s="252"/>
      <c r="I2" s="252"/>
      <c r="J2" s="1064" t="s">
        <v>167</v>
      </c>
      <c r="K2" s="1064"/>
      <c r="L2" s="1064"/>
      <c r="M2" s="1064"/>
      <c r="N2" s="252"/>
    </row>
    <row r="3" spans="1:14">
      <c r="A3" s="798" t="str">
        <f>TH!$A$2</f>
        <v>Địa chỉ: Thửa đất số 144, tờ bản đồ số 12TĐH.1, tổ 1, khu phố Đông Tác, Phường Tân Đông Hiệp, Thị Xã Dĩ An, Tỉnh Bình Dương, Việt Nam</v>
      </c>
      <c r="C3" s="251"/>
      <c r="F3" s="253"/>
      <c r="G3" s="253"/>
      <c r="H3" s="253"/>
      <c r="I3" s="253"/>
      <c r="J3" s="1063" t="str">
        <f>IF(YEAR($A$14)&gt;=2015,"(Ban hành theo Thông tư số 200/2014/TT-BTC  Ngày 22/12/2014 của Bộ Tài chính)","(Ban hành kèm theo QĐ 48/2006/QĐ-BTC ngày 24/09/2006 của Bộ trưởng BTC)")</f>
        <v>(Ban hành kèm theo QĐ 48/2006/QĐ-BTC ngày 24/09/2006 của Bộ trưởng BTC)</v>
      </c>
      <c r="K3" s="1063"/>
      <c r="L3" s="1063"/>
      <c r="M3" s="1063"/>
      <c r="N3" s="253"/>
    </row>
    <row r="4" spans="1:14">
      <c r="F4" s="253"/>
      <c r="G4" s="253"/>
      <c r="H4" s="253"/>
      <c r="I4" s="253"/>
      <c r="J4" s="1063"/>
      <c r="K4" s="1063"/>
      <c r="L4" s="1063"/>
      <c r="M4" s="1063"/>
      <c r="N4" s="253"/>
    </row>
    <row r="5" spans="1:14" s="254" customFormat="1" ht="23.25" customHeight="1">
      <c r="A5" s="1073" t="s">
        <v>168</v>
      </c>
      <c r="B5" s="1073"/>
      <c r="C5" s="1073"/>
      <c r="D5" s="1073"/>
      <c r="E5" s="1073"/>
      <c r="F5" s="1073"/>
      <c r="G5" s="1073"/>
      <c r="H5" s="1073"/>
      <c r="I5" s="1073"/>
      <c r="J5" s="1073"/>
      <c r="K5" s="1073"/>
      <c r="L5" s="1073"/>
      <c r="M5" s="1073"/>
      <c r="N5" s="1073"/>
    </row>
    <row r="6" spans="1:14">
      <c r="A6" s="1064" t="s">
        <v>405</v>
      </c>
      <c r="B6" s="1064" t="s">
        <v>169</v>
      </c>
      <c r="C6" s="1064"/>
      <c r="D6" s="1064"/>
      <c r="E6" s="1064"/>
      <c r="F6" s="1064"/>
      <c r="G6" s="1064"/>
      <c r="H6" s="1064"/>
      <c r="I6" s="1064"/>
      <c r="J6" s="1064"/>
      <c r="K6" s="1064"/>
      <c r="L6" s="1064"/>
      <c r="M6" s="1064"/>
      <c r="N6" s="1064"/>
    </row>
    <row r="7" spans="1:14">
      <c r="C7" s="1074"/>
      <c r="D7" s="1074"/>
      <c r="E7" s="1074"/>
      <c r="F7" s="1074"/>
      <c r="G7" s="1074"/>
      <c r="H7" s="1074"/>
      <c r="I7" s="1074"/>
      <c r="J7" s="1074"/>
      <c r="K7" s="1074"/>
      <c r="L7" s="1074"/>
      <c r="M7" s="1074"/>
      <c r="N7" s="1074"/>
    </row>
    <row r="8" spans="1:14" ht="15.75" customHeight="1">
      <c r="A8" s="1067" t="s">
        <v>20</v>
      </c>
      <c r="B8" s="1075" t="s">
        <v>1</v>
      </c>
      <c r="C8" s="1076"/>
      <c r="D8" s="1067" t="s">
        <v>0</v>
      </c>
      <c r="E8" s="1067" t="s">
        <v>14</v>
      </c>
      <c r="F8" s="1066" t="s">
        <v>21</v>
      </c>
      <c r="G8" s="1066"/>
      <c r="H8" s="1066"/>
      <c r="I8" s="1066"/>
      <c r="J8" s="1066"/>
      <c r="K8" s="1066"/>
      <c r="L8" s="1066" t="s">
        <v>31</v>
      </c>
      <c r="M8" s="1066"/>
      <c r="N8" s="1066"/>
    </row>
    <row r="9" spans="1:14" ht="15.75" customHeight="1">
      <c r="A9" s="1067"/>
      <c r="B9" s="1077"/>
      <c r="C9" s="1078"/>
      <c r="D9" s="1067"/>
      <c r="E9" s="1067"/>
      <c r="F9" s="1066" t="s">
        <v>170</v>
      </c>
      <c r="G9" s="1066"/>
      <c r="H9" s="1066"/>
      <c r="I9" s="1066" t="s">
        <v>171</v>
      </c>
      <c r="J9" s="1066"/>
      <c r="K9" s="1066"/>
      <c r="L9" s="1067" t="s">
        <v>172</v>
      </c>
      <c r="M9" s="1067" t="s">
        <v>173</v>
      </c>
      <c r="N9" s="1067" t="s">
        <v>174</v>
      </c>
    </row>
    <row r="10" spans="1:14" ht="15.75" customHeight="1">
      <c r="A10" s="1067"/>
      <c r="B10" s="1069" t="s">
        <v>15</v>
      </c>
      <c r="C10" s="1069" t="s">
        <v>32</v>
      </c>
      <c r="D10" s="1067"/>
      <c r="E10" s="1067"/>
      <c r="F10" s="1071" t="s">
        <v>172</v>
      </c>
      <c r="G10" s="1071" t="s">
        <v>173</v>
      </c>
      <c r="H10" s="1071" t="s">
        <v>174</v>
      </c>
      <c r="I10" s="1071" t="s">
        <v>172</v>
      </c>
      <c r="J10" s="1071" t="s">
        <v>173</v>
      </c>
      <c r="K10" s="1071" t="s">
        <v>174</v>
      </c>
      <c r="L10" s="1068"/>
      <c r="M10" s="1068"/>
      <c r="N10" s="1068"/>
    </row>
    <row r="11" spans="1:14">
      <c r="A11" s="1067"/>
      <c r="B11" s="1070"/>
      <c r="C11" s="1070"/>
      <c r="D11" s="1067"/>
      <c r="E11" s="1067"/>
      <c r="F11" s="1072"/>
      <c r="G11" s="1072"/>
      <c r="H11" s="1072"/>
      <c r="I11" s="1072"/>
      <c r="J11" s="1072"/>
      <c r="K11" s="1072"/>
      <c r="L11" s="1068"/>
      <c r="M11" s="1068"/>
      <c r="N11" s="1068"/>
    </row>
    <row r="12" spans="1:14" s="253" customFormat="1">
      <c r="A12" s="255" t="s">
        <v>2</v>
      </c>
      <c r="B12" s="256" t="s">
        <v>3</v>
      </c>
      <c r="C12" s="255" t="s">
        <v>4</v>
      </c>
      <c r="D12" s="255" t="s">
        <v>5</v>
      </c>
      <c r="E12" s="255" t="s">
        <v>6</v>
      </c>
      <c r="F12" s="255">
        <v>1</v>
      </c>
      <c r="G12" s="255"/>
      <c r="H12" s="255"/>
      <c r="I12" s="255"/>
      <c r="J12" s="255"/>
      <c r="K12" s="255"/>
      <c r="L12" s="255"/>
      <c r="M12" s="255"/>
      <c r="N12" s="255"/>
    </row>
    <row r="13" spans="1:14">
      <c r="A13" s="257"/>
      <c r="B13" s="257"/>
      <c r="C13" s="802"/>
      <c r="D13" s="258" t="s">
        <v>7</v>
      </c>
      <c r="E13" s="257"/>
      <c r="F13" s="257"/>
      <c r="G13" s="257"/>
      <c r="H13" s="257"/>
      <c r="I13" s="257"/>
      <c r="J13" s="257"/>
      <c r="K13" s="257"/>
      <c r="L13" s="259">
        <f>CDPS!$D$33</f>
        <v>2500000000</v>
      </c>
      <c r="M13" s="257"/>
      <c r="N13" s="257"/>
    </row>
    <row r="14" spans="1:14">
      <c r="A14" s="801">
        <v>40634</v>
      </c>
      <c r="B14" s="696" t="s">
        <v>339</v>
      </c>
      <c r="C14" s="801">
        <v>40634</v>
      </c>
      <c r="D14" s="260" t="s">
        <v>392</v>
      </c>
      <c r="E14" s="696" t="s">
        <v>47</v>
      </c>
      <c r="F14" s="260"/>
      <c r="G14" s="260"/>
      <c r="H14" s="260"/>
      <c r="I14" s="327">
        <v>1700000000</v>
      </c>
      <c r="J14" s="260"/>
      <c r="K14" s="260"/>
      <c r="L14" s="699">
        <f>L13+I14-G14</f>
        <v>4200000000</v>
      </c>
      <c r="M14" s="260"/>
      <c r="N14" s="260"/>
    </row>
    <row r="15" spans="1:14">
      <c r="A15" s="801">
        <v>40634</v>
      </c>
      <c r="B15" s="696" t="s">
        <v>340</v>
      </c>
      <c r="C15" s="801">
        <v>40634</v>
      </c>
      <c r="D15" s="261" t="s">
        <v>393</v>
      </c>
      <c r="E15" s="697" t="s">
        <v>47</v>
      </c>
      <c r="F15" s="261"/>
      <c r="G15" s="261"/>
      <c r="H15" s="261"/>
      <c r="I15" s="342">
        <v>100000000</v>
      </c>
      <c r="J15" s="261"/>
      <c r="K15" s="261"/>
      <c r="L15" s="699">
        <f t="shared" ref="L15:L16" si="0">L14+I15-G15</f>
        <v>4300000000</v>
      </c>
      <c r="M15" s="261"/>
      <c r="N15" s="261"/>
    </row>
    <row r="16" spans="1:14">
      <c r="A16" s="801">
        <v>40634</v>
      </c>
      <c r="B16" s="696" t="s">
        <v>344</v>
      </c>
      <c r="C16" s="801">
        <v>40634</v>
      </c>
      <c r="D16" s="261" t="s">
        <v>394</v>
      </c>
      <c r="E16" s="697" t="s">
        <v>47</v>
      </c>
      <c r="F16" s="261"/>
      <c r="G16" s="261"/>
      <c r="H16" s="261"/>
      <c r="I16" s="342">
        <v>100000000</v>
      </c>
      <c r="J16" s="261"/>
      <c r="K16" s="261"/>
      <c r="L16" s="699">
        <f t="shared" si="0"/>
        <v>4400000000</v>
      </c>
      <c r="M16" s="261"/>
      <c r="N16" s="261"/>
    </row>
    <row r="17" spans="1:14">
      <c r="A17" s="696"/>
      <c r="B17" s="260"/>
      <c r="C17" s="696"/>
      <c r="D17" s="261"/>
      <c r="E17" s="261"/>
      <c r="F17" s="261"/>
      <c r="G17" s="261"/>
      <c r="H17" s="261"/>
      <c r="I17" s="261"/>
      <c r="J17" s="261"/>
      <c r="K17" s="261"/>
      <c r="L17" s="261"/>
      <c r="M17" s="261"/>
      <c r="N17" s="261"/>
    </row>
    <row r="18" spans="1:14">
      <c r="A18" s="696"/>
      <c r="B18" s="260"/>
      <c r="C18" s="696"/>
      <c r="D18" s="262" t="s">
        <v>133</v>
      </c>
      <c r="E18" s="463" t="s">
        <v>19</v>
      </c>
      <c r="F18" s="263"/>
      <c r="G18" s="263"/>
      <c r="H18" s="263"/>
      <c r="I18" s="698">
        <f>SUM(I13:I17)</f>
        <v>1900000000</v>
      </c>
      <c r="J18" s="263"/>
      <c r="K18" s="263"/>
      <c r="L18" s="700">
        <f>L13+I18-F18</f>
        <v>4400000000</v>
      </c>
      <c r="M18" s="263"/>
      <c r="N18" s="263"/>
    </row>
    <row r="19" spans="1:14">
      <c r="A19" s="264"/>
      <c r="B19" s="264"/>
      <c r="C19" s="264"/>
      <c r="D19" s="265" t="s">
        <v>10</v>
      </c>
      <c r="E19" s="464" t="s">
        <v>19</v>
      </c>
      <c r="F19" s="264"/>
      <c r="G19" s="264"/>
      <c r="H19" s="264"/>
      <c r="I19" s="264"/>
      <c r="J19" s="264"/>
      <c r="K19" s="264"/>
      <c r="L19" s="266">
        <f>L13+L18</f>
        <v>6900000000</v>
      </c>
      <c r="M19" s="264"/>
      <c r="N19" s="264"/>
    </row>
    <row r="21" spans="1:14">
      <c r="C21" s="267" t="s">
        <v>175</v>
      </c>
    </row>
    <row r="22" spans="1:14">
      <c r="C22" s="178" t="str">
        <f>"- Ngày mở sổ: "&amp;DAY($A$15)&amp;"/"&amp;MONTH($A$15)&amp;"/ " &amp;YEAR($A$15)</f>
        <v>- Ngày mở sổ: 1/4/ 2011</v>
      </c>
    </row>
    <row r="23" spans="1:14">
      <c r="B23" s="268"/>
      <c r="C23" s="268"/>
      <c r="D23" s="268"/>
      <c r="E23" s="1065" t="str">
        <f>"Ngày 31 tháng  12  năm  "&amp;YEAR($A$14)</f>
        <v>Ngày 31 tháng  12  năm  2011</v>
      </c>
      <c r="F23" s="1065"/>
      <c r="G23" s="1065"/>
      <c r="H23" s="1065"/>
      <c r="I23" s="1065"/>
      <c r="J23" s="1065"/>
      <c r="K23" s="1065"/>
      <c r="L23" s="1065"/>
      <c r="M23" s="1065"/>
      <c r="N23" s="1065"/>
    </row>
    <row r="24" spans="1:14">
      <c r="A24" s="1065" t="s">
        <v>11</v>
      </c>
      <c r="B24" s="1065"/>
      <c r="C24" s="1065"/>
      <c r="D24" s="1065"/>
      <c r="E24" s="1065" t="s">
        <v>12</v>
      </c>
      <c r="F24" s="1065"/>
      <c r="G24" s="1065"/>
      <c r="H24" s="1065"/>
      <c r="I24" s="1065"/>
      <c r="J24" s="1065"/>
      <c r="K24" s="1065"/>
      <c r="L24" s="1065"/>
      <c r="M24" s="1065"/>
      <c r="N24" s="1065"/>
    </row>
    <row r="25" spans="1:14">
      <c r="A25" s="1065" t="s">
        <v>13</v>
      </c>
      <c r="B25" s="1065"/>
      <c r="C25" s="1065"/>
      <c r="D25" s="1065"/>
      <c r="E25" s="1065" t="s">
        <v>13</v>
      </c>
      <c r="F25" s="1065"/>
      <c r="G25" s="1065"/>
      <c r="H25" s="1065"/>
      <c r="I25" s="1065"/>
      <c r="J25" s="1065"/>
      <c r="K25" s="1065"/>
      <c r="L25" s="1065"/>
      <c r="M25" s="1065"/>
      <c r="N25" s="1065"/>
    </row>
  </sheetData>
  <mergeCells count="29">
    <mergeCell ref="E23:N23"/>
    <mergeCell ref="A24:D24"/>
    <mergeCell ref="E24:N24"/>
    <mergeCell ref="A5:N5"/>
    <mergeCell ref="A6:N6"/>
    <mergeCell ref="C7:N7"/>
    <mergeCell ref="A8:A11"/>
    <mergeCell ref="B8:C9"/>
    <mergeCell ref="D8:D11"/>
    <mergeCell ref="E8:E11"/>
    <mergeCell ref="F8:K8"/>
    <mergeCell ref="L8:N8"/>
    <mergeCell ref="F9:H9"/>
    <mergeCell ref="J3:M4"/>
    <mergeCell ref="J2:M2"/>
    <mergeCell ref="A25:D25"/>
    <mergeCell ref="E25:N25"/>
    <mergeCell ref="I9:K9"/>
    <mergeCell ref="L9:L11"/>
    <mergeCell ref="M9:M11"/>
    <mergeCell ref="N9:N11"/>
    <mergeCell ref="B10:B11"/>
    <mergeCell ref="C10:C11"/>
    <mergeCell ref="F10:F11"/>
    <mergeCell ref="G10:G11"/>
    <mergeCell ref="H10:H11"/>
    <mergeCell ref="I10:I11"/>
    <mergeCell ref="J10:J11"/>
    <mergeCell ref="K10:K11"/>
  </mergeCells>
  <printOptions horizontalCentered="1"/>
  <pageMargins left="0.6" right="0.2" top="0.3" bottom="0.3" header="0.5" footer="0.3"/>
  <pageSetup paperSize="9" scale="80"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indexed="28"/>
  </sheetPr>
  <dimension ref="A1:N500"/>
  <sheetViews>
    <sheetView topLeftCell="A8" workbookViewId="0">
      <pane ySplit="4" topLeftCell="A252" activePane="bottomLeft" state="frozen"/>
      <selection activeCell="A8" sqref="A8"/>
      <selection pane="bottomLeft" activeCell="K12" sqref="K12:L421"/>
    </sheetView>
  </sheetViews>
  <sheetFormatPr defaultRowHeight="12.75"/>
  <cols>
    <col min="1" max="1" width="3.7109375" style="274" customWidth="1"/>
    <col min="2" max="2" width="3.42578125" style="274" customWidth="1"/>
    <col min="3" max="3" width="34" style="274" customWidth="1"/>
    <col min="4" max="4" width="7.7109375" style="277" customWidth="1"/>
    <col min="5" max="5" width="6.7109375" style="286" customWidth="1"/>
    <col min="6" max="6" width="12.140625" style="286" customWidth="1"/>
    <col min="7" max="7" width="9.7109375" style="279" customWidth="1"/>
    <col min="8" max="8" width="12.140625" style="279" customWidth="1"/>
    <col min="9" max="9" width="7.85546875" style="279" customWidth="1"/>
    <col min="10" max="10" width="11.7109375" style="279" customWidth="1"/>
    <col min="11" max="11" width="7.85546875" style="279" customWidth="1"/>
    <col min="12" max="12" width="13" style="279" customWidth="1"/>
    <col min="13" max="13" width="9" style="274" customWidth="1"/>
    <col min="14" max="14" width="11.140625" style="279" bestFit="1" customWidth="1"/>
    <col min="15" max="16384" width="9.140625" style="274"/>
  </cols>
  <sheetData>
    <row r="1" spans="1:14" s="249" customFormat="1" ht="14.25" customHeight="1">
      <c r="B1" s="797" t="str">
        <f>TH!$A$1</f>
        <v>Đơn vị: CÔNG TY TNHH MỘT THÀNH VIÊN KHỞI NGUYÊN AN</v>
      </c>
      <c r="C1" s="269"/>
      <c r="D1" s="269"/>
      <c r="E1" s="269"/>
      <c r="F1" s="270"/>
      <c r="G1" s="270"/>
      <c r="H1" s="1057" t="s">
        <v>176</v>
      </c>
      <c r="I1" s="1057"/>
      <c r="J1" s="1057"/>
      <c r="K1" s="1057"/>
      <c r="L1" s="1057"/>
      <c r="M1" s="701"/>
      <c r="N1" s="702"/>
    </row>
    <row r="2" spans="1:14" s="249" customFormat="1" ht="14.25" customHeight="1">
      <c r="B2" s="798" t="str">
        <f>TH!$A$2</f>
        <v>Địa chỉ: Thửa đất số 144, tờ bản đồ số 12TĐH.1, tổ 1, khu phố Đông Tác, Phường Tân Đông Hiệp, Thị Xã Dĩ An, Tỉnh Bình Dương, Việt Nam</v>
      </c>
      <c r="C2" s="271"/>
      <c r="D2" s="271"/>
      <c r="E2" s="271"/>
      <c r="F2" s="271"/>
      <c r="G2" s="271"/>
      <c r="H2" s="1058" t="e">
        <f ca="1">IF(YEAR('152-CT'!$C$50)&gt;=2015,"(Ban hành theo Thông tư số 200/2014/TT-BTC  Ngày 22/12/2014 của Bộ Tài chính)","(Ban hành kèm theo QĐ 48/2006/QĐ-BTC ngày 24/09/2006 của Bộ trưởng BTC)")</f>
        <v>#VALUE!</v>
      </c>
      <c r="I2" s="1058"/>
      <c r="J2" s="1058"/>
      <c r="K2" s="1058"/>
      <c r="L2" s="1058"/>
      <c r="M2" s="706"/>
      <c r="N2" s="702"/>
    </row>
    <row r="3" spans="1:14" s="249" customFormat="1" ht="14.25" customHeight="1">
      <c r="B3" s="271"/>
      <c r="C3" s="271"/>
      <c r="D3" s="271"/>
      <c r="E3" s="271"/>
      <c r="F3" s="271"/>
      <c r="G3" s="271"/>
      <c r="H3" s="1058"/>
      <c r="I3" s="1058"/>
      <c r="J3" s="1058"/>
      <c r="K3" s="1058"/>
      <c r="L3" s="1058"/>
      <c r="M3" s="707"/>
      <c r="N3" s="702"/>
    </row>
    <row r="4" spans="1:14" s="272" customFormat="1" ht="27.75" customHeight="1">
      <c r="B4" s="1080" t="s">
        <v>177</v>
      </c>
      <c r="C4" s="1080"/>
      <c r="D4" s="1080"/>
      <c r="E4" s="1080"/>
      <c r="F4" s="1080"/>
      <c r="G4" s="1080"/>
      <c r="H4" s="1080"/>
      <c r="I4" s="1080"/>
      <c r="J4" s="1080"/>
      <c r="K4" s="1080"/>
      <c r="L4" s="1080"/>
      <c r="N4" s="703"/>
    </row>
    <row r="5" spans="1:14" s="272" customFormat="1" ht="15" customHeight="1">
      <c r="B5" s="1079" t="s">
        <v>178</v>
      </c>
      <c r="C5" s="1079"/>
      <c r="D5" s="1079"/>
      <c r="E5" s="1079"/>
      <c r="F5" s="1079"/>
      <c r="G5" s="1079"/>
      <c r="H5" s="1079"/>
      <c r="I5" s="1079"/>
      <c r="J5" s="1079"/>
      <c r="K5" s="1079"/>
      <c r="L5" s="1079"/>
      <c r="N5" s="703"/>
    </row>
    <row r="6" spans="1:14" s="272" customFormat="1" ht="12.75" hidden="1" customHeight="1">
      <c r="B6" s="1079" t="s">
        <v>179</v>
      </c>
      <c r="C6" s="1079"/>
      <c r="D6" s="1079"/>
      <c r="E6" s="1079"/>
      <c r="F6" s="1079"/>
      <c r="G6" s="1079"/>
      <c r="H6" s="1079"/>
      <c r="I6" s="1079"/>
      <c r="J6" s="1079"/>
      <c r="K6" s="1079"/>
      <c r="L6" s="1079"/>
      <c r="N6" s="703"/>
    </row>
    <row r="7" spans="1:14" s="273" customFormat="1" ht="24" hidden="1" customHeight="1">
      <c r="C7" s="1087" t="s">
        <v>180</v>
      </c>
      <c r="D7" s="1087"/>
      <c r="E7" s="1087"/>
      <c r="F7" s="1087"/>
      <c r="G7" s="1087"/>
      <c r="H7" s="1087"/>
      <c r="I7" s="1087"/>
      <c r="J7" s="1087"/>
      <c r="K7" s="1087"/>
      <c r="L7" s="1087"/>
      <c r="N7" s="704"/>
    </row>
    <row r="8" spans="1:14" ht="20.25" customHeight="1">
      <c r="B8" s="1081" t="s">
        <v>35</v>
      </c>
      <c r="C8" s="1082" t="s">
        <v>181</v>
      </c>
      <c r="D8" s="1083" t="s">
        <v>182</v>
      </c>
      <c r="E8" s="1085" t="s">
        <v>139</v>
      </c>
      <c r="F8" s="1085"/>
      <c r="G8" s="1085"/>
      <c r="H8" s="1085"/>
      <c r="I8" s="1085"/>
      <c r="J8" s="1085"/>
      <c r="K8" s="1085"/>
      <c r="L8" s="1085"/>
    </row>
    <row r="9" spans="1:14" ht="20.25" customHeight="1">
      <c r="B9" s="1081"/>
      <c r="C9" s="1082"/>
      <c r="D9" s="1084"/>
      <c r="E9" s="1085" t="s">
        <v>183</v>
      </c>
      <c r="F9" s="1085"/>
      <c r="G9" s="1086" t="s">
        <v>184</v>
      </c>
      <c r="H9" s="1086"/>
      <c r="I9" s="1086" t="s">
        <v>185</v>
      </c>
      <c r="J9" s="1086"/>
      <c r="K9" s="1086" t="s">
        <v>186</v>
      </c>
      <c r="L9" s="1086"/>
    </row>
    <row r="10" spans="1:14" ht="20.25" hidden="1" customHeight="1">
      <c r="B10" s="1081"/>
      <c r="C10" s="1082"/>
      <c r="D10" s="275"/>
      <c r="E10" s="276" t="s">
        <v>187</v>
      </c>
      <c r="F10" s="276" t="s">
        <v>188</v>
      </c>
      <c r="G10" s="276" t="s">
        <v>187</v>
      </c>
      <c r="H10" s="276" t="s">
        <v>188</v>
      </c>
      <c r="I10" s="276" t="s">
        <v>187</v>
      </c>
      <c r="J10" s="276" t="s">
        <v>188</v>
      </c>
      <c r="K10" s="276" t="s">
        <v>187</v>
      </c>
      <c r="L10" s="276" t="s">
        <v>188</v>
      </c>
    </row>
    <row r="11" spans="1:14" s="277" customFormat="1">
      <c r="B11" s="278" t="s">
        <v>2</v>
      </c>
      <c r="C11" s="275" t="s">
        <v>3</v>
      </c>
      <c r="D11" s="275"/>
      <c r="E11" s="276">
        <v>1</v>
      </c>
      <c r="F11" s="276">
        <v>1</v>
      </c>
      <c r="G11" s="276">
        <v>2</v>
      </c>
      <c r="H11" s="276">
        <v>2</v>
      </c>
      <c r="I11" s="276">
        <v>3</v>
      </c>
      <c r="J11" s="276">
        <v>3</v>
      </c>
      <c r="K11" s="276">
        <v>4</v>
      </c>
      <c r="L11" s="276">
        <v>4</v>
      </c>
      <c r="N11" s="705"/>
    </row>
    <row r="12" spans="1:14" ht="18.75" customHeight="1">
      <c r="A12" s="279" t="str">
        <f t="shared" ref="A12:A75" si="0">IF(B12&lt;&gt;"","NL","")</f>
        <v>NL</v>
      </c>
      <c r="B12" s="745">
        <f t="shared" ref="B12:B75" si="1">IF(C12&lt;&gt;"",ROW()-11,"")</f>
        <v>1</v>
      </c>
      <c r="C12" s="190" t="s">
        <v>620</v>
      </c>
      <c r="D12" s="281" t="s">
        <v>338</v>
      </c>
      <c r="E12" s="25"/>
      <c r="F12" s="25"/>
      <c r="G12" s="25">
        <f t="array" ref="G12">SUM(IF("156"&amp;C12=KHN&amp;MH,SL))</f>
        <v>15556</v>
      </c>
      <c r="H12" s="25">
        <f t="array" ref="H12">SUM(IF("156"&amp;C12=KHN&amp;MH,TH))</f>
        <v>216702480</v>
      </c>
      <c r="I12" s="25">
        <f t="array" ref="I12">SUM(IF("156"&amp;C12=KHC&amp;MH,SL))</f>
        <v>12056</v>
      </c>
      <c r="J12" s="25">
        <f t="array" ref="J12">SUM(IF("156"&amp;C12=KHC&amp;MH,TH))</f>
        <v>166827480</v>
      </c>
      <c r="K12" s="25">
        <f t="shared" ref="K12:K75" si="2">E12+G12-I12</f>
        <v>3500</v>
      </c>
      <c r="L12" s="25">
        <f t="shared" ref="L12:L75" si="3">F12+H12-J12</f>
        <v>49875000</v>
      </c>
      <c r="M12" s="279"/>
    </row>
    <row r="13" spans="1:14" ht="18.75" customHeight="1">
      <c r="A13" s="279" t="str">
        <f t="shared" si="0"/>
        <v>NL</v>
      </c>
      <c r="B13" s="745">
        <f t="shared" si="1"/>
        <v>2</v>
      </c>
      <c r="C13" s="190" t="s">
        <v>621</v>
      </c>
      <c r="D13" s="281" t="s">
        <v>338</v>
      </c>
      <c r="E13" s="25"/>
      <c r="F13" s="25"/>
      <c r="G13" s="25">
        <f t="array" ref="G13">SUM(IF("156"&amp;C13=KHN&amp;MH,SL))</f>
        <v>13900</v>
      </c>
      <c r="H13" s="25">
        <f t="array" ref="H13">SUM(IF("156"&amp;C13=KHN&amp;MH,TH))</f>
        <v>212079829</v>
      </c>
      <c r="I13" s="25">
        <f t="array" ref="I13">SUM(IF("156"&amp;C13=KHC&amp;MH,SL))</f>
        <v>12900</v>
      </c>
      <c r="J13" s="25">
        <f t="array" ref="J13">SUM(IF("156"&amp;C13=KHC&amp;MH,TH))</f>
        <v>196404829</v>
      </c>
      <c r="K13" s="25">
        <f t="shared" si="2"/>
        <v>1000</v>
      </c>
      <c r="L13" s="25">
        <f t="shared" si="3"/>
        <v>15675000</v>
      </c>
      <c r="M13" s="279"/>
    </row>
    <row r="14" spans="1:14" ht="18.75" customHeight="1">
      <c r="A14" s="279" t="str">
        <f t="shared" si="0"/>
        <v>NL</v>
      </c>
      <c r="B14" s="745">
        <f t="shared" si="1"/>
        <v>3</v>
      </c>
      <c r="C14" s="190" t="s">
        <v>566</v>
      </c>
      <c r="D14" s="281" t="s">
        <v>338</v>
      </c>
      <c r="E14" s="25"/>
      <c r="F14" s="25"/>
      <c r="G14" s="25">
        <f t="array" ref="G14">SUM(IF("156"&amp;C14=KHN&amp;MH,SL))</f>
        <v>170</v>
      </c>
      <c r="H14" s="25">
        <f t="array" ref="H14">SUM(IF("156"&amp;C14=KHN&amp;MH,TH))</f>
        <v>1615000</v>
      </c>
      <c r="I14" s="25">
        <f t="array" ref="I14">SUM(IF("156"&amp;C14=KHC&amp;MH,SL))</f>
        <v>0</v>
      </c>
      <c r="J14" s="25">
        <f t="array" ref="J14">SUM(IF("156"&amp;C14=KHC&amp;MH,TH))</f>
        <v>0</v>
      </c>
      <c r="K14" s="25">
        <f t="shared" si="2"/>
        <v>170</v>
      </c>
      <c r="L14" s="25">
        <f t="shared" si="3"/>
        <v>1615000</v>
      </c>
      <c r="M14" s="279"/>
    </row>
    <row r="15" spans="1:14" ht="18.75" customHeight="1">
      <c r="A15" s="279" t="str">
        <f t="shared" si="0"/>
        <v>NL</v>
      </c>
      <c r="B15" s="745">
        <f t="shared" si="1"/>
        <v>4</v>
      </c>
      <c r="C15" s="190" t="s">
        <v>915</v>
      </c>
      <c r="D15" s="281" t="s">
        <v>338</v>
      </c>
      <c r="E15" s="25"/>
      <c r="F15" s="25"/>
      <c r="G15" s="25">
        <f t="array" ref="G15">SUM(IF("156"&amp;C15=KHN&amp;MH,SL))</f>
        <v>250</v>
      </c>
      <c r="H15" s="25">
        <f t="array" ref="H15">SUM(IF("156"&amp;C15=KHN&amp;MH,TH))</f>
        <v>2266250</v>
      </c>
      <c r="I15" s="25">
        <f t="array" ref="I15">SUM(IF("156"&amp;C15=KHC&amp;MH,SL))</f>
        <v>0</v>
      </c>
      <c r="J15" s="25">
        <f t="array" ref="J15">SUM(IF("156"&amp;C15=KHC&amp;MH,TH))</f>
        <v>0</v>
      </c>
      <c r="K15" s="25">
        <f t="shared" si="2"/>
        <v>250</v>
      </c>
      <c r="L15" s="25">
        <f t="shared" si="3"/>
        <v>2266250</v>
      </c>
      <c r="M15" s="279"/>
    </row>
    <row r="16" spans="1:14" ht="18.75" customHeight="1">
      <c r="A16" s="279" t="str">
        <f t="shared" si="0"/>
        <v>NL</v>
      </c>
      <c r="B16" s="745">
        <f t="shared" si="1"/>
        <v>5</v>
      </c>
      <c r="C16" s="190" t="s">
        <v>917</v>
      </c>
      <c r="D16" s="281" t="s">
        <v>338</v>
      </c>
      <c r="E16" s="25"/>
      <c r="F16" s="25"/>
      <c r="G16" s="25">
        <f t="array" ref="G16">SUM(IF("156"&amp;C16=KHN&amp;MH,SL))</f>
        <v>144</v>
      </c>
      <c r="H16" s="25">
        <f t="array" ref="H16">SUM(IF("156"&amp;C16=KHN&amp;MH,TH))</f>
        <v>1317744</v>
      </c>
      <c r="I16" s="25">
        <f t="array" ref="I16">SUM(IF("156"&amp;C16=KHC&amp;MH,SL))</f>
        <v>0</v>
      </c>
      <c r="J16" s="25">
        <f t="array" ref="J16">SUM(IF("156"&amp;C16=KHC&amp;MH,TH))</f>
        <v>0</v>
      </c>
      <c r="K16" s="25">
        <f t="shared" si="2"/>
        <v>144</v>
      </c>
      <c r="L16" s="25">
        <f t="shared" si="3"/>
        <v>1317744</v>
      </c>
      <c r="M16" s="279"/>
    </row>
    <row r="17" spans="1:13" ht="18.75" hidden="1" customHeight="1">
      <c r="A17" s="279" t="str">
        <f t="shared" si="0"/>
        <v>NL</v>
      </c>
      <c r="B17" s="745">
        <f t="shared" si="1"/>
        <v>6</v>
      </c>
      <c r="C17" s="187" t="s">
        <v>1115</v>
      </c>
      <c r="D17" s="281" t="s">
        <v>338</v>
      </c>
      <c r="E17" s="25">
        <v>20</v>
      </c>
      <c r="F17" s="25">
        <v>415800</v>
      </c>
      <c r="G17" s="25">
        <f t="array" ref="G17">SUM(IF("156"&amp;C17=KHN&amp;MH,SL))</f>
        <v>0</v>
      </c>
      <c r="H17" s="25">
        <f t="array" ref="H17">SUM(IF("156"&amp;C17=KHN&amp;MH,TH))</f>
        <v>0</v>
      </c>
      <c r="I17" s="25">
        <f t="array" ref="I17">SUM(IF("156"&amp;C17=KHC&amp;MH,SL))</f>
        <v>20</v>
      </c>
      <c r="J17" s="25">
        <f t="array" ref="J17">SUM(IF("156"&amp;C17=KHC&amp;MH,TH))</f>
        <v>415800</v>
      </c>
      <c r="K17" s="25">
        <f t="shared" si="2"/>
        <v>0</v>
      </c>
      <c r="L17" s="25">
        <f t="shared" si="3"/>
        <v>0</v>
      </c>
      <c r="M17" s="279"/>
    </row>
    <row r="18" spans="1:13" ht="18.75" customHeight="1">
      <c r="A18" s="279" t="str">
        <f t="shared" si="0"/>
        <v>NL</v>
      </c>
      <c r="B18" s="745">
        <f t="shared" si="1"/>
        <v>7</v>
      </c>
      <c r="C18" s="190" t="s">
        <v>853</v>
      </c>
      <c r="D18" s="281" t="s">
        <v>338</v>
      </c>
      <c r="E18" s="25"/>
      <c r="F18" s="25"/>
      <c r="G18" s="25">
        <f t="array" ref="G18">SUM(IF("156"&amp;C18=KHN&amp;MH,SL))</f>
        <v>200</v>
      </c>
      <c r="H18" s="25">
        <f t="array" ref="H18">SUM(IF("156"&amp;C18=KHN&amp;MH,TH))</f>
        <v>1983200</v>
      </c>
      <c r="I18" s="25">
        <f t="array" ref="I18">SUM(IF("156"&amp;C18=KHC&amp;MH,SL))</f>
        <v>0</v>
      </c>
      <c r="J18" s="25">
        <f t="array" ref="J18">SUM(IF("156"&amp;C18=KHC&amp;MH,TH))</f>
        <v>0</v>
      </c>
      <c r="K18" s="25">
        <f t="shared" si="2"/>
        <v>200</v>
      </c>
      <c r="L18" s="25">
        <f t="shared" si="3"/>
        <v>1983200</v>
      </c>
      <c r="M18" s="279"/>
    </row>
    <row r="19" spans="1:13" ht="18.75" customHeight="1">
      <c r="A19" s="279" t="str">
        <f t="shared" si="0"/>
        <v>NL</v>
      </c>
      <c r="B19" s="745">
        <f t="shared" si="1"/>
        <v>8</v>
      </c>
      <c r="C19" s="190" t="s">
        <v>918</v>
      </c>
      <c r="D19" s="281" t="s">
        <v>338</v>
      </c>
      <c r="E19" s="25"/>
      <c r="F19" s="25"/>
      <c r="G19" s="25">
        <f t="array" ref="G19">SUM(IF("156"&amp;C19=KHN&amp;MH,SL))</f>
        <v>180</v>
      </c>
      <c r="H19" s="25">
        <f t="array" ref="H19">SUM(IF("156"&amp;C19=KHN&amp;MH,TH))</f>
        <v>1907460</v>
      </c>
      <c r="I19" s="25">
        <f t="array" ref="I19">SUM(IF("156"&amp;C19=KHC&amp;MH,SL))</f>
        <v>0</v>
      </c>
      <c r="J19" s="25">
        <f t="array" ref="J19">SUM(IF("156"&amp;C19=KHC&amp;MH,TH))</f>
        <v>0</v>
      </c>
      <c r="K19" s="25">
        <f t="shared" si="2"/>
        <v>180</v>
      </c>
      <c r="L19" s="25">
        <f t="shared" si="3"/>
        <v>1907460</v>
      </c>
      <c r="M19" s="279"/>
    </row>
    <row r="20" spans="1:13" ht="18.75" customHeight="1">
      <c r="A20" s="279" t="str">
        <f t="shared" si="0"/>
        <v>NL</v>
      </c>
      <c r="B20" s="745">
        <f t="shared" si="1"/>
        <v>9</v>
      </c>
      <c r="C20" s="190" t="s">
        <v>812</v>
      </c>
      <c r="D20" s="281" t="s">
        <v>338</v>
      </c>
      <c r="E20" s="25"/>
      <c r="F20" s="25"/>
      <c r="G20" s="25">
        <f t="array" ref="G20">SUM(IF("156"&amp;C20=KHN&amp;MH,SL))</f>
        <v>40</v>
      </c>
      <c r="H20" s="25">
        <f t="array" ref="H20">SUM(IF("156"&amp;C20=KHN&amp;MH,TH))</f>
        <v>574560</v>
      </c>
      <c r="I20" s="25">
        <f t="array" ref="I20">SUM(IF("156"&amp;C20=KHC&amp;MH,SL))</f>
        <v>0</v>
      </c>
      <c r="J20" s="25">
        <f t="array" ref="J20">SUM(IF("156"&amp;C20=KHC&amp;MH,TH))</f>
        <v>0</v>
      </c>
      <c r="K20" s="25">
        <f t="shared" si="2"/>
        <v>40</v>
      </c>
      <c r="L20" s="25">
        <f t="shared" si="3"/>
        <v>574560</v>
      </c>
      <c r="M20" s="279"/>
    </row>
    <row r="21" spans="1:13" ht="18.75" customHeight="1">
      <c r="A21" s="279" t="str">
        <f t="shared" si="0"/>
        <v>NL</v>
      </c>
      <c r="B21" s="745">
        <f t="shared" si="1"/>
        <v>10</v>
      </c>
      <c r="C21" s="190" t="s">
        <v>923</v>
      </c>
      <c r="D21" s="281" t="s">
        <v>338</v>
      </c>
      <c r="E21" s="25"/>
      <c r="F21" s="25"/>
      <c r="G21" s="25">
        <f t="array" ref="G21">SUM(IF("156"&amp;C21=KHN&amp;MH,SL))</f>
        <v>28</v>
      </c>
      <c r="H21" s="25">
        <f t="array" ref="H21">SUM(IF("156"&amp;C21=KHN&amp;MH,TH))</f>
        <v>391664</v>
      </c>
      <c r="I21" s="25">
        <f t="array" ref="I21">SUM(IF("156"&amp;C21=KHC&amp;MH,SL))</f>
        <v>0</v>
      </c>
      <c r="J21" s="25">
        <f t="array" ref="J21">SUM(IF("156"&amp;C21=KHC&amp;MH,TH))</f>
        <v>0</v>
      </c>
      <c r="K21" s="25">
        <f t="shared" si="2"/>
        <v>28</v>
      </c>
      <c r="L21" s="25">
        <f t="shared" si="3"/>
        <v>391664</v>
      </c>
      <c r="M21" s="279"/>
    </row>
    <row r="22" spans="1:13" ht="18.75" customHeight="1">
      <c r="A22" s="279" t="str">
        <f t="shared" si="0"/>
        <v>NL</v>
      </c>
      <c r="B22" s="745">
        <f t="shared" si="1"/>
        <v>11</v>
      </c>
      <c r="C22" s="190" t="s">
        <v>916</v>
      </c>
      <c r="D22" s="281" t="s">
        <v>338</v>
      </c>
      <c r="E22" s="25"/>
      <c r="F22" s="25"/>
      <c r="G22" s="25">
        <f t="array" ref="G22">SUM(IF("156"&amp;C22=KHN&amp;MH,SL))</f>
        <v>144</v>
      </c>
      <c r="H22" s="25">
        <f t="array" ref="H22">SUM(IF("156"&amp;C22=KHN&amp;MH,TH))</f>
        <v>1416240</v>
      </c>
      <c r="I22" s="25">
        <f t="array" ref="I22">SUM(IF("156"&amp;C22=KHC&amp;MH,SL))</f>
        <v>0</v>
      </c>
      <c r="J22" s="25">
        <f t="array" ref="J22">SUM(IF("156"&amp;C22=KHC&amp;MH,TH))</f>
        <v>0</v>
      </c>
      <c r="K22" s="25">
        <f t="shared" si="2"/>
        <v>144</v>
      </c>
      <c r="L22" s="25">
        <f t="shared" si="3"/>
        <v>1416240</v>
      </c>
      <c r="M22" s="279"/>
    </row>
    <row r="23" spans="1:13" ht="18.75" hidden="1" customHeight="1">
      <c r="A23" s="279" t="str">
        <f t="shared" si="0"/>
        <v>NL</v>
      </c>
      <c r="B23" s="745">
        <f t="shared" si="1"/>
        <v>12</v>
      </c>
      <c r="C23" s="190" t="s">
        <v>1116</v>
      </c>
      <c r="D23" s="281" t="s">
        <v>338</v>
      </c>
      <c r="E23" s="25">
        <v>150</v>
      </c>
      <c r="F23" s="25">
        <v>2551350</v>
      </c>
      <c r="G23" s="25">
        <f t="array" ref="G23">SUM(IF("156"&amp;C23=KHN&amp;MH,SL))</f>
        <v>0</v>
      </c>
      <c r="H23" s="25">
        <f t="array" ref="H23">SUM(IF("156"&amp;C23=KHN&amp;MH,TH))</f>
        <v>0</v>
      </c>
      <c r="I23" s="25">
        <f t="array" ref="I23">SUM(IF("156"&amp;C23=KHC&amp;MH,SL))</f>
        <v>150</v>
      </c>
      <c r="J23" s="25">
        <f t="array" ref="J23">SUM(IF("156"&amp;C23=KHC&amp;MH,TH))</f>
        <v>2551350</v>
      </c>
      <c r="K23" s="25">
        <f t="shared" si="2"/>
        <v>0</v>
      </c>
      <c r="L23" s="25">
        <f t="shared" si="3"/>
        <v>0</v>
      </c>
      <c r="M23" s="279"/>
    </row>
    <row r="24" spans="1:13" ht="18.75" hidden="1" customHeight="1">
      <c r="A24" s="279" t="str">
        <f t="shared" si="0"/>
        <v>NL</v>
      </c>
      <c r="B24" s="745">
        <f t="shared" si="1"/>
        <v>13</v>
      </c>
      <c r="C24" s="190" t="s">
        <v>1117</v>
      </c>
      <c r="D24" s="281" t="s">
        <v>338</v>
      </c>
      <c r="E24" s="25">
        <v>75</v>
      </c>
      <c r="F24" s="25">
        <v>773475</v>
      </c>
      <c r="G24" s="25">
        <f t="array" ref="G24">SUM(IF("156"&amp;C24=KHN&amp;MH,SL))</f>
        <v>0</v>
      </c>
      <c r="H24" s="25">
        <f t="array" ref="H24">SUM(IF("156"&amp;C24=KHN&amp;MH,TH))</f>
        <v>0</v>
      </c>
      <c r="I24" s="25">
        <f t="array" ref="I24">SUM(IF("156"&amp;C24=KHC&amp;MH,SL))</f>
        <v>75</v>
      </c>
      <c r="J24" s="25">
        <f t="array" ref="J24">SUM(IF("156"&amp;C24=KHC&amp;MH,TH))</f>
        <v>773475</v>
      </c>
      <c r="K24" s="25">
        <f t="shared" si="2"/>
        <v>0</v>
      </c>
      <c r="L24" s="25">
        <f t="shared" si="3"/>
        <v>0</v>
      </c>
      <c r="M24" s="279"/>
    </row>
    <row r="25" spans="1:13" ht="18.75" hidden="1" customHeight="1">
      <c r="A25" s="279" t="str">
        <f t="shared" si="0"/>
        <v>NL</v>
      </c>
      <c r="B25" s="745">
        <f t="shared" si="1"/>
        <v>14</v>
      </c>
      <c r="C25" s="190" t="s">
        <v>1118</v>
      </c>
      <c r="D25" s="281" t="s">
        <v>338</v>
      </c>
      <c r="E25" s="25">
        <v>250</v>
      </c>
      <c r="F25" s="25">
        <v>5044000</v>
      </c>
      <c r="G25" s="25">
        <f t="array" ref="G25">SUM(IF("156"&amp;C25=KHN&amp;MH,SL))</f>
        <v>0</v>
      </c>
      <c r="H25" s="25">
        <f t="array" ref="H25">SUM(IF("156"&amp;C25=KHN&amp;MH,TH))</f>
        <v>0</v>
      </c>
      <c r="I25" s="25">
        <f t="array" ref="I25">SUM(IF("156"&amp;C25=KHC&amp;MH,SL))</f>
        <v>250</v>
      </c>
      <c r="J25" s="25">
        <f t="array" ref="J25">SUM(IF("156"&amp;C25=KHC&amp;MH,TH))</f>
        <v>5044000</v>
      </c>
      <c r="K25" s="25">
        <f t="shared" si="2"/>
        <v>0</v>
      </c>
      <c r="L25" s="25">
        <f t="shared" si="3"/>
        <v>0</v>
      </c>
      <c r="M25" s="279"/>
    </row>
    <row r="26" spans="1:13" ht="18.75" customHeight="1">
      <c r="A26" s="279" t="str">
        <f t="shared" si="0"/>
        <v>NL</v>
      </c>
      <c r="B26" s="745">
        <f t="shared" si="1"/>
        <v>15</v>
      </c>
      <c r="C26" s="190" t="s">
        <v>857</v>
      </c>
      <c r="D26" s="281" t="s">
        <v>338</v>
      </c>
      <c r="E26" s="25"/>
      <c r="F26" s="25"/>
      <c r="G26" s="25">
        <f t="array" ref="G26">SUM(IF("156"&amp;C26=KHN&amp;MH,SL))</f>
        <v>2</v>
      </c>
      <c r="H26" s="25">
        <f t="array" ref="H26">SUM(IF("156"&amp;C26=KHN&amp;MH,TH))</f>
        <v>70876</v>
      </c>
      <c r="I26" s="25">
        <f t="array" ref="I26">SUM(IF("156"&amp;C26=KHC&amp;MH,SL))</f>
        <v>0</v>
      </c>
      <c r="J26" s="25">
        <f t="array" ref="J26">SUM(IF("156"&amp;C26=KHC&amp;MH,TH))</f>
        <v>0</v>
      </c>
      <c r="K26" s="25">
        <f t="shared" si="2"/>
        <v>2</v>
      </c>
      <c r="L26" s="25">
        <f t="shared" si="3"/>
        <v>70876</v>
      </c>
      <c r="M26" s="279"/>
    </row>
    <row r="27" spans="1:13" ht="18.75" customHeight="1">
      <c r="A27" s="279" t="str">
        <f t="shared" si="0"/>
        <v>NL</v>
      </c>
      <c r="B27" s="745">
        <f t="shared" si="1"/>
        <v>16</v>
      </c>
      <c r="C27" s="190" t="s">
        <v>598</v>
      </c>
      <c r="D27" s="281" t="s">
        <v>338</v>
      </c>
      <c r="E27" s="25"/>
      <c r="F27" s="25"/>
      <c r="G27" s="25">
        <f t="array" ref="G27">SUM(IF("156"&amp;C27=KHN&amp;MH,SL))</f>
        <v>16</v>
      </c>
      <c r="H27" s="25">
        <f t="array" ref="H27">SUM(IF("156"&amp;C27=KHN&amp;MH,TH))</f>
        <v>242420</v>
      </c>
      <c r="I27" s="25">
        <f t="array" ref="I27">SUM(IF("156"&amp;C27=KHC&amp;MH,SL))</f>
        <v>0</v>
      </c>
      <c r="J27" s="25">
        <f t="array" ref="J27">SUM(IF("156"&amp;C27=KHC&amp;MH,TH))</f>
        <v>0</v>
      </c>
      <c r="K27" s="25">
        <f t="shared" si="2"/>
        <v>16</v>
      </c>
      <c r="L27" s="25">
        <f t="shared" si="3"/>
        <v>242420</v>
      </c>
      <c r="M27" s="279"/>
    </row>
    <row r="28" spans="1:13" ht="18.75" customHeight="1">
      <c r="A28" s="279" t="str">
        <f t="shared" si="0"/>
        <v>NL</v>
      </c>
      <c r="B28" s="745">
        <f t="shared" si="1"/>
        <v>17</v>
      </c>
      <c r="C28" s="190" t="s">
        <v>600</v>
      </c>
      <c r="D28" s="281" t="s">
        <v>338</v>
      </c>
      <c r="E28" s="25"/>
      <c r="F28" s="25"/>
      <c r="G28" s="25">
        <f t="array" ref="G28">SUM(IF("156"&amp;C28=KHN&amp;MH,SL))</f>
        <v>10</v>
      </c>
      <c r="H28" s="25">
        <f t="array" ref="H28">SUM(IF("156"&amp;C28=KHN&amp;MH,TH))</f>
        <v>158355</v>
      </c>
      <c r="I28" s="25">
        <f t="array" ref="I28">SUM(IF("156"&amp;C28=KHC&amp;MH,SL))</f>
        <v>0</v>
      </c>
      <c r="J28" s="25">
        <f t="array" ref="J28">SUM(IF("156"&amp;C28=KHC&amp;MH,TH))</f>
        <v>0</v>
      </c>
      <c r="K28" s="25">
        <f t="shared" si="2"/>
        <v>10</v>
      </c>
      <c r="L28" s="25">
        <f t="shared" si="3"/>
        <v>158355</v>
      </c>
      <c r="M28" s="279"/>
    </row>
    <row r="29" spans="1:13" ht="18.75" customHeight="1">
      <c r="A29" s="279" t="str">
        <f t="shared" si="0"/>
        <v>NL</v>
      </c>
      <c r="B29" s="745">
        <f t="shared" si="1"/>
        <v>18</v>
      </c>
      <c r="C29" s="190" t="s">
        <v>599</v>
      </c>
      <c r="D29" s="281" t="s">
        <v>338</v>
      </c>
      <c r="E29" s="25"/>
      <c r="F29" s="25"/>
      <c r="G29" s="25">
        <f t="array" ref="G29">SUM(IF("156"&amp;C29=KHN&amp;MH,SL))</f>
        <v>16</v>
      </c>
      <c r="H29" s="25">
        <f t="array" ref="H29">SUM(IF("156"&amp;C29=KHN&amp;MH,TH))</f>
        <v>287776</v>
      </c>
      <c r="I29" s="25">
        <f t="array" ref="I29">SUM(IF("156"&amp;C29=KHC&amp;MH,SL))</f>
        <v>0</v>
      </c>
      <c r="J29" s="25">
        <f t="array" ref="J29">SUM(IF("156"&amp;C29=KHC&amp;MH,TH))</f>
        <v>0</v>
      </c>
      <c r="K29" s="25">
        <f t="shared" si="2"/>
        <v>16</v>
      </c>
      <c r="L29" s="25">
        <f t="shared" si="3"/>
        <v>287776</v>
      </c>
      <c r="M29" s="279"/>
    </row>
    <row r="30" spans="1:13" ht="18.75" customHeight="1">
      <c r="A30" s="279" t="str">
        <f t="shared" si="0"/>
        <v>NL</v>
      </c>
      <c r="B30" s="745">
        <f t="shared" si="1"/>
        <v>19</v>
      </c>
      <c r="C30" s="190" t="s">
        <v>815</v>
      </c>
      <c r="D30" s="281" t="s">
        <v>338</v>
      </c>
      <c r="E30" s="25"/>
      <c r="F30" s="25"/>
      <c r="G30" s="25">
        <f t="array" ref="G30">SUM(IF("156"&amp;C30=KHN&amp;MH,SL))</f>
        <v>40</v>
      </c>
      <c r="H30" s="25">
        <f t="array" ref="H30">SUM(IF("156"&amp;C30=KHN&amp;MH,TH))</f>
        <v>605520</v>
      </c>
      <c r="I30" s="25">
        <f t="array" ref="I30">SUM(IF("156"&amp;C30=KHC&amp;MH,SL))</f>
        <v>0</v>
      </c>
      <c r="J30" s="25">
        <f t="array" ref="J30">SUM(IF("156"&amp;C30=KHC&amp;MH,TH))</f>
        <v>0</v>
      </c>
      <c r="K30" s="25">
        <f t="shared" si="2"/>
        <v>40</v>
      </c>
      <c r="L30" s="25">
        <f t="shared" si="3"/>
        <v>605520</v>
      </c>
      <c r="M30" s="279"/>
    </row>
    <row r="31" spans="1:13" ht="18.75" customHeight="1">
      <c r="A31" s="279" t="str">
        <f t="shared" si="0"/>
        <v>NL</v>
      </c>
      <c r="B31" s="745">
        <f t="shared" si="1"/>
        <v>20</v>
      </c>
      <c r="C31" s="190" t="s">
        <v>944</v>
      </c>
      <c r="D31" s="281" t="s">
        <v>338</v>
      </c>
      <c r="E31" s="25"/>
      <c r="F31" s="25"/>
      <c r="G31" s="25">
        <f t="array" ref="G31">SUM(IF("156"&amp;C31=KHN&amp;MH,SL))</f>
        <v>40</v>
      </c>
      <c r="H31" s="25">
        <f t="array" ref="H31">SUM(IF("156"&amp;C31=KHN&amp;MH,TH))</f>
        <v>496800</v>
      </c>
      <c r="I31" s="25">
        <f t="array" ref="I31">SUM(IF("156"&amp;C31=KHC&amp;MH,SL))</f>
        <v>0</v>
      </c>
      <c r="J31" s="25">
        <f t="array" ref="J31">SUM(IF("156"&amp;C31=KHC&amp;MH,TH))</f>
        <v>0</v>
      </c>
      <c r="K31" s="25">
        <f t="shared" si="2"/>
        <v>40</v>
      </c>
      <c r="L31" s="25">
        <f t="shared" si="3"/>
        <v>496800</v>
      </c>
      <c r="M31" s="279"/>
    </row>
    <row r="32" spans="1:13" ht="18.75" customHeight="1">
      <c r="A32" s="279" t="str">
        <f t="shared" si="0"/>
        <v>NL</v>
      </c>
      <c r="B32" s="745">
        <f t="shared" si="1"/>
        <v>21</v>
      </c>
      <c r="C32" s="190" t="s">
        <v>919</v>
      </c>
      <c r="D32" s="281" t="s">
        <v>338</v>
      </c>
      <c r="E32" s="25"/>
      <c r="F32" s="25"/>
      <c r="G32" s="25">
        <f t="array" ref="G32">SUM(IF("156"&amp;C32=KHN&amp;MH,SL))</f>
        <v>132</v>
      </c>
      <c r="H32" s="25">
        <f t="array" ref="H32">SUM(IF("156"&amp;C32=KHN&amp;MH,TH))</f>
        <v>1472460</v>
      </c>
      <c r="I32" s="25">
        <f t="array" ref="I32">SUM(IF("156"&amp;C32=KHC&amp;MH,SL))</f>
        <v>0</v>
      </c>
      <c r="J32" s="25">
        <f t="array" ref="J32">SUM(IF("156"&amp;C32=KHC&amp;MH,TH))</f>
        <v>0</v>
      </c>
      <c r="K32" s="25">
        <f t="shared" si="2"/>
        <v>132</v>
      </c>
      <c r="L32" s="25">
        <f t="shared" si="3"/>
        <v>1472460</v>
      </c>
      <c r="M32" s="279"/>
    </row>
    <row r="33" spans="1:13" ht="18.75" customHeight="1">
      <c r="A33" s="279" t="str">
        <f t="shared" si="0"/>
        <v>NL</v>
      </c>
      <c r="B33" s="745">
        <f t="shared" si="1"/>
        <v>22</v>
      </c>
      <c r="C33" s="190" t="s">
        <v>657</v>
      </c>
      <c r="D33" s="281" t="s">
        <v>338</v>
      </c>
      <c r="E33" s="25"/>
      <c r="F33" s="25"/>
      <c r="G33" s="25">
        <f t="array" ref="G33">SUM(IF("156"&amp;C33=KHN&amp;MH,SL))</f>
        <v>10</v>
      </c>
      <c r="H33" s="25">
        <f t="array" ref="H33">SUM(IF("156"&amp;C33=KHN&amp;MH,TH))</f>
        <v>171120</v>
      </c>
      <c r="I33" s="25">
        <f t="array" ref="I33">SUM(IF("156"&amp;C33=KHC&amp;MH,SL))</f>
        <v>0</v>
      </c>
      <c r="J33" s="25">
        <f t="array" ref="J33">SUM(IF("156"&amp;C33=KHC&amp;MH,TH))</f>
        <v>0</v>
      </c>
      <c r="K33" s="25">
        <f t="shared" si="2"/>
        <v>10</v>
      </c>
      <c r="L33" s="25">
        <f t="shared" si="3"/>
        <v>171120</v>
      </c>
      <c r="M33" s="279"/>
    </row>
    <row r="34" spans="1:13" ht="18.75" customHeight="1">
      <c r="A34" s="279" t="str">
        <f t="shared" si="0"/>
        <v>NL</v>
      </c>
      <c r="B34" s="745">
        <f t="shared" si="1"/>
        <v>23</v>
      </c>
      <c r="C34" s="190" t="s">
        <v>650</v>
      </c>
      <c r="D34" s="281" t="s">
        <v>338</v>
      </c>
      <c r="E34" s="25"/>
      <c r="F34" s="25"/>
      <c r="G34" s="25">
        <f t="array" ref="G34">SUM(IF("156"&amp;C34=KHN&amp;MH,SL))</f>
        <v>72</v>
      </c>
      <c r="H34" s="25">
        <f t="array" ref="H34">SUM(IF("156"&amp;C34=KHN&amp;MH,TH))</f>
        <v>1247976</v>
      </c>
      <c r="I34" s="25">
        <f t="array" ref="I34">SUM(IF("156"&amp;C34=KHC&amp;MH,SL))</f>
        <v>0</v>
      </c>
      <c r="J34" s="25">
        <f t="array" ref="J34">SUM(IF("156"&amp;C34=KHC&amp;MH,TH))</f>
        <v>0</v>
      </c>
      <c r="K34" s="25">
        <f t="shared" si="2"/>
        <v>72</v>
      </c>
      <c r="L34" s="25">
        <f t="shared" si="3"/>
        <v>1247976</v>
      </c>
      <c r="M34" s="279"/>
    </row>
    <row r="35" spans="1:13" ht="18.75" customHeight="1">
      <c r="A35" s="279" t="str">
        <f t="shared" si="0"/>
        <v>NL</v>
      </c>
      <c r="B35" s="745">
        <f t="shared" si="1"/>
        <v>24</v>
      </c>
      <c r="C35" s="190" t="s">
        <v>656</v>
      </c>
      <c r="D35" s="281" t="s">
        <v>338</v>
      </c>
      <c r="E35" s="25"/>
      <c r="F35" s="25"/>
      <c r="G35" s="25">
        <f t="array" ref="G35">SUM(IF("156"&amp;C35=KHN&amp;MH,SL))</f>
        <v>33</v>
      </c>
      <c r="H35" s="25">
        <f t="array" ref="H35">SUM(IF("156"&amp;C35=KHN&amp;MH,TH))</f>
        <v>699501</v>
      </c>
      <c r="I35" s="25">
        <f t="array" ref="I35">SUM(IF("156"&amp;C35=KHC&amp;MH,SL))</f>
        <v>0</v>
      </c>
      <c r="J35" s="25">
        <f t="array" ref="J35">SUM(IF("156"&amp;C35=KHC&amp;MH,TH))</f>
        <v>0</v>
      </c>
      <c r="K35" s="25">
        <f t="shared" si="2"/>
        <v>33</v>
      </c>
      <c r="L35" s="25">
        <f t="shared" si="3"/>
        <v>699501</v>
      </c>
      <c r="M35" s="279"/>
    </row>
    <row r="36" spans="1:13" ht="18.75" customHeight="1">
      <c r="A36" s="279" t="str">
        <f t="shared" si="0"/>
        <v>NL</v>
      </c>
      <c r="B36" s="745">
        <f t="shared" si="1"/>
        <v>25</v>
      </c>
      <c r="C36" s="190" t="s">
        <v>649</v>
      </c>
      <c r="D36" s="281" t="s">
        <v>338</v>
      </c>
      <c r="E36" s="25"/>
      <c r="F36" s="25"/>
      <c r="G36" s="25">
        <f t="array" ref="G36">SUM(IF("156"&amp;C36=KHN&amp;MH,SL))</f>
        <v>6</v>
      </c>
      <c r="H36" s="25">
        <f t="array" ref="H36">SUM(IF("156"&amp;C36=KHN&amp;MH,TH))</f>
        <v>137118</v>
      </c>
      <c r="I36" s="25">
        <f t="array" ref="I36">SUM(IF("156"&amp;C36=KHC&amp;MH,SL))</f>
        <v>0</v>
      </c>
      <c r="J36" s="25">
        <f t="array" ref="J36">SUM(IF("156"&amp;C36=KHC&amp;MH,TH))</f>
        <v>0</v>
      </c>
      <c r="K36" s="25">
        <f t="shared" si="2"/>
        <v>6</v>
      </c>
      <c r="L36" s="25">
        <f t="shared" si="3"/>
        <v>137118</v>
      </c>
      <c r="M36" s="279"/>
    </row>
    <row r="37" spans="1:13" ht="18.75" customHeight="1">
      <c r="A37" s="279" t="str">
        <f t="shared" si="0"/>
        <v>NL</v>
      </c>
      <c r="B37" s="745">
        <f t="shared" si="1"/>
        <v>26</v>
      </c>
      <c r="C37" s="190" t="s">
        <v>653</v>
      </c>
      <c r="D37" s="281" t="s">
        <v>338</v>
      </c>
      <c r="E37" s="25"/>
      <c r="F37" s="25"/>
      <c r="G37" s="25">
        <f t="array" ref="G37">SUM(IF("156"&amp;C37=KHN&amp;MH,SL))</f>
        <v>17</v>
      </c>
      <c r="H37" s="25">
        <f t="array" ref="H37">SUM(IF("156"&amp;C37=KHN&amp;MH,TH))</f>
        <v>427907</v>
      </c>
      <c r="I37" s="25">
        <f t="array" ref="I37">SUM(IF("156"&amp;C37=KHC&amp;MH,SL))</f>
        <v>0</v>
      </c>
      <c r="J37" s="25">
        <f t="array" ref="J37">SUM(IF("156"&amp;C37=KHC&amp;MH,TH))</f>
        <v>0</v>
      </c>
      <c r="K37" s="25">
        <f t="shared" si="2"/>
        <v>17</v>
      </c>
      <c r="L37" s="25">
        <f t="shared" si="3"/>
        <v>427907</v>
      </c>
      <c r="M37" s="279"/>
    </row>
    <row r="38" spans="1:13" ht="18.75" customHeight="1">
      <c r="A38" s="279" t="str">
        <f t="shared" si="0"/>
        <v>NL</v>
      </c>
      <c r="B38" s="745">
        <f t="shared" si="1"/>
        <v>27</v>
      </c>
      <c r="C38" s="190" t="s">
        <v>913</v>
      </c>
      <c r="D38" s="281" t="s">
        <v>338</v>
      </c>
      <c r="E38" s="25"/>
      <c r="F38" s="25"/>
      <c r="G38" s="25">
        <f t="array" ref="G38">SUM(IF("156"&amp;C38=KHN&amp;MH,SL))</f>
        <v>140</v>
      </c>
      <c r="H38" s="25">
        <f t="array" ref="H38">SUM(IF("156"&amp;C38=KHN&amp;MH,TH))</f>
        <v>1259720</v>
      </c>
      <c r="I38" s="25">
        <f t="array" ref="I38">SUM(IF("156"&amp;C38=KHC&amp;MH,SL))</f>
        <v>0</v>
      </c>
      <c r="J38" s="25">
        <f t="array" ref="J38">SUM(IF("156"&amp;C38=KHC&amp;MH,TH))</f>
        <v>0</v>
      </c>
      <c r="K38" s="25">
        <f t="shared" si="2"/>
        <v>140</v>
      </c>
      <c r="L38" s="25">
        <f t="shared" si="3"/>
        <v>1259720</v>
      </c>
      <c r="M38" s="279"/>
    </row>
    <row r="39" spans="1:13" ht="18.75" customHeight="1">
      <c r="A39" s="279" t="str">
        <f t="shared" si="0"/>
        <v>NL</v>
      </c>
      <c r="B39" s="745">
        <f t="shared" si="1"/>
        <v>28</v>
      </c>
      <c r="C39" s="190" t="s">
        <v>856</v>
      </c>
      <c r="D39" s="281" t="s">
        <v>338</v>
      </c>
      <c r="E39" s="25"/>
      <c r="F39" s="25"/>
      <c r="G39" s="25">
        <f t="array" ref="G39">SUM(IF("156"&amp;C39=KHN&amp;MH,SL))</f>
        <v>240</v>
      </c>
      <c r="H39" s="25">
        <f t="array" ref="H39">SUM(IF("156"&amp;C39=KHN&amp;MH,TH))</f>
        <v>2715840</v>
      </c>
      <c r="I39" s="25">
        <f t="array" ref="I39">SUM(IF("156"&amp;C39=KHC&amp;MH,SL))</f>
        <v>0</v>
      </c>
      <c r="J39" s="25">
        <f t="array" ref="J39">SUM(IF("156"&amp;C39=KHC&amp;MH,TH))</f>
        <v>0</v>
      </c>
      <c r="K39" s="25">
        <f t="shared" si="2"/>
        <v>240</v>
      </c>
      <c r="L39" s="25">
        <f t="shared" si="3"/>
        <v>2715840</v>
      </c>
      <c r="M39" s="279"/>
    </row>
    <row r="40" spans="1:13" ht="18.75" hidden="1" customHeight="1">
      <c r="A40" s="279" t="str">
        <f t="shared" si="0"/>
        <v>NL</v>
      </c>
      <c r="B40" s="745">
        <f t="shared" si="1"/>
        <v>29</v>
      </c>
      <c r="C40" s="190" t="s">
        <v>670</v>
      </c>
      <c r="D40" s="281" t="s">
        <v>338</v>
      </c>
      <c r="E40" s="25"/>
      <c r="F40" s="25"/>
      <c r="G40" s="25">
        <f t="array" ref="G40">SUM(IF("156"&amp;C40=KHN&amp;MH,SL))</f>
        <v>350</v>
      </c>
      <c r="H40" s="25">
        <f t="array" ref="H40">SUM(IF("156"&amp;C40=KHN&amp;MH,TH))</f>
        <v>4391100</v>
      </c>
      <c r="I40" s="25">
        <f t="array" ref="I40">SUM(IF("156"&amp;C40=KHC&amp;MH,SL))</f>
        <v>350</v>
      </c>
      <c r="J40" s="25">
        <f t="array" ref="J40">SUM(IF("156"&amp;C40=KHC&amp;MH,TH))</f>
        <v>4391100</v>
      </c>
      <c r="K40" s="25">
        <f t="shared" si="2"/>
        <v>0</v>
      </c>
      <c r="L40" s="25">
        <f t="shared" si="3"/>
        <v>0</v>
      </c>
      <c r="M40" s="279"/>
    </row>
    <row r="41" spans="1:13" ht="18.75" customHeight="1">
      <c r="A41" s="279" t="str">
        <f t="shared" si="0"/>
        <v>NL</v>
      </c>
      <c r="B41" s="745">
        <f t="shared" si="1"/>
        <v>30</v>
      </c>
      <c r="C41" s="190" t="s">
        <v>860</v>
      </c>
      <c r="D41" s="281" t="s">
        <v>338</v>
      </c>
      <c r="E41" s="25"/>
      <c r="F41" s="25"/>
      <c r="G41" s="25">
        <f t="array" ref="G41">SUM(IF("156"&amp;C41=KHN&amp;MH,SL))</f>
        <v>170</v>
      </c>
      <c r="H41" s="25">
        <f t="array" ref="H41">SUM(IF("156"&amp;C41=KHN&amp;MH,TH))</f>
        <v>3542630</v>
      </c>
      <c r="I41" s="25">
        <f t="array" ref="I41">SUM(IF("156"&amp;C41=KHC&amp;MH,SL))</f>
        <v>0</v>
      </c>
      <c r="J41" s="25">
        <f t="array" ref="J41">SUM(IF("156"&amp;C41=KHC&amp;MH,TH))</f>
        <v>0</v>
      </c>
      <c r="K41" s="25">
        <f t="shared" si="2"/>
        <v>170</v>
      </c>
      <c r="L41" s="25">
        <f t="shared" si="3"/>
        <v>3542630</v>
      </c>
      <c r="M41" s="279"/>
    </row>
    <row r="42" spans="1:13" ht="18.75" customHeight="1">
      <c r="A42" s="279" t="str">
        <f t="shared" si="0"/>
        <v>NL</v>
      </c>
      <c r="B42" s="745">
        <f t="shared" si="1"/>
        <v>31</v>
      </c>
      <c r="C42" s="190" t="s">
        <v>861</v>
      </c>
      <c r="D42" s="281" t="s">
        <v>338</v>
      </c>
      <c r="E42" s="25"/>
      <c r="F42" s="25"/>
      <c r="G42" s="25">
        <f t="array" ref="G42">SUM(IF("156"&amp;C42=KHN&amp;MH,SL))</f>
        <v>125</v>
      </c>
      <c r="H42" s="25">
        <f t="array" ref="H42">SUM(IF("156"&amp;C42=KHN&amp;MH,TH))</f>
        <v>2701375</v>
      </c>
      <c r="I42" s="25">
        <f t="array" ref="I42">SUM(IF("156"&amp;C42=KHC&amp;MH,SL))</f>
        <v>0</v>
      </c>
      <c r="J42" s="25">
        <f t="array" ref="J42">SUM(IF("156"&amp;C42=KHC&amp;MH,TH))</f>
        <v>0</v>
      </c>
      <c r="K42" s="25">
        <f t="shared" si="2"/>
        <v>125</v>
      </c>
      <c r="L42" s="25">
        <f t="shared" si="3"/>
        <v>2701375</v>
      </c>
      <c r="M42" s="279"/>
    </row>
    <row r="43" spans="1:13" ht="18.75" customHeight="1">
      <c r="A43" s="279" t="str">
        <f t="shared" si="0"/>
        <v>NL</v>
      </c>
      <c r="B43" s="745">
        <f t="shared" si="1"/>
        <v>32</v>
      </c>
      <c r="C43" s="190" t="s">
        <v>854</v>
      </c>
      <c r="D43" s="281" t="s">
        <v>338</v>
      </c>
      <c r="E43" s="25"/>
      <c r="F43" s="25"/>
      <c r="G43" s="25">
        <f t="array" ref="G43">SUM(IF("156"&amp;C43=KHN&amp;MH,SL))</f>
        <v>200</v>
      </c>
      <c r="H43" s="25">
        <f t="array" ref="H43">SUM(IF("156"&amp;C43=KHN&amp;MH,TH))</f>
        <v>2195600</v>
      </c>
      <c r="I43" s="25">
        <f t="array" ref="I43">SUM(IF("156"&amp;C43=KHC&amp;MH,SL))</f>
        <v>0</v>
      </c>
      <c r="J43" s="25">
        <f t="array" ref="J43">SUM(IF("156"&amp;C43=KHC&amp;MH,TH))</f>
        <v>0</v>
      </c>
      <c r="K43" s="25">
        <f t="shared" si="2"/>
        <v>200</v>
      </c>
      <c r="L43" s="25">
        <f t="shared" si="3"/>
        <v>2195600</v>
      </c>
      <c r="M43" s="279"/>
    </row>
    <row r="44" spans="1:13" ht="18.75" customHeight="1">
      <c r="A44" s="279" t="str">
        <f t="shared" si="0"/>
        <v>NL</v>
      </c>
      <c r="B44" s="745">
        <f t="shared" si="1"/>
        <v>33</v>
      </c>
      <c r="C44" s="190" t="s">
        <v>855</v>
      </c>
      <c r="D44" s="281" t="s">
        <v>338</v>
      </c>
      <c r="E44" s="25"/>
      <c r="F44" s="25"/>
      <c r="G44" s="25">
        <f t="array" ref="G44">SUM(IF("156"&amp;C44=KHN&amp;MH,SL))</f>
        <v>140</v>
      </c>
      <c r="H44" s="25">
        <f t="array" ref="H44">SUM(IF("156"&amp;C44=KHN&amp;MH,TH))</f>
        <v>2173920</v>
      </c>
      <c r="I44" s="25">
        <f t="array" ref="I44">SUM(IF("156"&amp;C44=KHC&amp;MH,SL))</f>
        <v>0</v>
      </c>
      <c r="J44" s="25">
        <f t="array" ref="J44">SUM(IF("156"&amp;C44=KHC&amp;MH,TH))</f>
        <v>0</v>
      </c>
      <c r="K44" s="25">
        <f t="shared" si="2"/>
        <v>140</v>
      </c>
      <c r="L44" s="25">
        <f t="shared" si="3"/>
        <v>2173920</v>
      </c>
      <c r="M44" s="279"/>
    </row>
    <row r="45" spans="1:13" ht="18.75" customHeight="1">
      <c r="A45" s="279" t="str">
        <f t="shared" si="0"/>
        <v>NL</v>
      </c>
      <c r="B45" s="745">
        <f t="shared" si="1"/>
        <v>34</v>
      </c>
      <c r="C45" s="190" t="s">
        <v>852</v>
      </c>
      <c r="D45" s="281" t="s">
        <v>338</v>
      </c>
      <c r="E45" s="25"/>
      <c r="F45" s="25"/>
      <c r="G45" s="25">
        <f t="array" ref="G45">SUM(IF("156"&amp;C45=KHN&amp;MH,SL))</f>
        <v>200</v>
      </c>
      <c r="H45" s="25">
        <f t="array" ref="H45">SUM(IF("156"&amp;C45=KHN&amp;MH,TH))</f>
        <v>2284200</v>
      </c>
      <c r="I45" s="25">
        <f t="array" ref="I45">SUM(IF("156"&amp;C45=KHC&amp;MH,SL))</f>
        <v>0</v>
      </c>
      <c r="J45" s="25">
        <f t="array" ref="J45">SUM(IF("156"&amp;C45=KHC&amp;MH,TH))</f>
        <v>0</v>
      </c>
      <c r="K45" s="25">
        <f t="shared" si="2"/>
        <v>200</v>
      </c>
      <c r="L45" s="25">
        <f t="shared" si="3"/>
        <v>2284200</v>
      </c>
      <c r="M45" s="279"/>
    </row>
    <row r="46" spans="1:13" ht="18.75" hidden="1" customHeight="1">
      <c r="A46" s="279" t="str">
        <f t="shared" si="0"/>
        <v>NL</v>
      </c>
      <c r="B46" s="745">
        <f t="shared" si="1"/>
        <v>35</v>
      </c>
      <c r="C46" s="190" t="s">
        <v>779</v>
      </c>
      <c r="D46" s="281" t="s">
        <v>338</v>
      </c>
      <c r="E46" s="25"/>
      <c r="F46" s="25"/>
      <c r="G46" s="25">
        <f t="array" ref="G46">SUM(IF("156"&amp;C46=KHN&amp;MH,SL))</f>
        <v>82</v>
      </c>
      <c r="H46" s="25">
        <f t="array" ref="H46">SUM(IF("156"&amp;C46=KHN&amp;MH,TH))</f>
        <v>1084122</v>
      </c>
      <c r="I46" s="25">
        <f t="array" ref="I46">SUM(IF("156"&amp;C46=KHC&amp;MH,SL))</f>
        <v>82</v>
      </c>
      <c r="J46" s="25">
        <f t="array" ref="J46">SUM(IF("156"&amp;C46=KHC&amp;MH,TH))</f>
        <v>1084122</v>
      </c>
      <c r="K46" s="25">
        <f t="shared" si="2"/>
        <v>0</v>
      </c>
      <c r="L46" s="25">
        <f t="shared" si="3"/>
        <v>0</v>
      </c>
      <c r="M46" s="279"/>
    </row>
    <row r="47" spans="1:13" ht="18.75" hidden="1" customHeight="1">
      <c r="A47" s="279" t="str">
        <f t="shared" si="0"/>
        <v>NL</v>
      </c>
      <c r="B47" s="745">
        <f t="shared" si="1"/>
        <v>36</v>
      </c>
      <c r="C47" s="190" t="s">
        <v>866</v>
      </c>
      <c r="D47" s="281" t="s">
        <v>338</v>
      </c>
      <c r="E47" s="25"/>
      <c r="F47" s="25"/>
      <c r="G47" s="25">
        <f t="array" ref="G47">SUM(IF("156"&amp;C47=KHN&amp;MH,SL))</f>
        <v>1000</v>
      </c>
      <c r="H47" s="25">
        <f t="array" ref="H47">SUM(IF("156"&amp;C47=KHN&amp;MH,TH))</f>
        <v>8376000</v>
      </c>
      <c r="I47" s="25">
        <f t="array" ref="I47">SUM(IF("156"&amp;C47=KHC&amp;MH,SL))</f>
        <v>1000</v>
      </c>
      <c r="J47" s="25">
        <f t="array" ref="J47">SUM(IF("156"&amp;C47=KHC&amp;MH,TH))</f>
        <v>8376000</v>
      </c>
      <c r="K47" s="25">
        <f t="shared" si="2"/>
        <v>0</v>
      </c>
      <c r="L47" s="25">
        <f t="shared" si="3"/>
        <v>0</v>
      </c>
      <c r="M47" s="279"/>
    </row>
    <row r="48" spans="1:13" ht="18.75" customHeight="1">
      <c r="A48" s="279" t="str">
        <f t="shared" si="0"/>
        <v>NL</v>
      </c>
      <c r="B48" s="745">
        <f t="shared" si="1"/>
        <v>37</v>
      </c>
      <c r="C48" s="190" t="s">
        <v>592</v>
      </c>
      <c r="D48" s="281" t="s">
        <v>338</v>
      </c>
      <c r="E48" s="25"/>
      <c r="F48" s="25"/>
      <c r="G48" s="25">
        <f t="array" ref="G48">SUM(IF("156"&amp;C48=KHN&amp;MH,SL))</f>
        <v>2</v>
      </c>
      <c r="H48" s="25">
        <f t="array" ref="H48">SUM(IF("156"&amp;C48=KHN&amp;MH,TH))</f>
        <v>34697</v>
      </c>
      <c r="I48" s="25">
        <f t="array" ref="I48">SUM(IF("156"&amp;C48=KHC&amp;MH,SL))</f>
        <v>0</v>
      </c>
      <c r="J48" s="25">
        <f t="array" ref="J48">SUM(IF("156"&amp;C48=KHC&amp;MH,TH))</f>
        <v>0</v>
      </c>
      <c r="K48" s="25">
        <f t="shared" si="2"/>
        <v>2</v>
      </c>
      <c r="L48" s="25">
        <f t="shared" si="3"/>
        <v>34697</v>
      </c>
      <c r="M48" s="279"/>
    </row>
    <row r="49" spans="1:13" ht="18.75" customHeight="1">
      <c r="A49" s="279" t="str">
        <f t="shared" si="0"/>
        <v>NL</v>
      </c>
      <c r="B49" s="745">
        <f t="shared" si="1"/>
        <v>38</v>
      </c>
      <c r="C49" s="190" t="s">
        <v>594</v>
      </c>
      <c r="D49" s="281" t="s">
        <v>338</v>
      </c>
      <c r="E49" s="25"/>
      <c r="F49" s="25"/>
      <c r="G49" s="25">
        <f t="array" ref="G49">SUM(IF("156"&amp;C49=KHN&amp;MH,SL))</f>
        <v>16</v>
      </c>
      <c r="H49" s="25">
        <f t="array" ref="H49">SUM(IF("156"&amp;C49=KHN&amp;MH,TH))</f>
        <v>337688</v>
      </c>
      <c r="I49" s="25">
        <f t="array" ref="I49">SUM(IF("156"&amp;C49=KHC&amp;MH,SL))</f>
        <v>0</v>
      </c>
      <c r="J49" s="25">
        <f t="array" ref="J49">SUM(IF("156"&amp;C49=KHC&amp;MH,TH))</f>
        <v>0</v>
      </c>
      <c r="K49" s="25">
        <f t="shared" si="2"/>
        <v>16</v>
      </c>
      <c r="L49" s="25">
        <f t="shared" si="3"/>
        <v>337688</v>
      </c>
      <c r="M49" s="279"/>
    </row>
    <row r="50" spans="1:13" ht="18.75" hidden="1" customHeight="1">
      <c r="A50" s="279" t="str">
        <f t="shared" si="0"/>
        <v>NL</v>
      </c>
      <c r="B50" s="745">
        <f t="shared" si="1"/>
        <v>39</v>
      </c>
      <c r="C50" s="190" t="s">
        <v>601</v>
      </c>
      <c r="D50" s="281" t="s">
        <v>338</v>
      </c>
      <c r="E50" s="25"/>
      <c r="F50" s="25"/>
      <c r="G50" s="25">
        <f t="array" ref="G50">SUM(IF("156"&amp;C50=KHN&amp;MH,SL))</f>
        <v>20</v>
      </c>
      <c r="H50" s="25">
        <f t="array" ref="H50">SUM(IF("156"&amp;C50=KHN&amp;MH,TH))</f>
        <v>426530</v>
      </c>
      <c r="I50" s="25">
        <f t="array" ref="I50">SUM(IF("156"&amp;C50=KHC&amp;MH,SL))</f>
        <v>20</v>
      </c>
      <c r="J50" s="25">
        <f t="array" ref="J50">SUM(IF("156"&amp;C50=KHC&amp;MH,TH))</f>
        <v>426530</v>
      </c>
      <c r="K50" s="25">
        <f t="shared" si="2"/>
        <v>0</v>
      </c>
      <c r="L50" s="25">
        <f t="shared" si="3"/>
        <v>0</v>
      </c>
      <c r="M50" s="279"/>
    </row>
    <row r="51" spans="1:13" ht="18.75" customHeight="1">
      <c r="A51" s="279" t="str">
        <f t="shared" si="0"/>
        <v>NL</v>
      </c>
      <c r="B51" s="745">
        <f t="shared" si="1"/>
        <v>40</v>
      </c>
      <c r="C51" s="190" t="s">
        <v>593</v>
      </c>
      <c r="D51" s="281" t="s">
        <v>338</v>
      </c>
      <c r="E51" s="25"/>
      <c r="F51" s="25"/>
      <c r="G51" s="25">
        <f t="array" ref="G51">SUM(IF("156"&amp;C51=KHN&amp;MH,SL))</f>
        <v>16</v>
      </c>
      <c r="H51" s="25">
        <f t="array" ref="H51">SUM(IF("156"&amp;C51=KHN&amp;MH,TH))</f>
        <v>344760</v>
      </c>
      <c r="I51" s="25">
        <f t="array" ref="I51">SUM(IF("156"&amp;C51=KHC&amp;MH,SL))</f>
        <v>0</v>
      </c>
      <c r="J51" s="25">
        <f t="array" ref="J51">SUM(IF("156"&amp;C51=KHC&amp;MH,TH))</f>
        <v>0</v>
      </c>
      <c r="K51" s="25">
        <f t="shared" si="2"/>
        <v>16</v>
      </c>
      <c r="L51" s="25">
        <f t="shared" si="3"/>
        <v>344760</v>
      </c>
      <c r="M51" s="279"/>
    </row>
    <row r="52" spans="1:13" ht="18.75" customHeight="1">
      <c r="A52" s="279" t="str">
        <f t="shared" si="0"/>
        <v>NL</v>
      </c>
      <c r="B52" s="745">
        <f t="shared" si="1"/>
        <v>41</v>
      </c>
      <c r="C52" s="190" t="s">
        <v>595</v>
      </c>
      <c r="D52" s="281" t="s">
        <v>338</v>
      </c>
      <c r="E52" s="25"/>
      <c r="F52" s="25"/>
      <c r="G52" s="25">
        <f t="array" ref="G52">SUM(IF("156"&amp;C52=KHN&amp;MH,SL))</f>
        <v>10</v>
      </c>
      <c r="H52" s="25">
        <f t="array" ref="H52">SUM(IF("156"&amp;C52=KHN&amp;MH,TH))</f>
        <v>216580</v>
      </c>
      <c r="I52" s="25">
        <f t="array" ref="I52">SUM(IF("156"&amp;C52=KHC&amp;MH,SL))</f>
        <v>0</v>
      </c>
      <c r="J52" s="25">
        <f t="array" ref="J52">SUM(IF("156"&amp;C52=KHC&amp;MH,TH))</f>
        <v>0</v>
      </c>
      <c r="K52" s="25">
        <f t="shared" si="2"/>
        <v>10</v>
      </c>
      <c r="L52" s="25">
        <f t="shared" si="3"/>
        <v>216580</v>
      </c>
      <c r="M52" s="279"/>
    </row>
    <row r="53" spans="1:13" ht="18.75" customHeight="1">
      <c r="A53" s="279" t="str">
        <f t="shared" si="0"/>
        <v>NL</v>
      </c>
      <c r="B53" s="745">
        <f t="shared" si="1"/>
        <v>42</v>
      </c>
      <c r="C53" s="190" t="s">
        <v>591</v>
      </c>
      <c r="D53" s="281" t="s">
        <v>338</v>
      </c>
      <c r="E53" s="25"/>
      <c r="F53" s="25"/>
      <c r="G53" s="25">
        <f t="array" ref="G53">SUM(IF("156"&amp;C53=KHN&amp;MH,SL))</f>
        <v>2</v>
      </c>
      <c r="H53" s="25">
        <f t="array" ref="H53">SUM(IF("156"&amp;C53=KHN&amp;MH,TH))</f>
        <v>45747</v>
      </c>
      <c r="I53" s="25">
        <f t="array" ref="I53">SUM(IF("156"&amp;C53=KHC&amp;MH,SL))</f>
        <v>0</v>
      </c>
      <c r="J53" s="25">
        <f t="array" ref="J53">SUM(IF("156"&amp;C53=KHC&amp;MH,TH))</f>
        <v>0</v>
      </c>
      <c r="K53" s="25">
        <f t="shared" si="2"/>
        <v>2</v>
      </c>
      <c r="L53" s="25">
        <f t="shared" si="3"/>
        <v>45747</v>
      </c>
      <c r="M53" s="279"/>
    </row>
    <row r="54" spans="1:13" ht="18.75" customHeight="1">
      <c r="A54" s="279" t="str">
        <f t="shared" si="0"/>
        <v>NL</v>
      </c>
      <c r="B54" s="745">
        <f t="shared" si="1"/>
        <v>43</v>
      </c>
      <c r="C54" s="190" t="s">
        <v>910</v>
      </c>
      <c r="D54" s="281" t="s">
        <v>338</v>
      </c>
      <c r="E54" s="25"/>
      <c r="F54" s="25"/>
      <c r="G54" s="25">
        <f t="array" ref="G54">SUM(IF("156"&amp;C54=KHN&amp;MH,SL))</f>
        <v>112</v>
      </c>
      <c r="H54" s="25">
        <f t="array" ref="H54">SUM(IF("156"&amp;C54=KHN&amp;MH,TH))</f>
        <v>1099392</v>
      </c>
      <c r="I54" s="25">
        <f t="array" ref="I54">SUM(IF("156"&amp;C54=KHC&amp;MH,SL))</f>
        <v>0</v>
      </c>
      <c r="J54" s="25">
        <f t="array" ref="J54">SUM(IF("156"&amp;C54=KHC&amp;MH,TH))</f>
        <v>0</v>
      </c>
      <c r="K54" s="25">
        <f t="shared" si="2"/>
        <v>112</v>
      </c>
      <c r="L54" s="25">
        <f t="shared" si="3"/>
        <v>1099392</v>
      </c>
      <c r="M54" s="279"/>
    </row>
    <row r="55" spans="1:13" ht="18.75" hidden="1" customHeight="1">
      <c r="A55" s="279" t="str">
        <f t="shared" si="0"/>
        <v>NL</v>
      </c>
      <c r="B55" s="745">
        <f t="shared" si="1"/>
        <v>44</v>
      </c>
      <c r="C55" s="190" t="s">
        <v>849</v>
      </c>
      <c r="D55" s="281" t="s">
        <v>338</v>
      </c>
      <c r="E55" s="25"/>
      <c r="F55" s="25"/>
      <c r="G55" s="25">
        <f t="array" ref="G55">SUM(IF("156"&amp;C55=KHN&amp;MH,SL))</f>
        <v>90</v>
      </c>
      <c r="H55" s="25">
        <f t="array" ref="H55">SUM(IF("156"&amp;C55=KHN&amp;MH,TH))</f>
        <v>1710720</v>
      </c>
      <c r="I55" s="25">
        <f t="array" ref="I55">SUM(IF("156"&amp;C55=KHC&amp;MH,SL))</f>
        <v>90</v>
      </c>
      <c r="J55" s="25">
        <f t="array" ref="J55">SUM(IF("156"&amp;C55=KHC&amp;MH,TH))</f>
        <v>1710720</v>
      </c>
      <c r="K55" s="25">
        <f t="shared" si="2"/>
        <v>0</v>
      </c>
      <c r="L55" s="25">
        <f t="shared" si="3"/>
        <v>0</v>
      </c>
      <c r="M55" s="279"/>
    </row>
    <row r="56" spans="1:13" ht="18.75" customHeight="1">
      <c r="A56" s="279" t="str">
        <f t="shared" si="0"/>
        <v>NL</v>
      </c>
      <c r="B56" s="745">
        <f t="shared" si="1"/>
        <v>45</v>
      </c>
      <c r="C56" s="190" t="s">
        <v>922</v>
      </c>
      <c r="D56" s="281" t="s">
        <v>338</v>
      </c>
      <c r="E56" s="25"/>
      <c r="F56" s="25"/>
      <c r="G56" s="25">
        <f t="array" ref="G56">SUM(IF("156"&amp;C56=KHN&amp;MH,SL))</f>
        <v>96</v>
      </c>
      <c r="H56" s="25">
        <f t="array" ref="H56">SUM(IF("156"&amp;C56=KHN&amp;MH,TH))</f>
        <v>1445664</v>
      </c>
      <c r="I56" s="25">
        <f t="array" ref="I56">SUM(IF("156"&amp;C56=KHC&amp;MH,SL))</f>
        <v>0</v>
      </c>
      <c r="J56" s="25">
        <f t="array" ref="J56">SUM(IF("156"&amp;C56=KHC&amp;MH,TH))</f>
        <v>0</v>
      </c>
      <c r="K56" s="25">
        <f t="shared" si="2"/>
        <v>96</v>
      </c>
      <c r="L56" s="25">
        <f t="shared" si="3"/>
        <v>1445664</v>
      </c>
      <c r="M56" s="279"/>
    </row>
    <row r="57" spans="1:13" ht="18.75" customHeight="1">
      <c r="A57" s="279" t="str">
        <f t="shared" si="0"/>
        <v>NL</v>
      </c>
      <c r="B57" s="745">
        <f t="shared" si="1"/>
        <v>46</v>
      </c>
      <c r="C57" s="190" t="s">
        <v>669</v>
      </c>
      <c r="D57" s="281" t="s">
        <v>338</v>
      </c>
      <c r="E57" s="25"/>
      <c r="F57" s="25"/>
      <c r="G57" s="25">
        <f t="array" ref="G57">SUM(IF("156"&amp;C57=KHN&amp;MH,SL))</f>
        <v>500</v>
      </c>
      <c r="H57" s="25">
        <f t="array" ref="H57">SUM(IF("156"&amp;C57=KHN&amp;MH,TH))</f>
        <v>6119000</v>
      </c>
      <c r="I57" s="25">
        <f t="array" ref="I57">SUM(IF("156"&amp;C57=KHC&amp;MH,SL))</f>
        <v>0</v>
      </c>
      <c r="J57" s="25">
        <f t="array" ref="J57">SUM(IF("156"&amp;C57=KHC&amp;MH,TH))</f>
        <v>0</v>
      </c>
      <c r="K57" s="25">
        <f t="shared" si="2"/>
        <v>500</v>
      </c>
      <c r="L57" s="25">
        <f t="shared" si="3"/>
        <v>6119000</v>
      </c>
      <c r="M57" s="279"/>
    </row>
    <row r="58" spans="1:13" ht="18.75" customHeight="1">
      <c r="A58" s="279" t="str">
        <f t="shared" si="0"/>
        <v>NL</v>
      </c>
      <c r="B58" s="745">
        <f t="shared" si="1"/>
        <v>47</v>
      </c>
      <c r="C58" s="190" t="s">
        <v>803</v>
      </c>
      <c r="D58" s="281" t="s">
        <v>338</v>
      </c>
      <c r="E58" s="25"/>
      <c r="F58" s="25"/>
      <c r="G58" s="25">
        <f t="array" ref="G58">SUM(IF("156"&amp;C58=KHN&amp;MH,SL))</f>
        <v>70</v>
      </c>
      <c r="H58" s="25">
        <f t="array" ref="H58">SUM(IF("156"&amp;C58=KHN&amp;MH,TH))</f>
        <v>1146600</v>
      </c>
      <c r="I58" s="25">
        <f t="array" ref="I58">SUM(IF("156"&amp;C58=KHC&amp;MH,SL))</f>
        <v>0</v>
      </c>
      <c r="J58" s="25">
        <f t="array" ref="J58">SUM(IF("156"&amp;C58=KHC&amp;MH,TH))</f>
        <v>0</v>
      </c>
      <c r="K58" s="25">
        <f t="shared" si="2"/>
        <v>70</v>
      </c>
      <c r="L58" s="25">
        <f t="shared" si="3"/>
        <v>1146600</v>
      </c>
      <c r="M58" s="279"/>
    </row>
    <row r="59" spans="1:13" ht="18.75" customHeight="1">
      <c r="A59" s="279" t="str">
        <f t="shared" si="0"/>
        <v>NL</v>
      </c>
      <c r="B59" s="745">
        <f t="shared" si="1"/>
        <v>48</v>
      </c>
      <c r="C59" s="190" t="s">
        <v>588</v>
      </c>
      <c r="D59" s="281" t="s">
        <v>338</v>
      </c>
      <c r="E59" s="25"/>
      <c r="F59" s="25"/>
      <c r="G59" s="25">
        <f t="array" ref="G59">SUM(IF("156"&amp;C59=KHN&amp;MH,SL))</f>
        <v>30</v>
      </c>
      <c r="H59" s="25">
        <f t="array" ref="H59">SUM(IF("156"&amp;C59=KHN&amp;MH,TH))</f>
        <v>606900</v>
      </c>
      <c r="I59" s="25">
        <f t="array" ref="I59">SUM(IF("156"&amp;C59=KHC&amp;MH,SL))</f>
        <v>0</v>
      </c>
      <c r="J59" s="25">
        <f t="array" ref="J59">SUM(IF("156"&amp;C59=KHC&amp;MH,TH))</f>
        <v>0</v>
      </c>
      <c r="K59" s="25">
        <f t="shared" si="2"/>
        <v>30</v>
      </c>
      <c r="L59" s="25">
        <f t="shared" si="3"/>
        <v>606900</v>
      </c>
      <c r="M59" s="279"/>
    </row>
    <row r="60" spans="1:13" ht="18.75" customHeight="1">
      <c r="A60" s="279" t="str">
        <f t="shared" si="0"/>
        <v>NL</v>
      </c>
      <c r="B60" s="745">
        <f t="shared" si="1"/>
        <v>49</v>
      </c>
      <c r="C60" s="190" t="s">
        <v>800</v>
      </c>
      <c r="D60" s="281" t="s">
        <v>338</v>
      </c>
      <c r="E60" s="25"/>
      <c r="F60" s="25"/>
      <c r="G60" s="25">
        <f t="array" ref="G60">SUM(IF("156"&amp;C60=KHN&amp;MH,SL))</f>
        <v>20</v>
      </c>
      <c r="H60" s="25">
        <f t="array" ref="H60">SUM(IF("156"&amp;C60=KHN&amp;MH,TH))</f>
        <v>280140</v>
      </c>
      <c r="I60" s="25">
        <f t="array" ref="I60">SUM(IF("156"&amp;C60=KHC&amp;MH,SL))</f>
        <v>0</v>
      </c>
      <c r="J60" s="25">
        <f t="array" ref="J60">SUM(IF("156"&amp;C60=KHC&amp;MH,TH))</f>
        <v>0</v>
      </c>
      <c r="K60" s="25">
        <f t="shared" si="2"/>
        <v>20</v>
      </c>
      <c r="L60" s="25">
        <f t="shared" si="3"/>
        <v>280140</v>
      </c>
      <c r="M60" s="279"/>
    </row>
    <row r="61" spans="1:13" ht="18.75" customHeight="1">
      <c r="A61" s="279" t="str">
        <f t="shared" si="0"/>
        <v>NL</v>
      </c>
      <c r="B61" s="745">
        <f t="shared" si="1"/>
        <v>50</v>
      </c>
      <c r="C61" s="190" t="s">
        <v>681</v>
      </c>
      <c r="D61" s="281" t="s">
        <v>338</v>
      </c>
      <c r="E61" s="25"/>
      <c r="F61" s="25"/>
      <c r="G61" s="25">
        <f t="array" ref="G61">SUM(IF("156"&amp;C61=KHN&amp;MH,SL))</f>
        <v>52</v>
      </c>
      <c r="H61" s="25">
        <f t="array" ref="H61">SUM(IF("156"&amp;C61=KHN&amp;MH,TH))</f>
        <v>876408</v>
      </c>
      <c r="I61" s="25">
        <f t="array" ref="I61">SUM(IF("156"&amp;C61=KHC&amp;MH,SL))</f>
        <v>0</v>
      </c>
      <c r="J61" s="25">
        <f t="array" ref="J61">SUM(IF("156"&amp;C61=KHC&amp;MH,TH))</f>
        <v>0</v>
      </c>
      <c r="K61" s="25">
        <f t="shared" si="2"/>
        <v>52</v>
      </c>
      <c r="L61" s="25">
        <f t="shared" si="3"/>
        <v>876408</v>
      </c>
      <c r="M61" s="279"/>
    </row>
    <row r="62" spans="1:13" ht="18.75" hidden="1" customHeight="1">
      <c r="A62" s="279" t="str">
        <f t="shared" si="0"/>
        <v>NL</v>
      </c>
      <c r="B62" s="745">
        <f t="shared" si="1"/>
        <v>51</v>
      </c>
      <c r="C62" s="187" t="s">
        <v>1119</v>
      </c>
      <c r="D62" s="281" t="s">
        <v>338</v>
      </c>
      <c r="E62" s="25">
        <v>15</v>
      </c>
      <c r="F62" s="25">
        <v>300150</v>
      </c>
      <c r="G62" s="25">
        <f t="array" ref="G62">SUM(IF("156"&amp;C62=KHN&amp;MH,SL))</f>
        <v>0</v>
      </c>
      <c r="H62" s="25">
        <f t="array" ref="H62">SUM(IF("156"&amp;C62=KHN&amp;MH,TH))</f>
        <v>0</v>
      </c>
      <c r="I62" s="25">
        <f t="array" ref="I62">SUM(IF("156"&amp;C62=KHC&amp;MH,SL))</f>
        <v>15</v>
      </c>
      <c r="J62" s="25">
        <f t="array" ref="J62">SUM(IF("156"&amp;C62=KHC&amp;MH,TH))</f>
        <v>300150</v>
      </c>
      <c r="K62" s="25">
        <f t="shared" si="2"/>
        <v>0</v>
      </c>
      <c r="L62" s="25">
        <f t="shared" si="3"/>
        <v>0</v>
      </c>
      <c r="M62" s="279"/>
    </row>
    <row r="63" spans="1:13" ht="18.75" customHeight="1">
      <c r="A63" s="279" t="str">
        <f t="shared" si="0"/>
        <v>NL</v>
      </c>
      <c r="B63" s="745">
        <f t="shared" si="1"/>
        <v>52</v>
      </c>
      <c r="C63" s="190" t="s">
        <v>639</v>
      </c>
      <c r="D63" s="281" t="s">
        <v>338</v>
      </c>
      <c r="E63" s="25"/>
      <c r="F63" s="25"/>
      <c r="G63" s="25">
        <f t="array" ref="G63">SUM(IF("156"&amp;C63=KHN&amp;MH,SL))</f>
        <v>5</v>
      </c>
      <c r="H63" s="25">
        <f t="array" ref="H63">SUM(IF("156"&amp;C63=KHN&amp;MH,TH))</f>
        <v>100050</v>
      </c>
      <c r="I63" s="25">
        <f t="array" ref="I63">SUM(IF("156"&amp;C63=KHC&amp;MH,SL))</f>
        <v>0</v>
      </c>
      <c r="J63" s="25">
        <f t="array" ref="J63">SUM(IF("156"&amp;C63=KHC&amp;MH,TH))</f>
        <v>0</v>
      </c>
      <c r="K63" s="25">
        <f t="shared" si="2"/>
        <v>5</v>
      </c>
      <c r="L63" s="25">
        <f t="shared" si="3"/>
        <v>100050</v>
      </c>
      <c r="M63" s="279"/>
    </row>
    <row r="64" spans="1:13" ht="18.75" customHeight="1">
      <c r="A64" s="279" t="str">
        <f t="shared" si="0"/>
        <v>NL</v>
      </c>
      <c r="B64" s="745">
        <f t="shared" si="1"/>
        <v>53</v>
      </c>
      <c r="C64" s="190" t="s">
        <v>640</v>
      </c>
      <c r="D64" s="281" t="s">
        <v>338</v>
      </c>
      <c r="E64" s="25"/>
      <c r="F64" s="25"/>
      <c r="G64" s="25">
        <f t="array" ref="G64">SUM(IF("156"&amp;C64=KHN&amp;MH,SL))</f>
        <v>5</v>
      </c>
      <c r="H64" s="25">
        <f t="array" ref="H64">SUM(IF("156"&amp;C64=KHN&amp;MH,TH))</f>
        <v>113390</v>
      </c>
      <c r="I64" s="25">
        <f t="array" ref="I64">SUM(IF("156"&amp;C64=KHC&amp;MH,SL))</f>
        <v>0</v>
      </c>
      <c r="J64" s="25">
        <f t="array" ref="J64">SUM(IF("156"&amp;C64=KHC&amp;MH,TH))</f>
        <v>0</v>
      </c>
      <c r="K64" s="25">
        <f t="shared" si="2"/>
        <v>5</v>
      </c>
      <c r="L64" s="25">
        <f t="shared" si="3"/>
        <v>113390</v>
      </c>
      <c r="M64" s="279"/>
    </row>
    <row r="65" spans="1:13" ht="18.75" customHeight="1">
      <c r="A65" s="279" t="str">
        <f t="shared" si="0"/>
        <v>NL</v>
      </c>
      <c r="B65" s="745">
        <f t="shared" si="1"/>
        <v>54</v>
      </c>
      <c r="C65" s="190" t="s">
        <v>646</v>
      </c>
      <c r="D65" s="281" t="s">
        <v>338</v>
      </c>
      <c r="E65" s="25"/>
      <c r="F65" s="25"/>
      <c r="G65" s="25">
        <f t="array" ref="G65">SUM(IF("156"&amp;C65=KHN&amp;MH,SL))</f>
        <v>17</v>
      </c>
      <c r="H65" s="25">
        <f t="array" ref="H65">SUM(IF("156"&amp;C65=KHN&amp;MH,TH))</f>
        <v>399126</v>
      </c>
      <c r="I65" s="25">
        <f t="array" ref="I65">SUM(IF("156"&amp;C65=KHC&amp;MH,SL))</f>
        <v>0</v>
      </c>
      <c r="J65" s="25">
        <f t="array" ref="J65">SUM(IF("156"&amp;C65=KHC&amp;MH,TH))</f>
        <v>0</v>
      </c>
      <c r="K65" s="25">
        <f t="shared" si="2"/>
        <v>17</v>
      </c>
      <c r="L65" s="25">
        <f t="shared" si="3"/>
        <v>399126</v>
      </c>
      <c r="M65" s="279"/>
    </row>
    <row r="66" spans="1:13" ht="18.75" customHeight="1">
      <c r="A66" s="279" t="str">
        <f t="shared" si="0"/>
        <v>NL</v>
      </c>
      <c r="B66" s="745">
        <f t="shared" si="1"/>
        <v>55</v>
      </c>
      <c r="C66" s="190" t="s">
        <v>641</v>
      </c>
      <c r="D66" s="281" t="s">
        <v>338</v>
      </c>
      <c r="E66" s="25"/>
      <c r="F66" s="25"/>
      <c r="G66" s="25">
        <f t="array" ref="G66">SUM(IF("156"&amp;C66=KHN&amp;MH,SL))</f>
        <v>5</v>
      </c>
      <c r="H66" s="25">
        <f t="array" ref="H66">SUM(IF("156"&amp;C66=KHN&amp;MH,TH))</f>
        <v>133400</v>
      </c>
      <c r="I66" s="25">
        <f t="array" ref="I66">SUM(IF("156"&amp;C66=KHC&amp;MH,SL))</f>
        <v>0</v>
      </c>
      <c r="J66" s="25">
        <f t="array" ref="J66">SUM(IF("156"&amp;C66=KHC&amp;MH,TH))</f>
        <v>0</v>
      </c>
      <c r="K66" s="25">
        <f t="shared" si="2"/>
        <v>5</v>
      </c>
      <c r="L66" s="25">
        <f t="shared" si="3"/>
        <v>133400</v>
      </c>
      <c r="M66" s="279"/>
    </row>
    <row r="67" spans="1:13" ht="18.75" customHeight="1">
      <c r="A67" s="279" t="str">
        <f t="shared" si="0"/>
        <v>NL</v>
      </c>
      <c r="B67" s="745">
        <f t="shared" si="1"/>
        <v>56</v>
      </c>
      <c r="C67" s="190" t="s">
        <v>645</v>
      </c>
      <c r="D67" s="281" t="s">
        <v>338</v>
      </c>
      <c r="E67" s="25"/>
      <c r="F67" s="25"/>
      <c r="G67" s="25">
        <f t="array" ref="G67">SUM(IF("156"&amp;C67=KHN&amp;MH,SL))</f>
        <v>34</v>
      </c>
      <c r="H67" s="25">
        <f t="array" ref="H67">SUM(IF("156"&amp;C67=KHN&amp;MH,TH))</f>
        <v>961554</v>
      </c>
      <c r="I67" s="25">
        <f t="array" ref="I67">SUM(IF("156"&amp;C67=KHC&amp;MH,SL))</f>
        <v>0</v>
      </c>
      <c r="J67" s="25">
        <f t="array" ref="J67">SUM(IF("156"&amp;C67=KHC&amp;MH,TH))</f>
        <v>0</v>
      </c>
      <c r="K67" s="25">
        <f t="shared" si="2"/>
        <v>34</v>
      </c>
      <c r="L67" s="25">
        <f t="shared" si="3"/>
        <v>961554</v>
      </c>
      <c r="M67" s="279"/>
    </row>
    <row r="68" spans="1:13" ht="18.75" hidden="1" customHeight="1">
      <c r="A68" s="279" t="str">
        <f t="shared" si="0"/>
        <v>NL</v>
      </c>
      <c r="B68" s="745">
        <f t="shared" si="1"/>
        <v>57</v>
      </c>
      <c r="C68" s="187" t="s">
        <v>1120</v>
      </c>
      <c r="D68" s="281" t="s">
        <v>338</v>
      </c>
      <c r="E68" s="25">
        <v>15</v>
      </c>
      <c r="F68" s="25">
        <v>113100</v>
      </c>
      <c r="G68" s="25">
        <f t="array" ref="G68">SUM(IF("156"&amp;C68=KHN&amp;MH,SL))</f>
        <v>0</v>
      </c>
      <c r="H68" s="25">
        <f t="array" ref="H68">SUM(IF("156"&amp;C68=KHN&amp;MH,TH))</f>
        <v>0</v>
      </c>
      <c r="I68" s="25">
        <f t="array" ref="I68">SUM(IF("156"&amp;C68=KHC&amp;MH,SL))</f>
        <v>15</v>
      </c>
      <c r="J68" s="25">
        <f t="array" ref="J68">SUM(IF("156"&amp;C68=KHC&amp;MH,TH))</f>
        <v>113100</v>
      </c>
      <c r="K68" s="25">
        <f t="shared" si="2"/>
        <v>0</v>
      </c>
      <c r="L68" s="25">
        <f t="shared" si="3"/>
        <v>0</v>
      </c>
      <c r="M68" s="279"/>
    </row>
    <row r="69" spans="1:13" ht="18.75" customHeight="1">
      <c r="A69" s="279" t="str">
        <f t="shared" si="0"/>
        <v>NL</v>
      </c>
      <c r="B69" s="745">
        <f t="shared" si="1"/>
        <v>58</v>
      </c>
      <c r="C69" s="190" t="s">
        <v>659</v>
      </c>
      <c r="D69" s="281" t="s">
        <v>338</v>
      </c>
      <c r="E69" s="25"/>
      <c r="F69" s="25"/>
      <c r="G69" s="25">
        <f t="array" ref="G69">SUM(IF("156"&amp;C69=KHN&amp;MH,SL))</f>
        <v>15</v>
      </c>
      <c r="H69" s="25">
        <f t="array" ref="H69">SUM(IF("156"&amp;C69=KHN&amp;MH,TH))</f>
        <v>146070</v>
      </c>
      <c r="I69" s="25">
        <f t="array" ref="I69">SUM(IF("156"&amp;C69=KHC&amp;MH,SL))</f>
        <v>0</v>
      </c>
      <c r="J69" s="25">
        <f t="array" ref="J69">SUM(IF("156"&amp;C69=KHC&amp;MH,TH))</f>
        <v>0</v>
      </c>
      <c r="K69" s="25">
        <f t="shared" si="2"/>
        <v>15</v>
      </c>
      <c r="L69" s="25">
        <f t="shared" si="3"/>
        <v>146070</v>
      </c>
      <c r="M69" s="279"/>
    </row>
    <row r="70" spans="1:13" ht="18.75" customHeight="1">
      <c r="A70" s="279" t="str">
        <f t="shared" si="0"/>
        <v>NL</v>
      </c>
      <c r="B70" s="745">
        <f t="shared" si="1"/>
        <v>59</v>
      </c>
      <c r="C70" s="190" t="s">
        <v>921</v>
      </c>
      <c r="D70" s="281" t="s">
        <v>338</v>
      </c>
      <c r="E70" s="25"/>
      <c r="F70" s="25"/>
      <c r="G70" s="25">
        <f t="array" ref="G70">SUM(IF("156"&amp;C70=KHN&amp;MH,SL))</f>
        <v>128</v>
      </c>
      <c r="H70" s="25">
        <f t="array" ref="H70">SUM(IF("156"&amp;C70=KHN&amp;MH,TH))</f>
        <v>2098880</v>
      </c>
      <c r="I70" s="25">
        <f t="array" ref="I70">SUM(IF("156"&amp;C70=KHC&amp;MH,SL))</f>
        <v>0</v>
      </c>
      <c r="J70" s="25">
        <f t="array" ref="J70">SUM(IF("156"&amp;C70=KHC&amp;MH,TH))</f>
        <v>0</v>
      </c>
      <c r="K70" s="25">
        <f t="shared" si="2"/>
        <v>128</v>
      </c>
      <c r="L70" s="25">
        <f t="shared" si="3"/>
        <v>2098880</v>
      </c>
      <c r="M70" s="279"/>
    </row>
    <row r="71" spans="1:13" ht="18.75" customHeight="1">
      <c r="A71" s="279" t="str">
        <f t="shared" si="0"/>
        <v>NL</v>
      </c>
      <c r="B71" s="745">
        <f t="shared" si="1"/>
        <v>60</v>
      </c>
      <c r="C71" s="190" t="s">
        <v>676</v>
      </c>
      <c r="D71" s="281" t="s">
        <v>338</v>
      </c>
      <c r="E71" s="25"/>
      <c r="F71" s="25"/>
      <c r="G71" s="25">
        <f t="array" ref="G71">SUM(IF("156"&amp;C71=KHN&amp;MH,SL))</f>
        <v>100</v>
      </c>
      <c r="H71" s="25">
        <f t="array" ref="H71">SUM(IF("156"&amp;C71=KHN&amp;MH,TH))</f>
        <v>1331800</v>
      </c>
      <c r="I71" s="25">
        <f t="array" ref="I71">SUM(IF("156"&amp;C71=KHC&amp;MH,SL))</f>
        <v>0</v>
      </c>
      <c r="J71" s="25">
        <f t="array" ref="J71">SUM(IF("156"&amp;C71=KHC&amp;MH,TH))</f>
        <v>0</v>
      </c>
      <c r="K71" s="25">
        <f t="shared" si="2"/>
        <v>100</v>
      </c>
      <c r="L71" s="25">
        <f t="shared" si="3"/>
        <v>1331800</v>
      </c>
      <c r="M71" s="279"/>
    </row>
    <row r="72" spans="1:13" ht="18.75" customHeight="1">
      <c r="A72" s="279" t="str">
        <f t="shared" si="0"/>
        <v>NL</v>
      </c>
      <c r="B72" s="745">
        <f t="shared" si="1"/>
        <v>61</v>
      </c>
      <c r="C72" s="190" t="s">
        <v>911</v>
      </c>
      <c r="D72" s="281" t="s">
        <v>338</v>
      </c>
      <c r="E72" s="25"/>
      <c r="F72" s="25"/>
      <c r="G72" s="25">
        <f t="array" ref="G72">SUM(IF("156"&amp;C72=KHN&amp;MH,SL))</f>
        <v>88</v>
      </c>
      <c r="H72" s="25">
        <f t="array" ref="H72">SUM(IF("156"&amp;C72=KHN&amp;MH,TH))</f>
        <v>981640</v>
      </c>
      <c r="I72" s="25">
        <f t="array" ref="I72">SUM(IF("156"&amp;C72=KHC&amp;MH,SL))</f>
        <v>0</v>
      </c>
      <c r="J72" s="25">
        <f t="array" ref="J72">SUM(IF("156"&amp;C72=KHC&amp;MH,TH))</f>
        <v>0</v>
      </c>
      <c r="K72" s="25">
        <f t="shared" si="2"/>
        <v>88</v>
      </c>
      <c r="L72" s="25">
        <f t="shared" si="3"/>
        <v>981640</v>
      </c>
      <c r="M72" s="279"/>
    </row>
    <row r="73" spans="1:13" ht="18.75" customHeight="1">
      <c r="A73" s="279" t="str">
        <f t="shared" si="0"/>
        <v>NL</v>
      </c>
      <c r="B73" s="745">
        <f t="shared" si="1"/>
        <v>62</v>
      </c>
      <c r="C73" s="190" t="s">
        <v>689</v>
      </c>
      <c r="D73" s="281" t="s">
        <v>338</v>
      </c>
      <c r="E73" s="25"/>
      <c r="F73" s="25"/>
      <c r="G73" s="25">
        <f t="array" ref="G73">SUM(IF("156"&amp;C73=KHN&amp;MH,SL))</f>
        <v>250</v>
      </c>
      <c r="H73" s="25">
        <f t="array" ref="H73">SUM(IF("156"&amp;C73=KHN&amp;MH,TH))</f>
        <v>2470500</v>
      </c>
      <c r="I73" s="25">
        <f t="array" ref="I73">SUM(IF("156"&amp;C73=KHC&amp;MH,SL))</f>
        <v>0</v>
      </c>
      <c r="J73" s="25">
        <f t="array" ref="J73">SUM(IF("156"&amp;C73=KHC&amp;MH,TH))</f>
        <v>0</v>
      </c>
      <c r="K73" s="25">
        <f t="shared" si="2"/>
        <v>250</v>
      </c>
      <c r="L73" s="25">
        <f t="shared" si="3"/>
        <v>2470500</v>
      </c>
      <c r="M73" s="279"/>
    </row>
    <row r="74" spans="1:13" ht="18.75" hidden="1" customHeight="1">
      <c r="A74" s="279" t="str">
        <f t="shared" si="0"/>
        <v>NL</v>
      </c>
      <c r="B74" s="745">
        <f t="shared" si="1"/>
        <v>63</v>
      </c>
      <c r="C74" s="190" t="s">
        <v>1121</v>
      </c>
      <c r="D74" s="281" t="s">
        <v>338</v>
      </c>
      <c r="E74" s="25">
        <v>432</v>
      </c>
      <c r="F74" s="25">
        <v>10948608</v>
      </c>
      <c r="G74" s="25">
        <f t="array" ref="G74">SUM(IF("156"&amp;C74=KHN&amp;MH,SL))</f>
        <v>0</v>
      </c>
      <c r="H74" s="25">
        <f t="array" ref="H74">SUM(IF("156"&amp;C74=KHN&amp;MH,TH))</f>
        <v>0</v>
      </c>
      <c r="I74" s="25">
        <f t="array" ref="I74">SUM(IF("156"&amp;C74=KHC&amp;MH,SL))</f>
        <v>432</v>
      </c>
      <c r="J74" s="25">
        <f t="array" ref="J74">SUM(IF("156"&amp;C74=KHC&amp;MH,TH))</f>
        <v>10948608</v>
      </c>
      <c r="K74" s="25">
        <f t="shared" si="2"/>
        <v>0</v>
      </c>
      <c r="L74" s="25">
        <f t="shared" si="3"/>
        <v>0</v>
      </c>
      <c r="M74" s="279"/>
    </row>
    <row r="75" spans="1:13" ht="18.75" customHeight="1">
      <c r="A75" s="279" t="str">
        <f t="shared" si="0"/>
        <v>NL</v>
      </c>
      <c r="B75" s="745">
        <f t="shared" si="1"/>
        <v>64</v>
      </c>
      <c r="C75" s="190" t="s">
        <v>658</v>
      </c>
      <c r="D75" s="281" t="s">
        <v>338</v>
      </c>
      <c r="E75" s="25"/>
      <c r="F75" s="25"/>
      <c r="G75" s="25">
        <f t="array" ref="G75">SUM(IF("156"&amp;C75=KHN&amp;MH,SL))</f>
        <v>60</v>
      </c>
      <c r="H75" s="25">
        <f t="array" ref="H75">SUM(IF("156"&amp;C75=KHN&amp;MH,TH))</f>
        <v>1035000</v>
      </c>
      <c r="I75" s="25">
        <f t="array" ref="I75">SUM(IF("156"&amp;C75=KHC&amp;MH,SL))</f>
        <v>0</v>
      </c>
      <c r="J75" s="25">
        <f t="array" ref="J75">SUM(IF("156"&amp;C75=KHC&amp;MH,TH))</f>
        <v>0</v>
      </c>
      <c r="K75" s="25">
        <f t="shared" si="2"/>
        <v>60</v>
      </c>
      <c r="L75" s="25">
        <f t="shared" si="3"/>
        <v>1035000</v>
      </c>
      <c r="M75" s="279"/>
    </row>
    <row r="76" spans="1:13" ht="18.75" customHeight="1">
      <c r="A76" s="279" t="str">
        <f t="shared" ref="A76:A139" si="4">IF(B76&lt;&gt;"","NL","")</f>
        <v>NL</v>
      </c>
      <c r="B76" s="745">
        <f t="shared" ref="B76:B139" si="5">IF(C76&lt;&gt;"",ROW()-11,"")</f>
        <v>65</v>
      </c>
      <c r="C76" s="190" t="s">
        <v>851</v>
      </c>
      <c r="D76" s="281" t="s">
        <v>338</v>
      </c>
      <c r="E76" s="25"/>
      <c r="F76" s="25"/>
      <c r="G76" s="25">
        <f t="array" ref="G76">SUM(IF("156"&amp;C76=KHN&amp;MH,SL))</f>
        <v>140</v>
      </c>
      <c r="H76" s="25">
        <f t="array" ref="H76">SUM(IF("156"&amp;C76=KHN&amp;MH,TH))</f>
        <v>2332680</v>
      </c>
      <c r="I76" s="25">
        <f t="array" ref="I76">SUM(IF("156"&amp;C76=KHC&amp;MH,SL))</f>
        <v>0</v>
      </c>
      <c r="J76" s="25">
        <f t="array" ref="J76">SUM(IF("156"&amp;C76=KHC&amp;MH,TH))</f>
        <v>0</v>
      </c>
      <c r="K76" s="25">
        <f t="shared" ref="K76:K139" si="6">E76+G76-I76</f>
        <v>140</v>
      </c>
      <c r="L76" s="25">
        <f t="shared" ref="L76:L139" si="7">F76+H76-J76</f>
        <v>2332680</v>
      </c>
      <c r="M76" s="279"/>
    </row>
    <row r="77" spans="1:13" ht="18.75" customHeight="1">
      <c r="A77" s="279" t="str">
        <f t="shared" si="4"/>
        <v>NL</v>
      </c>
      <c r="B77" s="745">
        <f t="shared" si="5"/>
        <v>66</v>
      </c>
      <c r="C77" s="190" t="s">
        <v>652</v>
      </c>
      <c r="D77" s="281" t="s">
        <v>338</v>
      </c>
      <c r="E77" s="25"/>
      <c r="F77" s="25"/>
      <c r="G77" s="25">
        <f t="array" ref="G77">SUM(IF("156"&amp;C77=KHN&amp;MH,SL))</f>
        <v>30</v>
      </c>
      <c r="H77" s="25">
        <f t="array" ref="H77">SUM(IF("156"&amp;C77=KHN&amp;MH,TH))</f>
        <v>607470</v>
      </c>
      <c r="I77" s="25">
        <f t="array" ref="I77">SUM(IF("156"&amp;C77=KHC&amp;MH,SL))</f>
        <v>0</v>
      </c>
      <c r="J77" s="25">
        <f t="array" ref="J77">SUM(IF("156"&amp;C77=KHC&amp;MH,TH))</f>
        <v>0</v>
      </c>
      <c r="K77" s="25">
        <f t="shared" si="6"/>
        <v>30</v>
      </c>
      <c r="L77" s="25">
        <f t="shared" si="7"/>
        <v>607470</v>
      </c>
      <c r="M77" s="279"/>
    </row>
    <row r="78" spans="1:13" ht="18.75" customHeight="1">
      <c r="A78" s="279" t="str">
        <f t="shared" si="4"/>
        <v>NL</v>
      </c>
      <c r="B78" s="745">
        <f t="shared" si="5"/>
        <v>67</v>
      </c>
      <c r="C78" s="190" t="s">
        <v>654</v>
      </c>
      <c r="D78" s="281" t="s">
        <v>338</v>
      </c>
      <c r="E78" s="25"/>
      <c r="F78" s="25"/>
      <c r="G78" s="25">
        <f t="array" ref="G78">SUM(IF("156"&amp;C78=KHN&amp;MH,SL))</f>
        <v>3</v>
      </c>
      <c r="H78" s="25">
        <f t="array" ref="H78">SUM(IF("156"&amp;C78=KHN&amp;MH,TH))</f>
        <v>65880</v>
      </c>
      <c r="I78" s="25">
        <f t="array" ref="I78">SUM(IF("156"&amp;C78=KHC&amp;MH,SL))</f>
        <v>0</v>
      </c>
      <c r="J78" s="25">
        <f t="array" ref="J78">SUM(IF("156"&amp;C78=KHC&amp;MH,TH))</f>
        <v>0</v>
      </c>
      <c r="K78" s="25">
        <f t="shared" si="6"/>
        <v>3</v>
      </c>
      <c r="L78" s="25">
        <f t="shared" si="7"/>
        <v>65880</v>
      </c>
      <c r="M78" s="279"/>
    </row>
    <row r="79" spans="1:13" ht="18.75" customHeight="1">
      <c r="A79" s="279" t="str">
        <f t="shared" si="4"/>
        <v>NL</v>
      </c>
      <c r="B79" s="745">
        <f t="shared" si="5"/>
        <v>68</v>
      </c>
      <c r="C79" s="190" t="s">
        <v>587</v>
      </c>
      <c r="D79" s="281" t="s">
        <v>338</v>
      </c>
      <c r="E79" s="25"/>
      <c r="F79" s="25"/>
      <c r="G79" s="25">
        <f t="array" ref="G79">SUM(IF("156"&amp;C79=KHN&amp;MH,SL))</f>
        <v>110</v>
      </c>
      <c r="H79" s="25">
        <f t="array" ref="H79">SUM(IF("156"&amp;C79=KHN&amp;MH,TH))</f>
        <v>2463725</v>
      </c>
      <c r="I79" s="25">
        <f t="array" ref="I79">SUM(IF("156"&amp;C79=KHC&amp;MH,SL))</f>
        <v>0</v>
      </c>
      <c r="J79" s="25">
        <f t="array" ref="J79">SUM(IF("156"&amp;C79=KHC&amp;MH,TH))</f>
        <v>0</v>
      </c>
      <c r="K79" s="25">
        <f t="shared" si="6"/>
        <v>110</v>
      </c>
      <c r="L79" s="25">
        <f t="shared" si="7"/>
        <v>2463725</v>
      </c>
      <c r="M79" s="279"/>
    </row>
    <row r="80" spans="1:13" ht="18.75" customHeight="1">
      <c r="A80" s="279" t="str">
        <f t="shared" si="4"/>
        <v>NL</v>
      </c>
      <c r="B80" s="745">
        <f t="shared" si="5"/>
        <v>69</v>
      </c>
      <c r="C80" s="190" t="s">
        <v>655</v>
      </c>
      <c r="D80" s="281" t="s">
        <v>338</v>
      </c>
      <c r="E80" s="25"/>
      <c r="F80" s="25"/>
      <c r="G80" s="25">
        <f t="array" ref="G80">SUM(IF("156"&amp;C80=KHN&amp;MH,SL))</f>
        <v>33</v>
      </c>
      <c r="H80" s="25">
        <f t="array" ref="H80">SUM(IF("156"&amp;C80=KHN&amp;MH,TH))</f>
        <v>804705</v>
      </c>
      <c r="I80" s="25">
        <f t="array" ref="I80">SUM(IF("156"&amp;C80=KHC&amp;MH,SL))</f>
        <v>0</v>
      </c>
      <c r="J80" s="25">
        <f t="array" ref="J80">SUM(IF("156"&amp;C80=KHC&amp;MH,TH))</f>
        <v>0</v>
      </c>
      <c r="K80" s="25">
        <f t="shared" si="6"/>
        <v>33</v>
      </c>
      <c r="L80" s="25">
        <f t="shared" si="7"/>
        <v>804705</v>
      </c>
      <c r="M80" s="279"/>
    </row>
    <row r="81" spans="1:13" ht="18.75" customHeight="1">
      <c r="A81" s="279" t="str">
        <f t="shared" si="4"/>
        <v>NL</v>
      </c>
      <c r="B81" s="745">
        <f t="shared" si="5"/>
        <v>70</v>
      </c>
      <c r="C81" s="190" t="s">
        <v>586</v>
      </c>
      <c r="D81" s="281" t="s">
        <v>338</v>
      </c>
      <c r="E81" s="25"/>
      <c r="F81" s="25"/>
      <c r="G81" s="25">
        <f t="array" ref="G81">SUM(IF("156"&amp;C81=KHN&amp;MH,SL))</f>
        <v>30</v>
      </c>
      <c r="H81" s="25">
        <f t="array" ref="H81">SUM(IF("156"&amp;C81=KHN&amp;MH,TH))</f>
        <v>687735</v>
      </c>
      <c r="I81" s="25">
        <f t="array" ref="I81">SUM(IF("156"&amp;C81=KHC&amp;MH,SL))</f>
        <v>0</v>
      </c>
      <c r="J81" s="25">
        <f t="array" ref="J81">SUM(IF("156"&amp;C81=KHC&amp;MH,TH))</f>
        <v>0</v>
      </c>
      <c r="K81" s="25">
        <f t="shared" si="6"/>
        <v>30</v>
      </c>
      <c r="L81" s="25">
        <f t="shared" si="7"/>
        <v>687735</v>
      </c>
      <c r="M81" s="279"/>
    </row>
    <row r="82" spans="1:13" ht="18.75" customHeight="1">
      <c r="A82" s="279" t="str">
        <f t="shared" si="4"/>
        <v>NL</v>
      </c>
      <c r="B82" s="745">
        <f t="shared" si="5"/>
        <v>71</v>
      </c>
      <c r="C82" s="190" t="s">
        <v>651</v>
      </c>
      <c r="D82" s="281" t="s">
        <v>338</v>
      </c>
      <c r="E82" s="25"/>
      <c r="F82" s="25"/>
      <c r="G82" s="25">
        <f t="array" ref="G82">SUM(IF("156"&amp;C82=KHN&amp;MH,SL))</f>
        <v>3</v>
      </c>
      <c r="H82" s="25">
        <f t="array" ref="H82">SUM(IF("156"&amp;C82=KHN&amp;MH,TH))</f>
        <v>87270</v>
      </c>
      <c r="I82" s="25">
        <f t="array" ref="I82">SUM(IF("156"&amp;C82=KHC&amp;MH,SL))</f>
        <v>0</v>
      </c>
      <c r="J82" s="25">
        <f t="array" ref="J82">SUM(IF("156"&amp;C82=KHC&amp;MH,TH))</f>
        <v>0</v>
      </c>
      <c r="K82" s="25">
        <f t="shared" si="6"/>
        <v>3</v>
      </c>
      <c r="L82" s="25">
        <f t="shared" si="7"/>
        <v>87270</v>
      </c>
      <c r="M82" s="279"/>
    </row>
    <row r="83" spans="1:13" ht="18.75" customHeight="1">
      <c r="A83" s="279" t="str">
        <f t="shared" si="4"/>
        <v>NL</v>
      </c>
      <c r="B83" s="745">
        <f t="shared" si="5"/>
        <v>72</v>
      </c>
      <c r="C83" s="190" t="s">
        <v>795</v>
      </c>
      <c r="D83" s="281" t="s">
        <v>338</v>
      </c>
      <c r="E83" s="25"/>
      <c r="F83" s="25"/>
      <c r="G83" s="25">
        <f t="array" ref="G83">SUM(IF("156"&amp;C83=KHN&amp;MH,SL))</f>
        <v>30</v>
      </c>
      <c r="H83" s="25">
        <f t="array" ref="H83">SUM(IF("156"&amp;C83=KHN&amp;MH,TH))</f>
        <v>779970</v>
      </c>
      <c r="I83" s="25">
        <f t="array" ref="I83">SUM(IF("156"&amp;C83=KHC&amp;MH,SL))</f>
        <v>0</v>
      </c>
      <c r="J83" s="25">
        <f t="array" ref="J83">SUM(IF("156"&amp;C83=KHC&amp;MH,TH))</f>
        <v>0</v>
      </c>
      <c r="K83" s="25">
        <f t="shared" si="6"/>
        <v>30</v>
      </c>
      <c r="L83" s="25">
        <f t="shared" si="7"/>
        <v>779970</v>
      </c>
      <c r="M83" s="279"/>
    </row>
    <row r="84" spans="1:13" ht="18.75" hidden="1" customHeight="1">
      <c r="A84" s="279" t="str">
        <f t="shared" si="4"/>
        <v>NL</v>
      </c>
      <c r="B84" s="745">
        <f t="shared" si="5"/>
        <v>73</v>
      </c>
      <c r="C84" s="190" t="s">
        <v>660</v>
      </c>
      <c r="D84" s="281" t="s">
        <v>338</v>
      </c>
      <c r="E84" s="25"/>
      <c r="F84" s="25"/>
      <c r="G84" s="25">
        <f t="array" ref="G84">SUM(IF("156"&amp;C84=KHN&amp;MH,SL))</f>
        <v>63</v>
      </c>
      <c r="H84" s="25">
        <f t="array" ref="H84">SUM(IF("156"&amp;C84=KHN&amp;MH,TH))</f>
        <v>1372518</v>
      </c>
      <c r="I84" s="25">
        <f t="array" ref="I84">SUM(IF("156"&amp;C84=KHC&amp;MH,SL))</f>
        <v>63</v>
      </c>
      <c r="J84" s="25">
        <f t="array" ref="J84">SUM(IF("156"&amp;C84=KHC&amp;MH,TH))</f>
        <v>1372518</v>
      </c>
      <c r="K84" s="25">
        <f t="shared" si="6"/>
        <v>0</v>
      </c>
      <c r="L84" s="25">
        <f t="shared" si="7"/>
        <v>0</v>
      </c>
      <c r="M84" s="279"/>
    </row>
    <row r="85" spans="1:13" ht="18.75" customHeight="1">
      <c r="A85" s="279" t="str">
        <f t="shared" si="4"/>
        <v>NL</v>
      </c>
      <c r="B85" s="745">
        <f t="shared" si="5"/>
        <v>74</v>
      </c>
      <c r="C85" s="190" t="s">
        <v>675</v>
      </c>
      <c r="D85" s="281" t="s">
        <v>338</v>
      </c>
      <c r="E85" s="25"/>
      <c r="F85" s="25"/>
      <c r="G85" s="25">
        <f t="array" ref="G85">SUM(IF("156"&amp;C85=KHN&amp;MH,SL))</f>
        <v>250</v>
      </c>
      <c r="H85" s="25">
        <f t="array" ref="H85">SUM(IF("156"&amp;C85=KHN&amp;MH,TH))</f>
        <v>2357500</v>
      </c>
      <c r="I85" s="25">
        <f t="array" ref="I85">SUM(IF("156"&amp;C85=KHC&amp;MH,SL))</f>
        <v>0</v>
      </c>
      <c r="J85" s="25">
        <f t="array" ref="J85">SUM(IF("156"&amp;C85=KHC&amp;MH,TH))</f>
        <v>0</v>
      </c>
      <c r="K85" s="25">
        <f t="shared" si="6"/>
        <v>250</v>
      </c>
      <c r="L85" s="25">
        <f t="shared" si="7"/>
        <v>2357500</v>
      </c>
      <c r="M85" s="279"/>
    </row>
    <row r="86" spans="1:13" ht="18.75" customHeight="1">
      <c r="A86" s="279" t="str">
        <f t="shared" si="4"/>
        <v>NL</v>
      </c>
      <c r="B86" s="745">
        <f t="shared" si="5"/>
        <v>75</v>
      </c>
      <c r="C86" s="190" t="s">
        <v>785</v>
      </c>
      <c r="D86" s="281" t="s">
        <v>338</v>
      </c>
      <c r="E86" s="25"/>
      <c r="F86" s="25"/>
      <c r="G86" s="25">
        <f t="array" ref="G86">SUM(IF("156"&amp;C86=KHN&amp;MH,SL))</f>
        <v>60</v>
      </c>
      <c r="H86" s="25">
        <f t="array" ref="H86">SUM(IF("156"&amp;C86=KHN&amp;MH,TH))</f>
        <v>1100280</v>
      </c>
      <c r="I86" s="25">
        <f t="array" ref="I86">SUM(IF("156"&amp;C86=KHC&amp;MH,SL))</f>
        <v>0</v>
      </c>
      <c r="J86" s="25">
        <f t="array" ref="J86">SUM(IF("156"&amp;C86=KHC&amp;MH,TH))</f>
        <v>0</v>
      </c>
      <c r="K86" s="25">
        <f t="shared" si="6"/>
        <v>60</v>
      </c>
      <c r="L86" s="25">
        <f t="shared" si="7"/>
        <v>1100280</v>
      </c>
      <c r="M86" s="279"/>
    </row>
    <row r="87" spans="1:13" ht="18.75" customHeight="1">
      <c r="A87" s="279" t="str">
        <f t="shared" si="4"/>
        <v>NL</v>
      </c>
      <c r="B87" s="745">
        <f t="shared" si="5"/>
        <v>76</v>
      </c>
      <c r="C87" s="190" t="s">
        <v>948</v>
      </c>
      <c r="D87" s="281" t="s">
        <v>338</v>
      </c>
      <c r="E87" s="25"/>
      <c r="F87" s="25"/>
      <c r="G87" s="25">
        <f t="array" ref="G87">SUM(IF("156"&amp;C87=KHN&amp;MH,SL))</f>
        <v>40</v>
      </c>
      <c r="H87" s="25">
        <f t="array" ref="H87">SUM(IF("156"&amp;C87=KHN&amp;MH,TH))</f>
        <v>767520</v>
      </c>
      <c r="I87" s="25">
        <f t="array" ref="I87">SUM(IF("156"&amp;C87=KHC&amp;MH,SL))</f>
        <v>0</v>
      </c>
      <c r="J87" s="25">
        <f t="array" ref="J87">SUM(IF("156"&amp;C87=KHC&amp;MH,TH))</f>
        <v>0</v>
      </c>
      <c r="K87" s="25">
        <f t="shared" si="6"/>
        <v>40</v>
      </c>
      <c r="L87" s="25">
        <f t="shared" si="7"/>
        <v>767520</v>
      </c>
      <c r="M87" s="279"/>
    </row>
    <row r="88" spans="1:13" ht="18.75" customHeight="1">
      <c r="A88" s="279" t="str">
        <f t="shared" si="4"/>
        <v>NL</v>
      </c>
      <c r="B88" s="745">
        <f t="shared" si="5"/>
        <v>77</v>
      </c>
      <c r="C88" s="190" t="s">
        <v>881</v>
      </c>
      <c r="D88" s="281" t="s">
        <v>338</v>
      </c>
      <c r="E88" s="25"/>
      <c r="F88" s="25"/>
      <c r="G88" s="25">
        <f t="array" ref="G88">SUM(IF("156"&amp;C88=KHN&amp;MH,SL))</f>
        <v>40</v>
      </c>
      <c r="H88" s="25">
        <f t="array" ref="H88">SUM(IF("156"&amp;C88=KHN&amp;MH,TH))</f>
        <v>1033200</v>
      </c>
      <c r="I88" s="25">
        <f t="array" ref="I88">SUM(IF("156"&amp;C88=KHC&amp;MH,SL))</f>
        <v>0</v>
      </c>
      <c r="J88" s="25">
        <f t="array" ref="J88">SUM(IF("156"&amp;C88=KHC&amp;MH,TH))</f>
        <v>0</v>
      </c>
      <c r="K88" s="25">
        <f t="shared" si="6"/>
        <v>40</v>
      </c>
      <c r="L88" s="25">
        <f t="shared" si="7"/>
        <v>1033200</v>
      </c>
      <c r="M88" s="279"/>
    </row>
    <row r="89" spans="1:13" ht="18.75" customHeight="1">
      <c r="A89" s="279" t="str">
        <f t="shared" si="4"/>
        <v>NL</v>
      </c>
      <c r="B89" s="745">
        <f t="shared" si="5"/>
        <v>78</v>
      </c>
      <c r="C89" s="190" t="s">
        <v>859</v>
      </c>
      <c r="D89" s="281" t="s">
        <v>338</v>
      </c>
      <c r="E89" s="25"/>
      <c r="F89" s="25"/>
      <c r="G89" s="25">
        <f t="array" ref="G89">SUM(IF("156"&amp;C89=KHN&amp;MH,SL))</f>
        <v>500</v>
      </c>
      <c r="H89" s="25">
        <f t="array" ref="H89">SUM(IF("156"&amp;C89=KHN&amp;MH,TH))</f>
        <v>12500000</v>
      </c>
      <c r="I89" s="25">
        <f t="array" ref="I89">SUM(IF("156"&amp;C89=KHC&amp;MH,SL))</f>
        <v>0</v>
      </c>
      <c r="J89" s="25">
        <f t="array" ref="J89">SUM(IF("156"&amp;C89=KHC&amp;MH,TH))</f>
        <v>0</v>
      </c>
      <c r="K89" s="25">
        <f t="shared" si="6"/>
        <v>500</v>
      </c>
      <c r="L89" s="25">
        <f t="shared" si="7"/>
        <v>12500000</v>
      </c>
      <c r="M89" s="279"/>
    </row>
    <row r="90" spans="1:13" ht="18.75" customHeight="1">
      <c r="A90" s="279" t="str">
        <f t="shared" si="4"/>
        <v>NL</v>
      </c>
      <c r="B90" s="745">
        <f t="shared" si="5"/>
        <v>79</v>
      </c>
      <c r="C90" s="190" t="s">
        <v>858</v>
      </c>
      <c r="D90" s="281" t="s">
        <v>338</v>
      </c>
      <c r="E90" s="25"/>
      <c r="F90" s="25"/>
      <c r="G90" s="25">
        <f t="array" ref="G90">SUM(IF("156"&amp;C90=KHN&amp;MH,SL))</f>
        <v>250</v>
      </c>
      <c r="H90" s="25">
        <f t="array" ref="H90">SUM(IF("156"&amp;C90=KHN&amp;MH,TH))</f>
        <v>6510250</v>
      </c>
      <c r="I90" s="25">
        <f t="array" ref="I90">SUM(IF("156"&amp;C90=KHC&amp;MH,SL))</f>
        <v>0</v>
      </c>
      <c r="J90" s="25">
        <f t="array" ref="J90">SUM(IF("156"&amp;C90=KHC&amp;MH,TH))</f>
        <v>0</v>
      </c>
      <c r="K90" s="25">
        <f t="shared" si="6"/>
        <v>250</v>
      </c>
      <c r="L90" s="25">
        <f t="shared" si="7"/>
        <v>6510250</v>
      </c>
      <c r="M90" s="279"/>
    </row>
    <row r="91" spans="1:13" ht="18.75" hidden="1" customHeight="1">
      <c r="A91" s="279" t="str">
        <f t="shared" si="4"/>
        <v>NL</v>
      </c>
      <c r="B91" s="745">
        <f t="shared" si="5"/>
        <v>80</v>
      </c>
      <c r="C91" s="190" t="s">
        <v>871</v>
      </c>
      <c r="D91" s="281" t="s">
        <v>338</v>
      </c>
      <c r="E91" s="25"/>
      <c r="F91" s="25"/>
      <c r="G91" s="25">
        <f t="array" ref="G91">SUM(IF("156"&amp;C91=KHN&amp;MH,SL))</f>
        <v>20</v>
      </c>
      <c r="H91" s="25">
        <f t="array" ref="H91">SUM(IF("156"&amp;C91=KHN&amp;MH,TH))</f>
        <v>450900</v>
      </c>
      <c r="I91" s="25">
        <f t="array" ref="I91">SUM(IF("156"&amp;C91=KHC&amp;MH,SL))</f>
        <v>20</v>
      </c>
      <c r="J91" s="25">
        <f t="array" ref="J91">SUM(IF("156"&amp;C91=KHC&amp;MH,TH))</f>
        <v>450900</v>
      </c>
      <c r="K91" s="25">
        <f t="shared" si="6"/>
        <v>0</v>
      </c>
      <c r="L91" s="25">
        <f t="shared" si="7"/>
        <v>0</v>
      </c>
      <c r="M91" s="279"/>
    </row>
    <row r="92" spans="1:13" ht="18.75" customHeight="1">
      <c r="A92" s="279" t="str">
        <f t="shared" si="4"/>
        <v>NL</v>
      </c>
      <c r="B92" s="745">
        <f t="shared" si="5"/>
        <v>81</v>
      </c>
      <c r="C92" s="190" t="s">
        <v>945</v>
      </c>
      <c r="D92" s="281" t="s">
        <v>338</v>
      </c>
      <c r="E92" s="25"/>
      <c r="F92" s="25"/>
      <c r="G92" s="25">
        <f t="array" ref="G92">SUM(IF("156"&amp;C92=KHN&amp;MH,SL))</f>
        <v>52</v>
      </c>
      <c r="H92" s="25">
        <f t="array" ref="H92">SUM(IF("156"&amp;C92=KHN&amp;MH,TH))</f>
        <v>914940</v>
      </c>
      <c r="I92" s="25">
        <f t="array" ref="I92">SUM(IF("156"&amp;C92=KHC&amp;MH,SL))</f>
        <v>0</v>
      </c>
      <c r="J92" s="25">
        <f t="array" ref="J92">SUM(IF("156"&amp;C92=KHC&amp;MH,TH))</f>
        <v>0</v>
      </c>
      <c r="K92" s="25">
        <f t="shared" si="6"/>
        <v>52</v>
      </c>
      <c r="L92" s="25">
        <f t="shared" si="7"/>
        <v>914940</v>
      </c>
      <c r="M92" s="279"/>
    </row>
    <row r="93" spans="1:13" ht="18.75" customHeight="1">
      <c r="A93" s="279" t="str">
        <f t="shared" si="4"/>
        <v>NL</v>
      </c>
      <c r="B93" s="745">
        <f t="shared" si="5"/>
        <v>82</v>
      </c>
      <c r="C93" s="190" t="s">
        <v>677</v>
      </c>
      <c r="D93" s="281" t="s">
        <v>338</v>
      </c>
      <c r="E93" s="25"/>
      <c r="F93" s="25"/>
      <c r="G93" s="25">
        <f t="array" ref="G93">SUM(IF("156"&amp;C93=KHN&amp;MH,SL))</f>
        <v>250</v>
      </c>
      <c r="H93" s="25">
        <f t="array" ref="H93">SUM(IF("156"&amp;C93=KHN&amp;MH,TH))</f>
        <v>4762000</v>
      </c>
      <c r="I93" s="25">
        <f t="array" ref="I93">SUM(IF("156"&amp;C93=KHC&amp;MH,SL))</f>
        <v>0</v>
      </c>
      <c r="J93" s="25">
        <f t="array" ref="J93">SUM(IF("156"&amp;C93=KHC&amp;MH,TH))</f>
        <v>0</v>
      </c>
      <c r="K93" s="25">
        <f t="shared" si="6"/>
        <v>250</v>
      </c>
      <c r="L93" s="25">
        <f t="shared" si="7"/>
        <v>4762000</v>
      </c>
      <c r="M93" s="279"/>
    </row>
    <row r="94" spans="1:13" ht="18.75" customHeight="1">
      <c r="A94" s="279" t="str">
        <f t="shared" si="4"/>
        <v>NL</v>
      </c>
      <c r="B94" s="745">
        <f t="shared" si="5"/>
        <v>83</v>
      </c>
      <c r="C94" s="190" t="s">
        <v>885</v>
      </c>
      <c r="D94" s="281" t="s">
        <v>338</v>
      </c>
      <c r="E94" s="25"/>
      <c r="F94" s="25"/>
      <c r="G94" s="25">
        <f t="array" ref="G94">SUM(IF("156"&amp;C94=KHN&amp;MH,SL))</f>
        <v>40</v>
      </c>
      <c r="H94" s="25">
        <f t="array" ref="H94">SUM(IF("156"&amp;C94=KHN&amp;MH,TH))</f>
        <v>831080</v>
      </c>
      <c r="I94" s="25">
        <f t="array" ref="I94">SUM(IF("156"&amp;C94=KHC&amp;MH,SL))</f>
        <v>0</v>
      </c>
      <c r="J94" s="25">
        <f t="array" ref="J94">SUM(IF("156"&amp;C94=KHC&amp;MH,TH))</f>
        <v>0</v>
      </c>
      <c r="K94" s="25">
        <f t="shared" si="6"/>
        <v>40</v>
      </c>
      <c r="L94" s="25">
        <f t="shared" si="7"/>
        <v>831080</v>
      </c>
      <c r="M94" s="279"/>
    </row>
    <row r="95" spans="1:13" ht="18.75" customHeight="1">
      <c r="A95" s="279" t="str">
        <f t="shared" si="4"/>
        <v>NL</v>
      </c>
      <c r="B95" s="745">
        <f t="shared" si="5"/>
        <v>84</v>
      </c>
      <c r="C95" s="190" t="s">
        <v>784</v>
      </c>
      <c r="D95" s="281" t="s">
        <v>338</v>
      </c>
      <c r="E95" s="25"/>
      <c r="F95" s="25"/>
      <c r="G95" s="25">
        <f t="array" ref="G95">SUM(IF("156"&amp;C95=KHN&amp;MH,SL))</f>
        <v>50</v>
      </c>
      <c r="H95" s="25">
        <f t="array" ref="H95">SUM(IF("156"&amp;C95=KHN&amp;MH,TH))</f>
        <v>1051000</v>
      </c>
      <c r="I95" s="25">
        <f t="array" ref="I95">SUM(IF("156"&amp;C95=KHC&amp;MH,SL))</f>
        <v>0</v>
      </c>
      <c r="J95" s="25">
        <f t="array" ref="J95">SUM(IF("156"&amp;C95=KHC&amp;MH,TH))</f>
        <v>0</v>
      </c>
      <c r="K95" s="25">
        <f t="shared" si="6"/>
        <v>50</v>
      </c>
      <c r="L95" s="25">
        <f t="shared" si="7"/>
        <v>1051000</v>
      </c>
      <c r="M95" s="279"/>
    </row>
    <row r="96" spans="1:13" ht="18.75" customHeight="1">
      <c r="A96" s="279" t="str">
        <f t="shared" si="4"/>
        <v>NL</v>
      </c>
      <c r="B96" s="745">
        <f t="shared" si="5"/>
        <v>85</v>
      </c>
      <c r="C96" s="190" t="s">
        <v>818</v>
      </c>
      <c r="D96" s="281" t="s">
        <v>338</v>
      </c>
      <c r="E96" s="25"/>
      <c r="F96" s="25"/>
      <c r="G96" s="25">
        <f t="array" ref="G96">SUM(IF("156"&amp;C96=KHN&amp;MH,SL))</f>
        <v>100</v>
      </c>
      <c r="H96" s="25">
        <f t="array" ref="H96">SUM(IF("156"&amp;C96=KHN&amp;MH,TH))</f>
        <v>2764900</v>
      </c>
      <c r="I96" s="25">
        <f t="array" ref="I96">SUM(IF("156"&amp;C96=KHC&amp;MH,SL))</f>
        <v>0</v>
      </c>
      <c r="J96" s="25">
        <f t="array" ref="J96">SUM(IF("156"&amp;C96=KHC&amp;MH,TH))</f>
        <v>0</v>
      </c>
      <c r="K96" s="25">
        <f t="shared" si="6"/>
        <v>100</v>
      </c>
      <c r="L96" s="25">
        <f t="shared" si="7"/>
        <v>2764900</v>
      </c>
      <c r="M96" s="279"/>
    </row>
    <row r="97" spans="1:13" ht="18.75" customHeight="1">
      <c r="A97" s="279" t="str">
        <f t="shared" si="4"/>
        <v>NL</v>
      </c>
      <c r="B97" s="745">
        <f t="shared" si="5"/>
        <v>86</v>
      </c>
      <c r="C97" s="190" t="s">
        <v>947</v>
      </c>
      <c r="D97" s="281" t="s">
        <v>338</v>
      </c>
      <c r="E97" s="25"/>
      <c r="F97" s="25"/>
      <c r="G97" s="25">
        <f t="array" ref="G97">SUM(IF("156"&amp;C97=KHN&amp;MH,SL))</f>
        <v>30</v>
      </c>
      <c r="H97" s="25">
        <f t="array" ref="H97">SUM(IF("156"&amp;C97=KHN&amp;MH,TH))</f>
        <v>610740</v>
      </c>
      <c r="I97" s="25">
        <f t="array" ref="I97">SUM(IF("156"&amp;C97=KHC&amp;MH,SL))</f>
        <v>0</v>
      </c>
      <c r="J97" s="25">
        <f t="array" ref="J97">SUM(IF("156"&amp;C97=KHC&amp;MH,TH))</f>
        <v>0</v>
      </c>
      <c r="K97" s="25">
        <f t="shared" si="6"/>
        <v>30</v>
      </c>
      <c r="L97" s="25">
        <f t="shared" si="7"/>
        <v>610740</v>
      </c>
      <c r="M97" s="279"/>
    </row>
    <row r="98" spans="1:13" ht="18.75" customHeight="1">
      <c r="A98" s="279" t="str">
        <f t="shared" si="4"/>
        <v>NL</v>
      </c>
      <c r="B98" s="745">
        <f t="shared" si="5"/>
        <v>87</v>
      </c>
      <c r="C98" s="190" t="s">
        <v>912</v>
      </c>
      <c r="D98" s="281" t="s">
        <v>338</v>
      </c>
      <c r="E98" s="25"/>
      <c r="F98" s="25"/>
      <c r="G98" s="25">
        <f t="array" ref="G98">SUM(IF("156"&amp;C98=KHN&amp;MH,SL))</f>
        <v>128</v>
      </c>
      <c r="H98" s="25">
        <f t="array" ref="H98">SUM(IF("156"&amp;C98=KHN&amp;MH,TH))</f>
        <v>1687680</v>
      </c>
      <c r="I98" s="25">
        <f t="array" ref="I98">SUM(IF("156"&amp;C98=KHC&amp;MH,SL))</f>
        <v>0</v>
      </c>
      <c r="J98" s="25">
        <f t="array" ref="J98">SUM(IF("156"&amp;C98=KHC&amp;MH,TH))</f>
        <v>0</v>
      </c>
      <c r="K98" s="25">
        <f t="shared" si="6"/>
        <v>128</v>
      </c>
      <c r="L98" s="25">
        <f t="shared" si="7"/>
        <v>1687680</v>
      </c>
      <c r="M98" s="279"/>
    </row>
    <row r="99" spans="1:13" ht="18.75" customHeight="1">
      <c r="A99" s="279" t="str">
        <f t="shared" si="4"/>
        <v>NL</v>
      </c>
      <c r="B99" s="745">
        <f t="shared" si="5"/>
        <v>88</v>
      </c>
      <c r="C99" s="190" t="s">
        <v>790</v>
      </c>
      <c r="D99" s="281" t="s">
        <v>338</v>
      </c>
      <c r="E99" s="25"/>
      <c r="F99" s="25"/>
      <c r="G99" s="25">
        <f t="array" ref="G99">SUM(IF("156"&amp;C99=KHN&amp;MH,SL))</f>
        <v>11</v>
      </c>
      <c r="H99" s="25">
        <f t="array" ref="H99">SUM(IF("156"&amp;C99=KHN&amp;MH,TH))</f>
        <v>247940</v>
      </c>
      <c r="I99" s="25">
        <f t="array" ref="I99">SUM(IF("156"&amp;C99=KHC&amp;MH,SL))</f>
        <v>0</v>
      </c>
      <c r="J99" s="25">
        <f t="array" ref="J99">SUM(IF("156"&amp;C99=KHC&amp;MH,TH))</f>
        <v>0</v>
      </c>
      <c r="K99" s="25">
        <f t="shared" si="6"/>
        <v>11</v>
      </c>
      <c r="L99" s="25">
        <f t="shared" si="7"/>
        <v>247940</v>
      </c>
      <c r="M99" s="279"/>
    </row>
    <row r="100" spans="1:13" ht="18.75" customHeight="1">
      <c r="A100" s="279" t="str">
        <f t="shared" si="4"/>
        <v>NL</v>
      </c>
      <c r="B100" s="745">
        <f t="shared" si="5"/>
        <v>89</v>
      </c>
      <c r="C100" s="190" t="s">
        <v>884</v>
      </c>
      <c r="D100" s="281" t="s">
        <v>338</v>
      </c>
      <c r="E100" s="25"/>
      <c r="F100" s="25"/>
      <c r="G100" s="25">
        <f t="array" ref="G100">SUM(IF("156"&amp;C100=KHN&amp;MH,SL))</f>
        <v>10</v>
      </c>
      <c r="H100" s="25">
        <f t="array" ref="H100">SUM(IF("156"&amp;C100=KHN&amp;MH,TH))</f>
        <v>191160</v>
      </c>
      <c r="I100" s="25">
        <f t="array" ref="I100">SUM(IF("156"&amp;C100=KHC&amp;MH,SL))</f>
        <v>0</v>
      </c>
      <c r="J100" s="25">
        <f t="array" ref="J100">SUM(IF("156"&amp;C100=KHC&amp;MH,TH))</f>
        <v>0</v>
      </c>
      <c r="K100" s="25">
        <f t="shared" si="6"/>
        <v>10</v>
      </c>
      <c r="L100" s="25">
        <f t="shared" si="7"/>
        <v>191160</v>
      </c>
      <c r="M100" s="279"/>
    </row>
    <row r="101" spans="1:13" ht="18.75" customHeight="1">
      <c r="A101" s="279" t="str">
        <f t="shared" si="4"/>
        <v>NL</v>
      </c>
      <c r="B101" s="745">
        <f t="shared" si="5"/>
        <v>90</v>
      </c>
      <c r="C101" s="190" t="s">
        <v>794</v>
      </c>
      <c r="D101" s="281" t="s">
        <v>338</v>
      </c>
      <c r="E101" s="25"/>
      <c r="F101" s="25"/>
      <c r="G101" s="25">
        <f t="array" ref="G101">SUM(IF("156"&amp;C101=KHN&amp;MH,SL))</f>
        <v>11</v>
      </c>
      <c r="H101" s="25">
        <f t="array" ref="H101">SUM(IF("156"&amp;C101=KHN&amp;MH,TH))</f>
        <v>261195</v>
      </c>
      <c r="I101" s="25">
        <f t="array" ref="I101">SUM(IF("156"&amp;C101=KHC&amp;MH,SL))</f>
        <v>0</v>
      </c>
      <c r="J101" s="25">
        <f t="array" ref="J101">SUM(IF("156"&amp;C101=KHC&amp;MH,TH))</f>
        <v>0</v>
      </c>
      <c r="K101" s="25">
        <f t="shared" si="6"/>
        <v>11</v>
      </c>
      <c r="L101" s="25">
        <f t="shared" si="7"/>
        <v>261195</v>
      </c>
      <c r="M101" s="279"/>
    </row>
    <row r="102" spans="1:13" ht="18.75" customHeight="1">
      <c r="A102" s="279" t="str">
        <f t="shared" si="4"/>
        <v>NL</v>
      </c>
      <c r="B102" s="745">
        <f t="shared" si="5"/>
        <v>91</v>
      </c>
      <c r="C102" s="190" t="s">
        <v>914</v>
      </c>
      <c r="D102" s="281" t="s">
        <v>338</v>
      </c>
      <c r="E102" s="25"/>
      <c r="F102" s="25"/>
      <c r="G102" s="25">
        <f t="array" ref="G102">SUM(IF("156"&amp;C102=KHN&amp;MH,SL))</f>
        <v>72</v>
      </c>
      <c r="H102" s="25">
        <f t="array" ref="H102">SUM(IF("156"&amp;C102=KHN&amp;MH,TH))</f>
        <v>1132956</v>
      </c>
      <c r="I102" s="25">
        <f t="array" ref="I102">SUM(IF("156"&amp;C102=KHC&amp;MH,SL))</f>
        <v>0</v>
      </c>
      <c r="J102" s="25">
        <f t="array" ref="J102">SUM(IF("156"&amp;C102=KHC&amp;MH,TH))</f>
        <v>0</v>
      </c>
      <c r="K102" s="25">
        <f t="shared" si="6"/>
        <v>72</v>
      </c>
      <c r="L102" s="25">
        <f t="shared" si="7"/>
        <v>1132956</v>
      </c>
      <c r="M102" s="279"/>
    </row>
    <row r="103" spans="1:13" ht="18.75" customHeight="1">
      <c r="A103" s="279" t="str">
        <f t="shared" si="4"/>
        <v>NL</v>
      </c>
      <c r="B103" s="745">
        <f t="shared" si="5"/>
        <v>92</v>
      </c>
      <c r="C103" s="190" t="s">
        <v>787</v>
      </c>
      <c r="D103" s="281" t="s">
        <v>338</v>
      </c>
      <c r="E103" s="25"/>
      <c r="F103" s="25"/>
      <c r="G103" s="25">
        <f t="array" ref="G103">SUM(IF("156"&amp;C103=KHN&amp;MH,SL))</f>
        <v>15</v>
      </c>
      <c r="H103" s="25">
        <f t="array" ref="H103">SUM(IF("156"&amp;C103=KHN&amp;MH,TH))</f>
        <v>361290</v>
      </c>
      <c r="I103" s="25">
        <f t="array" ref="I103">SUM(IF("156"&amp;C103=KHC&amp;MH,SL))</f>
        <v>0</v>
      </c>
      <c r="J103" s="25">
        <f t="array" ref="J103">SUM(IF("156"&amp;C103=KHC&amp;MH,TH))</f>
        <v>0</v>
      </c>
      <c r="K103" s="25">
        <f t="shared" si="6"/>
        <v>15</v>
      </c>
      <c r="L103" s="25">
        <f t="shared" si="7"/>
        <v>361290</v>
      </c>
      <c r="M103" s="279"/>
    </row>
    <row r="104" spans="1:13" ht="18.75" customHeight="1">
      <c r="A104" s="279" t="str">
        <f t="shared" si="4"/>
        <v>NL</v>
      </c>
      <c r="B104" s="745">
        <f t="shared" si="5"/>
        <v>93</v>
      </c>
      <c r="C104" s="190" t="s">
        <v>874</v>
      </c>
      <c r="D104" s="281" t="s">
        <v>338</v>
      </c>
      <c r="E104" s="25"/>
      <c r="F104" s="25"/>
      <c r="G104" s="25">
        <f t="array" ref="G104">SUM(IF("156"&amp;C104=KHN&amp;MH,SL))</f>
        <v>15</v>
      </c>
      <c r="H104" s="25">
        <f t="array" ref="H104">SUM(IF("156"&amp;C104=KHN&amp;MH,TH))</f>
        <v>320625</v>
      </c>
      <c r="I104" s="25">
        <f t="array" ref="I104">SUM(IF("156"&amp;C104=KHC&amp;MH,SL))</f>
        <v>0</v>
      </c>
      <c r="J104" s="25">
        <f t="array" ref="J104">SUM(IF("156"&amp;C104=KHC&amp;MH,TH))</f>
        <v>0</v>
      </c>
      <c r="K104" s="25">
        <f t="shared" si="6"/>
        <v>15</v>
      </c>
      <c r="L104" s="25">
        <f t="shared" si="7"/>
        <v>320625</v>
      </c>
      <c r="M104" s="279"/>
    </row>
    <row r="105" spans="1:13" ht="18.75" customHeight="1">
      <c r="A105" s="279" t="str">
        <f t="shared" si="4"/>
        <v>NL</v>
      </c>
      <c r="B105" s="745">
        <f t="shared" si="5"/>
        <v>94</v>
      </c>
      <c r="C105" s="190" t="s">
        <v>786</v>
      </c>
      <c r="D105" s="281" t="s">
        <v>338</v>
      </c>
      <c r="E105" s="25"/>
      <c r="F105" s="25"/>
      <c r="G105" s="25">
        <f t="array" ref="G105">SUM(IF("156"&amp;C105=KHN&amp;MH,SL))</f>
        <v>15</v>
      </c>
      <c r="H105" s="25">
        <f t="array" ref="H105">SUM(IF("156"&amp;C105=KHN&amp;MH,TH))</f>
        <v>367080</v>
      </c>
      <c r="I105" s="25">
        <f t="array" ref="I105">SUM(IF("156"&amp;C105=KHC&amp;MH,SL))</f>
        <v>0</v>
      </c>
      <c r="J105" s="25">
        <f t="array" ref="J105">SUM(IF("156"&amp;C105=KHC&amp;MH,TH))</f>
        <v>0</v>
      </c>
      <c r="K105" s="25">
        <f t="shared" si="6"/>
        <v>15</v>
      </c>
      <c r="L105" s="25">
        <f t="shared" si="7"/>
        <v>367080</v>
      </c>
      <c r="M105" s="279"/>
    </row>
    <row r="106" spans="1:13" ht="18.75" customHeight="1">
      <c r="A106" s="279" t="str">
        <f t="shared" si="4"/>
        <v>NL</v>
      </c>
      <c r="B106" s="745">
        <f t="shared" si="5"/>
        <v>95</v>
      </c>
      <c r="C106" s="190" t="s">
        <v>953</v>
      </c>
      <c r="D106" s="281" t="s">
        <v>338</v>
      </c>
      <c r="E106" s="25"/>
      <c r="F106" s="25"/>
      <c r="G106" s="25">
        <f t="array" ref="G106">SUM(IF("156"&amp;C106=KHN&amp;MH,SL))</f>
        <v>100</v>
      </c>
      <c r="H106" s="25">
        <f t="array" ref="H106">SUM(IF("156"&amp;C106=KHN&amp;MH,TH))</f>
        <v>1293200</v>
      </c>
      <c r="I106" s="25">
        <f t="array" ref="I106">SUM(IF("156"&amp;C106=KHC&amp;MH,SL))</f>
        <v>0</v>
      </c>
      <c r="J106" s="25">
        <f t="array" ref="J106">SUM(IF("156"&amp;C106=KHC&amp;MH,TH))</f>
        <v>0</v>
      </c>
      <c r="K106" s="25">
        <f t="shared" si="6"/>
        <v>100</v>
      </c>
      <c r="L106" s="25">
        <f t="shared" si="7"/>
        <v>1293200</v>
      </c>
      <c r="M106" s="279"/>
    </row>
    <row r="107" spans="1:13" ht="18.75" customHeight="1">
      <c r="A107" s="279" t="str">
        <f t="shared" si="4"/>
        <v>NL</v>
      </c>
      <c r="B107" s="745">
        <f t="shared" si="5"/>
        <v>96</v>
      </c>
      <c r="C107" s="190" t="s">
        <v>674</v>
      </c>
      <c r="D107" s="281" t="s">
        <v>338</v>
      </c>
      <c r="E107" s="25"/>
      <c r="F107" s="25"/>
      <c r="G107" s="25">
        <f t="array" ref="G107">SUM(IF("156"&amp;C107=KHN&amp;MH,SL))</f>
        <v>50</v>
      </c>
      <c r="H107" s="25">
        <f t="array" ref="H107">SUM(IF("156"&amp;C107=KHN&amp;MH,TH))</f>
        <v>1036800</v>
      </c>
      <c r="I107" s="25">
        <f t="array" ref="I107">SUM(IF("156"&amp;C107=KHC&amp;MH,SL))</f>
        <v>0</v>
      </c>
      <c r="J107" s="25">
        <f t="array" ref="J107">SUM(IF("156"&amp;C107=KHC&amp;MH,TH))</f>
        <v>0</v>
      </c>
      <c r="K107" s="25">
        <f t="shared" si="6"/>
        <v>50</v>
      </c>
      <c r="L107" s="25">
        <f t="shared" si="7"/>
        <v>1036800</v>
      </c>
      <c r="M107" s="279"/>
    </row>
    <row r="108" spans="1:13" ht="18.75" customHeight="1">
      <c r="A108" s="279" t="str">
        <f t="shared" si="4"/>
        <v>NL</v>
      </c>
      <c r="B108" s="745">
        <f t="shared" si="5"/>
        <v>97</v>
      </c>
      <c r="C108" s="190" t="s">
        <v>685</v>
      </c>
      <c r="D108" s="281" t="s">
        <v>338</v>
      </c>
      <c r="E108" s="25"/>
      <c r="F108" s="25"/>
      <c r="G108" s="25">
        <f t="array" ref="G108">SUM(IF("156"&amp;C108=KHN&amp;MH,SL))</f>
        <v>100</v>
      </c>
      <c r="H108" s="25">
        <f t="array" ref="H108">SUM(IF("156"&amp;C108=KHN&amp;MH,TH))</f>
        <v>2084400</v>
      </c>
      <c r="I108" s="25">
        <f t="array" ref="I108">SUM(IF("156"&amp;C108=KHC&amp;MH,SL))</f>
        <v>0</v>
      </c>
      <c r="J108" s="25">
        <f t="array" ref="J108">SUM(IF("156"&amp;C108=KHC&amp;MH,TH))</f>
        <v>0</v>
      </c>
      <c r="K108" s="25">
        <f t="shared" si="6"/>
        <v>100</v>
      </c>
      <c r="L108" s="25">
        <f t="shared" si="7"/>
        <v>2084400</v>
      </c>
      <c r="M108" s="279"/>
    </row>
    <row r="109" spans="1:13" ht="18.75" hidden="1" customHeight="1">
      <c r="A109" s="279" t="str">
        <f t="shared" si="4"/>
        <v>NL</v>
      </c>
      <c r="B109" s="745">
        <f t="shared" si="5"/>
        <v>98</v>
      </c>
      <c r="C109" s="190" t="s">
        <v>668</v>
      </c>
      <c r="D109" s="281" t="s">
        <v>338</v>
      </c>
      <c r="E109" s="25"/>
      <c r="F109" s="25"/>
      <c r="G109" s="25">
        <f t="array" ref="G109">SUM(IF("156"&amp;C109=KHN&amp;MH,SL))</f>
        <v>86</v>
      </c>
      <c r="H109" s="25">
        <f t="array" ref="H109">SUM(IF("156"&amp;C109=KHN&amp;MH,TH))</f>
        <v>2893040</v>
      </c>
      <c r="I109" s="25">
        <f t="array" ref="I109">SUM(IF("156"&amp;C109=KHC&amp;MH,SL))</f>
        <v>86</v>
      </c>
      <c r="J109" s="25">
        <f t="array" ref="J109">SUM(IF("156"&amp;C109=KHC&amp;MH,TH))</f>
        <v>2893040</v>
      </c>
      <c r="K109" s="25">
        <f t="shared" si="6"/>
        <v>0</v>
      </c>
      <c r="L109" s="25">
        <f t="shared" si="7"/>
        <v>0</v>
      </c>
      <c r="M109" s="279"/>
    </row>
    <row r="110" spans="1:13" ht="18.75" customHeight="1">
      <c r="A110" s="279" t="str">
        <f t="shared" si="4"/>
        <v>NL</v>
      </c>
      <c r="B110" s="745">
        <f t="shared" si="5"/>
        <v>99</v>
      </c>
      <c r="C110" s="190" t="s">
        <v>943</v>
      </c>
      <c r="D110" s="281" t="s">
        <v>338</v>
      </c>
      <c r="E110" s="25"/>
      <c r="F110" s="25"/>
      <c r="G110" s="25">
        <f t="array" ref="G110">SUM(IF("156"&amp;C110=KHN&amp;MH,SL))</f>
        <v>60</v>
      </c>
      <c r="H110" s="25">
        <f t="array" ref="H110">SUM(IF("156"&amp;C110=KHN&amp;MH,TH))</f>
        <v>1204740</v>
      </c>
      <c r="I110" s="25">
        <f t="array" ref="I110">SUM(IF("156"&amp;C110=KHC&amp;MH,SL))</f>
        <v>0</v>
      </c>
      <c r="J110" s="25">
        <f t="array" ref="J110">SUM(IF("156"&amp;C110=KHC&amp;MH,TH))</f>
        <v>0</v>
      </c>
      <c r="K110" s="25">
        <f t="shared" si="6"/>
        <v>60</v>
      </c>
      <c r="L110" s="25">
        <f t="shared" si="7"/>
        <v>1204740</v>
      </c>
      <c r="M110" s="279"/>
    </row>
    <row r="111" spans="1:13" ht="18.75" customHeight="1">
      <c r="A111" s="279" t="str">
        <f t="shared" si="4"/>
        <v>NL</v>
      </c>
      <c r="B111" s="745">
        <f t="shared" si="5"/>
        <v>100</v>
      </c>
      <c r="C111" s="190" t="s">
        <v>672</v>
      </c>
      <c r="D111" s="281" t="s">
        <v>338</v>
      </c>
      <c r="E111" s="25"/>
      <c r="F111" s="25"/>
      <c r="G111" s="25">
        <f t="array" ref="G111">SUM(IF("156"&amp;C111=KHN&amp;MH,SL))</f>
        <v>750</v>
      </c>
      <c r="H111" s="25">
        <f t="array" ref="H111">SUM(IF("156"&amp;C111=KHN&amp;MH,TH))</f>
        <v>24789750</v>
      </c>
      <c r="I111" s="25">
        <f t="array" ref="I111">SUM(IF("156"&amp;C111=KHC&amp;MH,SL))</f>
        <v>0</v>
      </c>
      <c r="J111" s="25">
        <f t="array" ref="J111">SUM(IF("156"&amp;C111=KHC&amp;MH,TH))</f>
        <v>0</v>
      </c>
      <c r="K111" s="25">
        <f t="shared" si="6"/>
        <v>750</v>
      </c>
      <c r="L111" s="25">
        <f t="shared" si="7"/>
        <v>24789750</v>
      </c>
      <c r="M111" s="279"/>
    </row>
    <row r="112" spans="1:13" ht="18.75" customHeight="1">
      <c r="A112" s="279" t="str">
        <f t="shared" si="4"/>
        <v>NL</v>
      </c>
      <c r="B112" s="745">
        <f t="shared" si="5"/>
        <v>101</v>
      </c>
      <c r="C112" s="190" t="s">
        <v>792</v>
      </c>
      <c r="D112" s="281" t="s">
        <v>338</v>
      </c>
      <c r="E112" s="25"/>
      <c r="F112" s="25"/>
      <c r="G112" s="25">
        <f t="array" ref="G112">SUM(IF("156"&amp;C112=KHN&amp;MH,SL))</f>
        <v>40</v>
      </c>
      <c r="H112" s="25">
        <f t="array" ref="H112">SUM(IF("156"&amp;C112=KHN&amp;MH,TH))</f>
        <v>1009800</v>
      </c>
      <c r="I112" s="25">
        <f t="array" ref="I112">SUM(IF("156"&amp;C112=KHC&amp;MH,SL))</f>
        <v>0</v>
      </c>
      <c r="J112" s="25">
        <f t="array" ref="J112">SUM(IF("156"&amp;C112=KHC&amp;MH,TH))</f>
        <v>0</v>
      </c>
      <c r="K112" s="25">
        <f t="shared" si="6"/>
        <v>40</v>
      </c>
      <c r="L112" s="25">
        <f t="shared" si="7"/>
        <v>1009800</v>
      </c>
      <c r="M112" s="279"/>
    </row>
    <row r="113" spans="1:13" ht="18.75" hidden="1" customHeight="1">
      <c r="A113" s="279" t="str">
        <f t="shared" si="4"/>
        <v>NL</v>
      </c>
      <c r="B113" s="745">
        <f t="shared" si="5"/>
        <v>102</v>
      </c>
      <c r="C113" s="190" t="s">
        <v>848</v>
      </c>
      <c r="D113" s="281" t="s">
        <v>338</v>
      </c>
      <c r="E113" s="25"/>
      <c r="F113" s="25"/>
      <c r="G113" s="25">
        <f t="array" ref="G113">SUM(IF("156"&amp;C113=KHN&amp;MH,SL))</f>
        <v>100</v>
      </c>
      <c r="H113" s="25">
        <f t="array" ref="H113">SUM(IF("156"&amp;C113=KHN&amp;MH,TH))</f>
        <v>2752800</v>
      </c>
      <c r="I113" s="25">
        <f t="array" ref="I113">SUM(IF("156"&amp;C113=KHC&amp;MH,SL))</f>
        <v>100</v>
      </c>
      <c r="J113" s="25">
        <f t="array" ref="J113">SUM(IF("156"&amp;C113=KHC&amp;MH,TH))</f>
        <v>2752800</v>
      </c>
      <c r="K113" s="25">
        <f t="shared" si="6"/>
        <v>0</v>
      </c>
      <c r="L113" s="25">
        <f t="shared" si="7"/>
        <v>0</v>
      </c>
      <c r="M113" s="279"/>
    </row>
    <row r="114" spans="1:13" ht="18.75" hidden="1" customHeight="1">
      <c r="A114" s="279" t="str">
        <f t="shared" si="4"/>
        <v>NL</v>
      </c>
      <c r="B114" s="745">
        <f t="shared" si="5"/>
        <v>103</v>
      </c>
      <c r="C114" s="190" t="s">
        <v>673</v>
      </c>
      <c r="D114" s="281" t="s">
        <v>338</v>
      </c>
      <c r="E114" s="25"/>
      <c r="F114" s="25"/>
      <c r="G114" s="25">
        <f t="array" ref="G114">SUM(IF("156"&amp;C114=KHN&amp;MH,SL))</f>
        <v>188</v>
      </c>
      <c r="H114" s="25">
        <f t="array" ref="H114">SUM(IF("156"&amp;C114=KHN&amp;MH,TH))</f>
        <v>2538000</v>
      </c>
      <c r="I114" s="25">
        <f t="array" ref="I114">SUM(IF("156"&amp;C114=KHC&amp;MH,SL))</f>
        <v>188</v>
      </c>
      <c r="J114" s="25">
        <f t="array" ref="J114">SUM(IF("156"&amp;C114=KHC&amp;MH,TH))</f>
        <v>2538000</v>
      </c>
      <c r="K114" s="25">
        <f t="shared" si="6"/>
        <v>0</v>
      </c>
      <c r="L114" s="25">
        <f t="shared" si="7"/>
        <v>0</v>
      </c>
      <c r="M114" s="279"/>
    </row>
    <row r="115" spans="1:13" ht="18.75" customHeight="1">
      <c r="A115" s="279" t="str">
        <f t="shared" si="4"/>
        <v>NL</v>
      </c>
      <c r="B115" s="745">
        <f t="shared" si="5"/>
        <v>104</v>
      </c>
      <c r="C115" s="190" t="s">
        <v>873</v>
      </c>
      <c r="D115" s="281" t="s">
        <v>338</v>
      </c>
      <c r="E115" s="25"/>
      <c r="F115" s="25"/>
      <c r="G115" s="25">
        <f t="array" ref="G115">SUM(IF("156"&amp;C115=KHN&amp;MH,SL))</f>
        <v>102</v>
      </c>
      <c r="H115" s="25">
        <f t="array" ref="H115">SUM(IF("156"&amp;C115=KHN&amp;MH,TH))</f>
        <v>2306526</v>
      </c>
      <c r="I115" s="25">
        <f t="array" ref="I115">SUM(IF("156"&amp;C115=KHC&amp;MH,SL))</f>
        <v>0</v>
      </c>
      <c r="J115" s="25">
        <f t="array" ref="J115">SUM(IF("156"&amp;C115=KHC&amp;MH,TH))</f>
        <v>0</v>
      </c>
      <c r="K115" s="25">
        <f t="shared" si="6"/>
        <v>102</v>
      </c>
      <c r="L115" s="25">
        <f t="shared" si="7"/>
        <v>2306526</v>
      </c>
      <c r="M115" s="279"/>
    </row>
    <row r="116" spans="1:13" ht="18.75" customHeight="1">
      <c r="A116" s="279" t="str">
        <f t="shared" si="4"/>
        <v>NL</v>
      </c>
      <c r="B116" s="745">
        <f t="shared" si="5"/>
        <v>105</v>
      </c>
      <c r="C116" s="190" t="s">
        <v>889</v>
      </c>
      <c r="D116" s="281" t="s">
        <v>338</v>
      </c>
      <c r="E116" s="25"/>
      <c r="F116" s="25"/>
      <c r="G116" s="25">
        <f t="array" ref="G116">SUM(IF("156"&amp;C116=KHN&amp;MH,SL))</f>
        <v>15</v>
      </c>
      <c r="H116" s="25">
        <f t="array" ref="H116">SUM(IF("156"&amp;C116=KHN&amp;MH,TH))</f>
        <v>352755</v>
      </c>
      <c r="I116" s="25">
        <f t="array" ref="I116">SUM(IF("156"&amp;C116=KHC&amp;MH,SL))</f>
        <v>0</v>
      </c>
      <c r="J116" s="25">
        <f t="array" ref="J116">SUM(IF("156"&amp;C116=KHC&amp;MH,TH))</f>
        <v>0</v>
      </c>
      <c r="K116" s="25">
        <f t="shared" si="6"/>
        <v>15</v>
      </c>
      <c r="L116" s="25">
        <f t="shared" si="7"/>
        <v>352755</v>
      </c>
      <c r="M116" s="279"/>
    </row>
    <row r="117" spans="1:13" ht="18.75" customHeight="1">
      <c r="A117" s="279" t="str">
        <f t="shared" si="4"/>
        <v>NL</v>
      </c>
      <c r="B117" s="745">
        <f t="shared" si="5"/>
        <v>106</v>
      </c>
      <c r="C117" s="190" t="s">
        <v>806</v>
      </c>
      <c r="D117" s="281" t="s">
        <v>338</v>
      </c>
      <c r="E117" s="25"/>
      <c r="F117" s="25"/>
      <c r="G117" s="25">
        <f t="array" ref="G117">SUM(IF("156"&amp;C117=KHN&amp;MH,SL))</f>
        <v>24</v>
      </c>
      <c r="H117" s="25">
        <f t="array" ref="H117">SUM(IF("156"&amp;C117=KHN&amp;MH,TH))</f>
        <v>567216</v>
      </c>
      <c r="I117" s="25">
        <f t="array" ref="I117">SUM(IF("156"&amp;C117=KHC&amp;MH,SL))</f>
        <v>0</v>
      </c>
      <c r="J117" s="25">
        <f t="array" ref="J117">SUM(IF("156"&amp;C117=KHC&amp;MH,TH))</f>
        <v>0</v>
      </c>
      <c r="K117" s="25">
        <f t="shared" si="6"/>
        <v>24</v>
      </c>
      <c r="L117" s="25">
        <f t="shared" si="7"/>
        <v>567216</v>
      </c>
      <c r="M117" s="279"/>
    </row>
    <row r="118" spans="1:13" ht="18.75" customHeight="1">
      <c r="A118" s="279" t="str">
        <f t="shared" si="4"/>
        <v>NL</v>
      </c>
      <c r="B118" s="745">
        <f t="shared" si="5"/>
        <v>107</v>
      </c>
      <c r="C118" s="190" t="s">
        <v>680</v>
      </c>
      <c r="D118" s="281" t="s">
        <v>338</v>
      </c>
      <c r="E118" s="25"/>
      <c r="F118" s="25"/>
      <c r="G118" s="25">
        <f t="array" ref="G118">SUM(IF("156"&amp;C118=KHN&amp;MH,SL))</f>
        <v>52</v>
      </c>
      <c r="H118" s="25">
        <f t="array" ref="H118">SUM(IF("156"&amp;C118=KHN&amp;MH,TH))</f>
        <v>1548768</v>
      </c>
      <c r="I118" s="25">
        <f t="array" ref="I118">SUM(IF("156"&amp;C118=KHC&amp;MH,SL))</f>
        <v>0</v>
      </c>
      <c r="J118" s="25">
        <f t="array" ref="J118">SUM(IF("156"&amp;C118=KHC&amp;MH,TH))</f>
        <v>0</v>
      </c>
      <c r="K118" s="25">
        <f t="shared" si="6"/>
        <v>52</v>
      </c>
      <c r="L118" s="25">
        <f t="shared" si="7"/>
        <v>1548768</v>
      </c>
      <c r="M118" s="279"/>
    </row>
    <row r="119" spans="1:13" ht="18.75" hidden="1" customHeight="1">
      <c r="A119" s="279" t="str">
        <f t="shared" si="4"/>
        <v>NL</v>
      </c>
      <c r="B119" s="745">
        <f t="shared" si="5"/>
        <v>108</v>
      </c>
      <c r="C119" s="190" t="s">
        <v>880</v>
      </c>
      <c r="D119" s="281" t="s">
        <v>338</v>
      </c>
      <c r="E119" s="25"/>
      <c r="F119" s="25"/>
      <c r="G119" s="25">
        <f t="array" ref="G119">SUM(IF("156"&amp;C119=KHN&amp;MH,SL))</f>
        <v>20</v>
      </c>
      <c r="H119" s="25">
        <f t="array" ref="H119">SUM(IF("156"&amp;C119=KHN&amp;MH,TH))</f>
        <v>645760</v>
      </c>
      <c r="I119" s="25">
        <f t="array" ref="I119">SUM(IF("156"&amp;C119=KHC&amp;MH,SL))</f>
        <v>20</v>
      </c>
      <c r="J119" s="25">
        <f t="array" ref="J119">SUM(IF("156"&amp;C119=KHC&amp;MH,TH))</f>
        <v>645760</v>
      </c>
      <c r="K119" s="25">
        <f t="shared" si="6"/>
        <v>0</v>
      </c>
      <c r="L119" s="25">
        <f t="shared" si="7"/>
        <v>0</v>
      </c>
      <c r="M119" s="279"/>
    </row>
    <row r="120" spans="1:13" ht="18.75" customHeight="1">
      <c r="A120" s="279" t="str">
        <f t="shared" si="4"/>
        <v>NL</v>
      </c>
      <c r="B120" s="745">
        <f t="shared" si="5"/>
        <v>109</v>
      </c>
      <c r="C120" s="190" t="s">
        <v>686</v>
      </c>
      <c r="D120" s="281" t="s">
        <v>338</v>
      </c>
      <c r="E120" s="25"/>
      <c r="F120" s="25"/>
      <c r="G120" s="25">
        <f t="array" ref="G120">SUM(IF("156"&amp;C120=KHN&amp;MH,SL))</f>
        <v>235</v>
      </c>
      <c r="H120" s="25">
        <f t="array" ref="H120">SUM(IF("156"&amp;C120=KHN&amp;MH,TH))</f>
        <v>6799020</v>
      </c>
      <c r="I120" s="25">
        <f t="array" ref="I120">SUM(IF("156"&amp;C120=KHC&amp;MH,SL))</f>
        <v>54</v>
      </c>
      <c r="J120" s="25">
        <f t="array" ref="J120">SUM(IF("156"&amp;C120=KHC&amp;MH,TH))</f>
        <v>1562328</v>
      </c>
      <c r="K120" s="25">
        <f t="shared" si="6"/>
        <v>181</v>
      </c>
      <c r="L120" s="25">
        <f t="shared" si="7"/>
        <v>5236692</v>
      </c>
      <c r="M120" s="279"/>
    </row>
    <row r="121" spans="1:13" ht="18.75" customHeight="1">
      <c r="A121" s="279" t="str">
        <f t="shared" si="4"/>
        <v>NL</v>
      </c>
      <c r="B121" s="745">
        <f t="shared" si="5"/>
        <v>110</v>
      </c>
      <c r="C121" s="190" t="s">
        <v>799</v>
      </c>
      <c r="D121" s="281" t="s">
        <v>338</v>
      </c>
      <c r="E121" s="25"/>
      <c r="F121" s="25"/>
      <c r="G121" s="25">
        <f t="array" ref="G121">SUM(IF("156"&amp;C121=KHN&amp;MH,SL))</f>
        <v>100</v>
      </c>
      <c r="H121" s="25">
        <f t="array" ref="H121">SUM(IF("156"&amp;C121=KHN&amp;MH,TH))</f>
        <v>1973560</v>
      </c>
      <c r="I121" s="25">
        <f t="array" ref="I121">SUM(IF("156"&amp;C121=KHC&amp;MH,SL))</f>
        <v>0</v>
      </c>
      <c r="J121" s="25">
        <f t="array" ref="J121">SUM(IF("156"&amp;C121=KHC&amp;MH,TH))</f>
        <v>0</v>
      </c>
      <c r="K121" s="25">
        <f t="shared" si="6"/>
        <v>100</v>
      </c>
      <c r="L121" s="25">
        <f t="shared" si="7"/>
        <v>1973560</v>
      </c>
      <c r="M121" s="279"/>
    </row>
    <row r="122" spans="1:13" ht="18.75" customHeight="1">
      <c r="A122" s="279" t="str">
        <f t="shared" si="4"/>
        <v>NL</v>
      </c>
      <c r="B122" s="745">
        <f t="shared" si="5"/>
        <v>111</v>
      </c>
      <c r="C122" s="190" t="s">
        <v>817</v>
      </c>
      <c r="D122" s="281" t="s">
        <v>338</v>
      </c>
      <c r="E122" s="25"/>
      <c r="F122" s="25"/>
      <c r="G122" s="25">
        <f t="array" ref="G122">SUM(IF("156"&amp;C122=KHN&amp;MH,SL))</f>
        <v>20</v>
      </c>
      <c r="H122" s="25">
        <f t="array" ref="H122">SUM(IF("156"&amp;C122=KHN&amp;MH,TH))</f>
        <v>432640</v>
      </c>
      <c r="I122" s="25">
        <f t="array" ref="I122">SUM(IF("156"&amp;C122=KHC&amp;MH,SL))</f>
        <v>0</v>
      </c>
      <c r="J122" s="25">
        <f t="array" ref="J122">SUM(IF("156"&amp;C122=KHC&amp;MH,TH))</f>
        <v>0</v>
      </c>
      <c r="K122" s="25">
        <f t="shared" si="6"/>
        <v>20</v>
      </c>
      <c r="L122" s="25">
        <f t="shared" si="7"/>
        <v>432640</v>
      </c>
      <c r="M122" s="279"/>
    </row>
    <row r="123" spans="1:13" ht="18.75" customHeight="1">
      <c r="A123" s="279" t="str">
        <f t="shared" si="4"/>
        <v>NL</v>
      </c>
      <c r="B123" s="745">
        <f t="shared" si="5"/>
        <v>112</v>
      </c>
      <c r="C123" s="190" t="s">
        <v>946</v>
      </c>
      <c r="D123" s="281" t="s">
        <v>338</v>
      </c>
      <c r="E123" s="25"/>
      <c r="F123" s="25"/>
      <c r="G123" s="25">
        <f t="array" ref="G123">SUM(IF("156"&amp;C123=KHN&amp;MH,SL))</f>
        <v>36</v>
      </c>
      <c r="H123" s="25">
        <f t="array" ref="H123">SUM(IF("156"&amp;C123=KHN&amp;MH,TH))</f>
        <v>782460</v>
      </c>
      <c r="I123" s="25">
        <f t="array" ref="I123">SUM(IF("156"&amp;C123=KHC&amp;MH,SL))</f>
        <v>0</v>
      </c>
      <c r="J123" s="25">
        <f t="array" ref="J123">SUM(IF("156"&amp;C123=KHC&amp;MH,TH))</f>
        <v>0</v>
      </c>
      <c r="K123" s="25">
        <f t="shared" si="6"/>
        <v>36</v>
      </c>
      <c r="L123" s="25">
        <f t="shared" si="7"/>
        <v>782460</v>
      </c>
      <c r="M123" s="279"/>
    </row>
    <row r="124" spans="1:13" ht="18.75" customHeight="1">
      <c r="A124" s="279" t="str">
        <f t="shared" si="4"/>
        <v>NL</v>
      </c>
      <c r="B124" s="745">
        <f t="shared" si="5"/>
        <v>113</v>
      </c>
      <c r="C124" s="190" t="s">
        <v>816</v>
      </c>
      <c r="D124" s="281" t="s">
        <v>338</v>
      </c>
      <c r="E124" s="25"/>
      <c r="F124" s="25"/>
      <c r="G124" s="25">
        <f t="array" ref="G124">SUM(IF("156"&amp;C124=KHN&amp;MH,SL))</f>
        <v>20</v>
      </c>
      <c r="H124" s="25">
        <f t="array" ref="H124">SUM(IF("156"&amp;C124=KHN&amp;MH,TH))</f>
        <v>453600</v>
      </c>
      <c r="I124" s="25">
        <f t="array" ref="I124">SUM(IF("156"&amp;C124=KHC&amp;MH,SL))</f>
        <v>0</v>
      </c>
      <c r="J124" s="25">
        <f t="array" ref="J124">SUM(IF("156"&amp;C124=KHC&amp;MH,TH))</f>
        <v>0</v>
      </c>
      <c r="K124" s="25">
        <f t="shared" si="6"/>
        <v>20</v>
      </c>
      <c r="L124" s="25">
        <f t="shared" si="7"/>
        <v>453600</v>
      </c>
      <c r="M124" s="279"/>
    </row>
    <row r="125" spans="1:13" ht="18.75" customHeight="1">
      <c r="A125" s="279" t="str">
        <f t="shared" si="4"/>
        <v>NL</v>
      </c>
      <c r="B125" s="745">
        <f t="shared" si="5"/>
        <v>114</v>
      </c>
      <c r="C125" s="190" t="s">
        <v>877</v>
      </c>
      <c r="D125" s="281" t="s">
        <v>338</v>
      </c>
      <c r="E125" s="25"/>
      <c r="F125" s="25"/>
      <c r="G125" s="25">
        <f t="array" ref="G125">SUM(IF("156"&amp;C125=KHN&amp;MH,SL))</f>
        <v>44</v>
      </c>
      <c r="H125" s="25">
        <f t="array" ref="H125">SUM(IF("156"&amp;C125=KHN&amp;MH,TH))</f>
        <v>960916</v>
      </c>
      <c r="I125" s="25">
        <f t="array" ref="I125">SUM(IF("156"&amp;C125=KHC&amp;MH,SL))</f>
        <v>0</v>
      </c>
      <c r="J125" s="25">
        <f t="array" ref="J125">SUM(IF("156"&amp;C125=KHC&amp;MH,TH))</f>
        <v>0</v>
      </c>
      <c r="K125" s="25">
        <f t="shared" si="6"/>
        <v>44</v>
      </c>
      <c r="L125" s="25">
        <f t="shared" si="7"/>
        <v>960916</v>
      </c>
      <c r="M125" s="279"/>
    </row>
    <row r="126" spans="1:13" ht="18.75" customHeight="1">
      <c r="A126" s="279" t="str">
        <f t="shared" si="4"/>
        <v>NL</v>
      </c>
      <c r="B126" s="745">
        <f t="shared" si="5"/>
        <v>115</v>
      </c>
      <c r="C126" s="190" t="s">
        <v>875</v>
      </c>
      <c r="D126" s="281" t="s">
        <v>338</v>
      </c>
      <c r="E126" s="25"/>
      <c r="F126" s="25"/>
      <c r="G126" s="25">
        <f t="array" ref="G126">SUM(IF("156"&amp;C126=KHN&amp;MH,SL))</f>
        <v>40</v>
      </c>
      <c r="H126" s="25">
        <f t="array" ref="H126">SUM(IF("156"&amp;C126=KHN&amp;MH,TH))</f>
        <v>949520</v>
      </c>
      <c r="I126" s="25">
        <f t="array" ref="I126">SUM(IF("156"&amp;C126=KHC&amp;MH,SL))</f>
        <v>0</v>
      </c>
      <c r="J126" s="25">
        <f t="array" ref="J126">SUM(IF("156"&amp;C126=KHC&amp;MH,TH))</f>
        <v>0</v>
      </c>
      <c r="K126" s="25">
        <f t="shared" si="6"/>
        <v>40</v>
      </c>
      <c r="L126" s="25">
        <f t="shared" si="7"/>
        <v>949520</v>
      </c>
      <c r="M126" s="279"/>
    </row>
    <row r="127" spans="1:13" ht="18.75" customHeight="1">
      <c r="A127" s="279" t="str">
        <f t="shared" si="4"/>
        <v>NL</v>
      </c>
      <c r="B127" s="745">
        <f t="shared" si="5"/>
        <v>116</v>
      </c>
      <c r="C127" s="190" t="s">
        <v>688</v>
      </c>
      <c r="D127" s="281" t="s">
        <v>338</v>
      </c>
      <c r="E127" s="25"/>
      <c r="F127" s="25"/>
      <c r="G127" s="25">
        <f t="array" ref="G127">SUM(IF("156"&amp;C127=KHN&amp;MH,SL))</f>
        <v>80</v>
      </c>
      <c r="H127" s="25">
        <f t="array" ref="H127">SUM(IF("156"&amp;C127=KHN&amp;MH,TH))</f>
        <v>2710560</v>
      </c>
      <c r="I127" s="25">
        <f t="array" ref="I127">SUM(IF("156"&amp;C127=KHC&amp;MH,SL))</f>
        <v>0</v>
      </c>
      <c r="J127" s="25">
        <f t="array" ref="J127">SUM(IF("156"&amp;C127=KHC&amp;MH,TH))</f>
        <v>0</v>
      </c>
      <c r="K127" s="25">
        <f t="shared" si="6"/>
        <v>80</v>
      </c>
      <c r="L127" s="25">
        <f t="shared" si="7"/>
        <v>2710560</v>
      </c>
      <c r="M127" s="279"/>
    </row>
    <row r="128" spans="1:13" ht="18.75" customHeight="1">
      <c r="A128" s="279" t="str">
        <f t="shared" si="4"/>
        <v>NL</v>
      </c>
      <c r="B128" s="745">
        <f t="shared" si="5"/>
        <v>117</v>
      </c>
      <c r="C128" s="190" t="s">
        <v>819</v>
      </c>
      <c r="D128" s="281" t="s">
        <v>338</v>
      </c>
      <c r="E128" s="25"/>
      <c r="F128" s="25"/>
      <c r="G128" s="25">
        <f t="array" ref="G128">SUM(IF("156"&amp;C128=KHN&amp;MH,SL))</f>
        <v>100</v>
      </c>
      <c r="H128" s="25">
        <f t="array" ref="H128">SUM(IF("156"&amp;C128=KHN&amp;MH,TH))</f>
        <v>3404100</v>
      </c>
      <c r="I128" s="25">
        <f t="array" ref="I128">SUM(IF("156"&amp;C128=KHC&amp;MH,SL))</f>
        <v>0</v>
      </c>
      <c r="J128" s="25">
        <f t="array" ref="J128">SUM(IF("156"&amp;C128=KHC&amp;MH,TH))</f>
        <v>0</v>
      </c>
      <c r="K128" s="25">
        <f t="shared" si="6"/>
        <v>100</v>
      </c>
      <c r="L128" s="25">
        <f t="shared" si="7"/>
        <v>3404100</v>
      </c>
      <c r="M128" s="279"/>
    </row>
    <row r="129" spans="1:13" ht="18.75" customHeight="1">
      <c r="A129" s="279" t="str">
        <f t="shared" si="4"/>
        <v>NL</v>
      </c>
      <c r="B129" s="745">
        <f t="shared" si="5"/>
        <v>118</v>
      </c>
      <c r="C129" s="190" t="s">
        <v>798</v>
      </c>
      <c r="D129" s="281" t="s">
        <v>338</v>
      </c>
      <c r="E129" s="25"/>
      <c r="F129" s="25"/>
      <c r="G129" s="25">
        <f t="array" ref="G129">SUM(IF("156"&amp;C129=KHN&amp;MH,SL))</f>
        <v>22</v>
      </c>
      <c r="H129" s="25">
        <f t="array" ref="H129">SUM(IF("156"&amp;C129=KHN&amp;MH,TH))</f>
        <v>476454</v>
      </c>
      <c r="I129" s="25">
        <f t="array" ref="I129">SUM(IF("156"&amp;C129=KHC&amp;MH,SL))</f>
        <v>0</v>
      </c>
      <c r="J129" s="25">
        <f t="array" ref="J129">SUM(IF("156"&amp;C129=KHC&amp;MH,TH))</f>
        <v>0</v>
      </c>
      <c r="K129" s="25">
        <f t="shared" si="6"/>
        <v>22</v>
      </c>
      <c r="L129" s="25">
        <f t="shared" si="7"/>
        <v>476454</v>
      </c>
      <c r="M129" s="279"/>
    </row>
    <row r="130" spans="1:13" ht="18.75" customHeight="1">
      <c r="A130" s="279" t="str">
        <f t="shared" si="4"/>
        <v>NL</v>
      </c>
      <c r="B130" s="745">
        <f t="shared" si="5"/>
        <v>119</v>
      </c>
      <c r="C130" s="190" t="s">
        <v>808</v>
      </c>
      <c r="D130" s="281" t="s">
        <v>338</v>
      </c>
      <c r="E130" s="25"/>
      <c r="F130" s="25"/>
      <c r="G130" s="25">
        <f t="array" ref="G130">SUM(IF("156"&amp;C130=KHN&amp;MH,SL))</f>
        <v>54</v>
      </c>
      <c r="H130" s="25">
        <f t="array" ref="H130">SUM(IF("156"&amp;C130=KHN&amp;MH,TH))</f>
        <v>1300050</v>
      </c>
      <c r="I130" s="25">
        <f t="array" ref="I130">SUM(IF("156"&amp;C130=KHC&amp;MH,SL))</f>
        <v>0</v>
      </c>
      <c r="J130" s="25">
        <f t="array" ref="J130">SUM(IF("156"&amp;C130=KHC&amp;MH,TH))</f>
        <v>0</v>
      </c>
      <c r="K130" s="25">
        <f t="shared" si="6"/>
        <v>54</v>
      </c>
      <c r="L130" s="25">
        <f t="shared" si="7"/>
        <v>1300050</v>
      </c>
      <c r="M130" s="279"/>
    </row>
    <row r="131" spans="1:13" ht="18.75" customHeight="1">
      <c r="A131" s="279" t="str">
        <f t="shared" si="4"/>
        <v>NL</v>
      </c>
      <c r="B131" s="745">
        <f t="shared" si="5"/>
        <v>120</v>
      </c>
      <c r="C131" s="190" t="s">
        <v>872</v>
      </c>
      <c r="D131" s="281" t="s">
        <v>338</v>
      </c>
      <c r="E131" s="25"/>
      <c r="F131" s="25"/>
      <c r="G131" s="25">
        <f t="array" ref="G131">SUM(IF("156"&amp;C131=KHN&amp;MH,SL))</f>
        <v>25</v>
      </c>
      <c r="H131" s="25">
        <f t="array" ref="H131">SUM(IF("156"&amp;C131=KHN&amp;MH,TH))</f>
        <v>604700</v>
      </c>
      <c r="I131" s="25">
        <f t="array" ref="I131">SUM(IF("156"&amp;C131=KHC&amp;MH,SL))</f>
        <v>0</v>
      </c>
      <c r="J131" s="25">
        <f t="array" ref="J131">SUM(IF("156"&amp;C131=KHC&amp;MH,TH))</f>
        <v>0</v>
      </c>
      <c r="K131" s="25">
        <f t="shared" si="6"/>
        <v>25</v>
      </c>
      <c r="L131" s="25">
        <f t="shared" si="7"/>
        <v>604700</v>
      </c>
      <c r="M131" s="279"/>
    </row>
    <row r="132" spans="1:13" ht="18.75" customHeight="1">
      <c r="A132" s="279" t="str">
        <f t="shared" si="4"/>
        <v>NL</v>
      </c>
      <c r="B132" s="745">
        <f t="shared" si="5"/>
        <v>121</v>
      </c>
      <c r="C132" s="190" t="s">
        <v>949</v>
      </c>
      <c r="D132" s="281" t="s">
        <v>338</v>
      </c>
      <c r="E132" s="25"/>
      <c r="F132" s="25"/>
      <c r="G132" s="25">
        <f t="array" ref="G132">SUM(IF("156"&amp;C132=KHN&amp;MH,SL))</f>
        <v>36</v>
      </c>
      <c r="H132" s="25">
        <f t="array" ref="H132">SUM(IF("156"&amp;C132=KHN&amp;MH,TH))</f>
        <v>905580</v>
      </c>
      <c r="I132" s="25">
        <f t="array" ref="I132">SUM(IF("156"&amp;C132=KHC&amp;MH,SL))</f>
        <v>0</v>
      </c>
      <c r="J132" s="25">
        <f t="array" ref="J132">SUM(IF("156"&amp;C132=KHC&amp;MH,TH))</f>
        <v>0</v>
      </c>
      <c r="K132" s="25">
        <f t="shared" si="6"/>
        <v>36</v>
      </c>
      <c r="L132" s="25">
        <f t="shared" si="7"/>
        <v>905580</v>
      </c>
      <c r="M132" s="279"/>
    </row>
    <row r="133" spans="1:13" ht="18.75" customHeight="1">
      <c r="A133" s="279" t="str">
        <f t="shared" si="4"/>
        <v>NL</v>
      </c>
      <c r="B133" s="745">
        <f t="shared" si="5"/>
        <v>122</v>
      </c>
      <c r="C133" s="190" t="s">
        <v>679</v>
      </c>
      <c r="D133" s="281" t="s">
        <v>338</v>
      </c>
      <c r="E133" s="25"/>
      <c r="F133" s="25"/>
      <c r="G133" s="25">
        <f t="array" ref="G133">SUM(IF("156"&amp;C133=KHN&amp;MH,SL))</f>
        <v>102</v>
      </c>
      <c r="H133" s="25">
        <f t="array" ref="H133">SUM(IF("156"&amp;C133=KHN&amp;MH,TH))</f>
        <v>3186174</v>
      </c>
      <c r="I133" s="25">
        <f t="array" ref="I133">SUM(IF("156"&amp;C133=KHC&amp;MH,SL))</f>
        <v>0</v>
      </c>
      <c r="J133" s="25">
        <f t="array" ref="J133">SUM(IF("156"&amp;C133=KHC&amp;MH,TH))</f>
        <v>0</v>
      </c>
      <c r="K133" s="25">
        <f t="shared" si="6"/>
        <v>102</v>
      </c>
      <c r="L133" s="25">
        <f t="shared" si="7"/>
        <v>3186174</v>
      </c>
      <c r="M133" s="279"/>
    </row>
    <row r="134" spans="1:13" ht="18.75" customHeight="1">
      <c r="A134" s="279" t="str">
        <f t="shared" si="4"/>
        <v>NL</v>
      </c>
      <c r="B134" s="745">
        <f t="shared" si="5"/>
        <v>123</v>
      </c>
      <c r="C134" s="190" t="s">
        <v>888</v>
      </c>
      <c r="D134" s="281" t="s">
        <v>338</v>
      </c>
      <c r="E134" s="25"/>
      <c r="F134" s="25"/>
      <c r="G134" s="25">
        <f t="array" ref="G134">SUM(IF("156"&amp;C134=KHN&amp;MH,SL))</f>
        <v>35</v>
      </c>
      <c r="H134" s="25">
        <f t="array" ref="H134">SUM(IF("156"&amp;C134=KHN&amp;MH,TH))</f>
        <v>888615</v>
      </c>
      <c r="I134" s="25">
        <f t="array" ref="I134">SUM(IF("156"&amp;C134=KHC&amp;MH,SL))</f>
        <v>0</v>
      </c>
      <c r="J134" s="25">
        <f t="array" ref="J134">SUM(IF("156"&amp;C134=KHC&amp;MH,TH))</f>
        <v>0</v>
      </c>
      <c r="K134" s="25">
        <f t="shared" si="6"/>
        <v>35</v>
      </c>
      <c r="L134" s="25">
        <f t="shared" si="7"/>
        <v>888615</v>
      </c>
      <c r="M134" s="279"/>
    </row>
    <row r="135" spans="1:13" ht="18.75" hidden="1" customHeight="1">
      <c r="A135" s="279" t="str">
        <f t="shared" si="4"/>
        <v>NL</v>
      </c>
      <c r="B135" s="745">
        <f t="shared" si="5"/>
        <v>124</v>
      </c>
      <c r="C135" s="190" t="s">
        <v>805</v>
      </c>
      <c r="D135" s="281" t="s">
        <v>338</v>
      </c>
      <c r="E135" s="25"/>
      <c r="F135" s="25"/>
      <c r="G135" s="25">
        <f t="array" ref="G135">SUM(IF("156"&amp;C135=KHN&amp;MH,SL))</f>
        <v>54</v>
      </c>
      <c r="H135" s="25">
        <f t="array" ref="H135">SUM(IF("156"&amp;C135=KHN&amp;MH,TH))</f>
        <v>1377324</v>
      </c>
      <c r="I135" s="25">
        <f t="array" ref="I135">SUM(IF("156"&amp;C135=KHC&amp;MH,SL))</f>
        <v>54</v>
      </c>
      <c r="J135" s="25">
        <f t="array" ref="J135">SUM(IF("156"&amp;C135=KHC&amp;MH,TH))</f>
        <v>1377324</v>
      </c>
      <c r="K135" s="25">
        <f t="shared" si="6"/>
        <v>0</v>
      </c>
      <c r="L135" s="25">
        <f t="shared" si="7"/>
        <v>0</v>
      </c>
      <c r="M135" s="279"/>
    </row>
    <row r="136" spans="1:13" ht="18.75" customHeight="1">
      <c r="A136" s="279" t="str">
        <f t="shared" si="4"/>
        <v>NL</v>
      </c>
      <c r="B136" s="745">
        <f t="shared" si="5"/>
        <v>125</v>
      </c>
      <c r="C136" s="190" t="s">
        <v>887</v>
      </c>
      <c r="D136" s="281" t="s">
        <v>338</v>
      </c>
      <c r="E136" s="25"/>
      <c r="F136" s="25"/>
      <c r="G136" s="25">
        <f t="array" ref="G136">SUM(IF("156"&amp;C136=KHN&amp;MH,SL))</f>
        <v>10</v>
      </c>
      <c r="H136" s="25">
        <f t="array" ref="H136">SUM(IF("156"&amp;C136=KHN&amp;MH,TH))</f>
        <v>257400</v>
      </c>
      <c r="I136" s="25">
        <f t="array" ref="I136">SUM(IF("156"&amp;C136=KHC&amp;MH,SL))</f>
        <v>0</v>
      </c>
      <c r="J136" s="25">
        <f t="array" ref="J136">SUM(IF("156"&amp;C136=KHC&amp;MH,TH))</f>
        <v>0</v>
      </c>
      <c r="K136" s="25">
        <f t="shared" si="6"/>
        <v>10</v>
      </c>
      <c r="L136" s="25">
        <f t="shared" si="7"/>
        <v>257400</v>
      </c>
      <c r="M136" s="279"/>
    </row>
    <row r="137" spans="1:13" ht="18.75" customHeight="1">
      <c r="A137" s="279" t="str">
        <f t="shared" si="4"/>
        <v>NL</v>
      </c>
      <c r="B137" s="745">
        <f t="shared" si="5"/>
        <v>126</v>
      </c>
      <c r="C137" s="190" t="s">
        <v>789</v>
      </c>
      <c r="D137" s="281" t="s">
        <v>338</v>
      </c>
      <c r="E137" s="25"/>
      <c r="F137" s="25"/>
      <c r="G137" s="25">
        <f t="array" ref="G137">SUM(IF("156"&amp;C137=KHN&amp;MH,SL))</f>
        <v>23</v>
      </c>
      <c r="H137" s="25">
        <f t="array" ref="H137">SUM(IF("156"&amp;C137=KHN&amp;MH,TH))</f>
        <v>651728</v>
      </c>
      <c r="I137" s="25">
        <f t="array" ref="I137">SUM(IF("156"&amp;C137=KHC&amp;MH,SL))</f>
        <v>0</v>
      </c>
      <c r="J137" s="25">
        <f t="array" ref="J137">SUM(IF("156"&amp;C137=KHC&amp;MH,TH))</f>
        <v>0</v>
      </c>
      <c r="K137" s="25">
        <f t="shared" si="6"/>
        <v>23</v>
      </c>
      <c r="L137" s="25">
        <f t="shared" si="7"/>
        <v>651728</v>
      </c>
      <c r="M137" s="279"/>
    </row>
    <row r="138" spans="1:13" ht="18.75" customHeight="1">
      <c r="A138" s="279" t="str">
        <f t="shared" si="4"/>
        <v>NL</v>
      </c>
      <c r="B138" s="745">
        <f t="shared" si="5"/>
        <v>127</v>
      </c>
      <c r="C138" s="190" t="s">
        <v>920</v>
      </c>
      <c r="D138" s="281" t="s">
        <v>338</v>
      </c>
      <c r="E138" s="25"/>
      <c r="F138" s="25"/>
      <c r="G138" s="25">
        <f t="array" ref="G138">SUM(IF("156"&amp;C138=KHN&amp;MH,SL))</f>
        <v>70</v>
      </c>
      <c r="H138" s="25">
        <f t="array" ref="H138">SUM(IF("156"&amp;C138=KHN&amp;MH,TH))</f>
        <v>1444555</v>
      </c>
      <c r="I138" s="25">
        <f t="array" ref="I138">SUM(IF("156"&amp;C138=KHC&amp;MH,SL))</f>
        <v>0</v>
      </c>
      <c r="J138" s="25">
        <f t="array" ref="J138">SUM(IF("156"&amp;C138=KHC&amp;MH,TH))</f>
        <v>0</v>
      </c>
      <c r="K138" s="25">
        <f t="shared" si="6"/>
        <v>70</v>
      </c>
      <c r="L138" s="25">
        <f t="shared" si="7"/>
        <v>1444555</v>
      </c>
      <c r="M138" s="279"/>
    </row>
    <row r="139" spans="1:13" ht="18.75" customHeight="1">
      <c r="A139" s="279" t="str">
        <f t="shared" si="4"/>
        <v>NL</v>
      </c>
      <c r="B139" s="745">
        <f t="shared" si="5"/>
        <v>128</v>
      </c>
      <c r="C139" s="190" t="s">
        <v>791</v>
      </c>
      <c r="D139" s="281" t="s">
        <v>338</v>
      </c>
      <c r="E139" s="25"/>
      <c r="F139" s="25"/>
      <c r="G139" s="25">
        <f t="array" ref="G139">SUM(IF("156"&amp;C139=KHN&amp;MH,SL))</f>
        <v>11</v>
      </c>
      <c r="H139" s="25">
        <f t="array" ref="H139">SUM(IF("156"&amp;C139=KHN&amp;MH,TH))</f>
        <v>315942</v>
      </c>
      <c r="I139" s="25">
        <f t="array" ref="I139">SUM(IF("156"&amp;C139=KHC&amp;MH,SL))</f>
        <v>0</v>
      </c>
      <c r="J139" s="25">
        <f t="array" ref="J139">SUM(IF("156"&amp;C139=KHC&amp;MH,TH))</f>
        <v>0</v>
      </c>
      <c r="K139" s="25">
        <f t="shared" si="6"/>
        <v>11</v>
      </c>
      <c r="L139" s="25">
        <f t="shared" si="7"/>
        <v>315942</v>
      </c>
      <c r="M139" s="279"/>
    </row>
    <row r="140" spans="1:13" ht="18.75" customHeight="1">
      <c r="A140" s="279" t="str">
        <f t="shared" ref="A140:A202" si="8">IF(B140&lt;&gt;"","NL","")</f>
        <v>NL</v>
      </c>
      <c r="B140" s="745">
        <f t="shared" ref="B140:B202" si="9">IF(C140&lt;&gt;"",ROW()-11,"")</f>
        <v>129</v>
      </c>
      <c r="C140" s="190" t="s">
        <v>793</v>
      </c>
      <c r="D140" s="281" t="s">
        <v>338</v>
      </c>
      <c r="E140" s="25"/>
      <c r="F140" s="25"/>
      <c r="G140" s="25">
        <f t="array" ref="G140">SUM(IF("156"&amp;C140=KHN&amp;MH,SL))</f>
        <v>15</v>
      </c>
      <c r="H140" s="25">
        <f t="array" ref="H140">SUM(IF("156"&amp;C140=KHN&amp;MH,TH))</f>
        <v>446220</v>
      </c>
      <c r="I140" s="25">
        <f t="array" ref="I140">SUM(IF("156"&amp;C140=KHC&amp;MH,SL))</f>
        <v>0</v>
      </c>
      <c r="J140" s="25">
        <f t="array" ref="J140">SUM(IF("156"&amp;C140=KHC&amp;MH,TH))</f>
        <v>0</v>
      </c>
      <c r="K140" s="25">
        <f t="shared" ref="K140:K202" si="10">E140+G140-I140</f>
        <v>15</v>
      </c>
      <c r="L140" s="25">
        <f t="shared" ref="L140:L202" si="11">F140+H140-J140</f>
        <v>446220</v>
      </c>
      <c r="M140" s="279"/>
    </row>
    <row r="141" spans="1:13" ht="18.75" customHeight="1">
      <c r="A141" s="279" t="str">
        <f t="shared" si="8"/>
        <v>NL</v>
      </c>
      <c r="B141" s="745">
        <f t="shared" si="9"/>
        <v>130</v>
      </c>
      <c r="C141" s="190" t="s">
        <v>810</v>
      </c>
      <c r="D141" s="281" t="s">
        <v>338</v>
      </c>
      <c r="E141" s="25"/>
      <c r="F141" s="25"/>
      <c r="G141" s="25">
        <f t="array" ref="G141">SUM(IF("156"&amp;C141=KHN&amp;MH,SL))</f>
        <v>22</v>
      </c>
      <c r="H141" s="25">
        <f t="array" ref="H141">SUM(IF("156"&amp;C141=KHN&amp;MH,TH))</f>
        <v>662310</v>
      </c>
      <c r="I141" s="25">
        <f t="array" ref="I141">SUM(IF("156"&amp;C141=KHC&amp;MH,SL))</f>
        <v>0</v>
      </c>
      <c r="J141" s="25">
        <f t="array" ref="J141">SUM(IF("156"&amp;C141=KHC&amp;MH,TH))</f>
        <v>0</v>
      </c>
      <c r="K141" s="25">
        <f t="shared" si="10"/>
        <v>22</v>
      </c>
      <c r="L141" s="25">
        <f t="shared" si="11"/>
        <v>662310</v>
      </c>
      <c r="M141" s="279"/>
    </row>
    <row r="142" spans="1:13" ht="18.75" hidden="1" customHeight="1">
      <c r="A142" s="279" t="str">
        <f t="shared" si="8"/>
        <v>NL</v>
      </c>
      <c r="B142" s="745">
        <f t="shared" si="9"/>
        <v>131</v>
      </c>
      <c r="C142" s="190" t="s">
        <v>870</v>
      </c>
      <c r="D142" s="281" t="s">
        <v>338</v>
      </c>
      <c r="E142" s="25"/>
      <c r="F142" s="25"/>
      <c r="G142" s="25">
        <f t="array" ref="G142">SUM(IF("156"&amp;C142=KHN&amp;MH,SL))</f>
        <v>30</v>
      </c>
      <c r="H142" s="25">
        <f t="array" ref="H142">SUM(IF("156"&amp;C142=KHN&amp;MH,TH))</f>
        <v>911250</v>
      </c>
      <c r="I142" s="25">
        <f t="array" ref="I142">SUM(IF("156"&amp;C142=KHC&amp;MH,SL))</f>
        <v>30</v>
      </c>
      <c r="J142" s="25">
        <f t="array" ref="J142">SUM(IF("156"&amp;C142=KHC&amp;MH,TH))</f>
        <v>911250</v>
      </c>
      <c r="K142" s="25">
        <f t="shared" si="10"/>
        <v>0</v>
      </c>
      <c r="L142" s="25">
        <f t="shared" si="11"/>
        <v>0</v>
      </c>
      <c r="M142" s="279"/>
    </row>
    <row r="143" spans="1:13" ht="18.75" hidden="1" customHeight="1">
      <c r="A143" s="279" t="str">
        <f t="shared" si="8"/>
        <v>NL</v>
      </c>
      <c r="B143" s="745">
        <f t="shared" si="9"/>
        <v>132</v>
      </c>
      <c r="C143" s="190" t="s">
        <v>814</v>
      </c>
      <c r="D143" s="281" t="s">
        <v>338</v>
      </c>
      <c r="E143" s="25"/>
      <c r="F143" s="25"/>
      <c r="G143" s="25">
        <f t="array" ref="G143">SUM(IF("156"&amp;C143=KHN&amp;MH,SL))</f>
        <v>6</v>
      </c>
      <c r="H143" s="25">
        <f t="array" ref="H143">SUM(IF("156"&amp;C143=KHN&amp;MH,TH))</f>
        <v>212628</v>
      </c>
      <c r="I143" s="25">
        <f t="array" ref="I143">SUM(IF("156"&amp;C143=KHC&amp;MH,SL))</f>
        <v>6</v>
      </c>
      <c r="J143" s="25">
        <f t="array" ref="J143">SUM(IF("156"&amp;C143=KHC&amp;MH,TH))</f>
        <v>212628</v>
      </c>
      <c r="K143" s="25">
        <f t="shared" si="10"/>
        <v>0</v>
      </c>
      <c r="L143" s="25">
        <f t="shared" si="11"/>
        <v>0</v>
      </c>
      <c r="M143" s="279"/>
    </row>
    <row r="144" spans="1:13" ht="18.75" customHeight="1">
      <c r="A144" s="279" t="str">
        <f t="shared" si="8"/>
        <v>NL</v>
      </c>
      <c r="B144" s="745">
        <f t="shared" si="9"/>
        <v>133</v>
      </c>
      <c r="C144" s="190" t="s">
        <v>797</v>
      </c>
      <c r="D144" s="281" t="s">
        <v>338</v>
      </c>
      <c r="E144" s="25"/>
      <c r="F144" s="25"/>
      <c r="G144" s="25">
        <f t="array" ref="G144">SUM(IF("156"&amp;C144=KHN&amp;MH,SL))</f>
        <v>30</v>
      </c>
      <c r="H144" s="25">
        <f t="array" ref="H144">SUM(IF("156"&amp;C144=KHN&amp;MH,TH))</f>
        <v>689160</v>
      </c>
      <c r="I144" s="25">
        <f t="array" ref="I144">SUM(IF("156"&amp;C144=KHC&amp;MH,SL))</f>
        <v>0</v>
      </c>
      <c r="J144" s="25">
        <f t="array" ref="J144">SUM(IF("156"&amp;C144=KHC&amp;MH,TH))</f>
        <v>0</v>
      </c>
      <c r="K144" s="25">
        <f t="shared" si="10"/>
        <v>30</v>
      </c>
      <c r="L144" s="25">
        <f t="shared" si="11"/>
        <v>689160</v>
      </c>
      <c r="M144" s="279"/>
    </row>
    <row r="145" spans="1:13" ht="18.75" customHeight="1">
      <c r="A145" s="279" t="str">
        <f t="shared" si="8"/>
        <v>NL</v>
      </c>
      <c r="B145" s="745">
        <f t="shared" si="9"/>
        <v>134</v>
      </c>
      <c r="C145" s="190" t="s">
        <v>883</v>
      </c>
      <c r="D145" s="281" t="s">
        <v>338</v>
      </c>
      <c r="E145" s="25"/>
      <c r="F145" s="25"/>
      <c r="G145" s="25">
        <f t="array" ref="G145">SUM(IF("156"&amp;C145=KHN&amp;MH,SL))</f>
        <v>40</v>
      </c>
      <c r="H145" s="25">
        <f t="array" ref="H145">SUM(IF("156"&amp;C145=KHN&amp;MH,TH))</f>
        <v>984960</v>
      </c>
      <c r="I145" s="25">
        <f t="array" ref="I145">SUM(IF("156"&amp;C145=KHC&amp;MH,SL))</f>
        <v>0</v>
      </c>
      <c r="J145" s="25">
        <f t="array" ref="J145">SUM(IF("156"&amp;C145=KHC&amp;MH,TH))</f>
        <v>0</v>
      </c>
      <c r="K145" s="25">
        <f t="shared" si="10"/>
        <v>40</v>
      </c>
      <c r="L145" s="25">
        <f t="shared" si="11"/>
        <v>984960</v>
      </c>
      <c r="M145" s="279"/>
    </row>
    <row r="146" spans="1:13" ht="18.75" customHeight="1">
      <c r="A146" s="279" t="str">
        <f t="shared" si="8"/>
        <v>NL</v>
      </c>
      <c r="B146" s="745">
        <f t="shared" si="9"/>
        <v>135</v>
      </c>
      <c r="C146" s="190" t="s">
        <v>783</v>
      </c>
      <c r="D146" s="281" t="s">
        <v>338</v>
      </c>
      <c r="E146" s="25"/>
      <c r="F146" s="25"/>
      <c r="G146" s="25">
        <f t="array" ref="G146">SUM(IF("156"&amp;C146=KHN&amp;MH,SL))</f>
        <v>100</v>
      </c>
      <c r="H146" s="25">
        <f t="array" ref="H146">SUM(IF("156"&amp;C146=KHN&amp;MH,TH))</f>
        <v>2898000</v>
      </c>
      <c r="I146" s="25">
        <f t="array" ref="I146">SUM(IF("156"&amp;C146=KHC&amp;MH,SL))</f>
        <v>0</v>
      </c>
      <c r="J146" s="25">
        <f t="array" ref="J146">SUM(IF("156"&amp;C146=KHC&amp;MH,TH))</f>
        <v>0</v>
      </c>
      <c r="K146" s="25">
        <f t="shared" si="10"/>
        <v>100</v>
      </c>
      <c r="L146" s="25">
        <f t="shared" si="11"/>
        <v>2898000</v>
      </c>
      <c r="M146" s="279"/>
    </row>
    <row r="147" spans="1:13" ht="18.75" customHeight="1">
      <c r="A147" s="279" t="str">
        <f t="shared" si="8"/>
        <v>NL</v>
      </c>
      <c r="B147" s="745">
        <f t="shared" si="9"/>
        <v>136</v>
      </c>
      <c r="C147" s="190" t="s">
        <v>682</v>
      </c>
      <c r="D147" s="281" t="s">
        <v>338</v>
      </c>
      <c r="E147" s="25"/>
      <c r="F147" s="25"/>
      <c r="G147" s="25">
        <f t="array" ref="G147">SUM(IF("156"&amp;C147=KHN&amp;MH,SL))</f>
        <v>40</v>
      </c>
      <c r="H147" s="25">
        <f t="array" ref="H147">SUM(IF("156"&amp;C147=KHN&amp;MH,TH))</f>
        <v>1092600</v>
      </c>
      <c r="I147" s="25">
        <f t="array" ref="I147">SUM(IF("156"&amp;C147=KHC&amp;MH,SL))</f>
        <v>0</v>
      </c>
      <c r="J147" s="25">
        <f t="array" ref="J147">SUM(IF("156"&amp;C147=KHC&amp;MH,TH))</f>
        <v>0</v>
      </c>
      <c r="K147" s="25">
        <f t="shared" si="10"/>
        <v>40</v>
      </c>
      <c r="L147" s="25">
        <f t="shared" si="11"/>
        <v>1092600</v>
      </c>
      <c r="M147" s="279"/>
    </row>
    <row r="148" spans="1:13" ht="18.75" customHeight="1">
      <c r="A148" s="279" t="str">
        <f t="shared" si="8"/>
        <v>NL</v>
      </c>
      <c r="B148" s="745">
        <f t="shared" si="9"/>
        <v>137</v>
      </c>
      <c r="C148" s="190" t="s">
        <v>886</v>
      </c>
      <c r="D148" s="281" t="s">
        <v>338</v>
      </c>
      <c r="E148" s="25"/>
      <c r="F148" s="25"/>
      <c r="G148" s="25">
        <f t="array" ref="G148">SUM(IF("156"&amp;C148=KHN&amp;MH,SL))</f>
        <v>10</v>
      </c>
      <c r="H148" s="25">
        <f t="array" ref="H148">SUM(IF("156"&amp;C148=KHN&amp;MH,TH))</f>
        <v>285530</v>
      </c>
      <c r="I148" s="25">
        <f t="array" ref="I148">SUM(IF("156"&amp;C148=KHC&amp;MH,SL))</f>
        <v>0</v>
      </c>
      <c r="J148" s="25">
        <f t="array" ref="J148">SUM(IF("156"&amp;C148=KHC&amp;MH,TH))</f>
        <v>0</v>
      </c>
      <c r="K148" s="25">
        <f t="shared" si="10"/>
        <v>10</v>
      </c>
      <c r="L148" s="25">
        <f t="shared" si="11"/>
        <v>285530</v>
      </c>
      <c r="M148" s="279"/>
    </row>
    <row r="149" spans="1:13" ht="18.75" customHeight="1">
      <c r="A149" s="279" t="str">
        <f t="shared" si="8"/>
        <v>NL</v>
      </c>
      <c r="B149" s="745">
        <f t="shared" si="9"/>
        <v>138</v>
      </c>
      <c r="C149" s="190" t="s">
        <v>876</v>
      </c>
      <c r="D149" s="281" t="s">
        <v>338</v>
      </c>
      <c r="E149" s="25"/>
      <c r="F149" s="25"/>
      <c r="G149" s="25">
        <f t="array" ref="G149">SUM(IF("156"&amp;C149=KHN&amp;MH,SL))</f>
        <v>24</v>
      </c>
      <c r="H149" s="25">
        <f t="array" ref="H149">SUM(IF("156"&amp;C149=KHN&amp;MH,TH))</f>
        <v>586224</v>
      </c>
      <c r="I149" s="25">
        <f t="array" ref="I149">SUM(IF("156"&amp;C149=KHC&amp;MH,SL))</f>
        <v>0</v>
      </c>
      <c r="J149" s="25">
        <f t="array" ref="J149">SUM(IF("156"&amp;C149=KHC&amp;MH,TH))</f>
        <v>0</v>
      </c>
      <c r="K149" s="25">
        <f t="shared" si="10"/>
        <v>24</v>
      </c>
      <c r="L149" s="25">
        <f t="shared" si="11"/>
        <v>586224</v>
      </c>
      <c r="M149" s="279"/>
    </row>
    <row r="150" spans="1:13" ht="18.75" customHeight="1">
      <c r="A150" s="279" t="str">
        <f t="shared" si="8"/>
        <v>NL</v>
      </c>
      <c r="B150" s="745">
        <f t="shared" si="9"/>
        <v>139</v>
      </c>
      <c r="C150" s="190" t="s">
        <v>796</v>
      </c>
      <c r="D150" s="281" t="s">
        <v>338</v>
      </c>
      <c r="E150" s="25"/>
      <c r="F150" s="25"/>
      <c r="G150" s="25">
        <f t="array" ref="G150">SUM(IF("156"&amp;C150=KHN&amp;MH,SL))</f>
        <v>10</v>
      </c>
      <c r="H150" s="25">
        <f t="array" ref="H150">SUM(IF("156"&amp;C150=KHN&amp;MH,TH))</f>
        <v>294350</v>
      </c>
      <c r="I150" s="25">
        <f t="array" ref="I150">SUM(IF("156"&amp;C150=KHC&amp;MH,SL))</f>
        <v>0</v>
      </c>
      <c r="J150" s="25">
        <f t="array" ref="J150">SUM(IF("156"&amp;C150=KHC&amp;MH,TH))</f>
        <v>0</v>
      </c>
      <c r="K150" s="25">
        <f t="shared" si="10"/>
        <v>10</v>
      </c>
      <c r="L150" s="25">
        <f t="shared" si="11"/>
        <v>294350</v>
      </c>
      <c r="M150" s="279"/>
    </row>
    <row r="151" spans="1:13" ht="18.75" hidden="1" customHeight="1">
      <c r="A151" s="279" t="str">
        <f t="shared" si="8"/>
        <v>NL</v>
      </c>
      <c r="B151" s="745">
        <f t="shared" si="9"/>
        <v>140</v>
      </c>
      <c r="C151" s="190" t="s">
        <v>813</v>
      </c>
      <c r="D151" s="281" t="s">
        <v>338</v>
      </c>
      <c r="E151" s="25"/>
      <c r="F151" s="25"/>
      <c r="G151" s="25">
        <f t="array" ref="G151">SUM(IF("156"&amp;C151=KHN&amp;MH,SL))</f>
        <v>40</v>
      </c>
      <c r="H151" s="25">
        <f t="array" ref="H151">SUM(IF("156"&amp;C151=KHN&amp;MH,TH))</f>
        <v>1166400</v>
      </c>
      <c r="I151" s="25">
        <f t="array" ref="I151">SUM(IF("156"&amp;C151=KHC&amp;MH,SL))</f>
        <v>40</v>
      </c>
      <c r="J151" s="25">
        <f t="array" ref="J151">SUM(IF("156"&amp;C151=KHC&amp;MH,TH))</f>
        <v>1166400</v>
      </c>
      <c r="K151" s="25">
        <f t="shared" si="10"/>
        <v>0</v>
      </c>
      <c r="L151" s="25">
        <f t="shared" si="11"/>
        <v>0</v>
      </c>
      <c r="M151" s="279"/>
    </row>
    <row r="152" spans="1:13" ht="18.75" hidden="1" customHeight="1">
      <c r="A152" s="279" t="str">
        <f t="shared" si="8"/>
        <v>NL</v>
      </c>
      <c r="B152" s="745">
        <f t="shared" si="9"/>
        <v>141</v>
      </c>
      <c r="C152" s="190" t="s">
        <v>788</v>
      </c>
      <c r="D152" s="281" t="s">
        <v>338</v>
      </c>
      <c r="E152" s="25"/>
      <c r="F152" s="25"/>
      <c r="G152" s="25">
        <f t="array" ref="G152">SUM(IF("156"&amp;C152=KHN&amp;MH,SL))</f>
        <v>20</v>
      </c>
      <c r="H152" s="25">
        <f t="array" ref="H152">SUM(IF("156"&amp;C152=KHN&amp;MH,TH))</f>
        <v>611520</v>
      </c>
      <c r="I152" s="25">
        <f t="array" ref="I152">SUM(IF("156"&amp;C152=KHC&amp;MH,SL))</f>
        <v>20</v>
      </c>
      <c r="J152" s="25">
        <f t="array" ref="J152">SUM(IF("156"&amp;C152=KHC&amp;MH,TH))</f>
        <v>611520</v>
      </c>
      <c r="K152" s="25">
        <f t="shared" si="10"/>
        <v>0</v>
      </c>
      <c r="L152" s="25">
        <f t="shared" si="11"/>
        <v>0</v>
      </c>
      <c r="M152" s="279"/>
    </row>
    <row r="153" spans="1:13" ht="18.75" customHeight="1">
      <c r="A153" s="279" t="str">
        <f t="shared" si="8"/>
        <v>NL</v>
      </c>
      <c r="B153" s="745">
        <f t="shared" si="9"/>
        <v>142</v>
      </c>
      <c r="C153" s="190" t="s">
        <v>809</v>
      </c>
      <c r="D153" s="281" t="s">
        <v>338</v>
      </c>
      <c r="E153" s="25"/>
      <c r="F153" s="25"/>
      <c r="G153" s="25">
        <f t="array" ref="G153">SUM(IF("156"&amp;C153=KHN&amp;MH,SL))</f>
        <v>35</v>
      </c>
      <c r="H153" s="25">
        <f t="array" ref="H153">SUM(IF("156"&amp;C153=KHN&amp;MH,TH))</f>
        <v>972580</v>
      </c>
      <c r="I153" s="25">
        <f t="array" ref="I153">SUM(IF("156"&amp;C153=KHC&amp;MH,SL))</f>
        <v>0</v>
      </c>
      <c r="J153" s="25">
        <f t="array" ref="J153">SUM(IF("156"&amp;C153=KHC&amp;MH,TH))</f>
        <v>0</v>
      </c>
      <c r="K153" s="25">
        <f t="shared" si="10"/>
        <v>35</v>
      </c>
      <c r="L153" s="25">
        <f t="shared" si="11"/>
        <v>972580</v>
      </c>
      <c r="M153" s="279"/>
    </row>
    <row r="154" spans="1:13" ht="18.75" hidden="1" customHeight="1">
      <c r="A154" s="279" t="str">
        <f t="shared" si="8"/>
        <v>NL</v>
      </c>
      <c r="B154" s="745">
        <f t="shared" si="9"/>
        <v>143</v>
      </c>
      <c r="C154" s="190" t="s">
        <v>802</v>
      </c>
      <c r="D154" s="281" t="s">
        <v>338</v>
      </c>
      <c r="E154" s="25"/>
      <c r="F154" s="25"/>
      <c r="G154" s="25">
        <f t="array" ref="G154">SUM(IF("156"&amp;C154=KHN&amp;MH,SL))</f>
        <v>35</v>
      </c>
      <c r="H154" s="25">
        <f t="array" ref="H154">SUM(IF("156"&amp;C154=KHN&amp;MH,TH))</f>
        <v>1023750</v>
      </c>
      <c r="I154" s="25">
        <f t="array" ref="I154">SUM(IF("156"&amp;C154=KHC&amp;MH,SL))</f>
        <v>35</v>
      </c>
      <c r="J154" s="25">
        <f t="array" ref="J154">SUM(IF("156"&amp;C154=KHC&amp;MH,TH))</f>
        <v>1023750</v>
      </c>
      <c r="K154" s="25">
        <f t="shared" si="10"/>
        <v>0</v>
      </c>
      <c r="L154" s="25">
        <f t="shared" si="11"/>
        <v>0</v>
      </c>
      <c r="M154" s="279"/>
    </row>
    <row r="155" spans="1:13" ht="18.75" hidden="1" customHeight="1">
      <c r="A155" s="279" t="str">
        <f t="shared" si="8"/>
        <v>NL</v>
      </c>
      <c r="B155" s="745">
        <f t="shared" si="9"/>
        <v>144</v>
      </c>
      <c r="C155" s="190" t="s">
        <v>878</v>
      </c>
      <c r="D155" s="281" t="s">
        <v>338</v>
      </c>
      <c r="E155" s="25"/>
      <c r="F155" s="25"/>
      <c r="G155" s="25">
        <f t="array" ref="G155">SUM(IF("156"&amp;C155=KHN&amp;MH,SL))</f>
        <v>104</v>
      </c>
      <c r="H155" s="25">
        <f t="array" ref="H155">SUM(IF("156"&amp;C155=KHN&amp;MH,TH))</f>
        <v>3788928</v>
      </c>
      <c r="I155" s="25">
        <f t="array" ref="I155">SUM(IF("156"&amp;C155=KHC&amp;MH,SL))</f>
        <v>104</v>
      </c>
      <c r="J155" s="25">
        <f t="array" ref="J155">SUM(IF("156"&amp;C155=KHC&amp;MH,TH))</f>
        <v>3788928</v>
      </c>
      <c r="K155" s="25">
        <f t="shared" si="10"/>
        <v>0</v>
      </c>
      <c r="L155" s="25">
        <f t="shared" si="11"/>
        <v>0</v>
      </c>
      <c r="M155" s="279"/>
    </row>
    <row r="156" spans="1:13" ht="18.75" hidden="1" customHeight="1">
      <c r="A156" s="279" t="str">
        <f t="shared" si="8"/>
        <v>NL</v>
      </c>
      <c r="B156" s="745">
        <f t="shared" si="9"/>
        <v>145</v>
      </c>
      <c r="C156" s="190" t="s">
        <v>879</v>
      </c>
      <c r="D156" s="281" t="s">
        <v>338</v>
      </c>
      <c r="E156" s="25"/>
      <c r="F156" s="25"/>
      <c r="G156" s="25">
        <f t="array" ref="G156">SUM(IF("156"&amp;C156=KHN&amp;MH,SL))</f>
        <v>65</v>
      </c>
      <c r="H156" s="25">
        <f t="array" ref="H156">SUM(IF("156"&amp;C156=KHN&amp;MH,TH))</f>
        <v>2414880</v>
      </c>
      <c r="I156" s="25">
        <f t="array" ref="I156">SUM(IF("156"&amp;C156=KHC&amp;MH,SL))</f>
        <v>65</v>
      </c>
      <c r="J156" s="25">
        <f t="array" ref="J156">SUM(IF("156"&amp;C156=KHC&amp;MH,TH))</f>
        <v>2414880</v>
      </c>
      <c r="K156" s="25">
        <f t="shared" si="10"/>
        <v>0</v>
      </c>
      <c r="L156" s="25">
        <f t="shared" si="11"/>
        <v>0</v>
      </c>
      <c r="M156" s="279"/>
    </row>
    <row r="157" spans="1:13" ht="18.75" customHeight="1">
      <c r="A157" s="279" t="str">
        <f t="shared" si="8"/>
        <v>NL</v>
      </c>
      <c r="B157" s="745">
        <f t="shared" si="9"/>
        <v>146</v>
      </c>
      <c r="C157" s="190" t="s">
        <v>781</v>
      </c>
      <c r="D157" s="281" t="s">
        <v>338</v>
      </c>
      <c r="E157" s="25"/>
      <c r="F157" s="25"/>
      <c r="G157" s="25">
        <f t="array" ref="G157">SUM(IF("156"&amp;C157=KHN&amp;MH,SL))</f>
        <v>30</v>
      </c>
      <c r="H157" s="25">
        <f t="array" ref="H157">SUM(IF("156"&amp;C157=KHN&amp;MH,TH))</f>
        <v>789360</v>
      </c>
      <c r="I157" s="25">
        <f t="array" ref="I157">SUM(IF("156"&amp;C157=KHC&amp;MH,SL))</f>
        <v>0</v>
      </c>
      <c r="J157" s="25">
        <f t="array" ref="J157">SUM(IF("156"&amp;C157=KHC&amp;MH,TH))</f>
        <v>0</v>
      </c>
      <c r="K157" s="25">
        <f t="shared" si="10"/>
        <v>30</v>
      </c>
      <c r="L157" s="25">
        <f t="shared" si="11"/>
        <v>789360</v>
      </c>
      <c r="M157" s="279"/>
    </row>
    <row r="158" spans="1:13" ht="18.75" hidden="1" customHeight="1">
      <c r="A158" s="279" t="str">
        <f t="shared" si="8"/>
        <v>NL</v>
      </c>
      <c r="B158" s="745">
        <f t="shared" si="9"/>
        <v>147</v>
      </c>
      <c r="C158" s="190" t="s">
        <v>864</v>
      </c>
      <c r="D158" s="281" t="s">
        <v>338</v>
      </c>
      <c r="E158" s="25"/>
      <c r="F158" s="25"/>
      <c r="G158" s="25">
        <f t="array" ref="G158">SUM(IF("156"&amp;C158=KHN&amp;MH,SL))</f>
        <v>20</v>
      </c>
      <c r="H158" s="25">
        <f t="array" ref="H158">SUM(IF("156"&amp;C158=KHN&amp;MH,TH))</f>
        <v>720900</v>
      </c>
      <c r="I158" s="25">
        <f t="array" ref="I158">SUM(IF("156"&amp;C158=KHC&amp;MH,SL))</f>
        <v>20</v>
      </c>
      <c r="J158" s="25">
        <f t="array" ref="J158">SUM(IF("156"&amp;C158=KHC&amp;MH,TH))</f>
        <v>720900</v>
      </c>
      <c r="K158" s="25">
        <f t="shared" si="10"/>
        <v>0</v>
      </c>
      <c r="L158" s="25">
        <f t="shared" si="11"/>
        <v>0</v>
      </c>
      <c r="M158" s="279"/>
    </row>
    <row r="159" spans="1:13" ht="18.75" hidden="1" customHeight="1">
      <c r="A159" s="279" t="str">
        <f t="shared" si="8"/>
        <v>NL</v>
      </c>
      <c r="B159" s="745">
        <f t="shared" si="9"/>
        <v>148</v>
      </c>
      <c r="C159" s="190" t="s">
        <v>683</v>
      </c>
      <c r="D159" s="281" t="s">
        <v>338</v>
      </c>
      <c r="E159" s="25"/>
      <c r="F159" s="25"/>
      <c r="G159" s="25">
        <f t="array" ref="G159">SUM(IF("156"&amp;C159=KHN&amp;MH,SL))</f>
        <v>40</v>
      </c>
      <c r="H159" s="25">
        <f t="array" ref="H159">SUM(IF("156"&amp;C159=KHN&amp;MH,TH))</f>
        <v>1278560</v>
      </c>
      <c r="I159" s="25">
        <f t="array" ref="I159">SUM(IF("156"&amp;C159=KHC&amp;MH,SL))</f>
        <v>40</v>
      </c>
      <c r="J159" s="25">
        <f t="array" ref="J159">SUM(IF("156"&amp;C159=KHC&amp;MH,TH))</f>
        <v>1278560</v>
      </c>
      <c r="K159" s="25">
        <f t="shared" si="10"/>
        <v>0</v>
      </c>
      <c r="L159" s="25">
        <f t="shared" si="11"/>
        <v>0</v>
      </c>
      <c r="M159" s="279"/>
    </row>
    <row r="160" spans="1:13" ht="18.75" hidden="1" customHeight="1">
      <c r="A160" s="279" t="str">
        <f t="shared" si="8"/>
        <v>NL</v>
      </c>
      <c r="B160" s="745">
        <f t="shared" si="9"/>
        <v>149</v>
      </c>
      <c r="C160" s="190" t="s">
        <v>811</v>
      </c>
      <c r="D160" s="281" t="s">
        <v>338</v>
      </c>
      <c r="E160" s="25"/>
      <c r="F160" s="25"/>
      <c r="G160" s="25">
        <f t="array" ref="G160">SUM(IF("156"&amp;C160=KHN&amp;MH,SL))</f>
        <v>80</v>
      </c>
      <c r="H160" s="25">
        <f t="array" ref="H160">SUM(IF("156"&amp;C160=KHN&amp;MH,TH))</f>
        <v>2970000</v>
      </c>
      <c r="I160" s="25">
        <f t="array" ref="I160">SUM(IF("156"&amp;C160=KHC&amp;MH,SL))</f>
        <v>80</v>
      </c>
      <c r="J160" s="25">
        <f t="array" ref="J160">SUM(IF("156"&amp;C160=KHC&amp;MH,TH))</f>
        <v>2970000</v>
      </c>
      <c r="K160" s="25">
        <f t="shared" si="10"/>
        <v>0</v>
      </c>
      <c r="L160" s="25">
        <f t="shared" si="11"/>
        <v>0</v>
      </c>
      <c r="M160" s="279"/>
    </row>
    <row r="161" spans="1:13" ht="18.75" hidden="1" customHeight="1">
      <c r="A161" s="279" t="str">
        <f t="shared" si="8"/>
        <v>NL</v>
      </c>
      <c r="B161" s="745">
        <f t="shared" si="9"/>
        <v>150</v>
      </c>
      <c r="C161" s="190" t="s">
        <v>882</v>
      </c>
      <c r="D161" s="281" t="s">
        <v>338</v>
      </c>
      <c r="E161" s="25"/>
      <c r="F161" s="25"/>
      <c r="G161" s="25">
        <f t="array" ref="G161">SUM(IF("156"&amp;C161=KHN&amp;MH,SL))</f>
        <v>20</v>
      </c>
      <c r="H161" s="25">
        <f t="array" ref="H161">SUM(IF("156"&amp;C161=KHN&amp;MH,TH))</f>
        <v>600480</v>
      </c>
      <c r="I161" s="25">
        <f t="array" ref="I161">SUM(IF("156"&amp;C161=KHC&amp;MH,SL))</f>
        <v>20</v>
      </c>
      <c r="J161" s="25">
        <f t="array" ref="J161">SUM(IF("156"&amp;C161=KHC&amp;MH,TH))</f>
        <v>600480</v>
      </c>
      <c r="K161" s="25">
        <f t="shared" si="10"/>
        <v>0</v>
      </c>
      <c r="L161" s="25">
        <f t="shared" si="11"/>
        <v>0</v>
      </c>
      <c r="M161" s="279"/>
    </row>
    <row r="162" spans="1:13" ht="18.75" customHeight="1">
      <c r="A162" s="279" t="str">
        <f t="shared" si="8"/>
        <v>NL</v>
      </c>
      <c r="B162" s="745">
        <f t="shared" si="9"/>
        <v>151</v>
      </c>
      <c r="C162" s="190" t="s">
        <v>868</v>
      </c>
      <c r="D162" s="281" t="s">
        <v>338</v>
      </c>
      <c r="E162" s="25"/>
      <c r="F162" s="25"/>
      <c r="G162" s="25">
        <f t="array" ref="G162">SUM(IF("156"&amp;C162=KHN&amp;MH,SL))</f>
        <v>332</v>
      </c>
      <c r="H162" s="25">
        <f t="array" ref="H162">SUM(IF("156"&amp;C162=KHN&amp;MH,TH))</f>
        <v>635116</v>
      </c>
      <c r="I162" s="25">
        <f t="array" ref="I162">SUM(IF("156"&amp;C162=KHC&amp;MH,SL))</f>
        <v>0</v>
      </c>
      <c r="J162" s="25">
        <f t="array" ref="J162">SUM(IF("156"&amp;C162=KHC&amp;MH,TH))</f>
        <v>0</v>
      </c>
      <c r="K162" s="25">
        <f t="shared" si="10"/>
        <v>332</v>
      </c>
      <c r="L162" s="25">
        <f t="shared" si="11"/>
        <v>635116</v>
      </c>
      <c r="M162" s="279"/>
    </row>
    <row r="163" spans="1:13" ht="18.75" hidden="1" customHeight="1">
      <c r="A163" s="279" t="str">
        <f t="shared" si="8"/>
        <v>NL</v>
      </c>
      <c r="B163" s="745">
        <f t="shared" si="9"/>
        <v>152</v>
      </c>
      <c r="C163" s="190" t="s">
        <v>807</v>
      </c>
      <c r="D163" s="281" t="s">
        <v>338</v>
      </c>
      <c r="E163" s="25"/>
      <c r="F163" s="25"/>
      <c r="G163" s="25">
        <f t="array" ref="G163">SUM(IF("156"&amp;C163=KHN&amp;MH,SL))</f>
        <v>70</v>
      </c>
      <c r="H163" s="25">
        <f t="array" ref="H163">SUM(IF("156"&amp;C163=KHN&amp;MH,TH))</f>
        <v>582750</v>
      </c>
      <c r="I163" s="25">
        <f t="array" ref="I163">SUM(IF("156"&amp;C163=KHC&amp;MH,SL))</f>
        <v>70</v>
      </c>
      <c r="J163" s="25">
        <f t="array" ref="J163">SUM(IF("156"&amp;C163=KHC&amp;MH,TH))</f>
        <v>582750</v>
      </c>
      <c r="K163" s="25">
        <f t="shared" si="10"/>
        <v>0</v>
      </c>
      <c r="L163" s="25">
        <f t="shared" si="11"/>
        <v>0</v>
      </c>
      <c r="M163" s="279"/>
    </row>
    <row r="164" spans="1:13" ht="18.75" hidden="1" customHeight="1">
      <c r="A164" s="279" t="str">
        <f t="shared" si="8"/>
        <v>NL</v>
      </c>
      <c r="B164" s="745">
        <f t="shared" si="9"/>
        <v>153</v>
      </c>
      <c r="C164" s="190" t="s">
        <v>804</v>
      </c>
      <c r="D164" s="281" t="s">
        <v>338</v>
      </c>
      <c r="E164" s="25"/>
      <c r="F164" s="25"/>
      <c r="G164" s="25">
        <f t="array" ref="G164">SUM(IF("156"&amp;C164=KHN&amp;MH,SL))</f>
        <v>74</v>
      </c>
      <c r="H164" s="25">
        <f t="array" ref="H164">SUM(IF("156"&amp;C164=KHN&amp;MH,TH))</f>
        <v>666666</v>
      </c>
      <c r="I164" s="25">
        <f t="array" ref="I164">SUM(IF("156"&amp;C164=KHC&amp;MH,SL))</f>
        <v>74</v>
      </c>
      <c r="J164" s="25">
        <f t="array" ref="J164">SUM(IF("156"&amp;C164=KHC&amp;MH,TH))</f>
        <v>666666</v>
      </c>
      <c r="K164" s="25">
        <f t="shared" si="10"/>
        <v>0</v>
      </c>
      <c r="L164" s="25">
        <f t="shared" si="11"/>
        <v>0</v>
      </c>
      <c r="M164" s="279"/>
    </row>
    <row r="165" spans="1:13" ht="18.75" customHeight="1">
      <c r="A165" s="279" t="str">
        <f t="shared" si="8"/>
        <v>NL</v>
      </c>
      <c r="B165" s="745">
        <f t="shared" si="9"/>
        <v>154</v>
      </c>
      <c r="C165" s="190" t="s">
        <v>891</v>
      </c>
      <c r="D165" s="281" t="s">
        <v>338</v>
      </c>
      <c r="E165" s="25"/>
      <c r="F165" s="25"/>
      <c r="G165" s="25">
        <f t="array" ref="G165">SUM(IF("156"&amp;C165=KHN&amp;MH,SL))</f>
        <v>20</v>
      </c>
      <c r="H165" s="25">
        <f t="array" ref="H165">SUM(IF("156"&amp;C165=KHN&amp;MH,TH))</f>
        <v>130060</v>
      </c>
      <c r="I165" s="25">
        <f t="array" ref="I165">SUM(IF("156"&amp;C165=KHC&amp;MH,SL))</f>
        <v>0</v>
      </c>
      <c r="J165" s="25">
        <f t="array" ref="J165">SUM(IF("156"&amp;C165=KHC&amp;MH,TH))</f>
        <v>0</v>
      </c>
      <c r="K165" s="25">
        <f t="shared" si="10"/>
        <v>20</v>
      </c>
      <c r="L165" s="25">
        <f t="shared" si="11"/>
        <v>130060</v>
      </c>
      <c r="M165" s="279"/>
    </row>
    <row r="166" spans="1:13" ht="18.75" customHeight="1">
      <c r="A166" s="279" t="str">
        <f t="shared" si="8"/>
        <v>NL</v>
      </c>
      <c r="B166" s="745">
        <f t="shared" si="9"/>
        <v>155</v>
      </c>
      <c r="C166" s="190" t="s">
        <v>890</v>
      </c>
      <c r="D166" s="281" t="s">
        <v>338</v>
      </c>
      <c r="E166" s="25"/>
      <c r="F166" s="25"/>
      <c r="G166" s="25">
        <f t="array" ref="G166">SUM(IF("156"&amp;C166=KHN&amp;MH,SL))</f>
        <v>20</v>
      </c>
      <c r="H166" s="25">
        <f t="array" ref="H166">SUM(IF("156"&amp;C166=KHN&amp;MH,TH))</f>
        <v>145800</v>
      </c>
      <c r="I166" s="25">
        <f t="array" ref="I166">SUM(IF("156"&amp;C166=KHC&amp;MH,SL))</f>
        <v>0</v>
      </c>
      <c r="J166" s="25">
        <f t="array" ref="J166">SUM(IF("156"&amp;C166=KHC&amp;MH,TH))</f>
        <v>0</v>
      </c>
      <c r="K166" s="25">
        <f t="shared" si="10"/>
        <v>20</v>
      </c>
      <c r="L166" s="25">
        <f t="shared" si="11"/>
        <v>145800</v>
      </c>
      <c r="M166" s="279"/>
    </row>
    <row r="167" spans="1:13" ht="18.75" customHeight="1">
      <c r="A167" s="279" t="str">
        <f t="shared" si="8"/>
        <v>NL</v>
      </c>
      <c r="B167" s="745">
        <f t="shared" si="9"/>
        <v>156</v>
      </c>
      <c r="C167" s="190" t="s">
        <v>590</v>
      </c>
      <c r="D167" s="281" t="s">
        <v>338</v>
      </c>
      <c r="E167" s="25"/>
      <c r="F167" s="25"/>
      <c r="G167" s="25">
        <f t="array" ref="G167">SUM(IF("156"&amp;C167=KHN&amp;MH,SL))</f>
        <v>6</v>
      </c>
      <c r="H167" s="25">
        <f t="array" ref="H167">SUM(IF("156"&amp;C167=KHN&amp;MH,TH))</f>
        <v>64260</v>
      </c>
      <c r="I167" s="25">
        <f t="array" ref="I167">SUM(IF("156"&amp;C167=KHC&amp;MH,SL))</f>
        <v>0</v>
      </c>
      <c r="J167" s="25">
        <f t="array" ref="J167">SUM(IF("156"&amp;C167=KHC&amp;MH,TH))</f>
        <v>0</v>
      </c>
      <c r="K167" s="25">
        <f t="shared" si="10"/>
        <v>6</v>
      </c>
      <c r="L167" s="25">
        <f t="shared" si="11"/>
        <v>64260</v>
      </c>
      <c r="M167" s="279"/>
    </row>
    <row r="168" spans="1:13" ht="18.75" customHeight="1">
      <c r="A168" s="279" t="str">
        <f t="shared" si="8"/>
        <v>NL</v>
      </c>
      <c r="B168" s="745">
        <f t="shared" si="9"/>
        <v>157</v>
      </c>
      <c r="C168" s="190" t="s">
        <v>589</v>
      </c>
      <c r="D168" s="281" t="s">
        <v>338</v>
      </c>
      <c r="E168" s="25"/>
      <c r="F168" s="25"/>
      <c r="G168" s="25">
        <f t="array" ref="G168">SUM(IF("156"&amp;C168=KHN&amp;MH,SL))</f>
        <v>12</v>
      </c>
      <c r="H168" s="25">
        <f t="array" ref="H168">SUM(IF("156"&amp;C168=KHN&amp;MH,TH))</f>
        <v>183600</v>
      </c>
      <c r="I168" s="25">
        <f t="array" ref="I168">SUM(IF("156"&amp;C168=KHC&amp;MH,SL))</f>
        <v>0</v>
      </c>
      <c r="J168" s="25">
        <f t="array" ref="J168">SUM(IF("156"&amp;C168=KHC&amp;MH,TH))</f>
        <v>0</v>
      </c>
      <c r="K168" s="25">
        <f t="shared" si="10"/>
        <v>12</v>
      </c>
      <c r="L168" s="25">
        <f t="shared" si="11"/>
        <v>183600</v>
      </c>
      <c r="M168" s="279"/>
    </row>
    <row r="169" spans="1:13" ht="18.75" customHeight="1">
      <c r="A169" s="279" t="str">
        <f t="shared" si="8"/>
        <v>NL</v>
      </c>
      <c r="B169" s="745">
        <f t="shared" si="9"/>
        <v>158</v>
      </c>
      <c r="C169" s="190" t="s">
        <v>633</v>
      </c>
      <c r="D169" s="281" t="s">
        <v>338</v>
      </c>
      <c r="E169" s="25"/>
      <c r="F169" s="25"/>
      <c r="G169" s="25">
        <f t="array" ref="G169">SUM(IF("156"&amp;C169=KHN&amp;MH,SL))</f>
        <v>33</v>
      </c>
      <c r="H169" s="25">
        <f t="array" ref="H169">SUM(IF("156"&amp;C169=KHN&amp;MH,TH))</f>
        <v>351879</v>
      </c>
      <c r="I169" s="25">
        <f t="array" ref="I169">SUM(IF("156"&amp;C169=KHC&amp;MH,SL))</f>
        <v>0</v>
      </c>
      <c r="J169" s="25">
        <f t="array" ref="J169">SUM(IF("156"&amp;C169=KHC&amp;MH,TH))</f>
        <v>0</v>
      </c>
      <c r="K169" s="25">
        <f t="shared" si="10"/>
        <v>33</v>
      </c>
      <c r="L169" s="25">
        <f t="shared" si="11"/>
        <v>351879</v>
      </c>
      <c r="M169" s="279"/>
    </row>
    <row r="170" spans="1:13" ht="18.75" customHeight="1">
      <c r="A170" s="279" t="str">
        <f t="shared" si="8"/>
        <v>NL</v>
      </c>
      <c r="B170" s="745">
        <f t="shared" si="9"/>
        <v>159</v>
      </c>
      <c r="C170" s="190" t="s">
        <v>637</v>
      </c>
      <c r="D170" s="281" t="s">
        <v>338</v>
      </c>
      <c r="E170" s="25"/>
      <c r="F170" s="25"/>
      <c r="G170" s="25">
        <f t="array" ref="G170">SUM(IF("156"&amp;C170=KHN&amp;MH,SL))</f>
        <v>7</v>
      </c>
      <c r="H170" s="25">
        <f t="array" ref="H170">SUM(IF("156"&amp;C170=KHN&amp;MH,TH))</f>
        <v>79534</v>
      </c>
      <c r="I170" s="25">
        <f t="array" ref="I170">SUM(IF("156"&amp;C170=KHC&amp;MH,SL))</f>
        <v>0</v>
      </c>
      <c r="J170" s="25">
        <f t="array" ref="J170">SUM(IF("156"&amp;C170=KHC&amp;MH,TH))</f>
        <v>0</v>
      </c>
      <c r="K170" s="25">
        <f t="shared" si="10"/>
        <v>7</v>
      </c>
      <c r="L170" s="25">
        <f t="shared" si="11"/>
        <v>79534</v>
      </c>
      <c r="M170" s="279"/>
    </row>
    <row r="171" spans="1:13" ht="18.75" customHeight="1">
      <c r="A171" s="279" t="str">
        <f t="shared" si="8"/>
        <v>NL</v>
      </c>
      <c r="B171" s="745">
        <f t="shared" si="9"/>
        <v>160</v>
      </c>
      <c r="C171" s="190" t="s">
        <v>642</v>
      </c>
      <c r="D171" s="281" t="s">
        <v>338</v>
      </c>
      <c r="E171" s="25"/>
      <c r="F171" s="25"/>
      <c r="G171" s="25">
        <f t="array" ref="G171">SUM(IF("156"&amp;C171=KHN&amp;MH,SL))</f>
        <v>12</v>
      </c>
      <c r="H171" s="25">
        <f t="array" ref="H171">SUM(IF("156"&amp;C171=KHN&amp;MH,TH))</f>
        <v>146832</v>
      </c>
      <c r="I171" s="25">
        <f t="array" ref="I171">SUM(IF("156"&amp;C171=KHC&amp;MH,SL))</f>
        <v>0</v>
      </c>
      <c r="J171" s="25">
        <f t="array" ref="J171">SUM(IF("156"&amp;C171=KHC&amp;MH,TH))</f>
        <v>0</v>
      </c>
      <c r="K171" s="25">
        <f t="shared" si="10"/>
        <v>12</v>
      </c>
      <c r="L171" s="25">
        <f t="shared" si="11"/>
        <v>146832</v>
      </c>
      <c r="M171" s="279"/>
    </row>
    <row r="172" spans="1:13" ht="18.75" customHeight="1">
      <c r="A172" s="279" t="str">
        <f t="shared" si="8"/>
        <v>NL</v>
      </c>
      <c r="B172" s="745">
        <f t="shared" si="9"/>
        <v>161</v>
      </c>
      <c r="C172" s="190" t="s">
        <v>648</v>
      </c>
      <c r="D172" s="281" t="s">
        <v>338</v>
      </c>
      <c r="E172" s="25"/>
      <c r="F172" s="25"/>
      <c r="G172" s="25">
        <f t="array" ref="G172">SUM(IF("156"&amp;C172=KHN&amp;MH,SL))</f>
        <v>17</v>
      </c>
      <c r="H172" s="25">
        <f t="array" ref="H172">SUM(IF("156"&amp;C172=KHN&amp;MH,TH))</f>
        <v>249611</v>
      </c>
      <c r="I172" s="25">
        <f t="array" ref="I172">SUM(IF("156"&amp;C172=KHC&amp;MH,SL))</f>
        <v>0</v>
      </c>
      <c r="J172" s="25">
        <f t="array" ref="J172">SUM(IF("156"&amp;C172=KHC&amp;MH,TH))</f>
        <v>0</v>
      </c>
      <c r="K172" s="25">
        <f t="shared" si="10"/>
        <v>17</v>
      </c>
      <c r="L172" s="25">
        <f t="shared" si="11"/>
        <v>249611</v>
      </c>
      <c r="M172" s="279"/>
    </row>
    <row r="173" spans="1:13" ht="18.75" customHeight="1">
      <c r="A173" s="279" t="str">
        <f t="shared" si="8"/>
        <v>NL</v>
      </c>
      <c r="B173" s="745">
        <f t="shared" si="9"/>
        <v>162</v>
      </c>
      <c r="C173" s="190" t="s">
        <v>634</v>
      </c>
      <c r="D173" s="281" t="s">
        <v>338</v>
      </c>
      <c r="E173" s="25"/>
      <c r="F173" s="25"/>
      <c r="G173" s="25">
        <f t="array" ref="G173">SUM(IF("156"&amp;C173=KHN&amp;MH,SL))</f>
        <v>66</v>
      </c>
      <c r="H173" s="25">
        <f t="array" ref="H173">SUM(IF("156"&amp;C173=KHN&amp;MH,TH))</f>
        <v>1055604</v>
      </c>
      <c r="I173" s="25">
        <f t="array" ref="I173">SUM(IF("156"&amp;C173=KHC&amp;MH,SL))</f>
        <v>0</v>
      </c>
      <c r="J173" s="25">
        <f t="array" ref="J173">SUM(IF("156"&amp;C173=KHC&amp;MH,TH))</f>
        <v>0</v>
      </c>
      <c r="K173" s="25">
        <f t="shared" si="10"/>
        <v>66</v>
      </c>
      <c r="L173" s="25">
        <f t="shared" si="11"/>
        <v>1055604</v>
      </c>
      <c r="M173" s="279"/>
    </row>
    <row r="174" spans="1:13" ht="18.75" customHeight="1">
      <c r="A174" s="279" t="str">
        <f t="shared" si="8"/>
        <v>NL</v>
      </c>
      <c r="B174" s="745">
        <f t="shared" si="9"/>
        <v>163</v>
      </c>
      <c r="C174" s="190" t="s">
        <v>635</v>
      </c>
      <c r="D174" s="281" t="s">
        <v>338</v>
      </c>
      <c r="E174" s="25"/>
      <c r="F174" s="25"/>
      <c r="G174" s="25">
        <f t="array" ref="G174">SUM(IF("156"&amp;C174=KHN&amp;MH,SL))</f>
        <v>14</v>
      </c>
      <c r="H174" s="25">
        <f t="array" ref="H174">SUM(IF("156"&amp;C174=KHN&amp;MH,TH))</f>
        <v>232484</v>
      </c>
      <c r="I174" s="25">
        <f t="array" ref="I174">SUM(IF("156"&amp;C174=KHC&amp;MH,SL))</f>
        <v>0</v>
      </c>
      <c r="J174" s="25">
        <f t="array" ref="J174">SUM(IF("156"&amp;C174=KHC&amp;MH,TH))</f>
        <v>0</v>
      </c>
      <c r="K174" s="25">
        <f t="shared" si="10"/>
        <v>14</v>
      </c>
      <c r="L174" s="25">
        <f t="shared" si="11"/>
        <v>232484</v>
      </c>
      <c r="M174" s="279"/>
    </row>
    <row r="175" spans="1:13" ht="18.75" customHeight="1">
      <c r="A175" s="279" t="str">
        <f t="shared" si="8"/>
        <v>NL</v>
      </c>
      <c r="B175" s="745">
        <f t="shared" si="9"/>
        <v>164</v>
      </c>
      <c r="C175" s="190" t="s">
        <v>596</v>
      </c>
      <c r="D175" s="281" t="s">
        <v>338</v>
      </c>
      <c r="E175" s="25"/>
      <c r="F175" s="25"/>
      <c r="G175" s="25">
        <f t="array" ref="G175">SUM(IF("156"&amp;C175=KHN&amp;MH,SL))</f>
        <v>33</v>
      </c>
      <c r="H175" s="25">
        <f t="array" ref="H175">SUM(IF("156"&amp;C175=KHN&amp;MH,TH))</f>
        <v>516962</v>
      </c>
      <c r="I175" s="25">
        <f t="array" ref="I175">SUM(IF("156"&amp;C175=KHC&amp;MH,SL))</f>
        <v>0</v>
      </c>
      <c r="J175" s="25">
        <f t="array" ref="J175">SUM(IF("156"&amp;C175=KHC&amp;MH,TH))</f>
        <v>0</v>
      </c>
      <c r="K175" s="25">
        <f t="shared" si="10"/>
        <v>33</v>
      </c>
      <c r="L175" s="25">
        <f t="shared" si="11"/>
        <v>516962</v>
      </c>
      <c r="M175" s="279"/>
    </row>
    <row r="176" spans="1:13" ht="18.75" customHeight="1">
      <c r="A176" s="279" t="str">
        <f t="shared" si="8"/>
        <v>NL</v>
      </c>
      <c r="B176" s="745">
        <f t="shared" si="9"/>
        <v>165</v>
      </c>
      <c r="C176" s="190" t="s">
        <v>643</v>
      </c>
      <c r="D176" s="281" t="s">
        <v>338</v>
      </c>
      <c r="E176" s="25"/>
      <c r="F176" s="25"/>
      <c r="G176" s="25">
        <f t="array" ref="G176">SUM(IF("156"&amp;C176=KHN&amp;MH,SL))</f>
        <v>24</v>
      </c>
      <c r="H176" s="25">
        <f t="array" ref="H176">SUM(IF("156"&amp;C176=KHN&amp;MH,TH))</f>
        <v>409032</v>
      </c>
      <c r="I176" s="25">
        <f t="array" ref="I176">SUM(IF("156"&amp;C176=KHC&amp;MH,SL))</f>
        <v>0</v>
      </c>
      <c r="J176" s="25">
        <f t="array" ref="J176">SUM(IF("156"&amp;C176=KHC&amp;MH,TH))</f>
        <v>0</v>
      </c>
      <c r="K176" s="25">
        <f t="shared" si="10"/>
        <v>24</v>
      </c>
      <c r="L176" s="25">
        <f t="shared" si="11"/>
        <v>409032</v>
      </c>
      <c r="M176" s="279"/>
    </row>
    <row r="177" spans="1:13" ht="18.75" customHeight="1">
      <c r="A177" s="279" t="str">
        <f t="shared" si="8"/>
        <v>NL</v>
      </c>
      <c r="B177" s="745">
        <f t="shared" si="9"/>
        <v>166</v>
      </c>
      <c r="C177" s="190" t="s">
        <v>636</v>
      </c>
      <c r="D177" s="281" t="s">
        <v>338</v>
      </c>
      <c r="E177" s="25"/>
      <c r="F177" s="25"/>
      <c r="G177" s="25">
        <f t="array" ref="G177">SUM(IF("156"&amp;C177=KHN&amp;MH,SL))</f>
        <v>7</v>
      </c>
      <c r="H177" s="25">
        <f t="array" ref="H177">SUM(IF("156"&amp;C177=KHN&amp;MH,TH))</f>
        <v>119910</v>
      </c>
      <c r="I177" s="25">
        <f t="array" ref="I177">SUM(IF("156"&amp;C177=KHC&amp;MH,SL))</f>
        <v>0</v>
      </c>
      <c r="J177" s="25">
        <f t="array" ref="J177">SUM(IF("156"&amp;C177=KHC&amp;MH,TH))</f>
        <v>0</v>
      </c>
      <c r="K177" s="25">
        <f t="shared" si="10"/>
        <v>7</v>
      </c>
      <c r="L177" s="25">
        <f t="shared" si="11"/>
        <v>119910</v>
      </c>
      <c r="M177" s="279"/>
    </row>
    <row r="178" spans="1:13" ht="18.75" customHeight="1">
      <c r="A178" s="279" t="str">
        <f t="shared" si="8"/>
        <v>NL</v>
      </c>
      <c r="B178" s="745">
        <f t="shared" si="9"/>
        <v>167</v>
      </c>
      <c r="C178" s="190" t="s">
        <v>597</v>
      </c>
      <c r="D178" s="281" t="s">
        <v>338</v>
      </c>
      <c r="E178" s="25"/>
      <c r="F178" s="25"/>
      <c r="G178" s="25">
        <f t="array" ref="G178">SUM(IF("156"&amp;C178=KHN&amp;MH,SL))</f>
        <v>2</v>
      </c>
      <c r="H178" s="25">
        <f t="array" ref="H178">SUM(IF("156"&amp;C178=KHN&amp;MH,TH))</f>
        <v>32946</v>
      </c>
      <c r="I178" s="25">
        <f t="array" ref="I178">SUM(IF("156"&amp;C178=KHC&amp;MH,SL))</f>
        <v>0</v>
      </c>
      <c r="J178" s="25">
        <f t="array" ref="J178">SUM(IF("156"&amp;C178=KHC&amp;MH,TH))</f>
        <v>0</v>
      </c>
      <c r="K178" s="25">
        <f t="shared" si="10"/>
        <v>2</v>
      </c>
      <c r="L178" s="25">
        <f t="shared" si="11"/>
        <v>32946</v>
      </c>
      <c r="M178" s="279"/>
    </row>
    <row r="179" spans="1:13" ht="18.75" customHeight="1">
      <c r="A179" s="279" t="str">
        <f t="shared" si="8"/>
        <v>NL</v>
      </c>
      <c r="B179" s="745">
        <f t="shared" si="9"/>
        <v>168</v>
      </c>
      <c r="C179" s="190" t="s">
        <v>647</v>
      </c>
      <c r="D179" s="281" t="s">
        <v>338</v>
      </c>
      <c r="E179" s="25"/>
      <c r="F179" s="25"/>
      <c r="G179" s="25">
        <f t="array" ref="G179">SUM(IF("156"&amp;C179=KHN&amp;MH,SL))</f>
        <v>17</v>
      </c>
      <c r="H179" s="25">
        <f t="array" ref="H179">SUM(IF("156"&amp;C179=KHN&amp;MH,TH))</f>
        <v>310539</v>
      </c>
      <c r="I179" s="25">
        <f t="array" ref="I179">SUM(IF("156"&amp;C179=KHC&amp;MH,SL))</f>
        <v>0</v>
      </c>
      <c r="J179" s="25">
        <f t="array" ref="J179">SUM(IF("156"&amp;C179=KHC&amp;MH,TH))</f>
        <v>0</v>
      </c>
      <c r="K179" s="25">
        <f t="shared" si="10"/>
        <v>17</v>
      </c>
      <c r="L179" s="25">
        <f t="shared" si="11"/>
        <v>310539</v>
      </c>
      <c r="M179" s="279"/>
    </row>
    <row r="180" spans="1:13" ht="18.75" customHeight="1">
      <c r="A180" s="279" t="str">
        <f t="shared" si="8"/>
        <v>NL</v>
      </c>
      <c r="B180" s="745">
        <f t="shared" si="9"/>
        <v>169</v>
      </c>
      <c r="C180" s="190" t="s">
        <v>638</v>
      </c>
      <c r="D180" s="281" t="s">
        <v>338</v>
      </c>
      <c r="E180" s="25"/>
      <c r="F180" s="25"/>
      <c r="G180" s="25">
        <f t="array" ref="G180">SUM(IF("156"&amp;C180=KHN&amp;MH,SL))</f>
        <v>19</v>
      </c>
      <c r="H180" s="25">
        <f t="array" ref="H180">SUM(IF("156"&amp;C180=KHN&amp;MH,TH))</f>
        <v>348726</v>
      </c>
      <c r="I180" s="25">
        <f t="array" ref="I180">SUM(IF("156"&amp;C180=KHC&amp;MH,SL))</f>
        <v>0</v>
      </c>
      <c r="J180" s="25">
        <f t="array" ref="J180">SUM(IF("156"&amp;C180=KHC&amp;MH,TH))</f>
        <v>0</v>
      </c>
      <c r="K180" s="25">
        <f t="shared" si="10"/>
        <v>19</v>
      </c>
      <c r="L180" s="25">
        <f t="shared" si="11"/>
        <v>348726</v>
      </c>
      <c r="M180" s="279"/>
    </row>
    <row r="181" spans="1:13" ht="18.75" customHeight="1">
      <c r="A181" s="279" t="str">
        <f t="shared" si="8"/>
        <v>NL</v>
      </c>
      <c r="B181" s="745">
        <f t="shared" si="9"/>
        <v>170</v>
      </c>
      <c r="C181" s="190" t="s">
        <v>644</v>
      </c>
      <c r="D181" s="281" t="s">
        <v>338</v>
      </c>
      <c r="E181" s="25"/>
      <c r="F181" s="25"/>
      <c r="G181" s="25">
        <f t="array" ref="G181">SUM(IF("156"&amp;C181=KHN&amp;MH,SL))</f>
        <v>12</v>
      </c>
      <c r="H181" s="25">
        <f t="array" ref="H181">SUM(IF("156"&amp;C181=KHN&amp;MH,TH))</f>
        <v>241224</v>
      </c>
      <c r="I181" s="25">
        <f t="array" ref="I181">SUM(IF("156"&amp;C181=KHC&amp;MH,SL))</f>
        <v>0</v>
      </c>
      <c r="J181" s="25">
        <f t="array" ref="J181">SUM(IF("156"&amp;C181=KHC&amp;MH,TH))</f>
        <v>0</v>
      </c>
      <c r="K181" s="25">
        <f t="shared" si="10"/>
        <v>12</v>
      </c>
      <c r="L181" s="25">
        <f t="shared" si="11"/>
        <v>241224</v>
      </c>
      <c r="M181" s="279"/>
    </row>
    <row r="182" spans="1:13" ht="18.75" hidden="1" customHeight="1">
      <c r="A182" s="279" t="str">
        <f t="shared" si="8"/>
        <v>NL</v>
      </c>
      <c r="B182" s="745">
        <f t="shared" si="9"/>
        <v>171</v>
      </c>
      <c r="C182" s="190" t="s">
        <v>1197</v>
      </c>
      <c r="D182" s="281" t="s">
        <v>338</v>
      </c>
      <c r="E182" s="25"/>
      <c r="F182" s="25"/>
      <c r="G182" s="25">
        <f t="array" ref="G182">SUM(IF("156"&amp;C182=KHN&amp;MH,SL))</f>
        <v>900</v>
      </c>
      <c r="H182" s="25">
        <f t="array" ref="H182">SUM(IF("156"&amp;C182=KHN&amp;MH,TH))</f>
        <v>2622837</v>
      </c>
      <c r="I182" s="25">
        <f t="array" ref="I182">SUM(IF("156"&amp;C182=KHC&amp;MH,SL))</f>
        <v>900</v>
      </c>
      <c r="J182" s="25">
        <f t="array" ref="J182">SUM(IF("156"&amp;C182=KHC&amp;MH,TH))</f>
        <v>2622837</v>
      </c>
      <c r="K182" s="25">
        <f t="shared" si="10"/>
        <v>0</v>
      </c>
      <c r="L182" s="25">
        <f t="shared" si="11"/>
        <v>0</v>
      </c>
      <c r="M182" s="279"/>
    </row>
    <row r="183" spans="1:13" ht="18.75" customHeight="1">
      <c r="A183" s="279" t="str">
        <f t="shared" si="8"/>
        <v>NL</v>
      </c>
      <c r="B183" s="745">
        <f t="shared" si="9"/>
        <v>172</v>
      </c>
      <c r="C183" s="282" t="s">
        <v>1122</v>
      </c>
      <c r="D183" s="281" t="s">
        <v>338</v>
      </c>
      <c r="E183" s="25">
        <v>40</v>
      </c>
      <c r="F183" s="25">
        <v>373600</v>
      </c>
      <c r="G183" s="25">
        <f t="array" ref="G183">SUM(IF("156"&amp;C183=KHN&amp;MH,SL))</f>
        <v>0</v>
      </c>
      <c r="H183" s="25">
        <f t="array" ref="H183">SUM(IF("156"&amp;C183=KHN&amp;MH,TH))</f>
        <v>0</v>
      </c>
      <c r="I183" s="25">
        <f t="array" ref="I183">SUM(IF("156"&amp;C183=KHC&amp;MH,SL))</f>
        <v>0</v>
      </c>
      <c r="J183" s="25">
        <f t="array" ref="J183">SUM(IF("156"&amp;C183=KHC&amp;MH,TH))</f>
        <v>0</v>
      </c>
      <c r="K183" s="25">
        <f t="shared" si="10"/>
        <v>40</v>
      </c>
      <c r="L183" s="25">
        <f t="shared" si="11"/>
        <v>373600</v>
      </c>
      <c r="M183" s="279"/>
    </row>
    <row r="184" spans="1:13" ht="18.75" customHeight="1">
      <c r="A184" s="279" t="str">
        <f t="shared" si="8"/>
        <v>NL</v>
      </c>
      <c r="B184" s="745">
        <f t="shared" si="9"/>
        <v>173</v>
      </c>
      <c r="C184" s="282" t="s">
        <v>1123</v>
      </c>
      <c r="D184" s="281" t="s">
        <v>338</v>
      </c>
      <c r="E184" s="25">
        <v>40</v>
      </c>
      <c r="F184" s="25">
        <v>377720</v>
      </c>
      <c r="G184" s="25">
        <f t="array" ref="G184">SUM(IF("156"&amp;C184=KHN&amp;MH,SL))</f>
        <v>0</v>
      </c>
      <c r="H184" s="25">
        <f t="array" ref="H184">SUM(IF("156"&amp;C184=KHN&amp;MH,TH))</f>
        <v>0</v>
      </c>
      <c r="I184" s="25">
        <f t="array" ref="I184">SUM(IF("156"&amp;C184=KHC&amp;MH,SL))</f>
        <v>0</v>
      </c>
      <c r="J184" s="25">
        <f t="array" ref="J184">SUM(IF("156"&amp;C184=KHC&amp;MH,TH))</f>
        <v>0</v>
      </c>
      <c r="K184" s="25">
        <f t="shared" si="10"/>
        <v>40</v>
      </c>
      <c r="L184" s="25">
        <f t="shared" si="11"/>
        <v>377720</v>
      </c>
      <c r="M184" s="279"/>
    </row>
    <row r="185" spans="1:13" ht="18.75" customHeight="1">
      <c r="A185" s="279" t="str">
        <f t="shared" si="8"/>
        <v>NL</v>
      </c>
      <c r="B185" s="745">
        <f t="shared" si="9"/>
        <v>174</v>
      </c>
      <c r="C185" s="187" t="s">
        <v>1124</v>
      </c>
      <c r="D185" s="281" t="s">
        <v>338</v>
      </c>
      <c r="E185" s="25">
        <v>41</v>
      </c>
      <c r="F185" s="25">
        <v>438167</v>
      </c>
      <c r="G185" s="25">
        <f t="array" ref="G185">SUM(IF("156"&amp;C185=KHN&amp;MH,SL))</f>
        <v>0</v>
      </c>
      <c r="H185" s="25">
        <f t="array" ref="H185">SUM(IF("156"&amp;C185=KHN&amp;MH,TH))</f>
        <v>0</v>
      </c>
      <c r="I185" s="25">
        <f t="array" ref="I185">SUM(IF("156"&amp;C185=KHC&amp;MH,SL))</f>
        <v>0</v>
      </c>
      <c r="J185" s="25">
        <f t="array" ref="J185">SUM(IF("156"&amp;C185=KHC&amp;MH,TH))</f>
        <v>0</v>
      </c>
      <c r="K185" s="25">
        <f t="shared" si="10"/>
        <v>41</v>
      </c>
      <c r="L185" s="25">
        <f t="shared" si="11"/>
        <v>438167</v>
      </c>
      <c r="M185" s="279"/>
    </row>
    <row r="186" spans="1:13" ht="18.75" hidden="1" customHeight="1">
      <c r="A186" s="279" t="str">
        <f t="shared" si="8"/>
        <v>NL</v>
      </c>
      <c r="B186" s="745">
        <f t="shared" si="9"/>
        <v>175</v>
      </c>
      <c r="C186" s="282" t="s">
        <v>1125</v>
      </c>
      <c r="D186" s="281" t="s">
        <v>338</v>
      </c>
      <c r="E186" s="25">
        <v>25</v>
      </c>
      <c r="F186" s="25">
        <v>294172</v>
      </c>
      <c r="G186" s="25">
        <f t="array" ref="G186">SUM(IF("156"&amp;C186=KHN&amp;MH,SL))</f>
        <v>0</v>
      </c>
      <c r="H186" s="25">
        <f t="array" ref="H186">SUM(IF("156"&amp;C186=KHN&amp;MH,TH))</f>
        <v>0</v>
      </c>
      <c r="I186" s="25">
        <f t="array" ref="I186">SUM(IF("156"&amp;C186=KHC&amp;MH,SL))</f>
        <v>25</v>
      </c>
      <c r="J186" s="25">
        <f t="array" ref="J186">SUM(IF("156"&amp;C186=KHC&amp;MH,TH))</f>
        <v>294172</v>
      </c>
      <c r="K186" s="25">
        <f t="shared" si="10"/>
        <v>0</v>
      </c>
      <c r="L186" s="25">
        <f t="shared" si="11"/>
        <v>0</v>
      </c>
      <c r="M186" s="279"/>
    </row>
    <row r="187" spans="1:13" ht="18.75" customHeight="1">
      <c r="A187" s="279" t="str">
        <f t="shared" si="8"/>
        <v>NL</v>
      </c>
      <c r="B187" s="745">
        <f t="shared" si="9"/>
        <v>176</v>
      </c>
      <c r="C187" s="282" t="s">
        <v>1126</v>
      </c>
      <c r="D187" s="281" t="s">
        <v>338</v>
      </c>
      <c r="E187" s="25">
        <v>400</v>
      </c>
      <c r="F187" s="25">
        <v>3422400</v>
      </c>
      <c r="G187" s="25">
        <f t="array" ref="G187">SUM(IF("156"&amp;C187=KHN&amp;MH,SL))</f>
        <v>0</v>
      </c>
      <c r="H187" s="25">
        <f t="array" ref="H187">SUM(IF("156"&amp;C187=KHN&amp;MH,TH))</f>
        <v>0</v>
      </c>
      <c r="I187" s="25">
        <f t="array" ref="I187">SUM(IF("156"&amp;C187=KHC&amp;MH,SL))</f>
        <v>0</v>
      </c>
      <c r="J187" s="25">
        <f t="array" ref="J187">SUM(IF("156"&amp;C187=KHC&amp;MH,TH))</f>
        <v>0</v>
      </c>
      <c r="K187" s="25">
        <f t="shared" si="10"/>
        <v>400</v>
      </c>
      <c r="L187" s="25">
        <f t="shared" si="11"/>
        <v>3422400</v>
      </c>
      <c r="M187" s="279"/>
    </row>
    <row r="188" spans="1:13" ht="18.75" hidden="1" customHeight="1">
      <c r="A188" s="279" t="str">
        <f t="shared" si="8"/>
        <v>NL</v>
      </c>
      <c r="B188" s="745">
        <f t="shared" si="9"/>
        <v>177</v>
      </c>
      <c r="C188" s="187" t="s">
        <v>1127</v>
      </c>
      <c r="D188" s="281" t="s">
        <v>338</v>
      </c>
      <c r="E188" s="25">
        <v>67</v>
      </c>
      <c r="F188" s="25">
        <v>646483</v>
      </c>
      <c r="G188" s="25">
        <f t="array" ref="G188">SUM(IF("156"&amp;C188=KHN&amp;MH,SL))</f>
        <v>0</v>
      </c>
      <c r="H188" s="25">
        <f t="array" ref="H188">SUM(IF("156"&amp;C188=KHN&amp;MH,TH))</f>
        <v>0</v>
      </c>
      <c r="I188" s="25">
        <f t="array" ref="I188">SUM(IF("156"&amp;C188=KHC&amp;MH,SL))</f>
        <v>67</v>
      </c>
      <c r="J188" s="25">
        <f t="array" ref="J188">SUM(IF("156"&amp;C188=KHC&amp;MH,TH))</f>
        <v>646483</v>
      </c>
      <c r="K188" s="25">
        <f t="shared" si="10"/>
        <v>0</v>
      </c>
      <c r="L188" s="25">
        <f t="shared" si="11"/>
        <v>0</v>
      </c>
      <c r="M188" s="279"/>
    </row>
    <row r="189" spans="1:13" ht="18.75" hidden="1" customHeight="1">
      <c r="A189" s="279" t="str">
        <f t="shared" si="8"/>
        <v>NL</v>
      </c>
      <c r="B189" s="745">
        <f t="shared" si="9"/>
        <v>178</v>
      </c>
      <c r="C189" s="190" t="s">
        <v>1128</v>
      </c>
      <c r="D189" s="281" t="s">
        <v>338</v>
      </c>
      <c r="E189" s="25">
        <v>20</v>
      </c>
      <c r="F189" s="25">
        <v>382700</v>
      </c>
      <c r="G189" s="25">
        <f t="array" ref="G189">SUM(IF("156"&amp;C189=KHN&amp;MH,SL))</f>
        <v>0</v>
      </c>
      <c r="H189" s="25">
        <f t="array" ref="H189">SUM(IF("156"&amp;C189=KHN&amp;MH,TH))</f>
        <v>0</v>
      </c>
      <c r="I189" s="25">
        <f t="array" ref="I189">SUM(IF("156"&amp;C189=KHC&amp;MH,SL))</f>
        <v>20</v>
      </c>
      <c r="J189" s="25">
        <f t="array" ref="J189">SUM(IF("156"&amp;C189=KHC&amp;MH,TH))</f>
        <v>382700</v>
      </c>
      <c r="K189" s="25">
        <f t="shared" si="10"/>
        <v>0</v>
      </c>
      <c r="L189" s="25">
        <f t="shared" si="11"/>
        <v>0</v>
      </c>
      <c r="M189" s="279"/>
    </row>
    <row r="190" spans="1:13" ht="18.75" customHeight="1">
      <c r="A190" s="279" t="str">
        <f t="shared" si="8"/>
        <v>NL</v>
      </c>
      <c r="B190" s="745">
        <f t="shared" si="9"/>
        <v>179</v>
      </c>
      <c r="C190" s="282" t="s">
        <v>1129</v>
      </c>
      <c r="D190" s="281" t="s">
        <v>338</v>
      </c>
      <c r="E190" s="25">
        <v>20</v>
      </c>
      <c r="F190" s="25">
        <v>307580</v>
      </c>
      <c r="G190" s="25">
        <f t="array" ref="G190">SUM(IF("156"&amp;C190=KHN&amp;MH,SL))</f>
        <v>0</v>
      </c>
      <c r="H190" s="25">
        <f t="array" ref="H190">SUM(IF("156"&amp;C190=KHN&amp;MH,TH))</f>
        <v>0</v>
      </c>
      <c r="I190" s="25">
        <f t="array" ref="I190">SUM(IF("156"&amp;C190=KHC&amp;MH,SL))</f>
        <v>0</v>
      </c>
      <c r="J190" s="25">
        <f t="array" ref="J190">SUM(IF("156"&amp;C190=KHC&amp;MH,TH))</f>
        <v>0</v>
      </c>
      <c r="K190" s="25">
        <f t="shared" si="10"/>
        <v>20</v>
      </c>
      <c r="L190" s="25">
        <f t="shared" si="11"/>
        <v>307580</v>
      </c>
      <c r="M190" s="279"/>
    </row>
    <row r="191" spans="1:13" ht="18.75" hidden="1" customHeight="1">
      <c r="A191" s="279" t="str">
        <f t="shared" si="8"/>
        <v>NL</v>
      </c>
      <c r="B191" s="745">
        <f t="shared" si="9"/>
        <v>180</v>
      </c>
      <c r="C191" s="187" t="s">
        <v>1130</v>
      </c>
      <c r="D191" s="281" t="s">
        <v>338</v>
      </c>
      <c r="E191" s="25">
        <v>400</v>
      </c>
      <c r="F191" s="25">
        <v>3727080</v>
      </c>
      <c r="G191" s="25">
        <f t="array" ref="G191">SUM(IF("156"&amp;C191=KHN&amp;MH,SL))</f>
        <v>0</v>
      </c>
      <c r="H191" s="25">
        <f t="array" ref="H191">SUM(IF("156"&amp;C191=KHN&amp;MH,TH))</f>
        <v>0</v>
      </c>
      <c r="I191" s="25">
        <f t="array" ref="I191">SUM(IF("156"&amp;C191=KHC&amp;MH,SL))</f>
        <v>400</v>
      </c>
      <c r="J191" s="25">
        <f t="array" ref="J191">SUM(IF("156"&amp;C191=KHC&amp;MH,TH))</f>
        <v>3727080</v>
      </c>
      <c r="K191" s="25">
        <f t="shared" si="10"/>
        <v>0</v>
      </c>
      <c r="L191" s="25">
        <f t="shared" si="11"/>
        <v>0</v>
      </c>
      <c r="M191" s="279"/>
    </row>
    <row r="192" spans="1:13" ht="18.75" hidden="1" customHeight="1">
      <c r="A192" s="279" t="str">
        <f t="shared" si="8"/>
        <v>NL</v>
      </c>
      <c r="B192" s="745">
        <f t="shared" si="9"/>
        <v>181</v>
      </c>
      <c r="C192" s="190" t="s">
        <v>1261</v>
      </c>
      <c r="D192" s="281" t="s">
        <v>338</v>
      </c>
      <c r="E192" s="25"/>
      <c r="F192" s="25"/>
      <c r="G192" s="25">
        <f t="array" ref="G192">SUM(IF("156"&amp;C192=KHN&amp;MH,SL))</f>
        <v>68</v>
      </c>
      <c r="H192" s="25">
        <f t="array" ref="H192">SUM(IF("156"&amp;C192=KHN&amp;MH,TH))</f>
        <v>718080</v>
      </c>
      <c r="I192" s="25">
        <f t="array" ref="I192">SUM(IF("156"&amp;C192=KHC&amp;MH,SL))</f>
        <v>68</v>
      </c>
      <c r="J192" s="25">
        <f t="array" ref="J192">SUM(IF("156"&amp;C192=KHC&amp;MH,TH))</f>
        <v>718080</v>
      </c>
      <c r="K192" s="25">
        <f t="shared" si="10"/>
        <v>0</v>
      </c>
      <c r="L192" s="25">
        <f t="shared" si="11"/>
        <v>0</v>
      </c>
      <c r="M192" s="279"/>
    </row>
    <row r="193" spans="1:13" ht="18.75" customHeight="1">
      <c r="A193" s="279" t="str">
        <f t="shared" si="8"/>
        <v>NL</v>
      </c>
      <c r="B193" s="745">
        <f t="shared" si="9"/>
        <v>182</v>
      </c>
      <c r="C193" s="190" t="s">
        <v>1131</v>
      </c>
      <c r="D193" s="281" t="s">
        <v>338</v>
      </c>
      <c r="E193" s="25">
        <v>40</v>
      </c>
      <c r="F193" s="25">
        <v>304920</v>
      </c>
      <c r="G193" s="25">
        <f t="array" ref="G193">SUM(IF("156"&amp;C193=KHN&amp;MH,SL))</f>
        <v>0</v>
      </c>
      <c r="H193" s="25">
        <f t="array" ref="H193">SUM(IF("156"&amp;C193=KHN&amp;MH,TH))</f>
        <v>0</v>
      </c>
      <c r="I193" s="25">
        <f t="array" ref="I193">SUM(IF("156"&amp;C193=KHC&amp;MH,SL))</f>
        <v>0</v>
      </c>
      <c r="J193" s="25">
        <f t="array" ref="J193">SUM(IF("156"&amp;C193=KHC&amp;MH,TH))</f>
        <v>0</v>
      </c>
      <c r="K193" s="25">
        <f t="shared" si="10"/>
        <v>40</v>
      </c>
      <c r="L193" s="25">
        <f t="shared" si="11"/>
        <v>304920</v>
      </c>
      <c r="M193" s="279"/>
    </row>
    <row r="194" spans="1:13" ht="18.75" customHeight="1">
      <c r="A194" s="279" t="str">
        <f t="shared" si="8"/>
        <v>NL</v>
      </c>
      <c r="B194" s="745">
        <f t="shared" si="9"/>
        <v>183</v>
      </c>
      <c r="C194" s="187" t="s">
        <v>1132</v>
      </c>
      <c r="D194" s="281" t="s">
        <v>338</v>
      </c>
      <c r="E194" s="25">
        <v>40</v>
      </c>
      <c r="F194" s="25">
        <v>477200</v>
      </c>
      <c r="G194" s="25">
        <f t="array" ref="G194">SUM(IF("156"&amp;C194=KHN&amp;MH,SL))</f>
        <v>0</v>
      </c>
      <c r="H194" s="25">
        <f t="array" ref="H194">SUM(IF("156"&amp;C194=KHN&amp;MH,TH))</f>
        <v>0</v>
      </c>
      <c r="I194" s="25">
        <f t="array" ref="I194">SUM(IF("156"&amp;C194=KHC&amp;MH,SL))</f>
        <v>0</v>
      </c>
      <c r="J194" s="25">
        <f t="array" ref="J194">SUM(IF("156"&amp;C194=KHC&amp;MH,TH))</f>
        <v>0</v>
      </c>
      <c r="K194" s="25">
        <f t="shared" si="10"/>
        <v>40</v>
      </c>
      <c r="L194" s="25">
        <f t="shared" si="11"/>
        <v>477200</v>
      </c>
      <c r="M194" s="279"/>
    </row>
    <row r="195" spans="1:13" ht="18.75" hidden="1" customHeight="1">
      <c r="A195" s="279" t="str">
        <f t="shared" si="8"/>
        <v>NL</v>
      </c>
      <c r="B195" s="745">
        <f t="shared" si="9"/>
        <v>184</v>
      </c>
      <c r="C195" s="187" t="s">
        <v>1133</v>
      </c>
      <c r="D195" s="281" t="s">
        <v>338</v>
      </c>
      <c r="E195" s="25">
        <v>145</v>
      </c>
      <c r="F195" s="25">
        <v>4928767</v>
      </c>
      <c r="G195" s="25">
        <f t="array" ref="G195">SUM(IF("156"&amp;C195=KHN&amp;MH,SL))</f>
        <v>0</v>
      </c>
      <c r="H195" s="25">
        <f t="array" ref="H195">SUM(IF("156"&amp;C195=KHN&amp;MH,TH))</f>
        <v>0</v>
      </c>
      <c r="I195" s="25">
        <f t="array" ref="I195">SUM(IF("156"&amp;C195=KHC&amp;MH,SL))</f>
        <v>145</v>
      </c>
      <c r="J195" s="25">
        <f t="array" ref="J195">SUM(IF("156"&amp;C195=KHC&amp;MH,TH))</f>
        <v>4928767</v>
      </c>
      <c r="K195" s="25">
        <f t="shared" si="10"/>
        <v>0</v>
      </c>
      <c r="L195" s="25">
        <f t="shared" si="11"/>
        <v>0</v>
      </c>
      <c r="M195" s="279"/>
    </row>
    <row r="196" spans="1:13" ht="18.75" hidden="1" customHeight="1">
      <c r="A196" s="279" t="str">
        <f t="shared" si="8"/>
        <v>NL</v>
      </c>
      <c r="B196" s="745">
        <f t="shared" si="9"/>
        <v>185</v>
      </c>
      <c r="C196" s="282" t="s">
        <v>477</v>
      </c>
      <c r="D196" s="281" t="s">
        <v>338</v>
      </c>
      <c r="E196" s="25">
        <v>650</v>
      </c>
      <c r="F196" s="25">
        <v>6707350</v>
      </c>
      <c r="G196" s="25">
        <f t="array" ref="G196">SUM(IF("156"&amp;C196=KHN&amp;MH,SL))</f>
        <v>550</v>
      </c>
      <c r="H196" s="25">
        <f t="array" ref="H196">SUM(IF("156"&amp;C196=KHN&amp;MH,TH))</f>
        <v>5631700</v>
      </c>
      <c r="I196" s="25">
        <f t="array" ref="I196">SUM(IF("156"&amp;C196=KHC&amp;MH,SL))</f>
        <v>1200</v>
      </c>
      <c r="J196" s="25">
        <f t="array" ref="J196">SUM(IF("156"&amp;C196=KHC&amp;MH,TH))</f>
        <v>12339050</v>
      </c>
      <c r="K196" s="25">
        <f t="shared" si="10"/>
        <v>0</v>
      </c>
      <c r="L196" s="25">
        <f t="shared" si="11"/>
        <v>0</v>
      </c>
      <c r="M196" s="279"/>
    </row>
    <row r="197" spans="1:13" ht="18.75" hidden="1" customHeight="1">
      <c r="A197" s="279" t="str">
        <f t="shared" si="8"/>
        <v>NL</v>
      </c>
      <c r="B197" s="745">
        <f t="shared" si="9"/>
        <v>186</v>
      </c>
      <c r="C197" s="190" t="s">
        <v>1134</v>
      </c>
      <c r="D197" s="281" t="s">
        <v>338</v>
      </c>
      <c r="E197" s="25">
        <v>150</v>
      </c>
      <c r="F197" s="25">
        <v>1646100</v>
      </c>
      <c r="G197" s="25">
        <f t="array" ref="G197">SUM(IF("156"&amp;C197=KHN&amp;MH,SL))</f>
        <v>0</v>
      </c>
      <c r="H197" s="25">
        <f t="array" ref="H197">SUM(IF("156"&amp;C197=KHN&amp;MH,TH))</f>
        <v>0</v>
      </c>
      <c r="I197" s="25">
        <f t="array" ref="I197">SUM(IF("156"&amp;C197=KHC&amp;MH,SL))</f>
        <v>150</v>
      </c>
      <c r="J197" s="25">
        <f t="array" ref="J197">SUM(IF("156"&amp;C197=KHC&amp;MH,TH))</f>
        <v>1646100</v>
      </c>
      <c r="K197" s="25">
        <f t="shared" si="10"/>
        <v>0</v>
      </c>
      <c r="L197" s="25">
        <f t="shared" si="11"/>
        <v>0</v>
      </c>
      <c r="M197" s="279"/>
    </row>
    <row r="198" spans="1:13" ht="18.75" hidden="1" customHeight="1">
      <c r="A198" s="279" t="str">
        <f t="shared" si="8"/>
        <v>NL</v>
      </c>
      <c r="B198" s="745">
        <f t="shared" si="9"/>
        <v>187</v>
      </c>
      <c r="C198" s="190" t="s">
        <v>845</v>
      </c>
      <c r="D198" s="281" t="s">
        <v>338</v>
      </c>
      <c r="E198" s="25"/>
      <c r="F198" s="25"/>
      <c r="G198" s="25">
        <f t="array" ref="G198">SUM(IF("156"&amp;C198=KHN&amp;MH,SL))</f>
        <v>800</v>
      </c>
      <c r="H198" s="25">
        <f t="array" ref="H198">SUM(IF("156"&amp;C198=KHN&amp;MH,TH))</f>
        <v>13947696</v>
      </c>
      <c r="I198" s="25">
        <f t="array" ref="I198">SUM(IF("156"&amp;C198=KHC&amp;MH,SL))</f>
        <v>800</v>
      </c>
      <c r="J198" s="25">
        <f t="array" ref="J198">SUM(IF("156"&amp;C198=KHC&amp;MH,TH))</f>
        <v>13947696</v>
      </c>
      <c r="K198" s="25">
        <f t="shared" si="10"/>
        <v>0</v>
      </c>
      <c r="L198" s="25">
        <f t="shared" si="11"/>
        <v>0</v>
      </c>
      <c r="M198" s="279"/>
    </row>
    <row r="199" spans="1:13" ht="18.75" hidden="1" customHeight="1">
      <c r="A199" s="279" t="str">
        <f t="shared" si="8"/>
        <v>NL</v>
      </c>
      <c r="B199" s="745">
        <f t="shared" si="9"/>
        <v>188</v>
      </c>
      <c r="C199" s="190" t="s">
        <v>1204</v>
      </c>
      <c r="D199" s="281" t="s">
        <v>338</v>
      </c>
      <c r="E199" s="25"/>
      <c r="F199" s="25"/>
      <c r="G199" s="25">
        <f t="array" ref="G199">SUM(IF("156"&amp;C199=KHN&amp;MH,SL))</f>
        <v>500</v>
      </c>
      <c r="H199" s="25">
        <f t="array" ref="H199">SUM(IF("156"&amp;C199=KHN&amp;MH,TH))</f>
        <v>8335000</v>
      </c>
      <c r="I199" s="25">
        <f t="array" ref="I199">SUM(IF("156"&amp;C199=KHC&amp;MH,SL))</f>
        <v>500</v>
      </c>
      <c r="J199" s="25">
        <f t="array" ref="J199">SUM(IF("156"&amp;C199=KHC&amp;MH,TH))</f>
        <v>8335000</v>
      </c>
      <c r="K199" s="25">
        <f t="shared" si="10"/>
        <v>0</v>
      </c>
      <c r="L199" s="25">
        <f t="shared" si="11"/>
        <v>0</v>
      </c>
      <c r="M199" s="279"/>
    </row>
    <row r="200" spans="1:13" ht="18.75" customHeight="1">
      <c r="A200" s="279" t="str">
        <f t="shared" si="8"/>
        <v>NL</v>
      </c>
      <c r="B200" s="745">
        <f t="shared" si="9"/>
        <v>189</v>
      </c>
      <c r="C200" s="190" t="s">
        <v>664</v>
      </c>
      <c r="D200" s="281" t="s">
        <v>338</v>
      </c>
      <c r="E200" s="25"/>
      <c r="F200" s="25"/>
      <c r="G200" s="25">
        <f t="array" ref="G200">SUM(IF("156"&amp;C200=KHN&amp;MH,SL))</f>
        <v>65</v>
      </c>
      <c r="H200" s="25">
        <f t="array" ref="H200">SUM(IF("156"&amp;C200=KHN&amp;MH,TH))</f>
        <v>579670</v>
      </c>
      <c r="I200" s="25">
        <f t="array" ref="I200">SUM(IF("156"&amp;C200=KHC&amp;MH,SL))</f>
        <v>0</v>
      </c>
      <c r="J200" s="25">
        <f t="array" ref="J200">SUM(IF("156"&amp;C200=KHC&amp;MH,TH))</f>
        <v>0</v>
      </c>
      <c r="K200" s="25">
        <f t="shared" si="10"/>
        <v>65</v>
      </c>
      <c r="L200" s="25">
        <f t="shared" si="11"/>
        <v>579670</v>
      </c>
      <c r="M200" s="279"/>
    </row>
    <row r="201" spans="1:13" ht="18.75" customHeight="1">
      <c r="A201" s="279" t="str">
        <f t="shared" si="8"/>
        <v>NL</v>
      </c>
      <c r="B201" s="745">
        <f t="shared" si="9"/>
        <v>190</v>
      </c>
      <c r="C201" s="187" t="s">
        <v>544</v>
      </c>
      <c r="D201" s="281" t="s">
        <v>338</v>
      </c>
      <c r="E201" s="25"/>
      <c r="F201" s="25"/>
      <c r="G201" s="25">
        <f t="array" ref="G201">SUM(IF("156"&amp;C201=KHN&amp;MH,SL))</f>
        <v>500</v>
      </c>
      <c r="H201" s="25">
        <f t="array" ref="H201">SUM(IF("156"&amp;C201=KHN&amp;MH,TH))</f>
        <v>4100500</v>
      </c>
      <c r="I201" s="25">
        <f t="array" ref="I201">SUM(IF("156"&amp;C201=KHC&amp;MH,SL))</f>
        <v>400</v>
      </c>
      <c r="J201" s="25">
        <f t="array" ref="J201">SUM(IF("156"&amp;C201=KHC&amp;MH,TH))</f>
        <v>3280400</v>
      </c>
      <c r="K201" s="25">
        <f t="shared" si="10"/>
        <v>100</v>
      </c>
      <c r="L201" s="25">
        <f t="shared" si="11"/>
        <v>820100</v>
      </c>
      <c r="M201" s="279"/>
    </row>
    <row r="202" spans="1:13" ht="18.75" customHeight="1">
      <c r="A202" s="279" t="str">
        <f t="shared" si="8"/>
        <v>NL</v>
      </c>
      <c r="B202" s="745">
        <f t="shared" si="9"/>
        <v>191</v>
      </c>
      <c r="C202" s="190" t="s">
        <v>607</v>
      </c>
      <c r="D202" s="281" t="s">
        <v>338</v>
      </c>
      <c r="E202" s="25"/>
      <c r="F202" s="25"/>
      <c r="G202" s="25">
        <f t="array" ref="G202">SUM(IF("156"&amp;C202=KHN&amp;MH,SL))</f>
        <v>250</v>
      </c>
      <c r="H202" s="25">
        <f t="array" ref="H202">SUM(IF("156"&amp;C202=KHN&amp;MH,TH))</f>
        <v>3375000</v>
      </c>
      <c r="I202" s="25">
        <f t="array" ref="I202">SUM(IF("156"&amp;C202=KHC&amp;MH,SL))</f>
        <v>0</v>
      </c>
      <c r="J202" s="25">
        <f t="array" ref="J202">SUM(IF("156"&amp;C202=KHC&amp;MH,TH))</f>
        <v>0</v>
      </c>
      <c r="K202" s="25">
        <f t="shared" si="10"/>
        <v>250</v>
      </c>
      <c r="L202" s="25">
        <f t="shared" si="11"/>
        <v>3375000</v>
      </c>
      <c r="M202" s="279"/>
    </row>
    <row r="203" spans="1:13" ht="18.75" hidden="1" customHeight="1">
      <c r="A203" s="279" t="str">
        <f t="shared" ref="A203:A266" si="12">IF(B203&lt;&gt;"","NL","")</f>
        <v>NL</v>
      </c>
      <c r="B203" s="745">
        <f t="shared" ref="B203:B266" si="13">IF(C203&lt;&gt;"",ROW()-11,"")</f>
        <v>192</v>
      </c>
      <c r="C203" s="190" t="s">
        <v>1203</v>
      </c>
      <c r="D203" s="281" t="s">
        <v>338</v>
      </c>
      <c r="E203" s="25"/>
      <c r="F203" s="25"/>
      <c r="G203" s="25">
        <f t="array" ref="G203">SUM(IF("156"&amp;C203=KHN&amp;MH,SL))</f>
        <v>100</v>
      </c>
      <c r="H203" s="25">
        <f t="array" ref="H203">SUM(IF("156"&amp;C203=KHN&amp;MH,TH))</f>
        <v>1093000</v>
      </c>
      <c r="I203" s="25">
        <f t="array" ref="I203">SUM(IF("156"&amp;C203=KHC&amp;MH,SL))</f>
        <v>100</v>
      </c>
      <c r="J203" s="25">
        <f t="array" ref="J203">SUM(IF("156"&amp;C203=KHC&amp;MH,TH))</f>
        <v>1093000</v>
      </c>
      <c r="K203" s="25">
        <f t="shared" ref="K203:K266" si="14">E203+G203-I203</f>
        <v>0</v>
      </c>
      <c r="L203" s="25">
        <f t="shared" ref="L203:L266" si="15">F203+H203-J203</f>
        <v>0</v>
      </c>
      <c r="M203" s="279"/>
    </row>
    <row r="204" spans="1:13" ht="18.75" customHeight="1">
      <c r="A204" s="279" t="str">
        <f t="shared" si="12"/>
        <v>NL</v>
      </c>
      <c r="B204" s="745">
        <f t="shared" si="13"/>
        <v>193</v>
      </c>
      <c r="C204" s="190" t="s">
        <v>821</v>
      </c>
      <c r="D204" s="281" t="s">
        <v>338</v>
      </c>
      <c r="E204" s="25"/>
      <c r="F204" s="25"/>
      <c r="G204" s="25">
        <f t="array" ref="G204">SUM(IF("156"&amp;C204=KHN&amp;MH,SL))</f>
        <v>25</v>
      </c>
      <c r="H204" s="25">
        <f t="array" ref="H204">SUM(IF("156"&amp;C204=KHN&amp;MH,TH))</f>
        <v>285125</v>
      </c>
      <c r="I204" s="25">
        <f t="array" ref="I204">SUM(IF("156"&amp;C204=KHC&amp;MH,SL))</f>
        <v>0</v>
      </c>
      <c r="J204" s="25">
        <f t="array" ref="J204">SUM(IF("156"&amp;C204=KHC&amp;MH,TH))</f>
        <v>0</v>
      </c>
      <c r="K204" s="25">
        <f t="shared" si="14"/>
        <v>25</v>
      </c>
      <c r="L204" s="25">
        <f t="shared" si="15"/>
        <v>285125</v>
      </c>
      <c r="M204" s="279"/>
    </row>
    <row r="205" spans="1:13" ht="18.75" customHeight="1">
      <c r="A205" s="279" t="str">
        <f t="shared" si="12"/>
        <v>NL</v>
      </c>
      <c r="B205" s="745">
        <f t="shared" si="13"/>
        <v>194</v>
      </c>
      <c r="C205" s="190" t="s">
        <v>584</v>
      </c>
      <c r="D205" s="281" t="s">
        <v>338</v>
      </c>
      <c r="E205" s="25"/>
      <c r="F205" s="25"/>
      <c r="G205" s="25">
        <f t="array" ref="G205">SUM(IF("156"&amp;C205=KHN&amp;MH,SL))</f>
        <v>770</v>
      </c>
      <c r="H205" s="25">
        <f t="array" ref="H205">SUM(IF("156"&amp;C205=KHN&amp;MH,TH))</f>
        <v>8639400</v>
      </c>
      <c r="I205" s="25">
        <f t="array" ref="I205">SUM(IF("156"&amp;C205=KHC&amp;MH,SL))</f>
        <v>0</v>
      </c>
      <c r="J205" s="25">
        <f t="array" ref="J205">SUM(IF("156"&amp;C205=KHC&amp;MH,TH))</f>
        <v>0</v>
      </c>
      <c r="K205" s="25">
        <f t="shared" si="14"/>
        <v>770</v>
      </c>
      <c r="L205" s="25">
        <f t="shared" si="15"/>
        <v>8639400</v>
      </c>
      <c r="M205" s="279"/>
    </row>
    <row r="206" spans="1:13" ht="18.75" customHeight="1">
      <c r="A206" s="279" t="str">
        <f t="shared" si="12"/>
        <v>NL</v>
      </c>
      <c r="B206" s="745">
        <f t="shared" si="13"/>
        <v>195</v>
      </c>
      <c r="C206" s="190" t="s">
        <v>824</v>
      </c>
      <c r="D206" s="281" t="s">
        <v>338</v>
      </c>
      <c r="E206" s="25"/>
      <c r="F206" s="25"/>
      <c r="G206" s="25">
        <f t="array" ref="G206">SUM(IF("156"&amp;C206=KHN&amp;MH,SL))</f>
        <v>50</v>
      </c>
      <c r="H206" s="25">
        <f t="array" ref="H206">SUM(IF("156"&amp;C206=KHN&amp;MH,TH))</f>
        <v>1121450</v>
      </c>
      <c r="I206" s="25">
        <f t="array" ref="I206">SUM(IF("156"&amp;C206=KHC&amp;MH,SL))</f>
        <v>0</v>
      </c>
      <c r="J206" s="25">
        <f t="array" ref="J206">SUM(IF("156"&amp;C206=KHC&amp;MH,TH))</f>
        <v>0</v>
      </c>
      <c r="K206" s="25">
        <f t="shared" si="14"/>
        <v>50</v>
      </c>
      <c r="L206" s="25">
        <f t="shared" si="15"/>
        <v>1121450</v>
      </c>
      <c r="M206" s="279"/>
    </row>
    <row r="207" spans="1:13" ht="18.75" hidden="1" customHeight="1">
      <c r="A207" s="279" t="str">
        <f t="shared" si="12"/>
        <v>NL</v>
      </c>
      <c r="B207" s="745">
        <f t="shared" si="13"/>
        <v>196</v>
      </c>
      <c r="C207" s="187" t="s">
        <v>470</v>
      </c>
      <c r="D207" s="281" t="s">
        <v>338</v>
      </c>
      <c r="E207" s="25"/>
      <c r="F207" s="25"/>
      <c r="G207" s="25">
        <f t="array" ref="G207">SUM(IF("156"&amp;C207=KHN&amp;MH,SL))</f>
        <v>681</v>
      </c>
      <c r="H207" s="25">
        <f t="array" ref="H207">SUM(IF("156"&amp;C207=KHN&amp;MH,TH))</f>
        <v>7349722</v>
      </c>
      <c r="I207" s="25">
        <f t="array" ref="I207">SUM(IF("156"&amp;C207=KHC&amp;MH,SL))</f>
        <v>681</v>
      </c>
      <c r="J207" s="25">
        <f t="array" ref="J207">SUM(IF("156"&amp;C207=KHC&amp;MH,TH))</f>
        <v>7349722</v>
      </c>
      <c r="K207" s="25">
        <f t="shared" si="14"/>
        <v>0</v>
      </c>
      <c r="L207" s="25">
        <f t="shared" si="15"/>
        <v>0</v>
      </c>
      <c r="M207" s="279"/>
    </row>
    <row r="208" spans="1:13" ht="18.75" customHeight="1">
      <c r="A208" s="279" t="str">
        <f t="shared" si="12"/>
        <v>NL</v>
      </c>
      <c r="B208" s="745">
        <f t="shared" si="13"/>
        <v>197</v>
      </c>
      <c r="C208" s="187" t="s">
        <v>521</v>
      </c>
      <c r="D208" s="281" t="s">
        <v>338</v>
      </c>
      <c r="E208" s="25"/>
      <c r="F208" s="25"/>
      <c r="G208" s="25">
        <f t="array" ref="G208">SUM(IF("156"&amp;C208=KHN&amp;MH,SL))</f>
        <v>570</v>
      </c>
      <c r="H208" s="25">
        <f t="array" ref="H208">SUM(IF("156"&amp;C208=KHN&amp;MH,TH))</f>
        <v>6715170</v>
      </c>
      <c r="I208" s="25">
        <f t="array" ref="I208">SUM(IF("156"&amp;C208=KHC&amp;MH,SL))</f>
        <v>0</v>
      </c>
      <c r="J208" s="25">
        <f t="array" ref="J208">SUM(IF("156"&amp;C208=KHC&amp;MH,TH))</f>
        <v>0</v>
      </c>
      <c r="K208" s="25">
        <f t="shared" si="14"/>
        <v>570</v>
      </c>
      <c r="L208" s="25">
        <f t="shared" si="15"/>
        <v>6715170</v>
      </c>
      <c r="M208" s="279"/>
    </row>
    <row r="209" spans="1:13" ht="18.75" customHeight="1">
      <c r="A209" s="279" t="str">
        <f t="shared" si="12"/>
        <v>NL</v>
      </c>
      <c r="B209" s="745">
        <f t="shared" si="13"/>
        <v>198</v>
      </c>
      <c r="C209" s="187" t="s">
        <v>520</v>
      </c>
      <c r="D209" s="281" t="s">
        <v>338</v>
      </c>
      <c r="E209" s="25"/>
      <c r="F209" s="25"/>
      <c r="G209" s="25">
        <f t="array" ref="G209">SUM(IF("156"&amp;C209=KHN&amp;MH,SL))</f>
        <v>3550</v>
      </c>
      <c r="H209" s="25">
        <f t="array" ref="H209">SUM(IF("156"&amp;C209=KHN&amp;MH,TH))</f>
        <v>44625387</v>
      </c>
      <c r="I209" s="25">
        <f t="array" ref="I209">SUM(IF("156"&amp;C209=KHC&amp;MH,SL))</f>
        <v>2300</v>
      </c>
      <c r="J209" s="25">
        <f t="array" ref="J209">SUM(IF("156"&amp;C209=KHC&amp;MH,TH))</f>
        <v>29452887</v>
      </c>
      <c r="K209" s="25">
        <f t="shared" si="14"/>
        <v>1250</v>
      </c>
      <c r="L209" s="25">
        <f t="shared" si="15"/>
        <v>15172500</v>
      </c>
      <c r="M209" s="279"/>
    </row>
    <row r="210" spans="1:13" ht="18.75" customHeight="1">
      <c r="A210" s="279" t="str">
        <f t="shared" si="12"/>
        <v>NL</v>
      </c>
      <c r="B210" s="745">
        <f t="shared" si="13"/>
        <v>199</v>
      </c>
      <c r="C210" s="190" t="s">
        <v>1255</v>
      </c>
      <c r="D210" s="281" t="s">
        <v>338</v>
      </c>
      <c r="E210" s="25">
        <v>205</v>
      </c>
      <c r="F210" s="25">
        <v>3921035</v>
      </c>
      <c r="G210" s="25">
        <f t="array" ref="G210">SUM(IF("156"&amp;C210=KHN&amp;MH,SL))</f>
        <v>0</v>
      </c>
      <c r="H210" s="25">
        <f t="array" ref="H210">SUM(IF("156"&amp;C210=KHN&amp;MH,TH))</f>
        <v>0</v>
      </c>
      <c r="I210" s="25">
        <f t="array" ref="I210">SUM(IF("156"&amp;C210=KHC&amp;MH,SL))</f>
        <v>0</v>
      </c>
      <c r="J210" s="25">
        <f t="array" ref="J210">SUM(IF("156"&amp;C210=KHC&amp;MH,TH))</f>
        <v>0</v>
      </c>
      <c r="K210" s="25">
        <f t="shared" si="14"/>
        <v>205</v>
      </c>
      <c r="L210" s="25">
        <f t="shared" si="15"/>
        <v>3921035</v>
      </c>
      <c r="M210" s="279"/>
    </row>
    <row r="211" spans="1:13" ht="18.75" hidden="1" customHeight="1">
      <c r="A211" s="279" t="str">
        <f t="shared" si="12"/>
        <v>NL</v>
      </c>
      <c r="B211" s="745">
        <f t="shared" si="13"/>
        <v>200</v>
      </c>
      <c r="C211" s="187" t="s">
        <v>471</v>
      </c>
      <c r="D211" s="281" t="s">
        <v>338</v>
      </c>
      <c r="E211" s="25"/>
      <c r="F211" s="25"/>
      <c r="G211" s="25">
        <f t="array" ref="G211">SUM(IF("156"&amp;C211=KHN&amp;MH,SL))</f>
        <v>126</v>
      </c>
      <c r="H211" s="25">
        <f t="array" ref="H211">SUM(IF("156"&amp;C211=KHN&amp;MH,TH))</f>
        <v>1417878</v>
      </c>
      <c r="I211" s="25">
        <f t="array" ref="I211">SUM(IF("156"&amp;C211=KHC&amp;MH,SL))</f>
        <v>126</v>
      </c>
      <c r="J211" s="25">
        <f t="array" ref="J211">SUM(IF("156"&amp;C211=KHC&amp;MH,TH))</f>
        <v>1417878</v>
      </c>
      <c r="K211" s="25">
        <f t="shared" si="14"/>
        <v>0</v>
      </c>
      <c r="L211" s="25">
        <f t="shared" si="15"/>
        <v>0</v>
      </c>
      <c r="M211" s="279"/>
    </row>
    <row r="212" spans="1:13" ht="18.75" hidden="1" customHeight="1">
      <c r="A212" s="279" t="str">
        <f t="shared" si="12"/>
        <v>NL</v>
      </c>
      <c r="B212" s="745">
        <f t="shared" si="13"/>
        <v>201</v>
      </c>
      <c r="C212" s="190" t="s">
        <v>1256</v>
      </c>
      <c r="D212" s="281" t="s">
        <v>338</v>
      </c>
      <c r="E212" s="25">
        <v>400</v>
      </c>
      <c r="F212" s="25">
        <v>4297920</v>
      </c>
      <c r="G212" s="25">
        <f t="array" ref="G212">SUM(IF("156"&amp;C212=KHN&amp;MH,SL))</f>
        <v>0</v>
      </c>
      <c r="H212" s="25">
        <f t="array" ref="H212">SUM(IF("156"&amp;C212=KHN&amp;MH,TH))</f>
        <v>0</v>
      </c>
      <c r="I212" s="25">
        <f t="array" ref="I212">SUM(IF("156"&amp;C212=KHC&amp;MH,SL))</f>
        <v>400</v>
      </c>
      <c r="J212" s="25">
        <f t="array" ref="J212">SUM(IF("156"&amp;C212=KHC&amp;MH,TH))</f>
        <v>4297920</v>
      </c>
      <c r="K212" s="25">
        <f t="shared" si="14"/>
        <v>0</v>
      </c>
      <c r="L212" s="25">
        <f t="shared" si="15"/>
        <v>0</v>
      </c>
      <c r="M212" s="279"/>
    </row>
    <row r="213" spans="1:13" ht="18.75" hidden="1" customHeight="1">
      <c r="A213" s="279" t="str">
        <f t="shared" si="12"/>
        <v>NL</v>
      </c>
      <c r="B213" s="745">
        <f t="shared" si="13"/>
        <v>202</v>
      </c>
      <c r="C213" s="282" t="s">
        <v>473</v>
      </c>
      <c r="D213" s="281" t="s">
        <v>338</v>
      </c>
      <c r="E213" s="25"/>
      <c r="F213" s="25"/>
      <c r="G213" s="25">
        <f t="array" ref="G213">SUM(IF("156"&amp;C213=KHN&amp;MH,SL))</f>
        <v>30</v>
      </c>
      <c r="H213" s="25">
        <f t="array" ref="H213">SUM(IF("156"&amp;C213=KHN&amp;MH,TH))</f>
        <v>352950</v>
      </c>
      <c r="I213" s="25">
        <f t="array" ref="I213">SUM(IF("156"&amp;C213=KHC&amp;MH,SL))</f>
        <v>30</v>
      </c>
      <c r="J213" s="25">
        <f t="array" ref="J213">SUM(IF("156"&amp;C213=KHC&amp;MH,TH))</f>
        <v>352950</v>
      </c>
      <c r="K213" s="25">
        <f t="shared" si="14"/>
        <v>0</v>
      </c>
      <c r="L213" s="25">
        <f t="shared" si="15"/>
        <v>0</v>
      </c>
      <c r="M213" s="279"/>
    </row>
    <row r="214" spans="1:13" ht="18.75" customHeight="1">
      <c r="A214" s="279" t="str">
        <f t="shared" si="12"/>
        <v>NL</v>
      </c>
      <c r="B214" s="745">
        <f t="shared" si="13"/>
        <v>203</v>
      </c>
      <c r="C214" s="190" t="s">
        <v>574</v>
      </c>
      <c r="D214" s="281" t="s">
        <v>338</v>
      </c>
      <c r="E214" s="25"/>
      <c r="F214" s="25"/>
      <c r="G214" s="25">
        <f t="array" ref="G214">SUM(IF("156"&amp;C214=KHN&amp;MH,SL))</f>
        <v>1200</v>
      </c>
      <c r="H214" s="25">
        <f t="array" ref="H214">SUM(IF("156"&amp;C214=KHN&amp;MH,TH))</f>
        <v>18279205</v>
      </c>
      <c r="I214" s="25">
        <f t="array" ref="I214">SUM(IF("156"&amp;C214=KHC&amp;MH,SL))</f>
        <v>500</v>
      </c>
      <c r="J214" s="25">
        <f t="array" ref="J214">SUM(IF("156"&amp;C214=KHC&amp;MH,TH))</f>
        <v>7673505</v>
      </c>
      <c r="K214" s="25">
        <f t="shared" si="14"/>
        <v>700</v>
      </c>
      <c r="L214" s="25">
        <f t="shared" si="15"/>
        <v>10605700</v>
      </c>
      <c r="M214" s="279"/>
    </row>
    <row r="215" spans="1:13" ht="18.75" hidden="1" customHeight="1">
      <c r="A215" s="279" t="str">
        <f t="shared" si="12"/>
        <v>NL</v>
      </c>
      <c r="B215" s="745">
        <f t="shared" si="13"/>
        <v>204</v>
      </c>
      <c r="C215" s="190" t="s">
        <v>575</v>
      </c>
      <c r="D215" s="281" t="s">
        <v>338</v>
      </c>
      <c r="E215" s="25"/>
      <c r="F215" s="25"/>
      <c r="G215" s="25">
        <f t="array" ref="G215">SUM(IF("156"&amp;C215=KHN&amp;MH,SL))</f>
        <v>1150</v>
      </c>
      <c r="H215" s="25">
        <f t="array" ref="H215">SUM(IF("156"&amp;C215=KHN&amp;MH,TH))</f>
        <v>18617940</v>
      </c>
      <c r="I215" s="25">
        <f t="array" ref="I215">SUM(IF("156"&amp;C215=KHC&amp;MH,SL))</f>
        <v>1150</v>
      </c>
      <c r="J215" s="25">
        <f t="array" ref="J215">SUM(IF("156"&amp;C215=KHC&amp;MH,TH))</f>
        <v>18617940</v>
      </c>
      <c r="K215" s="25">
        <f t="shared" si="14"/>
        <v>0</v>
      </c>
      <c r="L215" s="25">
        <f t="shared" si="15"/>
        <v>0</v>
      </c>
      <c r="M215" s="279"/>
    </row>
    <row r="216" spans="1:13" ht="18.75" customHeight="1">
      <c r="A216" s="279" t="str">
        <f t="shared" si="12"/>
        <v>NL</v>
      </c>
      <c r="B216" s="745">
        <f t="shared" si="13"/>
        <v>205</v>
      </c>
      <c r="C216" s="187" t="s">
        <v>552</v>
      </c>
      <c r="D216" s="281" t="s">
        <v>338</v>
      </c>
      <c r="E216" s="25"/>
      <c r="F216" s="25"/>
      <c r="G216" s="25">
        <f t="array" ref="G216">SUM(IF("156"&amp;C216=KHN&amp;MH,SL))</f>
        <v>250</v>
      </c>
      <c r="H216" s="25">
        <f t="array" ref="H216">SUM(IF("156"&amp;C216=KHN&amp;MH,TH))</f>
        <v>5088750</v>
      </c>
      <c r="I216" s="25">
        <f t="array" ref="I216">SUM(IF("156"&amp;C216=KHC&amp;MH,SL))</f>
        <v>0</v>
      </c>
      <c r="J216" s="25">
        <f t="array" ref="J216">SUM(IF("156"&amp;C216=KHC&amp;MH,TH))</f>
        <v>0</v>
      </c>
      <c r="K216" s="25">
        <f t="shared" si="14"/>
        <v>250</v>
      </c>
      <c r="L216" s="25">
        <f t="shared" si="15"/>
        <v>5088750</v>
      </c>
      <c r="M216" s="279"/>
    </row>
    <row r="217" spans="1:13" ht="18.75" hidden="1" customHeight="1">
      <c r="A217" s="279" t="str">
        <f t="shared" si="12"/>
        <v>NL</v>
      </c>
      <c r="B217" s="745">
        <f t="shared" si="13"/>
        <v>206</v>
      </c>
      <c r="C217" s="187" t="s">
        <v>1135</v>
      </c>
      <c r="D217" s="281" t="s">
        <v>338</v>
      </c>
      <c r="E217" s="25">
        <v>16</v>
      </c>
      <c r="F217" s="25">
        <v>446624</v>
      </c>
      <c r="G217" s="25">
        <f t="array" ref="G217">SUM(IF("156"&amp;C217=KHN&amp;MH,SL))</f>
        <v>0</v>
      </c>
      <c r="H217" s="25">
        <f t="array" ref="H217">SUM(IF("156"&amp;C217=KHN&amp;MH,TH))</f>
        <v>0</v>
      </c>
      <c r="I217" s="25">
        <f t="array" ref="I217">SUM(IF("156"&amp;C217=KHC&amp;MH,SL))</f>
        <v>16</v>
      </c>
      <c r="J217" s="25">
        <f t="array" ref="J217">SUM(IF("156"&amp;C217=KHC&amp;MH,TH))</f>
        <v>446624</v>
      </c>
      <c r="K217" s="25">
        <f t="shared" si="14"/>
        <v>0</v>
      </c>
      <c r="L217" s="25">
        <f t="shared" si="15"/>
        <v>0</v>
      </c>
      <c r="M217" s="279"/>
    </row>
    <row r="218" spans="1:13" ht="18.75" hidden="1" customHeight="1">
      <c r="A218" s="279" t="str">
        <f t="shared" si="12"/>
        <v>NL</v>
      </c>
      <c r="B218" s="745">
        <f t="shared" si="13"/>
        <v>207</v>
      </c>
      <c r="C218" s="187" t="s">
        <v>474</v>
      </c>
      <c r="D218" s="281" t="s">
        <v>338</v>
      </c>
      <c r="E218" s="25"/>
      <c r="F218" s="25"/>
      <c r="G218" s="25">
        <f t="array" ref="G218">SUM(IF("156"&amp;C218=KHN&amp;MH,SL))</f>
        <v>42</v>
      </c>
      <c r="H218" s="25">
        <f t="array" ref="H218">SUM(IF("156"&amp;C218=KHN&amp;MH,TH))</f>
        <v>417732</v>
      </c>
      <c r="I218" s="25">
        <f t="array" ref="I218">SUM(IF("156"&amp;C218=KHC&amp;MH,SL))</f>
        <v>42</v>
      </c>
      <c r="J218" s="25">
        <f t="array" ref="J218">SUM(IF("156"&amp;C218=KHC&amp;MH,TH))</f>
        <v>417732</v>
      </c>
      <c r="K218" s="25">
        <f t="shared" si="14"/>
        <v>0</v>
      </c>
      <c r="L218" s="25">
        <f t="shared" si="15"/>
        <v>0</v>
      </c>
      <c r="M218" s="279"/>
    </row>
    <row r="219" spans="1:13" ht="18.75" customHeight="1">
      <c r="A219" s="279" t="str">
        <f t="shared" si="12"/>
        <v>NL</v>
      </c>
      <c r="B219" s="745">
        <f t="shared" si="13"/>
        <v>208</v>
      </c>
      <c r="C219" s="190" t="s">
        <v>576</v>
      </c>
      <c r="D219" s="281" t="s">
        <v>338</v>
      </c>
      <c r="E219" s="25"/>
      <c r="F219" s="25"/>
      <c r="G219" s="25">
        <f t="array" ref="G219">SUM(IF("156"&amp;C219=KHN&amp;MH,SL))</f>
        <v>2235</v>
      </c>
      <c r="H219" s="25">
        <f t="array" ref="H219">SUM(IF("156"&amp;C219=KHN&amp;MH,TH))</f>
        <v>28506899</v>
      </c>
      <c r="I219" s="25">
        <f t="array" ref="I219">SUM(IF("156"&amp;C219=KHC&amp;MH,SL))</f>
        <v>2188</v>
      </c>
      <c r="J219" s="25">
        <f t="array" ref="J219">SUM(IF("156"&amp;C219=KHC&amp;MH,TH))</f>
        <v>27922031</v>
      </c>
      <c r="K219" s="25">
        <f t="shared" si="14"/>
        <v>47</v>
      </c>
      <c r="L219" s="25">
        <f t="shared" si="15"/>
        <v>584868</v>
      </c>
      <c r="M219" s="279"/>
    </row>
    <row r="220" spans="1:13" ht="18.75" hidden="1" customHeight="1">
      <c r="A220" s="279" t="str">
        <f t="shared" si="12"/>
        <v>NL</v>
      </c>
      <c r="B220" s="745">
        <f t="shared" si="13"/>
        <v>209</v>
      </c>
      <c r="C220" s="187" t="s">
        <v>522</v>
      </c>
      <c r="D220" s="281" t="s">
        <v>338</v>
      </c>
      <c r="E220" s="25"/>
      <c r="F220" s="25"/>
      <c r="G220" s="25">
        <f t="array" ref="G220">SUM(IF("156"&amp;C220=KHN&amp;MH,SL))</f>
        <v>133</v>
      </c>
      <c r="H220" s="25">
        <f t="array" ref="H220">SUM(IF("156"&amp;C220=KHN&amp;MH,TH))</f>
        <v>2360484</v>
      </c>
      <c r="I220" s="25">
        <f t="array" ref="I220">SUM(IF("156"&amp;C220=KHC&amp;MH,SL))</f>
        <v>133</v>
      </c>
      <c r="J220" s="25">
        <f t="array" ref="J220">SUM(IF("156"&amp;C220=KHC&amp;MH,TH))</f>
        <v>2360484</v>
      </c>
      <c r="K220" s="25">
        <f t="shared" si="14"/>
        <v>0</v>
      </c>
      <c r="L220" s="25">
        <f t="shared" si="15"/>
        <v>0</v>
      </c>
      <c r="M220" s="279"/>
    </row>
    <row r="221" spans="1:13" ht="18.75" hidden="1" customHeight="1">
      <c r="A221" s="279" t="str">
        <f t="shared" si="12"/>
        <v>NL</v>
      </c>
      <c r="B221" s="745">
        <f t="shared" si="13"/>
        <v>210</v>
      </c>
      <c r="C221" s="190" t="s">
        <v>1231</v>
      </c>
      <c r="D221" s="281" t="s">
        <v>338</v>
      </c>
      <c r="E221" s="25"/>
      <c r="F221" s="25"/>
      <c r="G221" s="25">
        <f t="array" ref="G221">SUM(IF("156"&amp;C221=KHN&amp;MH,SL))</f>
        <v>20</v>
      </c>
      <c r="H221" s="25">
        <f t="array" ref="H221">SUM(IF("156"&amp;C221=KHN&amp;MH,TH))</f>
        <v>412014</v>
      </c>
      <c r="I221" s="25">
        <f t="array" ref="I221">SUM(IF("156"&amp;C221=KHC&amp;MH,SL))</f>
        <v>20</v>
      </c>
      <c r="J221" s="25">
        <f t="array" ref="J221">SUM(IF("156"&amp;C221=KHC&amp;MH,TH))</f>
        <v>412014</v>
      </c>
      <c r="K221" s="25">
        <f t="shared" si="14"/>
        <v>0</v>
      </c>
      <c r="L221" s="25">
        <f t="shared" si="15"/>
        <v>0</v>
      </c>
      <c r="M221" s="279"/>
    </row>
    <row r="222" spans="1:13" ht="18.75" hidden="1" customHeight="1">
      <c r="A222" s="279" t="str">
        <f t="shared" si="12"/>
        <v>NL</v>
      </c>
      <c r="B222" s="745">
        <f t="shared" si="13"/>
        <v>211</v>
      </c>
      <c r="C222" s="190" t="s">
        <v>625</v>
      </c>
      <c r="D222" s="281" t="s">
        <v>338</v>
      </c>
      <c r="E222" s="25"/>
      <c r="F222" s="25"/>
      <c r="G222" s="25">
        <f t="array" ref="G222">SUM(IF("156"&amp;C222=KHN&amp;MH,SL))</f>
        <v>100</v>
      </c>
      <c r="H222" s="25">
        <f t="array" ref="H222">SUM(IF("156"&amp;C222=KHN&amp;MH,TH))</f>
        <v>2470000</v>
      </c>
      <c r="I222" s="25">
        <f t="array" ref="I222">SUM(IF("156"&amp;C222=KHC&amp;MH,SL))</f>
        <v>100</v>
      </c>
      <c r="J222" s="25">
        <f t="array" ref="J222">SUM(IF("156"&amp;C222=KHC&amp;MH,TH))</f>
        <v>2470000</v>
      </c>
      <c r="K222" s="25">
        <f t="shared" si="14"/>
        <v>0</v>
      </c>
      <c r="L222" s="25">
        <f t="shared" si="15"/>
        <v>0</v>
      </c>
      <c r="M222" s="279"/>
    </row>
    <row r="223" spans="1:13" ht="18.75" hidden="1" customHeight="1">
      <c r="A223" s="279" t="str">
        <f t="shared" si="12"/>
        <v>NL</v>
      </c>
      <c r="B223" s="745">
        <f t="shared" si="13"/>
        <v>212</v>
      </c>
      <c r="C223" s="282" t="s">
        <v>476</v>
      </c>
      <c r="D223" s="281" t="s">
        <v>338</v>
      </c>
      <c r="E223" s="25"/>
      <c r="F223" s="25"/>
      <c r="G223" s="25">
        <f t="array" ref="G223">SUM(IF("156"&amp;C223=KHN&amp;MH,SL))</f>
        <v>100</v>
      </c>
      <c r="H223" s="25">
        <f t="array" ref="H223">SUM(IF("156"&amp;C223=KHN&amp;MH,TH))</f>
        <v>1144000</v>
      </c>
      <c r="I223" s="25">
        <f t="array" ref="I223">SUM(IF("156"&amp;C223=KHC&amp;MH,SL))</f>
        <v>100</v>
      </c>
      <c r="J223" s="25">
        <f t="array" ref="J223">SUM(IF("156"&amp;C223=KHC&amp;MH,TH))</f>
        <v>1144000</v>
      </c>
      <c r="K223" s="25">
        <f t="shared" si="14"/>
        <v>0</v>
      </c>
      <c r="L223" s="25">
        <f t="shared" si="15"/>
        <v>0</v>
      </c>
      <c r="M223" s="279"/>
    </row>
    <row r="224" spans="1:13" ht="18.75" customHeight="1">
      <c r="A224" s="279" t="str">
        <f t="shared" si="12"/>
        <v>NL</v>
      </c>
      <c r="B224" s="745">
        <f t="shared" si="13"/>
        <v>213</v>
      </c>
      <c r="C224" s="190" t="s">
        <v>663</v>
      </c>
      <c r="D224" s="281" t="s">
        <v>338</v>
      </c>
      <c r="E224" s="25"/>
      <c r="F224" s="25"/>
      <c r="G224" s="25">
        <f t="array" ref="G224">SUM(IF("156"&amp;C224=KHN&amp;MH,SL))</f>
        <v>259</v>
      </c>
      <c r="H224" s="25">
        <f t="array" ref="H224">SUM(IF("156"&amp;C224=KHN&amp;MH,TH))</f>
        <v>3663555</v>
      </c>
      <c r="I224" s="25">
        <f t="array" ref="I224">SUM(IF("156"&amp;C224=KHC&amp;MH,SL))</f>
        <v>0</v>
      </c>
      <c r="J224" s="25">
        <f t="array" ref="J224">SUM(IF("156"&amp;C224=KHC&amp;MH,TH))</f>
        <v>0</v>
      </c>
      <c r="K224" s="25">
        <f t="shared" si="14"/>
        <v>259</v>
      </c>
      <c r="L224" s="25">
        <f t="shared" si="15"/>
        <v>3663555</v>
      </c>
      <c r="M224" s="279"/>
    </row>
    <row r="225" spans="1:13" ht="18.75" hidden="1" customHeight="1">
      <c r="A225" s="279" t="str">
        <f t="shared" si="12"/>
        <v>NL</v>
      </c>
      <c r="B225" s="745">
        <f t="shared" si="13"/>
        <v>214</v>
      </c>
      <c r="C225" s="187" t="s">
        <v>1136</v>
      </c>
      <c r="D225" s="281" t="s">
        <v>338</v>
      </c>
      <c r="E225" s="25">
        <v>100</v>
      </c>
      <c r="F225" s="25">
        <v>1464800</v>
      </c>
      <c r="G225" s="25">
        <f t="array" ref="G225">SUM(IF("156"&amp;C225=KHN&amp;MH,SL))</f>
        <v>0</v>
      </c>
      <c r="H225" s="25">
        <f t="array" ref="H225">SUM(IF("156"&amp;C225=KHN&amp;MH,TH))</f>
        <v>0</v>
      </c>
      <c r="I225" s="25">
        <f t="array" ref="I225">SUM(IF("156"&amp;C225=KHC&amp;MH,SL))</f>
        <v>100</v>
      </c>
      <c r="J225" s="25">
        <f t="array" ref="J225">SUM(IF("156"&amp;C225=KHC&amp;MH,TH))</f>
        <v>1464800</v>
      </c>
      <c r="K225" s="25">
        <f t="shared" si="14"/>
        <v>0</v>
      </c>
      <c r="L225" s="25">
        <f t="shared" si="15"/>
        <v>0</v>
      </c>
      <c r="M225" s="279"/>
    </row>
    <row r="226" spans="1:13" ht="18.75" hidden="1" customHeight="1">
      <c r="A226" s="279" t="str">
        <f t="shared" si="12"/>
        <v>NL</v>
      </c>
      <c r="B226" s="745">
        <f t="shared" si="13"/>
        <v>215</v>
      </c>
      <c r="C226" s="190" t="s">
        <v>469</v>
      </c>
      <c r="D226" s="281" t="s">
        <v>338</v>
      </c>
      <c r="E226" s="25"/>
      <c r="F226" s="25"/>
      <c r="G226" s="25">
        <f t="array" ref="G226">SUM(IF("156"&amp;C226=KHN&amp;MH,SL))</f>
        <v>65</v>
      </c>
      <c r="H226" s="25">
        <f t="array" ref="H226">SUM(IF("156"&amp;C226=KHN&amp;MH,TH))</f>
        <v>1481025</v>
      </c>
      <c r="I226" s="25">
        <f t="array" ref="I226">SUM(IF("156"&amp;C226=KHC&amp;MH,SL))</f>
        <v>65</v>
      </c>
      <c r="J226" s="25">
        <f t="array" ref="J226">SUM(IF("156"&amp;C226=KHC&amp;MH,TH))</f>
        <v>1481025</v>
      </c>
      <c r="K226" s="25">
        <f t="shared" si="14"/>
        <v>0</v>
      </c>
      <c r="L226" s="25">
        <f t="shared" si="15"/>
        <v>0</v>
      </c>
      <c r="M226" s="279"/>
    </row>
    <row r="227" spans="1:13" ht="18.75" customHeight="1">
      <c r="A227" s="279" t="str">
        <f t="shared" si="12"/>
        <v>NL</v>
      </c>
      <c r="B227" s="745">
        <f t="shared" si="13"/>
        <v>216</v>
      </c>
      <c r="C227" s="190" t="s">
        <v>745</v>
      </c>
      <c r="D227" s="281" t="s">
        <v>338</v>
      </c>
      <c r="E227" s="25"/>
      <c r="F227" s="25"/>
      <c r="G227" s="25">
        <f t="array" ref="G227">SUM(IF("156"&amp;C227=KHN&amp;MH,SL))</f>
        <v>244</v>
      </c>
      <c r="H227" s="25">
        <f t="array" ref="H227">SUM(IF("156"&amp;C227=KHN&amp;MH,TH))</f>
        <v>2203564</v>
      </c>
      <c r="I227" s="25">
        <f t="array" ref="I227">SUM(IF("156"&amp;C227=KHC&amp;MH,SL))</f>
        <v>0</v>
      </c>
      <c r="J227" s="25">
        <f t="array" ref="J227">SUM(IF("156"&amp;C227=KHC&amp;MH,TH))</f>
        <v>0</v>
      </c>
      <c r="K227" s="25">
        <f t="shared" si="14"/>
        <v>244</v>
      </c>
      <c r="L227" s="25">
        <f t="shared" si="15"/>
        <v>2203564</v>
      </c>
      <c r="M227" s="279"/>
    </row>
    <row r="228" spans="1:13" ht="18.75" customHeight="1">
      <c r="A228" s="279" t="str">
        <f t="shared" si="12"/>
        <v>NL</v>
      </c>
      <c r="B228" s="745">
        <f t="shared" si="13"/>
        <v>217</v>
      </c>
      <c r="C228" s="190" t="s">
        <v>742</v>
      </c>
      <c r="D228" s="281" t="s">
        <v>338</v>
      </c>
      <c r="E228" s="25"/>
      <c r="F228" s="25"/>
      <c r="G228" s="25">
        <f t="array" ref="G228">SUM(IF("156"&amp;C228=KHN&amp;MH,SL))</f>
        <v>60</v>
      </c>
      <c r="H228" s="25">
        <f t="array" ref="H228">SUM(IF("156"&amp;C228=KHN&amp;MH,TH))</f>
        <v>1059840</v>
      </c>
      <c r="I228" s="25">
        <f t="array" ref="I228">SUM(IF("156"&amp;C228=KHC&amp;MH,SL))</f>
        <v>0</v>
      </c>
      <c r="J228" s="25">
        <f t="array" ref="J228">SUM(IF("156"&amp;C228=KHC&amp;MH,TH))</f>
        <v>0</v>
      </c>
      <c r="K228" s="25">
        <f t="shared" si="14"/>
        <v>60</v>
      </c>
      <c r="L228" s="25">
        <f t="shared" si="15"/>
        <v>1059840</v>
      </c>
      <c r="M228" s="279"/>
    </row>
    <row r="229" spans="1:13" ht="18.75" hidden="1" customHeight="1">
      <c r="A229" s="279" t="str">
        <f t="shared" si="12"/>
        <v>NL</v>
      </c>
      <c r="B229" s="745">
        <f t="shared" si="13"/>
        <v>218</v>
      </c>
      <c r="C229" s="190" t="s">
        <v>610</v>
      </c>
      <c r="D229" s="281" t="s">
        <v>338</v>
      </c>
      <c r="E229" s="25"/>
      <c r="F229" s="25"/>
      <c r="G229" s="25">
        <f t="array" ref="G229">SUM(IF("156"&amp;C229=KHN&amp;MH,SL))</f>
        <v>500</v>
      </c>
      <c r="H229" s="25">
        <f t="array" ref="H229">SUM(IF("156"&amp;C229=KHN&amp;MH,TH))</f>
        <v>7860500</v>
      </c>
      <c r="I229" s="25">
        <f t="array" ref="I229">SUM(IF("156"&amp;C229=KHC&amp;MH,SL))</f>
        <v>500</v>
      </c>
      <c r="J229" s="25">
        <f t="array" ref="J229">SUM(IF("156"&amp;C229=KHC&amp;MH,TH))</f>
        <v>7860500</v>
      </c>
      <c r="K229" s="25">
        <f t="shared" si="14"/>
        <v>0</v>
      </c>
      <c r="L229" s="25">
        <f t="shared" si="15"/>
        <v>0</v>
      </c>
      <c r="M229" s="279"/>
    </row>
    <row r="230" spans="1:13" ht="18.75" customHeight="1">
      <c r="A230" s="279" t="str">
        <f t="shared" si="12"/>
        <v>NL</v>
      </c>
      <c r="B230" s="745">
        <f t="shared" si="13"/>
        <v>219</v>
      </c>
      <c r="C230" s="187" t="s">
        <v>512</v>
      </c>
      <c r="D230" s="281" t="s">
        <v>338</v>
      </c>
      <c r="E230" s="25"/>
      <c r="F230" s="25"/>
      <c r="G230" s="25">
        <f t="array" ref="G230">SUM(IF("156"&amp;C230=KHN&amp;MH,SL))</f>
        <v>450</v>
      </c>
      <c r="H230" s="25">
        <f t="array" ref="H230">SUM(IF("156"&amp;C230=KHN&amp;MH,TH))</f>
        <v>7229250</v>
      </c>
      <c r="I230" s="25">
        <f t="array" ref="I230">SUM(IF("156"&amp;C230=KHC&amp;MH,SL))</f>
        <v>0</v>
      </c>
      <c r="J230" s="25">
        <f t="array" ref="J230">SUM(IF("156"&amp;C230=KHC&amp;MH,TH))</f>
        <v>0</v>
      </c>
      <c r="K230" s="25">
        <f t="shared" si="14"/>
        <v>450</v>
      </c>
      <c r="L230" s="25">
        <f t="shared" si="15"/>
        <v>7229250</v>
      </c>
      <c r="M230" s="279"/>
    </row>
    <row r="231" spans="1:13" ht="18.75" customHeight="1">
      <c r="A231" s="279" t="str">
        <f t="shared" si="12"/>
        <v>NL</v>
      </c>
      <c r="B231" s="745">
        <f t="shared" si="13"/>
        <v>220</v>
      </c>
      <c r="C231" s="190" t="s">
        <v>747</v>
      </c>
      <c r="D231" s="281" t="s">
        <v>338</v>
      </c>
      <c r="E231" s="25"/>
      <c r="F231" s="25"/>
      <c r="G231" s="25">
        <f t="array" ref="G231">SUM(IF("156"&amp;C231=KHN&amp;MH,SL))</f>
        <v>15</v>
      </c>
      <c r="H231" s="25">
        <f t="array" ref="H231">SUM(IF("156"&amp;C231=KHN&amp;MH,TH))</f>
        <v>335340</v>
      </c>
      <c r="I231" s="25">
        <f t="array" ref="I231">SUM(IF("156"&amp;C231=KHC&amp;MH,SL))</f>
        <v>0</v>
      </c>
      <c r="J231" s="25">
        <f t="array" ref="J231">SUM(IF("156"&amp;C231=KHC&amp;MH,TH))</f>
        <v>0</v>
      </c>
      <c r="K231" s="25">
        <f t="shared" si="14"/>
        <v>15</v>
      </c>
      <c r="L231" s="25">
        <f t="shared" si="15"/>
        <v>335340</v>
      </c>
      <c r="M231" s="279"/>
    </row>
    <row r="232" spans="1:13" ht="18.75" customHeight="1">
      <c r="A232" s="279" t="str">
        <f t="shared" si="12"/>
        <v>NL</v>
      </c>
      <c r="B232" s="745">
        <f t="shared" si="13"/>
        <v>221</v>
      </c>
      <c r="C232" s="190" t="s">
        <v>748</v>
      </c>
      <c r="D232" s="281" t="s">
        <v>338</v>
      </c>
      <c r="E232" s="25"/>
      <c r="F232" s="25"/>
      <c r="G232" s="25">
        <f t="array" ref="G232">SUM(IF("156"&amp;C232=KHN&amp;MH,SL))</f>
        <v>10</v>
      </c>
      <c r="H232" s="25">
        <f t="array" ref="H232">SUM(IF("156"&amp;C232=KHN&amp;MH,TH))</f>
        <v>267030</v>
      </c>
      <c r="I232" s="25">
        <f t="array" ref="I232">SUM(IF("156"&amp;C232=KHC&amp;MH,SL))</f>
        <v>0</v>
      </c>
      <c r="J232" s="25">
        <f t="array" ref="J232">SUM(IF("156"&amp;C232=KHC&amp;MH,TH))</f>
        <v>0</v>
      </c>
      <c r="K232" s="25">
        <f t="shared" si="14"/>
        <v>10</v>
      </c>
      <c r="L232" s="25">
        <f t="shared" si="15"/>
        <v>267030</v>
      </c>
      <c r="M232" s="279"/>
    </row>
    <row r="233" spans="1:13" ht="18.75" hidden="1" customHeight="1">
      <c r="A233" s="279" t="str">
        <f t="shared" si="12"/>
        <v>NL</v>
      </c>
      <c r="B233" s="745">
        <f t="shared" si="13"/>
        <v>222</v>
      </c>
      <c r="C233" s="282" t="s">
        <v>478</v>
      </c>
      <c r="D233" s="281" t="s">
        <v>338</v>
      </c>
      <c r="E233" s="25"/>
      <c r="F233" s="25"/>
      <c r="G233" s="25">
        <f t="array" ref="G233">SUM(IF("156"&amp;C233=KHN&amp;MH,SL))</f>
        <v>512</v>
      </c>
      <c r="H233" s="25">
        <f t="array" ref="H233">SUM(IF("156"&amp;C233=KHN&amp;MH,TH))</f>
        <v>9840128</v>
      </c>
      <c r="I233" s="25">
        <f t="array" ref="I233">SUM(IF("156"&amp;C233=KHC&amp;MH,SL))</f>
        <v>512</v>
      </c>
      <c r="J233" s="25">
        <f t="array" ref="J233">SUM(IF("156"&amp;C233=KHC&amp;MH,TH))</f>
        <v>9840128</v>
      </c>
      <c r="K233" s="25">
        <f t="shared" si="14"/>
        <v>0</v>
      </c>
      <c r="L233" s="25">
        <f t="shared" si="15"/>
        <v>0</v>
      </c>
      <c r="M233" s="279"/>
    </row>
    <row r="234" spans="1:13" ht="18.75" customHeight="1">
      <c r="A234" s="279" t="str">
        <f t="shared" si="12"/>
        <v>NL</v>
      </c>
      <c r="B234" s="745">
        <f t="shared" si="13"/>
        <v>223</v>
      </c>
      <c r="C234" s="190" t="s">
        <v>822</v>
      </c>
      <c r="D234" s="281" t="s">
        <v>338</v>
      </c>
      <c r="E234" s="25"/>
      <c r="F234" s="25"/>
      <c r="G234" s="25">
        <f t="array" ref="G234">SUM(IF("156"&amp;C234=KHN&amp;MH,SL))</f>
        <v>25</v>
      </c>
      <c r="H234" s="25">
        <f t="array" ref="H234">SUM(IF("156"&amp;C234=KHN&amp;MH,TH))</f>
        <v>525575</v>
      </c>
      <c r="I234" s="25">
        <f t="array" ref="I234">SUM(IF("156"&amp;C234=KHC&amp;MH,SL))</f>
        <v>0</v>
      </c>
      <c r="J234" s="25">
        <f t="array" ref="J234">SUM(IF("156"&amp;C234=KHC&amp;MH,TH))</f>
        <v>0</v>
      </c>
      <c r="K234" s="25">
        <f t="shared" si="14"/>
        <v>25</v>
      </c>
      <c r="L234" s="25">
        <f t="shared" si="15"/>
        <v>525575</v>
      </c>
      <c r="M234" s="279"/>
    </row>
    <row r="235" spans="1:13" ht="18.75" hidden="1" customHeight="1">
      <c r="A235" s="279" t="str">
        <f t="shared" si="12"/>
        <v>NL</v>
      </c>
      <c r="B235" s="745">
        <f t="shared" si="13"/>
        <v>224</v>
      </c>
      <c r="C235" s="190" t="s">
        <v>581</v>
      </c>
      <c r="D235" s="281" t="s">
        <v>338</v>
      </c>
      <c r="E235" s="25"/>
      <c r="F235" s="25"/>
      <c r="G235" s="25">
        <f t="array" ref="G235">SUM(IF("156"&amp;C235=KHN&amp;MH,SL))</f>
        <v>16</v>
      </c>
      <c r="H235" s="25">
        <f t="array" ref="H235">SUM(IF("156"&amp;C235=KHN&amp;MH,TH))</f>
        <v>319872</v>
      </c>
      <c r="I235" s="25">
        <f t="array" ref="I235">SUM(IF("156"&amp;C235=KHC&amp;MH,SL))</f>
        <v>16</v>
      </c>
      <c r="J235" s="25">
        <f t="array" ref="J235">SUM(IF("156"&amp;C235=KHC&amp;MH,TH))</f>
        <v>319872</v>
      </c>
      <c r="K235" s="25">
        <f t="shared" si="14"/>
        <v>0</v>
      </c>
      <c r="L235" s="25">
        <f t="shared" si="15"/>
        <v>0</v>
      </c>
      <c r="M235" s="279"/>
    </row>
    <row r="236" spans="1:13" ht="18.75" hidden="1" customHeight="1">
      <c r="A236" s="279" t="str">
        <f t="shared" si="12"/>
        <v>NL</v>
      </c>
      <c r="B236" s="745">
        <f t="shared" si="13"/>
        <v>225</v>
      </c>
      <c r="C236" s="187" t="s">
        <v>484</v>
      </c>
      <c r="D236" s="281" t="s">
        <v>338</v>
      </c>
      <c r="E236" s="25"/>
      <c r="F236" s="25"/>
      <c r="G236" s="25">
        <f t="array" ref="G236">SUM(IF("156"&amp;C236=KHN&amp;MH,SL))</f>
        <v>40</v>
      </c>
      <c r="H236" s="25">
        <f t="array" ref="H236">SUM(IF("156"&amp;C236=KHN&amp;MH,TH))</f>
        <v>979960</v>
      </c>
      <c r="I236" s="25">
        <f t="array" ref="I236">SUM(IF("156"&amp;C236=KHC&amp;MH,SL))</f>
        <v>40</v>
      </c>
      <c r="J236" s="25">
        <f t="array" ref="J236">SUM(IF("156"&amp;C236=KHC&amp;MH,TH))</f>
        <v>979960</v>
      </c>
      <c r="K236" s="25">
        <f t="shared" si="14"/>
        <v>0</v>
      </c>
      <c r="L236" s="25">
        <f t="shared" si="15"/>
        <v>0</v>
      </c>
      <c r="M236" s="279"/>
    </row>
    <row r="237" spans="1:13" ht="18.75" customHeight="1">
      <c r="A237" s="279" t="str">
        <f t="shared" si="12"/>
        <v>NL</v>
      </c>
      <c r="B237" s="745">
        <f t="shared" si="13"/>
        <v>226</v>
      </c>
      <c r="C237" s="40" t="s">
        <v>547</v>
      </c>
      <c r="D237" s="281" t="s">
        <v>338</v>
      </c>
      <c r="E237" s="25"/>
      <c r="F237" s="25"/>
      <c r="G237" s="25">
        <f t="array" ref="G237">SUM(IF("156"&amp;C237=KHN&amp;MH,SL))</f>
        <v>75</v>
      </c>
      <c r="H237" s="25">
        <f t="array" ref="H237">SUM(IF("156"&amp;C237=KHN&amp;MH,TH))</f>
        <v>1147500</v>
      </c>
      <c r="I237" s="25">
        <f t="array" ref="I237">SUM(IF("156"&amp;C237=KHC&amp;MH,SL))</f>
        <v>0</v>
      </c>
      <c r="J237" s="25">
        <f t="array" ref="J237">SUM(IF("156"&amp;C237=KHC&amp;MH,TH))</f>
        <v>0</v>
      </c>
      <c r="K237" s="25">
        <f t="shared" si="14"/>
        <v>75</v>
      </c>
      <c r="L237" s="25">
        <f t="shared" si="15"/>
        <v>1147500</v>
      </c>
      <c r="M237" s="279"/>
    </row>
    <row r="238" spans="1:13" ht="18.75" hidden="1" customHeight="1">
      <c r="A238" s="279" t="str">
        <f t="shared" si="12"/>
        <v>NL</v>
      </c>
      <c r="B238" s="745">
        <f t="shared" si="13"/>
        <v>227</v>
      </c>
      <c r="C238" s="190" t="s">
        <v>1257</v>
      </c>
      <c r="D238" s="281" t="s">
        <v>338</v>
      </c>
      <c r="E238" s="25">
        <v>650</v>
      </c>
      <c r="F238" s="25">
        <v>17409600</v>
      </c>
      <c r="G238" s="25">
        <f t="array" ref="G238">SUM(IF("156"&amp;C238=KHN&amp;MH,SL))</f>
        <v>0</v>
      </c>
      <c r="H238" s="25">
        <f t="array" ref="H238">SUM(IF("156"&amp;C238=KHN&amp;MH,TH))</f>
        <v>0</v>
      </c>
      <c r="I238" s="25">
        <f t="array" ref="I238">SUM(IF("156"&amp;C238=KHC&amp;MH,SL))</f>
        <v>650</v>
      </c>
      <c r="J238" s="25">
        <f t="array" ref="J238">SUM(IF("156"&amp;C238=KHC&amp;MH,TH))</f>
        <v>17409600</v>
      </c>
      <c r="K238" s="25">
        <f t="shared" si="14"/>
        <v>0</v>
      </c>
      <c r="L238" s="25">
        <f t="shared" si="15"/>
        <v>0</v>
      </c>
      <c r="M238" s="279"/>
    </row>
    <row r="239" spans="1:13" ht="18.75" customHeight="1">
      <c r="A239" s="279" t="str">
        <f t="shared" si="12"/>
        <v>NL</v>
      </c>
      <c r="B239" s="745">
        <f t="shared" si="13"/>
        <v>228</v>
      </c>
      <c r="C239" s="187" t="s">
        <v>548</v>
      </c>
      <c r="D239" s="281" t="s">
        <v>338</v>
      </c>
      <c r="E239" s="25"/>
      <c r="F239" s="25"/>
      <c r="G239" s="25">
        <f t="array" ref="G239">SUM(IF("156"&amp;C239=KHN&amp;MH,SL))</f>
        <v>68</v>
      </c>
      <c r="H239" s="25">
        <f t="array" ref="H239">SUM(IF("156"&amp;C239=KHN&amp;MH,TH))</f>
        <v>1283160</v>
      </c>
      <c r="I239" s="25">
        <f t="array" ref="I239">SUM(IF("156"&amp;C239=KHC&amp;MH,SL))</f>
        <v>0</v>
      </c>
      <c r="J239" s="25">
        <f t="array" ref="J239">SUM(IF("156"&amp;C239=KHC&amp;MH,TH))</f>
        <v>0</v>
      </c>
      <c r="K239" s="25">
        <f t="shared" si="14"/>
        <v>68</v>
      </c>
      <c r="L239" s="25">
        <f t="shared" si="15"/>
        <v>1283160</v>
      </c>
      <c r="M239" s="279"/>
    </row>
    <row r="240" spans="1:13" ht="18.75" customHeight="1">
      <c r="A240" s="279" t="str">
        <f t="shared" si="12"/>
        <v>NL</v>
      </c>
      <c r="B240" s="745">
        <f t="shared" si="13"/>
        <v>229</v>
      </c>
      <c r="C240" s="187" t="s">
        <v>550</v>
      </c>
      <c r="D240" s="281" t="s">
        <v>338</v>
      </c>
      <c r="E240" s="25"/>
      <c r="F240" s="25"/>
      <c r="G240" s="25">
        <f t="array" ref="G240">SUM(IF("156"&amp;C240=KHN&amp;MH,SL))</f>
        <v>68</v>
      </c>
      <c r="H240" s="25">
        <f t="array" ref="H240">SUM(IF("156"&amp;C240=KHN&amp;MH,TH))</f>
        <v>1317840</v>
      </c>
      <c r="I240" s="25">
        <f t="array" ref="I240">SUM(IF("156"&amp;C240=KHC&amp;MH,SL))</f>
        <v>0</v>
      </c>
      <c r="J240" s="25">
        <f t="array" ref="J240">SUM(IF("156"&amp;C240=KHC&amp;MH,TH))</f>
        <v>0</v>
      </c>
      <c r="K240" s="25">
        <f t="shared" si="14"/>
        <v>68</v>
      </c>
      <c r="L240" s="25">
        <f t="shared" si="15"/>
        <v>1317840</v>
      </c>
      <c r="M240" s="279"/>
    </row>
    <row r="241" spans="1:13" ht="18.75" customHeight="1">
      <c r="A241" s="279" t="str">
        <f t="shared" si="12"/>
        <v>NL</v>
      </c>
      <c r="B241" s="745">
        <f t="shared" si="13"/>
        <v>230</v>
      </c>
      <c r="C241" s="190" t="s">
        <v>746</v>
      </c>
      <c r="D241" s="281" t="s">
        <v>338</v>
      </c>
      <c r="E241" s="25"/>
      <c r="F241" s="25"/>
      <c r="G241" s="25">
        <f t="array" ref="G241">SUM(IF("156"&amp;C241=KHN&amp;MH,SL))</f>
        <v>24</v>
      </c>
      <c r="H241" s="25">
        <f t="array" ref="H241">SUM(IF("156"&amp;C241=KHN&amp;MH,TH))</f>
        <v>596160</v>
      </c>
      <c r="I241" s="25">
        <f t="array" ref="I241">SUM(IF("156"&amp;C241=KHC&amp;MH,SL))</f>
        <v>0</v>
      </c>
      <c r="J241" s="25">
        <f t="array" ref="J241">SUM(IF("156"&amp;C241=KHC&amp;MH,TH))</f>
        <v>0</v>
      </c>
      <c r="K241" s="25">
        <f t="shared" si="14"/>
        <v>24</v>
      </c>
      <c r="L241" s="25">
        <f t="shared" si="15"/>
        <v>596160</v>
      </c>
      <c r="M241" s="279"/>
    </row>
    <row r="242" spans="1:13" ht="18.75" hidden="1" customHeight="1">
      <c r="A242" s="279" t="str">
        <f t="shared" si="12"/>
        <v>NL</v>
      </c>
      <c r="B242" s="745">
        <f t="shared" si="13"/>
        <v>231</v>
      </c>
      <c r="C242" s="282" t="s">
        <v>483</v>
      </c>
      <c r="D242" s="281" t="s">
        <v>338</v>
      </c>
      <c r="E242" s="25"/>
      <c r="F242" s="25"/>
      <c r="G242" s="25">
        <f t="array" ref="G242">SUM(IF("156"&amp;C242=KHN&amp;MH,SL))</f>
        <v>90</v>
      </c>
      <c r="H242" s="25">
        <f t="array" ref="H242">SUM(IF("156"&amp;C242=KHN&amp;MH,TH))</f>
        <v>1804590</v>
      </c>
      <c r="I242" s="25">
        <f t="array" ref="I242">SUM(IF("156"&amp;C242=KHC&amp;MH,SL))</f>
        <v>90</v>
      </c>
      <c r="J242" s="25">
        <f t="array" ref="J242">SUM(IF("156"&amp;C242=KHC&amp;MH,TH))</f>
        <v>1804590</v>
      </c>
      <c r="K242" s="25">
        <f t="shared" si="14"/>
        <v>0</v>
      </c>
      <c r="L242" s="25">
        <f t="shared" si="15"/>
        <v>0</v>
      </c>
      <c r="M242" s="279"/>
    </row>
    <row r="243" spans="1:13" ht="18.75" hidden="1" customHeight="1">
      <c r="A243" s="279" t="str">
        <f t="shared" si="12"/>
        <v>NL</v>
      </c>
      <c r="B243" s="745">
        <f t="shared" si="13"/>
        <v>232</v>
      </c>
      <c r="C243" s="190" t="s">
        <v>578</v>
      </c>
      <c r="D243" s="281" t="s">
        <v>338</v>
      </c>
      <c r="E243" s="25"/>
      <c r="F243" s="25"/>
      <c r="G243" s="25">
        <f t="array" ref="G243">SUM(IF("156"&amp;C243=KHN&amp;MH,SL))</f>
        <v>1390</v>
      </c>
      <c r="H243" s="25">
        <f t="array" ref="H243">SUM(IF("156"&amp;C243=KHN&amp;MH,TH))</f>
        <v>30813590</v>
      </c>
      <c r="I243" s="25">
        <f t="array" ref="I243">SUM(IF("156"&amp;C243=KHC&amp;MH,SL))</f>
        <v>1390</v>
      </c>
      <c r="J243" s="25">
        <f t="array" ref="J243">SUM(IF("156"&amp;C243=KHC&amp;MH,TH))</f>
        <v>30813590</v>
      </c>
      <c r="K243" s="25">
        <f t="shared" si="14"/>
        <v>0</v>
      </c>
      <c r="L243" s="25">
        <f t="shared" si="15"/>
        <v>0</v>
      </c>
      <c r="M243" s="279"/>
    </row>
    <row r="244" spans="1:13" ht="18.75" customHeight="1">
      <c r="A244" s="279" t="str">
        <f t="shared" si="12"/>
        <v>NL</v>
      </c>
      <c r="B244" s="745">
        <f t="shared" si="13"/>
        <v>233</v>
      </c>
      <c r="C244" s="190" t="s">
        <v>823</v>
      </c>
      <c r="D244" s="281" t="s">
        <v>338</v>
      </c>
      <c r="E244" s="25"/>
      <c r="F244" s="25"/>
      <c r="G244" s="25">
        <f t="array" ref="G244">SUM(IF("156"&amp;C244=KHN&amp;MH,SL))</f>
        <v>25</v>
      </c>
      <c r="H244" s="25">
        <f t="array" ref="H244">SUM(IF("156"&amp;C244=KHN&amp;MH,TH))</f>
        <v>618700</v>
      </c>
      <c r="I244" s="25">
        <f t="array" ref="I244">SUM(IF("156"&amp;C244=KHC&amp;MH,SL))</f>
        <v>0</v>
      </c>
      <c r="J244" s="25">
        <f t="array" ref="J244">SUM(IF("156"&amp;C244=KHC&amp;MH,TH))</f>
        <v>0</v>
      </c>
      <c r="K244" s="25">
        <f t="shared" si="14"/>
        <v>25</v>
      </c>
      <c r="L244" s="25">
        <f t="shared" si="15"/>
        <v>618700</v>
      </c>
      <c r="M244" s="279"/>
    </row>
    <row r="245" spans="1:13" ht="18.75" hidden="1" customHeight="1">
      <c r="A245" s="279" t="str">
        <f t="shared" si="12"/>
        <v>NL</v>
      </c>
      <c r="B245" s="745">
        <f t="shared" si="13"/>
        <v>234</v>
      </c>
      <c r="C245" s="187" t="s">
        <v>479</v>
      </c>
      <c r="D245" s="281" t="s">
        <v>338</v>
      </c>
      <c r="E245" s="25"/>
      <c r="F245" s="25"/>
      <c r="G245" s="25">
        <f t="array" ref="G245">SUM(IF("156"&amp;C245=KHN&amp;MH,SL))</f>
        <v>256</v>
      </c>
      <c r="H245" s="25">
        <f t="array" ref="H245">SUM(IF("156"&amp;C245=KHN&amp;MH,TH))</f>
        <v>6006016</v>
      </c>
      <c r="I245" s="25">
        <f t="array" ref="I245">SUM(IF("156"&amp;C245=KHC&amp;MH,SL))</f>
        <v>256</v>
      </c>
      <c r="J245" s="25">
        <f t="array" ref="J245">SUM(IF("156"&amp;C245=KHC&amp;MH,TH))</f>
        <v>6006016</v>
      </c>
      <c r="K245" s="25">
        <f t="shared" si="14"/>
        <v>0</v>
      </c>
      <c r="L245" s="25">
        <f t="shared" si="15"/>
        <v>0</v>
      </c>
      <c r="M245" s="279"/>
    </row>
    <row r="246" spans="1:13" ht="18.75" customHeight="1">
      <c r="A246" s="279" t="str">
        <f t="shared" si="12"/>
        <v>NL</v>
      </c>
      <c r="B246" s="745">
        <f t="shared" si="13"/>
        <v>235</v>
      </c>
      <c r="C246" s="190" t="s">
        <v>580</v>
      </c>
      <c r="D246" s="281" t="s">
        <v>338</v>
      </c>
      <c r="E246" s="25"/>
      <c r="F246" s="25"/>
      <c r="G246" s="25">
        <f t="array" ref="G246">SUM(IF("156"&amp;C246=KHN&amp;MH,SL))</f>
        <v>16</v>
      </c>
      <c r="H246" s="25">
        <f t="array" ref="H246">SUM(IF("156"&amp;C246=KHN&amp;MH,TH))</f>
        <v>367248</v>
      </c>
      <c r="I246" s="25">
        <f t="array" ref="I246">SUM(IF("156"&amp;C246=KHC&amp;MH,SL))</f>
        <v>0</v>
      </c>
      <c r="J246" s="25">
        <f t="array" ref="J246">SUM(IF("156"&amp;C246=KHC&amp;MH,TH))</f>
        <v>0</v>
      </c>
      <c r="K246" s="25">
        <f t="shared" si="14"/>
        <v>16</v>
      </c>
      <c r="L246" s="25">
        <f t="shared" si="15"/>
        <v>367248</v>
      </c>
      <c r="M246" s="279"/>
    </row>
    <row r="247" spans="1:13" ht="18.75" hidden="1" customHeight="1">
      <c r="A247" s="279" t="str">
        <f t="shared" si="12"/>
        <v>NL</v>
      </c>
      <c r="B247" s="745">
        <f t="shared" si="13"/>
        <v>236</v>
      </c>
      <c r="C247" s="187" t="s">
        <v>567</v>
      </c>
      <c r="D247" s="281" t="s">
        <v>338</v>
      </c>
      <c r="E247" s="25"/>
      <c r="F247" s="25"/>
      <c r="G247" s="25">
        <f t="array" ref="G247">SUM(IF("156"&amp;C247=KHN&amp;MH,SL))</f>
        <v>20</v>
      </c>
      <c r="H247" s="25">
        <f t="array" ref="H247">SUM(IF("156"&amp;C247=KHN&amp;MH,TH))</f>
        <v>492760</v>
      </c>
      <c r="I247" s="25">
        <f t="array" ref="I247">SUM(IF("156"&amp;C247=KHC&amp;MH,SL))</f>
        <v>20</v>
      </c>
      <c r="J247" s="25">
        <f t="array" ref="J247">SUM(IF("156"&amp;C247=KHC&amp;MH,TH))</f>
        <v>492760</v>
      </c>
      <c r="K247" s="25">
        <f t="shared" si="14"/>
        <v>0</v>
      </c>
      <c r="L247" s="25">
        <f t="shared" si="15"/>
        <v>0</v>
      </c>
      <c r="M247" s="279"/>
    </row>
    <row r="248" spans="1:13" ht="18.75" customHeight="1">
      <c r="A248" s="279" t="str">
        <f t="shared" si="12"/>
        <v>NL</v>
      </c>
      <c r="B248" s="745">
        <f t="shared" si="13"/>
        <v>237</v>
      </c>
      <c r="C248" s="190" t="s">
        <v>568</v>
      </c>
      <c r="D248" s="281" t="s">
        <v>338</v>
      </c>
      <c r="E248" s="25"/>
      <c r="F248" s="25"/>
      <c r="G248" s="25">
        <f t="array" ref="G248">SUM(IF("156"&amp;C248=KHN&amp;MH,SL))</f>
        <v>20</v>
      </c>
      <c r="H248" s="25">
        <f t="array" ref="H248">SUM(IF("156"&amp;C248=KHN&amp;MH,TH))</f>
        <v>242200</v>
      </c>
      <c r="I248" s="25">
        <f t="array" ref="I248">SUM(IF("156"&amp;C248=KHC&amp;MH,SL))</f>
        <v>0</v>
      </c>
      <c r="J248" s="25">
        <f t="array" ref="J248">SUM(IF("156"&amp;C248=KHC&amp;MH,TH))</f>
        <v>0</v>
      </c>
      <c r="K248" s="25">
        <f t="shared" si="14"/>
        <v>20</v>
      </c>
      <c r="L248" s="25">
        <f t="shared" si="15"/>
        <v>242200</v>
      </c>
      <c r="M248" s="279"/>
    </row>
    <row r="249" spans="1:13" ht="18.75" hidden="1" customHeight="1">
      <c r="A249" s="279" t="str">
        <f t="shared" si="12"/>
        <v>NL</v>
      </c>
      <c r="B249" s="745">
        <f t="shared" si="13"/>
        <v>238</v>
      </c>
      <c r="C249" s="190" t="s">
        <v>570</v>
      </c>
      <c r="D249" s="281" t="s">
        <v>338</v>
      </c>
      <c r="E249" s="25"/>
      <c r="F249" s="25"/>
      <c r="G249" s="25">
        <f t="array" ref="G249">SUM(IF("156"&amp;C249=KHN&amp;MH,SL))</f>
        <v>2200</v>
      </c>
      <c r="H249" s="25">
        <f t="array" ref="H249">SUM(IF("156"&amp;C249=KHN&amp;MH,TH))</f>
        <v>54311263</v>
      </c>
      <c r="I249" s="25">
        <f t="array" ref="I249">SUM(IF("156"&amp;C249=KHC&amp;MH,SL))</f>
        <v>2200</v>
      </c>
      <c r="J249" s="25">
        <f t="array" ref="J249">SUM(IF("156"&amp;C249=KHC&amp;MH,TH))</f>
        <v>54311263</v>
      </c>
      <c r="K249" s="25">
        <f t="shared" si="14"/>
        <v>0</v>
      </c>
      <c r="L249" s="25">
        <f t="shared" si="15"/>
        <v>0</v>
      </c>
      <c r="M249" s="279"/>
    </row>
    <row r="250" spans="1:13" ht="18.75" hidden="1" customHeight="1">
      <c r="A250" s="279" t="str">
        <f t="shared" si="12"/>
        <v>NL</v>
      </c>
      <c r="B250" s="745">
        <f t="shared" si="13"/>
        <v>239</v>
      </c>
      <c r="C250" s="187" t="s">
        <v>551</v>
      </c>
      <c r="D250" s="281" t="s">
        <v>338</v>
      </c>
      <c r="E250" s="25"/>
      <c r="F250" s="25"/>
      <c r="G250" s="25">
        <f t="array" ref="G250">SUM(IF("156"&amp;C250=KHN&amp;MH,SL))</f>
        <v>250</v>
      </c>
      <c r="H250" s="25">
        <f t="array" ref="H250">SUM(IF("156"&amp;C250=KHN&amp;MH,TH))</f>
        <v>7840000</v>
      </c>
      <c r="I250" s="25">
        <f t="array" ref="I250">SUM(IF("156"&amp;C250=KHC&amp;MH,SL))</f>
        <v>250</v>
      </c>
      <c r="J250" s="25">
        <f t="array" ref="J250">SUM(IF("156"&amp;C250=KHC&amp;MH,TH))</f>
        <v>7840000</v>
      </c>
      <c r="K250" s="25">
        <f t="shared" si="14"/>
        <v>0</v>
      </c>
      <c r="L250" s="25">
        <f t="shared" si="15"/>
        <v>0</v>
      </c>
      <c r="M250" s="279"/>
    </row>
    <row r="251" spans="1:13" ht="18.75" hidden="1" customHeight="1">
      <c r="A251" s="279" t="str">
        <f t="shared" si="12"/>
        <v>NL</v>
      </c>
      <c r="B251" s="745">
        <f t="shared" si="13"/>
        <v>240</v>
      </c>
      <c r="C251" s="190" t="s">
        <v>571</v>
      </c>
      <c r="D251" s="281" t="s">
        <v>338</v>
      </c>
      <c r="E251" s="25"/>
      <c r="F251" s="25"/>
      <c r="G251" s="25">
        <f t="array" ref="G251">SUM(IF("156"&amp;C251=KHN&amp;MH,SL))</f>
        <v>2890</v>
      </c>
      <c r="H251" s="25">
        <f t="array" ref="H251">SUM(IF("156"&amp;C251=KHN&amp;MH,TH))</f>
        <v>35377513</v>
      </c>
      <c r="I251" s="25">
        <f t="array" ref="I251">SUM(IF("156"&amp;C251=KHC&amp;MH,SL))</f>
        <v>2890</v>
      </c>
      <c r="J251" s="25">
        <f t="array" ref="J251">SUM(IF("156"&amp;C251=KHC&amp;MH,TH))</f>
        <v>35377513</v>
      </c>
      <c r="K251" s="25">
        <f t="shared" si="14"/>
        <v>0</v>
      </c>
      <c r="L251" s="25">
        <f t="shared" si="15"/>
        <v>0</v>
      </c>
      <c r="M251" s="279"/>
    </row>
    <row r="252" spans="1:13" ht="18.75" customHeight="1">
      <c r="A252" s="279" t="str">
        <f t="shared" si="12"/>
        <v>NL</v>
      </c>
      <c r="B252" s="745">
        <f t="shared" si="13"/>
        <v>241</v>
      </c>
      <c r="C252" s="190" t="s">
        <v>743</v>
      </c>
      <c r="D252" s="281" t="s">
        <v>338</v>
      </c>
      <c r="E252" s="25"/>
      <c r="F252" s="25"/>
      <c r="G252" s="25">
        <f t="array" ref="G252">SUM(IF("156"&amp;C252=KHN&amp;MH,SL))</f>
        <v>61</v>
      </c>
      <c r="H252" s="25">
        <f t="array" ref="H252">SUM(IF("156"&amp;C252=KHN&amp;MH,TH))</f>
        <v>1147959</v>
      </c>
      <c r="I252" s="25">
        <f t="array" ref="I252">SUM(IF("156"&amp;C252=KHC&amp;MH,SL))</f>
        <v>0</v>
      </c>
      <c r="J252" s="25">
        <f t="array" ref="J252">SUM(IF("156"&amp;C252=KHC&amp;MH,TH))</f>
        <v>0</v>
      </c>
      <c r="K252" s="25">
        <f t="shared" si="14"/>
        <v>61</v>
      </c>
      <c r="L252" s="25">
        <f t="shared" si="15"/>
        <v>1147959</v>
      </c>
      <c r="M252" s="279"/>
    </row>
    <row r="253" spans="1:13" ht="18.75" hidden="1" customHeight="1">
      <c r="A253" s="279" t="str">
        <f t="shared" si="12"/>
        <v>NL</v>
      </c>
      <c r="B253" s="745">
        <f t="shared" si="13"/>
        <v>242</v>
      </c>
      <c r="C253" s="190" t="s">
        <v>608</v>
      </c>
      <c r="D253" s="281" t="s">
        <v>338</v>
      </c>
      <c r="E253" s="25"/>
      <c r="F253" s="25"/>
      <c r="G253" s="25">
        <f t="array" ref="G253">SUM(IF("156"&amp;C253=KHN&amp;MH,SL))</f>
        <v>1000</v>
      </c>
      <c r="H253" s="25">
        <f t="array" ref="H253">SUM(IF("156"&amp;C253=KHN&amp;MH,TH))</f>
        <v>32109000</v>
      </c>
      <c r="I253" s="25">
        <f t="array" ref="I253">SUM(IF("156"&amp;C253=KHC&amp;MH,SL))</f>
        <v>1000</v>
      </c>
      <c r="J253" s="25">
        <f t="array" ref="J253">SUM(IF("156"&amp;C253=KHC&amp;MH,TH))</f>
        <v>32109000</v>
      </c>
      <c r="K253" s="25">
        <f t="shared" si="14"/>
        <v>0</v>
      </c>
      <c r="L253" s="25">
        <f t="shared" si="15"/>
        <v>0</v>
      </c>
      <c r="M253" s="279"/>
    </row>
    <row r="254" spans="1:13" ht="18.75" customHeight="1">
      <c r="A254" s="279" t="str">
        <f t="shared" si="12"/>
        <v>NL</v>
      </c>
      <c r="B254" s="745">
        <f t="shared" si="13"/>
        <v>243</v>
      </c>
      <c r="C254" s="190" t="s">
        <v>744</v>
      </c>
      <c r="D254" s="281" t="s">
        <v>338</v>
      </c>
      <c r="E254" s="25"/>
      <c r="F254" s="25"/>
      <c r="G254" s="25">
        <f t="array" ref="G254">SUM(IF("156"&amp;C254=KHN&amp;MH,SL))</f>
        <v>61</v>
      </c>
      <c r="H254" s="25">
        <f t="array" ref="H254">SUM(IF("156"&amp;C254=KHN&amp;MH,TH))</f>
        <v>1655601</v>
      </c>
      <c r="I254" s="25">
        <f t="array" ref="I254">SUM(IF("156"&amp;C254=KHC&amp;MH,SL))</f>
        <v>0</v>
      </c>
      <c r="J254" s="25">
        <f t="array" ref="J254">SUM(IF("156"&amp;C254=KHC&amp;MH,TH))</f>
        <v>0</v>
      </c>
      <c r="K254" s="25">
        <f t="shared" si="14"/>
        <v>61</v>
      </c>
      <c r="L254" s="25">
        <f t="shared" si="15"/>
        <v>1655601</v>
      </c>
      <c r="M254" s="279"/>
    </row>
    <row r="255" spans="1:13" ht="18.75" hidden="1" customHeight="1">
      <c r="A255" s="279" t="str">
        <f t="shared" si="12"/>
        <v>NL</v>
      </c>
      <c r="B255" s="745">
        <f t="shared" si="13"/>
        <v>244</v>
      </c>
      <c r="C255" s="190" t="s">
        <v>825</v>
      </c>
      <c r="D255" s="281" t="s">
        <v>338</v>
      </c>
      <c r="E255" s="25"/>
      <c r="F255" s="25"/>
      <c r="G255" s="25">
        <f t="array" ref="G255">SUM(IF("156"&amp;C255=KHN&amp;MH,SL))</f>
        <v>1000</v>
      </c>
      <c r="H255" s="25">
        <f t="array" ref="H255">SUM(IF("156"&amp;C255=KHN&amp;MH,TH))</f>
        <v>912000</v>
      </c>
      <c r="I255" s="25">
        <f t="array" ref="I255">SUM(IF("156"&amp;C255=KHC&amp;MH,SL))</f>
        <v>1000</v>
      </c>
      <c r="J255" s="25">
        <f t="array" ref="J255">SUM(IF("156"&amp;C255=KHC&amp;MH,TH))</f>
        <v>912000</v>
      </c>
      <c r="K255" s="25">
        <f t="shared" si="14"/>
        <v>0</v>
      </c>
      <c r="L255" s="25">
        <f t="shared" si="15"/>
        <v>0</v>
      </c>
      <c r="M255" s="279"/>
    </row>
    <row r="256" spans="1:13" ht="18.75" customHeight="1">
      <c r="A256" s="279" t="str">
        <f t="shared" si="12"/>
        <v>NL</v>
      </c>
      <c r="B256" s="745">
        <f t="shared" si="13"/>
        <v>245</v>
      </c>
      <c r="C256" s="190" t="s">
        <v>1137</v>
      </c>
      <c r="D256" s="281" t="s">
        <v>338</v>
      </c>
      <c r="E256" s="25">
        <v>30</v>
      </c>
      <c r="F256" s="25">
        <v>483780</v>
      </c>
      <c r="G256" s="25">
        <f t="array" ref="G256">SUM(IF("156"&amp;C256=KHN&amp;MH,SL))</f>
        <v>0</v>
      </c>
      <c r="H256" s="25">
        <f t="array" ref="H256">SUM(IF("156"&amp;C256=KHN&amp;MH,TH))</f>
        <v>0</v>
      </c>
      <c r="I256" s="25">
        <f t="array" ref="I256">SUM(IF("156"&amp;C256=KHC&amp;MH,SL))</f>
        <v>0</v>
      </c>
      <c r="J256" s="25">
        <f t="array" ref="J256">SUM(IF("156"&amp;C256=KHC&amp;MH,TH))</f>
        <v>0</v>
      </c>
      <c r="K256" s="25">
        <f t="shared" si="14"/>
        <v>30</v>
      </c>
      <c r="L256" s="25">
        <f t="shared" si="15"/>
        <v>483780</v>
      </c>
      <c r="M256" s="279"/>
    </row>
    <row r="257" spans="1:13" ht="18.75" customHeight="1">
      <c r="A257" s="279" t="str">
        <f t="shared" si="12"/>
        <v>NL</v>
      </c>
      <c r="B257" s="745">
        <f t="shared" si="13"/>
        <v>246</v>
      </c>
      <c r="C257" s="190" t="s">
        <v>583</v>
      </c>
      <c r="D257" s="281" t="s">
        <v>338</v>
      </c>
      <c r="E257" s="25"/>
      <c r="F257" s="25"/>
      <c r="G257" s="25">
        <f t="array" ref="G257">SUM(IF("156"&amp;C257=KHN&amp;MH,SL))</f>
        <v>10</v>
      </c>
      <c r="H257" s="25">
        <f t="array" ref="H257">SUM(IF("156"&amp;C257=KHN&amp;MH,TH))</f>
        <v>105570</v>
      </c>
      <c r="I257" s="25">
        <f t="array" ref="I257">SUM(IF("156"&amp;C257=KHC&amp;MH,SL))</f>
        <v>0</v>
      </c>
      <c r="J257" s="25">
        <f t="array" ref="J257">SUM(IF("156"&amp;C257=KHC&amp;MH,TH))</f>
        <v>0</v>
      </c>
      <c r="K257" s="25">
        <f t="shared" si="14"/>
        <v>10</v>
      </c>
      <c r="L257" s="25">
        <f t="shared" si="15"/>
        <v>105570</v>
      </c>
      <c r="M257" s="279"/>
    </row>
    <row r="258" spans="1:13" ht="18.75" customHeight="1">
      <c r="A258" s="279" t="str">
        <f t="shared" si="12"/>
        <v>NL</v>
      </c>
      <c r="B258" s="745">
        <f t="shared" si="13"/>
        <v>247</v>
      </c>
      <c r="C258" s="190" t="s">
        <v>577</v>
      </c>
      <c r="D258" s="281" t="s">
        <v>338</v>
      </c>
      <c r="E258" s="25"/>
      <c r="F258" s="25"/>
      <c r="G258" s="25">
        <f t="array" ref="G258">SUM(IF("156"&amp;C258=KHN&amp;MH,SL))</f>
        <v>2200</v>
      </c>
      <c r="H258" s="25">
        <f t="array" ref="H258">SUM(IF("156"&amp;C258=KHN&amp;MH,TH))</f>
        <v>24198414</v>
      </c>
      <c r="I258" s="25">
        <f t="array" ref="I258">SUM(IF("156"&amp;C258=KHC&amp;MH,SL))</f>
        <v>1900</v>
      </c>
      <c r="J258" s="25">
        <f t="array" ref="J258">SUM(IF("156"&amp;C258=KHC&amp;MH,TH))</f>
        <v>20985414</v>
      </c>
      <c r="K258" s="25">
        <f t="shared" si="14"/>
        <v>300</v>
      </c>
      <c r="L258" s="25">
        <f t="shared" si="15"/>
        <v>3213000</v>
      </c>
      <c r="M258" s="279"/>
    </row>
    <row r="259" spans="1:13" ht="18.75" customHeight="1">
      <c r="A259" s="279" t="str">
        <f t="shared" si="12"/>
        <v>NL</v>
      </c>
      <c r="B259" s="745">
        <f t="shared" si="13"/>
        <v>248</v>
      </c>
      <c r="C259" s="190" t="s">
        <v>582</v>
      </c>
      <c r="D259" s="281" t="s">
        <v>338</v>
      </c>
      <c r="E259" s="25"/>
      <c r="F259" s="25"/>
      <c r="G259" s="25">
        <f t="array" ref="G259">SUM(IF("156"&amp;C259=KHN&amp;MH,SL))</f>
        <v>20</v>
      </c>
      <c r="H259" s="25">
        <f t="array" ref="H259">SUM(IF("156"&amp;C259=KHN&amp;MH,TH))</f>
        <v>298360</v>
      </c>
      <c r="I259" s="25">
        <f t="array" ref="I259">SUM(IF("156"&amp;C259=KHC&amp;MH,SL))</f>
        <v>0</v>
      </c>
      <c r="J259" s="25">
        <f t="array" ref="J259">SUM(IF("156"&amp;C259=KHC&amp;MH,TH))</f>
        <v>0</v>
      </c>
      <c r="K259" s="25">
        <f t="shared" si="14"/>
        <v>20</v>
      </c>
      <c r="L259" s="25">
        <f t="shared" si="15"/>
        <v>298360</v>
      </c>
      <c r="M259" s="279"/>
    </row>
    <row r="260" spans="1:13" ht="18.75" hidden="1" customHeight="1">
      <c r="A260" s="279" t="str">
        <f t="shared" si="12"/>
        <v>NL</v>
      </c>
      <c r="B260" s="745">
        <f t="shared" si="13"/>
        <v>249</v>
      </c>
      <c r="C260" s="282" t="s">
        <v>472</v>
      </c>
      <c r="D260" s="281" t="s">
        <v>338</v>
      </c>
      <c r="E260" s="25"/>
      <c r="F260" s="25"/>
      <c r="G260" s="25">
        <f t="array" ref="G260">SUM(IF("156"&amp;C260=KHN&amp;MH,SL))</f>
        <v>580</v>
      </c>
      <c r="H260" s="25">
        <f t="array" ref="H260">SUM(IF("156"&amp;C260=KHN&amp;MH,TH))</f>
        <v>9876240</v>
      </c>
      <c r="I260" s="25">
        <f t="array" ref="I260">SUM(IF("156"&amp;C260=KHC&amp;MH,SL))</f>
        <v>580</v>
      </c>
      <c r="J260" s="25">
        <f t="array" ref="J260">SUM(IF("156"&amp;C260=KHC&amp;MH,TH))</f>
        <v>9876240</v>
      </c>
      <c r="K260" s="25">
        <f t="shared" si="14"/>
        <v>0</v>
      </c>
      <c r="L260" s="25">
        <f t="shared" si="15"/>
        <v>0</v>
      </c>
      <c r="M260" s="279"/>
    </row>
    <row r="261" spans="1:13" ht="18.75" customHeight="1">
      <c r="A261" s="279" t="str">
        <f t="shared" si="12"/>
        <v>NL</v>
      </c>
      <c r="B261" s="745">
        <f t="shared" si="13"/>
        <v>250</v>
      </c>
      <c r="C261" s="190" t="s">
        <v>665</v>
      </c>
      <c r="D261" s="281" t="s">
        <v>338</v>
      </c>
      <c r="E261" s="25"/>
      <c r="F261" s="25"/>
      <c r="G261" s="25">
        <f t="array" ref="G261">SUM(IF("156"&amp;C261=KHN&amp;MH,SL))</f>
        <v>400</v>
      </c>
      <c r="H261" s="25">
        <f t="array" ref="H261">SUM(IF("156"&amp;C261=KHN&amp;MH,TH))</f>
        <v>3705600</v>
      </c>
      <c r="I261" s="25">
        <f t="array" ref="I261">SUM(IF("156"&amp;C261=KHC&amp;MH,SL))</f>
        <v>0</v>
      </c>
      <c r="J261" s="25">
        <f t="array" ref="J261">SUM(IF("156"&amp;C261=KHC&amp;MH,TH))</f>
        <v>0</v>
      </c>
      <c r="K261" s="25">
        <f t="shared" si="14"/>
        <v>400</v>
      </c>
      <c r="L261" s="25">
        <f t="shared" si="15"/>
        <v>3705600</v>
      </c>
      <c r="M261" s="279"/>
    </row>
    <row r="262" spans="1:13" ht="18.75" customHeight="1">
      <c r="A262" s="279" t="str">
        <f t="shared" si="12"/>
        <v>NL</v>
      </c>
      <c r="B262" s="745">
        <f t="shared" si="13"/>
        <v>251</v>
      </c>
      <c r="C262" s="187" t="s">
        <v>546</v>
      </c>
      <c r="D262" s="281" t="s">
        <v>338</v>
      </c>
      <c r="E262" s="25"/>
      <c r="F262" s="25"/>
      <c r="G262" s="25">
        <f t="array" ref="G262">SUM(IF("156"&amp;C262=KHN&amp;MH,SL))</f>
        <v>68</v>
      </c>
      <c r="H262" s="25">
        <f t="array" ref="H262">SUM(IF("156"&amp;C262=KHN&amp;MH,TH))</f>
        <v>626008</v>
      </c>
      <c r="I262" s="25">
        <f t="array" ref="I262">SUM(IF("156"&amp;C262=KHC&amp;MH,SL))</f>
        <v>0</v>
      </c>
      <c r="J262" s="25">
        <f t="array" ref="J262">SUM(IF("156"&amp;C262=KHC&amp;MH,TH))</f>
        <v>0</v>
      </c>
      <c r="K262" s="25">
        <f t="shared" si="14"/>
        <v>68</v>
      </c>
      <c r="L262" s="25">
        <f t="shared" si="15"/>
        <v>626008</v>
      </c>
      <c r="M262" s="279"/>
    </row>
    <row r="263" spans="1:13" ht="18.75" customHeight="1">
      <c r="A263" s="279" t="str">
        <f t="shared" si="12"/>
        <v>NL</v>
      </c>
      <c r="B263" s="745">
        <f t="shared" si="13"/>
        <v>252</v>
      </c>
      <c r="C263" s="190" t="s">
        <v>662</v>
      </c>
      <c r="D263" s="281" t="s">
        <v>338</v>
      </c>
      <c r="E263" s="25"/>
      <c r="F263" s="25"/>
      <c r="G263" s="25">
        <f t="array" ref="G263">SUM(IF("156"&amp;C263=KHN&amp;MH,SL))</f>
        <v>260</v>
      </c>
      <c r="H263" s="25">
        <f t="array" ref="H263">SUM(IF("156"&amp;C263=KHN&amp;MH,TH))</f>
        <v>2624440</v>
      </c>
      <c r="I263" s="25">
        <f t="array" ref="I263">SUM(IF("156"&amp;C263=KHC&amp;MH,SL))</f>
        <v>0</v>
      </c>
      <c r="J263" s="25">
        <f t="array" ref="J263">SUM(IF("156"&amp;C263=KHC&amp;MH,TH))</f>
        <v>0</v>
      </c>
      <c r="K263" s="25">
        <f t="shared" si="14"/>
        <v>260</v>
      </c>
      <c r="L263" s="25">
        <f t="shared" si="15"/>
        <v>2624440</v>
      </c>
      <c r="M263" s="279"/>
    </row>
    <row r="264" spans="1:13" ht="18.75" customHeight="1">
      <c r="A264" s="279" t="str">
        <f t="shared" si="12"/>
        <v>NL</v>
      </c>
      <c r="B264" s="745">
        <f t="shared" si="13"/>
        <v>253</v>
      </c>
      <c r="C264" s="190" t="s">
        <v>553</v>
      </c>
      <c r="D264" s="281" t="s">
        <v>338</v>
      </c>
      <c r="E264" s="25"/>
      <c r="F264" s="25"/>
      <c r="G264" s="25">
        <f t="array" ref="G264">SUM(IF("156"&amp;C264=KHN&amp;MH,SL))</f>
        <v>250</v>
      </c>
      <c r="H264" s="25">
        <f t="array" ref="H264">SUM(IF("156"&amp;C264=KHN&amp;MH,TH))</f>
        <v>3092250</v>
      </c>
      <c r="I264" s="25">
        <f t="array" ref="I264">SUM(IF("156"&amp;C264=KHC&amp;MH,SL))</f>
        <v>0</v>
      </c>
      <c r="J264" s="25">
        <f t="array" ref="J264">SUM(IF("156"&amp;C264=KHC&amp;MH,TH))</f>
        <v>0</v>
      </c>
      <c r="K264" s="25">
        <f t="shared" si="14"/>
        <v>250</v>
      </c>
      <c r="L264" s="25">
        <f t="shared" si="15"/>
        <v>3092250</v>
      </c>
      <c r="M264" s="279"/>
    </row>
    <row r="265" spans="1:13" ht="18.75" hidden="1" customHeight="1">
      <c r="A265" s="279" t="str">
        <f t="shared" si="12"/>
        <v>NL</v>
      </c>
      <c r="B265" s="745">
        <f t="shared" si="13"/>
        <v>254</v>
      </c>
      <c r="C265" s="190" t="s">
        <v>549</v>
      </c>
      <c r="D265" s="281" t="s">
        <v>338</v>
      </c>
      <c r="E265" s="25"/>
      <c r="F265" s="25"/>
      <c r="G265" s="25">
        <f t="array" ref="G265">SUM(IF("156"&amp;C265=KHN&amp;MH,SL))</f>
        <v>100</v>
      </c>
      <c r="H265" s="25">
        <f t="array" ref="H265">SUM(IF("156"&amp;C265=KHN&amp;MH,TH))</f>
        <v>1195100</v>
      </c>
      <c r="I265" s="25">
        <f t="array" ref="I265">SUM(IF("156"&amp;C265=KHC&amp;MH,SL))</f>
        <v>100</v>
      </c>
      <c r="J265" s="25">
        <f t="array" ref="J265">SUM(IF("156"&amp;C265=KHC&amp;MH,TH))</f>
        <v>1195100</v>
      </c>
      <c r="K265" s="25">
        <f t="shared" si="14"/>
        <v>0</v>
      </c>
      <c r="L265" s="25">
        <f t="shared" si="15"/>
        <v>0</v>
      </c>
      <c r="M265" s="279"/>
    </row>
    <row r="266" spans="1:13" ht="18.75" customHeight="1">
      <c r="A266" s="279" t="str">
        <f t="shared" si="12"/>
        <v>NL</v>
      </c>
      <c r="B266" s="745">
        <f t="shared" si="13"/>
        <v>255</v>
      </c>
      <c r="C266" s="190" t="s">
        <v>511</v>
      </c>
      <c r="D266" s="281" t="s">
        <v>338</v>
      </c>
      <c r="E266" s="25"/>
      <c r="F266" s="25"/>
      <c r="G266" s="25">
        <f t="array" ref="G266">SUM(IF("156"&amp;C266=KHN&amp;MH,SL))</f>
        <v>3353</v>
      </c>
      <c r="H266" s="25">
        <f t="array" ref="H266">SUM(IF("156"&amp;C266=KHN&amp;MH,TH))</f>
        <v>41336932</v>
      </c>
      <c r="I266" s="25">
        <f t="array" ref="I266">SUM(IF("156"&amp;C266=KHC&amp;MH,SL))</f>
        <v>3113</v>
      </c>
      <c r="J266" s="25">
        <f t="array" ref="J266">SUM(IF("156"&amp;C266=KHC&amp;MH,TH))</f>
        <v>38449362</v>
      </c>
      <c r="K266" s="25">
        <f t="shared" si="14"/>
        <v>240</v>
      </c>
      <c r="L266" s="25">
        <f t="shared" si="15"/>
        <v>2887570</v>
      </c>
      <c r="M266" s="279"/>
    </row>
    <row r="267" spans="1:13" ht="18.75" hidden="1" customHeight="1">
      <c r="A267" s="279" t="str">
        <f t="shared" ref="A267:A329" si="16">IF(B267&lt;&gt;"","NL","")</f>
        <v>NL</v>
      </c>
      <c r="B267" s="745">
        <f t="shared" ref="B267:B329" si="17">IF(C267&lt;&gt;"",ROW()-11,"")</f>
        <v>256</v>
      </c>
      <c r="C267" s="190" t="s">
        <v>572</v>
      </c>
      <c r="D267" s="281" t="s">
        <v>338</v>
      </c>
      <c r="E267" s="25"/>
      <c r="F267" s="25"/>
      <c r="G267" s="25">
        <f t="array" ref="G267">SUM(IF("156"&amp;C267=KHN&amp;MH,SL))</f>
        <v>1200</v>
      </c>
      <c r="H267" s="25">
        <f t="array" ref="H267">SUM(IF("156"&amp;C267=KHN&amp;MH,TH))</f>
        <v>19260782</v>
      </c>
      <c r="I267" s="25">
        <f t="array" ref="I267">SUM(IF("156"&amp;C267=KHC&amp;MH,SL))</f>
        <v>1200</v>
      </c>
      <c r="J267" s="25">
        <f t="array" ref="J267">SUM(IF("156"&amp;C267=KHC&amp;MH,TH))</f>
        <v>19260782</v>
      </c>
      <c r="K267" s="25">
        <f t="shared" ref="K267:K329" si="18">E267+G267-I267</f>
        <v>0</v>
      </c>
      <c r="L267" s="25">
        <f t="shared" ref="L267:L329" si="19">F267+H267-J267</f>
        <v>0</v>
      </c>
      <c r="M267" s="279"/>
    </row>
    <row r="268" spans="1:13" ht="18.75" hidden="1" customHeight="1">
      <c r="A268" s="279" t="str">
        <f t="shared" si="16"/>
        <v>NL</v>
      </c>
      <c r="B268" s="745">
        <f t="shared" si="17"/>
        <v>257</v>
      </c>
      <c r="C268" s="190" t="s">
        <v>573</v>
      </c>
      <c r="D268" s="281" t="s">
        <v>338</v>
      </c>
      <c r="E268" s="25"/>
      <c r="F268" s="25"/>
      <c r="G268" s="25">
        <f t="array" ref="G268">SUM(IF("156"&amp;C268=KHN&amp;MH,SL))</f>
        <v>1200</v>
      </c>
      <c r="H268" s="25">
        <f t="array" ref="H268">SUM(IF("156"&amp;C268=KHN&amp;MH,TH))</f>
        <v>20222182</v>
      </c>
      <c r="I268" s="25">
        <f t="array" ref="I268">SUM(IF("156"&amp;C268=KHC&amp;MH,SL))</f>
        <v>1200</v>
      </c>
      <c r="J268" s="25">
        <f t="array" ref="J268">SUM(IF("156"&amp;C268=KHC&amp;MH,TH))</f>
        <v>20222182</v>
      </c>
      <c r="K268" s="25">
        <f t="shared" si="18"/>
        <v>0</v>
      </c>
      <c r="L268" s="25">
        <f t="shared" si="19"/>
        <v>0</v>
      </c>
      <c r="M268" s="279"/>
    </row>
    <row r="269" spans="1:13" ht="18.75" hidden="1" customHeight="1">
      <c r="A269" s="279" t="str">
        <f t="shared" si="16"/>
        <v>NL</v>
      </c>
      <c r="B269" s="745">
        <f t="shared" si="17"/>
        <v>258</v>
      </c>
      <c r="C269" s="190" t="s">
        <v>666</v>
      </c>
      <c r="D269" s="281" t="s">
        <v>338</v>
      </c>
      <c r="E269" s="25"/>
      <c r="F269" s="25"/>
      <c r="G269" s="25">
        <f t="array" ref="G269">SUM(IF("156"&amp;C269=KHN&amp;MH,SL))</f>
        <v>210</v>
      </c>
      <c r="H269" s="25">
        <f t="array" ref="H269">SUM(IF("156"&amp;C269=KHN&amp;MH,TH))</f>
        <v>3817590</v>
      </c>
      <c r="I269" s="25">
        <f t="array" ref="I269">SUM(IF("156"&amp;C269=KHC&amp;MH,SL))</f>
        <v>210</v>
      </c>
      <c r="J269" s="25">
        <f t="array" ref="J269">SUM(IF("156"&amp;C269=KHC&amp;MH,TH))</f>
        <v>3817590</v>
      </c>
      <c r="K269" s="25">
        <f t="shared" si="18"/>
        <v>0</v>
      </c>
      <c r="L269" s="25">
        <f t="shared" si="19"/>
        <v>0</v>
      </c>
      <c r="M269" s="279"/>
    </row>
    <row r="270" spans="1:13" ht="18.75" customHeight="1">
      <c r="A270" s="279" t="str">
        <f t="shared" si="16"/>
        <v>NL</v>
      </c>
      <c r="B270" s="745">
        <f t="shared" si="17"/>
        <v>259</v>
      </c>
      <c r="C270" s="190" t="s">
        <v>481</v>
      </c>
      <c r="D270" s="281" t="s">
        <v>338</v>
      </c>
      <c r="E270" s="25"/>
      <c r="F270" s="25"/>
      <c r="G270" s="25">
        <f t="array" ref="G270">SUM(IF("156"&amp;C270=KHN&amp;MH,SL))</f>
        <v>1018</v>
      </c>
      <c r="H270" s="25">
        <f t="array" ref="H270">SUM(IF("156"&amp;C270=KHN&amp;MH,TH))</f>
        <v>18127526</v>
      </c>
      <c r="I270" s="25">
        <f t="array" ref="I270">SUM(IF("156"&amp;C270=KHC&amp;MH,SL))</f>
        <v>700</v>
      </c>
      <c r="J270" s="25">
        <f t="array" ref="J270">SUM(IF("156"&amp;C270=KHC&amp;MH,TH))</f>
        <v>12464900</v>
      </c>
      <c r="K270" s="25">
        <f t="shared" si="18"/>
        <v>318</v>
      </c>
      <c r="L270" s="25">
        <f t="shared" si="19"/>
        <v>5662626</v>
      </c>
      <c r="M270" s="279"/>
    </row>
    <row r="271" spans="1:13" ht="18.75" hidden="1" customHeight="1">
      <c r="A271" s="279" t="str">
        <f t="shared" si="16"/>
        <v>NL</v>
      </c>
      <c r="B271" s="745">
        <f t="shared" si="17"/>
        <v>260</v>
      </c>
      <c r="C271" s="190" t="s">
        <v>1205</v>
      </c>
      <c r="D271" s="281" t="s">
        <v>338</v>
      </c>
      <c r="E271" s="25"/>
      <c r="F271" s="25"/>
      <c r="G271" s="25">
        <f t="array" ref="G271">SUM(IF("156"&amp;C271=KHN&amp;MH,SL))</f>
        <v>100</v>
      </c>
      <c r="H271" s="25">
        <f t="array" ref="H271">SUM(IF("156"&amp;C271=KHN&amp;MH,TH))</f>
        <v>1964400</v>
      </c>
      <c r="I271" s="25">
        <f t="array" ref="I271">SUM(IF("156"&amp;C271=KHC&amp;MH,SL))</f>
        <v>100</v>
      </c>
      <c r="J271" s="25">
        <f t="array" ref="J271">SUM(IF("156"&amp;C271=KHC&amp;MH,TH))</f>
        <v>1964400</v>
      </c>
      <c r="K271" s="25">
        <f t="shared" si="18"/>
        <v>0</v>
      </c>
      <c r="L271" s="25">
        <f t="shared" si="19"/>
        <v>0</v>
      </c>
      <c r="M271" s="279"/>
    </row>
    <row r="272" spans="1:13" ht="18.75" customHeight="1">
      <c r="A272" s="279" t="str">
        <f t="shared" si="16"/>
        <v>NL</v>
      </c>
      <c r="B272" s="745">
        <f t="shared" si="17"/>
        <v>261</v>
      </c>
      <c r="C272" s="187" t="s">
        <v>1138</v>
      </c>
      <c r="D272" s="281" t="s">
        <v>338</v>
      </c>
      <c r="E272" s="25">
        <v>36</v>
      </c>
      <c r="F272" s="25">
        <v>437400</v>
      </c>
      <c r="G272" s="25">
        <f t="array" ref="G272">SUM(IF("156"&amp;C272=KHN&amp;MH,SL))</f>
        <v>0</v>
      </c>
      <c r="H272" s="25">
        <f t="array" ref="H272">SUM(IF("156"&amp;C272=KHN&amp;MH,TH))</f>
        <v>0</v>
      </c>
      <c r="I272" s="25">
        <f t="array" ref="I272">SUM(IF("156"&amp;C272=KHC&amp;MH,SL))</f>
        <v>0</v>
      </c>
      <c r="J272" s="25">
        <f t="array" ref="J272">SUM(IF("156"&amp;C272=KHC&amp;MH,TH))</f>
        <v>0</v>
      </c>
      <c r="K272" s="25">
        <f t="shared" si="18"/>
        <v>36</v>
      </c>
      <c r="L272" s="25">
        <f t="shared" si="19"/>
        <v>437400</v>
      </c>
      <c r="M272" s="279"/>
    </row>
    <row r="273" spans="1:13" ht="18.75" hidden="1" customHeight="1">
      <c r="A273" s="279" t="str">
        <f t="shared" si="16"/>
        <v>NL</v>
      </c>
      <c r="B273" s="745">
        <f t="shared" si="17"/>
        <v>262</v>
      </c>
      <c r="C273" s="190" t="s">
        <v>759</v>
      </c>
      <c r="D273" s="281" t="s">
        <v>338</v>
      </c>
      <c r="E273" s="25"/>
      <c r="F273" s="25"/>
      <c r="G273" s="25">
        <f t="array" ref="G273">SUM(IF("156"&amp;C273=KHN&amp;MH,SL))</f>
        <v>200</v>
      </c>
      <c r="H273" s="25">
        <f t="array" ref="H273">SUM(IF("156"&amp;C273=KHN&amp;MH,TH))</f>
        <v>477800</v>
      </c>
      <c r="I273" s="25">
        <f t="array" ref="I273">SUM(IF("156"&amp;C273=KHC&amp;MH,SL))</f>
        <v>200</v>
      </c>
      <c r="J273" s="25">
        <f t="array" ref="J273">SUM(IF("156"&amp;C273=KHC&amp;MH,TH))</f>
        <v>477800</v>
      </c>
      <c r="K273" s="25">
        <f t="shared" si="18"/>
        <v>0</v>
      </c>
      <c r="L273" s="25">
        <f t="shared" si="19"/>
        <v>0</v>
      </c>
      <c r="M273" s="279"/>
    </row>
    <row r="274" spans="1:13" ht="18.75" hidden="1" customHeight="1">
      <c r="A274" s="279" t="str">
        <f t="shared" si="16"/>
        <v>NL</v>
      </c>
      <c r="B274" s="745">
        <f t="shared" si="17"/>
        <v>263</v>
      </c>
      <c r="C274" s="190" t="s">
        <v>1144</v>
      </c>
      <c r="D274" s="281" t="s">
        <v>338</v>
      </c>
      <c r="E274" s="25"/>
      <c r="F274" s="25"/>
      <c r="G274" s="25">
        <f t="array" ref="G274">SUM(IF("156"&amp;C274=KHN&amp;MH,SL))</f>
        <v>182</v>
      </c>
      <c r="H274" s="25">
        <f t="array" ref="H274">SUM(IF("156"&amp;C274=KHN&amp;MH,TH))</f>
        <v>1047000</v>
      </c>
      <c r="I274" s="25">
        <f t="array" ref="I274">SUM(IF("156"&amp;C274=KHC&amp;MH,SL))</f>
        <v>182</v>
      </c>
      <c r="J274" s="25">
        <f t="array" ref="J274">SUM(IF("156"&amp;C274=KHC&amp;MH,TH))</f>
        <v>1047000</v>
      </c>
      <c r="K274" s="25">
        <f t="shared" si="18"/>
        <v>0</v>
      </c>
      <c r="L274" s="25">
        <f t="shared" si="19"/>
        <v>0</v>
      </c>
      <c r="M274" s="279"/>
    </row>
    <row r="275" spans="1:13" ht="18.75" hidden="1" customHeight="1">
      <c r="A275" s="279" t="str">
        <f t="shared" si="16"/>
        <v>NL</v>
      </c>
      <c r="B275" s="745">
        <f t="shared" si="17"/>
        <v>264</v>
      </c>
      <c r="C275" s="190" t="s">
        <v>1207</v>
      </c>
      <c r="D275" s="281" t="s">
        <v>338</v>
      </c>
      <c r="E275" s="25"/>
      <c r="F275" s="25"/>
      <c r="G275" s="25">
        <f t="array" ref="G275">SUM(IF("156"&amp;C275=KHN&amp;MH,SL))</f>
        <v>199</v>
      </c>
      <c r="H275" s="25">
        <f t="array" ref="H275">SUM(IF("156"&amp;C275=KHN&amp;MH,TH))</f>
        <v>229248</v>
      </c>
      <c r="I275" s="25">
        <f t="array" ref="I275">SUM(IF("156"&amp;C275=KHC&amp;MH,SL))</f>
        <v>199</v>
      </c>
      <c r="J275" s="25">
        <f t="array" ref="J275">SUM(IF("156"&amp;C275=KHC&amp;MH,TH))</f>
        <v>229248</v>
      </c>
      <c r="K275" s="25">
        <f t="shared" si="18"/>
        <v>0</v>
      </c>
      <c r="L275" s="25">
        <f t="shared" si="19"/>
        <v>0</v>
      </c>
      <c r="M275" s="279"/>
    </row>
    <row r="276" spans="1:13" ht="18.75" hidden="1" customHeight="1">
      <c r="A276" s="279" t="str">
        <f t="shared" si="16"/>
        <v>NL</v>
      </c>
      <c r="B276" s="745">
        <f t="shared" si="17"/>
        <v>265</v>
      </c>
      <c r="C276" s="190" t="s">
        <v>1208</v>
      </c>
      <c r="D276" s="281" t="s">
        <v>338</v>
      </c>
      <c r="E276" s="25"/>
      <c r="F276" s="25"/>
      <c r="G276" s="25">
        <f t="array" ref="G276">SUM(IF("156"&amp;C276=KHN&amp;MH,SL))</f>
        <v>1912</v>
      </c>
      <c r="H276" s="25">
        <f t="array" ref="H276">SUM(IF("156"&amp;C276=KHN&amp;MH,TH))</f>
        <v>1101312</v>
      </c>
      <c r="I276" s="25">
        <f t="array" ref="I276">SUM(IF("156"&amp;C276=KHC&amp;MH,SL))</f>
        <v>1912</v>
      </c>
      <c r="J276" s="25">
        <f t="array" ref="J276">SUM(IF("156"&amp;C276=KHC&amp;MH,TH))</f>
        <v>1101312</v>
      </c>
      <c r="K276" s="25">
        <f t="shared" si="18"/>
        <v>0</v>
      </c>
      <c r="L276" s="25">
        <f t="shared" si="19"/>
        <v>0</v>
      </c>
      <c r="M276" s="279"/>
    </row>
    <row r="277" spans="1:13" ht="18.75" hidden="1" customHeight="1">
      <c r="A277" s="279" t="str">
        <f t="shared" si="16"/>
        <v>NL</v>
      </c>
      <c r="B277" s="745">
        <f t="shared" si="17"/>
        <v>266</v>
      </c>
      <c r="C277" s="190" t="s">
        <v>1187</v>
      </c>
      <c r="D277" s="281" t="s">
        <v>338</v>
      </c>
      <c r="E277" s="25"/>
      <c r="F277" s="25"/>
      <c r="G277" s="25">
        <f t="array" ref="G277">SUM(IF("156"&amp;C277=KHN&amp;MH,SL))</f>
        <v>6000</v>
      </c>
      <c r="H277" s="25">
        <f t="array" ref="H277">SUM(IF("156"&amp;C277=KHN&amp;MH,TH))</f>
        <v>1230000</v>
      </c>
      <c r="I277" s="25">
        <f t="array" ref="I277">SUM(IF("156"&amp;C277=KHC&amp;MH,SL))</f>
        <v>6000</v>
      </c>
      <c r="J277" s="25">
        <f t="array" ref="J277">SUM(IF("156"&amp;C277=KHC&amp;MH,TH))</f>
        <v>1230000</v>
      </c>
      <c r="K277" s="25">
        <f t="shared" si="18"/>
        <v>0</v>
      </c>
      <c r="L277" s="25">
        <f t="shared" si="19"/>
        <v>0</v>
      </c>
      <c r="M277" s="279"/>
    </row>
    <row r="278" spans="1:13" ht="18.75" hidden="1" customHeight="1">
      <c r="A278" s="279" t="str">
        <f t="shared" si="16"/>
        <v>NL</v>
      </c>
      <c r="B278" s="745">
        <f t="shared" si="17"/>
        <v>267</v>
      </c>
      <c r="C278" s="190" t="s">
        <v>935</v>
      </c>
      <c r="D278" s="281" t="s">
        <v>395</v>
      </c>
      <c r="E278" s="25"/>
      <c r="F278" s="25"/>
      <c r="G278" s="25">
        <f t="array" ref="G278">SUM(IF("156"&amp;C278=KHN&amp;MH,SL))</f>
        <v>30</v>
      </c>
      <c r="H278" s="25">
        <f t="array" ref="H278">SUM(IF("156"&amp;C278=KHN&amp;MH,TH))</f>
        <v>876690</v>
      </c>
      <c r="I278" s="25">
        <f t="array" ref="I278">SUM(IF("156"&amp;C278=KHC&amp;MH,SL))</f>
        <v>30</v>
      </c>
      <c r="J278" s="25">
        <f t="array" ref="J278">SUM(IF("156"&amp;C278=KHC&amp;MH,TH))</f>
        <v>876690</v>
      </c>
      <c r="K278" s="25">
        <f t="shared" si="18"/>
        <v>0</v>
      </c>
      <c r="L278" s="25">
        <f t="shared" si="19"/>
        <v>0</v>
      </c>
      <c r="M278" s="279"/>
    </row>
    <row r="279" spans="1:13" ht="18.75" hidden="1" customHeight="1">
      <c r="A279" s="279" t="str">
        <f t="shared" si="16"/>
        <v>NL</v>
      </c>
      <c r="B279" s="745">
        <f t="shared" si="17"/>
        <v>268</v>
      </c>
      <c r="C279" s="187" t="s">
        <v>1139</v>
      </c>
      <c r="D279" s="281" t="s">
        <v>395</v>
      </c>
      <c r="E279" s="25">
        <v>15</v>
      </c>
      <c r="F279" s="25">
        <v>375000</v>
      </c>
      <c r="G279" s="25">
        <f t="array" ref="G279">SUM(IF("156"&amp;C279=KHN&amp;MH,SL))</f>
        <v>0</v>
      </c>
      <c r="H279" s="25">
        <f t="array" ref="H279">SUM(IF("156"&amp;C279=KHN&amp;MH,TH))</f>
        <v>0</v>
      </c>
      <c r="I279" s="25">
        <f t="array" ref="I279">SUM(IF("156"&amp;C279=KHC&amp;MH,SL))</f>
        <v>15</v>
      </c>
      <c r="J279" s="25">
        <f t="array" ref="J279">SUM(IF("156"&amp;C279=KHC&amp;MH,TH))</f>
        <v>375000</v>
      </c>
      <c r="K279" s="25">
        <f t="shared" si="18"/>
        <v>0</v>
      </c>
      <c r="L279" s="25">
        <f t="shared" si="19"/>
        <v>0</v>
      </c>
      <c r="M279" s="279"/>
    </row>
    <row r="280" spans="1:13" ht="18.75" hidden="1" customHeight="1">
      <c r="A280" s="279" t="str">
        <f t="shared" si="16"/>
        <v>NL</v>
      </c>
      <c r="B280" s="745">
        <f t="shared" si="17"/>
        <v>269</v>
      </c>
      <c r="C280" s="190" t="s">
        <v>933</v>
      </c>
      <c r="D280" s="281" t="s">
        <v>395</v>
      </c>
      <c r="E280" s="25"/>
      <c r="F280" s="25"/>
      <c r="G280" s="25">
        <f t="array" ref="G280">SUM(IF("156"&amp;C280=KHN&amp;MH,SL))</f>
        <v>271</v>
      </c>
      <c r="H280" s="25">
        <f t="array" ref="H280">SUM(IF("156"&amp;C280=KHN&amp;MH,TH))</f>
        <v>9033141</v>
      </c>
      <c r="I280" s="25">
        <f t="array" ref="I280">SUM(IF("156"&amp;C280=KHC&amp;MH,SL))</f>
        <v>271</v>
      </c>
      <c r="J280" s="25">
        <f t="array" ref="J280">SUM(IF("156"&amp;C280=KHC&amp;MH,TH))</f>
        <v>9033141</v>
      </c>
      <c r="K280" s="25">
        <f t="shared" si="18"/>
        <v>0</v>
      </c>
      <c r="L280" s="25">
        <f t="shared" si="19"/>
        <v>0</v>
      </c>
      <c r="M280" s="279"/>
    </row>
    <row r="281" spans="1:13" ht="18.75" hidden="1" customHeight="1">
      <c r="A281" s="279" t="str">
        <f t="shared" si="16"/>
        <v>NL</v>
      </c>
      <c r="B281" s="745">
        <f t="shared" si="17"/>
        <v>270</v>
      </c>
      <c r="C281" s="772" t="s">
        <v>932</v>
      </c>
      <c r="D281" s="281" t="s">
        <v>395</v>
      </c>
      <c r="E281" s="25"/>
      <c r="F281" s="25"/>
      <c r="G281" s="25">
        <f t="array" ref="G281">SUM(IF("156"&amp;C281=KHN&amp;MH,SL))</f>
        <v>133</v>
      </c>
      <c r="H281" s="25">
        <f t="array" ref="H281">SUM(IF("156"&amp;C281=KHN&amp;MH,TH))</f>
        <v>9288055</v>
      </c>
      <c r="I281" s="25">
        <f t="array" ref="I281">SUM(IF("156"&amp;C281=KHC&amp;MH,SL))</f>
        <v>133</v>
      </c>
      <c r="J281" s="25">
        <f t="array" ref="J281">SUM(IF("156"&amp;C281=KHC&amp;MH,TH))</f>
        <v>9288055</v>
      </c>
      <c r="K281" s="25">
        <f t="shared" si="18"/>
        <v>0</v>
      </c>
      <c r="L281" s="25">
        <f t="shared" si="19"/>
        <v>0</v>
      </c>
      <c r="M281" s="279"/>
    </row>
    <row r="282" spans="1:13" ht="18.75" hidden="1" customHeight="1">
      <c r="A282" s="279" t="str">
        <f t="shared" si="16"/>
        <v>NL</v>
      </c>
      <c r="B282" s="745">
        <f t="shared" si="17"/>
        <v>271</v>
      </c>
      <c r="C282" s="190" t="s">
        <v>934</v>
      </c>
      <c r="D282" s="281" t="s">
        <v>395</v>
      </c>
      <c r="E282" s="25"/>
      <c r="F282" s="25"/>
      <c r="G282" s="25">
        <f t="array" ref="G282">SUM(IF("156"&amp;C282=KHN&amp;MH,SL))</f>
        <v>647</v>
      </c>
      <c r="H282" s="25">
        <f t="array" ref="H282">SUM(IF("156"&amp;C282=KHN&amp;MH,TH))</f>
        <v>8108204</v>
      </c>
      <c r="I282" s="25">
        <f t="array" ref="I282">SUM(IF("156"&amp;C282=KHC&amp;MH,SL))</f>
        <v>647</v>
      </c>
      <c r="J282" s="25">
        <f t="array" ref="J282">SUM(IF("156"&amp;C282=KHC&amp;MH,TH))</f>
        <v>8108204</v>
      </c>
      <c r="K282" s="25">
        <f t="shared" si="18"/>
        <v>0</v>
      </c>
      <c r="L282" s="25">
        <f t="shared" si="19"/>
        <v>0</v>
      </c>
      <c r="M282" s="279"/>
    </row>
    <row r="283" spans="1:13" ht="18.75" hidden="1" customHeight="1">
      <c r="A283" s="279" t="str">
        <f t="shared" si="16"/>
        <v>NL</v>
      </c>
      <c r="B283" s="745">
        <f t="shared" si="17"/>
        <v>272</v>
      </c>
      <c r="C283" s="190" t="s">
        <v>955</v>
      </c>
      <c r="D283" s="281" t="s">
        <v>395</v>
      </c>
      <c r="E283" s="25"/>
      <c r="F283" s="25"/>
      <c r="G283" s="25">
        <f t="array" ref="G283">SUM(IF("156"&amp;C283=KHN&amp;MH,SL))</f>
        <v>0</v>
      </c>
      <c r="H283" s="25">
        <f t="array" ref="H283">SUM(IF("156"&amp;C283=KHN&amp;MH,TH))</f>
        <v>0</v>
      </c>
      <c r="I283" s="25">
        <f t="array" ref="I283">SUM(IF("156"&amp;C283=KHC&amp;MH,SL))</f>
        <v>0</v>
      </c>
      <c r="J283" s="25">
        <f t="array" ref="J283">SUM(IF("156"&amp;C283=KHC&amp;MH,TH))</f>
        <v>0</v>
      </c>
      <c r="K283" s="25">
        <f t="shared" si="18"/>
        <v>0</v>
      </c>
      <c r="L283" s="25">
        <f t="shared" si="19"/>
        <v>0</v>
      </c>
      <c r="M283" s="279"/>
    </row>
    <row r="284" spans="1:13" ht="18.75" hidden="1" customHeight="1">
      <c r="A284" s="279" t="str">
        <f t="shared" si="16"/>
        <v>NL</v>
      </c>
      <c r="B284" s="745">
        <f t="shared" si="17"/>
        <v>273</v>
      </c>
      <c r="C284" s="190" t="s">
        <v>952</v>
      </c>
      <c r="D284" s="281" t="s">
        <v>395</v>
      </c>
      <c r="E284" s="25"/>
      <c r="F284" s="25"/>
      <c r="G284" s="25">
        <f t="array" ref="G284">SUM(IF("156"&amp;C284=KHN&amp;MH,SL))</f>
        <v>1500</v>
      </c>
      <c r="H284" s="25">
        <f t="array" ref="H284">SUM(IF("156"&amp;C284=KHN&amp;MH,TH))</f>
        <v>17746500</v>
      </c>
      <c r="I284" s="25">
        <f t="array" ref="I284">SUM(IF("156"&amp;C284=KHC&amp;MH,SL))</f>
        <v>1500</v>
      </c>
      <c r="J284" s="25">
        <f t="array" ref="J284">SUM(IF("156"&amp;C284=KHC&amp;MH,TH))</f>
        <v>17746500</v>
      </c>
      <c r="K284" s="25">
        <f t="shared" si="18"/>
        <v>0</v>
      </c>
      <c r="L284" s="25">
        <f t="shared" si="19"/>
        <v>0</v>
      </c>
      <c r="M284" s="279"/>
    </row>
    <row r="285" spans="1:13" ht="18.75" hidden="1" customHeight="1">
      <c r="A285" s="279" t="str">
        <f t="shared" si="16"/>
        <v>NL</v>
      </c>
      <c r="B285" s="745">
        <f t="shared" si="17"/>
        <v>274</v>
      </c>
      <c r="C285" s="190" t="s">
        <v>937</v>
      </c>
      <c r="D285" s="281" t="s">
        <v>395</v>
      </c>
      <c r="E285" s="25"/>
      <c r="F285" s="25"/>
      <c r="G285" s="25">
        <f t="array" ref="G285">SUM(IF("156"&amp;C285=KHN&amp;MH,SL))</f>
        <v>60</v>
      </c>
      <c r="H285" s="25">
        <f t="array" ref="H285">SUM(IF("156"&amp;C285=KHN&amp;MH,TH))</f>
        <v>890460</v>
      </c>
      <c r="I285" s="25">
        <f t="array" ref="I285">SUM(IF("156"&amp;C285=KHC&amp;MH,SL))</f>
        <v>60</v>
      </c>
      <c r="J285" s="25">
        <f t="array" ref="J285">SUM(IF("156"&amp;C285=KHC&amp;MH,TH))</f>
        <v>890460</v>
      </c>
      <c r="K285" s="25">
        <f t="shared" si="18"/>
        <v>0</v>
      </c>
      <c r="L285" s="25">
        <f t="shared" si="19"/>
        <v>0</v>
      </c>
      <c r="M285" s="279"/>
    </row>
    <row r="286" spans="1:13" ht="18.75" hidden="1" customHeight="1">
      <c r="A286" s="279" t="str">
        <f t="shared" si="16"/>
        <v>NL</v>
      </c>
      <c r="B286" s="745">
        <f t="shared" si="17"/>
        <v>275</v>
      </c>
      <c r="C286" s="190" t="s">
        <v>938</v>
      </c>
      <c r="D286" s="281" t="s">
        <v>395</v>
      </c>
      <c r="E286" s="25"/>
      <c r="F286" s="25"/>
      <c r="G286" s="25">
        <f t="array" ref="G286">SUM(IF("156"&amp;C286=KHN&amp;MH,SL))</f>
        <v>60</v>
      </c>
      <c r="H286" s="25">
        <f t="array" ref="H286">SUM(IF("156"&amp;C286=KHN&amp;MH,TH))</f>
        <v>1047600</v>
      </c>
      <c r="I286" s="25">
        <f t="array" ref="I286">SUM(IF("156"&amp;C286=KHC&amp;MH,SL))</f>
        <v>60</v>
      </c>
      <c r="J286" s="25">
        <f t="array" ref="J286">SUM(IF("156"&amp;C286=KHC&amp;MH,TH))</f>
        <v>1047600</v>
      </c>
      <c r="K286" s="25">
        <f t="shared" si="18"/>
        <v>0</v>
      </c>
      <c r="L286" s="25">
        <f t="shared" si="19"/>
        <v>0</v>
      </c>
      <c r="M286" s="279"/>
    </row>
    <row r="287" spans="1:13" ht="18.75" hidden="1" customHeight="1">
      <c r="A287" s="279" t="str">
        <f t="shared" si="16"/>
        <v>NL</v>
      </c>
      <c r="B287" s="745">
        <f t="shared" si="17"/>
        <v>276</v>
      </c>
      <c r="C287" s="190" t="s">
        <v>909</v>
      </c>
      <c r="D287" s="281" t="s">
        <v>395</v>
      </c>
      <c r="E287" s="25"/>
      <c r="F287" s="25"/>
      <c r="G287" s="25">
        <f t="array" ref="G287">SUM(IF("156"&amp;C287=KHN&amp;MH,SL))</f>
        <v>40</v>
      </c>
      <c r="H287" s="25">
        <f t="array" ref="H287">SUM(IF("156"&amp;C287=KHN&amp;MH,TH))</f>
        <v>847440</v>
      </c>
      <c r="I287" s="25">
        <f t="array" ref="I287">SUM(IF("156"&amp;C287=KHC&amp;MH,SL))</f>
        <v>40</v>
      </c>
      <c r="J287" s="25">
        <f t="array" ref="J287">SUM(IF("156"&amp;C287=KHC&amp;MH,TH))</f>
        <v>847440</v>
      </c>
      <c r="K287" s="25">
        <f t="shared" si="18"/>
        <v>0</v>
      </c>
      <c r="L287" s="25">
        <f t="shared" si="19"/>
        <v>0</v>
      </c>
      <c r="M287" s="279"/>
    </row>
    <row r="288" spans="1:13" ht="18.75" hidden="1" customHeight="1">
      <c r="A288" s="279" t="str">
        <f t="shared" si="16"/>
        <v>NL</v>
      </c>
      <c r="B288" s="745">
        <f t="shared" si="17"/>
        <v>277</v>
      </c>
      <c r="C288" s="190" t="s">
        <v>939</v>
      </c>
      <c r="D288" s="281" t="s">
        <v>395</v>
      </c>
      <c r="E288" s="25"/>
      <c r="F288" s="25"/>
      <c r="G288" s="25">
        <f t="array" ref="G288">SUM(IF("156"&amp;C288=KHN&amp;MH,SL))</f>
        <v>60</v>
      </c>
      <c r="H288" s="25">
        <f t="array" ref="H288">SUM(IF("156"&amp;C288=KHN&amp;MH,TH))</f>
        <v>1317600</v>
      </c>
      <c r="I288" s="25">
        <f t="array" ref="I288">SUM(IF("156"&amp;C288=KHC&amp;MH,SL))</f>
        <v>60</v>
      </c>
      <c r="J288" s="25">
        <f t="array" ref="J288">SUM(IF("156"&amp;C288=KHC&amp;MH,TH))</f>
        <v>1317600</v>
      </c>
      <c r="K288" s="25">
        <f t="shared" si="18"/>
        <v>0</v>
      </c>
      <c r="L288" s="25">
        <f t="shared" si="19"/>
        <v>0</v>
      </c>
      <c r="M288" s="279"/>
    </row>
    <row r="289" spans="1:13" ht="18.75" hidden="1" customHeight="1">
      <c r="A289" s="279" t="str">
        <f t="shared" si="16"/>
        <v>NL</v>
      </c>
      <c r="B289" s="745">
        <f t="shared" si="17"/>
        <v>278</v>
      </c>
      <c r="C289" s="190" t="s">
        <v>956</v>
      </c>
      <c r="D289" s="281" t="s">
        <v>395</v>
      </c>
      <c r="E289" s="25"/>
      <c r="F289" s="25"/>
      <c r="G289" s="25">
        <f t="array" ref="G289">SUM(IF("156"&amp;C289=KHN&amp;MH,SL))</f>
        <v>55</v>
      </c>
      <c r="H289" s="25">
        <f t="array" ref="H289">SUM(IF("156"&amp;C289=KHN&amp;MH,TH))</f>
        <v>629365</v>
      </c>
      <c r="I289" s="25">
        <f t="array" ref="I289">SUM(IF("156"&amp;C289=KHC&amp;MH,SL))</f>
        <v>55</v>
      </c>
      <c r="J289" s="25">
        <f t="array" ref="J289">SUM(IF("156"&amp;C289=KHC&amp;MH,TH))</f>
        <v>629365</v>
      </c>
      <c r="K289" s="25">
        <f t="shared" si="18"/>
        <v>0</v>
      </c>
      <c r="L289" s="25">
        <f t="shared" si="19"/>
        <v>0</v>
      </c>
      <c r="M289" s="279"/>
    </row>
    <row r="290" spans="1:13" ht="18.75" hidden="1" customHeight="1">
      <c r="A290" s="279" t="str">
        <f t="shared" si="16"/>
        <v>NL</v>
      </c>
      <c r="B290" s="745">
        <f t="shared" si="17"/>
        <v>279</v>
      </c>
      <c r="C290" s="190" t="s">
        <v>936</v>
      </c>
      <c r="D290" s="281" t="s">
        <v>395</v>
      </c>
      <c r="E290" s="25"/>
      <c r="F290" s="25"/>
      <c r="G290" s="25">
        <f t="array" ref="G290">SUM(IF("156"&amp;C290=KHN&amp;MH,SL))</f>
        <v>30</v>
      </c>
      <c r="H290" s="25">
        <f t="array" ref="H290">SUM(IF("156"&amp;C290=KHN&amp;MH,TH))</f>
        <v>596700</v>
      </c>
      <c r="I290" s="25">
        <f t="array" ref="I290">SUM(IF("156"&amp;C290=KHC&amp;MH,SL))</f>
        <v>30</v>
      </c>
      <c r="J290" s="25">
        <f t="array" ref="J290">SUM(IF("156"&amp;C290=KHC&amp;MH,TH))</f>
        <v>596700</v>
      </c>
      <c r="K290" s="25">
        <f t="shared" si="18"/>
        <v>0</v>
      </c>
      <c r="L290" s="25">
        <f t="shared" si="19"/>
        <v>0</v>
      </c>
      <c r="M290" s="279"/>
    </row>
    <row r="291" spans="1:13" ht="18.75" hidden="1" customHeight="1">
      <c r="A291" s="279" t="str">
        <f t="shared" si="16"/>
        <v>NL</v>
      </c>
      <c r="B291" s="745">
        <f t="shared" si="17"/>
        <v>280</v>
      </c>
      <c r="C291" s="187" t="s">
        <v>504</v>
      </c>
      <c r="D291" s="281" t="s">
        <v>395</v>
      </c>
      <c r="E291" s="25"/>
      <c r="F291" s="25"/>
      <c r="G291" s="25">
        <f t="array" ref="G291">SUM(IF("156"&amp;C291=KHN&amp;MH,SL))</f>
        <v>700</v>
      </c>
      <c r="H291" s="25">
        <f t="array" ref="H291">SUM(IF("156"&amp;C291=KHN&amp;MH,TH))</f>
        <v>6314700</v>
      </c>
      <c r="I291" s="25">
        <f t="array" ref="I291">SUM(IF("156"&amp;C291=KHC&amp;MH,SL))</f>
        <v>700</v>
      </c>
      <c r="J291" s="25">
        <f t="array" ref="J291">SUM(IF("156"&amp;C291=KHC&amp;MH,TH))</f>
        <v>6314700</v>
      </c>
      <c r="K291" s="25">
        <f t="shared" si="18"/>
        <v>0</v>
      </c>
      <c r="L291" s="25">
        <f t="shared" si="19"/>
        <v>0</v>
      </c>
      <c r="M291" s="279"/>
    </row>
    <row r="292" spans="1:13" ht="18.75" hidden="1" customHeight="1">
      <c r="A292" s="279" t="str">
        <f t="shared" si="16"/>
        <v>NL</v>
      </c>
      <c r="B292" s="745">
        <f t="shared" si="17"/>
        <v>281</v>
      </c>
      <c r="C292" s="190" t="s">
        <v>1234</v>
      </c>
      <c r="D292" s="281" t="s">
        <v>395</v>
      </c>
      <c r="E292" s="25"/>
      <c r="F292" s="25"/>
      <c r="G292" s="25">
        <f t="array" ref="G292">SUM(IF("156"&amp;C292=KHN&amp;MH,SL))</f>
        <v>9846</v>
      </c>
      <c r="H292" s="25">
        <f t="array" ref="H292">SUM(IF("156"&amp;C292=KHN&amp;MH,TH))</f>
        <v>10289070</v>
      </c>
      <c r="I292" s="25">
        <f t="array" ref="I292">SUM(IF("156"&amp;C292=KHC&amp;MH,SL))</f>
        <v>9846</v>
      </c>
      <c r="J292" s="25">
        <f t="array" ref="J292">SUM(IF("156"&amp;C292=KHC&amp;MH,TH))</f>
        <v>10289070</v>
      </c>
      <c r="K292" s="25">
        <f t="shared" si="18"/>
        <v>0</v>
      </c>
      <c r="L292" s="25">
        <f t="shared" si="19"/>
        <v>0</v>
      </c>
      <c r="M292" s="279"/>
    </row>
    <row r="293" spans="1:13" ht="18.75" hidden="1" customHeight="1">
      <c r="A293" s="279" t="str">
        <f t="shared" si="16"/>
        <v>NL</v>
      </c>
      <c r="B293" s="745">
        <f t="shared" si="17"/>
        <v>282</v>
      </c>
      <c r="C293" s="190" t="s">
        <v>1202</v>
      </c>
      <c r="D293" s="281" t="s">
        <v>395</v>
      </c>
      <c r="E293" s="25"/>
      <c r="F293" s="25"/>
      <c r="G293" s="25">
        <f t="array" ref="G293">SUM(IF("156"&amp;C293=KHN&amp;MH,SL))</f>
        <v>50</v>
      </c>
      <c r="H293" s="25">
        <f t="array" ref="H293">SUM(IF("156"&amp;C293=KHN&amp;MH,TH))</f>
        <v>492916</v>
      </c>
      <c r="I293" s="25">
        <f t="array" ref="I293">SUM(IF("156"&amp;C293=KHC&amp;MH,SL))</f>
        <v>50</v>
      </c>
      <c r="J293" s="25">
        <f t="array" ref="J293">SUM(IF("156"&amp;C293=KHC&amp;MH,TH))</f>
        <v>492916</v>
      </c>
      <c r="K293" s="25">
        <f t="shared" si="18"/>
        <v>0</v>
      </c>
      <c r="L293" s="25">
        <f t="shared" si="19"/>
        <v>0</v>
      </c>
      <c r="M293" s="279"/>
    </row>
    <row r="294" spans="1:13" ht="18.75" hidden="1" customHeight="1">
      <c r="A294" s="279" t="str">
        <f t="shared" si="16"/>
        <v>NL</v>
      </c>
      <c r="B294" s="745">
        <f t="shared" si="17"/>
        <v>283</v>
      </c>
      <c r="C294" s="187" t="s">
        <v>505</v>
      </c>
      <c r="D294" s="281" t="s">
        <v>395</v>
      </c>
      <c r="E294" s="25"/>
      <c r="F294" s="25"/>
      <c r="G294" s="25">
        <f t="array" ref="G294">SUM(IF("156"&amp;C294=KHN&amp;MH,SL))</f>
        <v>2000</v>
      </c>
      <c r="H294" s="25">
        <f t="array" ref="H294">SUM(IF("156"&amp;C294=KHN&amp;MH,TH))</f>
        <v>3906000</v>
      </c>
      <c r="I294" s="25">
        <f t="array" ref="I294">SUM(IF("156"&amp;C294=KHC&amp;MH,SL))</f>
        <v>2000</v>
      </c>
      <c r="J294" s="25">
        <f t="array" ref="J294">SUM(IF("156"&amp;C294=KHC&amp;MH,TH))</f>
        <v>3906000</v>
      </c>
      <c r="K294" s="25">
        <f t="shared" si="18"/>
        <v>0</v>
      </c>
      <c r="L294" s="25">
        <f t="shared" si="19"/>
        <v>0</v>
      </c>
      <c r="M294" s="279"/>
    </row>
    <row r="295" spans="1:13" ht="18.75" hidden="1" customHeight="1">
      <c r="A295" s="279" t="str">
        <f t="shared" si="16"/>
        <v>NL</v>
      </c>
      <c r="B295" s="745">
        <f t="shared" si="17"/>
        <v>284</v>
      </c>
      <c r="C295" s="187" t="s">
        <v>503</v>
      </c>
      <c r="D295" s="281" t="s">
        <v>395</v>
      </c>
      <c r="E295" s="25"/>
      <c r="F295" s="25"/>
      <c r="G295" s="25">
        <f t="array" ref="G295">SUM(IF("156"&amp;C295=KHN&amp;MH,SL))</f>
        <v>752</v>
      </c>
      <c r="H295" s="25">
        <f t="array" ref="H295">SUM(IF("156"&amp;C295=KHN&amp;MH,TH))</f>
        <v>1983176</v>
      </c>
      <c r="I295" s="25">
        <f t="array" ref="I295">SUM(IF("156"&amp;C295=KHC&amp;MH,SL))</f>
        <v>752</v>
      </c>
      <c r="J295" s="25">
        <f t="array" ref="J295">SUM(IF("156"&amp;C295=KHC&amp;MH,TH))</f>
        <v>1983176</v>
      </c>
      <c r="K295" s="25">
        <f t="shared" si="18"/>
        <v>0</v>
      </c>
      <c r="L295" s="25">
        <f t="shared" si="19"/>
        <v>0</v>
      </c>
      <c r="M295" s="279"/>
    </row>
    <row r="296" spans="1:13" ht="18.75" hidden="1" customHeight="1">
      <c r="A296" s="279" t="str">
        <f t="shared" si="16"/>
        <v>NL</v>
      </c>
      <c r="B296" s="745">
        <f t="shared" si="17"/>
        <v>285</v>
      </c>
      <c r="C296" s="187" t="s">
        <v>500</v>
      </c>
      <c r="D296" s="281" t="s">
        <v>395</v>
      </c>
      <c r="E296" s="25"/>
      <c r="F296" s="25"/>
      <c r="G296" s="25">
        <f t="array" ref="G296">SUM(IF("156"&amp;C296=KHN&amp;MH,SL))</f>
        <v>700</v>
      </c>
      <c r="H296" s="25">
        <f t="array" ref="H296">SUM(IF("156"&amp;C296=KHN&amp;MH,TH))</f>
        <v>2018100</v>
      </c>
      <c r="I296" s="25">
        <f t="array" ref="I296">SUM(IF("156"&amp;C296=KHC&amp;MH,SL))</f>
        <v>700</v>
      </c>
      <c r="J296" s="25">
        <f t="array" ref="J296">SUM(IF("156"&amp;C296=KHC&amp;MH,TH))</f>
        <v>2018100</v>
      </c>
      <c r="K296" s="25">
        <f t="shared" si="18"/>
        <v>0</v>
      </c>
      <c r="L296" s="25">
        <f t="shared" si="19"/>
        <v>0</v>
      </c>
      <c r="M296" s="279"/>
    </row>
    <row r="297" spans="1:13" ht="18.75" hidden="1" customHeight="1">
      <c r="A297" s="279" t="str">
        <f t="shared" si="16"/>
        <v>NL</v>
      </c>
      <c r="B297" s="745">
        <f t="shared" si="17"/>
        <v>286</v>
      </c>
      <c r="C297" s="190" t="s">
        <v>1206</v>
      </c>
      <c r="D297" s="281" t="s">
        <v>395</v>
      </c>
      <c r="E297" s="25"/>
      <c r="F297" s="25"/>
      <c r="G297" s="25">
        <f t="array" ref="G297">SUM(IF("156"&amp;C297=KHN&amp;MH,SL))</f>
        <v>750</v>
      </c>
      <c r="H297" s="25">
        <f t="array" ref="H297">SUM(IF("156"&amp;C297=KHN&amp;MH,TH))</f>
        <v>4901577</v>
      </c>
      <c r="I297" s="25">
        <f t="array" ref="I297">SUM(IF("156"&amp;C297=KHC&amp;MH,SL))</f>
        <v>750</v>
      </c>
      <c r="J297" s="25">
        <f t="array" ref="J297">SUM(IF("156"&amp;C297=KHC&amp;MH,TH))</f>
        <v>4901577</v>
      </c>
      <c r="K297" s="25">
        <f t="shared" si="18"/>
        <v>0</v>
      </c>
      <c r="L297" s="25">
        <f t="shared" si="19"/>
        <v>0</v>
      </c>
      <c r="M297" s="279"/>
    </row>
    <row r="298" spans="1:13" ht="18.75" hidden="1" customHeight="1">
      <c r="A298" s="279" t="str">
        <f t="shared" si="16"/>
        <v>NL</v>
      </c>
      <c r="B298" s="745">
        <f t="shared" si="17"/>
        <v>287</v>
      </c>
      <c r="C298" s="190" t="s">
        <v>501</v>
      </c>
      <c r="D298" s="281" t="s">
        <v>395</v>
      </c>
      <c r="E298" s="25"/>
      <c r="F298" s="25"/>
      <c r="G298" s="25">
        <f t="array" ref="G298">SUM(IF("156"&amp;C298=KHN&amp;MH,SL))</f>
        <v>700</v>
      </c>
      <c r="H298" s="25">
        <f t="array" ref="H298">SUM(IF("156"&amp;C298=KHN&amp;MH,TH))</f>
        <v>4426800</v>
      </c>
      <c r="I298" s="25">
        <f t="array" ref="I298">SUM(IF("156"&amp;C298=KHC&amp;MH,SL))</f>
        <v>700</v>
      </c>
      <c r="J298" s="25">
        <f t="array" ref="J298">SUM(IF("156"&amp;C298=KHC&amp;MH,TH))</f>
        <v>4426800</v>
      </c>
      <c r="K298" s="25">
        <f t="shared" si="18"/>
        <v>0</v>
      </c>
      <c r="L298" s="25">
        <f t="shared" si="19"/>
        <v>0</v>
      </c>
      <c r="M298" s="279"/>
    </row>
    <row r="299" spans="1:13" ht="18.75" hidden="1" customHeight="1">
      <c r="A299" s="279" t="str">
        <f t="shared" si="16"/>
        <v>NL</v>
      </c>
      <c r="B299" s="745">
        <f t="shared" si="17"/>
        <v>288</v>
      </c>
      <c r="C299" s="190" t="s">
        <v>693</v>
      </c>
      <c r="D299" s="281" t="s">
        <v>395</v>
      </c>
      <c r="E299" s="25"/>
      <c r="F299" s="25"/>
      <c r="G299" s="25">
        <f t="array" ref="G299">SUM(IF("156"&amp;C299=KHN&amp;MH,SL))</f>
        <v>200</v>
      </c>
      <c r="H299" s="25">
        <f t="array" ref="H299">SUM(IF("156"&amp;C299=KHN&amp;MH,TH))</f>
        <v>1152000</v>
      </c>
      <c r="I299" s="25">
        <f t="array" ref="I299">SUM(IF("156"&amp;C299=KHC&amp;MH,SL))</f>
        <v>200</v>
      </c>
      <c r="J299" s="25">
        <f t="array" ref="J299">SUM(IF("156"&amp;C299=KHC&amp;MH,TH))</f>
        <v>1152000</v>
      </c>
      <c r="K299" s="25">
        <f t="shared" si="18"/>
        <v>0</v>
      </c>
      <c r="L299" s="25">
        <f t="shared" si="19"/>
        <v>0</v>
      </c>
      <c r="M299" s="279"/>
    </row>
    <row r="300" spans="1:13" ht="18.75" hidden="1" customHeight="1">
      <c r="A300" s="279" t="str">
        <f t="shared" si="16"/>
        <v>NL</v>
      </c>
      <c r="B300" s="745">
        <f t="shared" si="17"/>
        <v>289</v>
      </c>
      <c r="C300" s="190" t="s">
        <v>1260</v>
      </c>
      <c r="D300" s="281" t="s">
        <v>395</v>
      </c>
      <c r="E300" s="25"/>
      <c r="F300" s="25"/>
      <c r="G300" s="25">
        <f t="array" ref="G300">SUM(IF("156"&amp;C300=KHN&amp;MH,SL))</f>
        <v>1000</v>
      </c>
      <c r="H300" s="25">
        <f t="array" ref="H300">SUM(IF("156"&amp;C300=KHN&amp;MH,TH))</f>
        <v>6045000</v>
      </c>
      <c r="I300" s="25">
        <f t="array" ref="I300">SUM(IF("156"&amp;C300=KHC&amp;MH,SL))</f>
        <v>1000</v>
      </c>
      <c r="J300" s="25">
        <f t="array" ref="J300">SUM(IF("156"&amp;C300=KHC&amp;MH,TH))</f>
        <v>6045000</v>
      </c>
      <c r="K300" s="25">
        <f t="shared" si="18"/>
        <v>0</v>
      </c>
      <c r="L300" s="25">
        <f t="shared" si="19"/>
        <v>0</v>
      </c>
      <c r="M300" s="279"/>
    </row>
    <row r="301" spans="1:13" ht="18.75" hidden="1" customHeight="1">
      <c r="A301" s="279" t="str">
        <f t="shared" si="16"/>
        <v>NL</v>
      </c>
      <c r="B301" s="745">
        <f t="shared" si="17"/>
        <v>290</v>
      </c>
      <c r="C301" s="190" t="s">
        <v>896</v>
      </c>
      <c r="D301" s="281" t="s">
        <v>395</v>
      </c>
      <c r="E301" s="25"/>
      <c r="F301" s="25"/>
      <c r="G301" s="25">
        <f t="array" ref="G301">SUM(IF("156"&amp;C301=KHN&amp;MH,SL))</f>
        <v>110</v>
      </c>
      <c r="H301" s="25">
        <f t="array" ref="H301">SUM(IF("156"&amp;C301=KHN&amp;MH,TH))</f>
        <v>844800</v>
      </c>
      <c r="I301" s="25">
        <f t="array" ref="I301">SUM(IF("156"&amp;C301=KHC&amp;MH,SL))</f>
        <v>110</v>
      </c>
      <c r="J301" s="25">
        <f t="array" ref="J301">SUM(IF("156"&amp;C301=KHC&amp;MH,TH))</f>
        <v>844800</v>
      </c>
      <c r="K301" s="25">
        <f t="shared" si="18"/>
        <v>0</v>
      </c>
      <c r="L301" s="25">
        <f t="shared" si="19"/>
        <v>0</v>
      </c>
      <c r="M301" s="279"/>
    </row>
    <row r="302" spans="1:13" ht="18.75" hidden="1" customHeight="1">
      <c r="A302" s="279" t="str">
        <f t="shared" si="16"/>
        <v>NL</v>
      </c>
      <c r="B302" s="745">
        <f t="shared" si="17"/>
        <v>291</v>
      </c>
      <c r="C302" s="190" t="s">
        <v>895</v>
      </c>
      <c r="D302" s="281" t="s">
        <v>395</v>
      </c>
      <c r="E302" s="25"/>
      <c r="F302" s="25"/>
      <c r="G302" s="25">
        <f t="array" ref="G302">SUM(IF("156"&amp;C302=KHN&amp;MH,SL))</f>
        <v>106</v>
      </c>
      <c r="H302" s="25">
        <f t="array" ref="H302">SUM(IF("156"&amp;C302=KHN&amp;MH,TH))</f>
        <v>1014526</v>
      </c>
      <c r="I302" s="25">
        <f t="array" ref="I302">SUM(IF("156"&amp;C302=KHC&amp;MH,SL))</f>
        <v>106</v>
      </c>
      <c r="J302" s="25">
        <f t="array" ref="J302">SUM(IF("156"&amp;C302=KHC&amp;MH,TH))</f>
        <v>1014526</v>
      </c>
      <c r="K302" s="25">
        <f t="shared" si="18"/>
        <v>0</v>
      </c>
      <c r="L302" s="25">
        <f t="shared" si="19"/>
        <v>0</v>
      </c>
      <c r="M302" s="279"/>
    </row>
    <row r="303" spans="1:13" ht="18.75" hidden="1" customHeight="1">
      <c r="A303" s="279" t="str">
        <f t="shared" si="16"/>
        <v>NL</v>
      </c>
      <c r="B303" s="745">
        <f t="shared" si="17"/>
        <v>292</v>
      </c>
      <c r="C303" s="190" t="s">
        <v>894</v>
      </c>
      <c r="D303" s="281" t="s">
        <v>395</v>
      </c>
      <c r="E303" s="25"/>
      <c r="F303" s="25"/>
      <c r="G303" s="25">
        <f t="array" ref="G303">SUM(IF("156"&amp;C303=KHN&amp;MH,SL))</f>
        <v>307</v>
      </c>
      <c r="H303" s="25">
        <f t="array" ref="H303">SUM(IF("156"&amp;C303=KHN&amp;MH,TH))</f>
        <v>2495063</v>
      </c>
      <c r="I303" s="25">
        <f t="array" ref="I303">SUM(IF("156"&amp;C303=KHC&amp;MH,SL))</f>
        <v>307</v>
      </c>
      <c r="J303" s="25">
        <f t="array" ref="J303">SUM(IF("156"&amp;C303=KHC&amp;MH,TH))</f>
        <v>2495063</v>
      </c>
      <c r="K303" s="25">
        <f t="shared" si="18"/>
        <v>0</v>
      </c>
      <c r="L303" s="25">
        <f t="shared" si="19"/>
        <v>0</v>
      </c>
      <c r="M303" s="279"/>
    </row>
    <row r="304" spans="1:13" ht="18.75" hidden="1" customHeight="1">
      <c r="A304" s="279" t="str">
        <f t="shared" si="16"/>
        <v>NL</v>
      </c>
      <c r="B304" s="745">
        <f t="shared" si="17"/>
        <v>293</v>
      </c>
      <c r="C304" s="190" t="s">
        <v>506</v>
      </c>
      <c r="D304" s="281" t="s">
        <v>395</v>
      </c>
      <c r="E304" s="25"/>
      <c r="F304" s="25"/>
      <c r="G304" s="25">
        <f t="array" ref="G304">SUM(IF("156"&amp;C304=KHN&amp;MH,SL))</f>
        <v>1000</v>
      </c>
      <c r="H304" s="25">
        <f t="array" ref="H304">SUM(IF("156"&amp;C304=KHN&amp;MH,TH))</f>
        <v>4185000</v>
      </c>
      <c r="I304" s="25">
        <f t="array" ref="I304">SUM(IF("156"&amp;C304=KHC&amp;MH,SL))</f>
        <v>1000</v>
      </c>
      <c r="J304" s="25">
        <f t="array" ref="J304">SUM(IF("156"&amp;C304=KHC&amp;MH,TH))</f>
        <v>4185000</v>
      </c>
      <c r="K304" s="25">
        <f t="shared" si="18"/>
        <v>0</v>
      </c>
      <c r="L304" s="25">
        <f t="shared" si="19"/>
        <v>0</v>
      </c>
      <c r="M304" s="279"/>
    </row>
    <row r="305" spans="1:13" ht="18.75" hidden="1" customHeight="1">
      <c r="A305" s="279" t="str">
        <f t="shared" si="16"/>
        <v>NL</v>
      </c>
      <c r="B305" s="745">
        <f t="shared" si="17"/>
        <v>294</v>
      </c>
      <c r="C305" s="190" t="s">
        <v>1179</v>
      </c>
      <c r="D305" s="281" t="s">
        <v>395</v>
      </c>
      <c r="E305" s="25"/>
      <c r="F305" s="25"/>
      <c r="G305" s="25">
        <f t="array" ref="G305">SUM(IF("156"&amp;C305=KHN&amp;MH,SL))</f>
        <v>345</v>
      </c>
      <c r="H305" s="25">
        <f t="array" ref="H305">SUM(IF("156"&amp;C305=KHN&amp;MH,TH))</f>
        <v>3312677</v>
      </c>
      <c r="I305" s="25">
        <f t="array" ref="I305">SUM(IF("156"&amp;C305=KHC&amp;MH,SL))</f>
        <v>345</v>
      </c>
      <c r="J305" s="25">
        <f t="array" ref="J305">SUM(IF("156"&amp;C305=KHC&amp;MH,TH))</f>
        <v>3312677</v>
      </c>
      <c r="K305" s="25">
        <f t="shared" si="18"/>
        <v>0</v>
      </c>
      <c r="L305" s="25">
        <f t="shared" si="19"/>
        <v>0</v>
      </c>
      <c r="M305" s="279"/>
    </row>
    <row r="306" spans="1:13" ht="18.75" hidden="1" customHeight="1">
      <c r="A306" s="279" t="str">
        <f t="shared" si="16"/>
        <v>NL</v>
      </c>
      <c r="B306" s="745">
        <f t="shared" si="17"/>
        <v>295</v>
      </c>
      <c r="C306" s="190" t="s">
        <v>1180</v>
      </c>
      <c r="D306" s="281" t="s">
        <v>395</v>
      </c>
      <c r="E306" s="25"/>
      <c r="F306" s="25"/>
      <c r="G306" s="25">
        <f t="array" ref="G306">SUM(IF("156"&amp;C306=KHN&amp;MH,SL))</f>
        <v>276</v>
      </c>
      <c r="H306" s="25">
        <f t="array" ref="H306">SUM(IF("156"&amp;C306=KHN&amp;MH,TH))</f>
        <v>2789824</v>
      </c>
      <c r="I306" s="25">
        <f t="array" ref="I306">SUM(IF("156"&amp;C306=KHC&amp;MH,SL))</f>
        <v>276</v>
      </c>
      <c r="J306" s="25">
        <f t="array" ref="J306">SUM(IF("156"&amp;C306=KHC&amp;MH,TH))</f>
        <v>2789824</v>
      </c>
      <c r="K306" s="25">
        <f t="shared" si="18"/>
        <v>0</v>
      </c>
      <c r="L306" s="25">
        <f t="shared" si="19"/>
        <v>0</v>
      </c>
      <c r="M306" s="279"/>
    </row>
    <row r="307" spans="1:13" ht="18.75" hidden="1" customHeight="1">
      <c r="A307" s="279" t="str">
        <f t="shared" si="16"/>
        <v>NL</v>
      </c>
      <c r="B307" s="745">
        <f t="shared" si="17"/>
        <v>296</v>
      </c>
      <c r="C307" s="190" t="s">
        <v>1196</v>
      </c>
      <c r="D307" s="281" t="s">
        <v>395</v>
      </c>
      <c r="E307" s="25"/>
      <c r="F307" s="25"/>
      <c r="G307" s="25">
        <f t="array" ref="G307">SUM(IF("156"&amp;C307=KHN&amp;MH,SL))</f>
        <v>500</v>
      </c>
      <c r="H307" s="25">
        <f t="array" ref="H307">SUM(IF("156"&amp;C307=KHN&amp;MH,TH))</f>
        <v>5809582</v>
      </c>
      <c r="I307" s="25">
        <f t="array" ref="I307">SUM(IF("156"&amp;C307=KHC&amp;MH,SL))</f>
        <v>500</v>
      </c>
      <c r="J307" s="25">
        <f t="array" ref="J307">SUM(IF("156"&amp;C307=KHC&amp;MH,TH))</f>
        <v>5809582</v>
      </c>
      <c r="K307" s="25">
        <f t="shared" si="18"/>
        <v>0</v>
      </c>
      <c r="L307" s="25">
        <f t="shared" si="19"/>
        <v>0</v>
      </c>
      <c r="M307" s="279"/>
    </row>
    <row r="308" spans="1:13" ht="18.75" hidden="1" customHeight="1">
      <c r="A308" s="279" t="str">
        <f t="shared" si="16"/>
        <v>NL</v>
      </c>
      <c r="B308" s="745">
        <f t="shared" si="17"/>
        <v>297</v>
      </c>
      <c r="C308" s="190" t="s">
        <v>760</v>
      </c>
      <c r="D308" s="281" t="s">
        <v>395</v>
      </c>
      <c r="E308" s="25"/>
      <c r="F308" s="25"/>
      <c r="G308" s="25">
        <f t="array" ref="G308">SUM(IF("156"&amp;C308=KHN&amp;MH,SL))</f>
        <v>25</v>
      </c>
      <c r="H308" s="25">
        <f t="array" ref="H308">SUM(IF("156"&amp;C308=KHN&amp;MH,TH))</f>
        <v>285125</v>
      </c>
      <c r="I308" s="25">
        <f t="array" ref="I308">SUM(IF("156"&amp;C308=KHC&amp;MH,SL))</f>
        <v>25</v>
      </c>
      <c r="J308" s="25">
        <f t="array" ref="J308">SUM(IF("156"&amp;C308=KHC&amp;MH,TH))</f>
        <v>285125</v>
      </c>
      <c r="K308" s="25">
        <f t="shared" si="18"/>
        <v>0</v>
      </c>
      <c r="L308" s="25">
        <f t="shared" si="19"/>
        <v>0</v>
      </c>
      <c r="M308" s="279"/>
    </row>
    <row r="309" spans="1:13" ht="18.75" hidden="1" customHeight="1">
      <c r="A309" s="279" t="str">
        <f t="shared" si="16"/>
        <v>NL</v>
      </c>
      <c r="B309" s="745">
        <f t="shared" si="17"/>
        <v>298</v>
      </c>
      <c r="C309" s="190" t="s">
        <v>763</v>
      </c>
      <c r="D309" s="281" t="s">
        <v>395</v>
      </c>
      <c r="E309" s="25"/>
      <c r="F309" s="25"/>
      <c r="G309" s="25">
        <f t="array" ref="G309">SUM(IF("156"&amp;C309=KHN&amp;MH,SL))</f>
        <v>50</v>
      </c>
      <c r="H309" s="25">
        <f t="array" ref="H309">SUM(IF("156"&amp;C309=KHN&amp;MH,TH))</f>
        <v>1121450</v>
      </c>
      <c r="I309" s="25">
        <f t="array" ref="I309">SUM(IF("156"&amp;C309=KHC&amp;MH,SL))</f>
        <v>50</v>
      </c>
      <c r="J309" s="25">
        <f t="array" ref="J309">SUM(IF("156"&amp;C309=KHC&amp;MH,TH))</f>
        <v>1121450</v>
      </c>
      <c r="K309" s="25">
        <f t="shared" si="18"/>
        <v>0</v>
      </c>
      <c r="L309" s="25">
        <f t="shared" si="19"/>
        <v>0</v>
      </c>
      <c r="M309" s="279"/>
    </row>
    <row r="310" spans="1:13" ht="18.75" hidden="1" customHeight="1">
      <c r="A310" s="279" t="str">
        <f t="shared" si="16"/>
        <v>NL</v>
      </c>
      <c r="B310" s="745">
        <f t="shared" si="17"/>
        <v>299</v>
      </c>
      <c r="C310" s="190" t="s">
        <v>755</v>
      </c>
      <c r="D310" s="281" t="s">
        <v>395</v>
      </c>
      <c r="E310" s="25"/>
      <c r="F310" s="25"/>
      <c r="G310" s="25">
        <f t="array" ref="G310">SUM(IF("156"&amp;C310=KHN&amp;MH,SL))</f>
        <v>122</v>
      </c>
      <c r="H310" s="25">
        <f t="array" ref="H310">SUM(IF("156"&amp;C310=KHN&amp;MH,TH))</f>
        <v>2727676</v>
      </c>
      <c r="I310" s="25">
        <f t="array" ref="I310">SUM(IF("156"&amp;C310=KHC&amp;MH,SL))</f>
        <v>122</v>
      </c>
      <c r="J310" s="25">
        <f t="array" ref="J310">SUM(IF("156"&amp;C310=KHC&amp;MH,TH))</f>
        <v>2727676</v>
      </c>
      <c r="K310" s="25">
        <f t="shared" si="18"/>
        <v>0</v>
      </c>
      <c r="L310" s="25">
        <f t="shared" si="19"/>
        <v>0</v>
      </c>
      <c r="M310" s="279"/>
    </row>
    <row r="311" spans="1:13" ht="18.75" hidden="1" customHeight="1">
      <c r="A311" s="279" t="str">
        <f t="shared" si="16"/>
        <v>NL</v>
      </c>
      <c r="B311" s="745">
        <f t="shared" si="17"/>
        <v>300</v>
      </c>
      <c r="C311" s="190" t="s">
        <v>1258</v>
      </c>
      <c r="D311" s="281" t="s">
        <v>395</v>
      </c>
      <c r="E311" s="25"/>
      <c r="F311" s="25"/>
      <c r="G311" s="25">
        <f t="array" ref="G311">SUM(IF("156"&amp;C311=KHN&amp;MH,SL))</f>
        <v>166</v>
      </c>
      <c r="H311" s="25">
        <f t="array" ref="H311">SUM(IF("156"&amp;C311=KHN&amp;MH,TH))</f>
        <v>5820624</v>
      </c>
      <c r="I311" s="25">
        <f t="array" ref="I311">SUM(IF("156"&amp;C311=KHC&amp;MH,SL))</f>
        <v>166</v>
      </c>
      <c r="J311" s="25">
        <f t="array" ref="J311">SUM(IF("156"&amp;C311=KHC&amp;MH,TH))</f>
        <v>5820624</v>
      </c>
      <c r="K311" s="25">
        <f t="shared" si="18"/>
        <v>0</v>
      </c>
      <c r="L311" s="25">
        <f t="shared" si="19"/>
        <v>0</v>
      </c>
      <c r="M311" s="279"/>
    </row>
    <row r="312" spans="1:13" ht="18.75" hidden="1" customHeight="1">
      <c r="A312" s="279" t="str">
        <f t="shared" si="16"/>
        <v>NL</v>
      </c>
      <c r="B312" s="745">
        <f t="shared" si="17"/>
        <v>301</v>
      </c>
      <c r="C312" s="190" t="s">
        <v>719</v>
      </c>
      <c r="D312" s="281" t="s">
        <v>395</v>
      </c>
      <c r="E312" s="25"/>
      <c r="F312" s="25"/>
      <c r="G312" s="25">
        <f t="array" ref="G312">SUM(IF("156"&amp;C312=KHN&amp;MH,SL))</f>
        <v>33</v>
      </c>
      <c r="H312" s="25">
        <f t="array" ref="H312">SUM(IF("156"&amp;C312=KHN&amp;MH,TH))</f>
        <v>1222188</v>
      </c>
      <c r="I312" s="25">
        <f t="array" ref="I312">SUM(IF("156"&amp;C312=KHC&amp;MH,SL))</f>
        <v>33</v>
      </c>
      <c r="J312" s="25">
        <f t="array" ref="J312">SUM(IF("156"&amp;C312=KHC&amp;MH,TH))</f>
        <v>1222188</v>
      </c>
      <c r="K312" s="25">
        <f t="shared" si="18"/>
        <v>0</v>
      </c>
      <c r="L312" s="25">
        <f t="shared" si="19"/>
        <v>0</v>
      </c>
      <c r="M312" s="279"/>
    </row>
    <row r="313" spans="1:13" ht="18.75" hidden="1" customHeight="1">
      <c r="A313" s="279" t="str">
        <f t="shared" si="16"/>
        <v>NL</v>
      </c>
      <c r="B313" s="745">
        <f t="shared" si="17"/>
        <v>302</v>
      </c>
      <c r="C313" s="190" t="s">
        <v>1185</v>
      </c>
      <c r="D313" s="281" t="s">
        <v>395</v>
      </c>
      <c r="E313" s="25"/>
      <c r="F313" s="25"/>
      <c r="G313" s="25">
        <f t="array" ref="G313">SUM(IF("156"&amp;C313=KHN&amp;MH,SL))</f>
        <v>35</v>
      </c>
      <c r="H313" s="25">
        <f t="array" ref="H313">SUM(IF("156"&amp;C313=KHN&amp;MH,TH))</f>
        <v>2174624</v>
      </c>
      <c r="I313" s="25">
        <f t="array" ref="I313">SUM(IF("156"&amp;C313=KHC&amp;MH,SL))</f>
        <v>35</v>
      </c>
      <c r="J313" s="25">
        <f t="array" ref="J313">SUM(IF("156"&amp;C313=KHC&amp;MH,TH))</f>
        <v>2174624</v>
      </c>
      <c r="K313" s="25">
        <f t="shared" si="18"/>
        <v>0</v>
      </c>
      <c r="L313" s="25">
        <f t="shared" si="19"/>
        <v>0</v>
      </c>
      <c r="M313" s="279"/>
    </row>
    <row r="314" spans="1:13" ht="18.75" hidden="1" customHeight="1">
      <c r="A314" s="279" t="str">
        <f t="shared" si="16"/>
        <v>NL</v>
      </c>
      <c r="B314" s="745">
        <f t="shared" si="17"/>
        <v>303</v>
      </c>
      <c r="C314" s="190" t="s">
        <v>720</v>
      </c>
      <c r="D314" s="281" t="s">
        <v>395</v>
      </c>
      <c r="E314" s="25"/>
      <c r="F314" s="25"/>
      <c r="G314" s="25">
        <f t="array" ref="G314">SUM(IF("156"&amp;C314=KHN&amp;MH,SL))</f>
        <v>33</v>
      </c>
      <c r="H314" s="25">
        <f t="array" ref="H314">SUM(IF("156"&amp;C314=KHN&amp;MH,TH))</f>
        <v>1318449</v>
      </c>
      <c r="I314" s="25">
        <f t="array" ref="I314">SUM(IF("156"&amp;C314=KHC&amp;MH,SL))</f>
        <v>33</v>
      </c>
      <c r="J314" s="25">
        <f t="array" ref="J314">SUM(IF("156"&amp;C314=KHC&amp;MH,TH))</f>
        <v>1318449</v>
      </c>
      <c r="K314" s="25">
        <f t="shared" si="18"/>
        <v>0</v>
      </c>
      <c r="L314" s="25">
        <f t="shared" si="19"/>
        <v>0</v>
      </c>
      <c r="M314" s="279"/>
    </row>
    <row r="315" spans="1:13" ht="18.75" hidden="1" customHeight="1">
      <c r="A315" s="279" t="str">
        <f t="shared" si="16"/>
        <v>NL</v>
      </c>
      <c r="B315" s="745">
        <f t="shared" si="17"/>
        <v>304</v>
      </c>
      <c r="C315" s="190" t="s">
        <v>709</v>
      </c>
      <c r="D315" s="281" t="s">
        <v>395</v>
      </c>
      <c r="E315" s="25"/>
      <c r="F315" s="25"/>
      <c r="G315" s="25">
        <f t="array" ref="G315">SUM(IF("156"&amp;C315=KHN&amp;MH,SL))</f>
        <v>20</v>
      </c>
      <c r="H315" s="25">
        <f t="array" ref="H315">SUM(IF("156"&amp;C315=KHN&amp;MH,TH))</f>
        <v>331200</v>
      </c>
      <c r="I315" s="25">
        <f t="array" ref="I315">SUM(IF("156"&amp;C315=KHC&amp;MH,SL))</f>
        <v>20</v>
      </c>
      <c r="J315" s="25">
        <f t="array" ref="J315">SUM(IF("156"&amp;C315=KHC&amp;MH,TH))</f>
        <v>331200</v>
      </c>
      <c r="K315" s="25">
        <f t="shared" si="18"/>
        <v>0</v>
      </c>
      <c r="L315" s="25">
        <f t="shared" si="19"/>
        <v>0</v>
      </c>
      <c r="M315" s="279"/>
    </row>
    <row r="316" spans="1:13" ht="18.75" hidden="1" customHeight="1">
      <c r="A316" s="279" t="str">
        <f t="shared" si="16"/>
        <v>NL</v>
      </c>
      <c r="B316" s="745">
        <f t="shared" si="17"/>
        <v>305</v>
      </c>
      <c r="C316" s="190" t="s">
        <v>1219</v>
      </c>
      <c r="D316" s="281" t="s">
        <v>395</v>
      </c>
      <c r="E316" s="25"/>
      <c r="F316" s="25"/>
      <c r="G316" s="25">
        <f t="array" ref="G316">SUM(IF("156"&amp;C316=KHN&amp;MH,SL))</f>
        <v>8</v>
      </c>
      <c r="H316" s="25">
        <f t="array" ref="H316">SUM(IF("156"&amp;C316=KHN&amp;MH,TH))</f>
        <v>306664</v>
      </c>
      <c r="I316" s="25">
        <f t="array" ref="I316">SUM(IF("156"&amp;C316=KHC&amp;MH,SL))</f>
        <v>8</v>
      </c>
      <c r="J316" s="25">
        <f t="array" ref="J316">SUM(IF("156"&amp;C316=KHC&amp;MH,TH))</f>
        <v>306664</v>
      </c>
      <c r="K316" s="25">
        <f t="shared" si="18"/>
        <v>0</v>
      </c>
      <c r="L316" s="25">
        <f t="shared" si="19"/>
        <v>0</v>
      </c>
      <c r="M316" s="279"/>
    </row>
    <row r="317" spans="1:13" ht="18.75" hidden="1" customHeight="1">
      <c r="A317" s="279" t="str">
        <f t="shared" si="16"/>
        <v>NL</v>
      </c>
      <c r="B317" s="745">
        <f t="shared" si="17"/>
        <v>306</v>
      </c>
      <c r="C317" s="190" t="s">
        <v>758</v>
      </c>
      <c r="D317" s="281" t="s">
        <v>395</v>
      </c>
      <c r="E317" s="25"/>
      <c r="F317" s="25"/>
      <c r="G317" s="25">
        <f t="array" ref="G317">SUM(IF("156"&amp;C317=KHN&amp;MH,SL))</f>
        <v>40</v>
      </c>
      <c r="H317" s="25">
        <f t="array" ref="H317">SUM(IF("156"&amp;C317=KHN&amp;MH,TH))</f>
        <v>705040</v>
      </c>
      <c r="I317" s="25">
        <f t="array" ref="I317">SUM(IF("156"&amp;C317=KHC&amp;MH,SL))</f>
        <v>40</v>
      </c>
      <c r="J317" s="25">
        <f t="array" ref="J317">SUM(IF("156"&amp;C317=KHC&amp;MH,TH))</f>
        <v>705040</v>
      </c>
      <c r="K317" s="25">
        <f t="shared" si="18"/>
        <v>0</v>
      </c>
      <c r="L317" s="25">
        <f t="shared" si="19"/>
        <v>0</v>
      </c>
      <c r="M317" s="279"/>
    </row>
    <row r="318" spans="1:13" ht="18.75" hidden="1" customHeight="1">
      <c r="A318" s="279" t="str">
        <f t="shared" si="16"/>
        <v>NL</v>
      </c>
      <c r="B318" s="745">
        <f t="shared" si="17"/>
        <v>307</v>
      </c>
      <c r="C318" s="190" t="s">
        <v>1244</v>
      </c>
      <c r="D318" s="281" t="s">
        <v>395</v>
      </c>
      <c r="E318" s="25"/>
      <c r="F318" s="25"/>
      <c r="G318" s="25">
        <f t="array" ref="G318">SUM(IF("156"&amp;C318=KHN&amp;MH,SL))</f>
        <v>12</v>
      </c>
      <c r="H318" s="25">
        <f t="array" ref="H318">SUM(IF("156"&amp;C318=KHN&amp;MH,TH))</f>
        <v>629108</v>
      </c>
      <c r="I318" s="25">
        <f t="array" ref="I318">SUM(IF("156"&amp;C318=KHC&amp;MH,SL))</f>
        <v>12</v>
      </c>
      <c r="J318" s="25">
        <f t="array" ref="J318">SUM(IF("156"&amp;C318=KHC&amp;MH,TH))</f>
        <v>629108</v>
      </c>
      <c r="K318" s="25">
        <f t="shared" si="18"/>
        <v>0</v>
      </c>
      <c r="L318" s="25">
        <f t="shared" si="19"/>
        <v>0</v>
      </c>
      <c r="M318" s="279"/>
    </row>
    <row r="319" spans="1:13" ht="18.75" hidden="1" customHeight="1">
      <c r="A319" s="279" t="str">
        <f t="shared" si="16"/>
        <v>NL</v>
      </c>
      <c r="B319" s="745">
        <f t="shared" si="17"/>
        <v>308</v>
      </c>
      <c r="C319" s="187" t="s">
        <v>1140</v>
      </c>
      <c r="D319" s="281" t="s">
        <v>395</v>
      </c>
      <c r="E319" s="25">
        <v>30</v>
      </c>
      <c r="F319" s="25">
        <v>868260</v>
      </c>
      <c r="G319" s="25">
        <f t="array" ref="G319">SUM(IF("156"&amp;C319=KHN&amp;MH,SL))</f>
        <v>0</v>
      </c>
      <c r="H319" s="25">
        <f t="array" ref="H319">SUM(IF("156"&amp;C319=KHN&amp;MH,TH))</f>
        <v>0</v>
      </c>
      <c r="I319" s="25">
        <f t="array" ref="I319">SUM(IF("156"&amp;C319=KHC&amp;MH,SL))</f>
        <v>30</v>
      </c>
      <c r="J319" s="25">
        <f t="array" ref="J319">SUM(IF("156"&amp;C319=KHC&amp;MH,TH))</f>
        <v>868260</v>
      </c>
      <c r="K319" s="25">
        <f t="shared" si="18"/>
        <v>0</v>
      </c>
      <c r="L319" s="25">
        <f t="shared" si="19"/>
        <v>0</v>
      </c>
      <c r="M319" s="279"/>
    </row>
    <row r="320" spans="1:13" ht="18.75" hidden="1" customHeight="1">
      <c r="A320" s="279" t="str">
        <f t="shared" si="16"/>
        <v>NL</v>
      </c>
      <c r="B320" s="745">
        <f t="shared" si="17"/>
        <v>309</v>
      </c>
      <c r="C320" s="190" t="s">
        <v>1186</v>
      </c>
      <c r="D320" s="281" t="s">
        <v>395</v>
      </c>
      <c r="E320" s="25"/>
      <c r="F320" s="25"/>
      <c r="G320" s="25">
        <f t="array" ref="G320">SUM(IF("156"&amp;C320=KHN&amp;MH,SL))</f>
        <v>90</v>
      </c>
      <c r="H320" s="25">
        <f t="array" ref="H320">SUM(IF("156"&amp;C320=KHN&amp;MH,TH))</f>
        <v>2068120</v>
      </c>
      <c r="I320" s="25">
        <f t="array" ref="I320">SUM(IF("156"&amp;C320=KHC&amp;MH,SL))</f>
        <v>90</v>
      </c>
      <c r="J320" s="25">
        <f t="array" ref="J320">SUM(IF("156"&amp;C320=KHC&amp;MH,TH))</f>
        <v>2068120</v>
      </c>
      <c r="K320" s="25">
        <f t="shared" si="18"/>
        <v>0</v>
      </c>
      <c r="L320" s="25">
        <f t="shared" si="19"/>
        <v>0</v>
      </c>
      <c r="M320" s="279"/>
    </row>
    <row r="321" spans="1:13" ht="18.75" hidden="1" customHeight="1">
      <c r="A321" s="279" t="str">
        <f t="shared" si="16"/>
        <v>NL</v>
      </c>
      <c r="B321" s="745">
        <f t="shared" si="17"/>
        <v>310</v>
      </c>
      <c r="C321" s="190" t="s">
        <v>1222</v>
      </c>
      <c r="D321" s="281" t="s">
        <v>395</v>
      </c>
      <c r="E321" s="25"/>
      <c r="F321" s="25"/>
      <c r="G321" s="25">
        <f t="array" ref="G321">SUM(IF("156"&amp;C321=KHN&amp;MH,SL))</f>
        <v>8</v>
      </c>
      <c r="H321" s="25">
        <f t="array" ref="H321">SUM(IF("156"&amp;C321=KHN&amp;MH,TH))</f>
        <v>484120</v>
      </c>
      <c r="I321" s="25">
        <f t="array" ref="I321">SUM(IF("156"&amp;C321=KHC&amp;MH,SL))</f>
        <v>8</v>
      </c>
      <c r="J321" s="25">
        <f t="array" ref="J321">SUM(IF("156"&amp;C321=KHC&amp;MH,TH))</f>
        <v>484120</v>
      </c>
      <c r="K321" s="25">
        <f t="shared" si="18"/>
        <v>0</v>
      </c>
      <c r="L321" s="25">
        <f t="shared" si="19"/>
        <v>0</v>
      </c>
      <c r="M321" s="279"/>
    </row>
    <row r="322" spans="1:13" ht="18.75" hidden="1" customHeight="1">
      <c r="A322" s="279" t="str">
        <f t="shared" si="16"/>
        <v>NL</v>
      </c>
      <c r="B322" s="745">
        <f t="shared" si="17"/>
        <v>311</v>
      </c>
      <c r="C322" s="190" t="s">
        <v>694</v>
      </c>
      <c r="D322" s="281" t="s">
        <v>395</v>
      </c>
      <c r="E322" s="25"/>
      <c r="F322" s="25"/>
      <c r="G322" s="25">
        <f t="array" ref="G322">SUM(IF("156"&amp;C322=KHN&amp;MH,SL))</f>
        <v>106</v>
      </c>
      <c r="H322" s="25">
        <f t="array" ref="H322">SUM(IF("156"&amp;C322=KHN&amp;MH,TH))</f>
        <v>9134868</v>
      </c>
      <c r="I322" s="25">
        <f t="array" ref="I322">SUM(IF("156"&amp;C322=KHC&amp;MH,SL))</f>
        <v>106</v>
      </c>
      <c r="J322" s="25">
        <f t="array" ref="J322">SUM(IF("156"&amp;C322=KHC&amp;MH,TH))</f>
        <v>9134868</v>
      </c>
      <c r="K322" s="25">
        <f t="shared" si="18"/>
        <v>0</v>
      </c>
      <c r="L322" s="25">
        <f t="shared" si="19"/>
        <v>0</v>
      </c>
      <c r="M322" s="279"/>
    </row>
    <row r="323" spans="1:13" ht="18.75" hidden="1" customHeight="1">
      <c r="A323" s="279" t="str">
        <f t="shared" si="16"/>
        <v>NL</v>
      </c>
      <c r="B323" s="745">
        <f t="shared" si="17"/>
        <v>312</v>
      </c>
      <c r="C323" s="190" t="s">
        <v>761</v>
      </c>
      <c r="D323" s="281" t="s">
        <v>395</v>
      </c>
      <c r="E323" s="25"/>
      <c r="F323" s="25"/>
      <c r="G323" s="25">
        <f t="array" ref="G323">SUM(IF("156"&amp;C323=KHN&amp;MH,SL))</f>
        <v>25</v>
      </c>
      <c r="H323" s="25">
        <f t="array" ref="H323">SUM(IF("156"&amp;C323=KHN&amp;MH,TH))</f>
        <v>525575</v>
      </c>
      <c r="I323" s="25">
        <f t="array" ref="I323">SUM(IF("156"&amp;C323=KHC&amp;MH,SL))</f>
        <v>25</v>
      </c>
      <c r="J323" s="25">
        <f t="array" ref="J323">SUM(IF("156"&amp;C323=KHC&amp;MH,TH))</f>
        <v>525575</v>
      </c>
      <c r="K323" s="25">
        <f t="shared" si="18"/>
        <v>0</v>
      </c>
      <c r="L323" s="25">
        <f t="shared" si="19"/>
        <v>0</v>
      </c>
      <c r="M323" s="279"/>
    </row>
    <row r="324" spans="1:13" ht="18.75" hidden="1" customHeight="1">
      <c r="A324" s="279" t="str">
        <f t="shared" si="16"/>
        <v>NL</v>
      </c>
      <c r="B324" s="745">
        <f t="shared" si="17"/>
        <v>313</v>
      </c>
      <c r="C324" s="190" t="s">
        <v>1223</v>
      </c>
      <c r="D324" s="281" t="s">
        <v>395</v>
      </c>
      <c r="E324" s="25"/>
      <c r="F324" s="25"/>
      <c r="G324" s="25">
        <f t="array" ref="G324">SUM(IF("156"&amp;C324=KHN&amp;MH,SL))</f>
        <v>12</v>
      </c>
      <c r="H324" s="25">
        <f t="array" ref="H324">SUM(IF("156"&amp;C324=KHN&amp;MH,TH))</f>
        <v>651276</v>
      </c>
      <c r="I324" s="25">
        <f t="array" ref="I324">SUM(IF("156"&amp;C324=KHC&amp;MH,SL))</f>
        <v>12</v>
      </c>
      <c r="J324" s="25">
        <f t="array" ref="J324">SUM(IF("156"&amp;C324=KHC&amp;MH,TH))</f>
        <v>651276</v>
      </c>
      <c r="K324" s="25">
        <f t="shared" si="18"/>
        <v>0</v>
      </c>
      <c r="L324" s="25">
        <f t="shared" si="19"/>
        <v>0</v>
      </c>
      <c r="M324" s="279"/>
    </row>
    <row r="325" spans="1:13" ht="18.75" hidden="1" customHeight="1">
      <c r="A325" s="279" t="str">
        <f t="shared" si="16"/>
        <v>NL</v>
      </c>
      <c r="B325" s="745">
        <f t="shared" si="17"/>
        <v>314</v>
      </c>
      <c r="C325" s="190" t="s">
        <v>1211</v>
      </c>
      <c r="D325" s="281" t="s">
        <v>395</v>
      </c>
      <c r="E325" s="25"/>
      <c r="F325" s="25"/>
      <c r="G325" s="25">
        <f t="array" ref="G325">SUM(IF("156"&amp;C325=KHN&amp;MH,SL))</f>
        <v>5</v>
      </c>
      <c r="H325" s="25">
        <f t="array" ref="H325">SUM(IF("156"&amp;C325=KHN&amp;MH,TH))</f>
        <v>1285888</v>
      </c>
      <c r="I325" s="25">
        <f t="array" ref="I325">SUM(IF("156"&amp;C325=KHC&amp;MH,SL))</f>
        <v>5</v>
      </c>
      <c r="J325" s="25">
        <f t="array" ref="J325">SUM(IF("156"&amp;C325=KHC&amp;MH,TH))</f>
        <v>1285888</v>
      </c>
      <c r="K325" s="25">
        <f t="shared" si="18"/>
        <v>0</v>
      </c>
      <c r="L325" s="25">
        <f t="shared" si="19"/>
        <v>0</v>
      </c>
      <c r="M325" s="279"/>
    </row>
    <row r="326" spans="1:13" ht="18.75" hidden="1" customHeight="1">
      <c r="A326" s="279" t="str">
        <f t="shared" si="16"/>
        <v>NL</v>
      </c>
      <c r="B326" s="745">
        <f t="shared" si="17"/>
        <v>315</v>
      </c>
      <c r="C326" s="190" t="s">
        <v>721</v>
      </c>
      <c r="D326" s="281" t="s">
        <v>395</v>
      </c>
      <c r="E326" s="25"/>
      <c r="F326" s="25"/>
      <c r="G326" s="25">
        <f t="array" ref="G326">SUM(IF("156"&amp;C326=KHN&amp;MH,SL))</f>
        <v>33</v>
      </c>
      <c r="H326" s="25">
        <f t="array" ref="H326">SUM(IF("156"&amp;C326=KHN&amp;MH,TH))</f>
        <v>1648647</v>
      </c>
      <c r="I326" s="25">
        <f t="array" ref="I326">SUM(IF("156"&amp;C326=KHC&amp;MH,SL))</f>
        <v>33</v>
      </c>
      <c r="J326" s="25">
        <f t="array" ref="J326">SUM(IF("156"&amp;C326=KHC&amp;MH,TH))</f>
        <v>1648647</v>
      </c>
      <c r="K326" s="25">
        <f t="shared" si="18"/>
        <v>0</v>
      </c>
      <c r="L326" s="25">
        <f t="shared" si="19"/>
        <v>0</v>
      </c>
      <c r="M326" s="279"/>
    </row>
    <row r="327" spans="1:13" ht="18.75" hidden="1" customHeight="1">
      <c r="A327" s="279" t="str">
        <f t="shared" si="16"/>
        <v>NL</v>
      </c>
      <c r="B327" s="745">
        <f t="shared" si="17"/>
        <v>316</v>
      </c>
      <c r="C327" s="190" t="s">
        <v>762</v>
      </c>
      <c r="D327" s="281" t="s">
        <v>395</v>
      </c>
      <c r="E327" s="25"/>
      <c r="F327" s="25"/>
      <c r="G327" s="25">
        <f t="array" ref="G327">SUM(IF("156"&amp;C327=KHN&amp;MH,SL))</f>
        <v>25</v>
      </c>
      <c r="H327" s="25">
        <f t="array" ref="H327">SUM(IF("156"&amp;C327=KHN&amp;MH,TH))</f>
        <v>618700</v>
      </c>
      <c r="I327" s="25">
        <f t="array" ref="I327">SUM(IF("156"&amp;C327=KHC&amp;MH,SL))</f>
        <v>25</v>
      </c>
      <c r="J327" s="25">
        <f t="array" ref="J327">SUM(IF("156"&amp;C327=KHC&amp;MH,TH))</f>
        <v>618700</v>
      </c>
      <c r="K327" s="25">
        <f t="shared" si="18"/>
        <v>0</v>
      </c>
      <c r="L327" s="25">
        <f t="shared" si="19"/>
        <v>0</v>
      </c>
      <c r="M327" s="279"/>
    </row>
    <row r="328" spans="1:13" ht="18.75" hidden="1" customHeight="1">
      <c r="A328" s="279" t="str">
        <f t="shared" si="16"/>
        <v>NL</v>
      </c>
      <c r="B328" s="745">
        <f t="shared" si="17"/>
        <v>317</v>
      </c>
      <c r="C328" s="190" t="s">
        <v>1220</v>
      </c>
      <c r="D328" s="281" t="s">
        <v>395</v>
      </c>
      <c r="E328" s="25"/>
      <c r="F328" s="25"/>
      <c r="G328" s="25">
        <f t="array" ref="G328">SUM(IF("156"&amp;C328=KHN&amp;MH,SL))</f>
        <v>20</v>
      </c>
      <c r="H328" s="25">
        <f t="array" ref="H328">SUM(IF("156"&amp;C328=KHN&amp;MH,TH))</f>
        <v>981467</v>
      </c>
      <c r="I328" s="25">
        <f t="array" ref="I328">SUM(IF("156"&amp;C328=KHC&amp;MH,SL))</f>
        <v>20</v>
      </c>
      <c r="J328" s="25">
        <f t="array" ref="J328">SUM(IF("156"&amp;C328=KHC&amp;MH,TH))</f>
        <v>981467</v>
      </c>
      <c r="K328" s="25">
        <f t="shared" si="18"/>
        <v>0</v>
      </c>
      <c r="L328" s="25">
        <f t="shared" si="19"/>
        <v>0</v>
      </c>
      <c r="M328" s="279"/>
    </row>
    <row r="329" spans="1:13" ht="18.75" hidden="1" customHeight="1">
      <c r="A329" s="279" t="str">
        <f t="shared" si="16"/>
        <v>NL</v>
      </c>
      <c r="B329" s="745">
        <f t="shared" si="17"/>
        <v>318</v>
      </c>
      <c r="C329" s="187" t="s">
        <v>1230</v>
      </c>
      <c r="D329" s="281" t="s">
        <v>395</v>
      </c>
      <c r="E329" s="25"/>
      <c r="F329" s="25"/>
      <c r="G329" s="25">
        <f t="array" ref="G329">SUM(IF("156"&amp;C329=KHN&amp;MH,SL))</f>
        <v>24</v>
      </c>
      <c r="H329" s="25">
        <f t="array" ref="H329">SUM(IF("156"&amp;C329=KHN&amp;MH,TH))</f>
        <v>1818024</v>
      </c>
      <c r="I329" s="25">
        <f t="array" ref="I329">SUM(IF("156"&amp;C329=KHC&amp;MH,SL))</f>
        <v>24</v>
      </c>
      <c r="J329" s="25">
        <f t="array" ref="J329">SUM(IF("156"&amp;C329=KHC&amp;MH,TH))</f>
        <v>1818024</v>
      </c>
      <c r="K329" s="25">
        <f t="shared" si="18"/>
        <v>0</v>
      </c>
      <c r="L329" s="25">
        <f t="shared" si="19"/>
        <v>0</v>
      </c>
      <c r="M329" s="279"/>
    </row>
    <row r="330" spans="1:13" ht="18.75" hidden="1" customHeight="1">
      <c r="A330" s="279" t="str">
        <f t="shared" ref="A330:A392" si="20">IF(B330&lt;&gt;"","NL","")</f>
        <v>NL</v>
      </c>
      <c r="B330" s="745">
        <f t="shared" ref="B330:B392" si="21">IF(C330&lt;&gt;"",ROW()-11,"")</f>
        <v>319</v>
      </c>
      <c r="C330" s="190" t="s">
        <v>1141</v>
      </c>
      <c r="D330" s="281" t="s">
        <v>395</v>
      </c>
      <c r="E330" s="25">
        <v>452</v>
      </c>
      <c r="F330" s="25">
        <v>15697056</v>
      </c>
      <c r="G330" s="25">
        <f t="array" ref="G330">SUM(IF("156"&amp;C330=KHN&amp;MH,SL))</f>
        <v>0</v>
      </c>
      <c r="H330" s="25">
        <f t="array" ref="H330">SUM(IF("156"&amp;C330=KHN&amp;MH,TH))</f>
        <v>0</v>
      </c>
      <c r="I330" s="25">
        <f t="array" ref="I330">SUM(IF("156"&amp;C330=KHC&amp;MH,SL))</f>
        <v>452</v>
      </c>
      <c r="J330" s="25">
        <f t="array" ref="J330">SUM(IF("156"&amp;C330=KHC&amp;MH,TH))</f>
        <v>15697056</v>
      </c>
      <c r="K330" s="25">
        <f t="shared" ref="K330:K392" si="22">E330+G330-I330</f>
        <v>0</v>
      </c>
      <c r="L330" s="25">
        <f t="shared" ref="L330:L392" si="23">F330+H330-J330</f>
        <v>0</v>
      </c>
      <c r="M330" s="279"/>
    </row>
    <row r="331" spans="1:13" ht="18.75" hidden="1" customHeight="1">
      <c r="A331" s="279" t="str">
        <f t="shared" si="20"/>
        <v>NL</v>
      </c>
      <c r="B331" s="745">
        <f t="shared" si="21"/>
        <v>320</v>
      </c>
      <c r="C331" s="190" t="s">
        <v>1241</v>
      </c>
      <c r="D331" s="281" t="s">
        <v>395</v>
      </c>
      <c r="E331" s="25"/>
      <c r="F331" s="25"/>
      <c r="G331" s="25">
        <f t="array" ref="G331">SUM(IF("156"&amp;C331=KHN&amp;MH,SL))</f>
        <v>11</v>
      </c>
      <c r="H331" s="25">
        <f t="array" ref="H331">SUM(IF("156"&amp;C331=KHN&amp;MH,TH))</f>
        <v>661883</v>
      </c>
      <c r="I331" s="25">
        <f t="array" ref="I331">SUM(IF("156"&amp;C331=KHC&amp;MH,SL))</f>
        <v>11</v>
      </c>
      <c r="J331" s="25">
        <f t="array" ref="J331">SUM(IF("156"&amp;C331=KHC&amp;MH,TH))</f>
        <v>661883</v>
      </c>
      <c r="K331" s="25">
        <f t="shared" si="22"/>
        <v>0</v>
      </c>
      <c r="L331" s="25">
        <f t="shared" si="23"/>
        <v>0</v>
      </c>
      <c r="M331" s="279"/>
    </row>
    <row r="332" spans="1:13" ht="18.75" hidden="1" customHeight="1">
      <c r="A332" s="279" t="str">
        <f t="shared" si="20"/>
        <v>NL</v>
      </c>
      <c r="B332" s="745">
        <f t="shared" si="21"/>
        <v>321</v>
      </c>
      <c r="C332" s="187" t="s">
        <v>1225</v>
      </c>
      <c r="D332" s="281" t="s">
        <v>395</v>
      </c>
      <c r="E332" s="25"/>
      <c r="F332" s="25"/>
      <c r="G332" s="25">
        <f t="array" ref="G332">SUM(IF("156"&amp;C332=KHN&amp;MH,SL))</f>
        <v>10</v>
      </c>
      <c r="H332" s="25">
        <f t="array" ref="H332">SUM(IF("156"&amp;C332=KHN&amp;MH,TH))</f>
        <v>757390</v>
      </c>
      <c r="I332" s="25">
        <f t="array" ref="I332">SUM(IF("156"&amp;C332=KHC&amp;MH,SL))</f>
        <v>10</v>
      </c>
      <c r="J332" s="25">
        <f t="array" ref="J332">SUM(IF("156"&amp;C332=KHC&amp;MH,TH))</f>
        <v>757390</v>
      </c>
      <c r="K332" s="25">
        <f t="shared" si="22"/>
        <v>0</v>
      </c>
      <c r="L332" s="25">
        <f t="shared" si="23"/>
        <v>0</v>
      </c>
      <c r="M332" s="279"/>
    </row>
    <row r="333" spans="1:13" ht="18.75" hidden="1" customHeight="1">
      <c r="A333" s="279" t="str">
        <f t="shared" si="20"/>
        <v>NL</v>
      </c>
      <c r="B333" s="745">
        <f t="shared" si="21"/>
        <v>322</v>
      </c>
      <c r="C333" s="190" t="s">
        <v>1242</v>
      </c>
      <c r="D333" s="281" t="s">
        <v>395</v>
      </c>
      <c r="E333" s="25"/>
      <c r="F333" s="25"/>
      <c r="G333" s="25">
        <f t="array" ref="G333">SUM(IF("156"&amp;C333=KHN&amp;MH,SL))</f>
        <v>3</v>
      </c>
      <c r="H333" s="25">
        <f t="array" ref="H333">SUM(IF("156"&amp;C333=KHN&amp;MH,TH))</f>
        <v>217025</v>
      </c>
      <c r="I333" s="25">
        <f t="array" ref="I333">SUM(IF("156"&amp;C333=KHC&amp;MH,SL))</f>
        <v>3</v>
      </c>
      <c r="J333" s="25">
        <f t="array" ref="J333">SUM(IF("156"&amp;C333=KHC&amp;MH,TH))</f>
        <v>217025</v>
      </c>
      <c r="K333" s="25">
        <f t="shared" si="22"/>
        <v>0</v>
      </c>
      <c r="L333" s="25">
        <f t="shared" si="23"/>
        <v>0</v>
      </c>
      <c r="M333" s="279"/>
    </row>
    <row r="334" spans="1:13" ht="18.75" hidden="1" customHeight="1">
      <c r="A334" s="279" t="str">
        <f t="shared" si="20"/>
        <v>NL</v>
      </c>
      <c r="B334" s="745">
        <f t="shared" si="21"/>
        <v>323</v>
      </c>
      <c r="C334" s="190" t="s">
        <v>1252</v>
      </c>
      <c r="D334" s="281" t="s">
        <v>395</v>
      </c>
      <c r="E334" s="25"/>
      <c r="F334" s="25"/>
      <c r="G334" s="25">
        <f t="array" ref="G334">SUM(IF("156"&amp;C334=KHN&amp;MH,SL))</f>
        <v>54</v>
      </c>
      <c r="H334" s="25">
        <f t="array" ref="H334">SUM(IF("156"&amp;C334=KHN&amp;MH,TH))</f>
        <v>1456472</v>
      </c>
      <c r="I334" s="25">
        <f t="array" ref="I334">SUM(IF("156"&amp;C334=KHC&amp;MH,SL))</f>
        <v>54</v>
      </c>
      <c r="J334" s="25">
        <f t="array" ref="J334">SUM(IF("156"&amp;C334=KHC&amp;MH,TH))</f>
        <v>1456472</v>
      </c>
      <c r="K334" s="25">
        <f t="shared" si="22"/>
        <v>0</v>
      </c>
      <c r="L334" s="25">
        <f t="shared" si="23"/>
        <v>0</v>
      </c>
      <c r="M334" s="279"/>
    </row>
    <row r="335" spans="1:13" ht="18.75" hidden="1" customHeight="1">
      <c r="A335" s="279" t="str">
        <f t="shared" si="20"/>
        <v>NL</v>
      </c>
      <c r="B335" s="745">
        <f t="shared" si="21"/>
        <v>324</v>
      </c>
      <c r="C335" s="190" t="s">
        <v>1251</v>
      </c>
      <c r="D335" s="281" t="s">
        <v>395</v>
      </c>
      <c r="E335" s="25"/>
      <c r="F335" s="25"/>
      <c r="G335" s="25">
        <f t="array" ref="G335">SUM(IF("156"&amp;C335=KHN&amp;MH,SL))</f>
        <v>54</v>
      </c>
      <c r="H335" s="25">
        <f t="array" ref="H335">SUM(IF("156"&amp;C335=KHN&amp;MH,TH))</f>
        <v>1641476</v>
      </c>
      <c r="I335" s="25">
        <f t="array" ref="I335">SUM(IF("156"&amp;C335=KHC&amp;MH,SL))</f>
        <v>54</v>
      </c>
      <c r="J335" s="25">
        <f t="array" ref="J335">SUM(IF("156"&amp;C335=KHC&amp;MH,TH))</f>
        <v>1641476</v>
      </c>
      <c r="K335" s="25">
        <f t="shared" si="22"/>
        <v>0</v>
      </c>
      <c r="L335" s="25">
        <f t="shared" si="23"/>
        <v>0</v>
      </c>
      <c r="M335" s="279"/>
    </row>
    <row r="336" spans="1:13" ht="18.75" hidden="1" customHeight="1">
      <c r="A336" s="279" t="str">
        <f t="shared" si="20"/>
        <v>NL</v>
      </c>
      <c r="B336" s="745">
        <f t="shared" si="21"/>
        <v>325</v>
      </c>
      <c r="C336" s="190" t="s">
        <v>1212</v>
      </c>
      <c r="D336" s="281" t="s">
        <v>395</v>
      </c>
      <c r="E336" s="25"/>
      <c r="F336" s="25"/>
      <c r="G336" s="25">
        <f t="array" ref="G336">SUM(IF("156"&amp;C336=KHN&amp;MH,SL))</f>
        <v>7</v>
      </c>
      <c r="H336" s="25">
        <f t="array" ref="H336">SUM(IF("156"&amp;C336=KHN&amp;MH,TH))</f>
        <v>921510</v>
      </c>
      <c r="I336" s="25">
        <f t="array" ref="I336">SUM(IF("156"&amp;C336=KHC&amp;MH,SL))</f>
        <v>7</v>
      </c>
      <c r="J336" s="25">
        <f t="array" ref="J336">SUM(IF("156"&amp;C336=KHC&amp;MH,TH))</f>
        <v>921510</v>
      </c>
      <c r="K336" s="25">
        <f t="shared" si="22"/>
        <v>0</v>
      </c>
      <c r="L336" s="25">
        <f t="shared" si="23"/>
        <v>0</v>
      </c>
      <c r="M336" s="279"/>
    </row>
    <row r="337" spans="1:13" ht="18.75" hidden="1" customHeight="1">
      <c r="A337" s="279" t="str">
        <f t="shared" si="20"/>
        <v>NL</v>
      </c>
      <c r="B337" s="745">
        <f t="shared" si="21"/>
        <v>326</v>
      </c>
      <c r="C337" s="282" t="s">
        <v>497</v>
      </c>
      <c r="D337" s="281" t="s">
        <v>395</v>
      </c>
      <c r="E337" s="25"/>
      <c r="F337" s="25"/>
      <c r="G337" s="25">
        <f t="array" ref="G337">SUM(IF("156"&amp;C337=KHN&amp;MH,SL))</f>
        <v>1737</v>
      </c>
      <c r="H337" s="25">
        <f t="array" ref="H337">SUM(IF("156"&amp;C337=KHN&amp;MH,TH))</f>
        <v>76912242</v>
      </c>
      <c r="I337" s="25">
        <f t="array" ref="I337">SUM(IF("156"&amp;C337=KHC&amp;MH,SL))</f>
        <v>1737</v>
      </c>
      <c r="J337" s="25">
        <f t="array" ref="J337">SUM(IF("156"&amp;C337=KHC&amp;MH,TH))</f>
        <v>76912242</v>
      </c>
      <c r="K337" s="25">
        <f t="shared" si="22"/>
        <v>0</v>
      </c>
      <c r="L337" s="25">
        <f t="shared" si="23"/>
        <v>0</v>
      </c>
      <c r="M337" s="279"/>
    </row>
    <row r="338" spans="1:13" ht="18.75" hidden="1" customHeight="1">
      <c r="A338" s="279" t="str">
        <f t="shared" si="20"/>
        <v>NL</v>
      </c>
      <c r="B338" s="745">
        <f t="shared" si="21"/>
        <v>327</v>
      </c>
      <c r="C338" s="190" t="s">
        <v>1199</v>
      </c>
      <c r="D338" s="281" t="s">
        <v>395</v>
      </c>
      <c r="E338" s="25"/>
      <c r="F338" s="25"/>
      <c r="G338" s="25">
        <f t="array" ref="G338">SUM(IF("156"&amp;C338=KHN&amp;MH,SL))</f>
        <v>16</v>
      </c>
      <c r="H338" s="25">
        <f t="array" ref="H338">SUM(IF("156"&amp;C338=KHN&amp;MH,TH))</f>
        <v>1145427</v>
      </c>
      <c r="I338" s="25">
        <f t="array" ref="I338">SUM(IF("156"&amp;C338=KHC&amp;MH,SL))</f>
        <v>16</v>
      </c>
      <c r="J338" s="25">
        <f t="array" ref="J338">SUM(IF("156"&amp;C338=KHC&amp;MH,TH))</f>
        <v>1145427</v>
      </c>
      <c r="K338" s="25">
        <f t="shared" si="22"/>
        <v>0</v>
      </c>
      <c r="L338" s="25">
        <f t="shared" si="23"/>
        <v>0</v>
      </c>
      <c r="M338" s="279"/>
    </row>
    <row r="339" spans="1:13" ht="18.75" hidden="1" customHeight="1">
      <c r="A339" s="279" t="str">
        <f t="shared" si="20"/>
        <v>NL</v>
      </c>
      <c r="B339" s="745">
        <f t="shared" si="21"/>
        <v>328</v>
      </c>
      <c r="C339" s="187" t="s">
        <v>1224</v>
      </c>
      <c r="D339" s="281" t="s">
        <v>395</v>
      </c>
      <c r="E339" s="25"/>
      <c r="F339" s="25"/>
      <c r="G339" s="25">
        <f t="array" ref="G339">SUM(IF("156"&amp;C339=KHN&amp;MH,SL))</f>
        <v>6</v>
      </c>
      <c r="H339" s="25">
        <f t="array" ref="H339">SUM(IF("156"&amp;C339=KHN&amp;MH,TH))</f>
        <v>536838</v>
      </c>
      <c r="I339" s="25">
        <f t="array" ref="I339">SUM(IF("156"&amp;C339=KHC&amp;MH,SL))</f>
        <v>6</v>
      </c>
      <c r="J339" s="25">
        <f t="array" ref="J339">SUM(IF("156"&amp;C339=KHC&amp;MH,TH))</f>
        <v>536838</v>
      </c>
      <c r="K339" s="25">
        <f t="shared" si="22"/>
        <v>0</v>
      </c>
      <c r="L339" s="25">
        <f t="shared" si="23"/>
        <v>0</v>
      </c>
      <c r="M339" s="279"/>
    </row>
    <row r="340" spans="1:13" ht="18.75" hidden="1" customHeight="1">
      <c r="A340" s="279" t="str">
        <f t="shared" si="20"/>
        <v>NL</v>
      </c>
      <c r="B340" s="745">
        <f t="shared" si="21"/>
        <v>329</v>
      </c>
      <c r="C340" s="190" t="s">
        <v>1213</v>
      </c>
      <c r="D340" s="281" t="s">
        <v>395</v>
      </c>
      <c r="E340" s="25"/>
      <c r="F340" s="25"/>
      <c r="G340" s="25">
        <f t="array" ref="G340">SUM(IF("156"&amp;C340=KHN&amp;MH,SL))</f>
        <v>3</v>
      </c>
      <c r="H340" s="25">
        <f t="array" ref="H340">SUM(IF("156"&amp;C340=KHN&amp;MH,TH))</f>
        <v>420197</v>
      </c>
      <c r="I340" s="25">
        <f t="array" ref="I340">SUM(IF("156"&amp;C340=KHC&amp;MH,SL))</f>
        <v>3</v>
      </c>
      <c r="J340" s="25">
        <f t="array" ref="J340">SUM(IF("156"&amp;C340=KHC&amp;MH,TH))</f>
        <v>420197</v>
      </c>
      <c r="K340" s="25">
        <f t="shared" si="22"/>
        <v>0</v>
      </c>
      <c r="L340" s="25">
        <f t="shared" si="23"/>
        <v>0</v>
      </c>
      <c r="M340" s="279"/>
    </row>
    <row r="341" spans="1:13" ht="18.75" hidden="1" customHeight="1">
      <c r="A341" s="279" t="str">
        <f t="shared" si="20"/>
        <v>NL</v>
      </c>
      <c r="B341" s="745">
        <f t="shared" si="21"/>
        <v>330</v>
      </c>
      <c r="C341" s="190" t="s">
        <v>695</v>
      </c>
      <c r="D341" s="281" t="s">
        <v>395</v>
      </c>
      <c r="E341" s="25"/>
      <c r="F341" s="25"/>
      <c r="G341" s="25">
        <f t="array" ref="G341">SUM(IF("156"&amp;C341=KHN&amp;MH,SL))</f>
        <v>101</v>
      </c>
      <c r="H341" s="25">
        <f t="array" ref="H341">SUM(IF("156"&amp;C341=KHN&amp;MH,TH))</f>
        <v>12392700</v>
      </c>
      <c r="I341" s="25">
        <f t="array" ref="I341">SUM(IF("156"&amp;C341=KHC&amp;MH,SL))</f>
        <v>101</v>
      </c>
      <c r="J341" s="25">
        <f t="array" ref="J341">SUM(IF("156"&amp;C341=KHC&amp;MH,TH))</f>
        <v>12392700</v>
      </c>
      <c r="K341" s="25">
        <f t="shared" si="22"/>
        <v>0</v>
      </c>
      <c r="L341" s="25">
        <f t="shared" si="23"/>
        <v>0</v>
      </c>
      <c r="M341" s="279"/>
    </row>
    <row r="342" spans="1:13" ht="18.75" hidden="1" customHeight="1">
      <c r="A342" s="279" t="str">
        <f t="shared" si="20"/>
        <v>NL</v>
      </c>
      <c r="B342" s="745">
        <f t="shared" si="21"/>
        <v>331</v>
      </c>
      <c r="C342" s="190" t="s">
        <v>699</v>
      </c>
      <c r="D342" s="281" t="s">
        <v>395</v>
      </c>
      <c r="E342" s="25"/>
      <c r="F342" s="25"/>
      <c r="G342" s="25">
        <f t="array" ref="G342">SUM(IF("156"&amp;C342=KHN&amp;MH,SL))</f>
        <v>100</v>
      </c>
      <c r="H342" s="25">
        <f t="array" ref="H342">SUM(IF("156"&amp;C342=KHN&amp;MH,TH))</f>
        <v>5129300</v>
      </c>
      <c r="I342" s="25">
        <f t="array" ref="I342">SUM(IF("156"&amp;C342=KHC&amp;MH,SL))</f>
        <v>100</v>
      </c>
      <c r="J342" s="25">
        <f t="array" ref="J342">SUM(IF("156"&amp;C342=KHC&amp;MH,TH))</f>
        <v>5129300</v>
      </c>
      <c r="K342" s="25">
        <f t="shared" si="22"/>
        <v>0</v>
      </c>
      <c r="L342" s="25">
        <f t="shared" si="23"/>
        <v>0</v>
      </c>
      <c r="M342" s="279"/>
    </row>
    <row r="343" spans="1:13" ht="18.75" hidden="1" customHeight="1">
      <c r="A343" s="279" t="str">
        <f t="shared" si="20"/>
        <v>NL</v>
      </c>
      <c r="B343" s="745">
        <f t="shared" si="21"/>
        <v>332</v>
      </c>
      <c r="C343" s="190" t="s">
        <v>698</v>
      </c>
      <c r="D343" s="281" t="s">
        <v>395</v>
      </c>
      <c r="E343" s="25"/>
      <c r="F343" s="25"/>
      <c r="G343" s="25">
        <f t="array" ref="G343">SUM(IF("156"&amp;C343=KHN&amp;MH,SL))</f>
        <v>100</v>
      </c>
      <c r="H343" s="25">
        <f t="array" ref="H343">SUM(IF("156"&amp;C343=KHN&amp;MH,TH))</f>
        <v>9112300</v>
      </c>
      <c r="I343" s="25">
        <f t="array" ref="I343">SUM(IF("156"&amp;C343=KHC&amp;MH,SL))</f>
        <v>100</v>
      </c>
      <c r="J343" s="25">
        <f t="array" ref="J343">SUM(IF("156"&amp;C343=KHC&amp;MH,TH))</f>
        <v>9112300</v>
      </c>
      <c r="K343" s="25">
        <f t="shared" si="22"/>
        <v>0</v>
      </c>
      <c r="L343" s="25">
        <f t="shared" si="23"/>
        <v>0</v>
      </c>
      <c r="M343" s="279"/>
    </row>
    <row r="344" spans="1:13" ht="18.75" hidden="1" customHeight="1">
      <c r="A344" s="279" t="str">
        <f t="shared" si="20"/>
        <v>NL</v>
      </c>
      <c r="B344" s="745">
        <f t="shared" si="21"/>
        <v>333</v>
      </c>
      <c r="C344" s="190" t="s">
        <v>752</v>
      </c>
      <c r="D344" s="281" t="s">
        <v>395</v>
      </c>
      <c r="E344" s="25"/>
      <c r="F344" s="25"/>
      <c r="G344" s="25">
        <f t="array" ref="G344">SUM(IF("156"&amp;C344=KHN&amp;MH,SL))</f>
        <v>40</v>
      </c>
      <c r="H344" s="25">
        <f t="array" ref="H344">SUM(IF("156"&amp;C344=KHN&amp;MH,TH))</f>
        <v>1932360</v>
      </c>
      <c r="I344" s="25">
        <f t="array" ref="I344">SUM(IF("156"&amp;C344=KHC&amp;MH,SL))</f>
        <v>40</v>
      </c>
      <c r="J344" s="25">
        <f t="array" ref="J344">SUM(IF("156"&amp;C344=KHC&amp;MH,TH))</f>
        <v>1932360</v>
      </c>
      <c r="K344" s="25">
        <f t="shared" si="22"/>
        <v>0</v>
      </c>
      <c r="L344" s="25">
        <f t="shared" si="23"/>
        <v>0</v>
      </c>
      <c r="M344" s="279"/>
    </row>
    <row r="345" spans="1:13" ht="18.75" hidden="1" customHeight="1">
      <c r="A345" s="279" t="str">
        <f t="shared" si="20"/>
        <v>NL</v>
      </c>
      <c r="B345" s="745">
        <f t="shared" si="21"/>
        <v>334</v>
      </c>
      <c r="C345" s="190" t="s">
        <v>751</v>
      </c>
      <c r="D345" s="281" t="s">
        <v>395</v>
      </c>
      <c r="E345" s="25"/>
      <c r="F345" s="25"/>
      <c r="G345" s="25">
        <f t="array" ref="G345">SUM(IF("156"&amp;C345=KHN&amp;MH,SL))</f>
        <v>22</v>
      </c>
      <c r="H345" s="25">
        <f t="array" ref="H345">SUM(IF("156"&amp;C345=KHN&amp;MH,TH))</f>
        <v>1867426</v>
      </c>
      <c r="I345" s="25">
        <f t="array" ref="I345">SUM(IF("156"&amp;C345=KHC&amp;MH,SL))</f>
        <v>22</v>
      </c>
      <c r="J345" s="25">
        <f t="array" ref="J345">SUM(IF("156"&amp;C345=KHC&amp;MH,TH))</f>
        <v>1867426</v>
      </c>
      <c r="K345" s="25">
        <f t="shared" si="22"/>
        <v>0</v>
      </c>
      <c r="L345" s="25">
        <f t="shared" si="23"/>
        <v>0</v>
      </c>
      <c r="M345" s="279"/>
    </row>
    <row r="346" spans="1:13" ht="18.75" hidden="1" customHeight="1">
      <c r="A346" s="279" t="str">
        <f t="shared" si="20"/>
        <v>NL</v>
      </c>
      <c r="B346" s="745">
        <f t="shared" si="21"/>
        <v>335</v>
      </c>
      <c r="C346" s="190" t="s">
        <v>1243</v>
      </c>
      <c r="D346" s="281" t="s">
        <v>395</v>
      </c>
      <c r="E346" s="25"/>
      <c r="F346" s="25"/>
      <c r="G346" s="25">
        <f t="array" ref="G346">SUM(IF("156"&amp;C346=KHN&amp;MH,SL))</f>
        <v>40</v>
      </c>
      <c r="H346" s="25">
        <f t="array" ref="H346">SUM(IF("156"&amp;C346=KHN&amp;MH,TH))</f>
        <v>3028628</v>
      </c>
      <c r="I346" s="25">
        <f t="array" ref="I346">SUM(IF("156"&amp;C346=KHC&amp;MH,SL))</f>
        <v>40</v>
      </c>
      <c r="J346" s="25">
        <f t="array" ref="J346">SUM(IF("156"&amp;C346=KHC&amp;MH,TH))</f>
        <v>3028628</v>
      </c>
      <c r="K346" s="25">
        <f t="shared" si="22"/>
        <v>0</v>
      </c>
      <c r="L346" s="25">
        <f t="shared" si="23"/>
        <v>0</v>
      </c>
      <c r="M346" s="279"/>
    </row>
    <row r="347" spans="1:13" ht="18.75" hidden="1" customHeight="1">
      <c r="A347" s="279" t="str">
        <f t="shared" si="20"/>
        <v>NL</v>
      </c>
      <c r="B347" s="745">
        <f t="shared" si="21"/>
        <v>336</v>
      </c>
      <c r="C347" s="190" t="s">
        <v>1247</v>
      </c>
      <c r="D347" s="281" t="s">
        <v>395</v>
      </c>
      <c r="E347" s="25"/>
      <c r="F347" s="25"/>
      <c r="G347" s="25">
        <f t="array" ref="G347">SUM(IF("156"&amp;C347=KHN&amp;MH,SL))</f>
        <v>35</v>
      </c>
      <c r="H347" s="25">
        <f t="array" ref="H347">SUM(IF("156"&amp;C347=KHN&amp;MH,TH))</f>
        <v>1097363</v>
      </c>
      <c r="I347" s="25">
        <f t="array" ref="I347">SUM(IF("156"&amp;C347=KHC&amp;MH,SL))</f>
        <v>35</v>
      </c>
      <c r="J347" s="25">
        <f t="array" ref="J347">SUM(IF("156"&amp;C347=KHC&amp;MH,TH))</f>
        <v>1097363</v>
      </c>
      <c r="K347" s="25">
        <f t="shared" si="22"/>
        <v>0</v>
      </c>
      <c r="L347" s="25">
        <f t="shared" si="23"/>
        <v>0</v>
      </c>
      <c r="M347" s="279"/>
    </row>
    <row r="348" spans="1:13" ht="18.75" hidden="1" customHeight="1">
      <c r="A348" s="279" t="str">
        <f t="shared" si="20"/>
        <v>NL</v>
      </c>
      <c r="B348" s="745">
        <f t="shared" si="21"/>
        <v>337</v>
      </c>
      <c r="C348" s="190" t="s">
        <v>1246</v>
      </c>
      <c r="D348" s="281" t="s">
        <v>395</v>
      </c>
      <c r="E348" s="25"/>
      <c r="F348" s="25"/>
      <c r="G348" s="25">
        <f t="array" ref="G348">SUM(IF("156"&amp;C348=KHN&amp;MH,SL))</f>
        <v>35</v>
      </c>
      <c r="H348" s="25">
        <f t="array" ref="H348">SUM(IF("156"&amp;C348=KHN&amp;MH,TH))</f>
        <v>1075049</v>
      </c>
      <c r="I348" s="25">
        <f t="array" ref="I348">SUM(IF("156"&amp;C348=KHC&amp;MH,SL))</f>
        <v>35</v>
      </c>
      <c r="J348" s="25">
        <f t="array" ref="J348">SUM(IF("156"&amp;C348=KHC&amp;MH,TH))</f>
        <v>1075049</v>
      </c>
      <c r="K348" s="25">
        <f t="shared" si="22"/>
        <v>0</v>
      </c>
      <c r="L348" s="25">
        <f t="shared" si="23"/>
        <v>0</v>
      </c>
      <c r="M348" s="279"/>
    </row>
    <row r="349" spans="1:13" ht="18.75" hidden="1" customHeight="1">
      <c r="A349" s="279" t="str">
        <f t="shared" si="20"/>
        <v>NL</v>
      </c>
      <c r="B349" s="745">
        <f t="shared" si="21"/>
        <v>338</v>
      </c>
      <c r="C349" s="190" t="s">
        <v>1236</v>
      </c>
      <c r="D349" s="281" t="s">
        <v>395</v>
      </c>
      <c r="E349" s="25"/>
      <c r="F349" s="25"/>
      <c r="G349" s="25">
        <f t="array" ref="G349">SUM(IF("156"&amp;C349=KHN&amp;MH,SL))</f>
        <v>123</v>
      </c>
      <c r="H349" s="25">
        <f t="array" ref="H349">SUM(IF("156"&amp;C349=KHN&amp;MH,TH))</f>
        <v>1438485</v>
      </c>
      <c r="I349" s="25">
        <f t="array" ref="I349">SUM(IF("156"&amp;C349=KHC&amp;MH,SL))</f>
        <v>123</v>
      </c>
      <c r="J349" s="25">
        <f t="array" ref="J349">SUM(IF("156"&amp;C349=KHC&amp;MH,TH))</f>
        <v>1438485</v>
      </c>
      <c r="K349" s="25">
        <f t="shared" si="22"/>
        <v>0</v>
      </c>
      <c r="L349" s="25">
        <f t="shared" si="23"/>
        <v>0</v>
      </c>
      <c r="M349" s="279"/>
    </row>
    <row r="350" spans="1:13" ht="18.75" hidden="1" customHeight="1">
      <c r="A350" s="279" t="str">
        <f t="shared" si="20"/>
        <v>NL</v>
      </c>
      <c r="B350" s="745">
        <f t="shared" si="21"/>
        <v>339</v>
      </c>
      <c r="C350" s="190" t="s">
        <v>769</v>
      </c>
      <c r="D350" s="281" t="s">
        <v>395</v>
      </c>
      <c r="E350" s="25"/>
      <c r="F350" s="25"/>
      <c r="G350" s="25">
        <f t="array" ref="G350">SUM(IF("156"&amp;C350=KHN&amp;MH,SL))</f>
        <v>1000</v>
      </c>
      <c r="H350" s="25">
        <f t="array" ref="H350">SUM(IF("156"&amp;C350=KHN&amp;MH,TH))</f>
        <v>912000</v>
      </c>
      <c r="I350" s="25">
        <f t="array" ref="I350">SUM(IF("156"&amp;C350=KHC&amp;MH,SL))</f>
        <v>1000</v>
      </c>
      <c r="J350" s="25">
        <f t="array" ref="J350">SUM(IF("156"&amp;C350=KHC&amp;MH,TH))</f>
        <v>912000</v>
      </c>
      <c r="K350" s="25">
        <f t="shared" si="22"/>
        <v>0</v>
      </c>
      <c r="L350" s="25">
        <f t="shared" si="23"/>
        <v>0</v>
      </c>
      <c r="M350" s="279"/>
    </row>
    <row r="351" spans="1:13" ht="18.75" hidden="1" customHeight="1">
      <c r="A351" s="279" t="str">
        <f t="shared" si="20"/>
        <v>NL</v>
      </c>
      <c r="B351" s="745">
        <f t="shared" si="21"/>
        <v>340</v>
      </c>
      <c r="C351" s="190" t="s">
        <v>1181</v>
      </c>
      <c r="D351" s="281" t="s">
        <v>395</v>
      </c>
      <c r="E351" s="25"/>
      <c r="F351" s="25"/>
      <c r="G351" s="25">
        <f t="array" ref="G351">SUM(IF("156"&amp;C351=KHN&amp;MH,SL))</f>
        <v>309</v>
      </c>
      <c r="H351" s="25">
        <f t="array" ref="H351">SUM(IF("156"&amp;C351=KHN&amp;MH,TH))</f>
        <v>2362732</v>
      </c>
      <c r="I351" s="25">
        <f t="array" ref="I351">SUM(IF("156"&amp;C351=KHC&amp;MH,SL))</f>
        <v>309</v>
      </c>
      <c r="J351" s="25">
        <f t="array" ref="J351">SUM(IF("156"&amp;C351=KHC&amp;MH,TH))</f>
        <v>2362732</v>
      </c>
      <c r="K351" s="25">
        <f t="shared" si="22"/>
        <v>0</v>
      </c>
      <c r="L351" s="25">
        <f t="shared" si="23"/>
        <v>0</v>
      </c>
      <c r="M351" s="279"/>
    </row>
    <row r="352" spans="1:13" ht="18.75" hidden="1" customHeight="1">
      <c r="A352" s="279" t="str">
        <f t="shared" si="20"/>
        <v>NL</v>
      </c>
      <c r="B352" s="745">
        <f t="shared" si="21"/>
        <v>341</v>
      </c>
      <c r="C352" s="190" t="s">
        <v>711</v>
      </c>
      <c r="D352" s="281" t="s">
        <v>395</v>
      </c>
      <c r="E352" s="25"/>
      <c r="F352" s="25"/>
      <c r="G352" s="25">
        <f t="array" ref="G352">SUM(IF("156"&amp;C352=KHN&amp;MH,SL))</f>
        <v>200</v>
      </c>
      <c r="H352" s="25">
        <f t="array" ref="H352">SUM(IF("156"&amp;C352=KHN&amp;MH,TH))</f>
        <v>1344000</v>
      </c>
      <c r="I352" s="25">
        <f t="array" ref="I352">SUM(IF("156"&amp;C352=KHC&amp;MH,SL))</f>
        <v>200</v>
      </c>
      <c r="J352" s="25">
        <f t="array" ref="J352">SUM(IF("156"&amp;C352=KHC&amp;MH,TH))</f>
        <v>1344000</v>
      </c>
      <c r="K352" s="25">
        <f t="shared" si="22"/>
        <v>0</v>
      </c>
      <c r="L352" s="25">
        <f t="shared" si="23"/>
        <v>0</v>
      </c>
      <c r="M352" s="279"/>
    </row>
    <row r="353" spans="1:13" ht="18.75" hidden="1" customHeight="1">
      <c r="A353" s="279" t="str">
        <f t="shared" si="20"/>
        <v>NL</v>
      </c>
      <c r="B353" s="745">
        <f t="shared" si="21"/>
        <v>342</v>
      </c>
      <c r="C353" s="190" t="s">
        <v>1191</v>
      </c>
      <c r="D353" s="281" t="s">
        <v>395</v>
      </c>
      <c r="E353" s="25"/>
      <c r="F353" s="25"/>
      <c r="G353" s="25">
        <f t="array" ref="G353">SUM(IF("156"&amp;C353=KHN&amp;MH,SL))</f>
        <v>200</v>
      </c>
      <c r="H353" s="25">
        <f t="array" ref="H353">SUM(IF("156"&amp;C353=KHN&amp;MH,TH))</f>
        <v>828316</v>
      </c>
      <c r="I353" s="25">
        <f t="array" ref="I353">SUM(IF("156"&amp;C353=KHC&amp;MH,SL))</f>
        <v>200</v>
      </c>
      <c r="J353" s="25">
        <f t="array" ref="J353">SUM(IF("156"&amp;C353=KHC&amp;MH,TH))</f>
        <v>828316</v>
      </c>
      <c r="K353" s="25">
        <f t="shared" si="22"/>
        <v>0</v>
      </c>
      <c r="L353" s="25">
        <f t="shared" si="23"/>
        <v>0</v>
      </c>
      <c r="M353" s="279"/>
    </row>
    <row r="354" spans="1:13" ht="18.75" hidden="1" customHeight="1">
      <c r="A354" s="279" t="str">
        <f t="shared" si="20"/>
        <v>NL</v>
      </c>
      <c r="B354" s="745">
        <f t="shared" si="21"/>
        <v>343</v>
      </c>
      <c r="C354" s="190" t="s">
        <v>498</v>
      </c>
      <c r="D354" s="281" t="s">
        <v>395</v>
      </c>
      <c r="E354" s="25"/>
      <c r="F354" s="25"/>
      <c r="G354" s="25">
        <f t="array" ref="G354">SUM(IF("156"&amp;C354=KHN&amp;MH,SL))</f>
        <v>600</v>
      </c>
      <c r="H354" s="25">
        <f t="array" ref="H354">SUM(IF("156"&amp;C354=KHN&amp;MH,TH))</f>
        <v>3618000</v>
      </c>
      <c r="I354" s="25">
        <f t="array" ref="I354">SUM(IF("156"&amp;C354=KHC&amp;MH,SL))</f>
        <v>600</v>
      </c>
      <c r="J354" s="25">
        <f t="array" ref="J354">SUM(IF("156"&amp;C354=KHC&amp;MH,TH))</f>
        <v>3618000</v>
      </c>
      <c r="K354" s="25">
        <f t="shared" si="22"/>
        <v>0</v>
      </c>
      <c r="L354" s="25">
        <f t="shared" si="23"/>
        <v>0</v>
      </c>
      <c r="M354" s="279"/>
    </row>
    <row r="355" spans="1:13" ht="18.75" hidden="1" customHeight="1">
      <c r="A355" s="279" t="str">
        <f t="shared" si="20"/>
        <v>NL</v>
      </c>
      <c r="B355" s="745">
        <f t="shared" si="21"/>
        <v>344</v>
      </c>
      <c r="C355" s="190" t="s">
        <v>1192</v>
      </c>
      <c r="D355" s="281" t="s">
        <v>395</v>
      </c>
      <c r="E355" s="25"/>
      <c r="F355" s="25"/>
      <c r="G355" s="25">
        <f t="array" ref="G355">SUM(IF("156"&amp;C355=KHN&amp;MH,SL))</f>
        <v>300</v>
      </c>
      <c r="H355" s="25">
        <f t="array" ref="H355">SUM(IF("156"&amp;C355=KHN&amp;MH,TH))</f>
        <v>1416749</v>
      </c>
      <c r="I355" s="25">
        <f t="array" ref="I355">SUM(IF("156"&amp;C355=KHC&amp;MH,SL))</f>
        <v>300</v>
      </c>
      <c r="J355" s="25">
        <f t="array" ref="J355">SUM(IF("156"&amp;C355=KHC&amp;MH,TH))</f>
        <v>1416749</v>
      </c>
      <c r="K355" s="25">
        <f t="shared" si="22"/>
        <v>0</v>
      </c>
      <c r="L355" s="25">
        <f t="shared" si="23"/>
        <v>0</v>
      </c>
      <c r="M355" s="279"/>
    </row>
    <row r="356" spans="1:13" ht="18.75" hidden="1" customHeight="1">
      <c r="A356" s="279" t="str">
        <f t="shared" si="20"/>
        <v>NL</v>
      </c>
      <c r="B356" s="745">
        <f t="shared" si="21"/>
        <v>345</v>
      </c>
      <c r="C356" s="190" t="s">
        <v>1232</v>
      </c>
      <c r="D356" s="281" t="s">
        <v>395</v>
      </c>
      <c r="E356" s="25"/>
      <c r="F356" s="25"/>
      <c r="G356" s="25">
        <f t="array" ref="G356">SUM(IF("156"&amp;C356=KHN&amp;MH,SL))</f>
        <v>2500</v>
      </c>
      <c r="H356" s="25">
        <f t="array" ref="H356">SUM(IF("156"&amp;C356=KHN&amp;MH,TH))</f>
        <v>10476000</v>
      </c>
      <c r="I356" s="25">
        <f t="array" ref="I356">SUM(IF("156"&amp;C356=KHC&amp;MH,SL))</f>
        <v>2500</v>
      </c>
      <c r="J356" s="25">
        <f t="array" ref="J356">SUM(IF("156"&amp;C356=KHC&amp;MH,TH))</f>
        <v>10476000</v>
      </c>
      <c r="K356" s="25">
        <f t="shared" si="22"/>
        <v>0</v>
      </c>
      <c r="L356" s="25">
        <f t="shared" si="23"/>
        <v>0</v>
      </c>
      <c r="M356" s="279"/>
    </row>
    <row r="357" spans="1:13" ht="18.75" hidden="1" customHeight="1">
      <c r="A357" s="279" t="str">
        <f t="shared" si="20"/>
        <v>NL</v>
      </c>
      <c r="B357" s="745">
        <f t="shared" si="21"/>
        <v>346</v>
      </c>
      <c r="C357" s="190" t="s">
        <v>908</v>
      </c>
      <c r="D357" s="281" t="s">
        <v>395</v>
      </c>
      <c r="E357" s="25"/>
      <c r="F357" s="25"/>
      <c r="G357" s="25">
        <f t="array" ref="G357">SUM(IF("156"&amp;C357=KHN&amp;MH,SL))</f>
        <v>248</v>
      </c>
      <c r="H357" s="25">
        <f t="array" ref="H357">SUM(IF("156"&amp;C357=KHN&amp;MH,TH))</f>
        <v>2837120</v>
      </c>
      <c r="I357" s="25">
        <f t="array" ref="I357">SUM(IF("156"&amp;C357=KHC&amp;MH,SL))</f>
        <v>248</v>
      </c>
      <c r="J357" s="25">
        <f t="array" ref="J357">SUM(IF("156"&amp;C357=KHC&amp;MH,TH))</f>
        <v>2837120</v>
      </c>
      <c r="K357" s="25">
        <f t="shared" si="22"/>
        <v>0</v>
      </c>
      <c r="L357" s="25">
        <f t="shared" si="23"/>
        <v>0</v>
      </c>
      <c r="M357" s="279"/>
    </row>
    <row r="358" spans="1:13" ht="18.75" hidden="1" customHeight="1">
      <c r="A358" s="279" t="str">
        <f t="shared" si="20"/>
        <v>NL</v>
      </c>
      <c r="B358" s="745">
        <f t="shared" si="21"/>
        <v>347</v>
      </c>
      <c r="C358" s="190" t="s">
        <v>757</v>
      </c>
      <c r="D358" s="281" t="s">
        <v>395</v>
      </c>
      <c r="E358" s="25"/>
      <c r="F358" s="25"/>
      <c r="G358" s="25">
        <f t="array" ref="G358">SUM(IF("156"&amp;C358=KHN&amp;MH,SL))</f>
        <v>500</v>
      </c>
      <c r="H358" s="25">
        <f t="array" ref="H358">SUM(IF("156"&amp;C358=KHN&amp;MH,TH))</f>
        <v>8400000</v>
      </c>
      <c r="I358" s="25">
        <f t="array" ref="I358">SUM(IF("156"&amp;C358=KHC&amp;MH,SL))</f>
        <v>500</v>
      </c>
      <c r="J358" s="25">
        <f t="array" ref="J358">SUM(IF("156"&amp;C358=KHC&amp;MH,TH))</f>
        <v>8400000</v>
      </c>
      <c r="K358" s="25">
        <f t="shared" si="22"/>
        <v>0</v>
      </c>
      <c r="L358" s="25">
        <f t="shared" si="23"/>
        <v>0</v>
      </c>
      <c r="M358" s="279"/>
    </row>
    <row r="359" spans="1:13" ht="18.75" hidden="1" customHeight="1">
      <c r="A359" s="279" t="str">
        <f t="shared" si="20"/>
        <v>NL</v>
      </c>
      <c r="B359" s="745">
        <f t="shared" si="21"/>
        <v>348</v>
      </c>
      <c r="C359" s="190" t="s">
        <v>925</v>
      </c>
      <c r="D359" s="281" t="s">
        <v>395</v>
      </c>
      <c r="E359" s="25"/>
      <c r="F359" s="25"/>
      <c r="G359" s="25">
        <f t="array" ref="G359">SUM(IF("156"&amp;C359=KHN&amp;MH,SL))</f>
        <v>3200</v>
      </c>
      <c r="H359" s="25">
        <f t="array" ref="H359">SUM(IF("156"&amp;C359=KHN&amp;MH,TH))</f>
        <v>30713600</v>
      </c>
      <c r="I359" s="25">
        <f t="array" ref="I359">SUM(IF("156"&amp;C359=KHC&amp;MH,SL))</f>
        <v>3200</v>
      </c>
      <c r="J359" s="25">
        <f t="array" ref="J359">SUM(IF("156"&amp;C359=KHC&amp;MH,TH))</f>
        <v>30713600</v>
      </c>
      <c r="K359" s="25">
        <f t="shared" si="22"/>
        <v>0</v>
      </c>
      <c r="L359" s="25">
        <f t="shared" si="23"/>
        <v>0</v>
      </c>
      <c r="M359" s="279"/>
    </row>
    <row r="360" spans="1:13" ht="18.75" hidden="1" customHeight="1">
      <c r="A360" s="279" t="str">
        <f t="shared" si="20"/>
        <v>NL</v>
      </c>
      <c r="B360" s="745">
        <f t="shared" si="21"/>
        <v>349</v>
      </c>
      <c r="C360" s="190" t="s">
        <v>1233</v>
      </c>
      <c r="D360" s="281" t="s">
        <v>395</v>
      </c>
      <c r="E360" s="25"/>
      <c r="F360" s="25"/>
      <c r="G360" s="25">
        <f t="array" ref="G360">SUM(IF("156"&amp;C360=KHN&amp;MH,SL))</f>
        <v>3500</v>
      </c>
      <c r="H360" s="25">
        <f t="array" ref="H360">SUM(IF("156"&amp;C360=KHN&amp;MH,TH))</f>
        <v>21416500</v>
      </c>
      <c r="I360" s="25">
        <f t="array" ref="I360">SUM(IF("156"&amp;C360=KHC&amp;MH,SL))</f>
        <v>3500</v>
      </c>
      <c r="J360" s="25">
        <f t="array" ref="J360">SUM(IF("156"&amp;C360=KHC&amp;MH,TH))</f>
        <v>21416500</v>
      </c>
      <c r="K360" s="25">
        <f t="shared" si="22"/>
        <v>0</v>
      </c>
      <c r="L360" s="25">
        <f t="shared" si="23"/>
        <v>0</v>
      </c>
      <c r="M360" s="279"/>
    </row>
    <row r="361" spans="1:13" ht="18.75" customHeight="1">
      <c r="A361" s="279" t="str">
        <f t="shared" si="20"/>
        <v>NL</v>
      </c>
      <c r="B361" s="745">
        <f t="shared" si="21"/>
        <v>350</v>
      </c>
      <c r="C361" s="190" t="s">
        <v>1238</v>
      </c>
      <c r="D361" s="281" t="s">
        <v>395</v>
      </c>
      <c r="E361" s="25"/>
      <c r="F361" s="25"/>
      <c r="G361" s="25">
        <f t="array" ref="G361">SUM(IF("156"&amp;C361=KHN&amp;MH,SL))</f>
        <v>7996</v>
      </c>
      <c r="H361" s="25">
        <f t="array" ref="H361">SUM(IF("156"&amp;C361=KHN&amp;MH,TH))</f>
        <v>74682916</v>
      </c>
      <c r="I361" s="25">
        <f t="array" ref="I361">SUM(IF("156"&amp;C361=KHC&amp;MH,SL))</f>
        <v>6996</v>
      </c>
      <c r="J361" s="25">
        <f t="array" ref="J361">SUM(IF("156"&amp;C361=KHC&amp;MH,TH))</f>
        <v>65911916</v>
      </c>
      <c r="K361" s="25">
        <f t="shared" si="22"/>
        <v>1000</v>
      </c>
      <c r="L361" s="25">
        <f t="shared" si="23"/>
        <v>8771000</v>
      </c>
      <c r="M361" s="279"/>
    </row>
    <row r="362" spans="1:13" ht="18.75" hidden="1" customHeight="1">
      <c r="A362" s="279" t="str">
        <f t="shared" si="20"/>
        <v>NL</v>
      </c>
      <c r="B362" s="745">
        <f t="shared" si="21"/>
        <v>351</v>
      </c>
      <c r="C362" s="190" t="s">
        <v>1217</v>
      </c>
      <c r="D362" s="281" t="s">
        <v>395</v>
      </c>
      <c r="E362" s="25"/>
      <c r="F362" s="25"/>
      <c r="G362" s="25">
        <f t="array" ref="G362">SUM(IF("156"&amp;C362=KHN&amp;MH,SL))</f>
        <v>40</v>
      </c>
      <c r="H362" s="25">
        <f t="array" ref="H362">SUM(IF("156"&amp;C362=KHN&amp;MH,TH))</f>
        <v>999040</v>
      </c>
      <c r="I362" s="25">
        <f t="array" ref="I362">SUM(IF("156"&amp;C362=KHC&amp;MH,SL))</f>
        <v>40</v>
      </c>
      <c r="J362" s="25">
        <f t="array" ref="J362">SUM(IF("156"&amp;C362=KHC&amp;MH,TH))</f>
        <v>999040</v>
      </c>
      <c r="K362" s="25">
        <f t="shared" si="22"/>
        <v>0</v>
      </c>
      <c r="L362" s="25">
        <f t="shared" si="23"/>
        <v>0</v>
      </c>
      <c r="M362" s="279"/>
    </row>
    <row r="363" spans="1:13" ht="18.75" hidden="1" customHeight="1">
      <c r="A363" s="279" t="str">
        <f t="shared" si="20"/>
        <v>NL</v>
      </c>
      <c r="B363" s="745">
        <f t="shared" si="21"/>
        <v>352</v>
      </c>
      <c r="C363" s="187" t="s">
        <v>1227</v>
      </c>
      <c r="D363" s="281" t="s">
        <v>395</v>
      </c>
      <c r="E363" s="25"/>
      <c r="F363" s="25"/>
      <c r="G363" s="25">
        <f t="array" ref="G363">SUM(IF("156"&amp;C363=KHN&amp;MH,SL))</f>
        <v>10</v>
      </c>
      <c r="H363" s="25">
        <f t="array" ref="H363">SUM(IF("156"&amp;C363=KHN&amp;MH,TH))</f>
        <v>259850</v>
      </c>
      <c r="I363" s="25">
        <f t="array" ref="I363">SUM(IF("156"&amp;C363=KHC&amp;MH,SL))</f>
        <v>10</v>
      </c>
      <c r="J363" s="25">
        <f t="array" ref="J363">SUM(IF("156"&amp;C363=KHC&amp;MH,TH))</f>
        <v>259850</v>
      </c>
      <c r="K363" s="25">
        <f t="shared" si="22"/>
        <v>0</v>
      </c>
      <c r="L363" s="25">
        <f t="shared" si="23"/>
        <v>0</v>
      </c>
      <c r="M363" s="279"/>
    </row>
    <row r="364" spans="1:13" ht="18.75" hidden="1" customHeight="1">
      <c r="A364" s="279" t="str">
        <f t="shared" si="20"/>
        <v>NL</v>
      </c>
      <c r="B364" s="745">
        <f t="shared" si="21"/>
        <v>353</v>
      </c>
      <c r="C364" s="190" t="s">
        <v>768</v>
      </c>
      <c r="D364" s="281" t="s">
        <v>395</v>
      </c>
      <c r="E364" s="25"/>
      <c r="F364" s="25"/>
      <c r="G364" s="25">
        <f t="array" ref="G364">SUM(IF("156"&amp;C364=KHN&amp;MH,SL))</f>
        <v>36</v>
      </c>
      <c r="H364" s="25">
        <f t="array" ref="H364">SUM(IF("156"&amp;C364=KHN&amp;MH,TH))</f>
        <v>214452</v>
      </c>
      <c r="I364" s="25">
        <f t="array" ref="I364">SUM(IF("156"&amp;C364=KHC&amp;MH,SL))</f>
        <v>36</v>
      </c>
      <c r="J364" s="25">
        <f t="array" ref="J364">SUM(IF("156"&amp;C364=KHC&amp;MH,TH))</f>
        <v>214452</v>
      </c>
      <c r="K364" s="25">
        <f t="shared" si="22"/>
        <v>0</v>
      </c>
      <c r="L364" s="25">
        <f t="shared" si="23"/>
        <v>0</v>
      </c>
      <c r="M364" s="279"/>
    </row>
    <row r="365" spans="1:13" ht="18.75" hidden="1" customHeight="1">
      <c r="A365" s="279" t="str">
        <f t="shared" si="20"/>
        <v>NL</v>
      </c>
      <c r="B365" s="745">
        <f t="shared" si="21"/>
        <v>354</v>
      </c>
      <c r="C365" s="190" t="s">
        <v>767</v>
      </c>
      <c r="D365" s="281" t="s">
        <v>395</v>
      </c>
      <c r="E365" s="25"/>
      <c r="F365" s="25"/>
      <c r="G365" s="25">
        <f t="array" ref="G365">SUM(IF("156"&amp;C365=KHN&amp;MH,SL))</f>
        <v>246</v>
      </c>
      <c r="H365" s="25">
        <f t="array" ref="H365">SUM(IF("156"&amp;C365=KHN&amp;MH,TH))</f>
        <v>2079438</v>
      </c>
      <c r="I365" s="25">
        <f t="array" ref="I365">SUM(IF("156"&amp;C365=KHC&amp;MH,SL))</f>
        <v>246</v>
      </c>
      <c r="J365" s="25">
        <f t="array" ref="J365">SUM(IF("156"&amp;C365=KHC&amp;MH,TH))</f>
        <v>2079438</v>
      </c>
      <c r="K365" s="25">
        <f t="shared" si="22"/>
        <v>0</v>
      </c>
      <c r="L365" s="25">
        <f t="shared" si="23"/>
        <v>0</v>
      </c>
      <c r="M365" s="279"/>
    </row>
    <row r="366" spans="1:13" ht="18.75" hidden="1" customHeight="1">
      <c r="A366" s="279" t="str">
        <f t="shared" si="20"/>
        <v>NL</v>
      </c>
      <c r="B366" s="745">
        <f t="shared" si="21"/>
        <v>355</v>
      </c>
      <c r="C366" s="190" t="s">
        <v>1193</v>
      </c>
      <c r="D366" s="281" t="s">
        <v>395</v>
      </c>
      <c r="E366" s="25"/>
      <c r="F366" s="25"/>
      <c r="G366" s="25">
        <f t="array" ref="G366">SUM(IF("156"&amp;C366=KHN&amp;MH,SL))</f>
        <v>200</v>
      </c>
      <c r="H366" s="25">
        <f t="array" ref="H366">SUM(IF("156"&amp;C366=KHN&amp;MH,TH))</f>
        <v>1822033</v>
      </c>
      <c r="I366" s="25">
        <f t="array" ref="I366">SUM(IF("156"&amp;C366=KHC&amp;MH,SL))</f>
        <v>200</v>
      </c>
      <c r="J366" s="25">
        <f t="array" ref="J366">SUM(IF("156"&amp;C366=KHC&amp;MH,TH))</f>
        <v>1822033</v>
      </c>
      <c r="K366" s="25">
        <f t="shared" si="22"/>
        <v>0</v>
      </c>
      <c r="L366" s="25">
        <f t="shared" si="23"/>
        <v>0</v>
      </c>
      <c r="M366" s="279"/>
    </row>
    <row r="367" spans="1:13" ht="18.75" hidden="1" customHeight="1">
      <c r="A367" s="279" t="str">
        <f t="shared" si="20"/>
        <v>NL</v>
      </c>
      <c r="B367" s="745">
        <f t="shared" si="21"/>
        <v>356</v>
      </c>
      <c r="C367" s="190" t="s">
        <v>1209</v>
      </c>
      <c r="D367" s="281" t="s">
        <v>395</v>
      </c>
      <c r="E367" s="25"/>
      <c r="F367" s="25"/>
      <c r="G367" s="25">
        <f t="array" ref="G367">SUM(IF("156"&amp;C367=KHN&amp;MH,SL))</f>
        <v>4000</v>
      </c>
      <c r="H367" s="25">
        <f t="array" ref="H367">SUM(IF("156"&amp;C367=KHN&amp;MH,TH))</f>
        <v>43028742</v>
      </c>
      <c r="I367" s="25">
        <f t="array" ref="I367">SUM(IF("156"&amp;C367=KHC&amp;MH,SL))</f>
        <v>4000</v>
      </c>
      <c r="J367" s="25">
        <f t="array" ref="J367">SUM(IF("156"&amp;C367=KHC&amp;MH,TH))</f>
        <v>43028742</v>
      </c>
      <c r="K367" s="25">
        <f t="shared" si="22"/>
        <v>0</v>
      </c>
      <c r="L367" s="25">
        <f t="shared" si="23"/>
        <v>0</v>
      </c>
      <c r="M367" s="279"/>
    </row>
    <row r="368" spans="1:13" ht="18.75" hidden="1" customHeight="1">
      <c r="A368" s="279" t="str">
        <f t="shared" si="20"/>
        <v>NL</v>
      </c>
      <c r="B368" s="745">
        <f t="shared" si="21"/>
        <v>357</v>
      </c>
      <c r="C368" s="190" t="s">
        <v>1195</v>
      </c>
      <c r="D368" s="281" t="s">
        <v>395</v>
      </c>
      <c r="E368" s="25"/>
      <c r="F368" s="25"/>
      <c r="G368" s="25">
        <f t="array" ref="G368">SUM(IF("156"&amp;C368=KHN&amp;MH,SL))</f>
        <v>200</v>
      </c>
      <c r="H368" s="25">
        <f t="array" ref="H368">SUM(IF("156"&amp;C368=KHN&amp;MH,TH))</f>
        <v>1822033</v>
      </c>
      <c r="I368" s="25">
        <f t="array" ref="I368">SUM(IF("156"&amp;C368=KHC&amp;MH,SL))</f>
        <v>200</v>
      </c>
      <c r="J368" s="25">
        <f t="array" ref="J368">SUM(IF("156"&amp;C368=KHC&amp;MH,TH))</f>
        <v>1822033</v>
      </c>
      <c r="K368" s="25">
        <f t="shared" si="22"/>
        <v>0</v>
      </c>
      <c r="L368" s="25">
        <f t="shared" si="23"/>
        <v>0</v>
      </c>
      <c r="M368" s="279"/>
    </row>
    <row r="369" spans="1:13" ht="18.75" hidden="1" customHeight="1">
      <c r="A369" s="279" t="str">
        <f t="shared" si="20"/>
        <v>NL</v>
      </c>
      <c r="B369" s="745">
        <f t="shared" si="21"/>
        <v>358</v>
      </c>
      <c r="C369" s="190" t="s">
        <v>773</v>
      </c>
      <c r="D369" s="281" t="s">
        <v>395</v>
      </c>
      <c r="E369" s="25"/>
      <c r="F369" s="25"/>
      <c r="G369" s="25">
        <f t="array" ref="G369">SUM(IF("156"&amp;C369=KHN&amp;MH,SL))</f>
        <v>56</v>
      </c>
      <c r="H369" s="25">
        <f t="array" ref="H369">SUM(IF("156"&amp;C369=KHN&amp;MH,TH))</f>
        <v>522032</v>
      </c>
      <c r="I369" s="25">
        <f t="array" ref="I369">SUM(IF("156"&amp;C369=KHC&amp;MH,SL))</f>
        <v>56</v>
      </c>
      <c r="J369" s="25">
        <f t="array" ref="J369">SUM(IF("156"&amp;C369=KHC&amp;MH,TH))</f>
        <v>522032</v>
      </c>
      <c r="K369" s="25">
        <f t="shared" si="22"/>
        <v>0</v>
      </c>
      <c r="L369" s="25">
        <f t="shared" si="23"/>
        <v>0</v>
      </c>
      <c r="M369" s="279"/>
    </row>
    <row r="370" spans="1:13" ht="18.75" hidden="1" customHeight="1">
      <c r="A370" s="279" t="str">
        <f t="shared" si="20"/>
        <v>NL</v>
      </c>
      <c r="B370" s="745">
        <f t="shared" si="21"/>
        <v>359</v>
      </c>
      <c r="C370" s="190" t="s">
        <v>772</v>
      </c>
      <c r="D370" s="281" t="s">
        <v>395</v>
      </c>
      <c r="E370" s="25"/>
      <c r="F370" s="25"/>
      <c r="G370" s="25">
        <f t="array" ref="G370">SUM(IF("156"&amp;C370=KHN&amp;MH,SL))</f>
        <v>350</v>
      </c>
      <c r="H370" s="25">
        <f t="array" ref="H370">SUM(IF("156"&amp;C370=KHN&amp;MH,TH))</f>
        <v>3904250</v>
      </c>
      <c r="I370" s="25">
        <f t="array" ref="I370">SUM(IF("156"&amp;C370=KHC&amp;MH,SL))</f>
        <v>350</v>
      </c>
      <c r="J370" s="25">
        <f t="array" ref="J370">SUM(IF("156"&amp;C370=KHC&amp;MH,TH))</f>
        <v>3904250</v>
      </c>
      <c r="K370" s="25">
        <f t="shared" si="22"/>
        <v>0</v>
      </c>
      <c r="L370" s="25">
        <f t="shared" si="23"/>
        <v>0</v>
      </c>
      <c r="M370" s="279"/>
    </row>
    <row r="371" spans="1:13" ht="18.75" hidden="1" customHeight="1">
      <c r="A371" s="279" t="str">
        <f t="shared" si="20"/>
        <v>NL</v>
      </c>
      <c r="B371" s="745">
        <f t="shared" si="21"/>
        <v>360</v>
      </c>
      <c r="C371" s="190" t="s">
        <v>906</v>
      </c>
      <c r="D371" s="281" t="s">
        <v>395</v>
      </c>
      <c r="E371" s="25"/>
      <c r="F371" s="25"/>
      <c r="G371" s="25">
        <f t="array" ref="G371">SUM(IF("156"&amp;C371=KHN&amp;MH,SL))</f>
        <v>490</v>
      </c>
      <c r="H371" s="25">
        <f t="array" ref="H371">SUM(IF("156"&amp;C371=KHN&amp;MH,TH))</f>
        <v>7644000</v>
      </c>
      <c r="I371" s="25">
        <f t="array" ref="I371">SUM(IF("156"&amp;C371=KHC&amp;MH,SL))</f>
        <v>490</v>
      </c>
      <c r="J371" s="25">
        <f t="array" ref="J371">SUM(IF("156"&amp;C371=KHC&amp;MH,TH))</f>
        <v>7644000</v>
      </c>
      <c r="K371" s="25">
        <f t="shared" si="22"/>
        <v>0</v>
      </c>
      <c r="L371" s="25">
        <f t="shared" si="23"/>
        <v>0</v>
      </c>
      <c r="M371" s="279"/>
    </row>
    <row r="372" spans="1:13" ht="18.75" hidden="1" customHeight="1">
      <c r="A372" s="279" t="str">
        <f t="shared" si="20"/>
        <v>NL</v>
      </c>
      <c r="B372" s="745">
        <f t="shared" si="21"/>
        <v>361</v>
      </c>
      <c r="C372" s="190" t="s">
        <v>907</v>
      </c>
      <c r="D372" s="281" t="s">
        <v>395</v>
      </c>
      <c r="E372" s="25"/>
      <c r="F372" s="25"/>
      <c r="G372" s="25">
        <f t="array" ref="G372">SUM(IF("156"&amp;C372=KHN&amp;MH,SL))</f>
        <v>248</v>
      </c>
      <c r="H372" s="25">
        <f t="array" ref="H372">SUM(IF("156"&amp;C372=KHN&amp;MH,TH))</f>
        <v>4133416</v>
      </c>
      <c r="I372" s="25">
        <f t="array" ref="I372">SUM(IF("156"&amp;C372=KHC&amp;MH,SL))</f>
        <v>248</v>
      </c>
      <c r="J372" s="25">
        <f t="array" ref="J372">SUM(IF("156"&amp;C372=KHC&amp;MH,TH))</f>
        <v>4133416</v>
      </c>
      <c r="K372" s="25">
        <f t="shared" si="22"/>
        <v>0</v>
      </c>
      <c r="L372" s="25">
        <f t="shared" si="23"/>
        <v>0</v>
      </c>
      <c r="M372" s="279"/>
    </row>
    <row r="373" spans="1:13" ht="18.75" hidden="1" customHeight="1">
      <c r="A373" s="279" t="str">
        <f t="shared" si="20"/>
        <v>NL</v>
      </c>
      <c r="B373" s="745">
        <f t="shared" si="21"/>
        <v>362</v>
      </c>
      <c r="C373" s="190" t="s">
        <v>1194</v>
      </c>
      <c r="D373" s="281" t="s">
        <v>395</v>
      </c>
      <c r="E373" s="25"/>
      <c r="F373" s="25"/>
      <c r="G373" s="25">
        <f t="array" ref="G373">SUM(IF("156"&amp;C373=KHN&amp;MH,SL))</f>
        <v>200</v>
      </c>
      <c r="H373" s="25">
        <f t="array" ref="H373">SUM(IF("156"&amp;C373=KHN&amp;MH,TH))</f>
        <v>1662858</v>
      </c>
      <c r="I373" s="25">
        <f t="array" ref="I373">SUM(IF("156"&amp;C373=KHC&amp;MH,SL))</f>
        <v>200</v>
      </c>
      <c r="J373" s="25">
        <f t="array" ref="J373">SUM(IF("156"&amp;C373=KHC&amp;MH,TH))</f>
        <v>1662858</v>
      </c>
      <c r="K373" s="25">
        <f t="shared" si="22"/>
        <v>0</v>
      </c>
      <c r="L373" s="25">
        <f t="shared" si="23"/>
        <v>0</v>
      </c>
      <c r="M373" s="279"/>
    </row>
    <row r="374" spans="1:13" ht="18.75" hidden="1" customHeight="1">
      <c r="A374" s="279" t="str">
        <f t="shared" si="20"/>
        <v>NL</v>
      </c>
      <c r="B374" s="745">
        <f t="shared" si="21"/>
        <v>363</v>
      </c>
      <c r="C374" s="190" t="s">
        <v>1221</v>
      </c>
      <c r="D374" s="281" t="s">
        <v>395</v>
      </c>
      <c r="E374" s="25"/>
      <c r="F374" s="25"/>
      <c r="G374" s="25">
        <f t="array" ref="G374">SUM(IF("156"&amp;C374=KHN&amp;MH,SL))</f>
        <v>20</v>
      </c>
      <c r="H374" s="25">
        <f t="array" ref="H374">SUM(IF("156"&amp;C374=KHN&amp;MH,TH))</f>
        <v>505200</v>
      </c>
      <c r="I374" s="25">
        <f t="array" ref="I374">SUM(IF("156"&amp;C374=KHC&amp;MH,SL))</f>
        <v>20</v>
      </c>
      <c r="J374" s="25">
        <f t="array" ref="J374">SUM(IF("156"&amp;C374=KHC&amp;MH,TH))</f>
        <v>505200</v>
      </c>
      <c r="K374" s="25">
        <f t="shared" si="22"/>
        <v>0</v>
      </c>
      <c r="L374" s="25">
        <f t="shared" si="23"/>
        <v>0</v>
      </c>
      <c r="M374" s="279"/>
    </row>
    <row r="375" spans="1:13" ht="18.75" hidden="1" customHeight="1">
      <c r="A375" s="279" t="str">
        <f t="shared" si="20"/>
        <v>NL</v>
      </c>
      <c r="B375" s="745">
        <f t="shared" si="21"/>
        <v>364</v>
      </c>
      <c r="C375" s="190" t="s">
        <v>771</v>
      </c>
      <c r="D375" s="281" t="s">
        <v>395</v>
      </c>
      <c r="E375" s="25"/>
      <c r="F375" s="25"/>
      <c r="G375" s="25">
        <f t="array" ref="G375">SUM(IF("156"&amp;C375=KHN&amp;MH,SL))</f>
        <v>24</v>
      </c>
      <c r="H375" s="25">
        <f t="array" ref="H375">SUM(IF("156"&amp;C375=KHN&amp;MH,TH))</f>
        <v>259656</v>
      </c>
      <c r="I375" s="25">
        <f t="array" ref="I375">SUM(IF("156"&amp;C375=KHC&amp;MH,SL))</f>
        <v>24</v>
      </c>
      <c r="J375" s="25">
        <f t="array" ref="J375">SUM(IF("156"&amp;C375=KHC&amp;MH,TH))</f>
        <v>259656</v>
      </c>
      <c r="K375" s="25">
        <f t="shared" si="22"/>
        <v>0</v>
      </c>
      <c r="L375" s="25">
        <f t="shared" si="23"/>
        <v>0</v>
      </c>
      <c r="M375" s="279"/>
    </row>
    <row r="376" spans="1:13" ht="18.75" hidden="1" customHeight="1">
      <c r="A376" s="279" t="str">
        <f t="shared" si="20"/>
        <v>NL</v>
      </c>
      <c r="B376" s="745">
        <f t="shared" si="21"/>
        <v>365</v>
      </c>
      <c r="C376" s="190" t="s">
        <v>776</v>
      </c>
      <c r="D376" s="281" t="s">
        <v>395</v>
      </c>
      <c r="E376" s="25"/>
      <c r="F376" s="25"/>
      <c r="G376" s="25">
        <f t="array" ref="G376">SUM(IF("156"&amp;C376=KHN&amp;MH,SL))</f>
        <v>172</v>
      </c>
      <c r="H376" s="25">
        <f t="array" ref="H376">SUM(IF("156"&amp;C376=KHN&amp;MH,TH))</f>
        <v>2178896</v>
      </c>
      <c r="I376" s="25">
        <f t="array" ref="I376">SUM(IF("156"&amp;C376=KHC&amp;MH,SL))</f>
        <v>172</v>
      </c>
      <c r="J376" s="25">
        <f t="array" ref="J376">SUM(IF("156"&amp;C376=KHC&amp;MH,TH))</f>
        <v>2178896</v>
      </c>
      <c r="K376" s="25">
        <f t="shared" si="22"/>
        <v>0</v>
      </c>
      <c r="L376" s="25">
        <f t="shared" si="23"/>
        <v>0</v>
      </c>
      <c r="M376" s="279"/>
    </row>
    <row r="377" spans="1:13" ht="18.75" hidden="1" customHeight="1">
      <c r="A377" s="279" t="str">
        <f t="shared" si="20"/>
        <v>NL</v>
      </c>
      <c r="B377" s="745">
        <f t="shared" si="21"/>
        <v>366</v>
      </c>
      <c r="C377" s="190" t="s">
        <v>770</v>
      </c>
      <c r="D377" s="281" t="s">
        <v>395</v>
      </c>
      <c r="E377" s="25"/>
      <c r="F377" s="25"/>
      <c r="G377" s="25">
        <f t="array" ref="G377">SUM(IF("156"&amp;C377=KHN&amp;MH,SL))</f>
        <v>120</v>
      </c>
      <c r="H377" s="25">
        <f t="array" ref="H377">SUM(IF("156"&amp;C377=KHN&amp;MH,TH))</f>
        <v>1530960</v>
      </c>
      <c r="I377" s="25">
        <f t="array" ref="I377">SUM(IF("156"&amp;C377=KHC&amp;MH,SL))</f>
        <v>120</v>
      </c>
      <c r="J377" s="25">
        <f t="array" ref="J377">SUM(IF("156"&amp;C377=KHC&amp;MH,TH))</f>
        <v>1530960</v>
      </c>
      <c r="K377" s="25">
        <f t="shared" si="22"/>
        <v>0</v>
      </c>
      <c r="L377" s="25">
        <f t="shared" si="23"/>
        <v>0</v>
      </c>
      <c r="M377" s="279"/>
    </row>
    <row r="378" spans="1:13" ht="18.75" hidden="1" customHeight="1">
      <c r="A378" s="279" t="str">
        <f t="shared" si="20"/>
        <v>NL</v>
      </c>
      <c r="B378" s="745">
        <f t="shared" si="21"/>
        <v>367</v>
      </c>
      <c r="C378" s="190" t="s">
        <v>1178</v>
      </c>
      <c r="D378" s="281" t="s">
        <v>395</v>
      </c>
      <c r="E378" s="25"/>
      <c r="F378" s="25"/>
      <c r="G378" s="25">
        <f t="array" ref="G378">SUM(IF("156"&amp;C378=KHN&amp;MH,SL))</f>
        <v>42</v>
      </c>
      <c r="H378" s="25">
        <f t="array" ref="H378">SUM(IF("156"&amp;C378=KHN&amp;MH,TH))</f>
        <v>539781</v>
      </c>
      <c r="I378" s="25">
        <f t="array" ref="I378">SUM(IF("156"&amp;C378=KHC&amp;MH,SL))</f>
        <v>42</v>
      </c>
      <c r="J378" s="25">
        <f t="array" ref="J378">SUM(IF("156"&amp;C378=KHC&amp;MH,TH))</f>
        <v>539781</v>
      </c>
      <c r="K378" s="25">
        <f t="shared" si="22"/>
        <v>0</v>
      </c>
      <c r="L378" s="25">
        <f t="shared" si="23"/>
        <v>0</v>
      </c>
      <c r="M378" s="279"/>
    </row>
    <row r="379" spans="1:13" ht="18.75" hidden="1" customHeight="1">
      <c r="A379" s="279" t="str">
        <f t="shared" si="20"/>
        <v>NL</v>
      </c>
      <c r="B379" s="745">
        <f t="shared" si="21"/>
        <v>368</v>
      </c>
      <c r="C379" s="190" t="s">
        <v>1190</v>
      </c>
      <c r="D379" s="281" t="s">
        <v>395</v>
      </c>
      <c r="E379" s="25"/>
      <c r="F379" s="25"/>
      <c r="G379" s="25">
        <f t="array" ref="G379">SUM(IF("156"&amp;C379=KHN&amp;MH,SL))</f>
        <v>133</v>
      </c>
      <c r="H379" s="25">
        <f t="array" ref="H379">SUM(IF("156"&amp;C379=KHN&amp;MH,TH))</f>
        <v>2481403</v>
      </c>
      <c r="I379" s="25">
        <f t="array" ref="I379">SUM(IF("156"&amp;C379=KHC&amp;MH,SL))</f>
        <v>133</v>
      </c>
      <c r="J379" s="25">
        <f t="array" ref="J379">SUM(IF("156"&amp;C379=KHC&amp;MH,TH))</f>
        <v>2481403</v>
      </c>
      <c r="K379" s="25">
        <f t="shared" si="22"/>
        <v>0</v>
      </c>
      <c r="L379" s="25">
        <f t="shared" si="23"/>
        <v>0</v>
      </c>
      <c r="M379" s="279"/>
    </row>
    <row r="380" spans="1:13" ht="18.75" hidden="1" customHeight="1">
      <c r="A380" s="279" t="str">
        <f t="shared" si="20"/>
        <v>NL</v>
      </c>
      <c r="B380" s="745">
        <f t="shared" si="21"/>
        <v>369</v>
      </c>
      <c r="C380" s="190" t="s">
        <v>775</v>
      </c>
      <c r="D380" s="281" t="s">
        <v>395</v>
      </c>
      <c r="E380" s="25"/>
      <c r="F380" s="25"/>
      <c r="G380" s="25">
        <f t="array" ref="G380">SUM(IF("156"&amp;C380=KHN&amp;MH,SL))</f>
        <v>42</v>
      </c>
      <c r="H380" s="25">
        <f t="array" ref="H380">SUM(IF("156"&amp;C380=KHN&amp;MH,TH))</f>
        <v>429996</v>
      </c>
      <c r="I380" s="25">
        <f t="array" ref="I380">SUM(IF("156"&amp;C380=KHC&amp;MH,SL))</f>
        <v>42</v>
      </c>
      <c r="J380" s="25">
        <f t="array" ref="J380">SUM(IF("156"&amp;C380=KHC&amp;MH,TH))</f>
        <v>429996</v>
      </c>
      <c r="K380" s="25">
        <f t="shared" si="22"/>
        <v>0</v>
      </c>
      <c r="L380" s="25">
        <f t="shared" si="23"/>
        <v>0</v>
      </c>
      <c r="M380" s="279"/>
    </row>
    <row r="381" spans="1:13" ht="18.75" hidden="1" customHeight="1">
      <c r="A381" s="279" t="str">
        <f t="shared" si="20"/>
        <v>NL</v>
      </c>
      <c r="B381" s="745">
        <f t="shared" si="21"/>
        <v>370</v>
      </c>
      <c r="C381" s="190" t="s">
        <v>774</v>
      </c>
      <c r="D381" s="281" t="s">
        <v>395</v>
      </c>
      <c r="E381" s="25"/>
      <c r="F381" s="25"/>
      <c r="G381" s="25">
        <f t="array" ref="G381">SUM(IF("156"&amp;C381=KHN&amp;MH,SL))</f>
        <v>342</v>
      </c>
      <c r="H381" s="25">
        <f t="array" ref="H381">SUM(IF("156"&amp;C381=KHN&amp;MH,TH))</f>
        <v>4189500</v>
      </c>
      <c r="I381" s="25">
        <f t="array" ref="I381">SUM(IF("156"&amp;C381=KHC&amp;MH,SL))</f>
        <v>342</v>
      </c>
      <c r="J381" s="25">
        <f t="array" ref="J381">SUM(IF("156"&amp;C381=KHC&amp;MH,TH))</f>
        <v>4189500</v>
      </c>
      <c r="K381" s="25">
        <f t="shared" si="22"/>
        <v>0</v>
      </c>
      <c r="L381" s="25">
        <f t="shared" si="23"/>
        <v>0</v>
      </c>
      <c r="M381" s="279"/>
    </row>
    <row r="382" spans="1:13" ht="18.75" hidden="1" customHeight="1">
      <c r="A382" s="279" t="str">
        <f t="shared" si="20"/>
        <v>NL</v>
      </c>
      <c r="B382" s="745">
        <f t="shared" si="21"/>
        <v>371</v>
      </c>
      <c r="C382" s="187" t="s">
        <v>1228</v>
      </c>
      <c r="D382" s="281" t="s">
        <v>395</v>
      </c>
      <c r="E382" s="25"/>
      <c r="F382" s="25"/>
      <c r="G382" s="25">
        <f t="array" ref="G382">SUM(IF("156"&amp;C382=KHN&amp;MH,SL))</f>
        <v>6</v>
      </c>
      <c r="H382" s="25">
        <f t="array" ref="H382">SUM(IF("156"&amp;C382=KHN&amp;MH,TH))</f>
        <v>201384</v>
      </c>
      <c r="I382" s="25">
        <f t="array" ref="I382">SUM(IF("156"&amp;C382=KHC&amp;MH,SL))</f>
        <v>6</v>
      </c>
      <c r="J382" s="25">
        <f t="array" ref="J382">SUM(IF("156"&amp;C382=KHC&amp;MH,TH))</f>
        <v>201384</v>
      </c>
      <c r="K382" s="25">
        <f t="shared" si="22"/>
        <v>0</v>
      </c>
      <c r="L382" s="25">
        <f t="shared" si="23"/>
        <v>0</v>
      </c>
      <c r="M382" s="279"/>
    </row>
    <row r="383" spans="1:13" ht="18.75" hidden="1" customHeight="1">
      <c r="A383" s="279" t="str">
        <f t="shared" si="20"/>
        <v>NL</v>
      </c>
      <c r="B383" s="745">
        <f t="shared" si="21"/>
        <v>372</v>
      </c>
      <c r="C383" s="190" t="s">
        <v>1250</v>
      </c>
      <c r="D383" s="281" t="s">
        <v>395</v>
      </c>
      <c r="E383" s="25"/>
      <c r="F383" s="25"/>
      <c r="G383" s="25">
        <f t="array" ref="G383">SUM(IF("156"&amp;C383=KHN&amp;MH,SL))</f>
        <v>70</v>
      </c>
      <c r="H383" s="25">
        <f t="array" ref="H383">SUM(IF("156"&amp;C383=KHN&amp;MH,TH))</f>
        <v>685349</v>
      </c>
      <c r="I383" s="25">
        <f t="array" ref="I383">SUM(IF("156"&amp;C383=KHC&amp;MH,SL))</f>
        <v>70</v>
      </c>
      <c r="J383" s="25">
        <f t="array" ref="J383">SUM(IF("156"&amp;C383=KHC&amp;MH,TH))</f>
        <v>685349</v>
      </c>
      <c r="K383" s="25">
        <f t="shared" si="22"/>
        <v>0</v>
      </c>
      <c r="L383" s="25">
        <f t="shared" si="23"/>
        <v>0</v>
      </c>
      <c r="M383" s="279"/>
    </row>
    <row r="384" spans="1:13" ht="18.75" hidden="1" customHeight="1">
      <c r="A384" s="279" t="str">
        <f t="shared" si="20"/>
        <v>NL</v>
      </c>
      <c r="B384" s="745">
        <f t="shared" si="21"/>
        <v>373</v>
      </c>
      <c r="C384" s="187" t="s">
        <v>1226</v>
      </c>
      <c r="D384" s="281" t="s">
        <v>395</v>
      </c>
      <c r="E384" s="25"/>
      <c r="F384" s="25"/>
      <c r="G384" s="25">
        <f t="array" ref="G384">SUM(IF("156"&amp;C384=KHN&amp;MH,SL))</f>
        <v>284</v>
      </c>
      <c r="H384" s="25">
        <f t="array" ref="H384">SUM(IF("156"&amp;C384=KHN&amp;MH,TH))</f>
        <v>4716004</v>
      </c>
      <c r="I384" s="25">
        <f t="array" ref="I384">SUM(IF("156"&amp;C384=KHC&amp;MH,SL))</f>
        <v>284</v>
      </c>
      <c r="J384" s="25">
        <f t="array" ref="J384">SUM(IF("156"&amp;C384=KHC&amp;MH,TH))</f>
        <v>4716004</v>
      </c>
      <c r="K384" s="25">
        <f t="shared" si="22"/>
        <v>0</v>
      </c>
      <c r="L384" s="25">
        <f t="shared" si="23"/>
        <v>0</v>
      </c>
      <c r="M384" s="279"/>
    </row>
    <row r="385" spans="1:13" ht="18.75" hidden="1" customHeight="1">
      <c r="A385" s="279" t="str">
        <f t="shared" si="20"/>
        <v>NL</v>
      </c>
      <c r="B385" s="745">
        <f t="shared" si="21"/>
        <v>374</v>
      </c>
      <c r="C385" s="187" t="s">
        <v>1229</v>
      </c>
      <c r="D385" s="281" t="s">
        <v>395</v>
      </c>
      <c r="E385" s="25"/>
      <c r="F385" s="25"/>
      <c r="G385" s="25">
        <f t="array" ref="G385">SUM(IF("156"&amp;C385=KHN&amp;MH,SL))</f>
        <v>8</v>
      </c>
      <c r="H385" s="25">
        <f t="array" ref="H385">SUM(IF("156"&amp;C385=KHN&amp;MH,TH))</f>
        <v>172536</v>
      </c>
      <c r="I385" s="25">
        <f t="array" ref="I385">SUM(IF("156"&amp;C385=KHC&amp;MH,SL))</f>
        <v>8</v>
      </c>
      <c r="J385" s="25">
        <f t="array" ref="J385">SUM(IF("156"&amp;C385=KHC&amp;MH,TH))</f>
        <v>172536</v>
      </c>
      <c r="K385" s="25">
        <f t="shared" si="22"/>
        <v>0</v>
      </c>
      <c r="L385" s="25">
        <f t="shared" si="23"/>
        <v>0</v>
      </c>
      <c r="M385" s="279"/>
    </row>
    <row r="386" spans="1:13" ht="18.75" hidden="1" customHeight="1">
      <c r="A386" s="279" t="str">
        <f t="shared" si="20"/>
        <v>NL</v>
      </c>
      <c r="B386" s="745">
        <f t="shared" si="21"/>
        <v>375</v>
      </c>
      <c r="C386" s="190" t="s">
        <v>926</v>
      </c>
      <c r="D386" s="281" t="s">
        <v>395</v>
      </c>
      <c r="E386" s="25"/>
      <c r="F386" s="25"/>
      <c r="G386" s="25">
        <f t="array" ref="G386">SUM(IF("156"&amp;C386=KHN&amp;MH,SL))</f>
        <v>2750</v>
      </c>
      <c r="H386" s="25">
        <f t="array" ref="H386">SUM(IF("156"&amp;C386=KHN&amp;MH,TH))</f>
        <v>22643500</v>
      </c>
      <c r="I386" s="25">
        <f t="array" ref="I386">SUM(IF("156"&amp;C386=KHC&amp;MH,SL))</f>
        <v>2750</v>
      </c>
      <c r="J386" s="25">
        <f t="array" ref="J386">SUM(IF("156"&amp;C386=KHC&amp;MH,TH))</f>
        <v>22643500</v>
      </c>
      <c r="K386" s="25">
        <f t="shared" si="22"/>
        <v>0</v>
      </c>
      <c r="L386" s="25">
        <f t="shared" si="23"/>
        <v>0</v>
      </c>
      <c r="M386" s="279"/>
    </row>
    <row r="387" spans="1:13" ht="18.75" hidden="1" customHeight="1">
      <c r="A387" s="279" t="str">
        <f t="shared" si="20"/>
        <v>NL</v>
      </c>
      <c r="B387" s="745">
        <f t="shared" si="21"/>
        <v>376</v>
      </c>
      <c r="C387" s="190" t="s">
        <v>1249</v>
      </c>
      <c r="D387" s="281" t="s">
        <v>395</v>
      </c>
      <c r="E387" s="25"/>
      <c r="F387" s="25"/>
      <c r="G387" s="25">
        <f t="array" ref="G387">SUM(IF("156"&amp;C387=KHN&amp;MH,SL))</f>
        <v>70</v>
      </c>
      <c r="H387" s="25">
        <f t="array" ref="H387">SUM(IF("156"&amp;C387=KHN&amp;MH,TH))</f>
        <v>769265</v>
      </c>
      <c r="I387" s="25">
        <f t="array" ref="I387">SUM(IF("156"&amp;C387=KHC&amp;MH,SL))</f>
        <v>70</v>
      </c>
      <c r="J387" s="25">
        <f t="array" ref="J387">SUM(IF("156"&amp;C387=KHC&amp;MH,TH))</f>
        <v>769265</v>
      </c>
      <c r="K387" s="25">
        <f t="shared" si="22"/>
        <v>0</v>
      </c>
      <c r="L387" s="25">
        <f t="shared" si="23"/>
        <v>0</v>
      </c>
      <c r="M387" s="279"/>
    </row>
    <row r="388" spans="1:13" ht="18.75" hidden="1" customHeight="1">
      <c r="A388" s="279" t="str">
        <f t="shared" si="20"/>
        <v>NL</v>
      </c>
      <c r="B388" s="745">
        <f t="shared" si="21"/>
        <v>377</v>
      </c>
      <c r="C388" s="190" t="s">
        <v>1142</v>
      </c>
      <c r="D388" s="281" t="s">
        <v>395</v>
      </c>
      <c r="E388" s="25">
        <v>217</v>
      </c>
      <c r="F388" s="25">
        <v>2985654</v>
      </c>
      <c r="G388" s="25">
        <f t="array" ref="G388">SUM(IF("156"&amp;C388=KHN&amp;MH,SL))</f>
        <v>0</v>
      </c>
      <c r="H388" s="25">
        <f t="array" ref="H388">SUM(IF("156"&amp;C388=KHN&amp;MH,TH))</f>
        <v>0</v>
      </c>
      <c r="I388" s="25">
        <f t="array" ref="I388">SUM(IF("156"&amp;C388=KHC&amp;MH,SL))</f>
        <v>217</v>
      </c>
      <c r="J388" s="25">
        <f t="array" ref="J388">SUM(IF("156"&amp;C388=KHC&amp;MH,TH))</f>
        <v>2985654</v>
      </c>
      <c r="K388" s="25">
        <f t="shared" si="22"/>
        <v>0</v>
      </c>
      <c r="L388" s="25">
        <f t="shared" si="23"/>
        <v>0</v>
      </c>
      <c r="M388" s="279"/>
    </row>
    <row r="389" spans="1:13" ht="18.75" hidden="1" customHeight="1">
      <c r="A389" s="279" t="str">
        <f t="shared" si="20"/>
        <v>NL</v>
      </c>
      <c r="B389" s="745">
        <f t="shared" si="21"/>
        <v>378</v>
      </c>
      <c r="C389" s="190" t="s">
        <v>927</v>
      </c>
      <c r="D389" s="281" t="s">
        <v>395</v>
      </c>
      <c r="E389" s="25"/>
      <c r="F389" s="25"/>
      <c r="G389" s="25">
        <f t="array" ref="G389">SUM(IF("156"&amp;C389=KHN&amp;MH,SL))</f>
        <v>2000</v>
      </c>
      <c r="H389" s="25">
        <f t="array" ref="H389">SUM(IF("156"&amp;C389=KHN&amp;MH,TH))</f>
        <v>18766000</v>
      </c>
      <c r="I389" s="25">
        <f t="array" ref="I389">SUM(IF("156"&amp;C389=KHC&amp;MH,SL))</f>
        <v>2000</v>
      </c>
      <c r="J389" s="25">
        <f t="array" ref="J389">SUM(IF("156"&amp;C389=KHC&amp;MH,TH))</f>
        <v>18766000</v>
      </c>
      <c r="K389" s="25">
        <f t="shared" si="22"/>
        <v>0</v>
      </c>
      <c r="L389" s="25">
        <f t="shared" si="23"/>
        <v>0</v>
      </c>
      <c r="M389" s="279"/>
    </row>
    <row r="390" spans="1:13" ht="18.75" hidden="1" customHeight="1">
      <c r="A390" s="279" t="str">
        <f t="shared" si="20"/>
        <v>NL</v>
      </c>
      <c r="B390" s="745">
        <f t="shared" si="21"/>
        <v>379</v>
      </c>
      <c r="C390" s="190" t="s">
        <v>1201</v>
      </c>
      <c r="D390" s="281" t="s">
        <v>395</v>
      </c>
      <c r="E390" s="25"/>
      <c r="F390" s="25"/>
      <c r="G390" s="25">
        <f t="array" ref="G390">SUM(IF("156"&amp;C390=KHN&amp;MH,SL))</f>
        <v>100</v>
      </c>
      <c r="H390" s="25">
        <f t="array" ref="H390">SUM(IF("156"&amp;C390=KHN&amp;MH,TH))</f>
        <v>1871616</v>
      </c>
      <c r="I390" s="25">
        <f t="array" ref="I390">SUM(IF("156"&amp;C390=KHC&amp;MH,SL))</f>
        <v>100</v>
      </c>
      <c r="J390" s="25">
        <f t="array" ref="J390">SUM(IF("156"&amp;C390=KHC&amp;MH,TH))</f>
        <v>1871616</v>
      </c>
      <c r="K390" s="25">
        <f t="shared" si="22"/>
        <v>0</v>
      </c>
      <c r="L390" s="25">
        <f t="shared" si="23"/>
        <v>0</v>
      </c>
      <c r="M390" s="279"/>
    </row>
    <row r="391" spans="1:13" ht="18.75" hidden="1" customHeight="1">
      <c r="A391" s="279" t="str">
        <f t="shared" si="20"/>
        <v>NL</v>
      </c>
      <c r="B391" s="745">
        <f t="shared" si="21"/>
        <v>380</v>
      </c>
      <c r="C391" s="190" t="s">
        <v>1237</v>
      </c>
      <c r="D391" s="281" t="s">
        <v>395</v>
      </c>
      <c r="E391" s="25"/>
      <c r="F391" s="25"/>
      <c r="G391" s="25">
        <f t="array" ref="G391">SUM(IF("156"&amp;C391=KHN&amp;MH,SL))</f>
        <v>330</v>
      </c>
      <c r="H391" s="25">
        <f t="array" ref="H391">SUM(IF("156"&amp;C391=KHN&amp;MH,TH))</f>
        <v>2822160</v>
      </c>
      <c r="I391" s="25">
        <f t="array" ref="I391">SUM(IF("156"&amp;C391=KHC&amp;MH,SL))</f>
        <v>330</v>
      </c>
      <c r="J391" s="25">
        <f t="array" ref="J391">SUM(IF("156"&amp;C391=KHC&amp;MH,TH))</f>
        <v>2822160</v>
      </c>
      <c r="K391" s="25">
        <f t="shared" si="22"/>
        <v>0</v>
      </c>
      <c r="L391" s="25">
        <f t="shared" si="23"/>
        <v>0</v>
      </c>
      <c r="M391" s="279"/>
    </row>
    <row r="392" spans="1:13" ht="18.75" hidden="1" customHeight="1">
      <c r="A392" s="279" t="str">
        <f t="shared" si="20"/>
        <v>NL</v>
      </c>
      <c r="B392" s="745">
        <f t="shared" si="21"/>
        <v>381</v>
      </c>
      <c r="C392" s="190" t="s">
        <v>697</v>
      </c>
      <c r="D392" s="281" t="s">
        <v>395</v>
      </c>
      <c r="E392" s="25"/>
      <c r="F392" s="25"/>
      <c r="G392" s="25">
        <f t="array" ref="G392">SUM(IF("156"&amp;C392=KHN&amp;MH,SL))</f>
        <v>3500</v>
      </c>
      <c r="H392" s="25">
        <f t="array" ref="H392">SUM(IF("156"&amp;C392=KHN&amp;MH,TH))</f>
        <v>75946718</v>
      </c>
      <c r="I392" s="25">
        <f t="array" ref="I392">SUM(IF("156"&amp;C392=KHC&amp;MH,SL))</f>
        <v>3500</v>
      </c>
      <c r="J392" s="25">
        <f t="array" ref="J392">SUM(IF("156"&amp;C392=KHC&amp;MH,TH))</f>
        <v>75946718</v>
      </c>
      <c r="K392" s="25">
        <f t="shared" si="22"/>
        <v>0</v>
      </c>
      <c r="L392" s="25">
        <f t="shared" si="23"/>
        <v>0</v>
      </c>
      <c r="M392" s="279"/>
    </row>
    <row r="393" spans="1:13" ht="18.75" hidden="1" customHeight="1">
      <c r="A393" s="279" t="str">
        <f t="shared" ref="A393:A455" si="24">IF(B393&lt;&gt;"","NL","")</f>
        <v>NL</v>
      </c>
      <c r="B393" s="745">
        <f t="shared" ref="B393:B455" si="25">IF(C393&lt;&gt;"",ROW()-11,"")</f>
        <v>382</v>
      </c>
      <c r="C393" s="190" t="s">
        <v>499</v>
      </c>
      <c r="D393" s="281" t="s">
        <v>395</v>
      </c>
      <c r="E393" s="25"/>
      <c r="F393" s="25"/>
      <c r="G393" s="25">
        <f t="array" ref="G393">SUM(IF("156"&amp;C393=KHN&amp;MH,SL))</f>
        <v>240</v>
      </c>
      <c r="H393" s="25">
        <f t="array" ref="H393">SUM(IF("156"&amp;C393=KHN&amp;MH,TH))</f>
        <v>3545120</v>
      </c>
      <c r="I393" s="25">
        <f t="array" ref="I393">SUM(IF("156"&amp;C393=KHC&amp;MH,SL))</f>
        <v>240</v>
      </c>
      <c r="J393" s="25">
        <f t="array" ref="J393">SUM(IF("156"&amp;C393=KHC&amp;MH,TH))</f>
        <v>3545120</v>
      </c>
      <c r="K393" s="25">
        <f t="shared" ref="K393:K455" si="26">E393+G393-I393</f>
        <v>0</v>
      </c>
      <c r="L393" s="25">
        <f t="shared" ref="L393:L455" si="27">F393+H393-J393</f>
        <v>0</v>
      </c>
      <c r="M393" s="279"/>
    </row>
    <row r="394" spans="1:13" ht="18.75" hidden="1" customHeight="1">
      <c r="A394" s="279" t="str">
        <f t="shared" si="24"/>
        <v>NL</v>
      </c>
      <c r="B394" s="745">
        <f t="shared" si="25"/>
        <v>383</v>
      </c>
      <c r="C394" s="190" t="s">
        <v>1216</v>
      </c>
      <c r="D394" s="281" t="s">
        <v>395</v>
      </c>
      <c r="E394" s="25"/>
      <c r="F394" s="25"/>
      <c r="G394" s="25">
        <f t="array" ref="G394">SUM(IF("156"&amp;C394=KHN&amp;MH,SL))</f>
        <v>17</v>
      </c>
      <c r="H394" s="25">
        <f t="array" ref="H394">SUM(IF("156"&amp;C394=KHN&amp;MH,TH))</f>
        <v>625397</v>
      </c>
      <c r="I394" s="25">
        <f t="array" ref="I394">SUM(IF("156"&amp;C394=KHC&amp;MH,SL))</f>
        <v>17</v>
      </c>
      <c r="J394" s="25">
        <f t="array" ref="J394">SUM(IF("156"&amp;C394=KHC&amp;MH,TH))</f>
        <v>625397</v>
      </c>
      <c r="K394" s="25">
        <f t="shared" si="26"/>
        <v>0</v>
      </c>
      <c r="L394" s="25">
        <f t="shared" si="27"/>
        <v>0</v>
      </c>
      <c r="M394" s="279"/>
    </row>
    <row r="395" spans="1:13" ht="18.75" customHeight="1">
      <c r="A395" s="279" t="str">
        <f t="shared" si="24"/>
        <v>NL</v>
      </c>
      <c r="B395" s="745">
        <f t="shared" si="25"/>
        <v>384</v>
      </c>
      <c r="C395" s="190" t="s">
        <v>624</v>
      </c>
      <c r="D395" s="281" t="s">
        <v>395</v>
      </c>
      <c r="E395" s="25"/>
      <c r="F395" s="25"/>
      <c r="G395" s="25">
        <f t="array" ref="G395">SUM(IF("156"&amp;C395=KHN&amp;MH,SL))</f>
        <v>4150</v>
      </c>
      <c r="H395" s="25">
        <f t="array" ref="H395">SUM(IF("156"&amp;C395=KHN&amp;MH,TH))</f>
        <v>128382950</v>
      </c>
      <c r="I395" s="25">
        <f t="array" ref="I395">SUM(IF("156"&amp;C395=KHC&amp;MH,SL))</f>
        <v>3500</v>
      </c>
      <c r="J395" s="25">
        <f t="array" ref="J395">SUM(IF("156"&amp;C395=KHC&amp;MH,TH))</f>
        <v>107909916</v>
      </c>
      <c r="K395" s="25">
        <f t="shared" si="26"/>
        <v>650</v>
      </c>
      <c r="L395" s="25">
        <f t="shared" si="27"/>
        <v>20473034</v>
      </c>
      <c r="M395" s="279"/>
    </row>
    <row r="396" spans="1:13" ht="18.75" hidden="1" customHeight="1">
      <c r="A396" s="279" t="str">
        <f t="shared" si="24"/>
        <v>NL</v>
      </c>
      <c r="B396" s="745">
        <f t="shared" si="25"/>
        <v>385</v>
      </c>
      <c r="C396" s="190" t="s">
        <v>718</v>
      </c>
      <c r="D396" s="281" t="s">
        <v>395</v>
      </c>
      <c r="E396" s="25"/>
      <c r="F396" s="25"/>
      <c r="G396" s="25">
        <f t="array" ref="G396">SUM(IF("156"&amp;C396=KHN&amp;MH,SL))</f>
        <v>33</v>
      </c>
      <c r="H396" s="25">
        <f t="array" ref="H396">SUM(IF("156"&amp;C396=KHN&amp;MH,TH))</f>
        <v>946143</v>
      </c>
      <c r="I396" s="25">
        <f t="array" ref="I396">SUM(IF("156"&amp;C396=KHC&amp;MH,SL))</f>
        <v>33</v>
      </c>
      <c r="J396" s="25">
        <f t="array" ref="J396">SUM(IF("156"&amp;C396=KHC&amp;MH,TH))</f>
        <v>946143</v>
      </c>
      <c r="K396" s="25">
        <f t="shared" si="26"/>
        <v>0</v>
      </c>
      <c r="L396" s="25">
        <f t="shared" si="27"/>
        <v>0</v>
      </c>
      <c r="M396" s="279"/>
    </row>
    <row r="397" spans="1:13" ht="18.75" hidden="1" customHeight="1">
      <c r="A397" s="279" t="str">
        <f t="shared" si="24"/>
        <v>NL</v>
      </c>
      <c r="B397" s="745">
        <f t="shared" si="25"/>
        <v>386</v>
      </c>
      <c r="C397" s="190" t="s">
        <v>692</v>
      </c>
      <c r="D397" s="281" t="s">
        <v>395</v>
      </c>
      <c r="E397" s="25"/>
      <c r="F397" s="25"/>
      <c r="G397" s="25">
        <f t="array" ref="G397">SUM(IF("156"&amp;C397=KHN&amp;MH,SL))</f>
        <v>1500</v>
      </c>
      <c r="H397" s="25">
        <f t="array" ref="H397">SUM(IF("156"&amp;C397=KHN&amp;MH,TH))</f>
        <v>19832326</v>
      </c>
      <c r="I397" s="25">
        <f t="array" ref="I397">SUM(IF("156"&amp;C397=KHC&amp;MH,SL))</f>
        <v>1500</v>
      </c>
      <c r="J397" s="25">
        <f t="array" ref="J397">SUM(IF("156"&amp;C397=KHC&amp;MH,TH))</f>
        <v>19832326</v>
      </c>
      <c r="K397" s="25">
        <f t="shared" si="26"/>
        <v>0</v>
      </c>
      <c r="L397" s="25">
        <f t="shared" si="27"/>
        <v>0</v>
      </c>
      <c r="M397" s="279"/>
    </row>
    <row r="398" spans="1:13" ht="18.75" hidden="1" customHeight="1">
      <c r="A398" s="279" t="str">
        <f t="shared" si="24"/>
        <v>NL</v>
      </c>
      <c r="B398" s="745">
        <f t="shared" si="25"/>
        <v>387</v>
      </c>
      <c r="C398" s="190" t="s">
        <v>715</v>
      </c>
      <c r="D398" s="281" t="s">
        <v>395</v>
      </c>
      <c r="E398" s="25"/>
      <c r="F398" s="25"/>
      <c r="G398" s="25">
        <f t="array" ref="G398">SUM(IF("156"&amp;C398=KHN&amp;MH,SL))</f>
        <v>280</v>
      </c>
      <c r="H398" s="25">
        <f t="array" ref="H398">SUM(IF("156"&amp;C398=KHN&amp;MH,TH))</f>
        <v>5752320</v>
      </c>
      <c r="I398" s="25">
        <f t="array" ref="I398">SUM(IF("156"&amp;C398=KHC&amp;MH,SL))</f>
        <v>280</v>
      </c>
      <c r="J398" s="25">
        <f t="array" ref="J398">SUM(IF("156"&amp;C398=KHC&amp;MH,TH))</f>
        <v>5752320</v>
      </c>
      <c r="K398" s="25">
        <f t="shared" si="26"/>
        <v>0</v>
      </c>
      <c r="L398" s="25">
        <f t="shared" si="27"/>
        <v>0</v>
      </c>
      <c r="M398" s="279"/>
    </row>
    <row r="399" spans="1:13" ht="18.75" hidden="1" customHeight="1">
      <c r="A399" s="279" t="str">
        <f t="shared" si="24"/>
        <v>NL</v>
      </c>
      <c r="B399" s="745">
        <f t="shared" si="25"/>
        <v>388</v>
      </c>
      <c r="C399" s="190" t="s">
        <v>1143</v>
      </c>
      <c r="D399" s="281" t="s">
        <v>395</v>
      </c>
      <c r="E399" s="25">
        <v>700</v>
      </c>
      <c r="F399" s="25">
        <v>13500060</v>
      </c>
      <c r="G399" s="25">
        <f t="array" ref="G399">SUM(IF("156"&amp;C399=KHN&amp;MH,SL))</f>
        <v>0</v>
      </c>
      <c r="H399" s="25">
        <f t="array" ref="H399">SUM(IF("156"&amp;C399=KHN&amp;MH,TH))</f>
        <v>0</v>
      </c>
      <c r="I399" s="25">
        <f t="array" ref="I399">SUM(IF("156"&amp;C399=KHC&amp;MH,SL))</f>
        <v>700</v>
      </c>
      <c r="J399" s="25">
        <f t="array" ref="J399">SUM(IF("156"&amp;C399=KHC&amp;MH,TH))</f>
        <v>13500060</v>
      </c>
      <c r="K399" s="25">
        <f t="shared" si="26"/>
        <v>0</v>
      </c>
      <c r="L399" s="25">
        <f t="shared" si="27"/>
        <v>0</v>
      </c>
      <c r="M399" s="279"/>
    </row>
    <row r="400" spans="1:13" ht="18.75" hidden="1" customHeight="1">
      <c r="A400" s="279" t="str">
        <f t="shared" si="24"/>
        <v>NL</v>
      </c>
      <c r="B400" s="745">
        <f t="shared" si="25"/>
        <v>389</v>
      </c>
      <c r="C400" s="190" t="s">
        <v>1210</v>
      </c>
      <c r="D400" s="281" t="s">
        <v>395</v>
      </c>
      <c r="E400" s="25"/>
      <c r="F400" s="25"/>
      <c r="G400" s="25">
        <f t="array" ref="G400">SUM(IF("156"&amp;C400=KHN&amp;MH,SL))</f>
        <v>190</v>
      </c>
      <c r="H400" s="25">
        <f t="array" ref="H400">SUM(IF("156"&amp;C400=KHN&amp;MH,TH))</f>
        <v>4096072</v>
      </c>
      <c r="I400" s="25">
        <f t="array" ref="I400">SUM(IF("156"&amp;C400=KHC&amp;MH,SL))</f>
        <v>190</v>
      </c>
      <c r="J400" s="25">
        <f t="array" ref="J400">SUM(IF("156"&amp;C400=KHC&amp;MH,TH))</f>
        <v>4096072</v>
      </c>
      <c r="K400" s="25">
        <f t="shared" si="26"/>
        <v>0</v>
      </c>
      <c r="L400" s="25">
        <f t="shared" si="27"/>
        <v>0</v>
      </c>
      <c r="M400" s="279"/>
    </row>
    <row r="401" spans="1:13" ht="18.75" hidden="1" customHeight="1">
      <c r="A401" s="279" t="str">
        <f t="shared" si="24"/>
        <v>NL</v>
      </c>
      <c r="B401" s="745">
        <f t="shared" si="25"/>
        <v>390</v>
      </c>
      <c r="C401" s="190" t="s">
        <v>714</v>
      </c>
      <c r="D401" s="281" t="s">
        <v>395</v>
      </c>
      <c r="E401" s="25"/>
      <c r="F401" s="25"/>
      <c r="G401" s="25">
        <f t="array" ref="G401">SUM(IF("156"&amp;C401=KHN&amp;MH,SL))</f>
        <v>160</v>
      </c>
      <c r="H401" s="25">
        <f t="array" ref="H401">SUM(IF("156"&amp;C401=KHN&amp;MH,TH))</f>
        <v>3860459</v>
      </c>
      <c r="I401" s="25">
        <f t="array" ref="I401">SUM(IF("156"&amp;C401=KHC&amp;MH,SL))</f>
        <v>160</v>
      </c>
      <c r="J401" s="25">
        <f t="array" ref="J401">SUM(IF("156"&amp;C401=KHC&amp;MH,TH))</f>
        <v>3860459</v>
      </c>
      <c r="K401" s="25">
        <f t="shared" si="26"/>
        <v>0</v>
      </c>
      <c r="L401" s="25">
        <f t="shared" si="27"/>
        <v>0</v>
      </c>
      <c r="M401" s="279"/>
    </row>
    <row r="402" spans="1:13" ht="18.75" hidden="1" customHeight="1">
      <c r="A402" s="279" t="str">
        <f t="shared" si="24"/>
        <v>NL</v>
      </c>
      <c r="B402" s="745">
        <f t="shared" si="25"/>
        <v>391</v>
      </c>
      <c r="C402" s="190" t="s">
        <v>712</v>
      </c>
      <c r="D402" s="281" t="s">
        <v>395</v>
      </c>
      <c r="E402" s="25"/>
      <c r="F402" s="25"/>
      <c r="G402" s="25">
        <f t="array" ref="G402">SUM(IF("156"&amp;C402=KHN&amp;MH,SL))</f>
        <v>425</v>
      </c>
      <c r="H402" s="25">
        <f t="array" ref="H402">SUM(IF("156"&amp;C402=KHN&amp;MH,TH))</f>
        <v>12493250</v>
      </c>
      <c r="I402" s="25">
        <f t="array" ref="I402">SUM(IF("156"&amp;C402=KHC&amp;MH,SL))</f>
        <v>425</v>
      </c>
      <c r="J402" s="25">
        <f t="array" ref="J402">SUM(IF("156"&amp;C402=KHC&amp;MH,TH))</f>
        <v>12493250</v>
      </c>
      <c r="K402" s="25">
        <f t="shared" si="26"/>
        <v>0</v>
      </c>
      <c r="L402" s="25">
        <f t="shared" si="27"/>
        <v>0</v>
      </c>
      <c r="M402" s="279"/>
    </row>
    <row r="403" spans="1:13" ht="18.75" hidden="1" customHeight="1">
      <c r="A403" s="279" t="str">
        <f t="shared" si="24"/>
        <v>NL</v>
      </c>
      <c r="B403" s="745">
        <f t="shared" si="25"/>
        <v>392</v>
      </c>
      <c r="C403" s="190" t="s">
        <v>717</v>
      </c>
      <c r="D403" s="281" t="s">
        <v>395</v>
      </c>
      <c r="E403" s="25"/>
      <c r="F403" s="25"/>
      <c r="G403" s="25">
        <f t="array" ref="G403">SUM(IF("156"&amp;C403=KHN&amp;MH,SL))</f>
        <v>30</v>
      </c>
      <c r="H403" s="25">
        <f t="array" ref="H403">SUM(IF("156"&amp;C403=KHN&amp;MH,TH))</f>
        <v>1576500</v>
      </c>
      <c r="I403" s="25">
        <f t="array" ref="I403">SUM(IF("156"&amp;C403=KHC&amp;MH,SL))</f>
        <v>30</v>
      </c>
      <c r="J403" s="25">
        <f t="array" ref="J403">SUM(IF("156"&amp;C403=KHC&amp;MH,TH))</f>
        <v>1576500</v>
      </c>
      <c r="K403" s="25">
        <f t="shared" si="26"/>
        <v>0</v>
      </c>
      <c r="L403" s="25">
        <f t="shared" si="27"/>
        <v>0</v>
      </c>
      <c r="M403" s="279"/>
    </row>
    <row r="404" spans="1:13" ht="18.75" hidden="1" customHeight="1">
      <c r="A404" s="279" t="str">
        <f t="shared" si="24"/>
        <v>NL</v>
      </c>
      <c r="B404" s="745">
        <f t="shared" si="25"/>
        <v>393</v>
      </c>
      <c r="C404" s="190" t="s">
        <v>1235</v>
      </c>
      <c r="D404" s="281" t="s">
        <v>395</v>
      </c>
      <c r="E404" s="25"/>
      <c r="F404" s="25"/>
      <c r="G404" s="25">
        <f t="array" ref="G404">SUM(IF("156"&amp;C404=KHN&amp;MH,SL))</f>
        <v>113</v>
      </c>
      <c r="H404" s="25">
        <f t="array" ref="H404">SUM(IF("156"&amp;C404=KHN&amp;MH,TH))</f>
        <v>2603520</v>
      </c>
      <c r="I404" s="25">
        <f t="array" ref="I404">SUM(IF("156"&amp;C404=KHC&amp;MH,SL))</f>
        <v>113</v>
      </c>
      <c r="J404" s="25">
        <f t="array" ref="J404">SUM(IF("156"&amp;C404=KHC&amp;MH,TH))</f>
        <v>2603520</v>
      </c>
      <c r="K404" s="25">
        <f t="shared" si="26"/>
        <v>0</v>
      </c>
      <c r="L404" s="25">
        <f t="shared" si="27"/>
        <v>0</v>
      </c>
      <c r="M404" s="279"/>
    </row>
    <row r="405" spans="1:13" ht="18.75" hidden="1" customHeight="1">
      <c r="A405" s="279" t="str">
        <f t="shared" si="24"/>
        <v>NL</v>
      </c>
      <c r="B405" s="745">
        <f t="shared" si="25"/>
        <v>394</v>
      </c>
      <c r="C405" s="190" t="s">
        <v>701</v>
      </c>
      <c r="D405" s="281" t="s">
        <v>395</v>
      </c>
      <c r="E405" s="25"/>
      <c r="F405" s="25"/>
      <c r="G405" s="25">
        <f t="array" ref="G405">SUM(IF("156"&amp;C405=KHN&amp;MH,SL))</f>
        <v>150</v>
      </c>
      <c r="H405" s="25">
        <f t="array" ref="H405">SUM(IF("156"&amp;C405=KHN&amp;MH,TH))</f>
        <v>42780000</v>
      </c>
      <c r="I405" s="25">
        <f t="array" ref="I405">SUM(IF("156"&amp;C405=KHC&amp;MH,SL))</f>
        <v>150</v>
      </c>
      <c r="J405" s="25">
        <f t="array" ref="J405">SUM(IF("156"&amp;C405=KHC&amp;MH,TH))</f>
        <v>42780000</v>
      </c>
      <c r="K405" s="25">
        <f t="shared" si="26"/>
        <v>0</v>
      </c>
      <c r="L405" s="25">
        <f t="shared" si="27"/>
        <v>0</v>
      </c>
      <c r="M405" s="279"/>
    </row>
    <row r="406" spans="1:13" ht="18.75" hidden="1" customHeight="1">
      <c r="A406" s="279" t="str">
        <f t="shared" si="24"/>
        <v>NL</v>
      </c>
      <c r="B406" s="745">
        <f t="shared" si="25"/>
        <v>395</v>
      </c>
      <c r="C406" s="190" t="s">
        <v>766</v>
      </c>
      <c r="D406" s="281" t="s">
        <v>395</v>
      </c>
      <c r="E406" s="25"/>
      <c r="F406" s="25"/>
      <c r="G406" s="25">
        <f t="array" ref="G406">SUM(IF("156"&amp;C406=KHN&amp;MH,SL))</f>
        <v>8</v>
      </c>
      <c r="H406" s="25">
        <f t="array" ref="H406">SUM(IF("156"&amp;C406=KHN&amp;MH,TH))</f>
        <v>62288</v>
      </c>
      <c r="I406" s="25">
        <f t="array" ref="I406">SUM(IF("156"&amp;C406=KHC&amp;MH,SL))</f>
        <v>8</v>
      </c>
      <c r="J406" s="25">
        <f t="array" ref="J406">SUM(IF("156"&amp;C406=KHC&amp;MH,TH))</f>
        <v>62288</v>
      </c>
      <c r="K406" s="25">
        <f t="shared" si="26"/>
        <v>0</v>
      </c>
      <c r="L406" s="25">
        <f t="shared" si="27"/>
        <v>0</v>
      </c>
      <c r="M406" s="279"/>
    </row>
    <row r="407" spans="1:13" ht="18.75" hidden="1" customHeight="1">
      <c r="A407" s="279" t="str">
        <f t="shared" si="24"/>
        <v>NL</v>
      </c>
      <c r="B407" s="745">
        <f t="shared" si="25"/>
        <v>396</v>
      </c>
      <c r="C407" s="190" t="s">
        <v>765</v>
      </c>
      <c r="D407" s="281" t="s">
        <v>395</v>
      </c>
      <c r="E407" s="25"/>
      <c r="F407" s="25"/>
      <c r="G407" s="25">
        <f t="array" ref="G407">SUM(IF("156"&amp;C407=KHN&amp;MH,SL))</f>
        <v>50</v>
      </c>
      <c r="H407" s="25">
        <f t="array" ref="H407">SUM(IF("156"&amp;C407=KHN&amp;MH,TH))</f>
        <v>491500</v>
      </c>
      <c r="I407" s="25">
        <f t="array" ref="I407">SUM(IF("156"&amp;C407=KHC&amp;MH,SL))</f>
        <v>50</v>
      </c>
      <c r="J407" s="25">
        <f t="array" ref="J407">SUM(IF("156"&amp;C407=KHC&amp;MH,TH))</f>
        <v>491500</v>
      </c>
      <c r="K407" s="25">
        <f t="shared" si="26"/>
        <v>0</v>
      </c>
      <c r="L407" s="25">
        <f t="shared" si="27"/>
        <v>0</v>
      </c>
      <c r="M407" s="279"/>
    </row>
    <row r="408" spans="1:13" ht="18.75" hidden="1" customHeight="1">
      <c r="A408" s="279" t="str">
        <f t="shared" si="24"/>
        <v>NL</v>
      </c>
      <c r="B408" s="745">
        <f t="shared" si="25"/>
        <v>397</v>
      </c>
      <c r="C408" s="190" t="s">
        <v>764</v>
      </c>
      <c r="D408" s="281" t="s">
        <v>395</v>
      </c>
      <c r="E408" s="25"/>
      <c r="F408" s="25"/>
      <c r="G408" s="25">
        <f t="array" ref="G408">SUM(IF("156"&amp;C408=KHN&amp;MH,SL))</f>
        <v>112</v>
      </c>
      <c r="H408" s="25">
        <f t="array" ref="H408">SUM(IF("156"&amp;C408=KHN&amp;MH,TH))</f>
        <v>1438640</v>
      </c>
      <c r="I408" s="25">
        <f t="array" ref="I408">SUM(IF("156"&amp;C408=KHC&amp;MH,SL))</f>
        <v>112</v>
      </c>
      <c r="J408" s="25">
        <f t="array" ref="J408">SUM(IF("156"&amp;C408=KHC&amp;MH,TH))</f>
        <v>1438640</v>
      </c>
      <c r="K408" s="25">
        <f t="shared" si="26"/>
        <v>0</v>
      </c>
      <c r="L408" s="25">
        <f t="shared" si="27"/>
        <v>0</v>
      </c>
      <c r="M408" s="279"/>
    </row>
    <row r="409" spans="1:13" ht="18.75" hidden="1" customHeight="1">
      <c r="A409" s="279" t="str">
        <f t="shared" si="24"/>
        <v>NL</v>
      </c>
      <c r="B409" s="745">
        <f t="shared" si="25"/>
        <v>398</v>
      </c>
      <c r="C409" s="190" t="s">
        <v>753</v>
      </c>
      <c r="D409" s="281" t="s">
        <v>395</v>
      </c>
      <c r="E409" s="25"/>
      <c r="F409" s="25"/>
      <c r="G409" s="25">
        <f t="array" ref="G409">SUM(IF("156"&amp;C409=KHN&amp;MH,SL))</f>
        <v>122</v>
      </c>
      <c r="H409" s="25">
        <f t="array" ref="H409">SUM(IF("156"&amp;C409=KHN&amp;MH,TH))</f>
        <v>1504992</v>
      </c>
      <c r="I409" s="25">
        <f t="array" ref="I409">SUM(IF("156"&amp;C409=KHC&amp;MH,SL))</f>
        <v>122</v>
      </c>
      <c r="J409" s="25">
        <f t="array" ref="J409">SUM(IF("156"&amp;C409=KHC&amp;MH,TH))</f>
        <v>1504992</v>
      </c>
      <c r="K409" s="25">
        <f t="shared" si="26"/>
        <v>0</v>
      </c>
      <c r="L409" s="25">
        <f t="shared" si="27"/>
        <v>0</v>
      </c>
      <c r="M409" s="279"/>
    </row>
    <row r="410" spans="1:13" ht="18.75" hidden="1" customHeight="1">
      <c r="A410" s="279" t="str">
        <f t="shared" si="24"/>
        <v>NL</v>
      </c>
      <c r="B410" s="745">
        <f t="shared" si="25"/>
        <v>399</v>
      </c>
      <c r="C410" s="190" t="s">
        <v>1182</v>
      </c>
      <c r="D410" s="281" t="s">
        <v>395</v>
      </c>
      <c r="E410" s="25"/>
      <c r="F410" s="25"/>
      <c r="G410" s="25">
        <f t="array" ref="G410">SUM(IF("156"&amp;C410=KHN&amp;MH,SL))</f>
        <v>128</v>
      </c>
      <c r="H410" s="25">
        <f t="array" ref="H410">SUM(IF("156"&amp;C410=KHN&amp;MH,TH))</f>
        <v>4148503</v>
      </c>
      <c r="I410" s="25">
        <f t="array" ref="I410">SUM(IF("156"&amp;C410=KHC&amp;MH,SL))</f>
        <v>128</v>
      </c>
      <c r="J410" s="25">
        <f t="array" ref="J410">SUM(IF("156"&amp;C410=KHC&amp;MH,TH))</f>
        <v>4148503</v>
      </c>
      <c r="K410" s="25">
        <f t="shared" si="26"/>
        <v>0</v>
      </c>
      <c r="L410" s="25">
        <f t="shared" si="27"/>
        <v>0</v>
      </c>
      <c r="M410" s="279"/>
    </row>
    <row r="411" spans="1:13" ht="18.75" hidden="1" customHeight="1">
      <c r="A411" s="279" t="str">
        <f t="shared" si="24"/>
        <v>NL</v>
      </c>
      <c r="B411" s="745">
        <f t="shared" si="25"/>
        <v>400</v>
      </c>
      <c r="C411" s="190" t="s">
        <v>1176</v>
      </c>
      <c r="D411" s="281" t="s">
        <v>395</v>
      </c>
      <c r="E411" s="25"/>
      <c r="F411" s="25"/>
      <c r="G411" s="25">
        <f t="array" ref="G411">SUM(IF("156"&amp;C411=KHN&amp;MH,SL))</f>
        <v>425</v>
      </c>
      <c r="H411" s="25">
        <f t="array" ref="H411">SUM(IF("156"&amp;C411=KHN&amp;MH,TH))</f>
        <v>6279019</v>
      </c>
      <c r="I411" s="25">
        <f t="array" ref="I411">SUM(IF("156"&amp;C411=KHC&amp;MH,SL))</f>
        <v>425</v>
      </c>
      <c r="J411" s="25">
        <f t="array" ref="J411">SUM(IF("156"&amp;C411=KHC&amp;MH,TH))</f>
        <v>6279019</v>
      </c>
      <c r="K411" s="25">
        <f t="shared" si="26"/>
        <v>0</v>
      </c>
      <c r="L411" s="25">
        <f t="shared" si="27"/>
        <v>0</v>
      </c>
      <c r="M411" s="279"/>
    </row>
    <row r="412" spans="1:13" ht="18.75" hidden="1" customHeight="1">
      <c r="A412" s="279" t="str">
        <f t="shared" si="24"/>
        <v>NL</v>
      </c>
      <c r="B412" s="745">
        <f t="shared" si="25"/>
        <v>401</v>
      </c>
      <c r="C412" s="190" t="s">
        <v>1188</v>
      </c>
      <c r="D412" s="281" t="s">
        <v>395</v>
      </c>
      <c r="E412" s="25"/>
      <c r="F412" s="25"/>
      <c r="G412" s="25">
        <f t="array" ref="G412">SUM(IF("156"&amp;C412=KHN&amp;MH,SL))</f>
        <v>210</v>
      </c>
      <c r="H412" s="25">
        <f t="array" ref="H412">SUM(IF("156"&amp;C412=KHN&amp;MH,TH))</f>
        <v>2717547</v>
      </c>
      <c r="I412" s="25">
        <f t="array" ref="I412">SUM(IF("156"&amp;C412=KHC&amp;MH,SL))</f>
        <v>210</v>
      </c>
      <c r="J412" s="25">
        <f t="array" ref="J412">SUM(IF("156"&amp;C412=KHC&amp;MH,TH))</f>
        <v>2717547</v>
      </c>
      <c r="K412" s="25">
        <f t="shared" si="26"/>
        <v>0</v>
      </c>
      <c r="L412" s="25">
        <f t="shared" si="27"/>
        <v>0</v>
      </c>
      <c r="M412" s="279"/>
    </row>
    <row r="413" spans="1:13" ht="18.75" hidden="1" customHeight="1">
      <c r="A413" s="279" t="str">
        <f t="shared" si="24"/>
        <v>NL</v>
      </c>
      <c r="B413" s="745">
        <f t="shared" si="25"/>
        <v>402</v>
      </c>
      <c r="C413" s="190" t="s">
        <v>713</v>
      </c>
      <c r="D413" s="281" t="s">
        <v>395</v>
      </c>
      <c r="E413" s="25"/>
      <c r="F413" s="25"/>
      <c r="G413" s="25">
        <f t="array" ref="G413">SUM(IF("156"&amp;C413=KHN&amp;MH,SL))</f>
        <v>1276</v>
      </c>
      <c r="H413" s="25">
        <f t="array" ref="H413">SUM(IF("156"&amp;C413=KHN&amp;MH,TH))</f>
        <v>18319293</v>
      </c>
      <c r="I413" s="25">
        <f t="array" ref="I413">SUM(IF("156"&amp;C413=KHC&amp;MH,SL))</f>
        <v>1276</v>
      </c>
      <c r="J413" s="25">
        <f t="array" ref="J413">SUM(IF("156"&amp;C413=KHC&amp;MH,TH))</f>
        <v>18319293</v>
      </c>
      <c r="K413" s="25">
        <f t="shared" si="26"/>
        <v>0</v>
      </c>
      <c r="L413" s="25">
        <f t="shared" si="27"/>
        <v>0</v>
      </c>
      <c r="M413" s="279"/>
    </row>
    <row r="414" spans="1:13" ht="18.75" hidden="1" customHeight="1">
      <c r="A414" s="279" t="str">
        <f t="shared" si="24"/>
        <v>NL</v>
      </c>
      <c r="B414" s="745">
        <f t="shared" si="25"/>
        <v>403</v>
      </c>
      <c r="C414" s="190" t="s">
        <v>1177</v>
      </c>
      <c r="D414" s="281" t="s">
        <v>395</v>
      </c>
      <c r="E414" s="25"/>
      <c r="F414" s="25"/>
      <c r="G414" s="25">
        <f t="array" ref="G414">SUM(IF("156"&amp;C414=KHN&amp;MH,SL))</f>
        <v>156</v>
      </c>
      <c r="H414" s="25">
        <f t="array" ref="H414">SUM(IF("156"&amp;C414=KHN&amp;MH,TH))</f>
        <v>2452375</v>
      </c>
      <c r="I414" s="25">
        <f t="array" ref="I414">SUM(IF("156"&amp;C414=KHC&amp;MH,SL))</f>
        <v>156</v>
      </c>
      <c r="J414" s="25">
        <f t="array" ref="J414">SUM(IF("156"&amp;C414=KHC&amp;MH,TH))</f>
        <v>2452375</v>
      </c>
      <c r="K414" s="25">
        <f t="shared" si="26"/>
        <v>0</v>
      </c>
      <c r="L414" s="25">
        <f t="shared" si="27"/>
        <v>0</v>
      </c>
      <c r="M414" s="279"/>
    </row>
    <row r="415" spans="1:13" ht="18.75" hidden="1" customHeight="1">
      <c r="A415" s="279" t="str">
        <f t="shared" si="24"/>
        <v>NL</v>
      </c>
      <c r="B415" s="745">
        <f t="shared" si="25"/>
        <v>404</v>
      </c>
      <c r="C415" s="190" t="s">
        <v>1189</v>
      </c>
      <c r="D415" s="281" t="s">
        <v>395</v>
      </c>
      <c r="E415" s="25"/>
      <c r="F415" s="25"/>
      <c r="G415" s="25">
        <f t="array" ref="G415">SUM(IF("156"&amp;C415=KHN&amp;MH,SL))</f>
        <v>669</v>
      </c>
      <c r="H415" s="25">
        <f t="array" ref="H415">SUM(IF("156"&amp;C415=KHN&amp;MH,TH))</f>
        <v>22843480</v>
      </c>
      <c r="I415" s="25">
        <f t="array" ref="I415">SUM(IF("156"&amp;C415=KHC&amp;MH,SL))</f>
        <v>669</v>
      </c>
      <c r="J415" s="25">
        <f t="array" ref="J415">SUM(IF("156"&amp;C415=KHC&amp;MH,TH))</f>
        <v>22843480</v>
      </c>
      <c r="K415" s="25">
        <f t="shared" si="26"/>
        <v>0</v>
      </c>
      <c r="L415" s="25">
        <f t="shared" si="27"/>
        <v>0</v>
      </c>
      <c r="M415" s="279"/>
    </row>
    <row r="416" spans="1:13" ht="18.75" hidden="1" customHeight="1">
      <c r="A416" s="279" t="str">
        <f t="shared" si="24"/>
        <v>NL</v>
      </c>
      <c r="B416" s="745">
        <f t="shared" si="25"/>
        <v>405</v>
      </c>
      <c r="C416" s="190" t="s">
        <v>1254</v>
      </c>
      <c r="D416" s="281" t="s">
        <v>395</v>
      </c>
      <c r="E416" s="25"/>
      <c r="F416" s="25"/>
      <c r="G416" s="25">
        <f t="array" ref="G416">SUM(IF("156"&amp;C416=KHN&amp;MH,SL))</f>
        <v>200</v>
      </c>
      <c r="H416" s="25">
        <f t="array" ref="H416">SUM(IF("156"&amp;C416=KHN&amp;MH,TH))</f>
        <v>3587740</v>
      </c>
      <c r="I416" s="25">
        <f t="array" ref="I416">SUM(IF("156"&amp;C416=KHC&amp;MH,SL))</f>
        <v>200</v>
      </c>
      <c r="J416" s="25">
        <f t="array" ref="J416">SUM(IF("156"&amp;C416=KHC&amp;MH,TH))</f>
        <v>3587740</v>
      </c>
      <c r="K416" s="25">
        <f t="shared" si="26"/>
        <v>0</v>
      </c>
      <c r="L416" s="25">
        <f t="shared" si="27"/>
        <v>0</v>
      </c>
      <c r="M416" s="279"/>
    </row>
    <row r="417" spans="1:13" ht="18.75" hidden="1" customHeight="1">
      <c r="A417" s="279" t="str">
        <f t="shared" si="24"/>
        <v>NL</v>
      </c>
      <c r="B417" s="745">
        <f t="shared" si="25"/>
        <v>406</v>
      </c>
      <c r="C417" s="190" t="s">
        <v>1245</v>
      </c>
      <c r="D417" s="281" t="s">
        <v>395</v>
      </c>
      <c r="E417" s="25"/>
      <c r="F417" s="25"/>
      <c r="G417" s="25">
        <f t="array" ref="G417">SUM(IF("156"&amp;C417=KHN&amp;MH,SL))</f>
        <v>45</v>
      </c>
      <c r="H417" s="25">
        <f t="array" ref="H417">SUM(IF("156"&amp;C417=KHN&amp;MH,TH))</f>
        <v>1776676</v>
      </c>
      <c r="I417" s="25">
        <f t="array" ref="I417">SUM(IF("156"&amp;C417=KHC&amp;MH,SL))</f>
        <v>45</v>
      </c>
      <c r="J417" s="25">
        <f t="array" ref="J417">SUM(IF("156"&amp;C417=KHC&amp;MH,TH))</f>
        <v>1776676</v>
      </c>
      <c r="K417" s="25">
        <f t="shared" si="26"/>
        <v>0</v>
      </c>
      <c r="L417" s="25">
        <f t="shared" si="27"/>
        <v>0</v>
      </c>
      <c r="M417" s="279"/>
    </row>
    <row r="418" spans="1:13" ht="18.75" hidden="1" customHeight="1">
      <c r="A418" s="279" t="str">
        <f t="shared" si="24"/>
        <v>NL</v>
      </c>
      <c r="B418" s="745">
        <f t="shared" si="25"/>
        <v>407</v>
      </c>
      <c r="C418" s="190" t="s">
        <v>1240</v>
      </c>
      <c r="D418" s="281" t="s">
        <v>395</v>
      </c>
      <c r="E418" s="25"/>
      <c r="F418" s="25"/>
      <c r="G418" s="25">
        <f t="array" ref="G418">SUM(IF("156"&amp;C418=KHN&amp;MH,SL))</f>
        <v>20</v>
      </c>
      <c r="H418" s="25">
        <f t="array" ref="H418">SUM(IF("156"&amp;C418=KHN&amp;MH,TH))</f>
        <v>1329634</v>
      </c>
      <c r="I418" s="25">
        <f t="array" ref="I418">SUM(IF("156"&amp;C418=KHC&amp;MH,SL))</f>
        <v>20</v>
      </c>
      <c r="J418" s="25">
        <f t="array" ref="J418">SUM(IF("156"&amp;C418=KHC&amp;MH,TH))</f>
        <v>1329634</v>
      </c>
      <c r="K418" s="25">
        <f t="shared" si="26"/>
        <v>0</v>
      </c>
      <c r="L418" s="25">
        <f t="shared" si="27"/>
        <v>0</v>
      </c>
      <c r="M418" s="279"/>
    </row>
    <row r="419" spans="1:13" ht="18.75" hidden="1" customHeight="1">
      <c r="A419" s="279" t="str">
        <f t="shared" si="24"/>
        <v>NL</v>
      </c>
      <c r="B419" s="745">
        <f t="shared" si="25"/>
        <v>408</v>
      </c>
      <c r="C419" s="190" t="s">
        <v>1214</v>
      </c>
      <c r="D419" s="281" t="s">
        <v>395</v>
      </c>
      <c r="E419" s="25"/>
      <c r="F419" s="25"/>
      <c r="G419" s="25">
        <f t="array" ref="G419">SUM(IF("156"&amp;C419=KHN&amp;MH,SL))</f>
        <v>12</v>
      </c>
      <c r="H419" s="25">
        <f t="array" ref="H419">SUM(IF("156"&amp;C419=KHN&amp;MH,TH))</f>
        <v>3806516</v>
      </c>
      <c r="I419" s="25">
        <f t="array" ref="I419">SUM(IF("156"&amp;C419=KHC&amp;MH,SL))</f>
        <v>12</v>
      </c>
      <c r="J419" s="25">
        <f t="array" ref="J419">SUM(IF("156"&amp;C419=KHC&amp;MH,TH))</f>
        <v>3806516</v>
      </c>
      <c r="K419" s="25">
        <f t="shared" si="26"/>
        <v>0</v>
      </c>
      <c r="L419" s="25">
        <f t="shared" si="27"/>
        <v>0</v>
      </c>
      <c r="M419" s="279"/>
    </row>
    <row r="420" spans="1:13" ht="18.75" hidden="1" customHeight="1">
      <c r="A420" s="279" t="str">
        <f t="shared" si="24"/>
        <v>NL</v>
      </c>
      <c r="B420" s="745">
        <f t="shared" si="25"/>
        <v>409</v>
      </c>
      <c r="C420" s="190" t="s">
        <v>716</v>
      </c>
      <c r="D420" s="281" t="s">
        <v>395</v>
      </c>
      <c r="E420" s="25"/>
      <c r="F420" s="25"/>
      <c r="G420" s="25">
        <f t="array" ref="G420">SUM(IF("156"&amp;C420=KHN&amp;MH,SL))</f>
        <v>225</v>
      </c>
      <c r="H420" s="25">
        <f t="array" ref="H420">SUM(IF("156"&amp;C420=KHN&amp;MH,TH))</f>
        <v>3408300</v>
      </c>
      <c r="I420" s="25">
        <f t="array" ref="I420">SUM(IF("156"&amp;C420=KHC&amp;MH,SL))</f>
        <v>225</v>
      </c>
      <c r="J420" s="25">
        <f t="array" ref="J420">SUM(IF("156"&amp;C420=KHC&amp;MH,TH))</f>
        <v>3408300</v>
      </c>
      <c r="K420" s="25">
        <f t="shared" si="26"/>
        <v>0</v>
      </c>
      <c r="L420" s="25">
        <f t="shared" si="27"/>
        <v>0</v>
      </c>
      <c r="M420" s="279"/>
    </row>
    <row r="421" spans="1:13" ht="18.75" customHeight="1">
      <c r="A421" s="279" t="str">
        <f t="shared" si="24"/>
        <v>NL</v>
      </c>
      <c r="B421" s="745">
        <f t="shared" si="25"/>
        <v>410</v>
      </c>
      <c r="C421" s="190" t="s">
        <v>623</v>
      </c>
      <c r="D421" s="281" t="s">
        <v>395</v>
      </c>
      <c r="E421" s="25"/>
      <c r="F421" s="25"/>
      <c r="G421" s="25">
        <f t="array" ref="G421">SUM(IF("156"&amp;C421=KHN&amp;MH,SL))</f>
        <v>4150</v>
      </c>
      <c r="H421" s="25">
        <f t="array" ref="H421">SUM(IF("156"&amp;C421=KHN&amp;MH,TH))</f>
        <v>128488750</v>
      </c>
      <c r="I421" s="25">
        <f t="array" ref="I421">SUM(IF("156"&amp;C421=KHC&amp;MH,SL))</f>
        <v>3500</v>
      </c>
      <c r="J421" s="25">
        <f t="array" ref="J421">SUM(IF("156"&amp;C421=KHC&amp;MH,TH))</f>
        <v>108420000</v>
      </c>
      <c r="K421" s="25">
        <f t="shared" si="26"/>
        <v>650</v>
      </c>
      <c r="L421" s="25">
        <f t="shared" si="27"/>
        <v>20068750</v>
      </c>
      <c r="M421" s="279"/>
    </row>
    <row r="422" spans="1:13" ht="18.75" hidden="1" customHeight="1">
      <c r="A422" s="279" t="str">
        <f t="shared" si="24"/>
        <v>NL</v>
      </c>
      <c r="B422" s="745">
        <f t="shared" si="25"/>
        <v>411</v>
      </c>
      <c r="C422" s="190" t="s">
        <v>1218</v>
      </c>
      <c r="D422" s="281" t="s">
        <v>395</v>
      </c>
      <c r="E422" s="25"/>
      <c r="F422" s="25"/>
      <c r="G422" s="25">
        <f t="array" ref="G422">SUM(IF("156"&amp;C422=KHN&amp;MH,SL))</f>
        <v>8</v>
      </c>
      <c r="H422" s="25">
        <f t="array" ref="H422">SUM(IF("156"&amp;C422=KHN&amp;MH,TH))</f>
        <v>324064</v>
      </c>
      <c r="I422" s="25">
        <f t="array" ref="I422">SUM(IF("156"&amp;C422=KHC&amp;MH,SL))</f>
        <v>8</v>
      </c>
      <c r="J422" s="25">
        <f t="array" ref="J422">SUM(IF("156"&amp;C422=KHC&amp;MH,TH))</f>
        <v>324064</v>
      </c>
      <c r="K422" s="25">
        <f t="shared" si="26"/>
        <v>0</v>
      </c>
      <c r="L422" s="25">
        <f t="shared" si="27"/>
        <v>0</v>
      </c>
      <c r="M422" s="279"/>
    </row>
    <row r="423" spans="1:13" ht="18.75" hidden="1" customHeight="1">
      <c r="A423" s="279" t="str">
        <f t="shared" si="24"/>
        <v>NL</v>
      </c>
      <c r="B423" s="745">
        <f t="shared" si="25"/>
        <v>412</v>
      </c>
      <c r="C423" s="190" t="s">
        <v>1248</v>
      </c>
      <c r="D423" s="281" t="s">
        <v>395</v>
      </c>
      <c r="E423" s="25"/>
      <c r="F423" s="25"/>
      <c r="G423" s="25">
        <f t="array" ref="G423">SUM(IF("156"&amp;C423=KHN&amp;MH,SL))</f>
        <v>35</v>
      </c>
      <c r="H423" s="25">
        <f t="array" ref="H423">SUM(IF("156"&amp;C423=KHN&amp;MH,TH))</f>
        <v>1217699</v>
      </c>
      <c r="I423" s="25">
        <f t="array" ref="I423">SUM(IF("156"&amp;C423=KHC&amp;MH,SL))</f>
        <v>35</v>
      </c>
      <c r="J423" s="25">
        <f t="array" ref="J423">SUM(IF("156"&amp;C423=KHC&amp;MH,TH))</f>
        <v>1217699</v>
      </c>
      <c r="K423" s="25">
        <f t="shared" si="26"/>
        <v>0</v>
      </c>
      <c r="L423" s="25">
        <f t="shared" si="27"/>
        <v>0</v>
      </c>
      <c r="M423" s="279"/>
    </row>
    <row r="424" spans="1:13" ht="18.75" hidden="1" customHeight="1">
      <c r="A424" s="279" t="str">
        <f t="shared" si="24"/>
        <v>NL</v>
      </c>
      <c r="B424" s="745">
        <f t="shared" si="25"/>
        <v>413</v>
      </c>
      <c r="C424" s="190" t="s">
        <v>754</v>
      </c>
      <c r="D424" s="281" t="s">
        <v>395</v>
      </c>
      <c r="E424" s="25"/>
      <c r="F424" s="25"/>
      <c r="G424" s="25">
        <f t="array" ref="G424">SUM(IF("156"&amp;C424=KHN&amp;MH,SL))</f>
        <v>122</v>
      </c>
      <c r="H424" s="25">
        <f t="array" ref="H424">SUM(IF("156"&amp;C424=KHN&amp;MH,TH))</f>
        <v>2164402</v>
      </c>
      <c r="I424" s="25">
        <f t="array" ref="I424">SUM(IF("156"&amp;C424=KHC&amp;MH,SL))</f>
        <v>122</v>
      </c>
      <c r="J424" s="25">
        <f t="array" ref="J424">SUM(IF("156"&amp;C424=KHC&amp;MH,TH))</f>
        <v>2164402</v>
      </c>
      <c r="K424" s="25">
        <f t="shared" si="26"/>
        <v>0</v>
      </c>
      <c r="L424" s="25">
        <f t="shared" si="27"/>
        <v>0</v>
      </c>
      <c r="M424" s="279"/>
    </row>
    <row r="425" spans="1:13" ht="18.75" hidden="1" customHeight="1">
      <c r="A425" s="279" t="str">
        <f t="shared" si="24"/>
        <v>NL</v>
      </c>
      <c r="B425" s="745">
        <f t="shared" si="25"/>
        <v>414</v>
      </c>
      <c r="C425" s="190" t="s">
        <v>1184</v>
      </c>
      <c r="D425" s="281" t="s">
        <v>395</v>
      </c>
      <c r="E425" s="25"/>
      <c r="F425" s="25"/>
      <c r="G425" s="25">
        <f t="array" ref="G425">SUM(IF("156"&amp;C425=KHN&amp;MH,SL))</f>
        <v>256</v>
      </c>
      <c r="H425" s="25">
        <f t="array" ref="H425">SUM(IF("156"&amp;C425=KHN&amp;MH,TH))</f>
        <v>14099656</v>
      </c>
      <c r="I425" s="25">
        <f t="array" ref="I425">SUM(IF("156"&amp;C425=KHC&amp;MH,SL))</f>
        <v>256</v>
      </c>
      <c r="J425" s="25">
        <f t="array" ref="J425">SUM(IF("156"&amp;C425=KHC&amp;MH,TH))</f>
        <v>14099656</v>
      </c>
      <c r="K425" s="25">
        <f t="shared" si="26"/>
        <v>0</v>
      </c>
      <c r="L425" s="25">
        <f t="shared" si="27"/>
        <v>0</v>
      </c>
      <c r="M425" s="279"/>
    </row>
    <row r="426" spans="1:13" ht="18.75" hidden="1" customHeight="1">
      <c r="A426" s="279" t="str">
        <f t="shared" si="24"/>
        <v>NL</v>
      </c>
      <c r="B426" s="745">
        <f t="shared" si="25"/>
        <v>415</v>
      </c>
      <c r="C426" s="190" t="s">
        <v>1183</v>
      </c>
      <c r="D426" s="281" t="s">
        <v>395</v>
      </c>
      <c r="E426" s="25"/>
      <c r="F426" s="25"/>
      <c r="G426" s="25">
        <f t="array" ref="G426">SUM(IF("156"&amp;C426=KHN&amp;MH,SL))</f>
        <v>151</v>
      </c>
      <c r="H426" s="25">
        <f t="array" ref="H426">SUM(IF("156"&amp;C426=KHN&amp;MH,TH))</f>
        <v>9190492</v>
      </c>
      <c r="I426" s="25">
        <f t="array" ref="I426">SUM(IF("156"&amp;C426=KHC&amp;MH,SL))</f>
        <v>151</v>
      </c>
      <c r="J426" s="25">
        <f t="array" ref="J426">SUM(IF("156"&amp;C426=KHC&amp;MH,TH))</f>
        <v>9190492</v>
      </c>
      <c r="K426" s="25">
        <f t="shared" si="26"/>
        <v>0</v>
      </c>
      <c r="L426" s="25">
        <f t="shared" si="27"/>
        <v>0</v>
      </c>
      <c r="M426" s="279"/>
    </row>
    <row r="427" spans="1:13" ht="18.75" hidden="1" customHeight="1">
      <c r="A427" s="279" t="str">
        <f t="shared" si="24"/>
        <v>NL</v>
      </c>
      <c r="B427" s="745">
        <f t="shared" si="25"/>
        <v>416</v>
      </c>
      <c r="C427" s="190" t="s">
        <v>750</v>
      </c>
      <c r="D427" s="281" t="s">
        <v>395</v>
      </c>
      <c r="E427" s="25"/>
      <c r="F427" s="25"/>
      <c r="G427" s="25">
        <f t="array" ref="G427">SUM(IF("156"&amp;C427=KHN&amp;MH,SL))</f>
        <v>45</v>
      </c>
      <c r="H427" s="25">
        <f t="array" ref="H427">SUM(IF("156"&amp;C427=KHN&amp;MH,TH))</f>
        <v>17280000</v>
      </c>
      <c r="I427" s="25">
        <f t="array" ref="I427">SUM(IF("156"&amp;C427=KHC&amp;MH,SL))</f>
        <v>45</v>
      </c>
      <c r="J427" s="25">
        <f t="array" ref="J427">SUM(IF("156"&amp;C427=KHC&amp;MH,TH))</f>
        <v>17280000</v>
      </c>
      <c r="K427" s="25">
        <f t="shared" si="26"/>
        <v>0</v>
      </c>
      <c r="L427" s="25">
        <f t="shared" si="27"/>
        <v>0</v>
      </c>
      <c r="M427" s="279"/>
    </row>
    <row r="428" spans="1:13" ht="18.75" hidden="1" customHeight="1">
      <c r="A428" s="279" t="str">
        <f t="shared" si="24"/>
        <v>NL</v>
      </c>
      <c r="B428" s="745">
        <f t="shared" si="25"/>
        <v>417</v>
      </c>
      <c r="C428" s="190" t="s">
        <v>1239</v>
      </c>
      <c r="D428" s="281" t="s">
        <v>395</v>
      </c>
      <c r="E428" s="25"/>
      <c r="F428" s="25"/>
      <c r="G428" s="25">
        <f t="array" ref="G428">SUM(IF("156"&amp;C428=KHN&amp;MH,SL))</f>
        <v>80</v>
      </c>
      <c r="H428" s="25">
        <f t="array" ref="H428">SUM(IF("156"&amp;C428=KHN&amp;MH,TH))</f>
        <v>568156</v>
      </c>
      <c r="I428" s="25">
        <f t="array" ref="I428">SUM(IF("156"&amp;C428=KHC&amp;MH,SL))</f>
        <v>80</v>
      </c>
      <c r="J428" s="25">
        <f t="array" ref="J428">SUM(IF("156"&amp;C428=KHC&amp;MH,TH))</f>
        <v>568156</v>
      </c>
      <c r="K428" s="25">
        <f t="shared" si="26"/>
        <v>0</v>
      </c>
      <c r="L428" s="25">
        <f t="shared" si="27"/>
        <v>0</v>
      </c>
      <c r="M428" s="279"/>
    </row>
    <row r="429" spans="1:13" ht="18.75" hidden="1" customHeight="1">
      <c r="A429" s="279" t="str">
        <f t="shared" si="24"/>
        <v>NL</v>
      </c>
      <c r="B429" s="745">
        <f t="shared" si="25"/>
        <v>418</v>
      </c>
      <c r="C429" s="190" t="s">
        <v>1253</v>
      </c>
      <c r="D429" s="281" t="s">
        <v>395</v>
      </c>
      <c r="E429" s="25"/>
      <c r="F429" s="25"/>
      <c r="G429" s="25">
        <f t="array" ref="G429">SUM(IF("156"&amp;C429=KHN&amp;MH,SL))</f>
        <v>80</v>
      </c>
      <c r="H429" s="25">
        <f t="array" ref="H429">SUM(IF("156"&amp;C429=KHN&amp;MH,TH))</f>
        <v>838156</v>
      </c>
      <c r="I429" s="25">
        <f t="array" ref="I429">SUM(IF("156"&amp;C429=KHC&amp;MH,SL))</f>
        <v>80</v>
      </c>
      <c r="J429" s="25">
        <f t="array" ref="J429">SUM(IF("156"&amp;C429=KHC&amp;MH,TH))</f>
        <v>838156</v>
      </c>
      <c r="K429" s="25">
        <f t="shared" si="26"/>
        <v>0</v>
      </c>
      <c r="L429" s="25">
        <f t="shared" si="27"/>
        <v>0</v>
      </c>
      <c r="M429" s="279"/>
    </row>
    <row r="430" spans="1:13" ht="18.75" hidden="1" customHeight="1">
      <c r="A430" s="279" t="str">
        <f t="shared" si="24"/>
        <v>NL</v>
      </c>
      <c r="B430" s="745">
        <f t="shared" si="25"/>
        <v>419</v>
      </c>
      <c r="C430" s="190" t="s">
        <v>1200</v>
      </c>
      <c r="D430" s="281" t="s">
        <v>395</v>
      </c>
      <c r="E430" s="25"/>
      <c r="F430" s="25"/>
      <c r="G430" s="25">
        <f t="array" ref="G430">SUM(IF("156"&amp;C430=KHN&amp;MH,SL))</f>
        <v>105</v>
      </c>
      <c r="H430" s="25">
        <f t="array" ref="H430">SUM(IF("156"&amp;C430=KHN&amp;MH,TH))</f>
        <v>6251002</v>
      </c>
      <c r="I430" s="25">
        <f t="array" ref="I430">SUM(IF("156"&amp;C430=KHC&amp;MH,SL))</f>
        <v>105</v>
      </c>
      <c r="J430" s="25">
        <f t="array" ref="J430">SUM(IF("156"&amp;C430=KHC&amp;MH,TH))</f>
        <v>6251002</v>
      </c>
      <c r="K430" s="25">
        <f t="shared" si="26"/>
        <v>0</v>
      </c>
      <c r="L430" s="25">
        <f t="shared" si="27"/>
        <v>0</v>
      </c>
      <c r="M430" s="279"/>
    </row>
    <row r="431" spans="1:13" ht="18.75" hidden="1" customHeight="1">
      <c r="A431" s="279" t="str">
        <f t="shared" si="24"/>
        <v>NL</v>
      </c>
      <c r="B431" s="745">
        <f t="shared" si="25"/>
        <v>420</v>
      </c>
      <c r="C431" s="190" t="s">
        <v>696</v>
      </c>
      <c r="D431" s="281" t="s">
        <v>395</v>
      </c>
      <c r="E431" s="25"/>
      <c r="F431" s="25"/>
      <c r="G431" s="25">
        <f t="array" ref="G431">SUM(IF("156"&amp;C431=KHN&amp;MH,SL))</f>
        <v>151</v>
      </c>
      <c r="H431" s="25">
        <f t="array" ref="H431">SUM(IF("156"&amp;C431=KHN&amp;MH,TH))</f>
        <v>3783456</v>
      </c>
      <c r="I431" s="25">
        <f t="array" ref="I431">SUM(IF("156"&amp;C431=KHC&amp;MH,SL))</f>
        <v>151</v>
      </c>
      <c r="J431" s="25">
        <f t="array" ref="J431">SUM(IF("156"&amp;C431=KHC&amp;MH,TH))</f>
        <v>3783456</v>
      </c>
      <c r="K431" s="25">
        <f t="shared" si="26"/>
        <v>0</v>
      </c>
      <c r="L431" s="25">
        <f t="shared" si="27"/>
        <v>0</v>
      </c>
      <c r="M431" s="279"/>
    </row>
    <row r="432" spans="1:13" ht="18.75" hidden="1" customHeight="1">
      <c r="A432" s="279" t="str">
        <f t="shared" si="24"/>
        <v>NL</v>
      </c>
      <c r="B432" s="745">
        <f t="shared" si="25"/>
        <v>421</v>
      </c>
      <c r="C432" s="190" t="s">
        <v>1198</v>
      </c>
      <c r="D432" s="281" t="s">
        <v>395</v>
      </c>
      <c r="E432" s="25"/>
      <c r="F432" s="25"/>
      <c r="G432" s="25">
        <f t="array" ref="G432">SUM(IF("156"&amp;C432=KHN&amp;MH,SL))</f>
        <v>8</v>
      </c>
      <c r="H432" s="25">
        <f t="array" ref="H432">SUM(IF("156"&amp;C432=KHN&amp;MH,TH))</f>
        <v>433803</v>
      </c>
      <c r="I432" s="25">
        <f t="array" ref="I432">SUM(IF("156"&amp;C432=KHC&amp;MH,SL))</f>
        <v>8</v>
      </c>
      <c r="J432" s="25">
        <f t="array" ref="J432">SUM(IF("156"&amp;C432=KHC&amp;MH,TH))</f>
        <v>433803</v>
      </c>
      <c r="K432" s="25">
        <f t="shared" si="26"/>
        <v>0</v>
      </c>
      <c r="L432" s="25">
        <f t="shared" si="27"/>
        <v>0</v>
      </c>
      <c r="M432" s="279"/>
    </row>
    <row r="433" spans="1:13" ht="18.75" hidden="1" customHeight="1">
      <c r="A433" s="279" t="str">
        <f t="shared" si="24"/>
        <v>NL</v>
      </c>
      <c r="B433" s="745">
        <f t="shared" si="25"/>
        <v>422</v>
      </c>
      <c r="C433" s="190" t="s">
        <v>1215</v>
      </c>
      <c r="D433" s="281" t="s">
        <v>395</v>
      </c>
      <c r="E433" s="25"/>
      <c r="F433" s="25"/>
      <c r="G433" s="25">
        <f t="array" ref="G433">SUM(IF("156"&amp;C433=KHN&amp;MH,SL))</f>
        <v>17</v>
      </c>
      <c r="H433" s="25">
        <f t="array" ref="H433">SUM(IF("156"&amp;C433=KHN&amp;MH,TH))</f>
        <v>2917957</v>
      </c>
      <c r="I433" s="25">
        <f t="array" ref="I433">SUM(IF("156"&amp;C433=KHC&amp;MH,SL))</f>
        <v>17</v>
      </c>
      <c r="J433" s="25">
        <f t="array" ref="J433">SUM(IF("156"&amp;C433=KHC&amp;MH,TH))</f>
        <v>2917957</v>
      </c>
      <c r="K433" s="25">
        <f t="shared" si="26"/>
        <v>0</v>
      </c>
      <c r="L433" s="25">
        <f t="shared" si="27"/>
        <v>0</v>
      </c>
      <c r="M433" s="279"/>
    </row>
    <row r="434" spans="1:13" ht="18.75" hidden="1" customHeight="1">
      <c r="A434" s="279" t="str">
        <f t="shared" si="24"/>
        <v>NL</v>
      </c>
      <c r="B434" s="745">
        <f t="shared" si="25"/>
        <v>423</v>
      </c>
      <c r="C434" s="190" t="s">
        <v>844</v>
      </c>
      <c r="D434" s="281" t="s">
        <v>395</v>
      </c>
      <c r="E434" s="25"/>
      <c r="F434" s="25"/>
      <c r="G434" s="25">
        <f t="array" ref="G434">SUM(IF("156"&amp;C434=KHN&amp;MH,SL))</f>
        <v>144</v>
      </c>
      <c r="H434" s="25">
        <f t="array" ref="H434">SUM(IF("156"&amp;C434=KHN&amp;MH,TH))</f>
        <v>6323760</v>
      </c>
      <c r="I434" s="25">
        <f t="array" ref="I434">SUM(IF("156"&amp;C434=KHC&amp;MH,SL))</f>
        <v>144</v>
      </c>
      <c r="J434" s="25">
        <f t="array" ref="J434">SUM(IF("156"&amp;C434=KHC&amp;MH,TH))</f>
        <v>6323760</v>
      </c>
      <c r="K434" s="25">
        <f t="shared" si="26"/>
        <v>0</v>
      </c>
      <c r="L434" s="25">
        <f t="shared" si="27"/>
        <v>0</v>
      </c>
      <c r="M434" s="279"/>
    </row>
    <row r="435" spans="1:13" ht="18.75" hidden="1" customHeight="1">
      <c r="A435" s="279" t="str">
        <f t="shared" si="24"/>
        <v>NL</v>
      </c>
      <c r="B435" s="745">
        <f t="shared" si="25"/>
        <v>424</v>
      </c>
      <c r="C435" s="187" t="s">
        <v>1154</v>
      </c>
      <c r="D435" s="281" t="s">
        <v>395</v>
      </c>
      <c r="E435" s="25"/>
      <c r="F435" s="25"/>
      <c r="G435" s="25">
        <f t="array" ref="G435">SUM(IF("156"&amp;C435=KHN&amp;MH,SL))</f>
        <v>20</v>
      </c>
      <c r="H435" s="25">
        <f t="array" ref="H435">SUM(IF("156"&amp;C435=KHN&amp;MH,TH))</f>
        <v>1227800</v>
      </c>
      <c r="I435" s="25">
        <f t="array" ref="I435">SUM(IF("156"&amp;C435=KHC&amp;MH,SL))</f>
        <v>20</v>
      </c>
      <c r="J435" s="25">
        <f t="array" ref="J435">SUM(IF("156"&amp;C435=KHC&amp;MH,TH))</f>
        <v>1227800</v>
      </c>
      <c r="K435" s="25">
        <f t="shared" si="26"/>
        <v>0</v>
      </c>
      <c r="L435" s="25">
        <f t="shared" si="27"/>
        <v>0</v>
      </c>
      <c r="M435" s="279"/>
    </row>
    <row r="436" spans="1:13" ht="18.75" hidden="1" customHeight="1">
      <c r="A436" s="279" t="str">
        <f t="shared" si="24"/>
        <v>NL</v>
      </c>
      <c r="B436" s="745">
        <f t="shared" si="25"/>
        <v>425</v>
      </c>
      <c r="C436" s="187" t="s">
        <v>1175</v>
      </c>
      <c r="D436" s="281" t="s">
        <v>395</v>
      </c>
      <c r="E436" s="25"/>
      <c r="F436" s="25"/>
      <c r="G436" s="25">
        <f t="array" ref="G436">SUM(IF("156"&amp;C436=KHN&amp;MH,SL))</f>
        <v>12</v>
      </c>
      <c r="H436" s="25">
        <f t="array" ref="H436">SUM(IF("156"&amp;C436=KHN&amp;MH,TH))</f>
        <v>798336</v>
      </c>
      <c r="I436" s="25">
        <f t="array" ref="I436">SUM(IF("156"&amp;C436=KHC&amp;MH,SL))</f>
        <v>12</v>
      </c>
      <c r="J436" s="25">
        <f t="array" ref="J436">SUM(IF("156"&amp;C436=KHC&amp;MH,TH))</f>
        <v>798336</v>
      </c>
      <c r="K436" s="25">
        <f t="shared" si="26"/>
        <v>0</v>
      </c>
      <c r="L436" s="25">
        <f t="shared" si="27"/>
        <v>0</v>
      </c>
      <c r="M436" s="279"/>
    </row>
    <row r="437" spans="1:13" ht="18.75" hidden="1" customHeight="1">
      <c r="A437" s="279" t="str">
        <f t="shared" si="24"/>
        <v>NL</v>
      </c>
      <c r="B437" s="745">
        <f t="shared" si="25"/>
        <v>426</v>
      </c>
      <c r="C437" s="187" t="s">
        <v>1164</v>
      </c>
      <c r="D437" s="281" t="s">
        <v>395</v>
      </c>
      <c r="E437" s="25"/>
      <c r="F437" s="25"/>
      <c r="G437" s="25">
        <f t="array" ref="G437">SUM(IF("156"&amp;C437=KHN&amp;MH,SL))</f>
        <v>10</v>
      </c>
      <c r="H437" s="25">
        <f t="array" ref="H437">SUM(IF("156"&amp;C437=KHN&amp;MH,TH))</f>
        <v>758100</v>
      </c>
      <c r="I437" s="25">
        <f t="array" ref="I437">SUM(IF("156"&amp;C437=KHC&amp;MH,SL))</f>
        <v>10</v>
      </c>
      <c r="J437" s="25">
        <f t="array" ref="J437">SUM(IF("156"&amp;C437=KHC&amp;MH,TH))</f>
        <v>758100</v>
      </c>
      <c r="K437" s="25">
        <f t="shared" si="26"/>
        <v>0</v>
      </c>
      <c r="L437" s="25">
        <f t="shared" si="27"/>
        <v>0</v>
      </c>
      <c r="M437" s="279"/>
    </row>
    <row r="438" spans="1:13" ht="18.75" hidden="1" customHeight="1">
      <c r="A438" s="279" t="str">
        <f t="shared" si="24"/>
        <v>NL</v>
      </c>
      <c r="B438" s="745">
        <f t="shared" si="25"/>
        <v>427</v>
      </c>
      <c r="C438" s="187" t="s">
        <v>1165</v>
      </c>
      <c r="D438" s="281" t="s">
        <v>395</v>
      </c>
      <c r="E438" s="25"/>
      <c r="F438" s="25"/>
      <c r="G438" s="25">
        <f t="array" ref="G438">SUM(IF("156"&amp;C438=KHN&amp;MH,SL))</f>
        <v>25</v>
      </c>
      <c r="H438" s="25">
        <f t="array" ref="H438">SUM(IF("156"&amp;C438=KHN&amp;MH,TH))</f>
        <v>466575</v>
      </c>
      <c r="I438" s="25">
        <f t="array" ref="I438">SUM(IF("156"&amp;C438=KHC&amp;MH,SL))</f>
        <v>25</v>
      </c>
      <c r="J438" s="25">
        <f t="array" ref="J438">SUM(IF("156"&amp;C438=KHC&amp;MH,TH))</f>
        <v>466575</v>
      </c>
      <c r="K438" s="25">
        <f t="shared" si="26"/>
        <v>0</v>
      </c>
      <c r="L438" s="25">
        <f t="shared" si="27"/>
        <v>0</v>
      </c>
      <c r="M438" s="279"/>
    </row>
    <row r="439" spans="1:13" ht="18.75" hidden="1" customHeight="1">
      <c r="A439" s="279" t="str">
        <f t="shared" si="24"/>
        <v>NL</v>
      </c>
      <c r="B439" s="745">
        <f t="shared" si="25"/>
        <v>428</v>
      </c>
      <c r="C439" s="187" t="s">
        <v>1160</v>
      </c>
      <c r="D439" s="281" t="s">
        <v>395</v>
      </c>
      <c r="E439" s="25"/>
      <c r="F439" s="25"/>
      <c r="G439" s="25">
        <f t="array" ref="G439">SUM(IF("156"&amp;C439=KHN&amp;MH,SL))</f>
        <v>28</v>
      </c>
      <c r="H439" s="25">
        <f t="array" ref="H439">SUM(IF("156"&amp;C439=KHN&amp;MH,TH))</f>
        <v>478100</v>
      </c>
      <c r="I439" s="25">
        <f t="array" ref="I439">SUM(IF("156"&amp;C439=KHC&amp;MH,SL))</f>
        <v>28</v>
      </c>
      <c r="J439" s="25">
        <f t="array" ref="J439">SUM(IF("156"&amp;C439=KHC&amp;MH,TH))</f>
        <v>478100</v>
      </c>
      <c r="K439" s="25">
        <f t="shared" si="26"/>
        <v>0</v>
      </c>
      <c r="L439" s="25">
        <f t="shared" si="27"/>
        <v>0</v>
      </c>
      <c r="M439" s="279"/>
    </row>
    <row r="440" spans="1:13" ht="18.75" hidden="1" customHeight="1">
      <c r="A440" s="279" t="str">
        <f t="shared" si="24"/>
        <v>NL</v>
      </c>
      <c r="B440" s="745">
        <f t="shared" si="25"/>
        <v>429</v>
      </c>
      <c r="C440" s="187" t="s">
        <v>1152</v>
      </c>
      <c r="D440" s="281" t="s">
        <v>395</v>
      </c>
      <c r="E440" s="25"/>
      <c r="F440" s="25"/>
      <c r="G440" s="25">
        <f t="array" ref="G440">SUM(IF("156"&amp;C440=KHN&amp;MH,SL))</f>
        <v>12</v>
      </c>
      <c r="H440" s="25">
        <f t="array" ref="H440">SUM(IF("156"&amp;C440=KHN&amp;MH,TH))</f>
        <v>308904</v>
      </c>
      <c r="I440" s="25">
        <f t="array" ref="I440">SUM(IF("156"&amp;C440=KHC&amp;MH,SL))</f>
        <v>12</v>
      </c>
      <c r="J440" s="25">
        <f t="array" ref="J440">SUM(IF("156"&amp;C440=KHC&amp;MH,TH))</f>
        <v>308904</v>
      </c>
      <c r="K440" s="25">
        <f t="shared" si="26"/>
        <v>0</v>
      </c>
      <c r="L440" s="25">
        <f t="shared" si="27"/>
        <v>0</v>
      </c>
      <c r="M440" s="279"/>
    </row>
    <row r="441" spans="1:13" ht="18.75" hidden="1" customHeight="1">
      <c r="A441" s="279" t="str">
        <f t="shared" si="24"/>
        <v>NL</v>
      </c>
      <c r="B441" s="745">
        <f t="shared" si="25"/>
        <v>430</v>
      </c>
      <c r="C441" s="187" t="s">
        <v>1168</v>
      </c>
      <c r="D441" s="281" t="s">
        <v>395</v>
      </c>
      <c r="E441" s="25"/>
      <c r="F441" s="25"/>
      <c r="G441" s="25">
        <f t="array" ref="G441">SUM(IF("156"&amp;C441=KHN&amp;MH,SL))</f>
        <v>8</v>
      </c>
      <c r="H441" s="25">
        <f t="array" ref="H441">SUM(IF("156"&amp;C441=KHN&amp;MH,TH))</f>
        <v>152496</v>
      </c>
      <c r="I441" s="25">
        <f t="array" ref="I441">SUM(IF("156"&amp;C441=KHC&amp;MH,SL))</f>
        <v>8</v>
      </c>
      <c r="J441" s="25">
        <f t="array" ref="J441">SUM(IF("156"&amp;C441=KHC&amp;MH,TH))</f>
        <v>152496</v>
      </c>
      <c r="K441" s="25">
        <f t="shared" si="26"/>
        <v>0</v>
      </c>
      <c r="L441" s="25">
        <f t="shared" si="27"/>
        <v>0</v>
      </c>
      <c r="M441" s="279"/>
    </row>
    <row r="442" spans="1:13" ht="18.75" hidden="1" customHeight="1">
      <c r="A442" s="279" t="str">
        <f t="shared" si="24"/>
        <v>NL</v>
      </c>
      <c r="B442" s="745">
        <f t="shared" si="25"/>
        <v>431</v>
      </c>
      <c r="C442" s="187" t="s">
        <v>1151</v>
      </c>
      <c r="D442" s="281" t="s">
        <v>395</v>
      </c>
      <c r="E442" s="25"/>
      <c r="F442" s="25"/>
      <c r="G442" s="25">
        <f t="array" ref="G442">SUM(IF("156"&amp;C442=KHN&amp;MH,SL))</f>
        <v>12</v>
      </c>
      <c r="H442" s="25">
        <f t="array" ref="H442">SUM(IF("156"&amp;C442=KHN&amp;MH,TH))</f>
        <v>366576</v>
      </c>
      <c r="I442" s="25">
        <f t="array" ref="I442">SUM(IF("156"&amp;C442=KHC&amp;MH,SL))</f>
        <v>12</v>
      </c>
      <c r="J442" s="25">
        <f t="array" ref="J442">SUM(IF("156"&amp;C442=KHC&amp;MH,TH))</f>
        <v>366576</v>
      </c>
      <c r="K442" s="25">
        <f t="shared" si="26"/>
        <v>0</v>
      </c>
      <c r="L442" s="25">
        <f t="shared" si="27"/>
        <v>0</v>
      </c>
      <c r="M442" s="279"/>
    </row>
    <row r="443" spans="1:13" ht="18.75" hidden="1" customHeight="1">
      <c r="A443" s="279" t="str">
        <f t="shared" si="24"/>
        <v>NL</v>
      </c>
      <c r="B443" s="745">
        <f t="shared" si="25"/>
        <v>432</v>
      </c>
      <c r="C443" s="190" t="s">
        <v>1147</v>
      </c>
      <c r="D443" s="281" t="s">
        <v>395</v>
      </c>
      <c r="E443" s="25"/>
      <c r="F443" s="25"/>
      <c r="G443" s="25">
        <f t="array" ref="G443">SUM(IF("156"&amp;C443=KHN&amp;MH,SL))</f>
        <v>74</v>
      </c>
      <c r="H443" s="25">
        <f t="array" ref="H443">SUM(IF("156"&amp;C443=KHN&amp;MH,TH))</f>
        <v>2284750</v>
      </c>
      <c r="I443" s="25">
        <f t="array" ref="I443">SUM(IF("156"&amp;C443=KHC&amp;MH,SL))</f>
        <v>74</v>
      </c>
      <c r="J443" s="25">
        <f t="array" ref="J443">SUM(IF("156"&amp;C443=KHC&amp;MH,TH))</f>
        <v>2284750</v>
      </c>
      <c r="K443" s="25">
        <f t="shared" si="26"/>
        <v>0</v>
      </c>
      <c r="L443" s="25">
        <f t="shared" si="27"/>
        <v>0</v>
      </c>
      <c r="M443" s="279"/>
    </row>
    <row r="444" spans="1:13" ht="18.75" hidden="1" customHeight="1">
      <c r="A444" s="279" t="str">
        <f t="shared" si="24"/>
        <v>NL</v>
      </c>
      <c r="B444" s="745">
        <f t="shared" si="25"/>
        <v>433</v>
      </c>
      <c r="C444" s="187" t="s">
        <v>1153</v>
      </c>
      <c r="D444" s="281" t="s">
        <v>395</v>
      </c>
      <c r="E444" s="25"/>
      <c r="F444" s="25"/>
      <c r="G444" s="25">
        <f t="array" ref="G444">SUM(IF("156"&amp;C444=KHN&amp;MH,SL))</f>
        <v>12</v>
      </c>
      <c r="H444" s="25">
        <f t="array" ref="H444">SUM(IF("156"&amp;C444=KHN&amp;MH,TH))</f>
        <v>267372</v>
      </c>
      <c r="I444" s="25">
        <f t="array" ref="I444">SUM(IF("156"&amp;C444=KHC&amp;MH,SL))</f>
        <v>12</v>
      </c>
      <c r="J444" s="25">
        <f t="array" ref="J444">SUM(IF("156"&amp;C444=KHC&amp;MH,TH))</f>
        <v>267372</v>
      </c>
      <c r="K444" s="25">
        <f t="shared" si="26"/>
        <v>0</v>
      </c>
      <c r="L444" s="25">
        <f t="shared" si="27"/>
        <v>0</v>
      </c>
      <c r="M444" s="279"/>
    </row>
    <row r="445" spans="1:13" ht="18.75" hidden="1" customHeight="1">
      <c r="A445" s="279" t="str">
        <f t="shared" si="24"/>
        <v>NL</v>
      </c>
      <c r="B445" s="745">
        <f t="shared" si="25"/>
        <v>434</v>
      </c>
      <c r="C445" s="190" t="s">
        <v>1148</v>
      </c>
      <c r="D445" s="281" t="s">
        <v>395</v>
      </c>
      <c r="E445" s="25"/>
      <c r="F445" s="25"/>
      <c r="G445" s="25">
        <f t="array" ref="G445">SUM(IF("156"&amp;C445=KHN&amp;MH,SL))</f>
        <v>72</v>
      </c>
      <c r="H445" s="25">
        <f t="array" ref="H445">SUM(IF("156"&amp;C445=KHN&amp;MH,TH))</f>
        <v>2177928</v>
      </c>
      <c r="I445" s="25">
        <f t="array" ref="I445">SUM(IF("156"&amp;C445=KHC&amp;MH,SL))</f>
        <v>72</v>
      </c>
      <c r="J445" s="25">
        <f t="array" ref="J445">SUM(IF("156"&amp;C445=KHC&amp;MH,TH))</f>
        <v>2177928</v>
      </c>
      <c r="K445" s="25">
        <f t="shared" si="26"/>
        <v>0</v>
      </c>
      <c r="L445" s="25">
        <f t="shared" si="27"/>
        <v>0</v>
      </c>
      <c r="M445" s="279"/>
    </row>
    <row r="446" spans="1:13" ht="18.75" hidden="1" customHeight="1">
      <c r="A446" s="279" t="str">
        <f t="shared" si="24"/>
        <v>NL</v>
      </c>
      <c r="B446" s="745">
        <f t="shared" si="25"/>
        <v>435</v>
      </c>
      <c r="C446" s="187" t="s">
        <v>1161</v>
      </c>
      <c r="D446" s="281" t="s">
        <v>395</v>
      </c>
      <c r="E446" s="25"/>
      <c r="F446" s="25"/>
      <c r="G446" s="25">
        <f t="array" ref="G446">SUM(IF("156"&amp;C446=KHN&amp;MH,SL))</f>
        <v>6</v>
      </c>
      <c r="H446" s="25">
        <f t="array" ref="H446">SUM(IF("156"&amp;C446=KHN&amp;MH,TH))</f>
        <v>230136</v>
      </c>
      <c r="I446" s="25">
        <f t="array" ref="I446">SUM(IF("156"&amp;C446=KHC&amp;MH,SL))</f>
        <v>6</v>
      </c>
      <c r="J446" s="25">
        <f t="array" ref="J446">SUM(IF("156"&amp;C446=KHC&amp;MH,TH))</f>
        <v>230136</v>
      </c>
      <c r="K446" s="25">
        <f t="shared" si="26"/>
        <v>0</v>
      </c>
      <c r="L446" s="25">
        <f t="shared" si="27"/>
        <v>0</v>
      </c>
      <c r="M446" s="279"/>
    </row>
    <row r="447" spans="1:13" ht="18.75" hidden="1" customHeight="1">
      <c r="A447" s="279" t="str">
        <f t="shared" si="24"/>
        <v>NL</v>
      </c>
      <c r="B447" s="745">
        <f t="shared" si="25"/>
        <v>436</v>
      </c>
      <c r="C447" s="187" t="s">
        <v>1149</v>
      </c>
      <c r="D447" s="281" t="s">
        <v>395</v>
      </c>
      <c r="E447" s="25"/>
      <c r="F447" s="25"/>
      <c r="G447" s="25">
        <f t="array" ref="G447">SUM(IF("156"&amp;C447=KHN&amp;MH,SL))</f>
        <v>6</v>
      </c>
      <c r="H447" s="25">
        <f t="array" ref="H447">SUM(IF("156"&amp;C447=KHN&amp;MH,TH))</f>
        <v>205626</v>
      </c>
      <c r="I447" s="25">
        <f t="array" ref="I447">SUM(IF("156"&amp;C447=KHC&amp;MH,SL))</f>
        <v>6</v>
      </c>
      <c r="J447" s="25">
        <f t="array" ref="J447">SUM(IF("156"&amp;C447=KHC&amp;MH,TH))</f>
        <v>205626</v>
      </c>
      <c r="K447" s="25">
        <f t="shared" si="26"/>
        <v>0</v>
      </c>
      <c r="L447" s="25">
        <f t="shared" si="27"/>
        <v>0</v>
      </c>
      <c r="M447" s="279"/>
    </row>
    <row r="448" spans="1:13" ht="18.75" hidden="1" customHeight="1">
      <c r="A448" s="279" t="str">
        <f t="shared" si="24"/>
        <v>NL</v>
      </c>
      <c r="B448" s="745">
        <f t="shared" si="25"/>
        <v>437</v>
      </c>
      <c r="C448" s="187" t="s">
        <v>1174</v>
      </c>
      <c r="D448" s="281" t="s">
        <v>395</v>
      </c>
      <c r="E448" s="25"/>
      <c r="F448" s="25"/>
      <c r="G448" s="25">
        <f t="array" ref="G448">SUM(IF("156"&amp;C448=KHN&amp;MH,SL))</f>
        <v>12</v>
      </c>
      <c r="H448" s="25">
        <f t="array" ref="H448">SUM(IF("156"&amp;C448=KHN&amp;MH,TH))</f>
        <v>431088</v>
      </c>
      <c r="I448" s="25">
        <f t="array" ref="I448">SUM(IF("156"&amp;C448=KHC&amp;MH,SL))</f>
        <v>12</v>
      </c>
      <c r="J448" s="25">
        <f t="array" ref="J448">SUM(IF("156"&amp;C448=KHC&amp;MH,TH))</f>
        <v>431088</v>
      </c>
      <c r="K448" s="25">
        <f t="shared" si="26"/>
        <v>0</v>
      </c>
      <c r="L448" s="25">
        <f t="shared" si="27"/>
        <v>0</v>
      </c>
      <c r="M448" s="279"/>
    </row>
    <row r="449" spans="1:13" ht="18.75" hidden="1" customHeight="1">
      <c r="A449" s="279" t="str">
        <f t="shared" si="24"/>
        <v>NL</v>
      </c>
      <c r="B449" s="745">
        <f t="shared" si="25"/>
        <v>438</v>
      </c>
      <c r="C449" s="187" t="s">
        <v>1172</v>
      </c>
      <c r="D449" s="281" t="s">
        <v>395</v>
      </c>
      <c r="E449" s="25"/>
      <c r="F449" s="25"/>
      <c r="G449" s="25">
        <f t="array" ref="G449">SUM(IF("156"&amp;C449=KHN&amp;MH,SL))</f>
        <v>24</v>
      </c>
      <c r="H449" s="25">
        <f t="array" ref="H449">SUM(IF("156"&amp;C449=KHN&amp;MH,TH))</f>
        <v>875280</v>
      </c>
      <c r="I449" s="25">
        <f t="array" ref="I449">SUM(IF("156"&amp;C449=KHC&amp;MH,SL))</f>
        <v>24</v>
      </c>
      <c r="J449" s="25">
        <f t="array" ref="J449">SUM(IF("156"&amp;C449=KHC&amp;MH,TH))</f>
        <v>875280</v>
      </c>
      <c r="K449" s="25">
        <f t="shared" si="26"/>
        <v>0</v>
      </c>
      <c r="L449" s="25">
        <f t="shared" si="27"/>
        <v>0</v>
      </c>
      <c r="M449" s="279"/>
    </row>
    <row r="450" spans="1:13" ht="18.75" hidden="1" customHeight="1">
      <c r="A450" s="279" t="str">
        <f t="shared" si="24"/>
        <v>NL</v>
      </c>
      <c r="B450" s="745">
        <f t="shared" si="25"/>
        <v>439</v>
      </c>
      <c r="C450" s="187" t="s">
        <v>1166</v>
      </c>
      <c r="D450" s="281" t="s">
        <v>395</v>
      </c>
      <c r="E450" s="25"/>
      <c r="F450" s="25"/>
      <c r="G450" s="25">
        <f t="array" ref="G450">SUM(IF("156"&amp;C450=KHN&amp;MH,SL))</f>
        <v>6</v>
      </c>
      <c r="H450" s="25">
        <f t="array" ref="H450">SUM(IF("156"&amp;C450=KHN&amp;MH,TH))</f>
        <v>226344</v>
      </c>
      <c r="I450" s="25">
        <f t="array" ref="I450">SUM(IF("156"&amp;C450=KHC&amp;MH,SL))</f>
        <v>6</v>
      </c>
      <c r="J450" s="25">
        <f t="array" ref="J450">SUM(IF("156"&amp;C450=KHC&amp;MH,TH))</f>
        <v>226344</v>
      </c>
      <c r="K450" s="25">
        <f t="shared" si="26"/>
        <v>0</v>
      </c>
      <c r="L450" s="25">
        <f t="shared" si="27"/>
        <v>0</v>
      </c>
      <c r="M450" s="279"/>
    </row>
    <row r="451" spans="1:13" ht="18.75" hidden="1" customHeight="1">
      <c r="A451" s="279" t="str">
        <f t="shared" si="24"/>
        <v>NL</v>
      </c>
      <c r="B451" s="745">
        <f t="shared" si="25"/>
        <v>440</v>
      </c>
      <c r="C451" s="187" t="s">
        <v>1167</v>
      </c>
      <c r="D451" s="281" t="s">
        <v>395</v>
      </c>
      <c r="E451" s="25"/>
      <c r="F451" s="25"/>
      <c r="G451" s="25">
        <f t="array" ref="G451">SUM(IF("156"&amp;C451=KHN&amp;MH,SL))</f>
        <v>6</v>
      </c>
      <c r="H451" s="25">
        <f t="array" ref="H451">SUM(IF("156"&amp;C451=KHN&amp;MH,TH))</f>
        <v>257208</v>
      </c>
      <c r="I451" s="25">
        <f t="array" ref="I451">SUM(IF("156"&amp;C451=KHC&amp;MH,SL))</f>
        <v>6</v>
      </c>
      <c r="J451" s="25">
        <f t="array" ref="J451">SUM(IF("156"&amp;C451=KHC&amp;MH,TH))</f>
        <v>257208</v>
      </c>
      <c r="K451" s="25">
        <f t="shared" si="26"/>
        <v>0</v>
      </c>
      <c r="L451" s="25">
        <f t="shared" si="27"/>
        <v>0</v>
      </c>
      <c r="M451" s="279"/>
    </row>
    <row r="452" spans="1:13" ht="18.75" hidden="1" customHeight="1">
      <c r="A452" s="279" t="str">
        <f t="shared" si="24"/>
        <v>NL</v>
      </c>
      <c r="B452" s="745">
        <f t="shared" si="25"/>
        <v>441</v>
      </c>
      <c r="C452" s="190" t="s">
        <v>1146</v>
      </c>
      <c r="D452" s="281" t="s">
        <v>395</v>
      </c>
      <c r="E452" s="25"/>
      <c r="F452" s="25"/>
      <c r="G452" s="25">
        <f t="array" ref="G452">SUM(IF("156"&amp;C452=KHN&amp;MH,SL))</f>
        <v>36</v>
      </c>
      <c r="H452" s="25">
        <f t="array" ref="H452">SUM(IF("156"&amp;C452=KHN&amp;MH,TH))</f>
        <v>1643976</v>
      </c>
      <c r="I452" s="25">
        <f t="array" ref="I452">SUM(IF("156"&amp;C452=KHC&amp;MH,SL))</f>
        <v>36</v>
      </c>
      <c r="J452" s="25">
        <f t="array" ref="J452">SUM(IF("156"&amp;C452=KHC&amp;MH,TH))</f>
        <v>1643976</v>
      </c>
      <c r="K452" s="25">
        <f t="shared" si="26"/>
        <v>0</v>
      </c>
      <c r="L452" s="25">
        <f t="shared" si="27"/>
        <v>0</v>
      </c>
      <c r="M452" s="279"/>
    </row>
    <row r="453" spans="1:13" ht="18.75" hidden="1" customHeight="1">
      <c r="A453" s="279" t="str">
        <f t="shared" si="24"/>
        <v>NL</v>
      </c>
      <c r="B453" s="745">
        <f t="shared" si="25"/>
        <v>442</v>
      </c>
      <c r="C453" s="187" t="s">
        <v>1157</v>
      </c>
      <c r="D453" s="281" t="s">
        <v>395</v>
      </c>
      <c r="E453" s="25"/>
      <c r="F453" s="25"/>
      <c r="G453" s="25">
        <f t="array" ref="G453">SUM(IF("156"&amp;C453=KHN&amp;MH,SL))</f>
        <v>6</v>
      </c>
      <c r="H453" s="25">
        <f t="array" ref="H453">SUM(IF("156"&amp;C453=KHN&amp;MH,TH))</f>
        <v>464730</v>
      </c>
      <c r="I453" s="25">
        <f t="array" ref="I453">SUM(IF("156"&amp;C453=KHC&amp;MH,SL))</f>
        <v>6</v>
      </c>
      <c r="J453" s="25">
        <f t="array" ref="J453">SUM(IF("156"&amp;C453=KHC&amp;MH,TH))</f>
        <v>464730</v>
      </c>
      <c r="K453" s="25">
        <f t="shared" si="26"/>
        <v>0</v>
      </c>
      <c r="L453" s="25">
        <f t="shared" si="27"/>
        <v>0</v>
      </c>
      <c r="M453" s="279"/>
    </row>
    <row r="454" spans="1:13" ht="18.75" hidden="1" customHeight="1">
      <c r="A454" s="279" t="str">
        <f t="shared" si="24"/>
        <v>NL</v>
      </c>
      <c r="B454" s="745">
        <f t="shared" si="25"/>
        <v>443</v>
      </c>
      <c r="C454" s="187" t="s">
        <v>1156</v>
      </c>
      <c r="D454" s="281" t="s">
        <v>395</v>
      </c>
      <c r="E454" s="25"/>
      <c r="F454" s="25"/>
      <c r="G454" s="25">
        <f t="array" ref="G454">SUM(IF("156"&amp;C454=KHN&amp;MH,SL))</f>
        <v>14</v>
      </c>
      <c r="H454" s="25">
        <f t="array" ref="H454">SUM(IF("156"&amp;C454=KHN&amp;MH,TH))</f>
        <v>589722</v>
      </c>
      <c r="I454" s="25">
        <f t="array" ref="I454">SUM(IF("156"&amp;C454=KHC&amp;MH,SL))</f>
        <v>14</v>
      </c>
      <c r="J454" s="25">
        <f t="array" ref="J454">SUM(IF("156"&amp;C454=KHC&amp;MH,TH))</f>
        <v>589722</v>
      </c>
      <c r="K454" s="25">
        <f t="shared" si="26"/>
        <v>0</v>
      </c>
      <c r="L454" s="25">
        <f t="shared" si="27"/>
        <v>0</v>
      </c>
      <c r="M454" s="279"/>
    </row>
    <row r="455" spans="1:13" ht="18.75" hidden="1" customHeight="1">
      <c r="A455" s="279" t="str">
        <f t="shared" si="24"/>
        <v>NL</v>
      </c>
      <c r="B455" s="745">
        <f t="shared" si="25"/>
        <v>444</v>
      </c>
      <c r="C455" s="187" t="s">
        <v>1155</v>
      </c>
      <c r="D455" s="281" t="s">
        <v>395</v>
      </c>
      <c r="E455" s="25"/>
      <c r="F455" s="25"/>
      <c r="G455" s="25">
        <f t="array" ref="G455">SUM(IF("156"&amp;C455=KHN&amp;MH,SL))</f>
        <v>18</v>
      </c>
      <c r="H455" s="25">
        <f t="array" ref="H455">SUM(IF("156"&amp;C455=KHN&amp;MH,TH))</f>
        <v>768294</v>
      </c>
      <c r="I455" s="25">
        <f t="array" ref="I455">SUM(IF("156"&amp;C455=KHC&amp;MH,SL))</f>
        <v>18</v>
      </c>
      <c r="J455" s="25">
        <f t="array" ref="J455">SUM(IF("156"&amp;C455=KHC&amp;MH,TH))</f>
        <v>768294</v>
      </c>
      <c r="K455" s="25">
        <f t="shared" si="26"/>
        <v>0</v>
      </c>
      <c r="L455" s="25">
        <f t="shared" si="27"/>
        <v>0</v>
      </c>
      <c r="M455" s="279"/>
    </row>
    <row r="456" spans="1:13" ht="18.75" hidden="1" customHeight="1">
      <c r="A456" s="279" t="str">
        <f t="shared" ref="A456:A466" si="28">IF(B456&lt;&gt;"","NL","")</f>
        <v>NL</v>
      </c>
      <c r="B456" s="745">
        <f t="shared" ref="B456:B466" si="29">IF(C456&lt;&gt;"",ROW()-11,"")</f>
        <v>445</v>
      </c>
      <c r="C456" s="190" t="s">
        <v>1145</v>
      </c>
      <c r="D456" s="281" t="s">
        <v>395</v>
      </c>
      <c r="E456" s="25"/>
      <c r="F456" s="25"/>
      <c r="G456" s="25">
        <f t="array" ref="G456">SUM(IF("156"&amp;C456=KHN&amp;MH,SL))</f>
        <v>14</v>
      </c>
      <c r="H456" s="25">
        <f t="array" ref="H456">SUM(IF("156"&amp;C456=KHN&amp;MH,TH))</f>
        <v>806610</v>
      </c>
      <c r="I456" s="25">
        <f t="array" ref="I456">SUM(IF("156"&amp;C456=KHC&amp;MH,SL))</f>
        <v>14</v>
      </c>
      <c r="J456" s="25">
        <f t="array" ref="J456">SUM(IF("156"&amp;C456=KHC&amp;MH,TH))</f>
        <v>806610</v>
      </c>
      <c r="K456" s="25">
        <f t="shared" ref="K456:K466" si="30">E456+G456-I456</f>
        <v>0</v>
      </c>
      <c r="L456" s="25">
        <f t="shared" ref="L456:L466" si="31">F456+H456-J456</f>
        <v>0</v>
      </c>
      <c r="M456" s="279"/>
    </row>
    <row r="457" spans="1:13" ht="18.75" hidden="1" customHeight="1">
      <c r="A457" s="279" t="str">
        <f t="shared" si="28"/>
        <v>NL</v>
      </c>
      <c r="B457" s="745">
        <f t="shared" si="29"/>
        <v>446</v>
      </c>
      <c r="C457" s="187" t="s">
        <v>1173</v>
      </c>
      <c r="D457" s="281" t="s">
        <v>395</v>
      </c>
      <c r="E457" s="25"/>
      <c r="F457" s="25"/>
      <c r="G457" s="25">
        <f t="array" ref="G457">SUM(IF("156"&amp;C457=KHN&amp;MH,SL))</f>
        <v>12</v>
      </c>
      <c r="H457" s="25">
        <f t="array" ref="H457">SUM(IF("156"&amp;C457=KHN&amp;MH,TH))</f>
        <v>545232</v>
      </c>
      <c r="I457" s="25">
        <f t="array" ref="I457">SUM(IF("156"&amp;C457=KHC&amp;MH,SL))</f>
        <v>12</v>
      </c>
      <c r="J457" s="25">
        <f t="array" ref="J457">SUM(IF("156"&amp;C457=KHC&amp;MH,TH))</f>
        <v>545232</v>
      </c>
      <c r="K457" s="25">
        <f t="shared" si="30"/>
        <v>0</v>
      </c>
      <c r="L457" s="25">
        <f t="shared" si="31"/>
        <v>0</v>
      </c>
      <c r="M457" s="279"/>
    </row>
    <row r="458" spans="1:13" ht="18.75" hidden="1" customHeight="1">
      <c r="A458" s="279" t="str">
        <f t="shared" si="28"/>
        <v>NL</v>
      </c>
      <c r="B458" s="745">
        <f t="shared" si="29"/>
        <v>447</v>
      </c>
      <c r="C458" s="187" t="s">
        <v>1150</v>
      </c>
      <c r="D458" s="281" t="s">
        <v>395</v>
      </c>
      <c r="E458" s="25"/>
      <c r="F458" s="25"/>
      <c r="G458" s="25">
        <f t="array" ref="G458">SUM(IF("156"&amp;C458=KHN&amp;MH,SL))</f>
        <v>8</v>
      </c>
      <c r="H458" s="25">
        <f t="array" ref="H458">SUM(IF("156"&amp;C458=KHN&amp;MH,TH))</f>
        <v>304072</v>
      </c>
      <c r="I458" s="25">
        <f t="array" ref="I458">SUM(IF("156"&amp;C458=KHC&amp;MH,SL))</f>
        <v>8</v>
      </c>
      <c r="J458" s="25">
        <f t="array" ref="J458">SUM(IF("156"&amp;C458=KHC&amp;MH,TH))</f>
        <v>304072</v>
      </c>
      <c r="K458" s="25">
        <f t="shared" si="30"/>
        <v>0</v>
      </c>
      <c r="L458" s="25">
        <f t="shared" si="31"/>
        <v>0</v>
      </c>
      <c r="M458" s="279"/>
    </row>
    <row r="459" spans="1:13" ht="18.75" hidden="1" customHeight="1">
      <c r="A459" s="279" t="str">
        <f t="shared" si="28"/>
        <v>NL</v>
      </c>
      <c r="B459" s="745">
        <f t="shared" si="29"/>
        <v>448</v>
      </c>
      <c r="C459" s="187" t="s">
        <v>1159</v>
      </c>
      <c r="D459" s="281" t="s">
        <v>395</v>
      </c>
      <c r="E459" s="25"/>
      <c r="F459" s="25"/>
      <c r="G459" s="25">
        <f t="array" ref="G459">SUM(IF("156"&amp;C459=KHN&amp;MH,SL))</f>
        <v>30</v>
      </c>
      <c r="H459" s="25">
        <f t="array" ref="H459">SUM(IF("156"&amp;C459=KHN&amp;MH,TH))</f>
        <v>1444710</v>
      </c>
      <c r="I459" s="25">
        <f t="array" ref="I459">SUM(IF("156"&amp;C459=KHC&amp;MH,SL))</f>
        <v>30</v>
      </c>
      <c r="J459" s="25">
        <f t="array" ref="J459">SUM(IF("156"&amp;C459=KHC&amp;MH,TH))</f>
        <v>1444710</v>
      </c>
      <c r="K459" s="25">
        <f t="shared" si="30"/>
        <v>0</v>
      </c>
      <c r="L459" s="25">
        <f t="shared" si="31"/>
        <v>0</v>
      </c>
      <c r="M459" s="279"/>
    </row>
    <row r="460" spans="1:13" ht="18.75" hidden="1" customHeight="1">
      <c r="A460" s="279" t="str">
        <f t="shared" si="28"/>
        <v>NL</v>
      </c>
      <c r="B460" s="745">
        <f t="shared" si="29"/>
        <v>449</v>
      </c>
      <c r="C460" s="187" t="s">
        <v>1163</v>
      </c>
      <c r="D460" s="281" t="s">
        <v>395</v>
      </c>
      <c r="E460" s="25"/>
      <c r="F460" s="25"/>
      <c r="G460" s="25">
        <f t="array" ref="G460">SUM(IF("156"&amp;C460=KHN&amp;MH,SL))</f>
        <v>7</v>
      </c>
      <c r="H460" s="25">
        <f t="array" ref="H460">SUM(IF("156"&amp;C460=KHN&amp;MH,TH))</f>
        <v>331667</v>
      </c>
      <c r="I460" s="25">
        <f t="array" ref="I460">SUM(IF("156"&amp;C460=KHC&amp;MH,SL))</f>
        <v>7</v>
      </c>
      <c r="J460" s="25">
        <f t="array" ref="J460">SUM(IF("156"&amp;C460=KHC&amp;MH,TH))</f>
        <v>331667</v>
      </c>
      <c r="K460" s="25">
        <f t="shared" si="30"/>
        <v>0</v>
      </c>
      <c r="L460" s="25">
        <f t="shared" si="31"/>
        <v>0</v>
      </c>
      <c r="M460" s="279"/>
    </row>
    <row r="461" spans="1:13" ht="18.75" hidden="1" customHeight="1">
      <c r="A461" s="279" t="str">
        <f t="shared" si="28"/>
        <v>NL</v>
      </c>
      <c r="B461" s="745">
        <f t="shared" si="29"/>
        <v>450</v>
      </c>
      <c r="C461" s="187" t="s">
        <v>1169</v>
      </c>
      <c r="D461" s="281" t="s">
        <v>395</v>
      </c>
      <c r="E461" s="25"/>
      <c r="F461" s="25"/>
      <c r="G461" s="25">
        <f t="array" ref="G461">SUM(IF("156"&amp;C461=KHN&amp;MH,SL))</f>
        <v>8</v>
      </c>
      <c r="H461" s="25">
        <f t="array" ref="H461">SUM(IF("156"&amp;C461=KHN&amp;MH,TH))</f>
        <v>584816</v>
      </c>
      <c r="I461" s="25">
        <f t="array" ref="I461">SUM(IF("156"&amp;C461=KHC&amp;MH,SL))</f>
        <v>8</v>
      </c>
      <c r="J461" s="25">
        <f t="array" ref="J461">SUM(IF("156"&amp;C461=KHC&amp;MH,TH))</f>
        <v>584816</v>
      </c>
      <c r="K461" s="25">
        <f t="shared" si="30"/>
        <v>0</v>
      </c>
      <c r="L461" s="25">
        <f t="shared" si="31"/>
        <v>0</v>
      </c>
      <c r="M461" s="279"/>
    </row>
    <row r="462" spans="1:13" ht="18.75" hidden="1" customHeight="1">
      <c r="A462" s="279" t="str">
        <f t="shared" si="28"/>
        <v>NL</v>
      </c>
      <c r="B462" s="745">
        <f t="shared" si="29"/>
        <v>451</v>
      </c>
      <c r="C462" s="187" t="s">
        <v>1158</v>
      </c>
      <c r="D462" s="281" t="s">
        <v>395</v>
      </c>
      <c r="E462" s="25"/>
      <c r="F462" s="25"/>
      <c r="G462" s="25">
        <f t="array" ref="G462">SUM(IF("156"&amp;C462=KHN&amp;MH,SL))</f>
        <v>24</v>
      </c>
      <c r="H462" s="25">
        <f t="array" ref="H462">SUM(IF("156"&amp;C462=KHN&amp;MH,TH))</f>
        <v>1722384</v>
      </c>
      <c r="I462" s="25">
        <f t="array" ref="I462">SUM(IF("156"&amp;C462=KHC&amp;MH,SL))</f>
        <v>24</v>
      </c>
      <c r="J462" s="25">
        <f t="array" ref="J462">SUM(IF("156"&amp;C462=KHC&amp;MH,TH))</f>
        <v>1722384</v>
      </c>
      <c r="K462" s="25">
        <f t="shared" si="30"/>
        <v>0</v>
      </c>
      <c r="L462" s="25">
        <f t="shared" si="31"/>
        <v>0</v>
      </c>
      <c r="M462" s="279"/>
    </row>
    <row r="463" spans="1:13" ht="18.75" hidden="1" customHeight="1">
      <c r="A463" s="279" t="str">
        <f t="shared" si="28"/>
        <v>NL</v>
      </c>
      <c r="B463" s="745">
        <f t="shared" si="29"/>
        <v>452</v>
      </c>
      <c r="C463" s="187" t="s">
        <v>1171</v>
      </c>
      <c r="D463" s="281" t="s">
        <v>395</v>
      </c>
      <c r="E463" s="25"/>
      <c r="F463" s="25"/>
      <c r="G463" s="25">
        <f t="array" ref="G463">SUM(IF("156"&amp;C463=KHN&amp;MH,SL))</f>
        <v>8</v>
      </c>
      <c r="H463" s="25">
        <f t="array" ref="H463">SUM(IF("156"&amp;C463=KHN&amp;MH,TH))</f>
        <v>535752</v>
      </c>
      <c r="I463" s="25">
        <f t="array" ref="I463">SUM(IF("156"&amp;C463=KHC&amp;MH,SL))</f>
        <v>8</v>
      </c>
      <c r="J463" s="25">
        <f t="array" ref="J463">SUM(IF("156"&amp;C463=KHC&amp;MH,TH))</f>
        <v>535752</v>
      </c>
      <c r="K463" s="25">
        <f t="shared" si="30"/>
        <v>0</v>
      </c>
      <c r="L463" s="25">
        <f t="shared" si="31"/>
        <v>0</v>
      </c>
      <c r="M463" s="279"/>
    </row>
    <row r="464" spans="1:13" ht="18.75" hidden="1" customHeight="1">
      <c r="A464" s="279" t="str">
        <f t="shared" si="28"/>
        <v>NL</v>
      </c>
      <c r="B464" s="745">
        <f t="shared" si="29"/>
        <v>453</v>
      </c>
      <c r="C464" s="187" t="s">
        <v>1162</v>
      </c>
      <c r="D464" s="281" t="s">
        <v>395</v>
      </c>
      <c r="E464" s="25"/>
      <c r="F464" s="25"/>
      <c r="G464" s="25">
        <f t="array" ref="G464">SUM(IF("156"&amp;C464=KHN&amp;MH,SL))</f>
        <v>10</v>
      </c>
      <c r="H464" s="25">
        <f t="array" ref="H464">SUM(IF("156"&amp;C464=KHN&amp;MH,TH))</f>
        <v>710800</v>
      </c>
      <c r="I464" s="25">
        <f t="array" ref="I464">SUM(IF("156"&amp;C464=KHC&amp;MH,SL))</f>
        <v>10</v>
      </c>
      <c r="J464" s="25">
        <f t="array" ref="J464">SUM(IF("156"&amp;C464=KHC&amp;MH,TH))</f>
        <v>710800</v>
      </c>
      <c r="K464" s="25">
        <f t="shared" si="30"/>
        <v>0</v>
      </c>
      <c r="L464" s="25">
        <f t="shared" si="31"/>
        <v>0</v>
      </c>
      <c r="M464" s="279"/>
    </row>
    <row r="465" spans="1:13" ht="18.75" hidden="1" customHeight="1">
      <c r="A465" s="279" t="str">
        <f t="shared" si="28"/>
        <v>NL</v>
      </c>
      <c r="B465" s="745">
        <f t="shared" si="29"/>
        <v>454</v>
      </c>
      <c r="C465" s="187" t="s">
        <v>1170</v>
      </c>
      <c r="D465" s="281" t="s">
        <v>395</v>
      </c>
      <c r="E465" s="25"/>
      <c r="F465" s="25"/>
      <c r="G465" s="25">
        <f t="array" ref="G465">SUM(IF("156"&amp;C465=KHN&amp;MH,SL))</f>
        <v>7</v>
      </c>
      <c r="H465" s="25">
        <f t="array" ref="H465">SUM(IF("156"&amp;C465=KHN&amp;MH,TH))</f>
        <v>597380</v>
      </c>
      <c r="I465" s="25">
        <f t="array" ref="I465">SUM(IF("156"&amp;C465=KHC&amp;MH,SL))</f>
        <v>7</v>
      </c>
      <c r="J465" s="25">
        <f t="array" ref="J465">SUM(IF("156"&amp;C465=KHC&amp;MH,TH))</f>
        <v>597380</v>
      </c>
      <c r="K465" s="25">
        <f t="shared" si="30"/>
        <v>0</v>
      </c>
      <c r="L465" s="25">
        <f t="shared" si="31"/>
        <v>0</v>
      </c>
      <c r="M465" s="279"/>
    </row>
    <row r="466" spans="1:13" ht="18.75" hidden="1" customHeight="1">
      <c r="A466" s="279" t="str">
        <f t="shared" si="28"/>
        <v>NL</v>
      </c>
      <c r="B466" s="745">
        <f t="shared" si="29"/>
        <v>455</v>
      </c>
      <c r="C466" s="190" t="s">
        <v>1083</v>
      </c>
      <c r="D466" s="281" t="s">
        <v>395</v>
      </c>
      <c r="E466" s="25"/>
      <c r="F466" s="25"/>
      <c r="G466" s="25">
        <f t="array" ref="G466">SUM(IF("156"&amp;C466=KHN&amp;MH,SL))</f>
        <v>68</v>
      </c>
      <c r="H466" s="25">
        <f t="array" ref="H466">SUM(IF("156"&amp;C466=KHN&amp;MH,TH))</f>
        <v>817747</v>
      </c>
      <c r="I466" s="25">
        <f t="array" ref="I466">SUM(IF("156"&amp;C466=KHC&amp;MH,SL))</f>
        <v>68</v>
      </c>
      <c r="J466" s="25">
        <f t="array" ref="J466">SUM(IF("156"&amp;C466=KHC&amp;MH,TH))</f>
        <v>817747</v>
      </c>
      <c r="K466" s="25">
        <f t="shared" si="30"/>
        <v>0</v>
      </c>
      <c r="L466" s="25">
        <f t="shared" si="31"/>
        <v>0</v>
      </c>
      <c r="M466" s="279"/>
    </row>
    <row r="467" spans="1:13" ht="19.5" customHeight="1">
      <c r="A467" s="279"/>
      <c r="B467" s="745" t="str">
        <f t="shared" ref="B467" si="32">IF(C467&lt;&gt;"",ROW()-11,"")</f>
        <v/>
      </c>
      <c r="C467" s="280"/>
      <c r="D467" s="281"/>
      <c r="E467" s="25"/>
      <c r="F467" s="25"/>
      <c r="G467" s="25"/>
      <c r="H467" s="25"/>
      <c r="I467" s="25"/>
      <c r="J467" s="25"/>
      <c r="K467" s="25"/>
      <c r="L467" s="25"/>
      <c r="M467" s="279"/>
    </row>
    <row r="468" spans="1:13" ht="19.5" customHeight="1">
      <c r="A468" s="279" t="str">
        <f t="shared" ref="A468" si="33">IF(B468&lt;&gt;"","NL","")</f>
        <v/>
      </c>
      <c r="B468" s="278"/>
      <c r="C468" s="284" t="s">
        <v>322</v>
      </c>
      <c r="D468" s="278"/>
      <c r="E468" s="13">
        <f t="shared" ref="E468:L468" si="34">SUM(E12:E467)</f>
        <v>5886</v>
      </c>
      <c r="F468" s="13">
        <f t="shared" si="34"/>
        <v>106067911</v>
      </c>
      <c r="G468" s="13">
        <f t="shared" si="34"/>
        <v>167323</v>
      </c>
      <c r="H468" s="13">
        <f t="shared" si="34"/>
        <v>2369938743</v>
      </c>
      <c r="I468" s="13">
        <f t="shared" si="34"/>
        <v>148066</v>
      </c>
      <c r="J468" s="13">
        <f t="shared" si="34"/>
        <v>2069360786</v>
      </c>
      <c r="K468" s="13">
        <f t="shared" si="34"/>
        <v>25143</v>
      </c>
      <c r="L468" s="13">
        <f t="shared" si="34"/>
        <v>406645868</v>
      </c>
      <c r="M468" s="279"/>
    </row>
    <row r="469" spans="1:13" ht="19.5" customHeight="1">
      <c r="A469" s="279"/>
      <c r="B469" s="453"/>
      <c r="C469" s="454"/>
      <c r="D469" s="453"/>
      <c r="E469" s="455"/>
      <c r="F469" s="455">
        <f>F468-CDPS!C20</f>
        <v>0</v>
      </c>
      <c r="G469" s="455"/>
      <c r="H469" s="455">
        <f>H468-CDPS!E20</f>
        <v>0</v>
      </c>
      <c r="I469" s="455"/>
      <c r="J469" s="455">
        <f>J468-CDPS!F20</f>
        <v>0</v>
      </c>
      <c r="K469" s="455"/>
      <c r="L469" s="455">
        <f>L468-CDPS!G20</f>
        <v>0</v>
      </c>
      <c r="M469" s="279"/>
    </row>
    <row r="470" spans="1:13" ht="18.75" customHeight="1"/>
    <row r="471" spans="1:13" ht="19.5" customHeight="1"/>
    <row r="472" spans="1:13" ht="19.5" customHeight="1">
      <c r="C472" s="1047"/>
      <c r="D472" s="1047"/>
      <c r="E472" s="1047"/>
      <c r="F472" s="799"/>
      <c r="G472" s="799"/>
      <c r="H472" s="799"/>
      <c r="I472" s="799"/>
      <c r="J472" s="1047" t="s">
        <v>404</v>
      </c>
      <c r="K472" s="1047"/>
      <c r="L472" s="1047"/>
    </row>
    <row r="473" spans="1:13" ht="19.5" customHeight="1">
      <c r="C473" s="800"/>
      <c r="D473" s="800"/>
      <c r="E473" s="800"/>
      <c r="F473" s="1047"/>
      <c r="G473" s="1047"/>
      <c r="H473" s="1047"/>
      <c r="I473" s="799"/>
      <c r="J473" s="1047" t="s">
        <v>109</v>
      </c>
      <c r="K473" s="1047"/>
      <c r="L473" s="1047"/>
    </row>
    <row r="474" spans="1:13" ht="19.5" customHeight="1">
      <c r="C474" s="800"/>
      <c r="D474" s="800"/>
      <c r="E474" s="800"/>
      <c r="F474" s="1047"/>
      <c r="G474" s="1047"/>
      <c r="H474" s="1047"/>
      <c r="I474" s="274"/>
      <c r="J474" s="1047" t="s">
        <v>136</v>
      </c>
      <c r="K474" s="1047"/>
      <c r="L474" s="1047"/>
    </row>
    <row r="475" spans="1:13" ht="20.25" customHeight="1"/>
    <row r="476" spans="1:13" ht="20.25" customHeight="1"/>
    <row r="477" spans="1:13" ht="20.25" customHeight="1"/>
    <row r="478" spans="1:13" ht="20.25" customHeight="1"/>
    <row r="479" spans="1:13" ht="20.25" customHeight="1"/>
    <row r="480" spans="1:13" ht="20.25" customHeight="1"/>
    <row r="481" ht="20.2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sheetData>
  <autoFilter ref="A11:N469">
    <filterColumn colId="10">
      <filters blank="1">
        <filter val="1,000"/>
        <filter val="1,250"/>
        <filter val="10"/>
        <filter val="100"/>
        <filter val="102"/>
        <filter val="11"/>
        <filter val="110"/>
        <filter val="112"/>
        <filter val="12"/>
        <filter val="125"/>
        <filter val="128"/>
        <filter val="132"/>
        <filter val="14"/>
        <filter val="140"/>
        <filter val="144"/>
        <filter val="15"/>
        <filter val="16"/>
        <filter val="17"/>
        <filter val="170"/>
        <filter val="180"/>
        <filter val="181"/>
        <filter val="19"/>
        <filter val="2"/>
        <filter val="20"/>
        <filter val="200"/>
        <filter val="205"/>
        <filter val="22"/>
        <filter val="23"/>
        <filter val="24"/>
        <filter val="240"/>
        <filter val="244"/>
        <filter val="25"/>
        <filter val="25,143"/>
        <filter val="250"/>
        <filter val="259"/>
        <filter val="260"/>
        <filter val="28"/>
        <filter val="3"/>
        <filter val="3,500"/>
        <filter val="30"/>
        <filter val="300"/>
        <filter val="318"/>
        <filter val="33"/>
        <filter val="332"/>
        <filter val="34"/>
        <filter val="35"/>
        <filter val="36"/>
        <filter val="40"/>
        <filter val="400"/>
        <filter val="41"/>
        <filter val="44"/>
        <filter val="450"/>
        <filter val="47"/>
        <filter val="5"/>
        <filter val="50"/>
        <filter val="500"/>
        <filter val="52"/>
        <filter val="54"/>
        <filter val="570"/>
        <filter val="6"/>
        <filter val="60"/>
        <filter val="61"/>
        <filter val="65"/>
        <filter val="650"/>
        <filter val="66"/>
        <filter val="68"/>
        <filter val="7"/>
        <filter val="70"/>
        <filter val="700"/>
        <filter val="72"/>
        <filter val="75"/>
        <filter val="750"/>
        <filter val="770"/>
        <filter val="80"/>
        <filter val="88"/>
        <filter val="96"/>
      </filters>
    </filterColumn>
  </autoFilter>
  <sortState ref="A12:N471">
    <sortCondition ref="C12:C471"/>
  </sortState>
  <mergeCells count="20">
    <mergeCell ref="C7:L7"/>
    <mergeCell ref="F474:H474"/>
    <mergeCell ref="J474:L474"/>
    <mergeCell ref="C472:E472"/>
    <mergeCell ref="J472:L472"/>
    <mergeCell ref="F473:H473"/>
    <mergeCell ref="J473:L473"/>
    <mergeCell ref="B8:B10"/>
    <mergeCell ref="C8:C10"/>
    <mergeCell ref="D8:D9"/>
    <mergeCell ref="E8:L8"/>
    <mergeCell ref="E9:F9"/>
    <mergeCell ref="G9:H9"/>
    <mergeCell ref="I9:J9"/>
    <mergeCell ref="K9:L9"/>
    <mergeCell ref="B6:L6"/>
    <mergeCell ref="H1:L1"/>
    <mergeCell ref="B4:L4"/>
    <mergeCell ref="B5:L5"/>
    <mergeCell ref="H2:L3"/>
  </mergeCells>
  <printOptions horizontalCentered="1"/>
  <pageMargins left="0.1" right="0.6" top="0.2" bottom="0.3" header="0" footer="0"/>
  <pageSetup paperSize="9" scale="85" orientation="portrait" r:id="rId1"/>
  <headerFooter alignWithMargins="0">
    <oddFooter>&amp;RTrang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Q40"/>
  <sheetViews>
    <sheetView tabSelected="1" topLeftCell="A2" workbookViewId="0">
      <selection activeCell="D37" sqref="D37"/>
    </sheetView>
  </sheetViews>
  <sheetFormatPr defaultRowHeight="12"/>
  <cols>
    <col min="1" max="1" width="4.7109375" style="289" customWidth="1"/>
    <col min="2" max="2" width="29.7109375" style="289" customWidth="1"/>
    <col min="3" max="3" width="5.7109375" style="289" customWidth="1"/>
    <col min="4" max="4" width="6.7109375" style="289" customWidth="1"/>
    <col min="5" max="5" width="12.7109375" style="289" customWidth="1"/>
    <col min="6" max="6" width="10.140625" style="289" customWidth="1"/>
    <col min="7" max="7" width="11.85546875" style="289" customWidth="1"/>
    <col min="8" max="8" width="14" style="289" customWidth="1"/>
    <col min="9" max="9" width="2.7109375" style="289" customWidth="1"/>
    <col min="10" max="10" width="7.5703125" style="289" customWidth="1"/>
    <col min="11" max="11" width="3.140625" style="289" customWidth="1"/>
    <col min="12" max="12" width="5.7109375" style="289" customWidth="1"/>
    <col min="13" max="13" width="2.7109375" style="289" customWidth="1"/>
    <col min="14" max="14" width="4" style="289" customWidth="1"/>
    <col min="15" max="15" width="3.7109375" style="289" customWidth="1"/>
    <col min="16" max="16384" width="9.140625" style="289"/>
  </cols>
  <sheetData>
    <row r="1" spans="1:17" ht="5.25" hidden="1" customHeight="1"/>
    <row r="2" spans="1:17" s="637" customFormat="1" ht="12" customHeight="1">
      <c r="A2" s="636" t="str">
        <f>TH!A1</f>
        <v>Đơn vị: CÔNG TY TNHH MỘT THÀNH VIÊN KHỞI NGUYÊN AN</v>
      </c>
      <c r="G2" s="638" t="str">
        <f>+IF(LEFT($D$7,1)="N","Mẫu số 01 - VT","Mẫu số 02 - VT")</f>
        <v>Mẫu số 01 - VT</v>
      </c>
    </row>
    <row r="3" spans="1:17" s="637" customFormat="1" ht="12" customHeight="1">
      <c r="A3" s="1088" t="str">
        <f>TH!A2</f>
        <v>Địa chỉ: Thửa đất số 144, tờ bản đồ số 12TĐH.1, tổ 1, khu phố Đông Tác, Phường Tân Đông Hiệp, Thị Xã Dĩ An, Tỉnh Bình Dương, Việt Nam</v>
      </c>
      <c r="B3" s="1088"/>
      <c r="C3" s="1088"/>
      <c r="D3" s="1088"/>
      <c r="E3" s="1088"/>
      <c r="G3" s="70" t="str">
        <f ca="1">IF(INT(RIGHT($D$6,4))&gt;=2015,"(Ban hành theo Thông tư số 200/2014/TT-BTC ","(Ban hành kèm theo QĐ 48/2006/QĐ-BTC")</f>
        <v xml:space="preserve">(Ban hành theo Thông tư số 200/2014/TT-BTC </v>
      </c>
      <c r="N3" s="638" t="s">
        <v>104</v>
      </c>
      <c r="O3" s="639"/>
      <c r="P3" s="640">
        <f>IF(J5="Quý I",1,IF(J5="Quý II",4,IF(J5="Quý III",7,IF(J5="Quý IV",10,""))))</f>
        <v>10</v>
      </c>
      <c r="Q3" s="640">
        <f>IF(J5="Quý I",3,IF(J5="Quý II",6,IF(J5="Quý III",9,IF(J5="Quý IV",12,""))))</f>
        <v>12</v>
      </c>
    </row>
    <row r="4" spans="1:17" s="637" customFormat="1" ht="12" customHeight="1" thickBot="1">
      <c r="A4" s="1088"/>
      <c r="B4" s="1088"/>
      <c r="C4" s="1088"/>
      <c r="D4" s="1088"/>
      <c r="E4" s="1088"/>
      <c r="G4" s="70" t="str">
        <f ca="1">IF(INT(RIGHT($D$6,4))&gt;=2015,"Ngày 22/12/2014 của Bộ Tài chính)","ngày 24/09/2006 của Bộ trưởng BTC)")</f>
        <v>Ngày 22/12/2014 của Bộ Tài chính)</v>
      </c>
      <c r="J4" s="641"/>
      <c r="M4" s="642"/>
      <c r="N4" s="638" t="s">
        <v>105</v>
      </c>
      <c r="O4" s="639"/>
    </row>
    <row r="5" spans="1:17" ht="18" customHeight="1" thickBot="1">
      <c r="D5" s="293" t="str">
        <f>+IF(LEFT($L$5,1)="N","PHIẾU NHẬP KHO","PHIẾU XUẤT KHO")</f>
        <v>PHIẾU NHẬP KHO</v>
      </c>
      <c r="J5" s="633" t="s">
        <v>1458</v>
      </c>
      <c r="K5" s="294"/>
      <c r="L5" s="634" t="s">
        <v>1288</v>
      </c>
      <c r="M5" s="295"/>
      <c r="N5" s="635">
        <v>1</v>
      </c>
      <c r="O5" s="290"/>
      <c r="P5" s="290"/>
    </row>
    <row r="6" spans="1:17" ht="10.5" customHeight="1">
      <c r="D6" s="644" t="str">
        <f ca="1">"Ngày  " &amp;DAY(IF(ROWS($1:1)&gt;COUNT(Dong10),"",OFFSET(TH!C$1,SMALL(Dong10,ROWS($1:1)),)))&amp;"  tháng  " &amp; MONTH(IF(ROWS($1:1)&gt;COUNT(Dong10),"",OFFSET(TH!C$1,SMALL(Dong10,ROWS($1:1)),)))&amp;"  năm  "&amp;YEAR(IF(ROWS($1:1)&gt;COUNT(Dong10),"",OFFSET(TH!C$1,SMALL(Dong10,ROWS($1:1)),)))</f>
        <v>Ngày  2  tháng  10  năm  2015</v>
      </c>
      <c r="E6" s="645"/>
      <c r="G6" s="289" t="str">
        <f ca="1">"Nợ:  "&amp;IF(ROWS($1:1)&gt;COUNT(Dong10),"",OFFSET(TH!L$1,SMALL(Dong10,ROWS($1:1)),))</f>
        <v>Nợ:  156</v>
      </c>
      <c r="M6" s="292"/>
      <c r="O6" s="290"/>
    </row>
    <row r="7" spans="1:17" ht="10.5" customHeight="1">
      <c r="C7" s="646" t="str">
        <f xml:space="preserve"> "Số:"</f>
        <v>Số:</v>
      </c>
      <c r="D7" s="70" t="str">
        <f>LEFT($L$5,1)&amp;IF($N$5&gt;=10,$N$5,"0"&amp;$N$5)</f>
        <v>N01</v>
      </c>
      <c r="G7" s="289" t="str">
        <f ca="1">"Có:  "&amp;IF(ROWS($1:1)&gt;COUNT(Dong10),"",OFFSET(TH!M$1,SMALL(Dong10,ROWS($1:1)),))</f>
        <v>Có:  331</v>
      </c>
      <c r="M7" s="292"/>
      <c r="O7" s="290"/>
    </row>
    <row r="8" spans="1:17" ht="1.5" customHeight="1">
      <c r="D8" s="70"/>
      <c r="M8" s="292"/>
      <c r="O8" s="648"/>
    </row>
    <row r="9" spans="1:17" ht="9.75" customHeight="1">
      <c r="A9" s="289" t="str">
        <f ca="1">+IF(LEFT($D$7,1)="N","Họ và tên người giao :   ","Họ và tên người nhận hàng :   ")&amp;IF(ROWS($1:1)&gt;COUNT(Dong10),"",OFFSET(TH!H$1,SMALL(Dong10,ROWS($1:1)),)) &amp;IF(LEFT($D$7,1)="N","","                                         Địa chỉ (bộ phận) :     Sản Xuất ")</f>
        <v>Họ và tên người giao :   Cty TNHH SX TM Bao Bì Hưng Phát</v>
      </c>
      <c r="M9" s="292"/>
    </row>
    <row r="10" spans="1:17" ht="9.75" customHeight="1">
      <c r="A10" s="289" t="str">
        <f>+IF(LEFT($D$7,1)="N","Theo……………………………………....…………..số………….…………….……ngày……...tháng…......năm……....",IF(LEFT($D$7,1)="X","Lý do xuất :                                 Xuất bán ","Lý do xuất :                                 Xuất dùng "))</f>
        <v>Theo……………………………………....…………..số………….…………….……ngày……...tháng…......năm……....</v>
      </c>
    </row>
    <row r="11" spans="1:17" ht="9.75" customHeight="1">
      <c r="A11" s="289" t="str">
        <f>+IF(LEFT($D$7,1)="N","của………………………………………………………………………………………………………………………………....","Xuất tại kho (ngăn lô) :            Cty TNHH MTV Khởi Nguyên An                      Địa điểm :  Dĩ An, Bình Dương.")</f>
        <v>của………………………………………………………………………………………………………………………………....</v>
      </c>
    </row>
    <row r="12" spans="1:17" ht="9.75" customHeight="1">
      <c r="A12" s="289" t="str">
        <f>+IF(LEFT($D$7,1)="N","Nhập tại kho:       Cty TNHH MTV Khởi Nguyên An                     Địa điểm:  Dĩ An, Bình Dương."," ")</f>
        <v>Nhập tại kho:       Cty TNHH MTV Khởi Nguyên An                     Địa điểm:  Dĩ An, Bình Dương.</v>
      </c>
    </row>
    <row r="13" spans="1:17" ht="2.25" customHeight="1"/>
    <row r="14" spans="1:17" ht="11.25" customHeight="1">
      <c r="A14" s="1089" t="s">
        <v>35</v>
      </c>
      <c r="B14" s="1089" t="s">
        <v>189</v>
      </c>
      <c r="C14" s="1089" t="s">
        <v>190</v>
      </c>
      <c r="D14" s="1089" t="s">
        <v>182</v>
      </c>
      <c r="E14" s="1091" t="s">
        <v>191</v>
      </c>
      <c r="F14" s="1091"/>
      <c r="G14" s="1089" t="s">
        <v>192</v>
      </c>
      <c r="H14" s="1089" t="s">
        <v>193</v>
      </c>
    </row>
    <row r="15" spans="1:17" ht="12.75" customHeight="1">
      <c r="A15" s="1090"/>
      <c r="B15" s="1090"/>
      <c r="C15" s="1090"/>
      <c r="D15" s="1090"/>
      <c r="E15" s="649" t="s">
        <v>194</v>
      </c>
      <c r="F15" s="649" t="str">
        <f>IF(LEFT($D$7,1)="N","Thực nhập","Thực xuất")</f>
        <v>Thực nhập</v>
      </c>
      <c r="G15" s="1090"/>
      <c r="H15" s="1090"/>
    </row>
    <row r="16" spans="1:17" s="966" customFormat="1" ht="8.25" customHeight="1">
      <c r="A16" s="965" t="s">
        <v>2</v>
      </c>
      <c r="B16" s="965" t="s">
        <v>3</v>
      </c>
      <c r="C16" s="965" t="s">
        <v>4</v>
      </c>
      <c r="D16" s="965" t="s">
        <v>5</v>
      </c>
      <c r="E16" s="965">
        <v>1</v>
      </c>
      <c r="F16" s="965">
        <v>2</v>
      </c>
      <c r="G16" s="965">
        <v>3</v>
      </c>
      <c r="H16" s="965">
        <v>4</v>
      </c>
    </row>
    <row r="17" spans="1:8" ht="11.25" customHeight="1">
      <c r="A17" s="650">
        <f ca="1">IF(B17="","",ROW()-16)</f>
        <v>1</v>
      </c>
      <c r="B17" s="651" t="str">
        <f ca="1">IF(ROWS($1:1)&gt;COUNT(Dong10),"",OFFSET(TH!F$1,SMALL(Dong10,ROWS($1:1)),))</f>
        <v>Giấy tấm 5 lớp (128x150)</v>
      </c>
      <c r="C17" s="652"/>
      <c r="D17" s="653" t="str">
        <f ca="1">IF(ISNA(VLOOKUP(B17,NXT!$C$12:$D$469,2,0)),"",VLOOKUP(B17,NXT!$C$12:$D$469,2,0))</f>
        <v>tấm</v>
      </c>
      <c r="E17" s="654"/>
      <c r="F17" s="655">
        <f ca="1">IF(ROWS($1:1)&gt;COUNT(Dong10),"",OFFSET(TH!I$1,SMALL(Dong10,ROWS($1:1)),))</f>
        <v>60</v>
      </c>
      <c r="G17" s="655">
        <f ca="1">IF(ROWS($1:1)&gt;COUNT(Dong10),"",OFFSET(TH!J$1,SMALL(Dong10,ROWS($1:1)),))</f>
        <v>17664</v>
      </c>
      <c r="H17" s="654">
        <f ca="1">IF(F17&lt;&gt;"",ROUND(F17*G17,0),0)</f>
        <v>1059840</v>
      </c>
    </row>
    <row r="18" spans="1:8" ht="11.25" customHeight="1">
      <c r="A18" s="650">
        <f t="shared" ref="A18" ca="1" si="0">IF(B18="","",A17+1)</f>
        <v>2</v>
      </c>
      <c r="B18" s="651" t="str">
        <f ca="1">IF(ROWS($1:2)&gt;COUNT(Dong10),"",OFFSET(TH!F$1,SMALL(Dong10,ROWS($1:2)),))</f>
        <v>Giấy tấm 5 lớp (164x135)</v>
      </c>
      <c r="C18" s="652"/>
      <c r="D18" s="653" t="str">
        <f ca="1">IF(ISNA(VLOOKUP(B18,NXT!$C$12:$D$469,2,0)),"",VLOOKUP(B18,NXT!$C$12:$D$469,2,0))</f>
        <v>tấm</v>
      </c>
      <c r="E18" s="654"/>
      <c r="F18" s="655">
        <f ca="1">IF(ROWS($1:2)&gt;COUNT(Dong10),"",OFFSET(TH!I$1,SMALL(Dong10,ROWS($1:2)),))</f>
        <v>61</v>
      </c>
      <c r="G18" s="655">
        <f ca="1">IF(ROWS($1:2)&gt;COUNT(Dong10),"",OFFSET(TH!J$1,SMALL(Dong10,ROWS($1:2)),))</f>
        <v>18819</v>
      </c>
      <c r="H18" s="654">
        <f t="shared" ref="H18" ca="1" si="1">IF(F18&lt;&gt;"",ROUND(F18*G18,0),0)</f>
        <v>1147959</v>
      </c>
    </row>
    <row r="19" spans="1:8" ht="11.25" customHeight="1">
      <c r="A19" s="650">
        <f t="shared" ref="A19:A27" ca="1" si="2">IF(B19="","",A18+1)</f>
        <v>3</v>
      </c>
      <c r="B19" s="651" t="str">
        <f ca="1">IF(ROWS($1:3)&gt;COUNT(Dong10),"",OFFSET(TH!F$1,SMALL(Dong10,ROWS($1:3)),))</f>
        <v>Giấy tấm 5 lớp (206x155)</v>
      </c>
      <c r="C19" s="652"/>
      <c r="D19" s="653" t="str">
        <f ca="1">IF(ISNA(VLOOKUP(B19,NXT!$C$12:$D$469,2,0)),"",VLOOKUP(B19,NXT!$C$12:$D$469,2,0))</f>
        <v>tấm</v>
      </c>
      <c r="E19" s="654"/>
      <c r="F19" s="655">
        <f ca="1">IF(ROWS($1:3)&gt;COUNT(Dong10),"",OFFSET(TH!I$1,SMALL(Dong10,ROWS($1:3)),))</f>
        <v>61</v>
      </c>
      <c r="G19" s="655">
        <f ca="1">IF(ROWS($1:3)&gt;COUNT(Dong10),"",OFFSET(TH!J$1,SMALL(Dong10,ROWS($1:3)),))</f>
        <v>27141</v>
      </c>
      <c r="H19" s="654">
        <f t="shared" ref="H19:H27" ca="1" si="3">IF(F19&lt;&gt;"",ROUND(F19*G19,0),0)</f>
        <v>1655601</v>
      </c>
    </row>
    <row r="20" spans="1:8" ht="11.25" customHeight="1">
      <c r="A20" s="650">
        <f t="shared" ca="1" si="2"/>
        <v>4</v>
      </c>
      <c r="B20" s="651" t="str">
        <f ca="1">IF(ROWS($1:4)&gt;COUNT(Dong10),"",OFFSET(TH!F$1,SMALL(Dong10,ROWS($1:4)),))</f>
        <v>Giấy tấm 5 lớp (125x85)</v>
      </c>
      <c r="C20" s="652"/>
      <c r="D20" s="653" t="str">
        <f ca="1">IF(ISNA(VLOOKUP(B20,NXT!$C$12:$D$469,2,0)),"",VLOOKUP(B20,NXT!$C$12:$D$469,2,0))</f>
        <v>tấm</v>
      </c>
      <c r="E20" s="654"/>
      <c r="F20" s="655">
        <f ca="1">IF(ROWS($1:4)&gt;COUNT(Dong10),"",OFFSET(TH!I$1,SMALL(Dong10,ROWS($1:4)),))</f>
        <v>244</v>
      </c>
      <c r="G20" s="655">
        <f ca="1">IF(ROWS($1:4)&gt;COUNT(Dong10),"",OFFSET(TH!J$1,SMALL(Dong10,ROWS($1:4)),))</f>
        <v>9031</v>
      </c>
      <c r="H20" s="654">
        <f t="shared" ca="1" si="3"/>
        <v>2203564</v>
      </c>
    </row>
    <row r="21" spans="1:8" ht="11.25" customHeight="1">
      <c r="A21" s="650">
        <f t="shared" ca="1" si="2"/>
        <v>5</v>
      </c>
      <c r="B21" s="651" t="str">
        <f ca="1">IF(ROWS($1:5)&gt;COUNT(Dong10),"",OFFSET(TH!F$1,SMALL(Dong10,ROWS($1:5)),))</f>
        <v>Giấy tấm 5 lớp (150x180)</v>
      </c>
      <c r="C21" s="652"/>
      <c r="D21" s="653" t="str">
        <f ca="1">IF(ISNA(VLOOKUP(B21,NXT!$C$12:$D$469,2,0)),"",VLOOKUP(B21,NXT!$C$12:$D$469,2,0))</f>
        <v>tấm</v>
      </c>
      <c r="E21" s="654"/>
      <c r="F21" s="655">
        <f ca="1">IF(ROWS($1:5)&gt;COUNT(Dong10),"",OFFSET(TH!I$1,SMALL(Dong10,ROWS($1:5)),))</f>
        <v>24</v>
      </c>
      <c r="G21" s="655">
        <f ca="1">IF(ROWS($1:5)&gt;COUNT(Dong10),"",OFFSET(TH!J$1,SMALL(Dong10,ROWS($1:5)),))</f>
        <v>24840</v>
      </c>
      <c r="H21" s="654">
        <f t="shared" ca="1" si="3"/>
        <v>596160</v>
      </c>
    </row>
    <row r="22" spans="1:8" ht="11.25" customHeight="1">
      <c r="A22" s="650">
        <f t="shared" ca="1" si="2"/>
        <v>6</v>
      </c>
      <c r="B22" s="651" t="str">
        <f ca="1">IF(ROWS($1:6)&gt;COUNT(Dong10),"",OFFSET(TH!F$1,SMALL(Dong10,ROWS($1:6)),))</f>
        <v>Giấy tấm 5 lớp (135x180)</v>
      </c>
      <c r="C22" s="652"/>
      <c r="D22" s="653" t="str">
        <f ca="1">IF(ISNA(VLOOKUP(B22,NXT!$C$12:$D$469,2,0)),"",VLOOKUP(B22,NXT!$C$12:$D$469,2,0))</f>
        <v>tấm</v>
      </c>
      <c r="E22" s="654"/>
      <c r="F22" s="655">
        <f ca="1">IF(ROWS($1:6)&gt;COUNT(Dong10),"",OFFSET(TH!I$1,SMALL(Dong10,ROWS($1:6)),))</f>
        <v>15</v>
      </c>
      <c r="G22" s="655">
        <f ca="1">IF(ROWS($1:6)&gt;COUNT(Dong10),"",OFFSET(TH!J$1,SMALL(Dong10,ROWS($1:6)),))</f>
        <v>22356</v>
      </c>
      <c r="H22" s="654">
        <f t="shared" ca="1" si="3"/>
        <v>335340</v>
      </c>
    </row>
    <row r="23" spans="1:8" ht="11.25" customHeight="1">
      <c r="A23" s="650">
        <f t="shared" ca="1" si="2"/>
        <v>7</v>
      </c>
      <c r="B23" s="651" t="str">
        <f ca="1">IF(ROWS($1:7)&gt;COUNT(Dong10),"",OFFSET(TH!F$1,SMALL(Dong10,ROWS($1:7)),))</f>
        <v>Giấy tấm 5 lớp (135x215)</v>
      </c>
      <c r="C23" s="652"/>
      <c r="D23" s="653" t="str">
        <f ca="1">IF(ISNA(VLOOKUP(B23,NXT!$C$12:$D$469,2,0)),"",VLOOKUP(B23,NXT!$C$12:$D$469,2,0))</f>
        <v>tấm</v>
      </c>
      <c r="E23" s="654"/>
      <c r="F23" s="655">
        <f ca="1">IF(ROWS($1:7)&gt;COUNT(Dong10),"",OFFSET(TH!I$1,SMALL(Dong10,ROWS($1:7)),))</f>
        <v>10</v>
      </c>
      <c r="G23" s="655">
        <f ca="1">IF(ROWS($1:7)&gt;COUNT(Dong10),"",OFFSET(TH!J$1,SMALL(Dong10,ROWS($1:7)),))</f>
        <v>26703</v>
      </c>
      <c r="H23" s="654">
        <f t="shared" ca="1" si="3"/>
        <v>267030</v>
      </c>
    </row>
    <row r="24" spans="1:8" ht="11.25" customHeight="1">
      <c r="A24" s="650" t="str">
        <f t="shared" ca="1" si="2"/>
        <v/>
      </c>
      <c r="B24" s="651" t="str">
        <f ca="1">IF(ROWS($1:8)&gt;COUNT(Dong10),"",OFFSET(TH!F$1,SMALL(Dong10,ROWS($1:8)),))</f>
        <v/>
      </c>
      <c r="C24" s="652"/>
      <c r="D24" s="653" t="str">
        <f ca="1">IF(ISNA(VLOOKUP(B24,NXT!$C$12:$D$469,2,0)),"",VLOOKUP(B24,NXT!$C$12:$D$469,2,0))</f>
        <v/>
      </c>
      <c r="E24" s="654"/>
      <c r="F24" s="655" t="str">
        <f ca="1">IF(ROWS($1:8)&gt;COUNT(Dong10),"",OFFSET(TH!I$1,SMALL(Dong10,ROWS($1:8)),))</f>
        <v/>
      </c>
      <c r="G24" s="655" t="str">
        <f ca="1">IF(ROWS($1:8)&gt;COUNT(Dong10),"",OFFSET(TH!J$1,SMALL(Dong10,ROWS($1:8)),))</f>
        <v/>
      </c>
      <c r="H24" s="654">
        <f t="shared" ca="1" si="3"/>
        <v>0</v>
      </c>
    </row>
    <row r="25" spans="1:8" ht="11.25" customHeight="1">
      <c r="A25" s="650" t="str">
        <f t="shared" ca="1" si="2"/>
        <v/>
      </c>
      <c r="B25" s="651" t="str">
        <f ca="1">IF(ROWS($1:9)&gt;COUNT(Dong10),"",OFFSET(TH!F$1,SMALL(Dong10,ROWS($1:9)),))</f>
        <v/>
      </c>
      <c r="C25" s="652"/>
      <c r="D25" s="653" t="str">
        <f ca="1">IF(ISNA(VLOOKUP(B25,NXT!$C$12:$D$469,2,0)),"",VLOOKUP(B25,NXT!$C$12:$D$469,2,0))</f>
        <v/>
      </c>
      <c r="E25" s="654"/>
      <c r="F25" s="655" t="str">
        <f ca="1">IF(ROWS($1:9)&gt;COUNT(Dong10),"",OFFSET(TH!I$1,SMALL(Dong10,ROWS($1:9)),))</f>
        <v/>
      </c>
      <c r="G25" s="655" t="str">
        <f ca="1">IF(ROWS($1:9)&gt;COUNT(Dong10),"",OFFSET(TH!J$1,SMALL(Dong10,ROWS($1:9)),))</f>
        <v/>
      </c>
      <c r="H25" s="654">
        <f t="shared" ca="1" si="3"/>
        <v>0</v>
      </c>
    </row>
    <row r="26" spans="1:8" ht="11.25" customHeight="1">
      <c r="A26" s="650" t="str">
        <f t="shared" ca="1" si="2"/>
        <v/>
      </c>
      <c r="B26" s="651" t="str">
        <f ca="1">IF(ROWS($1:10)&gt;COUNT(Dong10),"",OFFSET(TH!F$1,SMALL(Dong10,ROWS($1:10)),))</f>
        <v/>
      </c>
      <c r="C26" s="652"/>
      <c r="D26" s="653" t="str">
        <f ca="1">IF(ISNA(VLOOKUP(B26,NXT!$C$12:$D$469,2,0)),"",VLOOKUP(B26,NXT!$C$12:$D$469,2,0))</f>
        <v/>
      </c>
      <c r="E26" s="654"/>
      <c r="F26" s="655" t="str">
        <f ca="1">IF(ROWS($1:10)&gt;COUNT(Dong10),"",OFFSET(TH!I$1,SMALL(Dong10,ROWS($1:10)),))</f>
        <v/>
      </c>
      <c r="G26" s="655" t="str">
        <f ca="1">IF(ROWS($1:10)&gt;COUNT(Dong10),"",OFFSET(TH!J$1,SMALL(Dong10,ROWS($1:10)),))</f>
        <v/>
      </c>
      <c r="H26" s="654">
        <f t="shared" ca="1" si="3"/>
        <v>0</v>
      </c>
    </row>
    <row r="27" spans="1:8" ht="11.25" customHeight="1">
      <c r="A27" s="650" t="str">
        <f t="shared" ca="1" si="2"/>
        <v/>
      </c>
      <c r="B27" s="651" t="str">
        <f ca="1">IF(ROWS($1:11)&gt;COUNT(Dong10),"",OFFSET(TH!F$1,SMALL(Dong10,ROWS($1:11)),))</f>
        <v/>
      </c>
      <c r="C27" s="652"/>
      <c r="D27" s="653" t="str">
        <f ca="1">IF(ISNA(VLOOKUP(B27,NXT!$C$12:$D$469,2,0)),"",VLOOKUP(B27,NXT!$C$12:$D$469,2,0))</f>
        <v/>
      </c>
      <c r="E27" s="654"/>
      <c r="F27" s="655" t="str">
        <f ca="1">IF(ROWS($1:11)&gt;COUNT(Dong10),"",OFFSET(TH!I$1,SMALL(Dong10,ROWS($1:11)),))</f>
        <v/>
      </c>
      <c r="G27" s="655" t="str">
        <f ca="1">IF(ROWS($1:11)&gt;COUNT(Dong10),"",OFFSET(TH!J$1,SMALL(Dong10,ROWS($1:11)),))</f>
        <v/>
      </c>
      <c r="H27" s="654">
        <f t="shared" ca="1" si="3"/>
        <v>0</v>
      </c>
    </row>
    <row r="28" spans="1:8" ht="11.25" customHeight="1">
      <c r="A28" s="650" t="str">
        <f t="shared" ref="A28" ca="1" si="4">IF(B28="","",A27+1)</f>
        <v/>
      </c>
      <c r="B28" s="651" t="str">
        <f ca="1">IF(ROWS($1:12)&gt;COUNT(Dong10),"",OFFSET(TH!F$1,SMALL(Dong10,ROWS($1:12)),))</f>
        <v/>
      </c>
      <c r="C28" s="652"/>
      <c r="D28" s="653" t="str">
        <f ca="1">IF(ISNA(VLOOKUP(B28,NXT!$C$12:$D$469,2,0)),"",VLOOKUP(B28,NXT!$C$12:$D$469,2,0))</f>
        <v/>
      </c>
      <c r="E28" s="654"/>
      <c r="F28" s="655" t="str">
        <f ca="1">IF(ROWS($1:12)&gt;COUNT(Dong10),"",OFFSET(TH!I$1,SMALL(Dong10,ROWS($1:12)),))</f>
        <v/>
      </c>
      <c r="G28" s="655" t="str">
        <f ca="1">IF(ROWS($1:12)&gt;COUNT(Dong10),"",OFFSET(TH!J$1,SMALL(Dong10,ROWS($1:12)),))</f>
        <v/>
      </c>
      <c r="H28" s="654">
        <f t="shared" ref="H28" ca="1" si="5">IF(F28&lt;&gt;"",ROUND(F28*G28,0),0)</f>
        <v>0</v>
      </c>
    </row>
    <row r="29" spans="1:8" ht="11.25" customHeight="1">
      <c r="A29" s="1091" t="s">
        <v>195</v>
      </c>
      <c r="B29" s="1091"/>
      <c r="C29" s="656"/>
      <c r="D29" s="656"/>
      <c r="E29" s="657"/>
      <c r="F29" s="657"/>
      <c r="G29" s="657"/>
      <c r="H29" s="657">
        <f ca="1">SUM(H17:H28)</f>
        <v>7265494</v>
      </c>
    </row>
    <row r="30" spans="1:8" ht="3" customHeight="1">
      <c r="A30" s="658"/>
      <c r="B30" s="658"/>
      <c r="C30" s="292"/>
      <c r="D30" s="292"/>
      <c r="E30" s="659"/>
      <c r="F30" s="659"/>
      <c r="G30" s="659"/>
      <c r="H30" s="659"/>
    </row>
    <row r="31" spans="1:8" ht="10.5" customHeight="1">
      <c r="A31" s="289" t="str">
        <f ca="1">"Tổng số tiền (viết bằng chữ):  "&amp;[25]!VND(H29, TRUE)</f>
        <v>Tổng số tiền (viết bằng chữ):  Bảy triệu, hai trăm sáu mươi lăm ngàn, bốn trăm chín mươi bốn đồng</v>
      </c>
    </row>
    <row r="32" spans="1:8" ht="10.5" customHeight="1">
      <c r="A32" s="289" t="str">
        <f ca="1">"Số chứng từ gốc kèm theo :  "&amp;IF(ROWS($1:1)&gt;COUNT(Dong10),"",IF(OFFSET(TH!G$1,SMALL(Dong10,ROWS($1:1)),)="","","HĐ "&amp;OFFSET(TH!G$1,SMALL(Dong10,ROWS($1:1)),)))</f>
        <v>Số chứng từ gốc kèm theo :  HĐ 0000441</v>
      </c>
      <c r="F32" s="70" t="str">
        <f ca="1">+IF(LEFT($D$7,1)="N","                                                          "&amp;D6,"                                                                                           "&amp;D6)</f>
        <v xml:space="preserve">                                                          Ngày  2  tháng  10  năm  2015</v>
      </c>
    </row>
    <row r="33" spans="1:8" s="291" customFormat="1" ht="9.75" customHeight="1">
      <c r="A33" s="660" t="s">
        <v>196</v>
      </c>
      <c r="C33" s="73"/>
      <c r="E33" s="73"/>
      <c r="F33" s="73" t="str">
        <f>+IF(LEFT($D$7,1)="N","                                                       Kế toán trưởng","                                          Kế toán trưởng                           Giám đốc")</f>
        <v xml:space="preserve">                                                       Kế toán trưởng</v>
      </c>
    </row>
    <row r="34" spans="1:8" ht="9.75" customHeight="1">
      <c r="A34" s="647" t="s">
        <v>197</v>
      </c>
      <c r="C34" s="70"/>
      <c r="E34" s="70"/>
      <c r="F34" s="70" t="str">
        <f>+IF(LEFT($D$7,1)="N","                                                     (Ký, họ tên)","                (Ký, họ tên)                ")</f>
        <v xml:space="preserve">                                                     (Ký, họ tên)</v>
      </c>
      <c r="H34" s="647" t="str">
        <f>+IF(LEFT($D$7,1)="N","","  (Ký, họ tên)")</f>
        <v/>
      </c>
    </row>
    <row r="35" spans="1:8" ht="12.75" customHeight="1">
      <c r="G35" s="70"/>
    </row>
    <row r="36" spans="1:8" ht="11.25" customHeight="1"/>
    <row r="37" spans="1:8" ht="11.25" customHeight="1"/>
    <row r="38" spans="1:8" ht="11.25" customHeight="1"/>
    <row r="39" spans="1:8" s="643" customFormat="1" ht="11.25" customHeight="1"/>
    <row r="40" spans="1:8" ht="11.25" customHeight="1">
      <c r="A40" s="297"/>
      <c r="F40" s="298"/>
    </row>
  </sheetData>
  <mergeCells count="9">
    <mergeCell ref="A3:E4"/>
    <mergeCell ref="H14:H15"/>
    <mergeCell ref="A29:B29"/>
    <mergeCell ref="A14:A15"/>
    <mergeCell ref="B14:B15"/>
    <mergeCell ref="C14:C15"/>
    <mergeCell ref="D14:D15"/>
    <mergeCell ref="E14:F14"/>
    <mergeCell ref="G14:G15"/>
  </mergeCells>
  <conditionalFormatting sqref="B17:B28 F17:G28">
    <cfRule type="expression" dxfId="2" priority="1" stopIfTrue="1">
      <formula>$B17&lt;&gt;""</formula>
    </cfRule>
  </conditionalFormatting>
  <dataValidations count="2">
    <dataValidation type="list" allowBlank="1" showInputMessage="1" showErrorMessage="1" sqref="L5">
      <formula1>"NTP,XTP"</formula1>
    </dataValidation>
    <dataValidation type="list" allowBlank="1" showInputMessage="1" showErrorMessage="1" sqref="J5">
      <formula1>"All,Quý I, Quý II, Quý III, Quý IV"</formula1>
    </dataValidation>
  </dataValidations>
  <pageMargins left="0.73" right="0.15" top="0.19" bottom="0.15" header="0.16" footer="0.1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Q88"/>
  <sheetViews>
    <sheetView topLeftCell="A7" zoomScale="90" workbookViewId="0">
      <pane ySplit="7" topLeftCell="A14" activePane="bottomLeft" state="frozen"/>
      <selection activeCell="A7" sqref="A7"/>
      <selection pane="bottomLeft" activeCell="J8" sqref="J8:L8"/>
    </sheetView>
  </sheetViews>
  <sheetFormatPr defaultColWidth="23.85546875" defaultRowHeight="15"/>
  <cols>
    <col min="1" max="1" width="4.28515625" style="300" customWidth="1"/>
    <col min="2" max="2" width="8.5703125" style="300" customWidth="1"/>
    <col min="3" max="3" width="11" style="300" customWidth="1"/>
    <col min="4" max="4" width="41.7109375" style="300" customWidth="1"/>
    <col min="5" max="5" width="8" style="313" customWidth="1"/>
    <col min="6" max="6" width="8.85546875" style="300" customWidth="1"/>
    <col min="7" max="7" width="9" style="300" customWidth="1"/>
    <col min="8" max="8" width="14.140625" style="300" customWidth="1"/>
    <col min="9" max="9" width="8.85546875" style="300" customWidth="1"/>
    <col min="10" max="10" width="13.42578125" style="300" customWidth="1"/>
    <col min="11" max="11" width="10.140625" style="300" customWidth="1"/>
    <col min="12" max="12" width="13" style="300" customWidth="1"/>
    <col min="13" max="13" width="7.140625" style="300" customWidth="1"/>
    <col min="14" max="14" width="2" style="300" customWidth="1"/>
    <col min="15" max="15" width="5.5703125" style="300" customWidth="1"/>
    <col min="16" max="16" width="4.42578125" style="300" customWidth="1"/>
    <col min="17" max="16384" width="23.85546875" style="300"/>
  </cols>
  <sheetData>
    <row r="1" spans="1:17">
      <c r="A1" s="299" t="s">
        <v>198</v>
      </c>
      <c r="E1" s="300"/>
      <c r="O1" s="301"/>
    </row>
    <row r="2" spans="1:17" s="249" customFormat="1" ht="16.5" customHeight="1">
      <c r="B2" s="302" t="str">
        <f>TH!A1</f>
        <v>Đơn vị: CÔNG TY TNHH MỘT THÀNH VIÊN KHỞI NGUYÊN AN</v>
      </c>
      <c r="C2" s="303"/>
      <c r="D2" s="304"/>
      <c r="E2" s="305"/>
      <c r="F2" s="2"/>
      <c r="J2" s="1099" t="s">
        <v>199</v>
      </c>
      <c r="K2" s="1099"/>
      <c r="L2" s="1099"/>
      <c r="M2" s="1099"/>
      <c r="N2" s="306"/>
    </row>
    <row r="3" spans="1:17" s="249" customFormat="1" ht="16.5" customHeight="1">
      <c r="B3" s="589" t="str">
        <f>TH!A2</f>
        <v>Địa chỉ: Thửa đất số 144, tờ bản đồ số 12TĐH.1, tổ 1, khu phố Đông Tác, Phường Tân Đông Hiệp, Thị Xã Dĩ An, Tỉnh Bình Dương, Việt Nam</v>
      </c>
      <c r="C3" s="302"/>
      <c r="D3" s="302"/>
      <c r="E3" s="307"/>
      <c r="F3" s="302"/>
      <c r="J3" s="1100" t="str">
        <f ca="1">IF(YEAR($C$14)&gt;=2015,"(Ban hành theo Thông tư số 200/2014/TT-BTC  Ngày 22/12/2014 của Bộ Tài chính)","(Ban hành kèm theo QĐ 48/2006/QĐ-BTC ngày 24/09/2006 của Bộ trưởng BTC)")</f>
        <v>(Ban hành theo Thông tư số 200/2014/TT-BTC  Ngày 22/12/2014 của Bộ Tài chính)</v>
      </c>
      <c r="K3" s="1100"/>
      <c r="L3" s="1100"/>
      <c r="M3" s="1100"/>
      <c r="N3" s="308"/>
    </row>
    <row r="4" spans="1:17" s="249" customFormat="1" ht="16.5" customHeight="1">
      <c r="B4" s="302"/>
      <c r="C4" s="302"/>
      <c r="D4" s="302"/>
      <c r="E4" s="307"/>
      <c r="F4" s="302"/>
      <c r="J4" s="1100"/>
      <c r="K4" s="1100"/>
      <c r="L4" s="1100"/>
      <c r="M4" s="1100"/>
      <c r="N4" s="308"/>
    </row>
    <row r="5" spans="1:17" ht="18.75" customHeight="1">
      <c r="B5" s="1101" t="s">
        <v>200</v>
      </c>
      <c r="C5" s="1101"/>
      <c r="D5" s="1101"/>
      <c r="E5" s="1101"/>
      <c r="F5" s="1101"/>
      <c r="G5" s="1101"/>
      <c r="H5" s="1101"/>
      <c r="I5" s="1101"/>
      <c r="J5" s="1101"/>
      <c r="K5" s="1101"/>
      <c r="L5" s="1101"/>
      <c r="M5" s="1101"/>
      <c r="N5" s="309"/>
    </row>
    <row r="6" spans="1:17" s="310" customFormat="1" ht="12.75">
      <c r="B6" s="1102" t="s">
        <v>201</v>
      </c>
      <c r="C6" s="1102"/>
      <c r="D6" s="1102"/>
      <c r="E6" s="1102"/>
      <c r="F6" s="1102"/>
      <c r="G6" s="1102"/>
      <c r="H6" s="1102"/>
      <c r="I6" s="1102"/>
      <c r="J6" s="1102"/>
      <c r="K6" s="1102"/>
      <c r="L6" s="1102"/>
      <c r="M6" s="1102"/>
      <c r="N6" s="311"/>
    </row>
    <row r="7" spans="1:17">
      <c r="C7" s="312"/>
      <c r="D7" s="312"/>
      <c r="F7" s="314" t="s">
        <v>261</v>
      </c>
      <c r="G7" s="443" t="str">
        <f>IF($O$10="VL","1522",IF($O$10="NL","1521",IF($O$10="TP","155","")))</f>
        <v>1521</v>
      </c>
      <c r="H7" s="314" t="s">
        <v>202</v>
      </c>
      <c r="I7" s="312" t="str">
        <f>IF($O$10="NL","Nguyên Liệu",IF($O$10="TP","Thành Phẩm",IF($O$10="VL","Vật Liệu","")))</f>
        <v>Nguyên Liệu</v>
      </c>
      <c r="J7" s="312"/>
      <c r="K7" s="312"/>
      <c r="L7" s="312"/>
      <c r="M7" s="312"/>
      <c r="N7" s="313"/>
    </row>
    <row r="8" spans="1:17">
      <c r="B8" s="313"/>
      <c r="C8" s="312"/>
      <c r="D8" s="312"/>
      <c r="F8" s="313" t="s">
        <v>203</v>
      </c>
      <c r="H8" s="312"/>
      <c r="I8" s="312"/>
      <c r="J8" s="1103" t="s">
        <v>1238</v>
      </c>
      <c r="K8" s="1103"/>
      <c r="L8" s="1103"/>
      <c r="M8" s="312"/>
      <c r="N8" s="312"/>
    </row>
    <row r="9" spans="1:17">
      <c r="D9" s="315"/>
      <c r="E9" s="316"/>
      <c r="F9" s="315"/>
      <c r="G9" s="315"/>
      <c r="H9" s="315"/>
      <c r="I9" s="315"/>
      <c r="J9" s="315"/>
      <c r="K9" s="315" t="s">
        <v>123</v>
      </c>
      <c r="M9" s="317"/>
      <c r="N9" s="318"/>
    </row>
    <row r="10" spans="1:17" ht="15.75" customHeight="1">
      <c r="A10" s="1093" t="s">
        <v>35</v>
      </c>
      <c r="B10" s="1094" t="s">
        <v>1</v>
      </c>
      <c r="C10" s="1094"/>
      <c r="D10" s="1095" t="s">
        <v>0</v>
      </c>
      <c r="E10" s="1095" t="s">
        <v>204</v>
      </c>
      <c r="F10" s="1095" t="s">
        <v>192</v>
      </c>
      <c r="G10" s="1097" t="s">
        <v>205</v>
      </c>
      <c r="H10" s="1098"/>
      <c r="I10" s="1097" t="s">
        <v>206</v>
      </c>
      <c r="J10" s="1098"/>
      <c r="K10" s="1097" t="s">
        <v>207</v>
      </c>
      <c r="L10" s="1098"/>
      <c r="M10" s="1095" t="s">
        <v>127</v>
      </c>
      <c r="N10" s="319"/>
      <c r="O10" s="320" t="s">
        <v>198</v>
      </c>
    </row>
    <row r="11" spans="1:17" ht="31.5" customHeight="1">
      <c r="A11" s="1093"/>
      <c r="B11" s="321" t="s">
        <v>15</v>
      </c>
      <c r="C11" s="321" t="s">
        <v>32</v>
      </c>
      <c r="D11" s="1095"/>
      <c r="E11" s="1095"/>
      <c r="F11" s="1095"/>
      <c r="G11" s="321" t="s">
        <v>191</v>
      </c>
      <c r="H11" s="321" t="s">
        <v>193</v>
      </c>
      <c r="I11" s="321" t="s">
        <v>191</v>
      </c>
      <c r="J11" s="321" t="s">
        <v>193</v>
      </c>
      <c r="K11" s="321" t="s">
        <v>191</v>
      </c>
      <c r="L11" s="321" t="s">
        <v>193</v>
      </c>
      <c r="M11" s="1095"/>
      <c r="N11" s="319"/>
    </row>
    <row r="12" spans="1:17" s="313" customFormat="1">
      <c r="A12" s="322"/>
      <c r="B12" s="323" t="s">
        <v>2</v>
      </c>
      <c r="C12" s="324" t="s">
        <v>3</v>
      </c>
      <c r="D12" s="324" t="s">
        <v>4</v>
      </c>
      <c r="E12" s="323" t="s">
        <v>5</v>
      </c>
      <c r="F12" s="323">
        <v>1</v>
      </c>
      <c r="G12" s="323">
        <v>2</v>
      </c>
      <c r="H12" s="323" t="s">
        <v>208</v>
      </c>
      <c r="I12" s="323">
        <v>4</v>
      </c>
      <c r="J12" s="323" t="s">
        <v>209</v>
      </c>
      <c r="K12" s="323">
        <v>6</v>
      </c>
      <c r="L12" s="323" t="s">
        <v>210</v>
      </c>
      <c r="M12" s="323"/>
      <c r="N12" s="325"/>
    </row>
    <row r="13" spans="1:17">
      <c r="A13" s="326"/>
      <c r="B13" s="326"/>
      <c r="C13" s="326"/>
      <c r="D13" s="327" t="s">
        <v>144</v>
      </c>
      <c r="E13" s="328"/>
      <c r="F13" s="329"/>
      <c r="G13" s="329"/>
      <c r="H13" s="329"/>
      <c r="I13" s="329"/>
      <c r="J13" s="329"/>
      <c r="K13" s="330">
        <f>VLOOKUP($J$8,NXT!$C$12:$L$469,3,0)</f>
        <v>0</v>
      </c>
      <c r="L13" s="330">
        <f>VLOOKUP($J$8,NXT!$C$12:$L$469,4,0)</f>
        <v>0</v>
      </c>
      <c r="M13" s="329"/>
      <c r="N13" s="325"/>
    </row>
    <row r="14" spans="1:17">
      <c r="A14" s="296">
        <f ca="1">IF(B14="","",ROW()-13)</f>
        <v>1</v>
      </c>
      <c r="B14" s="331" t="str">
        <f ca="1">IF(ROWS($1:1)&gt;COUNT(Dong11),"",OFFSET(TH!D$1,SMALL(Dong11,ROWS($1:1)),))</f>
        <v>N21</v>
      </c>
      <c r="C14" s="332">
        <f ca="1">IF(ROWS($1:1)&gt;COUNT(Dong11),"",OFFSET(TH!E$1,SMALL(Dong11,ROWS($1:1)),))</f>
        <v>42272</v>
      </c>
      <c r="D14" s="333" t="str">
        <f ca="1">IF(ROWS($1:1)&gt;COUNT(Dong11),"",OFFSET(TH!H$1,SMALL(Dong11,ROWS($1:1)),))</f>
        <v>Cty TNHH Four Nine</v>
      </c>
      <c r="E14" s="331" t="str">
        <f ca="1">IF(ROWS($1:1)&gt;COUNT(Dong11),"",IF(OFFSET(TH!L$1,SMALL(Dong11,ROWS($1:1)),)=$G$7,OFFSET(TH!M$1,SMALL(Dong11,ROWS($1:1)),),OFFSET(TH!L$1,SMALL(Dong11,ROWS($1:1)),)))</f>
        <v>156</v>
      </c>
      <c r="F14" s="334">
        <f ca="1">IF(ROWS($1:1)&gt;COUNT(Dong11),0,OFFSET(TH!J$1,SMALL(Dong11,ROWS($1:1)),))</f>
        <v>11046</v>
      </c>
      <c r="G14" s="334">
        <f ca="1">IF(ROWS($1:1)&gt;COUNT(Dong11),0,IF(MID(OFFSET(TH!D$1,SMALL(Dong11,ROWS($1:1)),),4,1)="N",OFFSET(TH!I$1,SMALL(Dong11,ROWS($1:1)),),0))</f>
        <v>0</v>
      </c>
      <c r="H14" s="335">
        <f ca="1">ROUND(F14*G14,0)</f>
        <v>0</v>
      </c>
      <c r="I14" s="334">
        <f ca="1">IF(ROWS($1:1)&gt;COUNT(Dong11),0,IF(MID(OFFSET(TH!D$1,SMALL(Dong11,ROWS($1:1)),),4,1)="X",OFFSET(TH!I$1,SMALL(Dong11,ROWS($1:1)),),0))</f>
        <v>0</v>
      </c>
      <c r="J14" s="335">
        <f ca="1">ROUND(F14*I14,0)</f>
        <v>0</v>
      </c>
      <c r="K14" s="335">
        <f ca="1">IF(D14&lt;&gt;"",K13+G14-I14,0)</f>
        <v>0</v>
      </c>
      <c r="L14" s="335">
        <f ca="1">IF(D14&lt;&gt;"",L13+H14-J14,0)</f>
        <v>0</v>
      </c>
      <c r="M14" s="335"/>
      <c r="N14" s="325"/>
    </row>
    <row r="15" spans="1:17">
      <c r="A15" s="296">
        <f t="shared" ref="A15:A24" ca="1" si="0">IF(B15="","",A14+1)</f>
        <v>2</v>
      </c>
      <c r="B15" s="331" t="str">
        <f ca="1">IF(ROWS($1:2)&gt;COUNT(Dong11),"",OFFSET(TH!D$1,SMALL(Dong11,ROWS($1:2)),))</f>
        <v>N08</v>
      </c>
      <c r="C15" s="332">
        <f ca="1">IF(ROWS($1:2)&gt;COUNT(Dong11),"",OFFSET(TH!E$1,SMALL(Dong11,ROWS($1:2)),))</f>
        <v>42304</v>
      </c>
      <c r="D15" s="333" t="str">
        <f ca="1">IF(ROWS($1:2)&gt;COUNT(Dong11),"",OFFSET(TH!H$1,SMALL(Dong11,ROWS($1:2)),))</f>
        <v>Cty TNHH Four Nine</v>
      </c>
      <c r="E15" s="331" t="str">
        <f ca="1">IF(ROWS($1:2)&gt;COUNT(Dong11),"",IF(OFFSET(TH!L$1,SMALL(Dong11,ROWS($1:2)),)=$G$7,OFFSET(TH!M$1,SMALL(Dong11,ROWS($1:2)),),OFFSET(TH!L$1,SMALL(Dong11,ROWS($1:2)),)))</f>
        <v>156</v>
      </c>
      <c r="F15" s="334">
        <f ca="1">IF(ROWS($1:2)&gt;COUNT(Dong11),0,OFFSET(TH!J$1,SMALL(Dong11,ROWS($1:2)),))</f>
        <v>8771</v>
      </c>
      <c r="G15" s="334">
        <f ca="1">IF(ROWS($1:2)&gt;COUNT(Dong11),0,IF(MID(OFFSET(TH!D$1,SMALL(Dong11,ROWS($1:2)),),4,1)="N",OFFSET(TH!I$1,SMALL(Dong11,ROWS($1:2)),),0))</f>
        <v>0</v>
      </c>
      <c r="H15" s="335">
        <f t="shared" ref="H15:H24" ca="1" si="1">ROUND(F15*G15,0)</f>
        <v>0</v>
      </c>
      <c r="I15" s="334">
        <f ca="1">IF(ROWS($1:2)&gt;COUNT(Dong11),0,IF(MID(OFFSET(TH!D$1,SMALL(Dong11,ROWS($1:2)),),4,1)="X",OFFSET(TH!I$1,SMALL(Dong11,ROWS($1:2)),),0))</f>
        <v>0</v>
      </c>
      <c r="J15" s="335">
        <f t="shared" ref="J15:J24" ca="1" si="2">ROUND(F15*I15,0)</f>
        <v>0</v>
      </c>
      <c r="K15" s="335">
        <f t="shared" ref="K15:K24" ca="1" si="3">IF(D15&lt;&gt;"",K14+G15-I15,0)</f>
        <v>0</v>
      </c>
      <c r="L15" s="335">
        <f t="shared" ref="L15:L24" ca="1" si="4">IF(D15&lt;&gt;"",L14+H15-J15,0)</f>
        <v>0</v>
      </c>
      <c r="M15" s="335"/>
      <c r="N15" s="325"/>
      <c r="Q15" s="336"/>
    </row>
    <row r="16" spans="1:17">
      <c r="A16" s="296">
        <f t="shared" ca="1" si="0"/>
        <v>3</v>
      </c>
      <c r="B16" s="331" t="str">
        <f ca="1">IF(ROWS($1:3)&gt;COUNT(Dong11),"",OFFSET(TH!D$1,SMALL(Dong11,ROWS($1:3)),))</f>
        <v>N21</v>
      </c>
      <c r="C16" s="332">
        <f ca="1">IF(ROWS($1:3)&gt;COUNT(Dong11),"",OFFSET(TH!E$1,SMALL(Dong11,ROWS($1:3)),))</f>
        <v>42324</v>
      </c>
      <c r="D16" s="333" t="str">
        <f ca="1">IF(ROWS($1:3)&gt;COUNT(Dong11),"",OFFSET(TH!H$1,SMALL(Dong11,ROWS($1:3)),))</f>
        <v>Cty TNHH Four Nine</v>
      </c>
      <c r="E16" s="331" t="str">
        <f ca="1">IF(ROWS($1:3)&gt;COUNT(Dong11),"",IF(OFFSET(TH!L$1,SMALL(Dong11,ROWS($1:3)),)=$G$7,OFFSET(TH!M$1,SMALL(Dong11,ROWS($1:3)),),OFFSET(TH!L$1,SMALL(Dong11,ROWS($1:3)),)))</f>
        <v>156</v>
      </c>
      <c r="F16" s="334">
        <f ca="1">IF(ROWS($1:3)&gt;COUNT(Dong11),0,OFFSET(TH!J$1,SMALL(Dong11,ROWS($1:3)),))</f>
        <v>8771</v>
      </c>
      <c r="G16" s="334">
        <f ca="1">IF(ROWS($1:3)&gt;COUNT(Dong11),0,IF(MID(OFFSET(TH!D$1,SMALL(Dong11,ROWS($1:3)),),4,1)="N",OFFSET(TH!I$1,SMALL(Dong11,ROWS($1:3)),),0))</f>
        <v>0</v>
      </c>
      <c r="H16" s="335">
        <f t="shared" ca="1" si="1"/>
        <v>0</v>
      </c>
      <c r="I16" s="334">
        <f ca="1">IF(ROWS($1:3)&gt;COUNT(Dong11),0,IF(MID(OFFSET(TH!D$1,SMALL(Dong11,ROWS($1:3)),),4,1)="X",OFFSET(TH!I$1,SMALL(Dong11,ROWS($1:3)),),0))</f>
        <v>0</v>
      </c>
      <c r="J16" s="335">
        <f t="shared" ca="1" si="2"/>
        <v>0</v>
      </c>
      <c r="K16" s="335">
        <f t="shared" ca="1" si="3"/>
        <v>0</v>
      </c>
      <c r="L16" s="335">
        <f t="shared" ca="1" si="4"/>
        <v>0</v>
      </c>
      <c r="M16" s="335"/>
      <c r="N16" s="325"/>
    </row>
    <row r="17" spans="1:16">
      <c r="A17" s="296">
        <f t="shared" ca="1" si="0"/>
        <v>4</v>
      </c>
      <c r="B17" s="331" t="str">
        <f ca="1">IF(ROWS($1:4)&gt;COUNT(Dong11),"",OFFSET(TH!D$1,SMALL(Dong11,ROWS($1:4)),))</f>
        <v>N19</v>
      </c>
      <c r="C17" s="332">
        <f ca="1">IF(ROWS($1:4)&gt;COUNT(Dong11),"",OFFSET(TH!E$1,SMALL(Dong11,ROWS($1:4)),))</f>
        <v>42347</v>
      </c>
      <c r="D17" s="333" t="str">
        <f ca="1">IF(ROWS($1:4)&gt;COUNT(Dong11),"",OFFSET(TH!H$1,SMALL(Dong11,ROWS($1:4)),))</f>
        <v>Cty TNHH Four Nine</v>
      </c>
      <c r="E17" s="331" t="str">
        <f ca="1">IF(ROWS($1:4)&gt;COUNT(Dong11),"",IF(OFFSET(TH!L$1,SMALL(Dong11,ROWS($1:4)),)=$G$7,OFFSET(TH!M$1,SMALL(Dong11,ROWS($1:4)),),OFFSET(TH!L$1,SMALL(Dong11,ROWS($1:4)),)))</f>
        <v>156</v>
      </c>
      <c r="F17" s="334">
        <f ca="1">IF(ROWS($1:4)&gt;COUNT(Dong11),0,OFFSET(TH!J$1,SMALL(Dong11,ROWS($1:4)),))</f>
        <v>8771</v>
      </c>
      <c r="G17" s="334">
        <f ca="1">IF(ROWS($1:4)&gt;COUNT(Dong11),0,IF(MID(OFFSET(TH!D$1,SMALL(Dong11,ROWS($1:4)),),4,1)="N",OFFSET(TH!I$1,SMALL(Dong11,ROWS($1:4)),),0))</f>
        <v>0</v>
      </c>
      <c r="H17" s="335">
        <f t="shared" ca="1" si="1"/>
        <v>0</v>
      </c>
      <c r="I17" s="334">
        <f ca="1">IF(ROWS($1:4)&gt;COUNT(Dong11),0,IF(MID(OFFSET(TH!D$1,SMALL(Dong11,ROWS($1:4)),),4,1)="X",OFFSET(TH!I$1,SMALL(Dong11,ROWS($1:4)),),0))</f>
        <v>0</v>
      </c>
      <c r="J17" s="335">
        <f t="shared" ca="1" si="2"/>
        <v>0</v>
      </c>
      <c r="K17" s="335">
        <f t="shared" ca="1" si="3"/>
        <v>0</v>
      </c>
      <c r="L17" s="335">
        <f t="shared" ca="1" si="4"/>
        <v>0</v>
      </c>
      <c r="M17" s="335"/>
      <c r="N17" s="325"/>
      <c r="P17" s="337"/>
    </row>
    <row r="18" spans="1:16">
      <c r="A18" s="296">
        <f t="shared" ca="1" si="0"/>
        <v>5</v>
      </c>
      <c r="B18" s="331" t="str">
        <f ca="1">IF(ROWS($1:5)&gt;COUNT(Dong11),"",OFFSET(TH!D$1,SMALL(Dong11,ROWS($1:5)),))</f>
        <v>XB/GV</v>
      </c>
      <c r="C18" s="332">
        <f ca="1">IF(ROWS($1:5)&gt;COUNT(Dong11),"",OFFSET(TH!E$1,SMALL(Dong11,ROWS($1:5)),))</f>
        <v>42305</v>
      </c>
      <c r="D18" s="333" t="str">
        <f ca="1">IF(ROWS($1:5)&gt;COUNT(Dong11),"",OFFSET(TH!H$1,SMALL(Dong11,ROWS($1:5)),))</f>
        <v>Xuất bán</v>
      </c>
      <c r="E18" s="331" t="str">
        <f ca="1">IF(ROWS($1:5)&gt;COUNT(Dong11),"",IF(OFFSET(TH!L$1,SMALL(Dong11,ROWS($1:5)),)=$G$7,OFFSET(TH!M$1,SMALL(Dong11,ROWS($1:5)),),OFFSET(TH!L$1,SMALL(Dong11,ROWS($1:5)),)))</f>
        <v>632</v>
      </c>
      <c r="F18" s="334">
        <f ca="1">IF(ROWS($1:5)&gt;COUNT(Dong11),0,OFFSET(TH!J$1,SMALL(Dong11,ROWS($1:5)),))</f>
        <v>11046</v>
      </c>
      <c r="G18" s="334">
        <f ca="1">IF(ROWS($1:5)&gt;COUNT(Dong11),0,IF(MID(OFFSET(TH!D$1,SMALL(Dong11,ROWS($1:5)),),4,1)="N",OFFSET(TH!I$1,SMALL(Dong11,ROWS($1:5)),),0))</f>
        <v>0</v>
      </c>
      <c r="H18" s="335">
        <f t="shared" ca="1" si="1"/>
        <v>0</v>
      </c>
      <c r="I18" s="334">
        <f ca="1">IF(ROWS($1:5)&gt;COUNT(Dong11),0,IF(MID(OFFSET(TH!D$1,SMALL(Dong11,ROWS($1:5)),),4,1)="X",OFFSET(TH!I$1,SMALL(Dong11,ROWS($1:5)),),0))</f>
        <v>0</v>
      </c>
      <c r="J18" s="335">
        <f t="shared" ca="1" si="2"/>
        <v>0</v>
      </c>
      <c r="K18" s="335">
        <f t="shared" ca="1" si="3"/>
        <v>0</v>
      </c>
      <c r="L18" s="335">
        <f t="shared" ca="1" si="4"/>
        <v>0</v>
      </c>
      <c r="M18" s="335"/>
      <c r="N18" s="325"/>
    </row>
    <row r="19" spans="1:16">
      <c r="A19" s="296">
        <f t="shared" ca="1" si="0"/>
        <v>6</v>
      </c>
      <c r="B19" s="331" t="str">
        <f ca="1">IF(ROWS($1:6)&gt;COUNT(Dong11),"",OFFSET(TH!D$1,SMALL(Dong11,ROWS($1:6)),))</f>
        <v>XB/GV</v>
      </c>
      <c r="C19" s="332">
        <f ca="1">IF(ROWS($1:6)&gt;COUNT(Dong11),"",OFFSET(TH!E$1,SMALL(Dong11,ROWS($1:6)),))</f>
        <v>42329</v>
      </c>
      <c r="D19" s="333" t="str">
        <f ca="1">IF(ROWS($1:6)&gt;COUNT(Dong11),"",OFFSET(TH!H$1,SMALL(Dong11,ROWS($1:6)),))</f>
        <v>Xuất bán</v>
      </c>
      <c r="E19" s="331" t="str">
        <f ca="1">IF(ROWS($1:6)&gt;COUNT(Dong11),"",IF(OFFSET(TH!L$1,SMALL(Dong11,ROWS($1:6)),)=$G$7,OFFSET(TH!M$1,SMALL(Dong11,ROWS($1:6)),),OFFSET(TH!L$1,SMALL(Dong11,ROWS($1:6)),)))</f>
        <v>632</v>
      </c>
      <c r="F19" s="334">
        <f ca="1">IF(ROWS($1:6)&gt;COUNT(Dong11),0,OFFSET(TH!J$1,SMALL(Dong11,ROWS($1:6)),))</f>
        <v>8771</v>
      </c>
      <c r="G19" s="334">
        <f ca="1">IF(ROWS($1:6)&gt;COUNT(Dong11),0,IF(MID(OFFSET(TH!D$1,SMALL(Dong11,ROWS($1:6)),),4,1)="N",OFFSET(TH!I$1,SMALL(Dong11,ROWS($1:6)),),0))</f>
        <v>0</v>
      </c>
      <c r="H19" s="335">
        <f t="shared" ca="1" si="1"/>
        <v>0</v>
      </c>
      <c r="I19" s="334">
        <f ca="1">IF(ROWS($1:6)&gt;COUNT(Dong11),0,IF(MID(OFFSET(TH!D$1,SMALL(Dong11,ROWS($1:6)),),4,1)="X",OFFSET(TH!I$1,SMALL(Dong11,ROWS($1:6)),),0))</f>
        <v>0</v>
      </c>
      <c r="J19" s="335">
        <f t="shared" ca="1" si="2"/>
        <v>0</v>
      </c>
      <c r="K19" s="335">
        <f t="shared" ca="1" si="3"/>
        <v>0</v>
      </c>
      <c r="L19" s="335">
        <f t="shared" ca="1" si="4"/>
        <v>0</v>
      </c>
      <c r="M19" s="335"/>
      <c r="N19" s="325"/>
    </row>
    <row r="20" spans="1:16">
      <c r="A20" s="296">
        <f t="shared" ca="1" si="0"/>
        <v>7</v>
      </c>
      <c r="B20" s="331" t="str">
        <f ca="1">IF(ROWS($1:7)&gt;COUNT(Dong11),"",OFFSET(TH!D$1,SMALL(Dong11,ROWS($1:7)),))</f>
        <v>XB/GV</v>
      </c>
      <c r="C20" s="332">
        <f ca="1">IF(ROWS($1:7)&gt;COUNT(Dong11),"",OFFSET(TH!E$1,SMALL(Dong11,ROWS($1:7)),))</f>
        <v>42337</v>
      </c>
      <c r="D20" s="333" t="str">
        <f ca="1">IF(ROWS($1:7)&gt;COUNT(Dong11),"",OFFSET(TH!H$1,SMALL(Dong11,ROWS($1:7)),))</f>
        <v>Xuất bán</v>
      </c>
      <c r="E20" s="331" t="str">
        <f ca="1">IF(ROWS($1:7)&gt;COUNT(Dong11),"",IF(OFFSET(TH!L$1,SMALL(Dong11,ROWS($1:7)),)=$G$7,OFFSET(TH!M$1,SMALL(Dong11,ROWS($1:7)),),OFFSET(TH!L$1,SMALL(Dong11,ROWS($1:7)),)))</f>
        <v>632</v>
      </c>
      <c r="F20" s="334">
        <f ca="1">IF(ROWS($1:7)&gt;COUNT(Dong11),0,OFFSET(TH!J$1,SMALL(Dong11,ROWS($1:7)),))</f>
        <v>11046</v>
      </c>
      <c r="G20" s="334">
        <f ca="1">IF(ROWS($1:7)&gt;COUNT(Dong11),0,IF(MID(OFFSET(TH!D$1,SMALL(Dong11,ROWS($1:7)),),4,1)="N",OFFSET(TH!I$1,SMALL(Dong11,ROWS($1:7)),),0))</f>
        <v>0</v>
      </c>
      <c r="H20" s="335">
        <f t="shared" ca="1" si="1"/>
        <v>0</v>
      </c>
      <c r="I20" s="334">
        <f ca="1">IF(ROWS($1:7)&gt;COUNT(Dong11),0,IF(MID(OFFSET(TH!D$1,SMALL(Dong11,ROWS($1:7)),),4,1)="X",OFFSET(TH!I$1,SMALL(Dong11,ROWS($1:7)),),0))</f>
        <v>0</v>
      </c>
      <c r="J20" s="335">
        <f t="shared" ca="1" si="2"/>
        <v>0</v>
      </c>
      <c r="K20" s="335">
        <f t="shared" ca="1" si="3"/>
        <v>0</v>
      </c>
      <c r="L20" s="335">
        <f t="shared" ca="1" si="4"/>
        <v>0</v>
      </c>
      <c r="M20" s="335"/>
      <c r="N20" s="325"/>
    </row>
    <row r="21" spans="1:16">
      <c r="A21" s="296">
        <f t="shared" ca="1" si="0"/>
        <v>8</v>
      </c>
      <c r="B21" s="331" t="str">
        <f ca="1">IF(ROWS($1:8)&gt;COUNT(Dong11),"",OFFSET(TH!D$1,SMALL(Dong11,ROWS($1:8)),))</f>
        <v>XB/GV</v>
      </c>
      <c r="C21" s="332">
        <f ca="1">IF(ROWS($1:8)&gt;COUNT(Dong11),"",OFFSET(TH!E$1,SMALL(Dong11,ROWS($1:8)),))</f>
        <v>42337</v>
      </c>
      <c r="D21" s="333" t="str">
        <f ca="1">IF(ROWS($1:8)&gt;COUNT(Dong11),"",OFFSET(TH!H$1,SMALL(Dong11,ROWS($1:8)),))</f>
        <v>Xuất bán</v>
      </c>
      <c r="E21" s="331" t="str">
        <f ca="1">IF(ROWS($1:8)&gt;COUNT(Dong11),"",IF(OFFSET(TH!L$1,SMALL(Dong11,ROWS($1:8)),)=$G$7,OFFSET(TH!M$1,SMALL(Dong11,ROWS($1:8)),),OFFSET(TH!L$1,SMALL(Dong11,ROWS($1:8)),)))</f>
        <v>632</v>
      </c>
      <c r="F21" s="334">
        <f ca="1">IF(ROWS($1:8)&gt;COUNT(Dong11),0,OFFSET(TH!J$1,SMALL(Dong11,ROWS($1:8)),))</f>
        <v>8771</v>
      </c>
      <c r="G21" s="334">
        <f ca="1">IF(ROWS($1:8)&gt;COUNT(Dong11),0,IF(MID(OFFSET(TH!D$1,SMALL(Dong11,ROWS($1:8)),),4,1)="N",OFFSET(TH!I$1,SMALL(Dong11,ROWS($1:8)),),0))</f>
        <v>0</v>
      </c>
      <c r="H21" s="335">
        <f t="shared" ca="1" si="1"/>
        <v>0</v>
      </c>
      <c r="I21" s="334">
        <f ca="1">IF(ROWS($1:8)&gt;COUNT(Dong11),0,IF(MID(OFFSET(TH!D$1,SMALL(Dong11,ROWS($1:8)),),4,1)="X",OFFSET(TH!I$1,SMALL(Dong11,ROWS($1:8)),),0))</f>
        <v>0</v>
      </c>
      <c r="J21" s="335">
        <f t="shared" ca="1" si="2"/>
        <v>0</v>
      </c>
      <c r="K21" s="335">
        <f t="shared" ca="1" si="3"/>
        <v>0</v>
      </c>
      <c r="L21" s="335">
        <f t="shared" ca="1" si="4"/>
        <v>0</v>
      </c>
      <c r="M21" s="335"/>
      <c r="N21" s="325"/>
    </row>
    <row r="22" spans="1:16">
      <c r="A22" s="296">
        <f t="shared" ca="1" si="0"/>
        <v>9</v>
      </c>
      <c r="B22" s="331" t="str">
        <f ca="1">IF(ROWS($1:9)&gt;COUNT(Dong11),"",OFFSET(TH!D$1,SMALL(Dong11,ROWS($1:9)),))</f>
        <v>XB/GV</v>
      </c>
      <c r="C22" s="332">
        <f ca="1">IF(ROWS($1:9)&gt;COUNT(Dong11),"",OFFSET(TH!E$1,SMALL(Dong11,ROWS($1:9)),))</f>
        <v>42342</v>
      </c>
      <c r="D22" s="333" t="str">
        <f ca="1">IF(ROWS($1:9)&gt;COUNT(Dong11),"",OFFSET(TH!H$1,SMALL(Dong11,ROWS($1:9)),))</f>
        <v>Xuất bán</v>
      </c>
      <c r="E22" s="331" t="str">
        <f ca="1">IF(ROWS($1:9)&gt;COUNT(Dong11),"",IF(OFFSET(TH!L$1,SMALL(Dong11,ROWS($1:9)),)=$G$7,OFFSET(TH!M$1,SMALL(Dong11,ROWS($1:9)),),OFFSET(TH!L$1,SMALL(Dong11,ROWS($1:9)),)))</f>
        <v>632</v>
      </c>
      <c r="F22" s="334">
        <f ca="1">IF(ROWS($1:9)&gt;COUNT(Dong11),0,OFFSET(TH!J$1,SMALL(Dong11,ROWS($1:9)),))</f>
        <v>8771</v>
      </c>
      <c r="G22" s="334">
        <f ca="1">IF(ROWS($1:9)&gt;COUNT(Dong11),0,IF(MID(OFFSET(TH!D$1,SMALL(Dong11,ROWS($1:9)),),4,1)="N",OFFSET(TH!I$1,SMALL(Dong11,ROWS($1:9)),),0))</f>
        <v>0</v>
      </c>
      <c r="H22" s="335">
        <f t="shared" ca="1" si="1"/>
        <v>0</v>
      </c>
      <c r="I22" s="334">
        <f ca="1">IF(ROWS($1:9)&gt;COUNT(Dong11),0,IF(MID(OFFSET(TH!D$1,SMALL(Dong11,ROWS($1:9)),),4,1)="X",OFFSET(TH!I$1,SMALL(Dong11,ROWS($1:9)),),0))</f>
        <v>0</v>
      </c>
      <c r="J22" s="335">
        <f t="shared" ca="1" si="2"/>
        <v>0</v>
      </c>
      <c r="K22" s="335">
        <f t="shared" ca="1" si="3"/>
        <v>0</v>
      </c>
      <c r="L22" s="335">
        <f t="shared" ca="1" si="4"/>
        <v>0</v>
      </c>
      <c r="M22" s="335"/>
      <c r="N22" s="325"/>
    </row>
    <row r="23" spans="1:16">
      <c r="A23" s="296">
        <f t="shared" ca="1" si="0"/>
        <v>10</v>
      </c>
      <c r="B23" s="331" t="str">
        <f ca="1">IF(ROWS($1:10)&gt;COUNT(Dong11),"",OFFSET(TH!D$1,SMALL(Dong11,ROWS($1:10)),))</f>
        <v>XB/GV</v>
      </c>
      <c r="C23" s="332">
        <f ca="1">IF(ROWS($1:10)&gt;COUNT(Dong11),"",OFFSET(TH!E$1,SMALL(Dong11,ROWS($1:10)),))</f>
        <v>42359</v>
      </c>
      <c r="D23" s="333" t="str">
        <f ca="1">IF(ROWS($1:10)&gt;COUNT(Dong11),"",OFFSET(TH!H$1,SMALL(Dong11,ROWS($1:10)),))</f>
        <v>Xuất bán</v>
      </c>
      <c r="E23" s="331" t="str">
        <f ca="1">IF(ROWS($1:10)&gt;COUNT(Dong11),"",IF(OFFSET(TH!L$1,SMALL(Dong11,ROWS($1:10)),)=$G$7,OFFSET(TH!M$1,SMALL(Dong11,ROWS($1:10)),),OFFSET(TH!L$1,SMALL(Dong11,ROWS($1:10)),)))</f>
        <v>632</v>
      </c>
      <c r="F23" s="334">
        <f ca="1">IF(ROWS($1:10)&gt;COUNT(Dong11),0,OFFSET(TH!J$1,SMALL(Dong11,ROWS($1:10)),))</f>
        <v>8771</v>
      </c>
      <c r="G23" s="334">
        <f ca="1">IF(ROWS($1:10)&gt;COUNT(Dong11),0,IF(MID(OFFSET(TH!D$1,SMALL(Dong11,ROWS($1:10)),),4,1)="N",OFFSET(TH!I$1,SMALL(Dong11,ROWS($1:10)),),0))</f>
        <v>0</v>
      </c>
      <c r="H23" s="335">
        <f t="shared" ca="1" si="1"/>
        <v>0</v>
      </c>
      <c r="I23" s="334">
        <f ca="1">IF(ROWS($1:10)&gt;COUNT(Dong11),0,IF(MID(OFFSET(TH!D$1,SMALL(Dong11,ROWS($1:10)),),4,1)="X",OFFSET(TH!I$1,SMALL(Dong11,ROWS($1:10)),),0))</f>
        <v>0</v>
      </c>
      <c r="J23" s="335">
        <f t="shared" ca="1" si="2"/>
        <v>0</v>
      </c>
      <c r="K23" s="335">
        <f t="shared" ca="1" si="3"/>
        <v>0</v>
      </c>
      <c r="L23" s="335">
        <f t="shared" ca="1" si="4"/>
        <v>0</v>
      </c>
      <c r="M23" s="335"/>
      <c r="N23" s="325"/>
    </row>
    <row r="24" spans="1:16">
      <c r="A24" s="296" t="str">
        <f t="shared" ca="1" si="0"/>
        <v/>
      </c>
      <c r="B24" s="331" t="str">
        <f ca="1">IF(ROWS($1:11)&gt;COUNT(Dong11),"",OFFSET(TH!D$1,SMALL(Dong11,ROWS($1:11)),))</f>
        <v/>
      </c>
      <c r="C24" s="332" t="str">
        <f ca="1">IF(ROWS($1:11)&gt;COUNT(Dong11),"",OFFSET(TH!E$1,SMALL(Dong11,ROWS($1:11)),))</f>
        <v/>
      </c>
      <c r="D24" s="333" t="str">
        <f ca="1">IF(ROWS($1:11)&gt;COUNT(Dong11),"",OFFSET(TH!H$1,SMALL(Dong11,ROWS($1:11)),))</f>
        <v/>
      </c>
      <c r="E24" s="331" t="str">
        <f ca="1">IF(ROWS($1:11)&gt;COUNT(Dong11),"",IF(OFFSET(TH!L$1,SMALL(Dong11,ROWS($1:11)),)=$G$7,OFFSET(TH!M$1,SMALL(Dong11,ROWS($1:11)),),OFFSET(TH!L$1,SMALL(Dong11,ROWS($1:11)),)))</f>
        <v/>
      </c>
      <c r="F24" s="334">
        <f ca="1">IF(ROWS($1:11)&gt;COUNT(Dong11),0,OFFSET(TH!J$1,SMALL(Dong11,ROWS($1:11)),))</f>
        <v>0</v>
      </c>
      <c r="G24" s="334">
        <f ca="1">IF(ROWS($1:11)&gt;COUNT(Dong11),0,IF(MID(OFFSET(TH!D$1,SMALL(Dong11,ROWS($1:11)),),4,1)="N",OFFSET(TH!I$1,SMALL(Dong11,ROWS($1:11)),),0))</f>
        <v>0</v>
      </c>
      <c r="H24" s="335">
        <f t="shared" ca="1" si="1"/>
        <v>0</v>
      </c>
      <c r="I24" s="334">
        <f ca="1">IF(ROWS($1:11)&gt;COUNT(Dong11),0,IF(MID(OFFSET(TH!D$1,SMALL(Dong11,ROWS($1:11)),),4,1)="X",OFFSET(TH!I$1,SMALL(Dong11,ROWS($1:11)),),0))</f>
        <v>0</v>
      </c>
      <c r="J24" s="335">
        <f t="shared" ca="1" si="2"/>
        <v>0</v>
      </c>
      <c r="K24" s="335">
        <f t="shared" ca="1" si="3"/>
        <v>0</v>
      </c>
      <c r="L24" s="335">
        <f t="shared" ca="1" si="4"/>
        <v>0</v>
      </c>
      <c r="M24" s="335"/>
      <c r="N24" s="325"/>
    </row>
    <row r="25" spans="1:16">
      <c r="A25" s="296" t="str">
        <f t="shared" ref="A25:A38" ca="1" si="5">IF(B25="","",A24+1)</f>
        <v/>
      </c>
      <c r="B25" s="331" t="str">
        <f ca="1">IF(ROWS($1:12)&gt;COUNT(Dong11),"",OFFSET(TH!D$1,SMALL(Dong11,ROWS($1:12)),))</f>
        <v/>
      </c>
      <c r="C25" s="332" t="str">
        <f ca="1">IF(ROWS($1:12)&gt;COUNT(Dong11),"",OFFSET(TH!E$1,SMALL(Dong11,ROWS($1:12)),))</f>
        <v/>
      </c>
      <c r="D25" s="333" t="str">
        <f ca="1">IF(ROWS($1:12)&gt;COUNT(Dong11),"",OFFSET(TH!H$1,SMALL(Dong11,ROWS($1:12)),))</f>
        <v/>
      </c>
      <c r="E25" s="331" t="str">
        <f ca="1">IF(ROWS($1:12)&gt;COUNT(Dong11),"",IF(OFFSET(TH!L$1,SMALL(Dong11,ROWS($1:12)),)=$G$7,OFFSET(TH!M$1,SMALL(Dong11,ROWS($1:12)),),OFFSET(TH!L$1,SMALL(Dong11,ROWS($1:12)),)))</f>
        <v/>
      </c>
      <c r="F25" s="334">
        <f ca="1">IF(ROWS($1:12)&gt;COUNT(Dong11),0,OFFSET(TH!J$1,SMALL(Dong11,ROWS($1:12)),))</f>
        <v>0</v>
      </c>
      <c r="G25" s="334">
        <f ca="1">IF(ROWS($1:12)&gt;COUNT(Dong11),0,IF(MID(OFFSET(TH!D$1,SMALL(Dong11,ROWS($1:12)),),4,1)="N",OFFSET(TH!I$1,SMALL(Dong11,ROWS($1:12)),),0))</f>
        <v>0</v>
      </c>
      <c r="H25" s="335">
        <f t="shared" ref="H25:H38" ca="1" si="6">ROUND(F25*G25,0)</f>
        <v>0</v>
      </c>
      <c r="I25" s="334">
        <f ca="1">IF(ROWS($1:12)&gt;COUNT(Dong11),0,IF(MID(OFFSET(TH!D$1,SMALL(Dong11,ROWS($1:12)),),4,1)="X",OFFSET(TH!I$1,SMALL(Dong11,ROWS($1:12)),),0))</f>
        <v>0</v>
      </c>
      <c r="J25" s="335">
        <f t="shared" ref="J25:J38" ca="1" si="7">ROUND(F25*I25,0)</f>
        <v>0</v>
      </c>
      <c r="K25" s="335">
        <f t="shared" ref="K25:K38" ca="1" si="8">IF(D25&lt;&gt;"",K24+G25-I25,0)</f>
        <v>0</v>
      </c>
      <c r="L25" s="335">
        <f t="shared" ref="L25:L38" ca="1" si="9">IF(D25&lt;&gt;"",L24+H25-J25,0)</f>
        <v>0</v>
      </c>
      <c r="M25" s="335"/>
      <c r="N25" s="325"/>
    </row>
    <row r="26" spans="1:16">
      <c r="A26" s="296" t="str">
        <f t="shared" ca="1" si="5"/>
        <v/>
      </c>
      <c r="B26" s="331" t="str">
        <f ca="1">IF(ROWS($1:13)&gt;COUNT(Dong11),"",OFFSET(TH!D$1,SMALL(Dong11,ROWS($1:13)),))</f>
        <v/>
      </c>
      <c r="C26" s="332" t="str">
        <f ca="1">IF(ROWS($1:13)&gt;COUNT(Dong11),"",OFFSET(TH!E$1,SMALL(Dong11,ROWS($1:13)),))</f>
        <v/>
      </c>
      <c r="D26" s="333" t="str">
        <f ca="1">IF(ROWS($1:13)&gt;COUNT(Dong11),"",OFFSET(TH!H$1,SMALL(Dong11,ROWS($1:13)),))</f>
        <v/>
      </c>
      <c r="E26" s="331" t="str">
        <f ca="1">IF(ROWS($1:13)&gt;COUNT(Dong11),"",IF(OFFSET(TH!L$1,SMALL(Dong11,ROWS($1:13)),)=$G$7,OFFSET(TH!M$1,SMALL(Dong11,ROWS($1:13)),),OFFSET(TH!L$1,SMALL(Dong11,ROWS($1:13)),)))</f>
        <v/>
      </c>
      <c r="F26" s="334">
        <f ca="1">IF(ROWS($1:13)&gt;COUNT(Dong11),0,OFFSET(TH!J$1,SMALL(Dong11,ROWS($1:13)),))</f>
        <v>0</v>
      </c>
      <c r="G26" s="334">
        <f ca="1">IF(ROWS($1:13)&gt;COUNT(Dong11),0,IF(MID(OFFSET(TH!D$1,SMALL(Dong11,ROWS($1:13)),),4,1)="N",OFFSET(TH!I$1,SMALL(Dong11,ROWS($1:13)),),0))</f>
        <v>0</v>
      </c>
      <c r="H26" s="335">
        <f t="shared" ca="1" si="6"/>
        <v>0</v>
      </c>
      <c r="I26" s="334">
        <f ca="1">IF(ROWS($1:13)&gt;COUNT(Dong11),0,IF(MID(OFFSET(TH!D$1,SMALL(Dong11,ROWS($1:13)),),4,1)="X",OFFSET(TH!I$1,SMALL(Dong11,ROWS($1:13)),),0))</f>
        <v>0</v>
      </c>
      <c r="J26" s="335">
        <f t="shared" ca="1" si="7"/>
        <v>0</v>
      </c>
      <c r="K26" s="335">
        <f t="shared" ca="1" si="8"/>
        <v>0</v>
      </c>
      <c r="L26" s="335">
        <f t="shared" ca="1" si="9"/>
        <v>0</v>
      </c>
      <c r="M26" s="335"/>
      <c r="N26" s="325"/>
    </row>
    <row r="27" spans="1:16">
      <c r="A27" s="296" t="str">
        <f t="shared" ca="1" si="5"/>
        <v/>
      </c>
      <c r="B27" s="331" t="str">
        <f ca="1">IF(ROWS($1:14)&gt;COUNT(Dong11),"",OFFSET(TH!D$1,SMALL(Dong11,ROWS($1:14)),))</f>
        <v/>
      </c>
      <c r="C27" s="332" t="str">
        <f ca="1">IF(ROWS($1:14)&gt;COUNT(Dong11),"",OFFSET(TH!E$1,SMALL(Dong11,ROWS($1:14)),))</f>
        <v/>
      </c>
      <c r="D27" s="333" t="str">
        <f ca="1">IF(ROWS($1:14)&gt;COUNT(Dong11),"",OFFSET(TH!H$1,SMALL(Dong11,ROWS($1:14)),))</f>
        <v/>
      </c>
      <c r="E27" s="331" t="str">
        <f ca="1">IF(ROWS($1:14)&gt;COUNT(Dong11),"",IF(OFFSET(TH!L$1,SMALL(Dong11,ROWS($1:14)),)=$G$7,OFFSET(TH!M$1,SMALL(Dong11,ROWS($1:14)),),OFFSET(TH!L$1,SMALL(Dong11,ROWS($1:14)),)))</f>
        <v/>
      </c>
      <c r="F27" s="334">
        <f ca="1">IF(ROWS($1:14)&gt;COUNT(Dong11),0,OFFSET(TH!J$1,SMALL(Dong11,ROWS($1:14)),))</f>
        <v>0</v>
      </c>
      <c r="G27" s="334">
        <f ca="1">IF(ROWS($1:14)&gt;COUNT(Dong11),0,IF(MID(OFFSET(TH!D$1,SMALL(Dong11,ROWS($1:14)),),4,1)="N",OFFSET(TH!I$1,SMALL(Dong11,ROWS($1:14)),),0))</f>
        <v>0</v>
      </c>
      <c r="H27" s="335">
        <f t="shared" ca="1" si="6"/>
        <v>0</v>
      </c>
      <c r="I27" s="334">
        <f ca="1">IF(ROWS($1:14)&gt;COUNT(Dong11),0,IF(MID(OFFSET(TH!D$1,SMALL(Dong11,ROWS($1:14)),),4,1)="X",OFFSET(TH!I$1,SMALL(Dong11,ROWS($1:14)),),0))</f>
        <v>0</v>
      </c>
      <c r="J27" s="335">
        <f t="shared" ca="1" si="7"/>
        <v>0</v>
      </c>
      <c r="K27" s="335">
        <f t="shared" ca="1" si="8"/>
        <v>0</v>
      </c>
      <c r="L27" s="335">
        <f t="shared" ca="1" si="9"/>
        <v>0</v>
      </c>
      <c r="M27" s="335"/>
      <c r="N27" s="325"/>
    </row>
    <row r="28" spans="1:16">
      <c r="A28" s="296" t="str">
        <f t="shared" ca="1" si="5"/>
        <v/>
      </c>
      <c r="B28" s="331" t="str">
        <f ca="1">IF(ROWS($1:15)&gt;COUNT(Dong11),"",OFFSET(TH!D$1,SMALL(Dong11,ROWS($1:15)),))</f>
        <v/>
      </c>
      <c r="C28" s="332" t="str">
        <f ca="1">IF(ROWS($1:15)&gt;COUNT(Dong11),"",OFFSET(TH!E$1,SMALL(Dong11,ROWS($1:15)),))</f>
        <v/>
      </c>
      <c r="D28" s="333" t="str">
        <f ca="1">IF(ROWS($1:15)&gt;COUNT(Dong11),"",OFFSET(TH!H$1,SMALL(Dong11,ROWS($1:15)),))</f>
        <v/>
      </c>
      <c r="E28" s="331" t="str">
        <f ca="1">IF(ROWS($1:15)&gt;COUNT(Dong11),"",IF(OFFSET(TH!L$1,SMALL(Dong11,ROWS($1:15)),)=$G$7,OFFSET(TH!M$1,SMALL(Dong11,ROWS($1:15)),),OFFSET(TH!L$1,SMALL(Dong11,ROWS($1:15)),)))</f>
        <v/>
      </c>
      <c r="F28" s="334">
        <f ca="1">IF(ROWS($1:15)&gt;COUNT(Dong11),0,OFFSET(TH!J$1,SMALL(Dong11,ROWS($1:15)),))</f>
        <v>0</v>
      </c>
      <c r="G28" s="334">
        <f ca="1">IF(ROWS($1:15)&gt;COUNT(Dong11),0,IF(MID(OFFSET(TH!D$1,SMALL(Dong11,ROWS($1:15)),),4,1)="N",OFFSET(TH!I$1,SMALL(Dong11,ROWS($1:15)),),0))</f>
        <v>0</v>
      </c>
      <c r="H28" s="335">
        <f t="shared" ca="1" si="6"/>
        <v>0</v>
      </c>
      <c r="I28" s="334">
        <f ca="1">IF(ROWS($1:15)&gt;COUNT(Dong11),0,IF(MID(OFFSET(TH!D$1,SMALL(Dong11,ROWS($1:15)),),4,1)="X",OFFSET(TH!I$1,SMALL(Dong11,ROWS($1:15)),),0))</f>
        <v>0</v>
      </c>
      <c r="J28" s="335">
        <f t="shared" ca="1" si="7"/>
        <v>0</v>
      </c>
      <c r="K28" s="335">
        <f t="shared" ca="1" si="8"/>
        <v>0</v>
      </c>
      <c r="L28" s="335">
        <f t="shared" ca="1" si="9"/>
        <v>0</v>
      </c>
      <c r="M28" s="335"/>
      <c r="N28" s="325"/>
    </row>
    <row r="29" spans="1:16">
      <c r="A29" s="296" t="str">
        <f t="shared" ca="1" si="5"/>
        <v/>
      </c>
      <c r="B29" s="331" t="str">
        <f ca="1">IF(ROWS($1:16)&gt;COUNT(Dong11),"",OFFSET(TH!D$1,SMALL(Dong11,ROWS($1:16)),))</f>
        <v/>
      </c>
      <c r="C29" s="332" t="str">
        <f ca="1">IF(ROWS($1:16)&gt;COUNT(Dong11),"",OFFSET(TH!E$1,SMALL(Dong11,ROWS($1:16)),))</f>
        <v/>
      </c>
      <c r="D29" s="333" t="str">
        <f ca="1">IF(ROWS($1:16)&gt;COUNT(Dong11),"",OFFSET(TH!H$1,SMALL(Dong11,ROWS($1:16)),))</f>
        <v/>
      </c>
      <c r="E29" s="331" t="str">
        <f ca="1">IF(ROWS($1:16)&gt;COUNT(Dong11),"",IF(OFFSET(TH!L$1,SMALL(Dong11,ROWS($1:16)),)=$G$7,OFFSET(TH!M$1,SMALL(Dong11,ROWS($1:16)),),OFFSET(TH!L$1,SMALL(Dong11,ROWS($1:16)),)))</f>
        <v/>
      </c>
      <c r="F29" s="334">
        <f ca="1">IF(ROWS($1:16)&gt;COUNT(Dong11),0,OFFSET(TH!J$1,SMALL(Dong11,ROWS($1:16)),))</f>
        <v>0</v>
      </c>
      <c r="G29" s="334">
        <f ca="1">IF(ROWS($1:16)&gt;COUNT(Dong11),0,IF(MID(OFFSET(TH!D$1,SMALL(Dong11,ROWS($1:16)),),4,1)="N",OFFSET(TH!I$1,SMALL(Dong11,ROWS($1:16)),),0))</f>
        <v>0</v>
      </c>
      <c r="H29" s="335">
        <f t="shared" ca="1" si="6"/>
        <v>0</v>
      </c>
      <c r="I29" s="334">
        <f ca="1">IF(ROWS($1:16)&gt;COUNT(Dong11),0,IF(MID(OFFSET(TH!D$1,SMALL(Dong11,ROWS($1:16)),),4,1)="X",OFFSET(TH!I$1,SMALL(Dong11,ROWS($1:16)),),0))</f>
        <v>0</v>
      </c>
      <c r="J29" s="335">
        <f t="shared" ca="1" si="7"/>
        <v>0</v>
      </c>
      <c r="K29" s="335">
        <f t="shared" ca="1" si="8"/>
        <v>0</v>
      </c>
      <c r="L29" s="335">
        <f t="shared" ca="1" si="9"/>
        <v>0</v>
      </c>
      <c r="M29" s="335"/>
      <c r="N29" s="325"/>
    </row>
    <row r="30" spans="1:16">
      <c r="A30" s="296" t="str">
        <f t="shared" ca="1" si="5"/>
        <v/>
      </c>
      <c r="B30" s="331" t="str">
        <f ca="1">IF(ROWS($1:17)&gt;COUNT(Dong11),"",OFFSET(TH!D$1,SMALL(Dong11,ROWS($1:17)),))</f>
        <v/>
      </c>
      <c r="C30" s="332" t="str">
        <f ca="1">IF(ROWS($1:17)&gt;COUNT(Dong11),"",OFFSET(TH!E$1,SMALL(Dong11,ROWS($1:17)),))</f>
        <v/>
      </c>
      <c r="D30" s="333" t="str">
        <f ca="1">IF(ROWS($1:17)&gt;COUNT(Dong11),"",OFFSET(TH!H$1,SMALL(Dong11,ROWS($1:17)),))</f>
        <v/>
      </c>
      <c r="E30" s="331" t="str">
        <f ca="1">IF(ROWS($1:17)&gt;COUNT(Dong11),"",IF(OFFSET(TH!L$1,SMALL(Dong11,ROWS($1:17)),)=$G$7,OFFSET(TH!M$1,SMALL(Dong11,ROWS($1:17)),),OFFSET(TH!L$1,SMALL(Dong11,ROWS($1:17)),)))</f>
        <v/>
      </c>
      <c r="F30" s="334">
        <f ca="1">IF(ROWS($1:17)&gt;COUNT(Dong11),0,OFFSET(TH!J$1,SMALL(Dong11,ROWS($1:17)),))</f>
        <v>0</v>
      </c>
      <c r="G30" s="334">
        <f ca="1">IF(ROWS($1:17)&gt;COUNT(Dong11),0,IF(MID(OFFSET(TH!D$1,SMALL(Dong11,ROWS($1:17)),),4,1)="N",OFFSET(TH!I$1,SMALL(Dong11,ROWS($1:17)),),0))</f>
        <v>0</v>
      </c>
      <c r="H30" s="335">
        <f t="shared" ca="1" si="6"/>
        <v>0</v>
      </c>
      <c r="I30" s="334">
        <f ca="1">IF(ROWS($1:17)&gt;COUNT(Dong11),0,IF(MID(OFFSET(TH!D$1,SMALL(Dong11,ROWS($1:17)),),4,1)="X",OFFSET(TH!I$1,SMALL(Dong11,ROWS($1:17)),),0))</f>
        <v>0</v>
      </c>
      <c r="J30" s="335">
        <f t="shared" ca="1" si="7"/>
        <v>0</v>
      </c>
      <c r="K30" s="335">
        <f t="shared" ca="1" si="8"/>
        <v>0</v>
      </c>
      <c r="L30" s="335">
        <f t="shared" ca="1" si="9"/>
        <v>0</v>
      </c>
      <c r="M30" s="335"/>
      <c r="N30" s="325"/>
    </row>
    <row r="31" spans="1:16">
      <c r="A31" s="296" t="str">
        <f t="shared" ca="1" si="5"/>
        <v/>
      </c>
      <c r="B31" s="331" t="str">
        <f ca="1">IF(ROWS($1:18)&gt;COUNT(Dong11),"",OFFSET(TH!D$1,SMALL(Dong11,ROWS($1:18)),))</f>
        <v/>
      </c>
      <c r="C31" s="332" t="str">
        <f ca="1">IF(ROWS($1:18)&gt;COUNT(Dong11),"",OFFSET(TH!E$1,SMALL(Dong11,ROWS($1:18)),))</f>
        <v/>
      </c>
      <c r="D31" s="333" t="str">
        <f ca="1">IF(ROWS($1:18)&gt;COUNT(Dong11),"",OFFSET(TH!H$1,SMALL(Dong11,ROWS($1:18)),))</f>
        <v/>
      </c>
      <c r="E31" s="331" t="str">
        <f ca="1">IF(ROWS($1:18)&gt;COUNT(Dong11),"",IF(OFFSET(TH!L$1,SMALL(Dong11,ROWS($1:18)),)=$G$7,OFFSET(TH!M$1,SMALL(Dong11,ROWS($1:18)),),OFFSET(TH!L$1,SMALL(Dong11,ROWS($1:18)),)))</f>
        <v/>
      </c>
      <c r="F31" s="334">
        <f ca="1">IF(ROWS($1:18)&gt;COUNT(Dong11),0,OFFSET(TH!J$1,SMALL(Dong11,ROWS($1:18)),))</f>
        <v>0</v>
      </c>
      <c r="G31" s="334">
        <f ca="1">IF(ROWS($1:18)&gt;COUNT(Dong11),0,IF(MID(OFFSET(TH!D$1,SMALL(Dong11,ROWS($1:18)),),4,1)="N",OFFSET(TH!I$1,SMALL(Dong11,ROWS($1:18)),),0))</f>
        <v>0</v>
      </c>
      <c r="H31" s="335">
        <f t="shared" ca="1" si="6"/>
        <v>0</v>
      </c>
      <c r="I31" s="334">
        <f ca="1">IF(ROWS($1:18)&gt;COUNT(Dong11),0,IF(MID(OFFSET(TH!D$1,SMALL(Dong11,ROWS($1:18)),),4,1)="X",OFFSET(TH!I$1,SMALL(Dong11,ROWS($1:18)),),0))</f>
        <v>0</v>
      </c>
      <c r="J31" s="335">
        <f t="shared" ca="1" si="7"/>
        <v>0</v>
      </c>
      <c r="K31" s="335">
        <f t="shared" ca="1" si="8"/>
        <v>0</v>
      </c>
      <c r="L31" s="335">
        <f t="shared" ca="1" si="9"/>
        <v>0</v>
      </c>
      <c r="M31" s="335"/>
      <c r="N31" s="325"/>
    </row>
    <row r="32" spans="1:16">
      <c r="A32" s="296" t="str">
        <f t="shared" ca="1" si="5"/>
        <v/>
      </c>
      <c r="B32" s="331" t="str">
        <f ca="1">IF(ROWS($1:19)&gt;COUNT(Dong11),"",OFFSET(TH!D$1,SMALL(Dong11,ROWS($1:19)),))</f>
        <v/>
      </c>
      <c r="C32" s="332" t="str">
        <f ca="1">IF(ROWS($1:19)&gt;COUNT(Dong11),"",OFFSET(TH!E$1,SMALL(Dong11,ROWS($1:19)),))</f>
        <v/>
      </c>
      <c r="D32" s="333" t="str">
        <f ca="1">IF(ROWS($1:19)&gt;COUNT(Dong11),"",OFFSET(TH!H$1,SMALL(Dong11,ROWS($1:19)),))</f>
        <v/>
      </c>
      <c r="E32" s="331" t="str">
        <f ca="1">IF(ROWS($1:19)&gt;COUNT(Dong11),"",IF(OFFSET(TH!L$1,SMALL(Dong11,ROWS($1:19)),)=$G$7,OFFSET(TH!M$1,SMALL(Dong11,ROWS($1:19)),),OFFSET(TH!L$1,SMALL(Dong11,ROWS($1:19)),)))</f>
        <v/>
      </c>
      <c r="F32" s="334">
        <f ca="1">IF(ROWS($1:19)&gt;COUNT(Dong11),0,OFFSET(TH!J$1,SMALL(Dong11,ROWS($1:19)),))</f>
        <v>0</v>
      </c>
      <c r="G32" s="334">
        <f ca="1">IF(ROWS($1:19)&gt;COUNT(Dong11),0,IF(MID(OFFSET(TH!D$1,SMALL(Dong11,ROWS($1:19)),),4,1)="N",OFFSET(TH!I$1,SMALL(Dong11,ROWS($1:19)),),0))</f>
        <v>0</v>
      </c>
      <c r="H32" s="335">
        <f t="shared" ca="1" si="6"/>
        <v>0</v>
      </c>
      <c r="I32" s="334">
        <f ca="1">IF(ROWS($1:19)&gt;COUNT(Dong11),0,IF(MID(OFFSET(TH!D$1,SMALL(Dong11,ROWS($1:19)),),4,1)="X",OFFSET(TH!I$1,SMALL(Dong11,ROWS($1:19)),),0))</f>
        <v>0</v>
      </c>
      <c r="J32" s="335">
        <f t="shared" ca="1" si="7"/>
        <v>0</v>
      </c>
      <c r="K32" s="335">
        <f t="shared" ca="1" si="8"/>
        <v>0</v>
      </c>
      <c r="L32" s="335">
        <f t="shared" ca="1" si="9"/>
        <v>0</v>
      </c>
      <c r="M32" s="335"/>
      <c r="N32" s="325"/>
    </row>
    <row r="33" spans="1:14">
      <c r="A33" s="296" t="str">
        <f t="shared" ca="1" si="5"/>
        <v/>
      </c>
      <c r="B33" s="331" t="str">
        <f ca="1">IF(ROWS($1:20)&gt;COUNT(Dong11),"",OFFSET(TH!D$1,SMALL(Dong11,ROWS($1:20)),))</f>
        <v/>
      </c>
      <c r="C33" s="332" t="str">
        <f ca="1">IF(ROWS($1:20)&gt;COUNT(Dong11),"",OFFSET(TH!E$1,SMALL(Dong11,ROWS($1:20)),))</f>
        <v/>
      </c>
      <c r="D33" s="333" t="str">
        <f ca="1">IF(ROWS($1:20)&gt;COUNT(Dong11),"",OFFSET(TH!H$1,SMALL(Dong11,ROWS($1:20)),))</f>
        <v/>
      </c>
      <c r="E33" s="331" t="str">
        <f ca="1">IF(ROWS($1:20)&gt;COUNT(Dong11),"",IF(OFFSET(TH!L$1,SMALL(Dong11,ROWS($1:20)),)=$G$7,OFFSET(TH!M$1,SMALL(Dong11,ROWS($1:20)),),OFFSET(TH!L$1,SMALL(Dong11,ROWS($1:20)),)))</f>
        <v/>
      </c>
      <c r="F33" s="334">
        <f ca="1">IF(ROWS($1:20)&gt;COUNT(Dong11),0,OFFSET(TH!J$1,SMALL(Dong11,ROWS($1:20)),))</f>
        <v>0</v>
      </c>
      <c r="G33" s="334">
        <f ca="1">IF(ROWS($1:20)&gt;COUNT(Dong11),0,IF(MID(OFFSET(TH!D$1,SMALL(Dong11,ROWS($1:20)),),4,1)="N",OFFSET(TH!I$1,SMALL(Dong11,ROWS($1:20)),),0))</f>
        <v>0</v>
      </c>
      <c r="H33" s="335">
        <f t="shared" ca="1" si="6"/>
        <v>0</v>
      </c>
      <c r="I33" s="334">
        <f ca="1">IF(ROWS($1:20)&gt;COUNT(Dong11),0,IF(MID(OFFSET(TH!D$1,SMALL(Dong11,ROWS($1:20)),),4,1)="X",OFFSET(TH!I$1,SMALL(Dong11,ROWS($1:20)),),0))</f>
        <v>0</v>
      </c>
      <c r="J33" s="335">
        <f t="shared" ca="1" si="7"/>
        <v>0</v>
      </c>
      <c r="K33" s="335">
        <f t="shared" ca="1" si="8"/>
        <v>0</v>
      </c>
      <c r="L33" s="335">
        <f t="shared" ca="1" si="9"/>
        <v>0</v>
      </c>
      <c r="M33" s="335"/>
      <c r="N33" s="325"/>
    </row>
    <row r="34" spans="1:14">
      <c r="A34" s="296" t="str">
        <f t="shared" ca="1" si="5"/>
        <v/>
      </c>
      <c r="B34" s="331" t="str">
        <f ca="1">IF(ROWS($1:21)&gt;COUNT(Dong11),"",OFFSET(TH!D$1,SMALL(Dong11,ROWS($1:21)),))</f>
        <v/>
      </c>
      <c r="C34" s="332" t="str">
        <f ca="1">IF(ROWS($1:21)&gt;COUNT(Dong11),"",OFFSET(TH!E$1,SMALL(Dong11,ROWS($1:21)),))</f>
        <v/>
      </c>
      <c r="D34" s="333" t="str">
        <f ca="1">IF(ROWS($1:21)&gt;COUNT(Dong11),"",OFFSET(TH!H$1,SMALL(Dong11,ROWS($1:21)),))</f>
        <v/>
      </c>
      <c r="E34" s="331" t="str">
        <f ca="1">IF(ROWS($1:21)&gt;COUNT(Dong11),"",IF(OFFSET(TH!L$1,SMALL(Dong11,ROWS($1:21)),)=$G$7,OFFSET(TH!M$1,SMALL(Dong11,ROWS($1:21)),),OFFSET(TH!L$1,SMALL(Dong11,ROWS($1:21)),)))</f>
        <v/>
      </c>
      <c r="F34" s="334">
        <f ca="1">IF(ROWS($1:21)&gt;COUNT(Dong11),0,OFFSET(TH!J$1,SMALL(Dong11,ROWS($1:21)),))</f>
        <v>0</v>
      </c>
      <c r="G34" s="334">
        <f ca="1">IF(ROWS($1:21)&gt;COUNT(Dong11),0,IF(MID(OFFSET(TH!D$1,SMALL(Dong11,ROWS($1:21)),),4,1)="N",OFFSET(TH!I$1,SMALL(Dong11,ROWS($1:21)),),0))</f>
        <v>0</v>
      </c>
      <c r="H34" s="335">
        <f t="shared" ca="1" si="6"/>
        <v>0</v>
      </c>
      <c r="I34" s="334">
        <f ca="1">IF(ROWS($1:21)&gt;COUNT(Dong11),0,IF(MID(OFFSET(TH!D$1,SMALL(Dong11,ROWS($1:21)),),4,1)="X",OFFSET(TH!I$1,SMALL(Dong11,ROWS($1:21)),),0))</f>
        <v>0</v>
      </c>
      <c r="J34" s="335">
        <f t="shared" ca="1" si="7"/>
        <v>0</v>
      </c>
      <c r="K34" s="335">
        <f t="shared" ca="1" si="8"/>
        <v>0</v>
      </c>
      <c r="L34" s="335">
        <f t="shared" ca="1" si="9"/>
        <v>0</v>
      </c>
      <c r="M34" s="335"/>
      <c r="N34" s="325"/>
    </row>
    <row r="35" spans="1:14">
      <c r="A35" s="296" t="str">
        <f t="shared" ca="1" si="5"/>
        <v/>
      </c>
      <c r="B35" s="331" t="str">
        <f ca="1">IF(ROWS($1:22)&gt;COUNT(Dong11),"",OFFSET(TH!D$1,SMALL(Dong11,ROWS($1:22)),))</f>
        <v/>
      </c>
      <c r="C35" s="332" t="str">
        <f ca="1">IF(ROWS($1:22)&gt;COUNT(Dong11),"",OFFSET(TH!E$1,SMALL(Dong11,ROWS($1:22)),))</f>
        <v/>
      </c>
      <c r="D35" s="333" t="str">
        <f ca="1">IF(ROWS($1:22)&gt;COUNT(Dong11),"",OFFSET(TH!H$1,SMALL(Dong11,ROWS($1:22)),))</f>
        <v/>
      </c>
      <c r="E35" s="331" t="str">
        <f ca="1">IF(ROWS($1:22)&gt;COUNT(Dong11),"",IF(OFFSET(TH!L$1,SMALL(Dong11,ROWS($1:22)),)=$G$7,OFFSET(TH!M$1,SMALL(Dong11,ROWS($1:22)),),OFFSET(TH!L$1,SMALL(Dong11,ROWS($1:22)),)))</f>
        <v/>
      </c>
      <c r="F35" s="334">
        <f ca="1">IF(ROWS($1:22)&gt;COUNT(Dong11),0,OFFSET(TH!J$1,SMALL(Dong11,ROWS($1:22)),))</f>
        <v>0</v>
      </c>
      <c r="G35" s="334">
        <f ca="1">IF(ROWS($1:22)&gt;COUNT(Dong11),0,IF(MID(OFFSET(TH!D$1,SMALL(Dong11,ROWS($1:22)),),4,1)="N",OFFSET(TH!I$1,SMALL(Dong11,ROWS($1:22)),),0))</f>
        <v>0</v>
      </c>
      <c r="H35" s="335">
        <f t="shared" ca="1" si="6"/>
        <v>0</v>
      </c>
      <c r="I35" s="334">
        <f ca="1">IF(ROWS($1:22)&gt;COUNT(Dong11),0,IF(MID(OFFSET(TH!D$1,SMALL(Dong11,ROWS($1:22)),),4,1)="X",OFFSET(TH!I$1,SMALL(Dong11,ROWS($1:22)),),0))</f>
        <v>0</v>
      </c>
      <c r="J35" s="335">
        <f t="shared" ca="1" si="7"/>
        <v>0</v>
      </c>
      <c r="K35" s="335">
        <f t="shared" ca="1" si="8"/>
        <v>0</v>
      </c>
      <c r="L35" s="335">
        <f t="shared" ca="1" si="9"/>
        <v>0</v>
      </c>
      <c r="M35" s="335"/>
      <c r="N35" s="325"/>
    </row>
    <row r="36" spans="1:14">
      <c r="A36" s="296" t="str">
        <f t="shared" ca="1" si="5"/>
        <v/>
      </c>
      <c r="B36" s="331" t="str">
        <f ca="1">IF(ROWS($1:23)&gt;COUNT(Dong11),"",OFFSET(TH!D$1,SMALL(Dong11,ROWS($1:23)),))</f>
        <v/>
      </c>
      <c r="C36" s="332" t="str">
        <f ca="1">IF(ROWS($1:23)&gt;COUNT(Dong11),"",OFFSET(TH!E$1,SMALL(Dong11,ROWS($1:23)),))</f>
        <v/>
      </c>
      <c r="D36" s="333" t="str">
        <f ca="1">IF(ROWS($1:23)&gt;COUNT(Dong11),"",OFFSET(TH!H$1,SMALL(Dong11,ROWS($1:23)),))</f>
        <v/>
      </c>
      <c r="E36" s="331" t="str">
        <f ca="1">IF(ROWS($1:23)&gt;COUNT(Dong11),"",IF(OFFSET(TH!L$1,SMALL(Dong11,ROWS($1:23)),)=$G$7,OFFSET(TH!M$1,SMALL(Dong11,ROWS($1:23)),),OFFSET(TH!L$1,SMALL(Dong11,ROWS($1:23)),)))</f>
        <v/>
      </c>
      <c r="F36" s="334">
        <f ca="1">IF(ROWS($1:23)&gt;COUNT(Dong11),0,OFFSET(TH!J$1,SMALL(Dong11,ROWS($1:23)),))</f>
        <v>0</v>
      </c>
      <c r="G36" s="334">
        <f ca="1">IF(ROWS($1:23)&gt;COUNT(Dong11),0,IF(MID(OFFSET(TH!D$1,SMALL(Dong11,ROWS($1:23)),),4,1)="N",OFFSET(TH!I$1,SMALL(Dong11,ROWS($1:23)),),0))</f>
        <v>0</v>
      </c>
      <c r="H36" s="335">
        <f t="shared" ca="1" si="6"/>
        <v>0</v>
      </c>
      <c r="I36" s="334">
        <f ca="1">IF(ROWS($1:23)&gt;COUNT(Dong11),0,IF(MID(OFFSET(TH!D$1,SMALL(Dong11,ROWS($1:23)),),4,1)="X",OFFSET(TH!I$1,SMALL(Dong11,ROWS($1:23)),),0))</f>
        <v>0</v>
      </c>
      <c r="J36" s="335">
        <f t="shared" ca="1" si="7"/>
        <v>0</v>
      </c>
      <c r="K36" s="335">
        <f t="shared" ca="1" si="8"/>
        <v>0</v>
      </c>
      <c r="L36" s="335">
        <f t="shared" ca="1" si="9"/>
        <v>0</v>
      </c>
      <c r="M36" s="335"/>
      <c r="N36" s="325"/>
    </row>
    <row r="37" spans="1:14">
      <c r="A37" s="296" t="str">
        <f t="shared" ca="1" si="5"/>
        <v/>
      </c>
      <c r="B37" s="331" t="str">
        <f ca="1">IF(ROWS($1:24)&gt;COUNT(Dong11),"",OFFSET(TH!D$1,SMALL(Dong11,ROWS($1:24)),))</f>
        <v/>
      </c>
      <c r="C37" s="332" t="str">
        <f ca="1">IF(ROWS($1:24)&gt;COUNT(Dong11),"",OFFSET(TH!E$1,SMALL(Dong11,ROWS($1:24)),))</f>
        <v/>
      </c>
      <c r="D37" s="333" t="str">
        <f ca="1">IF(ROWS($1:24)&gt;COUNT(Dong11),"",OFFSET(TH!H$1,SMALL(Dong11,ROWS($1:24)),))</f>
        <v/>
      </c>
      <c r="E37" s="331" t="str">
        <f ca="1">IF(ROWS($1:24)&gt;COUNT(Dong11),"",IF(OFFSET(TH!L$1,SMALL(Dong11,ROWS($1:24)),)=$G$7,OFFSET(TH!M$1,SMALL(Dong11,ROWS($1:24)),),OFFSET(TH!L$1,SMALL(Dong11,ROWS($1:24)),)))</f>
        <v/>
      </c>
      <c r="F37" s="334">
        <f ca="1">IF(ROWS($1:24)&gt;COUNT(Dong11),0,OFFSET(TH!J$1,SMALL(Dong11,ROWS($1:24)),))</f>
        <v>0</v>
      </c>
      <c r="G37" s="334">
        <f ca="1">IF(ROWS($1:24)&gt;COUNT(Dong11),0,IF(MID(OFFSET(TH!D$1,SMALL(Dong11,ROWS($1:24)),),4,1)="N",OFFSET(TH!I$1,SMALL(Dong11,ROWS($1:24)),),0))</f>
        <v>0</v>
      </c>
      <c r="H37" s="335">
        <f t="shared" ca="1" si="6"/>
        <v>0</v>
      </c>
      <c r="I37" s="334">
        <f ca="1">IF(ROWS($1:24)&gt;COUNT(Dong11),0,IF(MID(OFFSET(TH!D$1,SMALL(Dong11,ROWS($1:24)),),4,1)="X",OFFSET(TH!I$1,SMALL(Dong11,ROWS($1:24)),),0))</f>
        <v>0</v>
      </c>
      <c r="J37" s="335">
        <f t="shared" ca="1" si="7"/>
        <v>0</v>
      </c>
      <c r="K37" s="335">
        <f t="shared" ca="1" si="8"/>
        <v>0</v>
      </c>
      <c r="L37" s="335">
        <f t="shared" ca="1" si="9"/>
        <v>0</v>
      </c>
      <c r="M37" s="335"/>
      <c r="N37" s="325"/>
    </row>
    <row r="38" spans="1:14">
      <c r="A38" s="296" t="str">
        <f t="shared" ca="1" si="5"/>
        <v/>
      </c>
      <c r="B38" s="331" t="str">
        <f ca="1">IF(ROWS($1:25)&gt;COUNT(Dong11),"",OFFSET(TH!D$1,SMALL(Dong11,ROWS($1:25)),))</f>
        <v/>
      </c>
      <c r="C38" s="332" t="str">
        <f ca="1">IF(ROWS($1:25)&gt;COUNT(Dong11),"",OFFSET(TH!E$1,SMALL(Dong11,ROWS($1:25)),))</f>
        <v/>
      </c>
      <c r="D38" s="333" t="str">
        <f ca="1">IF(ROWS($1:25)&gt;COUNT(Dong11),"",OFFSET(TH!H$1,SMALL(Dong11,ROWS($1:25)),))</f>
        <v/>
      </c>
      <c r="E38" s="331" t="str">
        <f ca="1">IF(ROWS($1:25)&gt;COUNT(Dong11),"",IF(OFFSET(TH!L$1,SMALL(Dong11,ROWS($1:25)),)=$G$7,OFFSET(TH!M$1,SMALL(Dong11,ROWS($1:25)),),OFFSET(TH!L$1,SMALL(Dong11,ROWS($1:25)),)))</f>
        <v/>
      </c>
      <c r="F38" s="334">
        <f ca="1">IF(ROWS($1:25)&gt;COUNT(Dong11),0,OFFSET(TH!J$1,SMALL(Dong11,ROWS($1:25)),))</f>
        <v>0</v>
      </c>
      <c r="G38" s="334">
        <f ca="1">IF(ROWS($1:25)&gt;COUNT(Dong11),0,IF(MID(OFFSET(TH!D$1,SMALL(Dong11,ROWS($1:25)),),4,1)="N",OFFSET(TH!I$1,SMALL(Dong11,ROWS($1:25)),),0))</f>
        <v>0</v>
      </c>
      <c r="H38" s="335">
        <f t="shared" ca="1" si="6"/>
        <v>0</v>
      </c>
      <c r="I38" s="334">
        <f ca="1">IF(ROWS($1:25)&gt;COUNT(Dong11),0,IF(MID(OFFSET(TH!D$1,SMALL(Dong11,ROWS($1:25)),),4,1)="X",OFFSET(TH!I$1,SMALL(Dong11,ROWS($1:25)),),0))</f>
        <v>0</v>
      </c>
      <c r="J38" s="335">
        <f t="shared" ca="1" si="7"/>
        <v>0</v>
      </c>
      <c r="K38" s="335">
        <f t="shared" ca="1" si="8"/>
        <v>0</v>
      </c>
      <c r="L38" s="335">
        <f t="shared" ca="1" si="9"/>
        <v>0</v>
      </c>
      <c r="M38" s="335"/>
      <c r="N38" s="325"/>
    </row>
    <row r="39" spans="1:14">
      <c r="A39" s="296" t="str">
        <f t="shared" ref="A39:A62" ca="1" si="10">IF(B39="","",A38+1)</f>
        <v/>
      </c>
      <c r="B39" s="331" t="str">
        <f ca="1">IF(ROWS($1:26)&gt;COUNT(Dong11),"",OFFSET(TH!D$1,SMALL(Dong11,ROWS($1:26)),))</f>
        <v/>
      </c>
      <c r="C39" s="332" t="str">
        <f ca="1">IF(ROWS($1:26)&gt;COUNT(Dong11),"",OFFSET(TH!E$1,SMALL(Dong11,ROWS($1:26)),))</f>
        <v/>
      </c>
      <c r="D39" s="333" t="str">
        <f ca="1">IF(ROWS($1:26)&gt;COUNT(Dong11),"",OFFSET(TH!H$1,SMALL(Dong11,ROWS($1:26)),))</f>
        <v/>
      </c>
      <c r="E39" s="331" t="str">
        <f ca="1">IF(ROWS($1:26)&gt;COUNT(Dong11),"",IF(OFFSET(TH!L$1,SMALL(Dong11,ROWS($1:26)),)=$G$7,OFFSET(TH!M$1,SMALL(Dong11,ROWS($1:26)),),OFFSET(TH!L$1,SMALL(Dong11,ROWS($1:26)),)))</f>
        <v/>
      </c>
      <c r="F39" s="334">
        <f ca="1">IF(ROWS($1:26)&gt;COUNT(Dong11),0,OFFSET(TH!J$1,SMALL(Dong11,ROWS($1:26)),))</f>
        <v>0</v>
      </c>
      <c r="G39" s="334">
        <f ca="1">IF(ROWS($1:26)&gt;COUNT(Dong11),0,IF(MID(OFFSET(TH!D$1,SMALL(Dong11,ROWS($1:26)),),4,1)="N",OFFSET(TH!I$1,SMALL(Dong11,ROWS($1:26)),),0))</f>
        <v>0</v>
      </c>
      <c r="H39" s="335">
        <f t="shared" ref="H39:H62" ca="1" si="11">ROUND(F39*G39,0)</f>
        <v>0</v>
      </c>
      <c r="I39" s="334">
        <f ca="1">IF(ROWS($1:26)&gt;COUNT(Dong11),0,IF(MID(OFFSET(TH!D$1,SMALL(Dong11,ROWS($1:26)),),4,1)="X",OFFSET(TH!I$1,SMALL(Dong11,ROWS($1:26)),),0))</f>
        <v>0</v>
      </c>
      <c r="J39" s="335">
        <f t="shared" ref="J39:J62" ca="1" si="12">ROUND(F39*I39,0)</f>
        <v>0</v>
      </c>
      <c r="K39" s="335">
        <f t="shared" ref="K39:K62" ca="1" si="13">IF(D39&lt;&gt;"",K38+G39-I39,0)</f>
        <v>0</v>
      </c>
      <c r="L39" s="335">
        <f t="shared" ref="L39:L62" ca="1" si="14">IF(D39&lt;&gt;"",L38+H39-J39,0)</f>
        <v>0</v>
      </c>
      <c r="M39" s="335"/>
      <c r="N39" s="325"/>
    </row>
    <row r="40" spans="1:14">
      <c r="A40" s="296" t="str">
        <f t="shared" ca="1" si="10"/>
        <v/>
      </c>
      <c r="B40" s="331" t="str">
        <f ca="1">IF(ROWS($1:27)&gt;COUNT(Dong11),"",OFFSET(TH!D$1,SMALL(Dong11,ROWS($1:27)),))</f>
        <v/>
      </c>
      <c r="C40" s="332" t="str">
        <f ca="1">IF(ROWS($1:27)&gt;COUNT(Dong11),"",OFFSET(TH!E$1,SMALL(Dong11,ROWS($1:27)),))</f>
        <v/>
      </c>
      <c r="D40" s="333" t="str">
        <f ca="1">IF(ROWS($1:27)&gt;COUNT(Dong11),"",OFFSET(TH!H$1,SMALL(Dong11,ROWS($1:27)),))</f>
        <v/>
      </c>
      <c r="E40" s="331" t="str">
        <f ca="1">IF(ROWS($1:27)&gt;COUNT(Dong11),"",IF(OFFSET(TH!L$1,SMALL(Dong11,ROWS($1:27)),)=$G$7,OFFSET(TH!M$1,SMALL(Dong11,ROWS($1:27)),),OFFSET(TH!L$1,SMALL(Dong11,ROWS($1:27)),)))</f>
        <v/>
      </c>
      <c r="F40" s="334">
        <f ca="1">IF(ROWS($1:27)&gt;COUNT(Dong11),0,OFFSET(TH!J$1,SMALL(Dong11,ROWS($1:27)),))</f>
        <v>0</v>
      </c>
      <c r="G40" s="334">
        <f ca="1">IF(ROWS($1:27)&gt;COUNT(Dong11),0,IF(MID(OFFSET(TH!D$1,SMALL(Dong11,ROWS($1:27)),),4,1)="N",OFFSET(TH!I$1,SMALL(Dong11,ROWS($1:27)),),0))</f>
        <v>0</v>
      </c>
      <c r="H40" s="335">
        <f t="shared" ca="1" si="11"/>
        <v>0</v>
      </c>
      <c r="I40" s="334">
        <f ca="1">IF(ROWS($1:27)&gt;COUNT(Dong11),0,IF(MID(OFFSET(TH!D$1,SMALL(Dong11,ROWS($1:27)),),4,1)="X",OFFSET(TH!I$1,SMALL(Dong11,ROWS($1:27)),),0))</f>
        <v>0</v>
      </c>
      <c r="J40" s="335">
        <f t="shared" ca="1" si="12"/>
        <v>0</v>
      </c>
      <c r="K40" s="335">
        <f t="shared" ca="1" si="13"/>
        <v>0</v>
      </c>
      <c r="L40" s="335">
        <f t="shared" ca="1" si="14"/>
        <v>0</v>
      </c>
      <c r="M40" s="335"/>
      <c r="N40" s="325"/>
    </row>
    <row r="41" spans="1:14">
      <c r="A41" s="296" t="str">
        <f t="shared" ca="1" si="10"/>
        <v/>
      </c>
      <c r="B41" s="331" t="str">
        <f ca="1">IF(ROWS($1:28)&gt;COUNT(Dong11),"",OFFSET(TH!D$1,SMALL(Dong11,ROWS($1:28)),))</f>
        <v/>
      </c>
      <c r="C41" s="332" t="str">
        <f ca="1">IF(ROWS($1:28)&gt;COUNT(Dong11),"",OFFSET(TH!E$1,SMALL(Dong11,ROWS($1:28)),))</f>
        <v/>
      </c>
      <c r="D41" s="333" t="str">
        <f ca="1">IF(ROWS($1:28)&gt;COUNT(Dong11),"",OFFSET(TH!H$1,SMALL(Dong11,ROWS($1:28)),))</f>
        <v/>
      </c>
      <c r="E41" s="331" t="str">
        <f ca="1">IF(ROWS($1:28)&gt;COUNT(Dong11),"",IF(OFFSET(TH!L$1,SMALL(Dong11,ROWS($1:28)),)=$G$7,OFFSET(TH!M$1,SMALL(Dong11,ROWS($1:28)),),OFFSET(TH!L$1,SMALL(Dong11,ROWS($1:28)),)))</f>
        <v/>
      </c>
      <c r="F41" s="334">
        <f ca="1">IF(ROWS($1:28)&gt;COUNT(Dong11),0,OFFSET(TH!J$1,SMALL(Dong11,ROWS($1:28)),))</f>
        <v>0</v>
      </c>
      <c r="G41" s="334">
        <f ca="1">IF(ROWS($1:28)&gt;COUNT(Dong11),0,IF(MID(OFFSET(TH!D$1,SMALL(Dong11,ROWS($1:28)),),4,1)="N",OFFSET(TH!I$1,SMALL(Dong11,ROWS($1:28)),),0))</f>
        <v>0</v>
      </c>
      <c r="H41" s="335">
        <f t="shared" ca="1" si="11"/>
        <v>0</v>
      </c>
      <c r="I41" s="334">
        <f ca="1">IF(ROWS($1:28)&gt;COUNT(Dong11),0,IF(MID(OFFSET(TH!D$1,SMALL(Dong11,ROWS($1:28)),),4,1)="X",OFFSET(TH!I$1,SMALL(Dong11,ROWS($1:28)),),0))</f>
        <v>0</v>
      </c>
      <c r="J41" s="335">
        <f t="shared" ca="1" si="12"/>
        <v>0</v>
      </c>
      <c r="K41" s="335">
        <f t="shared" ca="1" si="13"/>
        <v>0</v>
      </c>
      <c r="L41" s="335">
        <f t="shared" ca="1" si="14"/>
        <v>0</v>
      </c>
      <c r="M41" s="335"/>
      <c r="N41" s="325"/>
    </row>
    <row r="42" spans="1:14">
      <c r="A42" s="296" t="str">
        <f t="shared" ca="1" si="10"/>
        <v/>
      </c>
      <c r="B42" s="331" t="str">
        <f ca="1">IF(ROWS($1:29)&gt;COUNT(Dong11),"",OFFSET(TH!D$1,SMALL(Dong11,ROWS($1:29)),))</f>
        <v/>
      </c>
      <c r="C42" s="332" t="str">
        <f ca="1">IF(ROWS($1:29)&gt;COUNT(Dong11),"",OFFSET(TH!E$1,SMALL(Dong11,ROWS($1:29)),))</f>
        <v/>
      </c>
      <c r="D42" s="333" t="str">
        <f ca="1">IF(ROWS($1:29)&gt;COUNT(Dong11),"",OFFSET(TH!H$1,SMALL(Dong11,ROWS($1:29)),))</f>
        <v/>
      </c>
      <c r="E42" s="331" t="str">
        <f ca="1">IF(ROWS($1:29)&gt;COUNT(Dong11),"",IF(OFFSET(TH!L$1,SMALL(Dong11,ROWS($1:29)),)=$G$7,OFFSET(TH!M$1,SMALL(Dong11,ROWS($1:29)),),OFFSET(TH!L$1,SMALL(Dong11,ROWS($1:29)),)))</f>
        <v/>
      </c>
      <c r="F42" s="334">
        <f ca="1">IF(ROWS($1:29)&gt;COUNT(Dong11),0,OFFSET(TH!J$1,SMALL(Dong11,ROWS($1:29)),))</f>
        <v>0</v>
      </c>
      <c r="G42" s="334">
        <f ca="1">IF(ROWS($1:29)&gt;COUNT(Dong11),0,IF(MID(OFFSET(TH!D$1,SMALL(Dong11,ROWS($1:29)),),4,1)="N",OFFSET(TH!I$1,SMALL(Dong11,ROWS($1:29)),),0))</f>
        <v>0</v>
      </c>
      <c r="H42" s="335">
        <f t="shared" ca="1" si="11"/>
        <v>0</v>
      </c>
      <c r="I42" s="334">
        <f ca="1">IF(ROWS($1:29)&gt;COUNT(Dong11),0,IF(MID(OFFSET(TH!D$1,SMALL(Dong11,ROWS($1:29)),),4,1)="X",OFFSET(TH!I$1,SMALL(Dong11,ROWS($1:29)),),0))</f>
        <v>0</v>
      </c>
      <c r="J42" s="335">
        <f t="shared" ca="1" si="12"/>
        <v>0</v>
      </c>
      <c r="K42" s="335">
        <f t="shared" ca="1" si="13"/>
        <v>0</v>
      </c>
      <c r="L42" s="335">
        <f t="shared" ca="1" si="14"/>
        <v>0</v>
      </c>
      <c r="M42" s="335"/>
      <c r="N42" s="325"/>
    </row>
    <row r="43" spans="1:14">
      <c r="A43" s="296" t="str">
        <f t="shared" ca="1" si="10"/>
        <v/>
      </c>
      <c r="B43" s="331" t="str">
        <f ca="1">IF(ROWS($1:30)&gt;COUNT(Dong11),"",OFFSET(TH!D$1,SMALL(Dong11,ROWS($1:30)),))</f>
        <v/>
      </c>
      <c r="C43" s="332" t="str">
        <f ca="1">IF(ROWS($1:30)&gt;COUNT(Dong11),"",OFFSET(TH!E$1,SMALL(Dong11,ROWS($1:30)),))</f>
        <v/>
      </c>
      <c r="D43" s="333" t="str">
        <f ca="1">IF(ROWS($1:30)&gt;COUNT(Dong11),"",OFFSET(TH!H$1,SMALL(Dong11,ROWS($1:30)),))</f>
        <v/>
      </c>
      <c r="E43" s="331" t="str">
        <f ca="1">IF(ROWS($1:30)&gt;COUNT(Dong11),"",IF(OFFSET(TH!L$1,SMALL(Dong11,ROWS($1:30)),)=$G$7,OFFSET(TH!M$1,SMALL(Dong11,ROWS($1:30)),),OFFSET(TH!L$1,SMALL(Dong11,ROWS($1:30)),)))</f>
        <v/>
      </c>
      <c r="F43" s="334">
        <f ca="1">IF(ROWS($1:30)&gt;COUNT(Dong11),0,OFFSET(TH!J$1,SMALL(Dong11,ROWS($1:30)),))</f>
        <v>0</v>
      </c>
      <c r="G43" s="334">
        <f ca="1">IF(ROWS($1:30)&gt;COUNT(Dong11),0,IF(MID(OFFSET(TH!D$1,SMALL(Dong11,ROWS($1:30)),),4,1)="N",OFFSET(TH!I$1,SMALL(Dong11,ROWS($1:30)),),0))</f>
        <v>0</v>
      </c>
      <c r="H43" s="335">
        <f t="shared" ca="1" si="11"/>
        <v>0</v>
      </c>
      <c r="I43" s="334">
        <f ca="1">IF(ROWS($1:30)&gt;COUNT(Dong11),0,IF(MID(OFFSET(TH!D$1,SMALL(Dong11,ROWS($1:30)),),4,1)="X",OFFSET(TH!I$1,SMALL(Dong11,ROWS($1:30)),),0))</f>
        <v>0</v>
      </c>
      <c r="J43" s="335">
        <f t="shared" ca="1" si="12"/>
        <v>0</v>
      </c>
      <c r="K43" s="335">
        <f t="shared" ca="1" si="13"/>
        <v>0</v>
      </c>
      <c r="L43" s="335">
        <f t="shared" ca="1" si="14"/>
        <v>0</v>
      </c>
      <c r="M43" s="335"/>
      <c r="N43" s="325"/>
    </row>
    <row r="44" spans="1:14">
      <c r="A44" s="296" t="str">
        <f t="shared" ca="1" si="10"/>
        <v/>
      </c>
      <c r="B44" s="331" t="str">
        <f ca="1">IF(ROWS($1:31)&gt;COUNT(Dong11),"",OFFSET(TH!D$1,SMALL(Dong11,ROWS($1:31)),))</f>
        <v/>
      </c>
      <c r="C44" s="332" t="str">
        <f ca="1">IF(ROWS($1:31)&gt;COUNT(Dong11),"",OFFSET(TH!E$1,SMALL(Dong11,ROWS($1:31)),))</f>
        <v/>
      </c>
      <c r="D44" s="333" t="str">
        <f ca="1">IF(ROWS($1:31)&gt;COUNT(Dong11),"",OFFSET(TH!H$1,SMALL(Dong11,ROWS($1:31)),))</f>
        <v/>
      </c>
      <c r="E44" s="331" t="str">
        <f ca="1">IF(ROWS($1:31)&gt;COUNT(Dong11),"",IF(OFFSET(TH!L$1,SMALL(Dong11,ROWS($1:31)),)=$G$7,OFFSET(TH!M$1,SMALL(Dong11,ROWS($1:31)),),OFFSET(TH!L$1,SMALL(Dong11,ROWS($1:31)),)))</f>
        <v/>
      </c>
      <c r="F44" s="334">
        <f ca="1">IF(ROWS($1:31)&gt;COUNT(Dong11),0,OFFSET(TH!J$1,SMALL(Dong11,ROWS($1:31)),))</f>
        <v>0</v>
      </c>
      <c r="G44" s="334">
        <f ca="1">IF(ROWS($1:31)&gt;COUNT(Dong11),0,IF(MID(OFFSET(TH!D$1,SMALL(Dong11,ROWS($1:31)),),4,1)="N",OFFSET(TH!I$1,SMALL(Dong11,ROWS($1:31)),),0))</f>
        <v>0</v>
      </c>
      <c r="H44" s="335">
        <f t="shared" ca="1" si="11"/>
        <v>0</v>
      </c>
      <c r="I44" s="334">
        <f ca="1">IF(ROWS($1:31)&gt;COUNT(Dong11),0,IF(MID(OFFSET(TH!D$1,SMALL(Dong11,ROWS($1:31)),),4,1)="X",OFFSET(TH!I$1,SMALL(Dong11,ROWS($1:31)),),0))</f>
        <v>0</v>
      </c>
      <c r="J44" s="335">
        <f t="shared" ca="1" si="12"/>
        <v>0</v>
      </c>
      <c r="K44" s="335">
        <f t="shared" ca="1" si="13"/>
        <v>0</v>
      </c>
      <c r="L44" s="335">
        <f t="shared" ca="1" si="14"/>
        <v>0</v>
      </c>
      <c r="M44" s="335"/>
      <c r="N44" s="325"/>
    </row>
    <row r="45" spans="1:14">
      <c r="A45" s="296" t="str">
        <f t="shared" ca="1" si="10"/>
        <v/>
      </c>
      <c r="B45" s="331" t="str">
        <f ca="1">IF(ROWS($1:32)&gt;COUNT(Dong11),"",OFFSET(TH!D$1,SMALL(Dong11,ROWS($1:32)),))</f>
        <v/>
      </c>
      <c r="C45" s="332" t="str">
        <f ca="1">IF(ROWS($1:32)&gt;COUNT(Dong11),"",OFFSET(TH!E$1,SMALL(Dong11,ROWS($1:32)),))</f>
        <v/>
      </c>
      <c r="D45" s="333" t="str">
        <f ca="1">IF(ROWS($1:32)&gt;COUNT(Dong11),"",OFFSET(TH!H$1,SMALL(Dong11,ROWS($1:32)),))</f>
        <v/>
      </c>
      <c r="E45" s="331" t="str">
        <f ca="1">IF(ROWS($1:32)&gt;COUNT(Dong11),"",IF(OFFSET(TH!L$1,SMALL(Dong11,ROWS($1:32)),)=$G$7,OFFSET(TH!M$1,SMALL(Dong11,ROWS($1:32)),),OFFSET(TH!L$1,SMALL(Dong11,ROWS($1:32)),)))</f>
        <v/>
      </c>
      <c r="F45" s="334">
        <f ca="1">IF(ROWS($1:32)&gt;COUNT(Dong11),0,OFFSET(TH!J$1,SMALL(Dong11,ROWS($1:32)),))</f>
        <v>0</v>
      </c>
      <c r="G45" s="334">
        <f ca="1">IF(ROWS($1:32)&gt;COUNT(Dong11),0,IF(MID(OFFSET(TH!D$1,SMALL(Dong11,ROWS($1:32)),),4,1)="N",OFFSET(TH!I$1,SMALL(Dong11,ROWS($1:32)),),0))</f>
        <v>0</v>
      </c>
      <c r="H45" s="335">
        <f t="shared" ca="1" si="11"/>
        <v>0</v>
      </c>
      <c r="I45" s="334">
        <f ca="1">IF(ROWS($1:32)&gt;COUNT(Dong11),0,IF(MID(OFFSET(TH!D$1,SMALL(Dong11,ROWS($1:32)),),4,1)="X",OFFSET(TH!I$1,SMALL(Dong11,ROWS($1:32)),),0))</f>
        <v>0</v>
      </c>
      <c r="J45" s="335">
        <f t="shared" ca="1" si="12"/>
        <v>0</v>
      </c>
      <c r="K45" s="335">
        <f t="shared" ca="1" si="13"/>
        <v>0</v>
      </c>
      <c r="L45" s="335">
        <f t="shared" ca="1" si="14"/>
        <v>0</v>
      </c>
      <c r="M45" s="335"/>
      <c r="N45" s="325"/>
    </row>
    <row r="46" spans="1:14">
      <c r="A46" s="296" t="str">
        <f t="shared" ca="1" si="10"/>
        <v/>
      </c>
      <c r="B46" s="331" t="str">
        <f ca="1">IF(ROWS($1:33)&gt;COUNT(Dong11),"",OFFSET(TH!D$1,SMALL(Dong11,ROWS($1:33)),))</f>
        <v/>
      </c>
      <c r="C46" s="332" t="str">
        <f ca="1">IF(ROWS($1:33)&gt;COUNT(Dong11),"",OFFSET(TH!E$1,SMALL(Dong11,ROWS($1:33)),))</f>
        <v/>
      </c>
      <c r="D46" s="333" t="str">
        <f ca="1">IF(ROWS($1:33)&gt;COUNT(Dong11),"",OFFSET(TH!H$1,SMALL(Dong11,ROWS($1:33)),))</f>
        <v/>
      </c>
      <c r="E46" s="331" t="str">
        <f ca="1">IF(ROWS($1:33)&gt;COUNT(Dong11),"",IF(OFFSET(TH!L$1,SMALL(Dong11,ROWS($1:33)),)=$G$7,OFFSET(TH!M$1,SMALL(Dong11,ROWS($1:33)),),OFFSET(TH!L$1,SMALL(Dong11,ROWS($1:33)),)))</f>
        <v/>
      </c>
      <c r="F46" s="334">
        <f ca="1">IF(ROWS($1:33)&gt;COUNT(Dong11),0,OFFSET(TH!J$1,SMALL(Dong11,ROWS($1:33)),))</f>
        <v>0</v>
      </c>
      <c r="G46" s="334">
        <f ca="1">IF(ROWS($1:33)&gt;COUNT(Dong11),0,IF(MID(OFFSET(TH!D$1,SMALL(Dong11,ROWS($1:33)),),4,1)="N",OFFSET(TH!I$1,SMALL(Dong11,ROWS($1:33)),),0))</f>
        <v>0</v>
      </c>
      <c r="H46" s="335">
        <f t="shared" ca="1" si="11"/>
        <v>0</v>
      </c>
      <c r="I46" s="334">
        <f ca="1">IF(ROWS($1:33)&gt;COUNT(Dong11),0,IF(MID(OFFSET(TH!D$1,SMALL(Dong11,ROWS($1:33)),),4,1)="X",OFFSET(TH!I$1,SMALL(Dong11,ROWS($1:33)),),0))</f>
        <v>0</v>
      </c>
      <c r="J46" s="335">
        <f t="shared" ca="1" si="12"/>
        <v>0</v>
      </c>
      <c r="K46" s="335">
        <f t="shared" ca="1" si="13"/>
        <v>0</v>
      </c>
      <c r="L46" s="335">
        <f t="shared" ca="1" si="14"/>
        <v>0</v>
      </c>
      <c r="M46" s="335"/>
      <c r="N46" s="325"/>
    </row>
    <row r="47" spans="1:14">
      <c r="A47" s="296" t="str">
        <f t="shared" ca="1" si="10"/>
        <v/>
      </c>
      <c r="B47" s="331" t="str">
        <f ca="1">IF(ROWS($1:34)&gt;COUNT(Dong11),"",OFFSET(TH!D$1,SMALL(Dong11,ROWS($1:34)),))</f>
        <v/>
      </c>
      <c r="C47" s="332" t="str">
        <f ca="1">IF(ROWS($1:34)&gt;COUNT(Dong11),"",OFFSET(TH!E$1,SMALL(Dong11,ROWS($1:34)),))</f>
        <v/>
      </c>
      <c r="D47" s="333" t="str">
        <f ca="1">IF(ROWS($1:34)&gt;COUNT(Dong11),"",OFFSET(TH!H$1,SMALL(Dong11,ROWS($1:34)),))</f>
        <v/>
      </c>
      <c r="E47" s="331" t="str">
        <f ca="1">IF(ROWS($1:34)&gt;COUNT(Dong11),"",IF(OFFSET(TH!L$1,SMALL(Dong11,ROWS($1:34)),)=$G$7,OFFSET(TH!M$1,SMALL(Dong11,ROWS($1:34)),),OFFSET(TH!L$1,SMALL(Dong11,ROWS($1:34)),)))</f>
        <v/>
      </c>
      <c r="F47" s="334">
        <f ca="1">IF(ROWS($1:34)&gt;COUNT(Dong11),0,OFFSET(TH!J$1,SMALL(Dong11,ROWS($1:34)),))</f>
        <v>0</v>
      </c>
      <c r="G47" s="334">
        <f ca="1">IF(ROWS($1:34)&gt;COUNT(Dong11),0,IF(MID(OFFSET(TH!D$1,SMALL(Dong11,ROWS($1:34)),),4,1)="N",OFFSET(TH!I$1,SMALL(Dong11,ROWS($1:34)),),0))</f>
        <v>0</v>
      </c>
      <c r="H47" s="335">
        <f t="shared" ca="1" si="11"/>
        <v>0</v>
      </c>
      <c r="I47" s="334">
        <f ca="1">IF(ROWS($1:34)&gt;COUNT(Dong11),0,IF(MID(OFFSET(TH!D$1,SMALL(Dong11,ROWS($1:34)),),4,1)="X",OFFSET(TH!I$1,SMALL(Dong11,ROWS($1:34)),),0))</f>
        <v>0</v>
      </c>
      <c r="J47" s="335">
        <f t="shared" ca="1" si="12"/>
        <v>0</v>
      </c>
      <c r="K47" s="335">
        <f t="shared" ca="1" si="13"/>
        <v>0</v>
      </c>
      <c r="L47" s="335">
        <f t="shared" ca="1" si="14"/>
        <v>0</v>
      </c>
      <c r="M47" s="335"/>
      <c r="N47" s="325"/>
    </row>
    <row r="48" spans="1:14">
      <c r="A48" s="296" t="str">
        <f t="shared" ca="1" si="10"/>
        <v/>
      </c>
      <c r="B48" s="331" t="str">
        <f ca="1">IF(ROWS($1:35)&gt;COUNT(Dong11),"",OFFSET(TH!D$1,SMALL(Dong11,ROWS($1:35)),))</f>
        <v/>
      </c>
      <c r="C48" s="332" t="str">
        <f ca="1">IF(ROWS($1:35)&gt;COUNT(Dong11),"",OFFSET(TH!E$1,SMALL(Dong11,ROWS($1:35)),))</f>
        <v/>
      </c>
      <c r="D48" s="333" t="str">
        <f ca="1">IF(ROWS($1:35)&gt;COUNT(Dong11),"",OFFSET(TH!H$1,SMALL(Dong11,ROWS($1:35)),))</f>
        <v/>
      </c>
      <c r="E48" s="331" t="str">
        <f ca="1">IF(ROWS($1:35)&gt;COUNT(Dong11),"",IF(OFFSET(TH!L$1,SMALL(Dong11,ROWS($1:35)),)=$G$7,OFFSET(TH!M$1,SMALL(Dong11,ROWS($1:35)),),OFFSET(TH!L$1,SMALL(Dong11,ROWS($1:35)),)))</f>
        <v/>
      </c>
      <c r="F48" s="334">
        <f ca="1">IF(ROWS($1:35)&gt;COUNT(Dong11),0,OFFSET(TH!J$1,SMALL(Dong11,ROWS($1:35)),))</f>
        <v>0</v>
      </c>
      <c r="G48" s="334">
        <f ca="1">IF(ROWS($1:35)&gt;COUNT(Dong11),0,IF(MID(OFFSET(TH!D$1,SMALL(Dong11,ROWS($1:35)),),4,1)="N",OFFSET(TH!I$1,SMALL(Dong11,ROWS($1:35)),),0))</f>
        <v>0</v>
      </c>
      <c r="H48" s="335">
        <f t="shared" ca="1" si="11"/>
        <v>0</v>
      </c>
      <c r="I48" s="334">
        <f ca="1">IF(ROWS($1:35)&gt;COUNT(Dong11),0,IF(MID(OFFSET(TH!D$1,SMALL(Dong11,ROWS($1:35)),),4,1)="X",OFFSET(TH!I$1,SMALL(Dong11,ROWS($1:35)),),0))</f>
        <v>0</v>
      </c>
      <c r="J48" s="335">
        <f t="shared" ca="1" si="12"/>
        <v>0</v>
      </c>
      <c r="K48" s="335">
        <f t="shared" ca="1" si="13"/>
        <v>0</v>
      </c>
      <c r="L48" s="335">
        <f t="shared" ca="1" si="14"/>
        <v>0</v>
      </c>
      <c r="M48" s="335"/>
      <c r="N48" s="325"/>
    </row>
    <row r="49" spans="1:14">
      <c r="A49" s="296" t="str">
        <f t="shared" ca="1" si="10"/>
        <v/>
      </c>
      <c r="B49" s="331" t="str">
        <f ca="1">IF(ROWS($1:36)&gt;COUNT(Dong11),"",OFFSET(TH!D$1,SMALL(Dong11,ROWS($1:36)),))</f>
        <v/>
      </c>
      <c r="C49" s="332" t="str">
        <f ca="1">IF(ROWS($1:36)&gt;COUNT(Dong11),"",OFFSET(TH!E$1,SMALL(Dong11,ROWS($1:36)),))</f>
        <v/>
      </c>
      <c r="D49" s="333" t="str">
        <f ca="1">IF(ROWS($1:36)&gt;COUNT(Dong11),"",OFFSET(TH!H$1,SMALL(Dong11,ROWS($1:36)),))</f>
        <v/>
      </c>
      <c r="E49" s="331" t="str">
        <f ca="1">IF(ROWS($1:36)&gt;COUNT(Dong11),"",IF(OFFSET(TH!L$1,SMALL(Dong11,ROWS($1:36)),)=$G$7,OFFSET(TH!M$1,SMALL(Dong11,ROWS($1:36)),),OFFSET(TH!L$1,SMALL(Dong11,ROWS($1:36)),)))</f>
        <v/>
      </c>
      <c r="F49" s="334">
        <f ca="1">IF(ROWS($1:36)&gt;COUNT(Dong11),0,OFFSET(TH!J$1,SMALL(Dong11,ROWS($1:36)),))</f>
        <v>0</v>
      </c>
      <c r="G49" s="334">
        <f ca="1">IF(ROWS($1:36)&gt;COUNT(Dong11),0,IF(MID(OFFSET(TH!D$1,SMALL(Dong11,ROWS($1:36)),),4,1)="N",OFFSET(TH!I$1,SMALL(Dong11,ROWS($1:36)),),0))</f>
        <v>0</v>
      </c>
      <c r="H49" s="335">
        <f t="shared" ca="1" si="11"/>
        <v>0</v>
      </c>
      <c r="I49" s="334">
        <f ca="1">IF(ROWS($1:36)&gt;COUNT(Dong11),0,IF(MID(OFFSET(TH!D$1,SMALL(Dong11,ROWS($1:36)),),4,1)="X",OFFSET(TH!I$1,SMALL(Dong11,ROWS($1:36)),),0))</f>
        <v>0</v>
      </c>
      <c r="J49" s="335">
        <f t="shared" ca="1" si="12"/>
        <v>0</v>
      </c>
      <c r="K49" s="335">
        <f t="shared" ca="1" si="13"/>
        <v>0</v>
      </c>
      <c r="L49" s="335">
        <f t="shared" ca="1" si="14"/>
        <v>0</v>
      </c>
      <c r="M49" s="335"/>
      <c r="N49" s="325"/>
    </row>
    <row r="50" spans="1:14">
      <c r="A50" s="296" t="str">
        <f t="shared" ca="1" si="10"/>
        <v/>
      </c>
      <c r="B50" s="331" t="str">
        <f ca="1">IF(ROWS($1:37)&gt;COUNT(Dong11),"",OFFSET(TH!D$1,SMALL(Dong11,ROWS($1:37)),))</f>
        <v/>
      </c>
      <c r="C50" s="332" t="str">
        <f ca="1">IF(ROWS($1:37)&gt;COUNT(Dong11),"",OFFSET(TH!E$1,SMALL(Dong11,ROWS($1:37)),))</f>
        <v/>
      </c>
      <c r="D50" s="333" t="str">
        <f ca="1">IF(ROWS($1:37)&gt;COUNT(Dong11),"",OFFSET(TH!H$1,SMALL(Dong11,ROWS($1:37)),))</f>
        <v/>
      </c>
      <c r="E50" s="331" t="str">
        <f ca="1">IF(ROWS($1:37)&gt;COUNT(Dong11),"",IF(OFFSET(TH!L$1,SMALL(Dong11,ROWS($1:37)),)=$G$7,OFFSET(TH!M$1,SMALL(Dong11,ROWS($1:37)),),OFFSET(TH!L$1,SMALL(Dong11,ROWS($1:37)),)))</f>
        <v/>
      </c>
      <c r="F50" s="334">
        <f ca="1">IF(ROWS($1:37)&gt;COUNT(Dong11),0,OFFSET(TH!J$1,SMALL(Dong11,ROWS($1:37)),))</f>
        <v>0</v>
      </c>
      <c r="G50" s="334">
        <f ca="1">IF(ROWS($1:37)&gt;COUNT(Dong11),0,IF(MID(OFFSET(TH!D$1,SMALL(Dong11,ROWS($1:37)),),4,1)="N",OFFSET(TH!I$1,SMALL(Dong11,ROWS($1:37)),),0))</f>
        <v>0</v>
      </c>
      <c r="H50" s="335">
        <f t="shared" ca="1" si="11"/>
        <v>0</v>
      </c>
      <c r="I50" s="334">
        <f ca="1">IF(ROWS($1:37)&gt;COUNT(Dong11),0,IF(MID(OFFSET(TH!D$1,SMALL(Dong11,ROWS($1:37)),),4,1)="X",OFFSET(TH!I$1,SMALL(Dong11,ROWS($1:37)),),0))</f>
        <v>0</v>
      </c>
      <c r="J50" s="335">
        <f t="shared" ca="1" si="12"/>
        <v>0</v>
      </c>
      <c r="K50" s="335">
        <f t="shared" ca="1" si="13"/>
        <v>0</v>
      </c>
      <c r="L50" s="335">
        <f t="shared" ca="1" si="14"/>
        <v>0</v>
      </c>
      <c r="M50" s="335"/>
      <c r="N50" s="325"/>
    </row>
    <row r="51" spans="1:14">
      <c r="A51" s="296" t="str">
        <f t="shared" ca="1" si="10"/>
        <v/>
      </c>
      <c r="B51" s="331" t="str">
        <f ca="1">IF(ROWS($1:38)&gt;COUNT(Dong11),"",OFFSET(TH!D$1,SMALL(Dong11,ROWS($1:38)),))</f>
        <v/>
      </c>
      <c r="C51" s="332" t="str">
        <f ca="1">IF(ROWS($1:38)&gt;COUNT(Dong11),"",OFFSET(TH!E$1,SMALL(Dong11,ROWS($1:38)),))</f>
        <v/>
      </c>
      <c r="D51" s="333" t="str">
        <f ca="1">IF(ROWS($1:38)&gt;COUNT(Dong11),"",OFFSET(TH!H$1,SMALL(Dong11,ROWS($1:38)),))</f>
        <v/>
      </c>
      <c r="E51" s="331" t="str">
        <f ca="1">IF(ROWS($1:38)&gt;COUNT(Dong11),"",IF(OFFSET(TH!L$1,SMALL(Dong11,ROWS($1:38)),)=$G$7,OFFSET(TH!M$1,SMALL(Dong11,ROWS($1:38)),),OFFSET(TH!L$1,SMALL(Dong11,ROWS($1:38)),)))</f>
        <v/>
      </c>
      <c r="F51" s="334">
        <f ca="1">IF(ROWS($1:38)&gt;COUNT(Dong11),0,OFFSET(TH!J$1,SMALL(Dong11,ROWS($1:38)),))</f>
        <v>0</v>
      </c>
      <c r="G51" s="334">
        <f ca="1">IF(ROWS($1:38)&gt;COUNT(Dong11),0,IF(MID(OFFSET(TH!D$1,SMALL(Dong11,ROWS($1:38)),),4,1)="N",OFFSET(TH!I$1,SMALL(Dong11,ROWS($1:38)),),0))</f>
        <v>0</v>
      </c>
      <c r="H51" s="335">
        <f t="shared" ca="1" si="11"/>
        <v>0</v>
      </c>
      <c r="I51" s="334">
        <f ca="1">IF(ROWS($1:38)&gt;COUNT(Dong11),0,IF(MID(OFFSET(TH!D$1,SMALL(Dong11,ROWS($1:38)),),4,1)="X",OFFSET(TH!I$1,SMALL(Dong11,ROWS($1:38)),),0))</f>
        <v>0</v>
      </c>
      <c r="J51" s="335">
        <f t="shared" ca="1" si="12"/>
        <v>0</v>
      </c>
      <c r="K51" s="335">
        <f t="shared" ca="1" si="13"/>
        <v>0</v>
      </c>
      <c r="L51" s="335">
        <f t="shared" ca="1" si="14"/>
        <v>0</v>
      </c>
      <c r="M51" s="335"/>
      <c r="N51" s="325"/>
    </row>
    <row r="52" spans="1:14">
      <c r="A52" s="296" t="str">
        <f t="shared" ca="1" si="10"/>
        <v/>
      </c>
      <c r="B52" s="331" t="str">
        <f ca="1">IF(ROWS($1:39)&gt;COUNT(Dong11),"",OFFSET(TH!D$1,SMALL(Dong11,ROWS($1:39)),))</f>
        <v/>
      </c>
      <c r="C52" s="332" t="str">
        <f ca="1">IF(ROWS($1:39)&gt;COUNT(Dong11),"",OFFSET(TH!E$1,SMALL(Dong11,ROWS($1:39)),))</f>
        <v/>
      </c>
      <c r="D52" s="333" t="str">
        <f ca="1">IF(ROWS($1:39)&gt;COUNT(Dong11),"",OFFSET(TH!H$1,SMALL(Dong11,ROWS($1:39)),))</f>
        <v/>
      </c>
      <c r="E52" s="331" t="str">
        <f ca="1">IF(ROWS($1:39)&gt;COUNT(Dong11),"",IF(OFFSET(TH!L$1,SMALL(Dong11,ROWS($1:39)),)=$G$7,OFFSET(TH!M$1,SMALL(Dong11,ROWS($1:39)),),OFFSET(TH!L$1,SMALL(Dong11,ROWS($1:39)),)))</f>
        <v/>
      </c>
      <c r="F52" s="334">
        <f ca="1">IF(ROWS($1:39)&gt;COUNT(Dong11),0,OFFSET(TH!J$1,SMALL(Dong11,ROWS($1:39)),))</f>
        <v>0</v>
      </c>
      <c r="G52" s="334">
        <f ca="1">IF(ROWS($1:39)&gt;COUNT(Dong11),0,IF(MID(OFFSET(TH!D$1,SMALL(Dong11,ROWS($1:39)),),4,1)="N",OFFSET(TH!I$1,SMALL(Dong11,ROWS($1:39)),),0))</f>
        <v>0</v>
      </c>
      <c r="H52" s="335">
        <f t="shared" ca="1" si="11"/>
        <v>0</v>
      </c>
      <c r="I52" s="334">
        <f ca="1">IF(ROWS($1:39)&gt;COUNT(Dong11),0,IF(MID(OFFSET(TH!D$1,SMALL(Dong11,ROWS($1:39)),),4,1)="X",OFFSET(TH!I$1,SMALL(Dong11,ROWS($1:39)),),0))</f>
        <v>0</v>
      </c>
      <c r="J52" s="335">
        <f t="shared" ca="1" si="12"/>
        <v>0</v>
      </c>
      <c r="K52" s="335">
        <f t="shared" ca="1" si="13"/>
        <v>0</v>
      </c>
      <c r="L52" s="335">
        <f t="shared" ca="1" si="14"/>
        <v>0</v>
      </c>
      <c r="M52" s="335"/>
      <c r="N52" s="325"/>
    </row>
    <row r="53" spans="1:14">
      <c r="A53" s="296" t="str">
        <f t="shared" ca="1" si="10"/>
        <v/>
      </c>
      <c r="B53" s="331" t="str">
        <f ca="1">IF(ROWS($1:40)&gt;COUNT(Dong11),"",OFFSET(TH!D$1,SMALL(Dong11,ROWS($1:40)),))</f>
        <v/>
      </c>
      <c r="C53" s="332" t="str">
        <f ca="1">IF(ROWS($1:40)&gt;COUNT(Dong11),"",OFFSET(TH!E$1,SMALL(Dong11,ROWS($1:40)),))</f>
        <v/>
      </c>
      <c r="D53" s="333" t="str">
        <f ca="1">IF(ROWS($1:40)&gt;COUNT(Dong11),"",OFFSET(TH!H$1,SMALL(Dong11,ROWS($1:40)),))</f>
        <v/>
      </c>
      <c r="E53" s="331" t="str">
        <f ca="1">IF(ROWS($1:40)&gt;COUNT(Dong11),"",IF(OFFSET(TH!L$1,SMALL(Dong11,ROWS($1:40)),)=$G$7,OFFSET(TH!M$1,SMALL(Dong11,ROWS($1:40)),),OFFSET(TH!L$1,SMALL(Dong11,ROWS($1:40)),)))</f>
        <v/>
      </c>
      <c r="F53" s="334">
        <f ca="1">IF(ROWS($1:40)&gt;COUNT(Dong11),0,OFFSET(TH!J$1,SMALL(Dong11,ROWS($1:40)),))</f>
        <v>0</v>
      </c>
      <c r="G53" s="334">
        <f ca="1">IF(ROWS($1:40)&gt;COUNT(Dong11),0,IF(MID(OFFSET(TH!D$1,SMALL(Dong11,ROWS($1:40)),),4,1)="N",OFFSET(TH!I$1,SMALL(Dong11,ROWS($1:40)),),0))</f>
        <v>0</v>
      </c>
      <c r="H53" s="335">
        <f t="shared" ca="1" si="11"/>
        <v>0</v>
      </c>
      <c r="I53" s="334">
        <f ca="1">IF(ROWS($1:40)&gt;COUNT(Dong11),0,IF(MID(OFFSET(TH!D$1,SMALL(Dong11,ROWS($1:40)),),4,1)="X",OFFSET(TH!I$1,SMALL(Dong11,ROWS($1:40)),),0))</f>
        <v>0</v>
      </c>
      <c r="J53" s="335">
        <f t="shared" ca="1" si="12"/>
        <v>0</v>
      </c>
      <c r="K53" s="335">
        <f t="shared" ca="1" si="13"/>
        <v>0</v>
      </c>
      <c r="L53" s="335">
        <f t="shared" ca="1" si="14"/>
        <v>0</v>
      </c>
      <c r="M53" s="335"/>
      <c r="N53" s="325"/>
    </row>
    <row r="54" spans="1:14">
      <c r="A54" s="296" t="str">
        <f t="shared" ca="1" si="10"/>
        <v/>
      </c>
      <c r="B54" s="331" t="str">
        <f ca="1">IF(ROWS($1:41)&gt;COUNT(Dong11),"",OFFSET(TH!D$1,SMALL(Dong11,ROWS($1:41)),))</f>
        <v/>
      </c>
      <c r="C54" s="332" t="str">
        <f ca="1">IF(ROWS($1:41)&gt;COUNT(Dong11),"",OFFSET(TH!E$1,SMALL(Dong11,ROWS($1:41)),))</f>
        <v/>
      </c>
      <c r="D54" s="333" t="str">
        <f ca="1">IF(ROWS($1:41)&gt;COUNT(Dong11),"",OFFSET(TH!H$1,SMALL(Dong11,ROWS($1:41)),))</f>
        <v/>
      </c>
      <c r="E54" s="331" t="str">
        <f ca="1">IF(ROWS($1:41)&gt;COUNT(Dong11),"",IF(OFFSET(TH!L$1,SMALL(Dong11,ROWS($1:41)),)=$G$7,OFFSET(TH!M$1,SMALL(Dong11,ROWS($1:41)),),OFFSET(TH!L$1,SMALL(Dong11,ROWS($1:41)),)))</f>
        <v/>
      </c>
      <c r="F54" s="334">
        <f ca="1">IF(ROWS($1:41)&gt;COUNT(Dong11),0,OFFSET(TH!J$1,SMALL(Dong11,ROWS($1:41)),))</f>
        <v>0</v>
      </c>
      <c r="G54" s="334">
        <f ca="1">IF(ROWS($1:41)&gt;COUNT(Dong11),0,IF(MID(OFFSET(TH!D$1,SMALL(Dong11,ROWS($1:41)),),4,1)="N",OFFSET(TH!I$1,SMALL(Dong11,ROWS($1:41)),),0))</f>
        <v>0</v>
      </c>
      <c r="H54" s="335">
        <f t="shared" ca="1" si="11"/>
        <v>0</v>
      </c>
      <c r="I54" s="334">
        <f ca="1">IF(ROWS($1:41)&gt;COUNT(Dong11),0,IF(MID(OFFSET(TH!D$1,SMALL(Dong11,ROWS($1:41)),),4,1)="X",OFFSET(TH!I$1,SMALL(Dong11,ROWS($1:41)),),0))</f>
        <v>0</v>
      </c>
      <c r="J54" s="335">
        <f t="shared" ca="1" si="12"/>
        <v>0</v>
      </c>
      <c r="K54" s="335">
        <f t="shared" ca="1" si="13"/>
        <v>0</v>
      </c>
      <c r="L54" s="335">
        <f t="shared" ca="1" si="14"/>
        <v>0</v>
      </c>
      <c r="M54" s="335"/>
      <c r="N54" s="325"/>
    </row>
    <row r="55" spans="1:14">
      <c r="A55" s="296" t="str">
        <f t="shared" ca="1" si="10"/>
        <v/>
      </c>
      <c r="B55" s="331" t="str">
        <f ca="1">IF(ROWS($1:42)&gt;COUNT(Dong11),"",OFFSET(TH!D$1,SMALL(Dong11,ROWS($1:42)),))</f>
        <v/>
      </c>
      <c r="C55" s="332" t="str">
        <f ca="1">IF(ROWS($1:42)&gt;COUNT(Dong11),"",OFFSET(TH!E$1,SMALL(Dong11,ROWS($1:42)),))</f>
        <v/>
      </c>
      <c r="D55" s="333" t="str">
        <f ca="1">IF(ROWS($1:42)&gt;COUNT(Dong11),"",OFFSET(TH!H$1,SMALL(Dong11,ROWS($1:42)),))</f>
        <v/>
      </c>
      <c r="E55" s="331" t="str">
        <f ca="1">IF(ROWS($1:42)&gt;COUNT(Dong11),"",IF(OFFSET(TH!L$1,SMALL(Dong11,ROWS($1:42)),)=$G$7,OFFSET(TH!M$1,SMALL(Dong11,ROWS($1:42)),),OFFSET(TH!L$1,SMALL(Dong11,ROWS($1:42)),)))</f>
        <v/>
      </c>
      <c r="F55" s="334">
        <f ca="1">IF(ROWS($1:42)&gt;COUNT(Dong11),0,OFFSET(TH!J$1,SMALL(Dong11,ROWS($1:42)),))</f>
        <v>0</v>
      </c>
      <c r="G55" s="334">
        <f ca="1">IF(ROWS($1:42)&gt;COUNT(Dong11),0,IF(MID(OFFSET(TH!D$1,SMALL(Dong11,ROWS($1:42)),),4,1)="N",OFFSET(TH!I$1,SMALL(Dong11,ROWS($1:42)),),0))</f>
        <v>0</v>
      </c>
      <c r="H55" s="335">
        <f t="shared" ca="1" si="11"/>
        <v>0</v>
      </c>
      <c r="I55" s="334">
        <f ca="1">IF(ROWS($1:42)&gt;COUNT(Dong11),0,IF(MID(OFFSET(TH!D$1,SMALL(Dong11,ROWS($1:42)),),4,1)="X",OFFSET(TH!I$1,SMALL(Dong11,ROWS($1:42)),),0))</f>
        <v>0</v>
      </c>
      <c r="J55" s="335">
        <f t="shared" ca="1" si="12"/>
        <v>0</v>
      </c>
      <c r="K55" s="335">
        <f t="shared" ca="1" si="13"/>
        <v>0</v>
      </c>
      <c r="L55" s="335">
        <f t="shared" ca="1" si="14"/>
        <v>0</v>
      </c>
      <c r="M55" s="335"/>
      <c r="N55" s="325"/>
    </row>
    <row r="56" spans="1:14">
      <c r="A56" s="296" t="str">
        <f t="shared" ca="1" si="10"/>
        <v/>
      </c>
      <c r="B56" s="331" t="str">
        <f ca="1">IF(ROWS($1:43)&gt;COUNT(Dong11),"",OFFSET(TH!D$1,SMALL(Dong11,ROWS($1:43)),))</f>
        <v/>
      </c>
      <c r="C56" s="332" t="str">
        <f ca="1">IF(ROWS($1:43)&gt;COUNT(Dong11),"",OFFSET(TH!E$1,SMALL(Dong11,ROWS($1:43)),))</f>
        <v/>
      </c>
      <c r="D56" s="333" t="str">
        <f ca="1">IF(ROWS($1:43)&gt;COUNT(Dong11),"",OFFSET(TH!H$1,SMALL(Dong11,ROWS($1:43)),))</f>
        <v/>
      </c>
      <c r="E56" s="331" t="str">
        <f ca="1">IF(ROWS($1:43)&gt;COUNT(Dong11),"",IF(OFFSET(TH!L$1,SMALL(Dong11,ROWS($1:43)),)=$G$7,OFFSET(TH!M$1,SMALL(Dong11,ROWS($1:43)),),OFFSET(TH!L$1,SMALL(Dong11,ROWS($1:43)),)))</f>
        <v/>
      </c>
      <c r="F56" s="334">
        <f ca="1">IF(ROWS($1:43)&gt;COUNT(Dong11),0,OFFSET(TH!J$1,SMALL(Dong11,ROWS($1:43)),))</f>
        <v>0</v>
      </c>
      <c r="G56" s="334">
        <f ca="1">IF(ROWS($1:43)&gt;COUNT(Dong11),0,IF(MID(OFFSET(TH!D$1,SMALL(Dong11,ROWS($1:43)),),4,1)="N",OFFSET(TH!I$1,SMALL(Dong11,ROWS($1:43)),),0))</f>
        <v>0</v>
      </c>
      <c r="H56" s="335">
        <f t="shared" ca="1" si="11"/>
        <v>0</v>
      </c>
      <c r="I56" s="334">
        <f ca="1">IF(ROWS($1:43)&gt;COUNT(Dong11),0,IF(MID(OFFSET(TH!D$1,SMALL(Dong11,ROWS($1:43)),),4,1)="X",OFFSET(TH!I$1,SMALL(Dong11,ROWS($1:43)),),0))</f>
        <v>0</v>
      </c>
      <c r="J56" s="335">
        <f t="shared" ca="1" si="12"/>
        <v>0</v>
      </c>
      <c r="K56" s="335">
        <f t="shared" ca="1" si="13"/>
        <v>0</v>
      </c>
      <c r="L56" s="335">
        <f t="shared" ca="1" si="14"/>
        <v>0</v>
      </c>
      <c r="M56" s="335"/>
      <c r="N56" s="325"/>
    </row>
    <row r="57" spans="1:14">
      <c r="A57" s="296" t="str">
        <f t="shared" ca="1" si="10"/>
        <v/>
      </c>
      <c r="B57" s="331" t="str">
        <f ca="1">IF(ROWS($1:44)&gt;COUNT(Dong11),"",OFFSET(TH!D$1,SMALL(Dong11,ROWS($1:44)),))</f>
        <v/>
      </c>
      <c r="C57" s="332" t="str">
        <f ca="1">IF(ROWS($1:44)&gt;COUNT(Dong11),"",OFFSET(TH!E$1,SMALL(Dong11,ROWS($1:44)),))</f>
        <v/>
      </c>
      <c r="D57" s="333" t="str">
        <f ca="1">IF(ROWS($1:44)&gt;COUNT(Dong11),"",OFFSET(TH!H$1,SMALL(Dong11,ROWS($1:44)),))</f>
        <v/>
      </c>
      <c r="E57" s="331" t="str">
        <f ca="1">IF(ROWS($1:44)&gt;COUNT(Dong11),"",IF(OFFSET(TH!L$1,SMALL(Dong11,ROWS($1:44)),)=$G$7,OFFSET(TH!M$1,SMALL(Dong11,ROWS($1:44)),),OFFSET(TH!L$1,SMALL(Dong11,ROWS($1:44)),)))</f>
        <v/>
      </c>
      <c r="F57" s="334">
        <f ca="1">IF(ROWS($1:44)&gt;COUNT(Dong11),0,OFFSET(TH!J$1,SMALL(Dong11,ROWS($1:44)),))</f>
        <v>0</v>
      </c>
      <c r="G57" s="334">
        <f ca="1">IF(ROWS($1:44)&gt;COUNT(Dong11),0,IF(MID(OFFSET(TH!D$1,SMALL(Dong11,ROWS($1:44)),),4,1)="N",OFFSET(TH!I$1,SMALL(Dong11,ROWS($1:44)),),0))</f>
        <v>0</v>
      </c>
      <c r="H57" s="335">
        <f t="shared" ca="1" si="11"/>
        <v>0</v>
      </c>
      <c r="I57" s="334">
        <f ca="1">IF(ROWS($1:44)&gt;COUNT(Dong11),0,IF(MID(OFFSET(TH!D$1,SMALL(Dong11,ROWS($1:44)),),4,1)="X",OFFSET(TH!I$1,SMALL(Dong11,ROWS($1:44)),),0))</f>
        <v>0</v>
      </c>
      <c r="J57" s="335">
        <f t="shared" ca="1" si="12"/>
        <v>0</v>
      </c>
      <c r="K57" s="335">
        <f t="shared" ca="1" si="13"/>
        <v>0</v>
      </c>
      <c r="L57" s="335">
        <f t="shared" ca="1" si="14"/>
        <v>0</v>
      </c>
      <c r="M57" s="335"/>
      <c r="N57" s="325"/>
    </row>
    <row r="58" spans="1:14">
      <c r="A58" s="296" t="str">
        <f t="shared" ca="1" si="10"/>
        <v/>
      </c>
      <c r="B58" s="331" t="str">
        <f ca="1">IF(ROWS($1:45)&gt;COUNT(Dong11),"",OFFSET(TH!D$1,SMALL(Dong11,ROWS($1:45)),))</f>
        <v/>
      </c>
      <c r="C58" s="332" t="str">
        <f ca="1">IF(ROWS($1:45)&gt;COUNT(Dong11),"",OFFSET(TH!E$1,SMALL(Dong11,ROWS($1:45)),))</f>
        <v/>
      </c>
      <c r="D58" s="333" t="str">
        <f ca="1">IF(ROWS($1:45)&gt;COUNT(Dong11),"",OFFSET(TH!H$1,SMALL(Dong11,ROWS($1:45)),))</f>
        <v/>
      </c>
      <c r="E58" s="331" t="str">
        <f ca="1">IF(ROWS($1:45)&gt;COUNT(Dong11),"",IF(OFFSET(TH!L$1,SMALL(Dong11,ROWS($1:45)),)=$G$7,OFFSET(TH!M$1,SMALL(Dong11,ROWS($1:45)),),OFFSET(TH!L$1,SMALL(Dong11,ROWS($1:45)),)))</f>
        <v/>
      </c>
      <c r="F58" s="334">
        <f ca="1">IF(ROWS($1:45)&gt;COUNT(Dong11),0,OFFSET(TH!J$1,SMALL(Dong11,ROWS($1:45)),))</f>
        <v>0</v>
      </c>
      <c r="G58" s="334">
        <f ca="1">IF(ROWS($1:45)&gt;COUNT(Dong11),0,IF(MID(OFFSET(TH!D$1,SMALL(Dong11,ROWS($1:45)),),4,1)="N",OFFSET(TH!I$1,SMALL(Dong11,ROWS($1:45)),),0))</f>
        <v>0</v>
      </c>
      <c r="H58" s="335">
        <f t="shared" ca="1" si="11"/>
        <v>0</v>
      </c>
      <c r="I58" s="334">
        <f ca="1">IF(ROWS($1:45)&gt;COUNT(Dong11),0,IF(MID(OFFSET(TH!D$1,SMALL(Dong11,ROWS($1:45)),),4,1)="X",OFFSET(TH!I$1,SMALL(Dong11,ROWS($1:45)),),0))</f>
        <v>0</v>
      </c>
      <c r="J58" s="335">
        <f t="shared" ca="1" si="12"/>
        <v>0</v>
      </c>
      <c r="K58" s="335">
        <f t="shared" ca="1" si="13"/>
        <v>0</v>
      </c>
      <c r="L58" s="335">
        <f t="shared" ca="1" si="14"/>
        <v>0</v>
      </c>
      <c r="M58" s="335"/>
      <c r="N58" s="325"/>
    </row>
    <row r="59" spans="1:14">
      <c r="A59" s="296" t="str">
        <f t="shared" ca="1" si="10"/>
        <v/>
      </c>
      <c r="B59" s="331" t="str">
        <f ca="1">IF(ROWS($1:46)&gt;COUNT(Dong11),"",OFFSET(TH!D$1,SMALL(Dong11,ROWS($1:46)),))</f>
        <v/>
      </c>
      <c r="C59" s="332" t="str">
        <f ca="1">IF(ROWS($1:46)&gt;COUNT(Dong11),"",OFFSET(TH!E$1,SMALL(Dong11,ROWS($1:46)),))</f>
        <v/>
      </c>
      <c r="D59" s="333" t="str">
        <f ca="1">IF(ROWS($1:46)&gt;COUNT(Dong11),"",OFFSET(TH!H$1,SMALL(Dong11,ROWS($1:46)),))</f>
        <v/>
      </c>
      <c r="E59" s="331" t="str">
        <f ca="1">IF(ROWS($1:46)&gt;COUNT(Dong11),"",IF(OFFSET(TH!L$1,SMALL(Dong11,ROWS($1:46)),)=$G$7,OFFSET(TH!M$1,SMALL(Dong11,ROWS($1:46)),),OFFSET(TH!L$1,SMALL(Dong11,ROWS($1:46)),)))</f>
        <v/>
      </c>
      <c r="F59" s="334">
        <f ca="1">IF(ROWS($1:46)&gt;COUNT(Dong11),0,OFFSET(TH!J$1,SMALL(Dong11,ROWS($1:46)),))</f>
        <v>0</v>
      </c>
      <c r="G59" s="334">
        <f ca="1">IF(ROWS($1:46)&gt;COUNT(Dong11),0,IF(MID(OFFSET(TH!D$1,SMALL(Dong11,ROWS($1:46)),),4,1)="N",OFFSET(TH!I$1,SMALL(Dong11,ROWS($1:46)),),0))</f>
        <v>0</v>
      </c>
      <c r="H59" s="335">
        <f t="shared" ca="1" si="11"/>
        <v>0</v>
      </c>
      <c r="I59" s="334">
        <f ca="1">IF(ROWS($1:46)&gt;COUNT(Dong11),0,IF(MID(OFFSET(TH!D$1,SMALL(Dong11,ROWS($1:46)),),4,1)="X",OFFSET(TH!I$1,SMALL(Dong11,ROWS($1:46)),),0))</f>
        <v>0</v>
      </c>
      <c r="J59" s="335">
        <f t="shared" ca="1" si="12"/>
        <v>0</v>
      </c>
      <c r="K59" s="335">
        <f t="shared" ca="1" si="13"/>
        <v>0</v>
      </c>
      <c r="L59" s="335">
        <f t="shared" ca="1" si="14"/>
        <v>0</v>
      </c>
      <c r="M59" s="335"/>
      <c r="N59" s="325"/>
    </row>
    <row r="60" spans="1:14">
      <c r="A60" s="296" t="str">
        <f t="shared" ca="1" si="10"/>
        <v/>
      </c>
      <c r="B60" s="331" t="str">
        <f ca="1">IF(ROWS($1:47)&gt;COUNT(Dong11),"",OFFSET(TH!D$1,SMALL(Dong11,ROWS($1:47)),))</f>
        <v/>
      </c>
      <c r="C60" s="332" t="str">
        <f ca="1">IF(ROWS($1:47)&gt;COUNT(Dong11),"",OFFSET(TH!E$1,SMALL(Dong11,ROWS($1:47)),))</f>
        <v/>
      </c>
      <c r="D60" s="333" t="str">
        <f ca="1">IF(ROWS($1:47)&gt;COUNT(Dong11),"",OFFSET(TH!H$1,SMALL(Dong11,ROWS($1:47)),))</f>
        <v/>
      </c>
      <c r="E60" s="331" t="str">
        <f ca="1">IF(ROWS($1:47)&gt;COUNT(Dong11),"",IF(OFFSET(TH!L$1,SMALL(Dong11,ROWS($1:47)),)=$G$7,OFFSET(TH!M$1,SMALL(Dong11,ROWS($1:47)),),OFFSET(TH!L$1,SMALL(Dong11,ROWS($1:47)),)))</f>
        <v/>
      </c>
      <c r="F60" s="334">
        <f ca="1">IF(ROWS($1:47)&gt;COUNT(Dong11),0,OFFSET(TH!J$1,SMALL(Dong11,ROWS($1:47)),))</f>
        <v>0</v>
      </c>
      <c r="G60" s="334">
        <f ca="1">IF(ROWS($1:47)&gt;COUNT(Dong11),0,IF(MID(OFFSET(TH!D$1,SMALL(Dong11,ROWS($1:47)),),4,1)="N",OFFSET(TH!I$1,SMALL(Dong11,ROWS($1:47)),),0))</f>
        <v>0</v>
      </c>
      <c r="H60" s="335">
        <f t="shared" ca="1" si="11"/>
        <v>0</v>
      </c>
      <c r="I60" s="334">
        <f ca="1">IF(ROWS($1:47)&gt;COUNT(Dong11),0,IF(MID(OFFSET(TH!D$1,SMALL(Dong11,ROWS($1:47)),),4,1)="X",OFFSET(TH!I$1,SMALL(Dong11,ROWS($1:47)),),0))</f>
        <v>0</v>
      </c>
      <c r="J60" s="335">
        <f t="shared" ca="1" si="12"/>
        <v>0</v>
      </c>
      <c r="K60" s="335">
        <f t="shared" ca="1" si="13"/>
        <v>0</v>
      </c>
      <c r="L60" s="335">
        <f t="shared" ca="1" si="14"/>
        <v>0</v>
      </c>
      <c r="M60" s="335"/>
      <c r="N60" s="325"/>
    </row>
    <row r="61" spans="1:14">
      <c r="A61" s="296" t="str">
        <f t="shared" ca="1" si="10"/>
        <v/>
      </c>
      <c r="B61" s="331" t="str">
        <f ca="1">IF(ROWS($1:48)&gt;COUNT(Dong11),"",OFFSET(TH!D$1,SMALL(Dong11,ROWS($1:48)),))</f>
        <v/>
      </c>
      <c r="C61" s="332" t="str">
        <f ca="1">IF(ROWS($1:48)&gt;COUNT(Dong11),"",OFFSET(TH!E$1,SMALL(Dong11,ROWS($1:48)),))</f>
        <v/>
      </c>
      <c r="D61" s="333" t="str">
        <f ca="1">IF(ROWS($1:48)&gt;COUNT(Dong11),"",OFFSET(TH!H$1,SMALL(Dong11,ROWS($1:48)),))</f>
        <v/>
      </c>
      <c r="E61" s="331" t="str">
        <f ca="1">IF(ROWS($1:48)&gt;COUNT(Dong11),"",IF(OFFSET(TH!L$1,SMALL(Dong11,ROWS($1:48)),)=$G$7,OFFSET(TH!M$1,SMALL(Dong11,ROWS($1:48)),),OFFSET(TH!L$1,SMALL(Dong11,ROWS($1:48)),)))</f>
        <v/>
      </c>
      <c r="F61" s="334">
        <f ca="1">IF(ROWS($1:48)&gt;COUNT(Dong11),0,OFFSET(TH!J$1,SMALL(Dong11,ROWS($1:48)),))</f>
        <v>0</v>
      </c>
      <c r="G61" s="334">
        <f ca="1">IF(ROWS($1:48)&gt;COUNT(Dong11),0,IF(MID(OFFSET(TH!D$1,SMALL(Dong11,ROWS($1:48)),),4,1)="N",OFFSET(TH!I$1,SMALL(Dong11,ROWS($1:48)),),0))</f>
        <v>0</v>
      </c>
      <c r="H61" s="335">
        <f t="shared" ca="1" si="11"/>
        <v>0</v>
      </c>
      <c r="I61" s="334">
        <f ca="1">IF(ROWS($1:48)&gt;COUNT(Dong11),0,IF(MID(OFFSET(TH!D$1,SMALL(Dong11,ROWS($1:48)),),4,1)="X",OFFSET(TH!I$1,SMALL(Dong11,ROWS($1:48)),),0))</f>
        <v>0</v>
      </c>
      <c r="J61" s="335">
        <f t="shared" ca="1" si="12"/>
        <v>0</v>
      </c>
      <c r="K61" s="335">
        <f t="shared" ca="1" si="13"/>
        <v>0</v>
      </c>
      <c r="L61" s="335">
        <f t="shared" ca="1" si="14"/>
        <v>0</v>
      </c>
      <c r="M61" s="335"/>
      <c r="N61" s="325"/>
    </row>
    <row r="62" spans="1:14">
      <c r="A62" s="296" t="str">
        <f t="shared" ca="1" si="10"/>
        <v/>
      </c>
      <c r="B62" s="331" t="str">
        <f ca="1">IF(ROWS($1:49)&gt;COUNT(Dong11),"",OFFSET(TH!D$1,SMALL(Dong11,ROWS($1:49)),))</f>
        <v/>
      </c>
      <c r="C62" s="332" t="str">
        <f ca="1">IF(ROWS($1:49)&gt;COUNT(Dong11),"",OFFSET(TH!E$1,SMALL(Dong11,ROWS($1:49)),))</f>
        <v/>
      </c>
      <c r="D62" s="333" t="str">
        <f ca="1">IF(ROWS($1:49)&gt;COUNT(Dong11),"",OFFSET(TH!H$1,SMALL(Dong11,ROWS($1:49)),))</f>
        <v/>
      </c>
      <c r="E62" s="331" t="str">
        <f ca="1">IF(ROWS($1:49)&gt;COUNT(Dong11),"",IF(OFFSET(TH!L$1,SMALL(Dong11,ROWS($1:49)),)=$G$7,OFFSET(TH!M$1,SMALL(Dong11,ROWS($1:49)),),OFFSET(TH!L$1,SMALL(Dong11,ROWS($1:49)),)))</f>
        <v/>
      </c>
      <c r="F62" s="334">
        <f ca="1">IF(ROWS($1:49)&gt;COUNT(Dong11),0,OFFSET(TH!J$1,SMALL(Dong11,ROWS($1:49)),))</f>
        <v>0</v>
      </c>
      <c r="G62" s="334">
        <f ca="1">IF(ROWS($1:49)&gt;COUNT(Dong11),0,IF(MID(OFFSET(TH!D$1,SMALL(Dong11,ROWS($1:49)),),4,1)="N",OFFSET(TH!I$1,SMALL(Dong11,ROWS($1:49)),),0))</f>
        <v>0</v>
      </c>
      <c r="H62" s="335">
        <f t="shared" ca="1" si="11"/>
        <v>0</v>
      </c>
      <c r="I62" s="334">
        <f ca="1">IF(ROWS($1:49)&gt;COUNT(Dong11),0,IF(MID(OFFSET(TH!D$1,SMALL(Dong11,ROWS($1:49)),),4,1)="X",OFFSET(TH!I$1,SMALL(Dong11,ROWS($1:49)),),0))</f>
        <v>0</v>
      </c>
      <c r="J62" s="335">
        <f t="shared" ca="1" si="12"/>
        <v>0</v>
      </c>
      <c r="K62" s="335">
        <f t="shared" ca="1" si="13"/>
        <v>0</v>
      </c>
      <c r="L62" s="335">
        <f t="shared" ca="1" si="14"/>
        <v>0</v>
      </c>
      <c r="M62" s="335"/>
      <c r="N62" s="325"/>
    </row>
    <row r="63" spans="1:14">
      <c r="A63" s="296" t="str">
        <f t="shared" ref="A63:A72" ca="1" si="15">IF(B63="","",A62+1)</f>
        <v/>
      </c>
      <c r="B63" s="331" t="str">
        <f ca="1">IF(ROWS($1:50)&gt;COUNT(Dong11),"",OFFSET(TH!D$1,SMALL(Dong11,ROWS($1:50)),))</f>
        <v/>
      </c>
      <c r="C63" s="332" t="str">
        <f ca="1">IF(ROWS($1:50)&gt;COUNT(Dong11),"",OFFSET(TH!E$1,SMALL(Dong11,ROWS($1:50)),))</f>
        <v/>
      </c>
      <c r="D63" s="333" t="str">
        <f ca="1">IF(ROWS($1:50)&gt;COUNT(Dong11),"",OFFSET(TH!H$1,SMALL(Dong11,ROWS($1:50)),))</f>
        <v/>
      </c>
      <c r="E63" s="331" t="str">
        <f ca="1">IF(ROWS($1:50)&gt;COUNT(Dong11),"",IF(OFFSET(TH!L$1,SMALL(Dong11,ROWS($1:50)),)=$G$7,OFFSET(TH!M$1,SMALL(Dong11,ROWS($1:50)),),OFFSET(TH!L$1,SMALL(Dong11,ROWS($1:50)),)))</f>
        <v/>
      </c>
      <c r="F63" s="334">
        <f ca="1">IF(ROWS($1:50)&gt;COUNT(Dong11),0,OFFSET(TH!J$1,SMALL(Dong11,ROWS($1:50)),))</f>
        <v>0</v>
      </c>
      <c r="G63" s="334">
        <f ca="1">IF(ROWS($1:50)&gt;COUNT(Dong11),0,IF(MID(OFFSET(TH!D$1,SMALL(Dong11,ROWS($1:50)),),4,1)="N",OFFSET(TH!I$1,SMALL(Dong11,ROWS($1:50)),),0))</f>
        <v>0</v>
      </c>
      <c r="H63" s="335">
        <f t="shared" ref="H63:H72" ca="1" si="16">ROUND(F63*G63,0)</f>
        <v>0</v>
      </c>
      <c r="I63" s="334">
        <f ca="1">IF(ROWS($1:50)&gt;COUNT(Dong11),0,IF(MID(OFFSET(TH!D$1,SMALL(Dong11,ROWS($1:50)),),4,1)="X",OFFSET(TH!I$1,SMALL(Dong11,ROWS($1:50)),),0))</f>
        <v>0</v>
      </c>
      <c r="J63" s="335">
        <f t="shared" ref="J63:J72" ca="1" si="17">ROUND(F63*I63,0)</f>
        <v>0</v>
      </c>
      <c r="K63" s="335">
        <f t="shared" ref="K63:K72" ca="1" si="18">IF(D63&lt;&gt;"",K62+G63-I63,0)</f>
        <v>0</v>
      </c>
      <c r="L63" s="335">
        <f t="shared" ref="L63:L72" ca="1" si="19">IF(D63&lt;&gt;"",L62+H63-J63,0)</f>
        <v>0</v>
      </c>
      <c r="M63" s="335"/>
      <c r="N63" s="325"/>
    </row>
    <row r="64" spans="1:14">
      <c r="A64" s="296" t="str">
        <f t="shared" ca="1" si="15"/>
        <v/>
      </c>
      <c r="B64" s="331" t="str">
        <f ca="1">IF(ROWS($1:51)&gt;COUNT(Dong11),"",OFFSET(TH!D$1,SMALL(Dong11,ROWS($1:51)),))</f>
        <v/>
      </c>
      <c r="C64" s="332" t="str">
        <f ca="1">IF(ROWS($1:51)&gt;COUNT(Dong11),"",OFFSET(TH!E$1,SMALL(Dong11,ROWS($1:51)),))</f>
        <v/>
      </c>
      <c r="D64" s="333" t="str">
        <f ca="1">IF(ROWS($1:51)&gt;COUNT(Dong11),"",OFFSET(TH!H$1,SMALL(Dong11,ROWS($1:51)),))</f>
        <v/>
      </c>
      <c r="E64" s="331" t="str">
        <f ca="1">IF(ROWS($1:51)&gt;COUNT(Dong11),"",IF(OFFSET(TH!L$1,SMALL(Dong11,ROWS($1:51)),)=$G$7,OFFSET(TH!M$1,SMALL(Dong11,ROWS($1:51)),),OFFSET(TH!L$1,SMALL(Dong11,ROWS($1:51)),)))</f>
        <v/>
      </c>
      <c r="F64" s="334">
        <f ca="1">IF(ROWS($1:51)&gt;COUNT(Dong11),0,OFFSET(TH!J$1,SMALL(Dong11,ROWS($1:51)),))</f>
        <v>0</v>
      </c>
      <c r="G64" s="334">
        <f ca="1">IF(ROWS($1:51)&gt;COUNT(Dong11),0,IF(MID(OFFSET(TH!D$1,SMALL(Dong11,ROWS($1:51)),),4,1)="N",OFFSET(TH!I$1,SMALL(Dong11,ROWS($1:51)),),0))</f>
        <v>0</v>
      </c>
      <c r="H64" s="335">
        <f t="shared" ca="1" si="16"/>
        <v>0</v>
      </c>
      <c r="I64" s="334">
        <f ca="1">IF(ROWS($1:51)&gt;COUNT(Dong11),0,IF(MID(OFFSET(TH!D$1,SMALL(Dong11,ROWS($1:51)),),4,1)="X",OFFSET(TH!I$1,SMALL(Dong11,ROWS($1:51)),),0))</f>
        <v>0</v>
      </c>
      <c r="J64" s="335">
        <f t="shared" ca="1" si="17"/>
        <v>0</v>
      </c>
      <c r="K64" s="335">
        <f t="shared" ca="1" si="18"/>
        <v>0</v>
      </c>
      <c r="L64" s="335">
        <f t="shared" ca="1" si="19"/>
        <v>0</v>
      </c>
      <c r="M64" s="335"/>
      <c r="N64" s="325"/>
    </row>
    <row r="65" spans="1:14">
      <c r="A65" s="296" t="str">
        <f t="shared" ca="1" si="15"/>
        <v/>
      </c>
      <c r="B65" s="331" t="str">
        <f ca="1">IF(ROWS($1:52)&gt;COUNT(Dong11),"",OFFSET(TH!D$1,SMALL(Dong11,ROWS($1:52)),))</f>
        <v/>
      </c>
      <c r="C65" s="332" t="str">
        <f ca="1">IF(ROWS($1:52)&gt;COUNT(Dong11),"",OFFSET(TH!E$1,SMALL(Dong11,ROWS($1:52)),))</f>
        <v/>
      </c>
      <c r="D65" s="333" t="str">
        <f ca="1">IF(ROWS($1:52)&gt;COUNT(Dong11),"",OFFSET(TH!H$1,SMALL(Dong11,ROWS($1:52)),))</f>
        <v/>
      </c>
      <c r="E65" s="331" t="str">
        <f ca="1">IF(ROWS($1:52)&gt;COUNT(Dong11),"",IF(OFFSET(TH!L$1,SMALL(Dong11,ROWS($1:52)),)=$G$7,OFFSET(TH!M$1,SMALL(Dong11,ROWS($1:52)),),OFFSET(TH!L$1,SMALL(Dong11,ROWS($1:52)),)))</f>
        <v/>
      </c>
      <c r="F65" s="334">
        <f ca="1">IF(ROWS($1:52)&gt;COUNT(Dong11),0,OFFSET(TH!J$1,SMALL(Dong11,ROWS($1:52)),))</f>
        <v>0</v>
      </c>
      <c r="G65" s="334">
        <f ca="1">IF(ROWS($1:52)&gt;COUNT(Dong11),0,IF(MID(OFFSET(TH!D$1,SMALL(Dong11,ROWS($1:52)),),4,1)="N",OFFSET(TH!I$1,SMALL(Dong11,ROWS($1:52)),),0))</f>
        <v>0</v>
      </c>
      <c r="H65" s="335">
        <f t="shared" ca="1" si="16"/>
        <v>0</v>
      </c>
      <c r="I65" s="334">
        <f ca="1">IF(ROWS($1:52)&gt;COUNT(Dong11),0,IF(MID(OFFSET(TH!D$1,SMALL(Dong11,ROWS($1:52)),),4,1)="X",OFFSET(TH!I$1,SMALL(Dong11,ROWS($1:52)),),0))</f>
        <v>0</v>
      </c>
      <c r="J65" s="335">
        <f t="shared" ca="1" si="17"/>
        <v>0</v>
      </c>
      <c r="K65" s="335">
        <f t="shared" ca="1" si="18"/>
        <v>0</v>
      </c>
      <c r="L65" s="335">
        <f t="shared" ca="1" si="19"/>
        <v>0</v>
      </c>
      <c r="M65" s="335"/>
      <c r="N65" s="325"/>
    </row>
    <row r="66" spans="1:14">
      <c r="A66" s="296" t="str">
        <f t="shared" ca="1" si="15"/>
        <v/>
      </c>
      <c r="B66" s="331" t="str">
        <f ca="1">IF(ROWS($1:53)&gt;COUNT(Dong11),"",OFFSET(TH!D$1,SMALL(Dong11,ROWS($1:53)),))</f>
        <v/>
      </c>
      <c r="C66" s="332" t="str">
        <f ca="1">IF(ROWS($1:53)&gt;COUNT(Dong11),"",OFFSET(TH!E$1,SMALL(Dong11,ROWS($1:53)),))</f>
        <v/>
      </c>
      <c r="D66" s="333" t="str">
        <f ca="1">IF(ROWS($1:53)&gt;COUNT(Dong11),"",OFFSET(TH!H$1,SMALL(Dong11,ROWS($1:53)),))</f>
        <v/>
      </c>
      <c r="E66" s="331" t="str">
        <f ca="1">IF(ROWS($1:53)&gt;COUNT(Dong11),"",IF(OFFSET(TH!L$1,SMALL(Dong11,ROWS($1:53)),)=$G$7,OFFSET(TH!M$1,SMALL(Dong11,ROWS($1:53)),),OFFSET(TH!L$1,SMALL(Dong11,ROWS($1:53)),)))</f>
        <v/>
      </c>
      <c r="F66" s="334">
        <f ca="1">IF(ROWS($1:53)&gt;COUNT(Dong11),0,OFFSET(TH!J$1,SMALL(Dong11,ROWS($1:53)),))</f>
        <v>0</v>
      </c>
      <c r="G66" s="334">
        <f ca="1">IF(ROWS($1:53)&gt;COUNT(Dong11),0,IF(MID(OFFSET(TH!D$1,SMALL(Dong11,ROWS($1:53)),),4,1)="N",OFFSET(TH!I$1,SMALL(Dong11,ROWS($1:53)),),0))</f>
        <v>0</v>
      </c>
      <c r="H66" s="335">
        <f t="shared" ca="1" si="16"/>
        <v>0</v>
      </c>
      <c r="I66" s="334">
        <f ca="1">IF(ROWS($1:53)&gt;COUNT(Dong11),0,IF(MID(OFFSET(TH!D$1,SMALL(Dong11,ROWS($1:53)),),4,1)="X",OFFSET(TH!I$1,SMALL(Dong11,ROWS($1:53)),),0))</f>
        <v>0</v>
      </c>
      <c r="J66" s="335">
        <f t="shared" ca="1" si="17"/>
        <v>0</v>
      </c>
      <c r="K66" s="335">
        <f t="shared" ca="1" si="18"/>
        <v>0</v>
      </c>
      <c r="L66" s="335">
        <f t="shared" ca="1" si="19"/>
        <v>0</v>
      </c>
      <c r="M66" s="335"/>
      <c r="N66" s="325"/>
    </row>
    <row r="67" spans="1:14">
      <c r="A67" s="296" t="str">
        <f t="shared" ca="1" si="15"/>
        <v/>
      </c>
      <c r="B67" s="331" t="str">
        <f ca="1">IF(ROWS($1:54)&gt;COUNT(Dong11),"",OFFSET(TH!D$1,SMALL(Dong11,ROWS($1:54)),))</f>
        <v/>
      </c>
      <c r="C67" s="332" t="str">
        <f ca="1">IF(ROWS($1:54)&gt;COUNT(Dong11),"",OFFSET(TH!E$1,SMALL(Dong11,ROWS($1:54)),))</f>
        <v/>
      </c>
      <c r="D67" s="333" t="str">
        <f ca="1">IF(ROWS($1:54)&gt;COUNT(Dong11),"",OFFSET(TH!H$1,SMALL(Dong11,ROWS($1:54)),))</f>
        <v/>
      </c>
      <c r="E67" s="331" t="str">
        <f ca="1">IF(ROWS($1:54)&gt;COUNT(Dong11),"",IF(OFFSET(TH!L$1,SMALL(Dong11,ROWS($1:54)),)=$G$7,OFFSET(TH!M$1,SMALL(Dong11,ROWS($1:54)),),OFFSET(TH!L$1,SMALL(Dong11,ROWS($1:54)),)))</f>
        <v/>
      </c>
      <c r="F67" s="334">
        <f ca="1">IF(ROWS($1:54)&gt;COUNT(Dong11),0,OFFSET(TH!J$1,SMALL(Dong11,ROWS($1:54)),))</f>
        <v>0</v>
      </c>
      <c r="G67" s="334">
        <f ca="1">IF(ROWS($1:54)&gt;COUNT(Dong11),0,IF(MID(OFFSET(TH!D$1,SMALL(Dong11,ROWS($1:54)),),4,1)="N",OFFSET(TH!I$1,SMALL(Dong11,ROWS($1:54)),),0))</f>
        <v>0</v>
      </c>
      <c r="H67" s="335">
        <f t="shared" ca="1" si="16"/>
        <v>0</v>
      </c>
      <c r="I67" s="334">
        <f ca="1">IF(ROWS($1:54)&gt;COUNT(Dong11),0,IF(MID(OFFSET(TH!D$1,SMALL(Dong11,ROWS($1:54)),),4,1)="X",OFFSET(TH!I$1,SMALL(Dong11,ROWS($1:54)),),0))</f>
        <v>0</v>
      </c>
      <c r="J67" s="335">
        <f t="shared" ca="1" si="17"/>
        <v>0</v>
      </c>
      <c r="K67" s="335">
        <f t="shared" ca="1" si="18"/>
        <v>0</v>
      </c>
      <c r="L67" s="335">
        <f t="shared" ca="1" si="19"/>
        <v>0</v>
      </c>
      <c r="M67" s="335"/>
      <c r="N67" s="325"/>
    </row>
    <row r="68" spans="1:14">
      <c r="A68" s="296" t="str">
        <f t="shared" ca="1" si="15"/>
        <v/>
      </c>
      <c r="B68" s="331" t="str">
        <f ca="1">IF(ROWS($1:55)&gt;COUNT(Dong11),"",OFFSET(TH!D$1,SMALL(Dong11,ROWS($1:55)),))</f>
        <v/>
      </c>
      <c r="C68" s="332" t="str">
        <f ca="1">IF(ROWS($1:55)&gt;COUNT(Dong11),"",OFFSET(TH!E$1,SMALL(Dong11,ROWS($1:55)),))</f>
        <v/>
      </c>
      <c r="D68" s="333" t="str">
        <f ca="1">IF(ROWS($1:55)&gt;COUNT(Dong11),"",OFFSET(TH!H$1,SMALL(Dong11,ROWS($1:55)),))</f>
        <v/>
      </c>
      <c r="E68" s="331" t="str">
        <f ca="1">IF(ROWS($1:55)&gt;COUNT(Dong11),"",IF(OFFSET(TH!L$1,SMALL(Dong11,ROWS($1:55)),)=$G$7,OFFSET(TH!M$1,SMALL(Dong11,ROWS($1:55)),),OFFSET(TH!L$1,SMALL(Dong11,ROWS($1:55)),)))</f>
        <v/>
      </c>
      <c r="F68" s="334">
        <f ca="1">IF(ROWS($1:55)&gt;COUNT(Dong11),0,OFFSET(TH!J$1,SMALL(Dong11,ROWS($1:55)),))</f>
        <v>0</v>
      </c>
      <c r="G68" s="334">
        <f ca="1">IF(ROWS($1:55)&gt;COUNT(Dong11),0,IF(MID(OFFSET(TH!D$1,SMALL(Dong11,ROWS($1:55)),),4,1)="N",OFFSET(TH!I$1,SMALL(Dong11,ROWS($1:55)),),0))</f>
        <v>0</v>
      </c>
      <c r="H68" s="335">
        <f t="shared" ca="1" si="16"/>
        <v>0</v>
      </c>
      <c r="I68" s="334">
        <f ca="1">IF(ROWS($1:55)&gt;COUNT(Dong11),0,IF(MID(OFFSET(TH!D$1,SMALL(Dong11,ROWS($1:55)),),4,1)="X",OFFSET(TH!I$1,SMALL(Dong11,ROWS($1:55)),),0))</f>
        <v>0</v>
      </c>
      <c r="J68" s="335">
        <f t="shared" ca="1" si="17"/>
        <v>0</v>
      </c>
      <c r="K68" s="335">
        <f t="shared" ca="1" si="18"/>
        <v>0</v>
      </c>
      <c r="L68" s="335">
        <f t="shared" ca="1" si="19"/>
        <v>0</v>
      </c>
      <c r="M68" s="335"/>
      <c r="N68" s="325"/>
    </row>
    <row r="69" spans="1:14">
      <c r="A69" s="296" t="str">
        <f t="shared" ca="1" si="15"/>
        <v/>
      </c>
      <c r="B69" s="331" t="str">
        <f ca="1">IF(ROWS($1:56)&gt;COUNT(Dong11),"",OFFSET(TH!D$1,SMALL(Dong11,ROWS($1:56)),))</f>
        <v/>
      </c>
      <c r="C69" s="332" t="str">
        <f ca="1">IF(ROWS($1:56)&gt;COUNT(Dong11),"",OFFSET(TH!E$1,SMALL(Dong11,ROWS($1:56)),))</f>
        <v/>
      </c>
      <c r="D69" s="333" t="str">
        <f ca="1">IF(ROWS($1:56)&gt;COUNT(Dong11),"",OFFSET(TH!H$1,SMALL(Dong11,ROWS($1:56)),))</f>
        <v/>
      </c>
      <c r="E69" s="331" t="str">
        <f ca="1">IF(ROWS($1:56)&gt;COUNT(Dong11),"",IF(OFFSET(TH!L$1,SMALL(Dong11,ROWS($1:56)),)=$G$7,OFFSET(TH!M$1,SMALL(Dong11,ROWS($1:56)),),OFFSET(TH!L$1,SMALL(Dong11,ROWS($1:56)),)))</f>
        <v/>
      </c>
      <c r="F69" s="334">
        <f ca="1">IF(ROWS($1:56)&gt;COUNT(Dong11),0,OFFSET(TH!J$1,SMALL(Dong11,ROWS($1:56)),))</f>
        <v>0</v>
      </c>
      <c r="G69" s="334">
        <f ca="1">IF(ROWS($1:56)&gt;COUNT(Dong11),0,IF(MID(OFFSET(TH!D$1,SMALL(Dong11,ROWS($1:56)),),4,1)="N",OFFSET(TH!I$1,SMALL(Dong11,ROWS($1:56)),),0))</f>
        <v>0</v>
      </c>
      <c r="H69" s="335">
        <f t="shared" ca="1" si="16"/>
        <v>0</v>
      </c>
      <c r="I69" s="334">
        <f ca="1">IF(ROWS($1:56)&gt;COUNT(Dong11),0,IF(MID(OFFSET(TH!D$1,SMALL(Dong11,ROWS($1:56)),),4,1)="X",OFFSET(TH!I$1,SMALL(Dong11,ROWS($1:56)),),0))</f>
        <v>0</v>
      </c>
      <c r="J69" s="335">
        <f t="shared" ca="1" si="17"/>
        <v>0</v>
      </c>
      <c r="K69" s="335">
        <f t="shared" ca="1" si="18"/>
        <v>0</v>
      </c>
      <c r="L69" s="335">
        <f t="shared" ca="1" si="19"/>
        <v>0</v>
      </c>
      <c r="M69" s="335"/>
      <c r="N69" s="325"/>
    </row>
    <row r="70" spans="1:14">
      <c r="A70" s="296" t="str">
        <f t="shared" ca="1" si="15"/>
        <v/>
      </c>
      <c r="B70" s="331" t="str">
        <f ca="1">IF(ROWS($1:57)&gt;COUNT(Dong11),"",OFFSET(TH!D$1,SMALL(Dong11,ROWS($1:57)),))</f>
        <v/>
      </c>
      <c r="C70" s="332" t="str">
        <f ca="1">IF(ROWS($1:57)&gt;COUNT(Dong11),"",OFFSET(TH!E$1,SMALL(Dong11,ROWS($1:57)),))</f>
        <v/>
      </c>
      <c r="D70" s="333" t="str">
        <f ca="1">IF(ROWS($1:57)&gt;COUNT(Dong11),"",OFFSET(TH!H$1,SMALL(Dong11,ROWS($1:57)),))</f>
        <v/>
      </c>
      <c r="E70" s="331" t="str">
        <f ca="1">IF(ROWS($1:57)&gt;COUNT(Dong11),"",IF(OFFSET(TH!L$1,SMALL(Dong11,ROWS($1:57)),)=$G$7,OFFSET(TH!M$1,SMALL(Dong11,ROWS($1:57)),),OFFSET(TH!L$1,SMALL(Dong11,ROWS($1:57)),)))</f>
        <v/>
      </c>
      <c r="F70" s="334">
        <f ca="1">IF(ROWS($1:57)&gt;COUNT(Dong11),0,OFFSET(TH!J$1,SMALL(Dong11,ROWS($1:57)),))</f>
        <v>0</v>
      </c>
      <c r="G70" s="334">
        <f ca="1">IF(ROWS($1:57)&gt;COUNT(Dong11),0,IF(MID(OFFSET(TH!D$1,SMALL(Dong11,ROWS($1:57)),),4,1)="N",OFFSET(TH!I$1,SMALL(Dong11,ROWS($1:57)),),0))</f>
        <v>0</v>
      </c>
      <c r="H70" s="335">
        <f t="shared" ca="1" si="16"/>
        <v>0</v>
      </c>
      <c r="I70" s="334">
        <f ca="1">IF(ROWS($1:57)&gt;COUNT(Dong11),0,IF(MID(OFFSET(TH!D$1,SMALL(Dong11,ROWS($1:57)),),4,1)="X",OFFSET(TH!I$1,SMALL(Dong11,ROWS($1:57)),),0))</f>
        <v>0</v>
      </c>
      <c r="J70" s="335">
        <f t="shared" ca="1" si="17"/>
        <v>0</v>
      </c>
      <c r="K70" s="335">
        <f t="shared" ca="1" si="18"/>
        <v>0</v>
      </c>
      <c r="L70" s="335">
        <f t="shared" ca="1" si="19"/>
        <v>0</v>
      </c>
      <c r="M70" s="335"/>
      <c r="N70" s="325"/>
    </row>
    <row r="71" spans="1:14">
      <c r="A71" s="296" t="str">
        <f t="shared" ca="1" si="15"/>
        <v/>
      </c>
      <c r="B71" s="331" t="str">
        <f ca="1">IF(ROWS($1:58)&gt;COUNT(Dong11),"",OFFSET(TH!D$1,SMALL(Dong11,ROWS($1:58)),))</f>
        <v/>
      </c>
      <c r="C71" s="332" t="str">
        <f ca="1">IF(ROWS($1:58)&gt;COUNT(Dong11),"",OFFSET(TH!E$1,SMALL(Dong11,ROWS($1:58)),))</f>
        <v/>
      </c>
      <c r="D71" s="333" t="str">
        <f ca="1">IF(ROWS($1:58)&gt;COUNT(Dong11),"",OFFSET(TH!H$1,SMALL(Dong11,ROWS($1:58)),))</f>
        <v/>
      </c>
      <c r="E71" s="331" t="str">
        <f ca="1">IF(ROWS($1:58)&gt;COUNT(Dong11),"",IF(OFFSET(TH!L$1,SMALL(Dong11,ROWS($1:58)),)=$G$7,OFFSET(TH!M$1,SMALL(Dong11,ROWS($1:58)),),OFFSET(TH!L$1,SMALL(Dong11,ROWS($1:58)),)))</f>
        <v/>
      </c>
      <c r="F71" s="334">
        <f ca="1">IF(ROWS($1:58)&gt;COUNT(Dong11),0,OFFSET(TH!J$1,SMALL(Dong11,ROWS($1:58)),))</f>
        <v>0</v>
      </c>
      <c r="G71" s="334">
        <f ca="1">IF(ROWS($1:58)&gt;COUNT(Dong11),0,IF(MID(OFFSET(TH!D$1,SMALL(Dong11,ROWS($1:58)),),4,1)="N",OFFSET(TH!I$1,SMALL(Dong11,ROWS($1:58)),),0))</f>
        <v>0</v>
      </c>
      <c r="H71" s="335">
        <f t="shared" ca="1" si="16"/>
        <v>0</v>
      </c>
      <c r="I71" s="334">
        <f ca="1">IF(ROWS($1:58)&gt;COUNT(Dong11),0,IF(MID(OFFSET(TH!D$1,SMALL(Dong11,ROWS($1:58)),),4,1)="X",OFFSET(TH!I$1,SMALL(Dong11,ROWS($1:58)),),0))</f>
        <v>0</v>
      </c>
      <c r="J71" s="335">
        <f t="shared" ca="1" si="17"/>
        <v>0</v>
      </c>
      <c r="K71" s="335">
        <f t="shared" ca="1" si="18"/>
        <v>0</v>
      </c>
      <c r="L71" s="335">
        <f t="shared" ca="1" si="19"/>
        <v>0</v>
      </c>
      <c r="M71" s="335"/>
      <c r="N71" s="325"/>
    </row>
    <row r="72" spans="1:14">
      <c r="A72" s="296" t="str">
        <f t="shared" ca="1" si="15"/>
        <v/>
      </c>
      <c r="B72" s="331" t="str">
        <f ca="1">IF(ROWS($1:59)&gt;COUNT(Dong11),"",OFFSET(TH!D$1,SMALL(Dong11,ROWS($1:59)),))</f>
        <v/>
      </c>
      <c r="C72" s="332" t="str">
        <f ca="1">IF(ROWS($1:59)&gt;COUNT(Dong11),"",OFFSET(TH!E$1,SMALL(Dong11,ROWS($1:59)),))</f>
        <v/>
      </c>
      <c r="D72" s="333" t="str">
        <f ca="1">IF(ROWS($1:59)&gt;COUNT(Dong11),"",OFFSET(TH!H$1,SMALL(Dong11,ROWS($1:59)),))</f>
        <v/>
      </c>
      <c r="E72" s="331" t="str">
        <f ca="1">IF(ROWS($1:59)&gt;COUNT(Dong11),"",IF(OFFSET(TH!L$1,SMALL(Dong11,ROWS($1:59)),)=$G$7,OFFSET(TH!M$1,SMALL(Dong11,ROWS($1:59)),),OFFSET(TH!L$1,SMALL(Dong11,ROWS($1:59)),)))</f>
        <v/>
      </c>
      <c r="F72" s="334">
        <f ca="1">IF(ROWS($1:59)&gt;COUNT(Dong11),0,OFFSET(TH!J$1,SMALL(Dong11,ROWS($1:59)),))</f>
        <v>0</v>
      </c>
      <c r="G72" s="334">
        <f ca="1">IF(ROWS($1:59)&gt;COUNT(Dong11),0,IF(MID(OFFSET(TH!D$1,SMALL(Dong11,ROWS($1:59)),),4,1)="N",OFFSET(TH!I$1,SMALL(Dong11,ROWS($1:59)),),0))</f>
        <v>0</v>
      </c>
      <c r="H72" s="335">
        <f t="shared" ca="1" si="16"/>
        <v>0</v>
      </c>
      <c r="I72" s="334">
        <f ca="1">IF(ROWS($1:59)&gt;COUNT(Dong11),0,IF(MID(OFFSET(TH!D$1,SMALL(Dong11,ROWS($1:59)),),4,1)="X",OFFSET(TH!I$1,SMALL(Dong11,ROWS($1:59)),),0))</f>
        <v>0</v>
      </c>
      <c r="J72" s="335">
        <f t="shared" ca="1" si="17"/>
        <v>0</v>
      </c>
      <c r="K72" s="335">
        <f t="shared" ca="1" si="18"/>
        <v>0</v>
      </c>
      <c r="L72" s="335">
        <f t="shared" ca="1" si="19"/>
        <v>0</v>
      </c>
      <c r="M72" s="335"/>
      <c r="N72" s="325"/>
    </row>
    <row r="73" spans="1:14">
      <c r="A73" s="296" t="str">
        <f>IF(B73="","",#REF!+1)</f>
        <v/>
      </c>
      <c r="B73" s="338"/>
      <c r="C73" s="339"/>
      <c r="D73" s="333"/>
      <c r="E73" s="340"/>
      <c r="F73" s="341"/>
      <c r="G73" s="327"/>
      <c r="H73" s="327"/>
      <c r="I73" s="327"/>
      <c r="J73" s="327"/>
      <c r="K73" s="327"/>
      <c r="L73" s="327"/>
      <c r="M73" s="342"/>
      <c r="N73" s="325"/>
    </row>
    <row r="74" spans="1:14">
      <c r="A74" s="343"/>
      <c r="B74" s="343"/>
      <c r="C74" s="343"/>
      <c r="D74" s="343" t="s">
        <v>211</v>
      </c>
      <c r="E74" s="323" t="s">
        <v>19</v>
      </c>
      <c r="F74" s="323" t="s">
        <v>19</v>
      </c>
      <c r="G74" s="344">
        <f ca="1">SUM(G14:G73)</f>
        <v>0</v>
      </c>
      <c r="H74" s="344">
        <f ca="1">SUM(H14:H73)</f>
        <v>0</v>
      </c>
      <c r="I74" s="344">
        <f ca="1">SUM(I14:I73)</f>
        <v>0</v>
      </c>
      <c r="J74" s="344">
        <f ca="1">SUM(J14:J73)</f>
        <v>0</v>
      </c>
      <c r="K74" s="344">
        <f ca="1">K13+G74-I74</f>
        <v>0</v>
      </c>
      <c r="L74" s="344">
        <f ca="1">L13+H74-J74</f>
        <v>0</v>
      </c>
      <c r="M74" s="343"/>
      <c r="N74" s="325"/>
    </row>
    <row r="75" spans="1:14">
      <c r="B75" s="345" t="s">
        <v>212</v>
      </c>
      <c r="G75" s="337"/>
      <c r="N75" s="325"/>
    </row>
    <row r="76" spans="1:14">
      <c r="B76" s="346" t="str">
        <f ca="1">IF(ISERROR(" - Ngày mở sổ: ngày "&amp;DAY(C14)&amp;" tháng "&amp;MONTH(C14)&amp;" năm "&amp;YEAR(C14))," - Ngày mở sổ: ngày 01 tháng  01 năm 2016 "," - Ngày mở sổ: ngày "&amp;DAY(C14)&amp;" tháng "&amp;MONTH(C14)&amp;" năm "&amp;YEAR(C14))</f>
        <v xml:space="preserve"> - Ngày mở sổ: ngày 25 tháng 9 năm 2015</v>
      </c>
      <c r="G76" s="337"/>
      <c r="I76" s="337"/>
      <c r="N76" s="325"/>
    </row>
    <row r="77" spans="1:14">
      <c r="B77" s="312"/>
      <c r="C77" s="312"/>
      <c r="D77" s="312"/>
      <c r="F77" s="312"/>
      <c r="G77" s="347"/>
      <c r="H77" s="313"/>
      <c r="I77" s="348"/>
      <c r="J77" s="1096" t="str">
        <f ca="1">"Ngày 31 tháng  12  năm  "&amp;YEAR($A$14)</f>
        <v>Ngày 31 tháng  12  năm  1900</v>
      </c>
      <c r="K77" s="1096"/>
      <c r="L77" s="1096"/>
      <c r="M77" s="1096"/>
      <c r="N77" s="325"/>
    </row>
    <row r="78" spans="1:14">
      <c r="C78" s="312"/>
      <c r="D78" s="530" t="s">
        <v>11</v>
      </c>
      <c r="E78" s="1096" t="s">
        <v>12</v>
      </c>
      <c r="F78" s="1096"/>
      <c r="G78" s="1096"/>
      <c r="H78" s="1096"/>
      <c r="I78" s="1096"/>
      <c r="J78" s="1096" t="s">
        <v>109</v>
      </c>
      <c r="K78" s="1096"/>
      <c r="L78" s="1096"/>
      <c r="M78" s="1096"/>
      <c r="N78" s="325"/>
    </row>
    <row r="79" spans="1:14">
      <c r="C79" s="312"/>
      <c r="D79" s="530" t="s">
        <v>13</v>
      </c>
      <c r="E79" s="1096" t="s">
        <v>13</v>
      </c>
      <c r="F79" s="1096"/>
      <c r="G79" s="1096"/>
      <c r="H79" s="1096" t="s">
        <v>136</v>
      </c>
      <c r="I79" s="1096"/>
      <c r="J79" s="1096" t="s">
        <v>136</v>
      </c>
      <c r="K79" s="1096"/>
      <c r="L79" s="1096"/>
      <c r="M79" s="1096"/>
      <c r="N79" s="325"/>
    </row>
    <row r="80" spans="1:14">
      <c r="N80" s="349"/>
    </row>
    <row r="81" spans="4:14">
      <c r="E81" s="300"/>
    </row>
    <row r="83" spans="4:14" customFormat="1" ht="12.75">
      <c r="E83" s="350"/>
    </row>
    <row r="88" spans="4:14">
      <c r="D88" s="558" t="s">
        <v>151</v>
      </c>
      <c r="E88" s="558"/>
      <c r="J88" s="1092" t="s">
        <v>103</v>
      </c>
      <c r="K88" s="1092"/>
      <c r="L88" s="1092"/>
      <c r="M88" s="1092"/>
      <c r="N88" s="559"/>
    </row>
  </sheetData>
  <mergeCells count="20">
    <mergeCell ref="J2:M2"/>
    <mergeCell ref="J3:M4"/>
    <mergeCell ref="B5:M5"/>
    <mergeCell ref="B6:M6"/>
    <mergeCell ref="J8:L8"/>
    <mergeCell ref="J88:M88"/>
    <mergeCell ref="A10:A11"/>
    <mergeCell ref="B10:C10"/>
    <mergeCell ref="D10:D11"/>
    <mergeCell ref="E10:E11"/>
    <mergeCell ref="F10:F11"/>
    <mergeCell ref="E79:I79"/>
    <mergeCell ref="J79:M79"/>
    <mergeCell ref="G10:H10"/>
    <mergeCell ref="I10:J10"/>
    <mergeCell ref="K10:L10"/>
    <mergeCell ref="M10:M11"/>
    <mergeCell ref="J77:M77"/>
    <mergeCell ref="E78:I78"/>
    <mergeCell ref="J78:M78"/>
  </mergeCells>
  <conditionalFormatting sqref="D73 I14:M72 B14:G72">
    <cfRule type="expression" dxfId="1"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6"/>
  <sheetViews>
    <sheetView topLeftCell="A4" zoomScale="90" workbookViewId="0">
      <pane ySplit="10" topLeftCell="A14" activePane="bottomLeft" state="frozen"/>
      <selection activeCell="A4" sqref="A4"/>
      <selection pane="bottomLeft" activeCell="E7" sqref="E7"/>
    </sheetView>
  </sheetViews>
  <sheetFormatPr defaultRowHeight="14.25"/>
  <cols>
    <col min="1" max="1" width="4.42578125" style="354" customWidth="1"/>
    <col min="2" max="2" width="9.140625" style="354"/>
    <col min="3" max="3" width="9.140625" style="413" customWidth="1"/>
    <col min="4" max="4" width="10.85546875" style="413" customWidth="1"/>
    <col min="5" max="5" width="39.42578125" style="414" customWidth="1"/>
    <col min="6" max="6" width="10.85546875" style="415" customWidth="1"/>
    <col min="7" max="7" width="9" style="416" customWidth="1"/>
    <col min="8" max="8" width="9.5703125" style="416" customWidth="1"/>
    <col min="9" max="9" width="10" style="416" customWidth="1"/>
    <col min="10" max="10" width="8" style="354" customWidth="1"/>
    <col min="11" max="11" width="2.42578125" style="354" customWidth="1"/>
    <col min="12" max="12" width="6.5703125" style="354" customWidth="1"/>
    <col min="13" max="16384" width="9.140625" style="354"/>
  </cols>
  <sheetData>
    <row r="1" spans="1:12" ht="15" customHeight="1">
      <c r="A1" s="351" t="str">
        <f>TH!A1</f>
        <v>Đơn vị: CÔNG TY TNHH MỘT THÀNH VIÊN KHỞI NGUYÊN AN</v>
      </c>
      <c r="B1" s="352"/>
      <c r="C1" s="352"/>
      <c r="D1" s="352"/>
      <c r="E1" s="353"/>
      <c r="F1" s="1105" t="s">
        <v>213</v>
      </c>
      <c r="G1" s="1105"/>
      <c r="H1" s="1105"/>
      <c r="I1" s="1105"/>
      <c r="J1" s="1105"/>
      <c r="K1" s="355"/>
      <c r="L1" s="356"/>
    </row>
    <row r="2" spans="1:12" ht="15" customHeight="1">
      <c r="A2" s="590" t="str">
        <f>TH!A2</f>
        <v>Địa chỉ: Thửa đất số 144, tờ bản đồ số 12TĐH.1, tổ 1, khu phố Đông Tác, Phường Tân Đông Hiệp, Thị Xã Dĩ An, Tỉnh Bình Dương, Việt Nam</v>
      </c>
      <c r="B2" s="357"/>
      <c r="C2" s="357"/>
      <c r="D2" s="357"/>
      <c r="E2" s="358"/>
      <c r="F2" s="1104" t="e">
        <f ca="1">IF(YEAR($B$14)&gt;=2015,"(Ban hành theo Thông tư số 200/2014/TT-BTC  Ngày 22/12/2014 của Bộ Tài chính)","(Ban hành kèm theo QĐ 48/2006/QĐ-BTC ngày 24/09/2006 của Bộ trưởng BTC)")</f>
        <v>#VALUE!</v>
      </c>
      <c r="G2" s="1104"/>
      <c r="H2" s="1104"/>
      <c r="I2" s="1104"/>
      <c r="J2" s="1104"/>
      <c r="K2" s="355"/>
    </row>
    <row r="3" spans="1:12" ht="15">
      <c r="A3" s="357"/>
      <c r="B3" s="357"/>
      <c r="C3" s="357"/>
      <c r="D3" s="357"/>
      <c r="E3" s="358"/>
      <c r="F3" s="1104"/>
      <c r="G3" s="1104"/>
      <c r="H3" s="1104"/>
      <c r="I3" s="1104"/>
      <c r="J3" s="1104"/>
      <c r="K3" s="355"/>
    </row>
    <row r="4" spans="1:12" ht="18.75" customHeight="1">
      <c r="A4" s="360"/>
      <c r="B4" s="360"/>
      <c r="C4" s="360"/>
      <c r="D4" s="360"/>
      <c r="E4" s="361" t="s">
        <v>214</v>
      </c>
      <c r="F4" s="360"/>
      <c r="G4" s="360"/>
      <c r="H4" s="360"/>
      <c r="I4" s="360"/>
      <c r="J4" s="355"/>
      <c r="K4" s="355"/>
    </row>
    <row r="5" spans="1:12" ht="15">
      <c r="A5" s="362"/>
      <c r="B5" s="362"/>
      <c r="C5" s="362"/>
      <c r="D5" s="362"/>
      <c r="E5" s="363" t="str">
        <f ca="1">IF(ISERROR("Ngày lập thẻ: ngày "&amp;DAY(B14)&amp;"/"&amp;MONTH(B14)&amp;"/"&amp;YEAR(B14)),"Ngày lập thẻ: ngày 01/ 01/2016 ","Ngày lập thẻ: ngày "&amp;DAY(B14)&amp;"/"&amp;MONTH(B14)&amp;"/"&amp;YEAR(B14))</f>
        <v xml:space="preserve">Ngày lập thẻ: ngày 01/ 01/2016 </v>
      </c>
      <c r="F5" s="362"/>
      <c r="G5" s="362"/>
      <c r="H5" s="362"/>
      <c r="I5" s="362"/>
      <c r="J5" s="355"/>
      <c r="K5" s="355"/>
    </row>
    <row r="6" spans="1:12" ht="15">
      <c r="A6" s="362"/>
      <c r="B6" s="362"/>
      <c r="C6" s="362"/>
      <c r="D6" s="362"/>
      <c r="E6" s="363" t="s">
        <v>215</v>
      </c>
      <c r="F6" s="362"/>
      <c r="G6" s="362"/>
      <c r="H6" s="362"/>
      <c r="I6" s="362"/>
      <c r="J6" s="355"/>
      <c r="K6" s="355"/>
    </row>
    <row r="7" spans="1:12" ht="15">
      <c r="A7" s="346" t="s">
        <v>216</v>
      </c>
      <c r="B7" s="346"/>
      <c r="C7" s="364"/>
      <c r="D7" s="364"/>
      <c r="E7" s="365" t="s">
        <v>419</v>
      </c>
      <c r="F7" s="359"/>
      <c r="G7" s="366"/>
      <c r="H7" s="366"/>
      <c r="I7" s="366"/>
      <c r="J7" s="355"/>
      <c r="K7" s="355"/>
    </row>
    <row r="8" spans="1:12" ht="15">
      <c r="A8" s="346" t="s">
        <v>217</v>
      </c>
      <c r="B8" s="346"/>
      <c r="C8" s="355" t="e">
        <f>VLOOKUP($E$7,NXT!$C$12:$L$469,2,0)</f>
        <v>#N/A</v>
      </c>
      <c r="D8" s="346"/>
      <c r="E8" s="365"/>
      <c r="F8" s="359"/>
      <c r="G8" s="366"/>
      <c r="H8" s="366"/>
      <c r="I8" s="366"/>
      <c r="J8" s="355"/>
      <c r="K8" s="355"/>
    </row>
    <row r="9" spans="1:12" ht="15">
      <c r="A9" s="1106" t="s">
        <v>218</v>
      </c>
      <c r="B9" s="1107"/>
      <c r="C9" s="1107"/>
      <c r="D9" s="1107"/>
      <c r="E9" s="365"/>
      <c r="F9" s="359"/>
      <c r="G9" s="366"/>
      <c r="H9" s="366"/>
      <c r="I9" s="366"/>
      <c r="J9" s="367"/>
      <c r="K9" s="367"/>
    </row>
    <row r="10" spans="1:12" ht="19.5" customHeight="1">
      <c r="A10" s="1108" t="s">
        <v>219</v>
      </c>
      <c r="B10" s="1109" t="s">
        <v>220</v>
      </c>
      <c r="C10" s="1111" t="s">
        <v>15</v>
      </c>
      <c r="D10" s="1112"/>
      <c r="E10" s="1113" t="s">
        <v>0</v>
      </c>
      <c r="F10" s="1122" t="s">
        <v>221</v>
      </c>
      <c r="G10" s="1116" t="s">
        <v>191</v>
      </c>
      <c r="H10" s="1116"/>
      <c r="I10" s="1112"/>
      <c r="J10" s="1117" t="s">
        <v>222</v>
      </c>
      <c r="K10" s="368"/>
      <c r="L10" s="369" t="s">
        <v>198</v>
      </c>
    </row>
    <row r="11" spans="1:12" ht="19.5" customHeight="1">
      <c r="A11" s="1108"/>
      <c r="B11" s="1110"/>
      <c r="C11" s="370" t="s">
        <v>205</v>
      </c>
      <c r="D11" s="370" t="s">
        <v>206</v>
      </c>
      <c r="E11" s="1114"/>
      <c r="F11" s="1123"/>
      <c r="G11" s="371" t="s">
        <v>205</v>
      </c>
      <c r="H11" s="371" t="s">
        <v>206</v>
      </c>
      <c r="I11" s="371" t="s">
        <v>207</v>
      </c>
      <c r="J11" s="1118"/>
      <c r="K11" s="368"/>
    </row>
    <row r="12" spans="1:12" ht="15">
      <c r="A12" s="372" t="s">
        <v>2</v>
      </c>
      <c r="B12" s="373" t="s">
        <v>3</v>
      </c>
      <c r="C12" s="374" t="s">
        <v>4</v>
      </c>
      <c r="D12" s="374" t="s">
        <v>5</v>
      </c>
      <c r="E12" s="375" t="s">
        <v>6</v>
      </c>
      <c r="F12" s="373" t="s">
        <v>130</v>
      </c>
      <c r="G12" s="376">
        <v>1</v>
      </c>
      <c r="H12" s="376">
        <v>2</v>
      </c>
      <c r="I12" s="376">
        <v>3</v>
      </c>
      <c r="J12" s="374" t="s">
        <v>131</v>
      </c>
      <c r="K12" s="377"/>
    </row>
    <row r="13" spans="1:12" ht="16.5" customHeight="1">
      <c r="A13" s="378"/>
      <c r="B13" s="379"/>
      <c r="C13" s="380"/>
      <c r="D13" s="380"/>
      <c r="E13" s="381" t="s">
        <v>183</v>
      </c>
      <c r="F13" s="379"/>
      <c r="G13" s="382"/>
      <c r="H13" s="382"/>
      <c r="I13" s="383" t="e">
        <f>VLOOKUP($E$7,NXT!$C$12:$L$469,3,0)</f>
        <v>#N/A</v>
      </c>
      <c r="J13" s="378"/>
      <c r="K13" s="384"/>
    </row>
    <row r="14" spans="1:12" ht="16.5" customHeight="1">
      <c r="A14" s="385" t="str">
        <f ca="1">IF(B14&lt;&gt;"",ROW()-(ROW()-1),"")</f>
        <v/>
      </c>
      <c r="B14" s="386" t="str">
        <f ca="1">IF(ROWS($1:1)&gt;COUNT(Dong12),"",OFFSET(TH!E$1,SMALL(Dong12,ROWS($1:1)),))</f>
        <v/>
      </c>
      <c r="C14" s="440" t="str">
        <f ca="1">IF(ROWS($1:1)&gt;COUNT(Dong12),"",IF(MID(OFFSET(TH!D$1,SMALL(Dong12,ROWS($1:1)),),4,1)="N",OFFSET(TH!D$1,SMALL(Dong12,ROWS($1:1)),),""))</f>
        <v/>
      </c>
      <c r="D14" s="386" t="str">
        <f ca="1">IF(ROWS($1:1)&gt;COUNT(Dong12),"",IF(MID(OFFSET(TH!D$1,SMALL(Dong12,ROWS($1:1)),),4,1)="X",OFFSET(TH!D$1,SMALL(Dong12,ROWS($1:1)),),""))</f>
        <v/>
      </c>
      <c r="E14" s="631" t="str">
        <f ca="1">IF(ROWS($1:1)&gt;COUNT(Dong12),"",OFFSET(TH!H$1,SMALL(Dong12,ROWS($1:1)),))</f>
        <v/>
      </c>
      <c r="F14" s="386" t="str">
        <f ca="1">B14</f>
        <v/>
      </c>
      <c r="G14" s="387">
        <f ca="1">IF(ROWS($1:1)&gt;COUNT(Dong12),0,IF(MID(OFFSET(TH!D$1,SMALL(Dong12,ROWS($1:1)),),4,1)="N",OFFSET(TH!I$1,SMALL(Dong12,ROWS($1:1)),),0))</f>
        <v>0</v>
      </c>
      <c r="H14" s="387">
        <f ca="1">IF(ROWS($1:1)&gt;COUNT(Dong12),0,IF(MID(OFFSET(TH!D$1,SMALL(Dong12,ROWS($1:1)),),4,1)="X",OFFSET(TH!I$1,SMALL(Dong12,ROWS($1:1)),),0))</f>
        <v>0</v>
      </c>
      <c r="I14" s="388">
        <f ca="1">IF(E14&lt;&gt;"",I13+G14-H14,0)</f>
        <v>0</v>
      </c>
      <c r="J14" s="389"/>
      <c r="K14" s="390"/>
    </row>
    <row r="15" spans="1:12" ht="16.5" customHeight="1">
      <c r="A15" s="391" t="str">
        <f ca="1">IF(B15&lt;&gt;"",A14+1,"")</f>
        <v/>
      </c>
      <c r="B15" s="386" t="str">
        <f ca="1">IF(ROWS($1:2)&gt;COUNT(Dong12),"",OFFSET(TH!E$1,SMALL(Dong12,ROWS($1:2)),))</f>
        <v/>
      </c>
      <c r="C15" s="440" t="str">
        <f ca="1">IF(ROWS($1:2)&gt;COUNT(Dong12),"",IF(MID(OFFSET(TH!D$1,SMALL(Dong12,ROWS($1:2)),),4,1)="N",OFFSET(TH!D$1,SMALL(Dong12,ROWS($1:2)),),""))</f>
        <v/>
      </c>
      <c r="D15" s="386" t="str">
        <f ca="1">IF(ROWS($1:2)&gt;COUNT(Dong12),"",IF(MID(OFFSET(TH!D$1,SMALL(Dong12,ROWS($1:2)),),4,1)="X",OFFSET(TH!D$1,SMALL(Dong12,ROWS($1:2)),),""))</f>
        <v/>
      </c>
      <c r="E15" s="631" t="str">
        <f ca="1">IF(ROWS($1:2)&gt;COUNT(Dong12),"",OFFSET(TH!H$1,SMALL(Dong12,ROWS($1:2)),))</f>
        <v/>
      </c>
      <c r="F15" s="386" t="str">
        <f t="shared" ref="F15:F30" ca="1" si="0">B15</f>
        <v/>
      </c>
      <c r="G15" s="387">
        <f ca="1">IF(ROWS($1:2)&gt;COUNT(Dong12),0,IF(MID(OFFSET(TH!D$1,SMALL(Dong12,ROWS($1:2)),),4,1)="N",OFFSET(TH!I$1,SMALL(Dong12,ROWS($1:2)),),0))</f>
        <v>0</v>
      </c>
      <c r="H15" s="387">
        <f ca="1">IF(ROWS($1:2)&gt;COUNT(Dong12),0,IF(MID(OFFSET(TH!D$1,SMALL(Dong12,ROWS($1:2)),),4,1)="X",OFFSET(TH!I$1,SMALL(Dong12,ROWS($1:2)),),0))</f>
        <v>0</v>
      </c>
      <c r="I15" s="388">
        <f t="shared" ref="I15:I30" ca="1" si="1">IF(E15&lt;&gt;"",I14+G15-H15,0)</f>
        <v>0</v>
      </c>
      <c r="J15" s="389"/>
      <c r="K15" s="390"/>
    </row>
    <row r="16" spans="1:12" ht="16.5" customHeight="1">
      <c r="A16" s="391" t="str">
        <f t="shared" ref="A16:A30" ca="1" si="2">IF(B16&lt;&gt;"",A15+1,"")</f>
        <v/>
      </c>
      <c r="B16" s="386" t="str">
        <f ca="1">IF(ROWS($1:3)&gt;COUNT(Dong12),"",OFFSET(TH!E$1,SMALL(Dong12,ROWS($1:3)),))</f>
        <v/>
      </c>
      <c r="C16" s="440" t="str">
        <f ca="1">IF(ROWS($1:3)&gt;COUNT(Dong12),"",IF(MID(OFFSET(TH!D$1,SMALL(Dong12,ROWS($1:3)),),4,1)="N",OFFSET(TH!D$1,SMALL(Dong12,ROWS($1:3)),),""))</f>
        <v/>
      </c>
      <c r="D16" s="386" t="str">
        <f ca="1">IF(ROWS($1:3)&gt;COUNT(Dong12),"",IF(MID(OFFSET(TH!D$1,SMALL(Dong12,ROWS($1:3)),),4,1)="X",OFFSET(TH!D$1,SMALL(Dong12,ROWS($1:3)),),""))</f>
        <v/>
      </c>
      <c r="E16" s="631" t="str">
        <f ca="1">IF(ROWS($1:3)&gt;COUNT(Dong12),"",OFFSET(TH!H$1,SMALL(Dong12,ROWS($1:3)),))</f>
        <v/>
      </c>
      <c r="F16" s="386" t="str">
        <f t="shared" ca="1" si="0"/>
        <v/>
      </c>
      <c r="G16" s="387">
        <f ca="1">IF(ROWS($1:3)&gt;COUNT(Dong12),0,IF(MID(OFFSET(TH!D$1,SMALL(Dong12,ROWS($1:3)),),4,1)="N",OFFSET(TH!I$1,SMALL(Dong12,ROWS($1:3)),),0))</f>
        <v>0</v>
      </c>
      <c r="H16" s="387">
        <f ca="1">IF(ROWS($1:3)&gt;COUNT(Dong12),0,IF(MID(OFFSET(TH!D$1,SMALL(Dong12,ROWS($1:3)),),4,1)="X",OFFSET(TH!I$1,SMALL(Dong12,ROWS($1:3)),),0))</f>
        <v>0</v>
      </c>
      <c r="I16" s="388">
        <f t="shared" ca="1" si="1"/>
        <v>0</v>
      </c>
      <c r="J16" s="389"/>
      <c r="K16" s="390"/>
    </row>
    <row r="17" spans="1:11" ht="16.5" customHeight="1">
      <c r="A17" s="391" t="str">
        <f t="shared" ca="1" si="2"/>
        <v/>
      </c>
      <c r="B17" s="386" t="str">
        <f ca="1">IF(ROWS($1:4)&gt;COUNT(Dong12),"",OFFSET(TH!E$1,SMALL(Dong12,ROWS($1:4)),))</f>
        <v/>
      </c>
      <c r="C17" s="440" t="str">
        <f ca="1">IF(ROWS($1:4)&gt;COUNT(Dong12),"",IF(MID(OFFSET(TH!D$1,SMALL(Dong12,ROWS($1:4)),),4,1)="N",OFFSET(TH!D$1,SMALL(Dong12,ROWS($1:4)),),""))</f>
        <v/>
      </c>
      <c r="D17" s="386" t="str">
        <f ca="1">IF(ROWS($1:4)&gt;COUNT(Dong12),"",IF(MID(OFFSET(TH!D$1,SMALL(Dong12,ROWS($1:4)),),4,1)="X",OFFSET(TH!D$1,SMALL(Dong12,ROWS($1:4)),),""))</f>
        <v/>
      </c>
      <c r="E17" s="631" t="str">
        <f ca="1">IF(ROWS($1:4)&gt;COUNT(Dong12),"",OFFSET(TH!H$1,SMALL(Dong12,ROWS($1:4)),))</f>
        <v/>
      </c>
      <c r="F17" s="386" t="str">
        <f t="shared" ca="1" si="0"/>
        <v/>
      </c>
      <c r="G17" s="387">
        <f ca="1">IF(ROWS($1:4)&gt;COUNT(Dong12),0,IF(MID(OFFSET(TH!D$1,SMALL(Dong12,ROWS($1:4)),),4,1)="N",OFFSET(TH!I$1,SMALL(Dong12,ROWS($1:4)),),0))</f>
        <v>0</v>
      </c>
      <c r="H17" s="387">
        <f ca="1">IF(ROWS($1:4)&gt;COUNT(Dong12),0,IF(MID(OFFSET(TH!D$1,SMALL(Dong12,ROWS($1:4)),),4,1)="X",OFFSET(TH!I$1,SMALL(Dong12,ROWS($1:4)),),0))</f>
        <v>0</v>
      </c>
      <c r="I17" s="388">
        <f t="shared" ca="1" si="1"/>
        <v>0</v>
      </c>
      <c r="J17" s="389"/>
      <c r="K17" s="390"/>
    </row>
    <row r="18" spans="1:11" ht="16.5" customHeight="1">
      <c r="A18" s="391" t="str">
        <f t="shared" ca="1" si="2"/>
        <v/>
      </c>
      <c r="B18" s="386" t="str">
        <f ca="1">IF(ROWS($1:5)&gt;COUNT(Dong12),"",OFFSET(TH!E$1,SMALL(Dong12,ROWS($1:5)),))</f>
        <v/>
      </c>
      <c r="C18" s="440" t="str">
        <f ca="1">IF(ROWS($1:5)&gt;COUNT(Dong12),"",IF(MID(OFFSET(TH!D$1,SMALL(Dong12,ROWS($1:5)),),4,1)="N",OFFSET(TH!D$1,SMALL(Dong12,ROWS($1:5)),),""))</f>
        <v/>
      </c>
      <c r="D18" s="386" t="str">
        <f ca="1">IF(ROWS($1:5)&gt;COUNT(Dong12),"",IF(MID(OFFSET(TH!D$1,SMALL(Dong12,ROWS($1:5)),),4,1)="X",OFFSET(TH!D$1,SMALL(Dong12,ROWS($1:5)),),""))</f>
        <v/>
      </c>
      <c r="E18" s="631" t="str">
        <f ca="1">IF(ROWS($1:5)&gt;COUNT(Dong12),"",OFFSET(TH!H$1,SMALL(Dong12,ROWS($1:5)),))</f>
        <v/>
      </c>
      <c r="F18" s="386" t="str">
        <f t="shared" ca="1" si="0"/>
        <v/>
      </c>
      <c r="G18" s="387">
        <f ca="1">IF(ROWS($1:5)&gt;COUNT(Dong12),0,IF(MID(OFFSET(TH!D$1,SMALL(Dong12,ROWS($1:5)),),4,1)="N",OFFSET(TH!I$1,SMALL(Dong12,ROWS($1:5)),),0))</f>
        <v>0</v>
      </c>
      <c r="H18" s="387">
        <f ca="1">IF(ROWS($1:5)&gt;COUNT(Dong12),0,IF(MID(OFFSET(TH!D$1,SMALL(Dong12,ROWS($1:5)),),4,1)="X",OFFSET(TH!I$1,SMALL(Dong12,ROWS($1:5)),),0))</f>
        <v>0</v>
      </c>
      <c r="I18" s="388">
        <f t="shared" ca="1" si="1"/>
        <v>0</v>
      </c>
      <c r="J18" s="389"/>
      <c r="K18" s="390"/>
    </row>
    <row r="19" spans="1:11" ht="16.5" customHeight="1">
      <c r="A19" s="391" t="str">
        <f t="shared" ca="1" si="2"/>
        <v/>
      </c>
      <c r="B19" s="386" t="str">
        <f ca="1">IF(ROWS($1:6)&gt;COUNT(Dong12),"",OFFSET(TH!E$1,SMALL(Dong12,ROWS($1:6)),))</f>
        <v/>
      </c>
      <c r="C19" s="440" t="str">
        <f ca="1">IF(ROWS($1:6)&gt;COUNT(Dong12),"",IF(MID(OFFSET(TH!D$1,SMALL(Dong12,ROWS($1:6)),),4,1)="N",OFFSET(TH!D$1,SMALL(Dong12,ROWS($1:6)),),""))</f>
        <v/>
      </c>
      <c r="D19" s="386" t="str">
        <f ca="1">IF(ROWS($1:6)&gt;COUNT(Dong12),"",IF(MID(OFFSET(TH!D$1,SMALL(Dong12,ROWS($1:6)),),4,1)="X",OFFSET(TH!D$1,SMALL(Dong12,ROWS($1:6)),),""))</f>
        <v/>
      </c>
      <c r="E19" s="631" t="str">
        <f ca="1">IF(ROWS($1:6)&gt;COUNT(Dong12),"",OFFSET(TH!H$1,SMALL(Dong12,ROWS($1:6)),))</f>
        <v/>
      </c>
      <c r="F19" s="386" t="str">
        <f t="shared" ca="1" si="0"/>
        <v/>
      </c>
      <c r="G19" s="387">
        <f ca="1">IF(ROWS($1:6)&gt;COUNT(Dong12),0,IF(MID(OFFSET(TH!D$1,SMALL(Dong12,ROWS($1:6)),),4,1)="N",OFFSET(TH!I$1,SMALL(Dong12,ROWS($1:6)),),0))</f>
        <v>0</v>
      </c>
      <c r="H19" s="387">
        <f ca="1">IF(ROWS($1:6)&gt;COUNT(Dong12),0,IF(MID(OFFSET(TH!D$1,SMALL(Dong12,ROWS($1:6)),),4,1)="X",OFFSET(TH!I$1,SMALL(Dong12,ROWS($1:6)),),0))</f>
        <v>0</v>
      </c>
      <c r="I19" s="388">
        <f t="shared" ca="1" si="1"/>
        <v>0</v>
      </c>
      <c r="J19" s="389"/>
      <c r="K19" s="390"/>
    </row>
    <row r="20" spans="1:11" ht="16.5" customHeight="1">
      <c r="A20" s="391" t="str">
        <f t="shared" ca="1" si="2"/>
        <v/>
      </c>
      <c r="B20" s="386" t="str">
        <f ca="1">IF(ROWS($1:7)&gt;COUNT(Dong12),"",OFFSET(TH!E$1,SMALL(Dong12,ROWS($1:7)),))</f>
        <v/>
      </c>
      <c r="C20" s="440" t="str">
        <f ca="1">IF(ROWS($1:7)&gt;COUNT(Dong12),"",IF(MID(OFFSET(TH!D$1,SMALL(Dong12,ROWS($1:7)),),4,1)="N",OFFSET(TH!D$1,SMALL(Dong12,ROWS($1:7)),),""))</f>
        <v/>
      </c>
      <c r="D20" s="386" t="str">
        <f ca="1">IF(ROWS($1:7)&gt;COUNT(Dong12),"",IF(MID(OFFSET(TH!D$1,SMALL(Dong12,ROWS($1:7)),),4,1)="X",OFFSET(TH!D$1,SMALL(Dong12,ROWS($1:7)),),""))</f>
        <v/>
      </c>
      <c r="E20" s="631" t="str">
        <f ca="1">IF(ROWS($1:7)&gt;COUNT(Dong12),"",OFFSET(TH!H$1,SMALL(Dong12,ROWS($1:7)),))</f>
        <v/>
      </c>
      <c r="F20" s="386" t="str">
        <f t="shared" ca="1" si="0"/>
        <v/>
      </c>
      <c r="G20" s="387">
        <f ca="1">IF(ROWS($1:7)&gt;COUNT(Dong12),0,IF(MID(OFFSET(TH!D$1,SMALL(Dong12,ROWS($1:7)),),4,1)="N",OFFSET(TH!I$1,SMALL(Dong12,ROWS($1:7)),),0))</f>
        <v>0</v>
      </c>
      <c r="H20" s="387">
        <f ca="1">IF(ROWS($1:7)&gt;COUNT(Dong12),0,IF(MID(OFFSET(TH!D$1,SMALL(Dong12,ROWS($1:7)),),4,1)="X",OFFSET(TH!I$1,SMALL(Dong12,ROWS($1:7)),),0))</f>
        <v>0</v>
      </c>
      <c r="I20" s="388">
        <f t="shared" ca="1" si="1"/>
        <v>0</v>
      </c>
      <c r="J20" s="389"/>
      <c r="K20" s="390"/>
    </row>
    <row r="21" spans="1:11" ht="16.5" customHeight="1">
      <c r="A21" s="391" t="str">
        <f t="shared" ca="1" si="2"/>
        <v/>
      </c>
      <c r="B21" s="386" t="str">
        <f ca="1">IF(ROWS($1:8)&gt;COUNT(Dong12),"",OFFSET(TH!E$1,SMALL(Dong12,ROWS($1:8)),))</f>
        <v/>
      </c>
      <c r="C21" s="440" t="str">
        <f ca="1">IF(ROWS($1:8)&gt;COUNT(Dong12),"",IF(MID(OFFSET(TH!D$1,SMALL(Dong12,ROWS($1:8)),),4,1)="N",OFFSET(TH!D$1,SMALL(Dong12,ROWS($1:8)),),""))</f>
        <v/>
      </c>
      <c r="D21" s="386" t="str">
        <f ca="1">IF(ROWS($1:8)&gt;COUNT(Dong12),"",IF(MID(OFFSET(TH!D$1,SMALL(Dong12,ROWS($1:8)),),4,1)="X",OFFSET(TH!D$1,SMALL(Dong12,ROWS($1:8)),),""))</f>
        <v/>
      </c>
      <c r="E21" s="631" t="str">
        <f ca="1">IF(ROWS($1:8)&gt;COUNT(Dong12),"",OFFSET(TH!H$1,SMALL(Dong12,ROWS($1:8)),))</f>
        <v/>
      </c>
      <c r="F21" s="386" t="str">
        <f t="shared" ca="1" si="0"/>
        <v/>
      </c>
      <c r="G21" s="387">
        <f ca="1">IF(ROWS($1:8)&gt;COUNT(Dong12),0,IF(MID(OFFSET(TH!D$1,SMALL(Dong12,ROWS($1:8)),),4,1)="N",OFFSET(TH!I$1,SMALL(Dong12,ROWS($1:8)),),0))</f>
        <v>0</v>
      </c>
      <c r="H21" s="387">
        <f ca="1">IF(ROWS($1:8)&gt;COUNT(Dong12),0,IF(MID(OFFSET(TH!D$1,SMALL(Dong12,ROWS($1:8)),),4,1)="X",OFFSET(TH!I$1,SMALL(Dong12,ROWS($1:8)),),0))</f>
        <v>0</v>
      </c>
      <c r="I21" s="388">
        <f t="shared" ca="1" si="1"/>
        <v>0</v>
      </c>
      <c r="J21" s="389"/>
      <c r="K21" s="390"/>
    </row>
    <row r="22" spans="1:11" ht="16.5" customHeight="1">
      <c r="A22" s="391" t="str">
        <f t="shared" ca="1" si="2"/>
        <v/>
      </c>
      <c r="B22" s="386" t="str">
        <f ca="1">IF(ROWS($1:9)&gt;COUNT(Dong12),"",OFFSET(TH!E$1,SMALL(Dong12,ROWS($1:9)),))</f>
        <v/>
      </c>
      <c r="C22" s="440" t="str">
        <f ca="1">IF(ROWS($1:9)&gt;COUNT(Dong12),"",IF(MID(OFFSET(TH!D$1,SMALL(Dong12,ROWS($1:9)),),4,1)="N",OFFSET(TH!D$1,SMALL(Dong12,ROWS($1:9)),),""))</f>
        <v/>
      </c>
      <c r="D22" s="386" t="str">
        <f ca="1">IF(ROWS($1:9)&gt;COUNT(Dong12),"",IF(MID(OFFSET(TH!D$1,SMALL(Dong12,ROWS($1:9)),),4,1)="X",OFFSET(TH!D$1,SMALL(Dong12,ROWS($1:9)),),""))</f>
        <v/>
      </c>
      <c r="E22" s="631" t="str">
        <f ca="1">IF(ROWS($1:9)&gt;COUNT(Dong12),"",OFFSET(TH!H$1,SMALL(Dong12,ROWS($1:9)),))</f>
        <v/>
      </c>
      <c r="F22" s="386" t="str">
        <f t="shared" ca="1" si="0"/>
        <v/>
      </c>
      <c r="G22" s="387">
        <f ca="1">IF(ROWS($1:9)&gt;COUNT(Dong12),0,IF(MID(OFFSET(TH!D$1,SMALL(Dong12,ROWS($1:9)),),4,1)="N",OFFSET(TH!I$1,SMALL(Dong12,ROWS($1:9)),),0))</f>
        <v>0</v>
      </c>
      <c r="H22" s="387">
        <f ca="1">IF(ROWS($1:9)&gt;COUNT(Dong12),0,IF(MID(OFFSET(TH!D$1,SMALL(Dong12,ROWS($1:9)),),4,1)="X",OFFSET(TH!I$1,SMALL(Dong12,ROWS($1:9)),),0))</f>
        <v>0</v>
      </c>
      <c r="I22" s="388">
        <f t="shared" ca="1" si="1"/>
        <v>0</v>
      </c>
      <c r="J22" s="389"/>
      <c r="K22" s="390"/>
    </row>
    <row r="23" spans="1:11" ht="16.5" customHeight="1">
      <c r="A23" s="391" t="str">
        <f t="shared" ca="1" si="2"/>
        <v/>
      </c>
      <c r="B23" s="386" t="str">
        <f ca="1">IF(ROWS($1:10)&gt;COUNT(Dong12),"",OFFSET(TH!E$1,SMALL(Dong12,ROWS($1:10)),))</f>
        <v/>
      </c>
      <c r="C23" s="440" t="str">
        <f ca="1">IF(ROWS($1:10)&gt;COUNT(Dong12),"",IF(MID(OFFSET(TH!D$1,SMALL(Dong12,ROWS($1:10)),),4,1)="N",OFFSET(TH!D$1,SMALL(Dong12,ROWS($1:10)),),""))</f>
        <v/>
      </c>
      <c r="D23" s="386" t="str">
        <f ca="1">IF(ROWS($1:10)&gt;COUNT(Dong12),"",IF(MID(OFFSET(TH!D$1,SMALL(Dong12,ROWS($1:10)),),4,1)="X",OFFSET(TH!D$1,SMALL(Dong12,ROWS($1:10)),),""))</f>
        <v/>
      </c>
      <c r="E23" s="631" t="str">
        <f ca="1">IF(ROWS($1:10)&gt;COUNT(Dong12),"",OFFSET(TH!H$1,SMALL(Dong12,ROWS($1:10)),))</f>
        <v/>
      </c>
      <c r="F23" s="386" t="str">
        <f t="shared" ca="1" si="0"/>
        <v/>
      </c>
      <c r="G23" s="387">
        <f ca="1">IF(ROWS($1:10)&gt;COUNT(Dong12),0,IF(MID(OFFSET(TH!D$1,SMALL(Dong12,ROWS($1:10)),),4,1)="N",OFFSET(TH!I$1,SMALL(Dong12,ROWS($1:10)),),0))</f>
        <v>0</v>
      </c>
      <c r="H23" s="387">
        <f ca="1">IF(ROWS($1:10)&gt;COUNT(Dong12),0,IF(MID(OFFSET(TH!D$1,SMALL(Dong12,ROWS($1:10)),),4,1)="X",OFFSET(TH!I$1,SMALL(Dong12,ROWS($1:10)),),0))</f>
        <v>0</v>
      </c>
      <c r="I23" s="388">
        <f t="shared" ca="1" si="1"/>
        <v>0</v>
      </c>
      <c r="J23" s="389"/>
      <c r="K23" s="390"/>
    </row>
    <row r="24" spans="1:11" ht="16.5" customHeight="1">
      <c r="A24" s="391" t="str">
        <f t="shared" ca="1" si="2"/>
        <v/>
      </c>
      <c r="B24" s="386" t="str">
        <f ca="1">IF(ROWS($1:11)&gt;COUNT(Dong12),"",OFFSET(TH!E$1,SMALL(Dong12,ROWS($1:11)),))</f>
        <v/>
      </c>
      <c r="C24" s="440" t="str">
        <f ca="1">IF(ROWS($1:11)&gt;COUNT(Dong12),"",IF(MID(OFFSET(TH!D$1,SMALL(Dong12,ROWS($1:11)),),4,1)="N",OFFSET(TH!D$1,SMALL(Dong12,ROWS($1:11)),),""))</f>
        <v/>
      </c>
      <c r="D24" s="386" t="str">
        <f ca="1">IF(ROWS($1:11)&gt;COUNT(Dong12),"",IF(MID(OFFSET(TH!D$1,SMALL(Dong12,ROWS($1:11)),),4,1)="X",OFFSET(TH!D$1,SMALL(Dong12,ROWS($1:11)),),""))</f>
        <v/>
      </c>
      <c r="E24" s="631" t="str">
        <f ca="1">IF(ROWS($1:11)&gt;COUNT(Dong12),"",OFFSET(TH!H$1,SMALL(Dong12,ROWS($1:11)),))</f>
        <v/>
      </c>
      <c r="F24" s="386" t="str">
        <f t="shared" ca="1" si="0"/>
        <v/>
      </c>
      <c r="G24" s="387">
        <f ca="1">IF(ROWS($1:11)&gt;COUNT(Dong12),0,IF(MID(OFFSET(TH!D$1,SMALL(Dong12,ROWS($1:11)),),4,1)="N",OFFSET(TH!I$1,SMALL(Dong12,ROWS($1:11)),),0))</f>
        <v>0</v>
      </c>
      <c r="H24" s="387">
        <f ca="1">IF(ROWS($1:11)&gt;COUNT(Dong12),0,IF(MID(OFFSET(TH!D$1,SMALL(Dong12,ROWS($1:11)),),4,1)="X",OFFSET(TH!I$1,SMALL(Dong12,ROWS($1:11)),),0))</f>
        <v>0</v>
      </c>
      <c r="I24" s="388">
        <f t="shared" ca="1" si="1"/>
        <v>0</v>
      </c>
      <c r="J24" s="389"/>
      <c r="K24" s="390"/>
    </row>
    <row r="25" spans="1:11" ht="16.5" customHeight="1">
      <c r="A25" s="391" t="str">
        <f t="shared" ca="1" si="2"/>
        <v/>
      </c>
      <c r="B25" s="386" t="str">
        <f ca="1">IF(ROWS($1:12)&gt;COUNT(Dong12),"",OFFSET(TH!E$1,SMALL(Dong12,ROWS($1:12)),))</f>
        <v/>
      </c>
      <c r="C25" s="440" t="str">
        <f ca="1">IF(ROWS($1:12)&gt;COUNT(Dong12),"",IF(MID(OFFSET(TH!D$1,SMALL(Dong12,ROWS($1:12)),),4,1)="N",OFFSET(TH!D$1,SMALL(Dong12,ROWS($1:12)),),""))</f>
        <v/>
      </c>
      <c r="D25" s="386" t="str">
        <f ca="1">IF(ROWS($1:12)&gt;COUNT(Dong12),"",IF(MID(OFFSET(TH!D$1,SMALL(Dong12,ROWS($1:12)),),4,1)="X",OFFSET(TH!D$1,SMALL(Dong12,ROWS($1:12)),),""))</f>
        <v/>
      </c>
      <c r="E25" s="631" t="str">
        <f ca="1">IF(ROWS($1:12)&gt;COUNT(Dong12),"",OFFSET(TH!H$1,SMALL(Dong12,ROWS($1:12)),))</f>
        <v/>
      </c>
      <c r="F25" s="386" t="str">
        <f t="shared" ca="1" si="0"/>
        <v/>
      </c>
      <c r="G25" s="387">
        <f ca="1">IF(ROWS($1:12)&gt;COUNT(Dong12),0,IF(MID(OFFSET(TH!D$1,SMALL(Dong12,ROWS($1:12)),),4,1)="N",OFFSET(TH!I$1,SMALL(Dong12,ROWS($1:12)),),0))</f>
        <v>0</v>
      </c>
      <c r="H25" s="387">
        <f ca="1">IF(ROWS($1:12)&gt;COUNT(Dong12),0,IF(MID(OFFSET(TH!D$1,SMALL(Dong12,ROWS($1:12)),),4,1)="X",OFFSET(TH!I$1,SMALL(Dong12,ROWS($1:12)),),0))</f>
        <v>0</v>
      </c>
      <c r="I25" s="388">
        <f t="shared" ca="1" si="1"/>
        <v>0</v>
      </c>
      <c r="J25" s="389"/>
      <c r="K25" s="390"/>
    </row>
    <row r="26" spans="1:11" ht="16.5" customHeight="1">
      <c r="A26" s="391" t="str">
        <f t="shared" ca="1" si="2"/>
        <v/>
      </c>
      <c r="B26" s="386" t="str">
        <f ca="1">IF(ROWS($1:13)&gt;COUNT(Dong12),"",OFFSET(TH!E$1,SMALL(Dong12,ROWS($1:13)),))</f>
        <v/>
      </c>
      <c r="C26" s="440" t="str">
        <f ca="1">IF(ROWS($1:13)&gt;COUNT(Dong12),"",IF(MID(OFFSET(TH!D$1,SMALL(Dong12,ROWS($1:13)),),4,1)="N",OFFSET(TH!D$1,SMALL(Dong12,ROWS($1:13)),),""))</f>
        <v/>
      </c>
      <c r="D26" s="386" t="str">
        <f ca="1">IF(ROWS($1:13)&gt;COUNT(Dong12),"",IF(MID(OFFSET(TH!D$1,SMALL(Dong12,ROWS($1:13)),),4,1)="X",OFFSET(TH!D$1,SMALL(Dong12,ROWS($1:13)),),""))</f>
        <v/>
      </c>
      <c r="E26" s="631" t="str">
        <f ca="1">IF(ROWS($1:13)&gt;COUNT(Dong12),"",OFFSET(TH!H$1,SMALL(Dong12,ROWS($1:13)),))</f>
        <v/>
      </c>
      <c r="F26" s="386" t="str">
        <f t="shared" ca="1" si="0"/>
        <v/>
      </c>
      <c r="G26" s="387">
        <f ca="1">IF(ROWS($1:13)&gt;COUNT(Dong12),0,IF(MID(OFFSET(TH!D$1,SMALL(Dong12,ROWS($1:13)),),4,1)="N",OFFSET(TH!I$1,SMALL(Dong12,ROWS($1:13)),),0))</f>
        <v>0</v>
      </c>
      <c r="H26" s="387">
        <f ca="1">IF(ROWS($1:13)&gt;COUNT(Dong12),0,IF(MID(OFFSET(TH!D$1,SMALL(Dong12,ROWS($1:13)),),4,1)="X",OFFSET(TH!I$1,SMALL(Dong12,ROWS($1:13)),),0))</f>
        <v>0</v>
      </c>
      <c r="I26" s="388">
        <f t="shared" ca="1" si="1"/>
        <v>0</v>
      </c>
      <c r="J26" s="389"/>
      <c r="K26" s="390"/>
    </row>
    <row r="27" spans="1:11" ht="16.5" customHeight="1">
      <c r="A27" s="391" t="str">
        <f t="shared" ca="1" si="2"/>
        <v/>
      </c>
      <c r="B27" s="386" t="str">
        <f ca="1">IF(ROWS($1:14)&gt;COUNT(Dong12),"",OFFSET(TH!E$1,SMALL(Dong12,ROWS($1:14)),))</f>
        <v/>
      </c>
      <c r="C27" s="440" t="str">
        <f ca="1">IF(ROWS($1:14)&gt;COUNT(Dong12),"",IF(MID(OFFSET(TH!D$1,SMALL(Dong12,ROWS($1:14)),),4,1)="N",OFFSET(TH!D$1,SMALL(Dong12,ROWS($1:14)),),""))</f>
        <v/>
      </c>
      <c r="D27" s="386" t="str">
        <f ca="1">IF(ROWS($1:14)&gt;COUNT(Dong12),"",IF(MID(OFFSET(TH!D$1,SMALL(Dong12,ROWS($1:14)),),4,1)="X",OFFSET(TH!D$1,SMALL(Dong12,ROWS($1:14)),),""))</f>
        <v/>
      </c>
      <c r="E27" s="631" t="str">
        <f ca="1">IF(ROWS($1:14)&gt;COUNT(Dong12),"",OFFSET(TH!H$1,SMALL(Dong12,ROWS($1:14)),))</f>
        <v/>
      </c>
      <c r="F27" s="386" t="str">
        <f t="shared" ca="1" si="0"/>
        <v/>
      </c>
      <c r="G27" s="387">
        <f ca="1">IF(ROWS($1:14)&gt;COUNT(Dong12),0,IF(MID(OFFSET(TH!D$1,SMALL(Dong12,ROWS($1:14)),),4,1)="N",OFFSET(TH!I$1,SMALL(Dong12,ROWS($1:14)),),0))</f>
        <v>0</v>
      </c>
      <c r="H27" s="387">
        <f ca="1">IF(ROWS($1:14)&gt;COUNT(Dong12),0,IF(MID(OFFSET(TH!D$1,SMALL(Dong12,ROWS($1:14)),),4,1)="X",OFFSET(TH!I$1,SMALL(Dong12,ROWS($1:14)),),0))</f>
        <v>0</v>
      </c>
      <c r="I27" s="388">
        <f t="shared" ca="1" si="1"/>
        <v>0</v>
      </c>
      <c r="J27" s="389"/>
      <c r="K27" s="390"/>
    </row>
    <row r="28" spans="1:11" ht="16.5" customHeight="1">
      <c r="A28" s="391" t="str">
        <f t="shared" ca="1" si="2"/>
        <v/>
      </c>
      <c r="B28" s="386" t="str">
        <f ca="1">IF(ROWS($1:15)&gt;COUNT(Dong12),"",OFFSET(TH!E$1,SMALL(Dong12,ROWS($1:15)),))</f>
        <v/>
      </c>
      <c r="C28" s="440" t="str">
        <f ca="1">IF(ROWS($1:15)&gt;COUNT(Dong12),"",IF(MID(OFFSET(TH!D$1,SMALL(Dong12,ROWS($1:15)),),4,1)="N",OFFSET(TH!D$1,SMALL(Dong12,ROWS($1:15)),),""))</f>
        <v/>
      </c>
      <c r="D28" s="386" t="str">
        <f ca="1">IF(ROWS($1:15)&gt;COUNT(Dong12),"",IF(MID(OFFSET(TH!D$1,SMALL(Dong12,ROWS($1:15)),),4,1)="X",OFFSET(TH!D$1,SMALL(Dong12,ROWS($1:15)),),""))</f>
        <v/>
      </c>
      <c r="E28" s="631" t="str">
        <f ca="1">IF(ROWS($1:15)&gt;COUNT(Dong12),"",OFFSET(TH!H$1,SMALL(Dong12,ROWS($1:15)),))</f>
        <v/>
      </c>
      <c r="F28" s="386" t="str">
        <f t="shared" ca="1" si="0"/>
        <v/>
      </c>
      <c r="G28" s="387">
        <f ca="1">IF(ROWS($1:15)&gt;COUNT(Dong12),0,IF(MID(OFFSET(TH!D$1,SMALL(Dong12,ROWS($1:15)),),4,1)="N",OFFSET(TH!I$1,SMALL(Dong12,ROWS($1:15)),),0))</f>
        <v>0</v>
      </c>
      <c r="H28" s="387">
        <f ca="1">IF(ROWS($1:15)&gt;COUNT(Dong12),0,IF(MID(OFFSET(TH!D$1,SMALL(Dong12,ROWS($1:15)),),4,1)="X",OFFSET(TH!I$1,SMALL(Dong12,ROWS($1:15)),),0))</f>
        <v>0</v>
      </c>
      <c r="I28" s="388">
        <f t="shared" ca="1" si="1"/>
        <v>0</v>
      </c>
      <c r="J28" s="389"/>
      <c r="K28" s="390"/>
    </row>
    <row r="29" spans="1:11" ht="16.5" customHeight="1">
      <c r="A29" s="391" t="str">
        <f t="shared" ca="1" si="2"/>
        <v/>
      </c>
      <c r="B29" s="386" t="str">
        <f ca="1">IF(ROWS($1:16)&gt;COUNT(Dong12),"",OFFSET(TH!E$1,SMALL(Dong12,ROWS($1:16)),))</f>
        <v/>
      </c>
      <c r="C29" s="440" t="str">
        <f ca="1">IF(ROWS($1:16)&gt;COUNT(Dong12),"",IF(MID(OFFSET(TH!D$1,SMALL(Dong12,ROWS($1:16)),),4,1)="N",OFFSET(TH!D$1,SMALL(Dong12,ROWS($1:16)),),""))</f>
        <v/>
      </c>
      <c r="D29" s="386" t="str">
        <f ca="1">IF(ROWS($1:16)&gt;COUNT(Dong12),"",IF(MID(OFFSET(TH!D$1,SMALL(Dong12,ROWS($1:16)),),4,1)="X",OFFSET(TH!D$1,SMALL(Dong12,ROWS($1:16)),),""))</f>
        <v/>
      </c>
      <c r="E29" s="631" t="str">
        <f ca="1">IF(ROWS($1:16)&gt;COUNT(Dong12),"",OFFSET(TH!H$1,SMALL(Dong12,ROWS($1:16)),))</f>
        <v/>
      </c>
      <c r="F29" s="386" t="str">
        <f t="shared" ca="1" si="0"/>
        <v/>
      </c>
      <c r="G29" s="387">
        <f ca="1">IF(ROWS($1:16)&gt;COUNT(Dong12),0,IF(MID(OFFSET(TH!D$1,SMALL(Dong12,ROWS($1:16)),),4,1)="N",OFFSET(TH!I$1,SMALL(Dong12,ROWS($1:16)),),0))</f>
        <v>0</v>
      </c>
      <c r="H29" s="387">
        <f ca="1">IF(ROWS($1:16)&gt;COUNT(Dong12),0,IF(MID(OFFSET(TH!D$1,SMALL(Dong12,ROWS($1:16)),),4,1)="X",OFFSET(TH!I$1,SMALL(Dong12,ROWS($1:16)),),0))</f>
        <v>0</v>
      </c>
      <c r="I29" s="388">
        <f t="shared" ca="1" si="1"/>
        <v>0</v>
      </c>
      <c r="J29" s="389"/>
      <c r="K29" s="390"/>
    </row>
    <row r="30" spans="1:11" ht="16.5" customHeight="1">
      <c r="A30" s="391" t="str">
        <f t="shared" ca="1" si="2"/>
        <v/>
      </c>
      <c r="B30" s="386" t="str">
        <f ca="1">IF(ROWS($1:17)&gt;COUNT(Dong12),"",OFFSET(TH!E$1,SMALL(Dong12,ROWS($1:17)),))</f>
        <v/>
      </c>
      <c r="C30" s="440" t="str">
        <f ca="1">IF(ROWS($1:17)&gt;COUNT(Dong12),"",IF(MID(OFFSET(TH!D$1,SMALL(Dong12,ROWS($1:17)),),4,1)="N",OFFSET(TH!D$1,SMALL(Dong12,ROWS($1:17)),),""))</f>
        <v/>
      </c>
      <c r="D30" s="386" t="str">
        <f ca="1">IF(ROWS($1:17)&gt;COUNT(Dong12),"",IF(MID(OFFSET(TH!D$1,SMALL(Dong12,ROWS($1:17)),),4,1)="X",OFFSET(TH!D$1,SMALL(Dong12,ROWS($1:17)),),""))</f>
        <v/>
      </c>
      <c r="E30" s="631" t="str">
        <f ca="1">IF(ROWS($1:17)&gt;COUNT(Dong12),"",OFFSET(TH!H$1,SMALL(Dong12,ROWS($1:17)),))</f>
        <v/>
      </c>
      <c r="F30" s="386" t="str">
        <f t="shared" ca="1" si="0"/>
        <v/>
      </c>
      <c r="G30" s="387">
        <f ca="1">IF(ROWS($1:17)&gt;COUNT(Dong12),0,IF(MID(OFFSET(TH!D$1,SMALL(Dong12,ROWS($1:17)),),4,1)="N",OFFSET(TH!I$1,SMALL(Dong12,ROWS($1:17)),),0))</f>
        <v>0</v>
      </c>
      <c r="H30" s="387">
        <f ca="1">IF(ROWS($1:17)&gt;COUNT(Dong12),0,IF(MID(OFFSET(TH!D$1,SMALL(Dong12,ROWS($1:17)),),4,1)="X",OFFSET(TH!I$1,SMALL(Dong12,ROWS($1:17)),),0))</f>
        <v>0</v>
      </c>
      <c r="I30" s="388">
        <f t="shared" ca="1" si="1"/>
        <v>0</v>
      </c>
      <c r="J30" s="389"/>
      <c r="K30" s="390"/>
    </row>
    <row r="31" spans="1:11" ht="16.5" customHeight="1">
      <c r="A31" s="392" t="str">
        <f>IF(D31&lt;&gt;"",A21+1,"")</f>
        <v/>
      </c>
      <c r="B31" s="393"/>
      <c r="C31" s="394"/>
      <c r="D31" s="394"/>
      <c r="E31" s="632"/>
      <c r="F31" s="393"/>
      <c r="G31" s="395"/>
      <c r="H31" s="395"/>
      <c r="I31" s="395"/>
      <c r="J31" s="396"/>
      <c r="K31" s="390"/>
    </row>
    <row r="32" spans="1:11" ht="16.5" customHeight="1">
      <c r="A32" s="380"/>
      <c r="B32" s="397"/>
      <c r="C32" s="380"/>
      <c r="D32" s="380"/>
      <c r="E32" s="381" t="s">
        <v>223</v>
      </c>
      <c r="F32" s="398" t="s">
        <v>19</v>
      </c>
      <c r="G32" s="399">
        <f ca="1">SUM(G14:G31)</f>
        <v>0</v>
      </c>
      <c r="H32" s="399">
        <f ca="1">SUM(H14:H31)</f>
        <v>0</v>
      </c>
      <c r="I32" s="399" t="e">
        <f ca="1">I13+G32-H32</f>
        <v>#N/A</v>
      </c>
      <c r="J32" s="380" t="s">
        <v>19</v>
      </c>
      <c r="K32" s="400"/>
    </row>
    <row r="33" spans="1:11" ht="12.75" customHeight="1">
      <c r="A33" s="401"/>
      <c r="B33" s="359"/>
      <c r="C33" s="401"/>
      <c r="D33" s="401"/>
      <c r="E33" s="365"/>
      <c r="F33" s="359"/>
      <c r="G33" s="366"/>
      <c r="H33" s="366"/>
      <c r="I33" s="366"/>
      <c r="J33" s="355"/>
      <c r="K33" s="355"/>
    </row>
    <row r="34" spans="1:11" ht="15">
      <c r="A34" s="402" t="s">
        <v>224</v>
      </c>
      <c r="B34" s="402"/>
      <c r="C34" s="403"/>
      <c r="D34" s="403"/>
      <c r="E34" s="365"/>
      <c r="F34" s="359"/>
      <c r="G34" s="366"/>
      <c r="H34" s="366"/>
      <c r="I34" s="366"/>
      <c r="J34" s="355"/>
      <c r="K34" s="355"/>
    </row>
    <row r="35" spans="1:11" ht="15">
      <c r="A35" s="1119" t="str">
        <f ca="1">IF(ISERROR(" - Ngày mở sổ: ngày "&amp;DAY(B14)&amp;" tháng "&amp;MONTH(B14)&amp;" năm "&amp;YEAR(B14))," - Ngày mở sổ: ngày 01 tháng  01 năm 2016 "," - Ngày mở sổ: ngày "&amp;DAY(B14)&amp;" tháng "&amp;MONTH(B14)&amp;" năm "&amp;YEAR(B14))</f>
        <v xml:space="preserve"> - Ngày mở sổ: ngày 01 tháng  01 năm 2016 </v>
      </c>
      <c r="B35" s="1120"/>
      <c r="C35" s="1120"/>
      <c r="D35" s="1120"/>
      <c r="E35" s="1120"/>
      <c r="F35" s="359"/>
      <c r="G35" s="366"/>
      <c r="H35" s="366"/>
      <c r="I35" s="366"/>
      <c r="J35" s="355"/>
      <c r="K35" s="355"/>
    </row>
    <row r="36" spans="1:11" ht="15">
      <c r="A36" s="404"/>
      <c r="B36" s="405"/>
      <c r="C36" s="406"/>
      <c r="D36" s="401"/>
      <c r="E36" s="365"/>
      <c r="F36" s="359"/>
      <c r="H36" s="287"/>
      <c r="I36" s="529" t="e">
        <f ca="1">"Ngày 31 tháng  12  năm  "&amp;YEAR($B$14)</f>
        <v>#VALUE!</v>
      </c>
      <c r="J36" s="287"/>
      <c r="K36" s="288"/>
    </row>
    <row r="37" spans="1:11" ht="15" customHeight="1">
      <c r="A37" s="404"/>
      <c r="C37" s="407" t="s">
        <v>225</v>
      </c>
      <c r="D37" s="401"/>
      <c r="E37" s="1121" t="s">
        <v>12</v>
      </c>
      <c r="F37" s="1121"/>
      <c r="G37" s="366"/>
      <c r="I37" s="562" t="s">
        <v>109</v>
      </c>
      <c r="J37" s="357"/>
      <c r="K37" s="404"/>
    </row>
    <row r="38" spans="1:11" ht="15" customHeight="1">
      <c r="A38" s="408"/>
      <c r="C38" s="409" t="s">
        <v>13</v>
      </c>
      <c r="D38" s="410"/>
      <c r="E38" s="1115" t="s">
        <v>13</v>
      </c>
      <c r="F38" s="1115"/>
      <c r="G38" s="366"/>
      <c r="I38" s="563" t="s">
        <v>136</v>
      </c>
      <c r="J38" s="561"/>
      <c r="K38" s="408"/>
    </row>
    <row r="39" spans="1:11" ht="15">
      <c r="A39" s="408"/>
      <c r="C39" s="409"/>
      <c r="D39" s="401"/>
      <c r="E39" s="411"/>
      <c r="F39" s="412"/>
      <c r="G39" s="366"/>
      <c r="H39" s="408"/>
      <c r="I39" s="408"/>
      <c r="J39" s="408"/>
      <c r="K39" s="408"/>
    </row>
    <row r="40" spans="1:11" ht="15">
      <c r="A40" s="408"/>
      <c r="B40" s="409"/>
      <c r="C40" s="408"/>
      <c r="D40" s="401"/>
      <c r="E40" s="411"/>
      <c r="F40" s="412"/>
      <c r="G40" s="366"/>
      <c r="H40" s="408"/>
      <c r="I40" s="408"/>
      <c r="J40" s="408"/>
      <c r="K40" s="408"/>
    </row>
    <row r="41" spans="1:11" ht="15">
      <c r="A41" s="408"/>
      <c r="B41" s="409"/>
      <c r="C41" s="408"/>
      <c r="D41" s="401"/>
      <c r="E41" s="411"/>
      <c r="F41" s="412"/>
      <c r="G41" s="366"/>
      <c r="H41" s="408"/>
      <c r="I41" s="408"/>
      <c r="J41" s="408"/>
      <c r="K41" s="408"/>
    </row>
    <row r="46" spans="1:11" ht="15">
      <c r="C46" s="564" t="s">
        <v>314</v>
      </c>
      <c r="H46" s="560"/>
      <c r="I46" s="559" t="s">
        <v>103</v>
      </c>
      <c r="J46" s="560"/>
    </row>
  </sheetData>
  <mergeCells count="13">
    <mergeCell ref="E38:F38"/>
    <mergeCell ref="G10:I10"/>
    <mergeCell ref="J10:J11"/>
    <mergeCell ref="A35:E35"/>
    <mergeCell ref="E37:F37"/>
    <mergeCell ref="F10:F11"/>
    <mergeCell ref="F2:J3"/>
    <mergeCell ref="F1:J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R139"/>
  <sheetViews>
    <sheetView workbookViewId="0">
      <selection activeCell="Q16" sqref="Q16"/>
    </sheetView>
  </sheetViews>
  <sheetFormatPr defaultColWidth="10.28515625" defaultRowHeight="12.75"/>
  <cols>
    <col min="1" max="1" width="4.7109375" style="708" customWidth="1"/>
    <col min="2" max="2" width="29.140625" style="708" customWidth="1"/>
    <col min="3" max="3" width="12.140625" style="708" customWidth="1"/>
    <col min="4" max="4" width="11" style="708" customWidth="1"/>
    <col min="5" max="5" width="9.7109375" style="708" customWidth="1"/>
    <col min="6" max="6" width="11.140625" style="708" customWidth="1"/>
    <col min="7" max="7" width="12" style="708" customWidth="1"/>
    <col min="8" max="9" width="7.42578125" style="708" customWidth="1"/>
    <col min="10" max="10" width="7.5703125" style="720" customWidth="1"/>
    <col min="11" max="11" width="2" style="720" customWidth="1"/>
    <col min="12" max="12" width="23" style="708" customWidth="1"/>
    <col min="13" max="13" width="10.140625" style="721" customWidth="1"/>
    <col min="14" max="14" width="7" style="757" customWidth="1"/>
    <col min="15" max="15" width="7.5703125" style="279" customWidth="1"/>
    <col min="16" max="16" width="12.42578125" style="708" customWidth="1"/>
    <col min="17" max="17" width="9.28515625" style="708" customWidth="1"/>
    <col min="18" max="18" width="8.28515625" style="721" customWidth="1"/>
    <col min="19" max="16384" width="10.28515625" style="708"/>
  </cols>
  <sheetData>
    <row r="1" spans="1:18">
      <c r="B1" s="708">
        <v>1</v>
      </c>
      <c r="C1" s="708">
        <v>5</v>
      </c>
      <c r="D1" s="708">
        <v>6</v>
      </c>
      <c r="E1" s="708">
        <v>7</v>
      </c>
      <c r="F1" s="708">
        <v>8</v>
      </c>
      <c r="G1" s="708">
        <v>13</v>
      </c>
      <c r="H1" s="708">
        <v>14</v>
      </c>
      <c r="I1" s="708">
        <v>15</v>
      </c>
    </row>
    <row r="2" spans="1:18" ht="18" hidden="1" customHeight="1">
      <c r="A2" s="543" t="str">
        <f>TH!$A$1</f>
        <v>Đơn vị: CÔNG TY TNHH MỘT THÀNH VIÊN KHỞI NGUYÊN AN</v>
      </c>
      <c r="B2" s="709"/>
      <c r="C2" s="279"/>
      <c r="D2" s="279"/>
      <c r="E2" s="279"/>
      <c r="F2" s="279"/>
      <c r="G2" s="279"/>
      <c r="H2" s="571"/>
      <c r="I2" s="279"/>
      <c r="J2" s="722"/>
      <c r="K2" s="722"/>
      <c r="L2" s="279"/>
      <c r="M2" s="705"/>
      <c r="Q2" s="279"/>
      <c r="R2" s="705"/>
    </row>
    <row r="3" spans="1:18" ht="18.75" customHeight="1">
      <c r="A3" s="710" t="s">
        <v>355</v>
      </c>
      <c r="B3" s="710"/>
      <c r="C3" s="710"/>
      <c r="D3" s="710"/>
      <c r="E3" s="710"/>
      <c r="F3" s="710"/>
      <c r="G3" s="710"/>
      <c r="H3" s="710"/>
      <c r="I3" s="710"/>
      <c r="J3" s="722"/>
      <c r="K3" s="722"/>
      <c r="L3" s="279"/>
      <c r="M3" s="705"/>
      <c r="Q3" s="279"/>
      <c r="R3" s="705"/>
    </row>
    <row r="4" spans="1:18" ht="18.75" customHeight="1">
      <c r="A4" s="710"/>
      <c r="B4" s="711"/>
      <c r="C4" s="711"/>
      <c r="D4" s="711"/>
      <c r="E4" s="711"/>
      <c r="F4" s="711"/>
      <c r="G4" s="711"/>
      <c r="H4" s="723"/>
      <c r="I4" s="711"/>
      <c r="J4" s="722"/>
      <c r="K4" s="722"/>
      <c r="L4" s="279"/>
      <c r="M4" s="705"/>
      <c r="Q4" s="279"/>
      <c r="R4" s="705"/>
    </row>
    <row r="5" spans="1:18" ht="12.75" customHeight="1">
      <c r="A5" s="754"/>
      <c r="B5" s="746"/>
      <c r="C5" s="746"/>
      <c r="D5" s="746"/>
      <c r="E5" s="746"/>
      <c r="F5" s="746"/>
      <c r="G5" s="746"/>
      <c r="H5" s="724"/>
      <c r="I5" s="746"/>
      <c r="J5" s="722"/>
      <c r="K5" s="722"/>
      <c r="L5" s="718"/>
      <c r="M5" s="754"/>
      <c r="N5" s="758"/>
      <c r="O5" s="725"/>
      <c r="P5" s="754"/>
      <c r="Q5" s="754"/>
      <c r="R5" s="754"/>
    </row>
    <row r="6" spans="1:18" s="424" customFormat="1" ht="30.75" customHeight="1">
      <c r="A6" s="767" t="s">
        <v>35</v>
      </c>
      <c r="B6" s="420" t="s">
        <v>226</v>
      </c>
      <c r="C6" s="421" t="s">
        <v>229</v>
      </c>
      <c r="D6" s="421" t="s">
        <v>366</v>
      </c>
      <c r="E6" s="421" t="s">
        <v>230</v>
      </c>
      <c r="F6" s="421" t="s">
        <v>354</v>
      </c>
      <c r="G6" s="421" t="s">
        <v>231</v>
      </c>
      <c r="H6" s="422" t="s">
        <v>227</v>
      </c>
      <c r="I6" s="421" t="s">
        <v>232</v>
      </c>
      <c r="J6" s="423"/>
      <c r="K6" s="423"/>
      <c r="L6" s="420" t="s">
        <v>226</v>
      </c>
      <c r="M6" s="421" t="s">
        <v>220</v>
      </c>
      <c r="N6" s="759" t="s">
        <v>187</v>
      </c>
      <c r="O6" s="421" t="s">
        <v>228</v>
      </c>
      <c r="P6" s="421" t="s">
        <v>233</v>
      </c>
      <c r="Q6" s="420" t="s">
        <v>226</v>
      </c>
      <c r="R6" s="421" t="s">
        <v>220</v>
      </c>
    </row>
    <row r="7" spans="1:18">
      <c r="A7" s="768">
        <f>IF(B7&lt;&gt;"",ROW()-(ROW()-1),"")</f>
        <v>1</v>
      </c>
      <c r="B7" s="867" t="s">
        <v>499</v>
      </c>
      <c r="C7" s="864">
        <f>P7</f>
        <v>294172</v>
      </c>
      <c r="D7" s="865">
        <f t="shared" ref="D7:F10" si="0">IF($H$28&lt;&gt;0,D$28/$H$28*$H7,0)</f>
        <v>58118.556701030931</v>
      </c>
      <c r="E7" s="865">
        <f t="shared" si="0"/>
        <v>0</v>
      </c>
      <c r="F7" s="865">
        <f t="shared" si="0"/>
        <v>0</v>
      </c>
      <c r="G7" s="865">
        <f>SUM(C7:F7)-1</f>
        <v>352289.55670103093</v>
      </c>
      <c r="H7" s="865">
        <v>20</v>
      </c>
      <c r="I7" s="865">
        <f>IF(H7&lt;&gt;"",G7/H7,"")</f>
        <v>17614.477835051548</v>
      </c>
      <c r="J7" s="630">
        <v>14700</v>
      </c>
      <c r="K7" s="726"/>
      <c r="L7" s="282" t="s">
        <v>1125</v>
      </c>
      <c r="M7" s="727">
        <f>R7-2</f>
        <v>42011</v>
      </c>
      <c r="N7" s="285">
        <v>25</v>
      </c>
      <c r="O7" s="750">
        <v>11766.88</v>
      </c>
      <c r="P7" s="25">
        <f>ROUND(N7*O7,0)</f>
        <v>294172</v>
      </c>
      <c r="Q7" s="813" t="s">
        <v>961</v>
      </c>
      <c r="R7" s="727">
        <v>42013</v>
      </c>
    </row>
    <row r="8" spans="1:18">
      <c r="A8" s="744">
        <f>IF(B8&lt;&gt;"",A7+1,"")</f>
        <v>2</v>
      </c>
      <c r="B8" s="190" t="s">
        <v>1176</v>
      </c>
      <c r="C8" s="8">
        <f t="shared" ref="C8:C26" si="1">P8</f>
        <v>5044000</v>
      </c>
      <c r="D8" s="244">
        <f t="shared" si="0"/>
        <v>1235019.3298969073</v>
      </c>
      <c r="E8" s="244">
        <f t="shared" si="0"/>
        <v>0</v>
      </c>
      <c r="F8" s="244">
        <f t="shared" si="0"/>
        <v>0</v>
      </c>
      <c r="G8" s="244">
        <f>SUM(C8:F8)</f>
        <v>6279019.3298969073</v>
      </c>
      <c r="H8" s="244">
        <v>425</v>
      </c>
      <c r="I8" s="244">
        <f>IF(H8&lt;&gt;"",G8/H8,"")</f>
        <v>14774.163129169194</v>
      </c>
      <c r="J8" s="630">
        <v>14950</v>
      </c>
      <c r="K8" s="726"/>
      <c r="L8" s="190" t="s">
        <v>1118</v>
      </c>
      <c r="M8" s="727">
        <f t="shared" ref="M8:M26" si="2">R8-2</f>
        <v>42019</v>
      </c>
      <c r="N8" s="760">
        <v>250</v>
      </c>
      <c r="O8" s="748">
        <v>20176</v>
      </c>
      <c r="P8" s="25">
        <f t="shared" ref="P8:P26" si="3">ROUND(N8*O8,0)</f>
        <v>5044000</v>
      </c>
      <c r="Q8" s="813" t="s">
        <v>967</v>
      </c>
      <c r="R8" s="728">
        <v>42021</v>
      </c>
    </row>
    <row r="9" spans="1:18">
      <c r="A9" s="744">
        <f t="shared" ref="A9:A26" si="4">IF(B9&lt;&gt;"",A8+1,"")</f>
        <v>3</v>
      </c>
      <c r="B9" s="190" t="s">
        <v>1177</v>
      </c>
      <c r="C9" s="8">
        <f t="shared" si="1"/>
        <v>1646100</v>
      </c>
      <c r="D9" s="244">
        <f t="shared" si="0"/>
        <v>366146.90721649484</v>
      </c>
      <c r="E9" s="244">
        <f t="shared" si="0"/>
        <v>0</v>
      </c>
      <c r="F9" s="244">
        <f t="shared" si="0"/>
        <v>0</v>
      </c>
      <c r="G9" s="244">
        <f>SUM(C9:F9)</f>
        <v>2012246.9072164949</v>
      </c>
      <c r="H9" s="244">
        <v>126</v>
      </c>
      <c r="I9" s="244">
        <f t="shared" ref="I9:I26" si="5">IF(H9&lt;&gt;"",G9/H9,"")</f>
        <v>15970.213549337261</v>
      </c>
      <c r="J9" s="630">
        <v>16400</v>
      </c>
      <c r="K9" s="726"/>
      <c r="L9" s="190" t="s">
        <v>1134</v>
      </c>
      <c r="M9" s="727">
        <f t="shared" si="2"/>
        <v>42019</v>
      </c>
      <c r="N9" s="761">
        <v>150</v>
      </c>
      <c r="O9" s="749">
        <v>10974</v>
      </c>
      <c r="P9" s="25">
        <f t="shared" si="3"/>
        <v>1646100</v>
      </c>
      <c r="Q9" s="813" t="s">
        <v>967</v>
      </c>
      <c r="R9" s="728">
        <v>42021</v>
      </c>
    </row>
    <row r="10" spans="1:18">
      <c r="A10" s="1124">
        <f t="shared" si="4"/>
        <v>4</v>
      </c>
      <c r="B10" s="1125" t="s">
        <v>497</v>
      </c>
      <c r="C10" s="1127">
        <f>P10+P11</f>
        <v>12923270</v>
      </c>
      <c r="D10" s="1127">
        <f t="shared" si="0"/>
        <v>842719.07216494845</v>
      </c>
      <c r="E10" s="1127">
        <f t="shared" si="0"/>
        <v>0</v>
      </c>
      <c r="F10" s="1127">
        <f t="shared" si="0"/>
        <v>0</v>
      </c>
      <c r="G10" s="1128">
        <f>SUM(C10:F10)</f>
        <v>13765989.072164949</v>
      </c>
      <c r="H10" s="1128">
        <v>290</v>
      </c>
      <c r="I10" s="1128">
        <f t="shared" si="5"/>
        <v>47468.927835051545</v>
      </c>
      <c r="J10" s="1126">
        <v>45200</v>
      </c>
      <c r="K10" s="726"/>
      <c r="L10" s="190" t="s">
        <v>1121</v>
      </c>
      <c r="M10" s="727">
        <f t="shared" si="2"/>
        <v>42025</v>
      </c>
      <c r="N10" s="761">
        <v>290</v>
      </c>
      <c r="O10" s="749">
        <v>25344</v>
      </c>
      <c r="P10" s="25">
        <f t="shared" si="3"/>
        <v>7349760</v>
      </c>
      <c r="Q10" s="813" t="s">
        <v>968</v>
      </c>
      <c r="R10" s="728">
        <v>42027</v>
      </c>
    </row>
    <row r="11" spans="1:18">
      <c r="A11" s="1124"/>
      <c r="B11" s="1125"/>
      <c r="C11" s="1127"/>
      <c r="D11" s="1127"/>
      <c r="E11" s="1127"/>
      <c r="F11" s="1127"/>
      <c r="G11" s="1128"/>
      <c r="H11" s="1128"/>
      <c r="I11" s="1128"/>
      <c r="J11" s="1126"/>
      <c r="K11" s="726"/>
      <c r="L11" s="282" t="s">
        <v>478</v>
      </c>
      <c r="M11" s="727">
        <f t="shared" ref="M11" si="6">R11-2</f>
        <v>42025</v>
      </c>
      <c r="N11" s="761">
        <v>290</v>
      </c>
      <c r="O11" s="749">
        <v>19219</v>
      </c>
      <c r="P11" s="25">
        <f t="shared" ref="P11" si="7">ROUND(N11*O11,0)</f>
        <v>5573510</v>
      </c>
      <c r="Q11" s="813" t="s">
        <v>968</v>
      </c>
      <c r="R11" s="728">
        <v>42027</v>
      </c>
    </row>
    <row r="12" spans="1:18">
      <c r="A12" s="744">
        <f>IF(B12&lt;&gt;"",A10+1,"")</f>
        <v>5</v>
      </c>
      <c r="B12" s="190" t="s">
        <v>1177</v>
      </c>
      <c r="C12" s="8">
        <f t="shared" si="1"/>
        <v>352950</v>
      </c>
      <c r="D12" s="244">
        <f t="shared" ref="D12:F18" si="8">IF($H$28&lt;&gt;0,D$28/$H$28*$H12,0)</f>
        <v>87177.835051546397</v>
      </c>
      <c r="E12" s="244">
        <f t="shared" si="8"/>
        <v>0</v>
      </c>
      <c r="F12" s="244">
        <f t="shared" si="8"/>
        <v>0</v>
      </c>
      <c r="G12" s="8">
        <f t="shared" ref="G12:G18" si="9">SUM(C12:F12)</f>
        <v>440127.8350515464</v>
      </c>
      <c r="H12" s="244">
        <v>30</v>
      </c>
      <c r="I12" s="244">
        <f t="shared" si="5"/>
        <v>14670.927835051547</v>
      </c>
      <c r="J12" s="630">
        <v>16400</v>
      </c>
      <c r="K12" s="726"/>
      <c r="L12" s="282" t="s">
        <v>473</v>
      </c>
      <c r="M12" s="727">
        <f t="shared" si="2"/>
        <v>42026</v>
      </c>
      <c r="N12" s="761">
        <v>30</v>
      </c>
      <c r="O12" s="749">
        <v>11765</v>
      </c>
      <c r="P12" s="25">
        <f t="shared" si="3"/>
        <v>352950</v>
      </c>
      <c r="Q12" s="813" t="s">
        <v>969</v>
      </c>
      <c r="R12" s="728">
        <v>42028</v>
      </c>
    </row>
    <row r="13" spans="1:18">
      <c r="A13" s="744">
        <f t="shared" si="4"/>
        <v>6</v>
      </c>
      <c r="B13" s="190" t="s">
        <v>1178</v>
      </c>
      <c r="C13" s="8">
        <f t="shared" si="1"/>
        <v>417732</v>
      </c>
      <c r="D13" s="244">
        <f t="shared" si="8"/>
        <v>122048.96907216495</v>
      </c>
      <c r="E13" s="244">
        <f t="shared" si="8"/>
        <v>0</v>
      </c>
      <c r="F13" s="244">
        <f t="shared" si="8"/>
        <v>0</v>
      </c>
      <c r="G13" s="8">
        <f t="shared" si="9"/>
        <v>539780.96907216497</v>
      </c>
      <c r="H13" s="244">
        <v>42</v>
      </c>
      <c r="I13" s="244">
        <f t="shared" si="5"/>
        <v>12851.927835051547</v>
      </c>
      <c r="J13" s="630">
        <v>12700</v>
      </c>
      <c r="K13" s="726"/>
      <c r="L13" s="187" t="s">
        <v>474</v>
      </c>
      <c r="M13" s="727">
        <f t="shared" si="2"/>
        <v>42026</v>
      </c>
      <c r="N13" s="761">
        <v>42</v>
      </c>
      <c r="O13" s="749">
        <v>9946</v>
      </c>
      <c r="P13" s="25">
        <f t="shared" si="3"/>
        <v>417732</v>
      </c>
      <c r="Q13" s="813" t="s">
        <v>969</v>
      </c>
      <c r="R13" s="728">
        <v>42028</v>
      </c>
    </row>
    <row r="14" spans="1:18">
      <c r="A14" s="744">
        <f t="shared" si="4"/>
        <v>7</v>
      </c>
      <c r="B14" s="190" t="s">
        <v>1179</v>
      </c>
      <c r="C14" s="8">
        <f t="shared" si="1"/>
        <v>2310132</v>
      </c>
      <c r="D14" s="244">
        <f t="shared" si="8"/>
        <v>1002545.1030927835</v>
      </c>
      <c r="E14" s="244">
        <f t="shared" si="8"/>
        <v>0</v>
      </c>
      <c r="F14" s="244">
        <f t="shared" si="8"/>
        <v>0</v>
      </c>
      <c r="G14" s="8">
        <f t="shared" si="9"/>
        <v>3312677.1030927836</v>
      </c>
      <c r="H14" s="244">
        <v>345</v>
      </c>
      <c r="I14" s="244">
        <f t="shared" si="5"/>
        <v>9601.9626176602414</v>
      </c>
      <c r="J14" s="630">
        <v>6800</v>
      </c>
      <c r="K14" s="726"/>
      <c r="L14" s="479" t="s">
        <v>1256</v>
      </c>
      <c r="M14" s="727">
        <f t="shared" si="2"/>
        <v>42028</v>
      </c>
      <c r="N14" s="761">
        <v>215</v>
      </c>
      <c r="O14" s="749">
        <v>10744.8</v>
      </c>
      <c r="P14" s="25">
        <f t="shared" si="3"/>
        <v>2310132</v>
      </c>
      <c r="Q14" s="813" t="s">
        <v>542</v>
      </c>
      <c r="R14" s="728">
        <v>42030</v>
      </c>
    </row>
    <row r="15" spans="1:18">
      <c r="A15" s="744">
        <f t="shared" si="4"/>
        <v>8</v>
      </c>
      <c r="B15" s="190" t="s">
        <v>1180</v>
      </c>
      <c r="C15" s="8">
        <f t="shared" si="1"/>
        <v>1987788</v>
      </c>
      <c r="D15" s="244">
        <f t="shared" si="8"/>
        <v>802036.08247422683</v>
      </c>
      <c r="E15" s="244">
        <f t="shared" si="8"/>
        <v>0</v>
      </c>
      <c r="F15" s="244">
        <f t="shared" si="8"/>
        <v>0</v>
      </c>
      <c r="G15" s="8">
        <f t="shared" si="9"/>
        <v>2789824.0824742271</v>
      </c>
      <c r="H15" s="244">
        <v>276</v>
      </c>
      <c r="I15" s="244">
        <f t="shared" si="5"/>
        <v>10108.058269834157</v>
      </c>
      <c r="J15" s="630">
        <v>7300</v>
      </c>
      <c r="K15" s="726"/>
      <c r="L15" s="479" t="s">
        <v>1256</v>
      </c>
      <c r="M15" s="727">
        <f t="shared" si="2"/>
        <v>42028</v>
      </c>
      <c r="N15" s="761">
        <v>185</v>
      </c>
      <c r="O15" s="749">
        <v>10744.8</v>
      </c>
      <c r="P15" s="25">
        <f t="shared" si="3"/>
        <v>1987788</v>
      </c>
      <c r="Q15" s="813" t="s">
        <v>542</v>
      </c>
      <c r="R15" s="728">
        <v>42030</v>
      </c>
    </row>
    <row r="16" spans="1:18">
      <c r="A16" s="744">
        <f t="shared" si="4"/>
        <v>9</v>
      </c>
      <c r="B16" s="190" t="s">
        <v>1181</v>
      </c>
      <c r="C16" s="8">
        <f t="shared" si="1"/>
        <v>1464800</v>
      </c>
      <c r="D16" s="244">
        <f t="shared" si="8"/>
        <v>897931.70103092783</v>
      </c>
      <c r="E16" s="244">
        <f t="shared" si="8"/>
        <v>0</v>
      </c>
      <c r="F16" s="244">
        <f t="shared" si="8"/>
        <v>0</v>
      </c>
      <c r="G16" s="8">
        <f t="shared" si="9"/>
        <v>2362731.7010309277</v>
      </c>
      <c r="H16" s="244">
        <v>309</v>
      </c>
      <c r="I16" s="244">
        <f t="shared" si="5"/>
        <v>7646.3809094852031</v>
      </c>
      <c r="J16" s="630">
        <v>6000</v>
      </c>
      <c r="K16" s="726"/>
      <c r="L16" s="187" t="s">
        <v>1136</v>
      </c>
      <c r="M16" s="727">
        <f t="shared" si="2"/>
        <v>42029</v>
      </c>
      <c r="N16" s="761">
        <v>100</v>
      </c>
      <c r="O16" s="749">
        <v>14648</v>
      </c>
      <c r="P16" s="25">
        <f t="shared" si="3"/>
        <v>1464800</v>
      </c>
      <c r="Q16" s="813" t="s">
        <v>971</v>
      </c>
      <c r="R16" s="728">
        <v>42031</v>
      </c>
    </row>
    <row r="17" spans="1:18">
      <c r="A17" s="744">
        <f t="shared" si="4"/>
        <v>10</v>
      </c>
      <c r="B17" s="190" t="s">
        <v>1182</v>
      </c>
      <c r="C17" s="8">
        <f t="shared" si="1"/>
        <v>3776544</v>
      </c>
      <c r="D17" s="244">
        <f t="shared" si="8"/>
        <v>371958.76288659795</v>
      </c>
      <c r="E17" s="244">
        <f t="shared" si="8"/>
        <v>0</v>
      </c>
      <c r="F17" s="244">
        <f t="shared" si="8"/>
        <v>0</v>
      </c>
      <c r="G17" s="8">
        <f t="shared" si="9"/>
        <v>4148502.7628865978</v>
      </c>
      <c r="H17" s="244">
        <v>128</v>
      </c>
      <c r="I17" s="244">
        <f t="shared" si="5"/>
        <v>32410.177835051545</v>
      </c>
      <c r="J17" s="630">
        <v>32200</v>
      </c>
      <c r="K17" s="726"/>
      <c r="L17" s="190" t="s">
        <v>1257</v>
      </c>
      <c r="M17" s="727">
        <f t="shared" si="2"/>
        <v>42032</v>
      </c>
      <c r="N17" s="761">
        <v>141</v>
      </c>
      <c r="O17" s="749">
        <v>26784</v>
      </c>
      <c r="P17" s="25">
        <f t="shared" si="3"/>
        <v>3776544</v>
      </c>
      <c r="Q17" s="813" t="s">
        <v>973</v>
      </c>
      <c r="R17" s="728">
        <v>42034</v>
      </c>
    </row>
    <row r="18" spans="1:18">
      <c r="A18" s="1124">
        <f t="shared" si="4"/>
        <v>11</v>
      </c>
      <c r="B18" s="1125" t="s">
        <v>1183</v>
      </c>
      <c r="C18" s="1127">
        <f>P18+P19</f>
        <v>7388799</v>
      </c>
      <c r="D18" s="1127">
        <f t="shared" si="8"/>
        <v>371958.76288659795</v>
      </c>
      <c r="E18" s="1127">
        <f t="shared" si="8"/>
        <v>0</v>
      </c>
      <c r="F18" s="1127">
        <f t="shared" si="8"/>
        <v>0</v>
      </c>
      <c r="G18" s="1127">
        <f t="shared" si="9"/>
        <v>7760757.7628865978</v>
      </c>
      <c r="H18" s="1128">
        <v>128</v>
      </c>
      <c r="I18" s="1128">
        <f t="shared" si="5"/>
        <v>60630.920022551545</v>
      </c>
      <c r="J18" s="1126">
        <v>62500</v>
      </c>
      <c r="K18" s="726"/>
      <c r="L18" s="187" t="s">
        <v>1133</v>
      </c>
      <c r="M18" s="727">
        <f t="shared" si="2"/>
        <v>42032</v>
      </c>
      <c r="N18" s="761">
        <v>145</v>
      </c>
      <c r="O18" s="749">
        <v>33991.496551724136</v>
      </c>
      <c r="P18" s="25">
        <f t="shared" si="3"/>
        <v>4928767</v>
      </c>
      <c r="Q18" s="813" t="s">
        <v>973</v>
      </c>
      <c r="R18" s="728">
        <v>42034</v>
      </c>
    </row>
    <row r="19" spans="1:18">
      <c r="A19" s="1124"/>
      <c r="B19" s="1125"/>
      <c r="C19" s="1127"/>
      <c r="D19" s="1127"/>
      <c r="E19" s="1127"/>
      <c r="F19" s="1127"/>
      <c r="G19" s="1127"/>
      <c r="H19" s="1128"/>
      <c r="I19" s="1128"/>
      <c r="J19" s="1126"/>
      <c r="K19" s="726"/>
      <c r="L19" s="282" t="s">
        <v>478</v>
      </c>
      <c r="M19" s="727">
        <f t="shared" ref="M19" si="10">R19-2</f>
        <v>42032</v>
      </c>
      <c r="N19" s="761">
        <v>128</v>
      </c>
      <c r="O19" s="749">
        <v>19219</v>
      </c>
      <c r="P19" s="25">
        <f t="shared" ref="P19" si="11">ROUND(N19*O19,0)</f>
        <v>2460032</v>
      </c>
      <c r="Q19" s="813" t="s">
        <v>973</v>
      </c>
      <c r="R19" s="728">
        <v>42034</v>
      </c>
    </row>
    <row r="20" spans="1:18">
      <c r="A20" s="1124">
        <f>IF(B20&lt;&gt;"",A18+1,"")</f>
        <v>12</v>
      </c>
      <c r="B20" s="1125" t="s">
        <v>1184</v>
      </c>
      <c r="C20" s="1127">
        <f>P20+P21</f>
        <v>13355738</v>
      </c>
      <c r="D20" s="1127">
        <f>IF($H$28&lt;&gt;0,D$28/$H$28*$H20,0)</f>
        <v>743917.5257731959</v>
      </c>
      <c r="E20" s="1127">
        <f>IF($H$28&lt;&gt;0,E$28/$H$28*$H20,0)</f>
        <v>0</v>
      </c>
      <c r="F20" s="1127">
        <f>IF($H$28&lt;&gt;0,F$28/$H$28*$H20,0)</f>
        <v>0</v>
      </c>
      <c r="G20" s="1127">
        <f>SUM(C20:F20)</f>
        <v>14099655.525773196</v>
      </c>
      <c r="H20" s="1127">
        <v>256</v>
      </c>
      <c r="I20" s="1128">
        <f t="shared" si="5"/>
        <v>55076.779397551545</v>
      </c>
      <c r="J20" s="1126">
        <v>50800</v>
      </c>
      <c r="K20" s="726"/>
      <c r="L20" s="187" t="s">
        <v>479</v>
      </c>
      <c r="M20" s="727">
        <f t="shared" si="2"/>
        <v>42032</v>
      </c>
      <c r="N20" s="761">
        <v>256</v>
      </c>
      <c r="O20" s="749">
        <v>23461</v>
      </c>
      <c r="P20" s="25">
        <f t="shared" si="3"/>
        <v>6006016</v>
      </c>
      <c r="Q20" s="813" t="s">
        <v>973</v>
      </c>
      <c r="R20" s="728">
        <v>42034</v>
      </c>
    </row>
    <row r="21" spans="1:18">
      <c r="A21" s="1124"/>
      <c r="B21" s="1125"/>
      <c r="C21" s="1127"/>
      <c r="D21" s="1127"/>
      <c r="E21" s="1127"/>
      <c r="F21" s="1127"/>
      <c r="G21" s="1127"/>
      <c r="H21" s="1127"/>
      <c r="I21" s="1128"/>
      <c r="J21" s="1126"/>
      <c r="K21" s="726"/>
      <c r="L21" s="187" t="s">
        <v>470</v>
      </c>
      <c r="M21" s="727">
        <f t="shared" ref="M21" si="12">R21-2</f>
        <v>42032</v>
      </c>
      <c r="N21" s="761">
        <v>681</v>
      </c>
      <c r="O21" s="749">
        <v>10792.543318649046</v>
      </c>
      <c r="P21" s="25">
        <f t="shared" ref="P21" si="13">ROUND(N21*O21,0)</f>
        <v>7349722</v>
      </c>
      <c r="Q21" s="813" t="s">
        <v>973</v>
      </c>
      <c r="R21" s="728">
        <v>42034</v>
      </c>
    </row>
    <row r="22" spans="1:18">
      <c r="A22" s="1124">
        <f>IF(B22&lt;&gt;"",A20+1,"")</f>
        <v>13</v>
      </c>
      <c r="B22" s="1125" t="s">
        <v>497</v>
      </c>
      <c r="C22" s="1127">
        <f>P22+P23</f>
        <v>23509296</v>
      </c>
      <c r="D22" s="1127">
        <f>IF($H$28&lt;&gt;0,D$28/$H$28*$H22,0)</f>
        <v>1479117.2680412373</v>
      </c>
      <c r="E22" s="1127">
        <f>IF($H$28&lt;&gt;0,E$28/$H$28*$H22,0)</f>
        <v>0</v>
      </c>
      <c r="F22" s="1127">
        <f>IF($H$28&lt;&gt;0,F$28/$H$28*$H22,0)</f>
        <v>0</v>
      </c>
      <c r="G22" s="1127">
        <f>SUM(C22:F22)</f>
        <v>24988413.268041238</v>
      </c>
      <c r="H22" s="1127">
        <v>509</v>
      </c>
      <c r="I22" s="1127">
        <f t="shared" si="5"/>
        <v>49093.149838980818</v>
      </c>
      <c r="J22" s="1126">
        <v>45200</v>
      </c>
      <c r="K22" s="726"/>
      <c r="L22" s="190" t="s">
        <v>1257</v>
      </c>
      <c r="M22" s="727">
        <f t="shared" si="2"/>
        <v>42039</v>
      </c>
      <c r="N22" s="761">
        <v>509</v>
      </c>
      <c r="O22" s="749">
        <v>26784</v>
      </c>
      <c r="P22" s="25">
        <f t="shared" si="3"/>
        <v>13633056</v>
      </c>
      <c r="Q22" s="813" t="s">
        <v>976</v>
      </c>
      <c r="R22" s="728">
        <v>42041</v>
      </c>
    </row>
    <row r="23" spans="1:18">
      <c r="A23" s="1124"/>
      <c r="B23" s="1125"/>
      <c r="C23" s="1127"/>
      <c r="D23" s="1127"/>
      <c r="E23" s="1127"/>
      <c r="F23" s="1127"/>
      <c r="G23" s="1127"/>
      <c r="H23" s="1127"/>
      <c r="I23" s="1127"/>
      <c r="J23" s="1126"/>
      <c r="K23" s="726"/>
      <c r="L23" s="282" t="s">
        <v>472</v>
      </c>
      <c r="M23" s="727">
        <f t="shared" si="2"/>
        <v>42039</v>
      </c>
      <c r="N23" s="761">
        <v>580</v>
      </c>
      <c r="O23" s="749">
        <v>17028</v>
      </c>
      <c r="P23" s="25">
        <f t="shared" ref="P23" si="14">ROUND(N23*O23,0)</f>
        <v>9876240</v>
      </c>
      <c r="Q23" s="813" t="s">
        <v>976</v>
      </c>
      <c r="R23" s="728">
        <v>42041</v>
      </c>
    </row>
    <row r="24" spans="1:18">
      <c r="A24" s="869">
        <f>IF(B24&lt;&gt;"",A22+1,"")</f>
        <v>14</v>
      </c>
      <c r="B24" s="190" t="s">
        <v>1185</v>
      </c>
      <c r="C24" s="748">
        <f t="shared" si="1"/>
        <v>979960</v>
      </c>
      <c r="D24" s="748">
        <f t="shared" ref="D24:F26" si="15">IF($H$28&lt;&gt;0,D$28/$H$28*$H24,0)</f>
        <v>58118.556701030931</v>
      </c>
      <c r="E24" s="748">
        <f t="shared" si="15"/>
        <v>0</v>
      </c>
      <c r="F24" s="748">
        <f t="shared" si="15"/>
        <v>0</v>
      </c>
      <c r="G24" s="748">
        <f>SUM(C24:F24)</f>
        <v>1038078.5567010309</v>
      </c>
      <c r="H24" s="766">
        <v>20</v>
      </c>
      <c r="I24" s="766">
        <f t="shared" si="5"/>
        <v>51903.927835051545</v>
      </c>
      <c r="J24" s="862">
        <v>66700</v>
      </c>
      <c r="K24" s="726"/>
      <c r="L24" s="187" t="s">
        <v>484</v>
      </c>
      <c r="M24" s="727">
        <f t="shared" si="2"/>
        <v>42039</v>
      </c>
      <c r="N24" s="761">
        <v>40</v>
      </c>
      <c r="O24" s="749">
        <v>24499</v>
      </c>
      <c r="P24" s="25">
        <f t="shared" si="3"/>
        <v>979960</v>
      </c>
      <c r="Q24" s="813" t="s">
        <v>976</v>
      </c>
      <c r="R24" s="728">
        <v>42041</v>
      </c>
    </row>
    <row r="25" spans="1:18">
      <c r="A25" s="744">
        <f>IF(B25&lt;&gt;"",A24+1,"")</f>
        <v>15</v>
      </c>
      <c r="B25" s="190" t="s">
        <v>1186</v>
      </c>
      <c r="C25" s="8">
        <f t="shared" si="1"/>
        <v>1806586</v>
      </c>
      <c r="D25" s="244">
        <f t="shared" si="15"/>
        <v>261533.50515463919</v>
      </c>
      <c r="E25" s="244">
        <f t="shared" si="15"/>
        <v>0</v>
      </c>
      <c r="F25" s="244">
        <f t="shared" si="15"/>
        <v>0</v>
      </c>
      <c r="G25" s="8">
        <f>SUM(C25:F25)</f>
        <v>2068119.5051546392</v>
      </c>
      <c r="H25" s="244">
        <v>90</v>
      </c>
      <c r="I25" s="244">
        <f t="shared" si="5"/>
        <v>22979.105612829324</v>
      </c>
      <c r="J25" s="630">
        <v>27500</v>
      </c>
      <c r="K25" s="726"/>
      <c r="L25" s="282" t="s">
        <v>478</v>
      </c>
      <c r="M25" s="727">
        <f t="shared" si="2"/>
        <v>42039</v>
      </c>
      <c r="N25" s="761">
        <v>94</v>
      </c>
      <c r="O25" s="749">
        <v>19219</v>
      </c>
      <c r="P25" s="25">
        <f t="shared" si="3"/>
        <v>1806586</v>
      </c>
      <c r="Q25" s="813" t="s">
        <v>976</v>
      </c>
      <c r="R25" s="728">
        <v>42041</v>
      </c>
    </row>
    <row r="26" spans="1:18">
      <c r="A26" s="744">
        <f t="shared" si="4"/>
        <v>16</v>
      </c>
      <c r="B26" s="190" t="s">
        <v>499</v>
      </c>
      <c r="C26" s="8">
        <f t="shared" si="1"/>
        <v>1417878</v>
      </c>
      <c r="D26" s="244">
        <f t="shared" si="15"/>
        <v>319652.06185567012</v>
      </c>
      <c r="E26" s="244">
        <f t="shared" si="15"/>
        <v>0</v>
      </c>
      <c r="F26" s="244">
        <f t="shared" si="15"/>
        <v>0</v>
      </c>
      <c r="G26" s="8">
        <f>SUM(C26:F26)</f>
        <v>1737530.0618556701</v>
      </c>
      <c r="H26" s="244">
        <v>110</v>
      </c>
      <c r="I26" s="244">
        <f t="shared" si="5"/>
        <v>15795.727835051546</v>
      </c>
      <c r="J26" s="630">
        <v>14700</v>
      </c>
      <c r="K26" s="726"/>
      <c r="L26" s="187" t="s">
        <v>471</v>
      </c>
      <c r="M26" s="727">
        <f t="shared" si="2"/>
        <v>42081</v>
      </c>
      <c r="N26" s="761">
        <v>126</v>
      </c>
      <c r="O26" s="749">
        <v>11253</v>
      </c>
      <c r="P26" s="25">
        <f t="shared" si="3"/>
        <v>1417878</v>
      </c>
      <c r="Q26" s="813" t="s">
        <v>981</v>
      </c>
      <c r="R26" s="728">
        <v>42083</v>
      </c>
    </row>
    <row r="27" spans="1:18" s="730" customFormat="1">
      <c r="A27" s="712"/>
      <c r="B27" s="282"/>
      <c r="C27" s="866"/>
      <c r="D27" s="446"/>
      <c r="E27" s="446"/>
      <c r="F27" s="446"/>
      <c r="G27" s="866"/>
      <c r="H27" s="446"/>
      <c r="I27" s="446"/>
      <c r="J27" s="630"/>
      <c r="K27" s="630"/>
      <c r="L27" s="729"/>
      <c r="M27" s="728"/>
      <c r="N27" s="761"/>
      <c r="O27" s="749"/>
      <c r="P27" s="749"/>
      <c r="Q27" s="729"/>
      <c r="R27" s="728"/>
    </row>
    <row r="28" spans="1:18" s="709" customFormat="1">
      <c r="A28" s="714"/>
      <c r="B28" s="715" t="s">
        <v>234</v>
      </c>
      <c r="C28" s="505">
        <f>SUM(C7:C27)</f>
        <v>78675745</v>
      </c>
      <c r="D28" s="505">
        <v>9020000</v>
      </c>
      <c r="E28" s="505"/>
      <c r="F28" s="505"/>
      <c r="G28" s="505">
        <f>ROUND(SUM(G7:G27),0)</f>
        <v>87695744</v>
      </c>
      <c r="H28" s="505">
        <f>ROUND(SUM(H7:H27),0)</f>
        <v>3104</v>
      </c>
      <c r="I28" s="505"/>
      <c r="J28" s="722"/>
      <c r="K28" s="722"/>
      <c r="L28" s="731"/>
      <c r="M28" s="732"/>
      <c r="N28" s="762">
        <f>SUM(N7:N27)</f>
        <v>4277</v>
      </c>
      <c r="O28" s="46"/>
      <c r="P28" s="46">
        <f>SUM(P7:P27)</f>
        <v>78675745</v>
      </c>
      <c r="Q28" s="731"/>
      <c r="R28" s="732"/>
    </row>
    <row r="29" spans="1:18" s="709" customFormat="1">
      <c r="A29" s="716"/>
      <c r="B29" s="717"/>
      <c r="C29" s="710"/>
      <c r="D29" s="710"/>
      <c r="E29" s="710"/>
      <c r="F29" s="710"/>
      <c r="G29" s="710"/>
      <c r="H29" s="710"/>
      <c r="I29" s="710"/>
      <c r="J29" s="722"/>
      <c r="K29" s="722"/>
      <c r="L29" s="426"/>
      <c r="M29" s="733"/>
      <c r="N29" s="763"/>
      <c r="O29" s="725"/>
      <c r="P29" s="734"/>
      <c r="Q29" s="426"/>
      <c r="R29" s="733"/>
    </row>
    <row r="30" spans="1:18">
      <c r="C30" s="718"/>
      <c r="D30" s="718"/>
      <c r="E30" s="719"/>
      <c r="F30" s="719"/>
      <c r="G30" s="735"/>
      <c r="H30" s="710"/>
      <c r="L30" s="426"/>
      <c r="M30" s="733"/>
      <c r="N30" s="763"/>
      <c r="O30" s="725"/>
      <c r="P30" s="734"/>
      <c r="Q30" s="426"/>
      <c r="R30" s="733"/>
    </row>
    <row r="31" spans="1:18" ht="18" hidden="1" customHeight="1">
      <c r="A31" s="543" t="str">
        <f>TH!$A$1</f>
        <v>Đơn vị: CÔNG TY TNHH MỘT THÀNH VIÊN KHỞI NGUYÊN AN</v>
      </c>
      <c r="B31" s="709"/>
      <c r="C31" s="279"/>
      <c r="D31" s="279"/>
      <c r="E31" s="279"/>
      <c r="F31" s="279"/>
      <c r="G31" s="279"/>
      <c r="H31" s="571"/>
      <c r="I31" s="279"/>
      <c r="J31" s="722"/>
      <c r="K31" s="722"/>
      <c r="L31" s="426"/>
      <c r="M31" s="733"/>
      <c r="N31" s="763"/>
      <c r="O31" s="725"/>
      <c r="P31" s="734"/>
      <c r="Q31" s="426"/>
      <c r="R31" s="733"/>
    </row>
    <row r="32" spans="1:18" ht="18.75" customHeight="1">
      <c r="A32" s="710" t="s">
        <v>356</v>
      </c>
      <c r="B32" s="710"/>
      <c r="C32" s="710"/>
      <c r="D32" s="710"/>
      <c r="E32" s="710"/>
      <c r="F32" s="710"/>
      <c r="G32" s="710"/>
      <c r="H32" s="710"/>
      <c r="I32" s="710"/>
      <c r="J32" s="722"/>
      <c r="K32" s="722"/>
      <c r="L32" s="426"/>
      <c r="M32" s="733"/>
      <c r="N32" s="763"/>
      <c r="O32" s="725"/>
      <c r="P32" s="734"/>
      <c r="Q32" s="426"/>
      <c r="R32" s="733"/>
    </row>
    <row r="33" spans="1:18" ht="18.75" customHeight="1">
      <c r="A33" s="710"/>
      <c r="B33" s="711"/>
      <c r="C33" s="711"/>
      <c r="D33" s="711"/>
      <c r="E33" s="711"/>
      <c r="F33" s="711"/>
      <c r="G33" s="711"/>
      <c r="H33" s="723"/>
      <c r="I33" s="711"/>
      <c r="J33" s="722"/>
      <c r="K33" s="722"/>
      <c r="L33" s="426"/>
      <c r="M33" s="733"/>
      <c r="N33" s="763"/>
      <c r="O33" s="725"/>
      <c r="P33" s="734"/>
      <c r="Q33" s="426"/>
      <c r="R33" s="733"/>
    </row>
    <row r="34" spans="1:18" ht="12.75" customHeight="1">
      <c r="A34" s="754"/>
      <c r="B34" s="746"/>
      <c r="C34" s="746"/>
      <c r="D34" s="746"/>
      <c r="E34" s="746"/>
      <c r="F34" s="746"/>
      <c r="G34" s="746"/>
      <c r="H34" s="724"/>
      <c r="I34" s="746"/>
      <c r="J34" s="722"/>
      <c r="K34" s="722"/>
      <c r="L34" s="426"/>
      <c r="M34" s="733"/>
      <c r="N34" s="763"/>
      <c r="O34" s="725"/>
      <c r="P34" s="734"/>
      <c r="Q34" s="426"/>
      <c r="R34" s="733"/>
    </row>
    <row r="35" spans="1:18" s="424" customFormat="1" ht="30.75" customHeight="1">
      <c r="A35" s="767" t="s">
        <v>35</v>
      </c>
      <c r="B35" s="420" t="s">
        <v>226</v>
      </c>
      <c r="C35" s="421" t="s">
        <v>229</v>
      </c>
      <c r="D35" s="421" t="s">
        <v>366</v>
      </c>
      <c r="E35" s="421" t="s">
        <v>230</v>
      </c>
      <c r="F35" s="421" t="s">
        <v>354</v>
      </c>
      <c r="G35" s="421" t="s">
        <v>231</v>
      </c>
      <c r="H35" s="422" t="s">
        <v>227</v>
      </c>
      <c r="I35" s="421" t="s">
        <v>232</v>
      </c>
      <c r="J35" s="423"/>
      <c r="K35" s="423"/>
      <c r="L35" s="420" t="s">
        <v>226</v>
      </c>
      <c r="M35" s="421" t="s">
        <v>220</v>
      </c>
      <c r="N35" s="759" t="s">
        <v>187</v>
      </c>
      <c r="O35" s="421" t="s">
        <v>228</v>
      </c>
      <c r="P35" s="421" t="s">
        <v>233</v>
      </c>
      <c r="Q35" s="420" t="s">
        <v>226</v>
      </c>
      <c r="R35" s="421" t="s">
        <v>220</v>
      </c>
    </row>
    <row r="36" spans="1:18">
      <c r="A36" s="768">
        <f>IF(B36&lt;&gt;"",ROW()-17,"")</f>
        <v>19</v>
      </c>
      <c r="B36" s="190" t="s">
        <v>503</v>
      </c>
      <c r="C36" s="743">
        <f>P36</f>
        <v>113100</v>
      </c>
      <c r="D36" s="743">
        <f t="shared" ref="D36:F52" si="16">IF($H$75&lt;&gt;0,D$75/$H$75*$H36,0)</f>
        <v>37243.131649992058</v>
      </c>
      <c r="E36" s="743">
        <f t="shared" si="16"/>
        <v>0</v>
      </c>
      <c r="F36" s="743">
        <f t="shared" si="16"/>
        <v>10033.349213911386</v>
      </c>
      <c r="G36" s="25">
        <f t="shared" ref="G36:G52" si="17">SUM(C36:F36)</f>
        <v>160376.48086390345</v>
      </c>
      <c r="H36" s="243">
        <v>52</v>
      </c>
      <c r="I36" s="743">
        <f>IF(H36&lt;&gt;"",G36/H36,"")</f>
        <v>3084.1630935366047</v>
      </c>
      <c r="J36" s="630">
        <v>2800</v>
      </c>
      <c r="K36" s="630"/>
      <c r="L36" s="187" t="s">
        <v>1120</v>
      </c>
      <c r="M36" s="728">
        <f>R36-2</f>
        <v>42095</v>
      </c>
      <c r="N36" s="285">
        <v>15</v>
      </c>
      <c r="O36" s="750">
        <v>7540</v>
      </c>
      <c r="P36" s="25">
        <f>N36*O36</f>
        <v>113100</v>
      </c>
      <c r="Q36" s="813" t="s">
        <v>905</v>
      </c>
      <c r="R36" s="189">
        <v>42097</v>
      </c>
    </row>
    <row r="37" spans="1:18">
      <c r="A37" s="744">
        <f>IF(B37&lt;&gt;"",A36+1,"")</f>
        <v>20</v>
      </c>
      <c r="B37" s="190" t="s">
        <v>713</v>
      </c>
      <c r="C37" s="766">
        <f t="shared" ref="C37:C73" si="18">P37</f>
        <v>6015769.2307692301</v>
      </c>
      <c r="D37" s="766">
        <f t="shared" si="16"/>
        <v>322296.33158646972</v>
      </c>
      <c r="E37" s="766">
        <f t="shared" si="16"/>
        <v>0</v>
      </c>
      <c r="F37" s="766">
        <f t="shared" si="16"/>
        <v>86827.060505002373</v>
      </c>
      <c r="G37" s="25">
        <f t="shared" si="17"/>
        <v>6424892.6228607027</v>
      </c>
      <c r="H37" s="243">
        <v>450</v>
      </c>
      <c r="I37" s="244">
        <f t="shared" ref="I37:I38" si="19">IF(H37&lt;&gt;"",G37/H37,"")</f>
        <v>14277.539161912673</v>
      </c>
      <c r="J37" s="630">
        <v>15000</v>
      </c>
      <c r="K37" s="630"/>
      <c r="L37" s="868" t="s">
        <v>511</v>
      </c>
      <c r="M37" s="728">
        <f t="shared" ref="M37:M73" si="20">R37-2</f>
        <v>42098</v>
      </c>
      <c r="N37" s="285">
        <v>500</v>
      </c>
      <c r="O37" s="750">
        <v>12031.538461538461</v>
      </c>
      <c r="P37" s="25">
        <f t="shared" ref="P37" si="21">N37*O37</f>
        <v>6015769.2307692301</v>
      </c>
      <c r="Q37" s="813" t="s">
        <v>985</v>
      </c>
      <c r="R37" s="189">
        <v>42100</v>
      </c>
    </row>
    <row r="38" spans="1:18">
      <c r="A38" s="744">
        <f>IF(B38&lt;&gt;"",A37+1,"")</f>
        <v>21</v>
      </c>
      <c r="B38" s="190" t="s">
        <v>1188</v>
      </c>
      <c r="C38" s="766">
        <f t="shared" si="18"/>
        <v>2526623.076923077</v>
      </c>
      <c r="D38" s="766">
        <f t="shared" si="16"/>
        <v>150404.95474035255</v>
      </c>
      <c r="E38" s="766">
        <f t="shared" si="16"/>
        <v>0</v>
      </c>
      <c r="F38" s="766">
        <f t="shared" si="16"/>
        <v>40519.294902334441</v>
      </c>
      <c r="G38" s="25">
        <f t="shared" si="17"/>
        <v>2717547.3265657639</v>
      </c>
      <c r="H38" s="243">
        <v>210</v>
      </c>
      <c r="I38" s="244">
        <f t="shared" si="19"/>
        <v>12940.701555075066</v>
      </c>
      <c r="J38" s="630">
        <v>14300</v>
      </c>
      <c r="K38" s="630"/>
      <c r="L38" s="868" t="s">
        <v>511</v>
      </c>
      <c r="M38" s="728">
        <f t="shared" si="20"/>
        <v>42098</v>
      </c>
      <c r="N38" s="285">
        <v>210</v>
      </c>
      <c r="O38" s="243">
        <v>12031.538461538461</v>
      </c>
      <c r="P38" s="8">
        <f t="shared" ref="P38" si="22">N38*O38</f>
        <v>2526623.076923077</v>
      </c>
      <c r="Q38" s="813" t="s">
        <v>985</v>
      </c>
      <c r="R38" s="189">
        <v>42100</v>
      </c>
    </row>
    <row r="39" spans="1:18">
      <c r="A39" s="744">
        <f t="shared" ref="A39:A40" si="23">IF(B39&lt;&gt;"",A38+1,"")</f>
        <v>22</v>
      </c>
      <c r="B39" s="190" t="s">
        <v>1189</v>
      </c>
      <c r="C39" s="766">
        <f t="shared" si="18"/>
        <v>8726529</v>
      </c>
      <c r="D39" s="766">
        <f t="shared" si="16"/>
        <v>204121.01000476416</v>
      </c>
      <c r="E39" s="766">
        <f t="shared" si="16"/>
        <v>0</v>
      </c>
      <c r="F39" s="766">
        <f t="shared" si="16"/>
        <v>54990.47165316817</v>
      </c>
      <c r="G39" s="25">
        <f t="shared" si="17"/>
        <v>8985640.4816579334</v>
      </c>
      <c r="H39" s="243">
        <v>285</v>
      </c>
      <c r="I39" s="244">
        <f t="shared" ref="I39:I40" si="24">IF(H39&lt;&gt;"",G39/H39,"")</f>
        <v>31528.56309353661</v>
      </c>
      <c r="J39" s="630">
        <v>32000</v>
      </c>
      <c r="K39" s="630"/>
      <c r="L39" s="868" t="s">
        <v>578</v>
      </c>
      <c r="M39" s="728">
        <f t="shared" si="20"/>
        <v>42106</v>
      </c>
      <c r="N39" s="285">
        <v>399</v>
      </c>
      <c r="O39" s="245">
        <v>21871</v>
      </c>
      <c r="P39" s="8">
        <f t="shared" ref="P39:P40" si="25">N39*O39</f>
        <v>8726529</v>
      </c>
      <c r="Q39" s="813" t="s">
        <v>569</v>
      </c>
      <c r="R39" s="189">
        <v>42108</v>
      </c>
    </row>
    <row r="40" spans="1:18">
      <c r="A40" s="744">
        <f t="shared" si="23"/>
        <v>23</v>
      </c>
      <c r="B40" s="190" t="s">
        <v>1190</v>
      </c>
      <c r="C40" s="766">
        <f t="shared" si="18"/>
        <v>2360484</v>
      </c>
      <c r="D40" s="766">
        <f t="shared" si="16"/>
        <v>95256.471335556605</v>
      </c>
      <c r="E40" s="766">
        <f t="shared" si="16"/>
        <v>0</v>
      </c>
      <c r="F40" s="766">
        <f t="shared" si="16"/>
        <v>25662.220104811815</v>
      </c>
      <c r="G40" s="25">
        <f t="shared" si="17"/>
        <v>2481402.6914403685</v>
      </c>
      <c r="H40" s="243">
        <v>133</v>
      </c>
      <c r="I40" s="244">
        <f t="shared" si="24"/>
        <v>18657.163093536605</v>
      </c>
      <c r="J40" s="630">
        <v>22600</v>
      </c>
      <c r="K40" s="630"/>
      <c r="L40" s="187" t="s">
        <v>522</v>
      </c>
      <c r="M40" s="728">
        <f t="shared" si="20"/>
        <v>42106</v>
      </c>
      <c r="N40" s="764">
        <v>133</v>
      </c>
      <c r="O40" s="245">
        <v>17748</v>
      </c>
      <c r="P40" s="8">
        <f t="shared" si="25"/>
        <v>2360484</v>
      </c>
      <c r="Q40" s="813" t="s">
        <v>569</v>
      </c>
      <c r="R40" s="189">
        <v>42108</v>
      </c>
    </row>
    <row r="41" spans="1:18">
      <c r="A41" s="744">
        <f t="shared" ref="A41:A72" si="26">IF(B41&lt;&gt;"",A40+1,"")</f>
        <v>24</v>
      </c>
      <c r="B41" s="190" t="s">
        <v>1191</v>
      </c>
      <c r="C41" s="766">
        <f t="shared" si="18"/>
        <v>646483</v>
      </c>
      <c r="D41" s="766">
        <f t="shared" si="16"/>
        <v>143242.81403843098</v>
      </c>
      <c r="E41" s="766">
        <f t="shared" si="16"/>
        <v>0</v>
      </c>
      <c r="F41" s="766">
        <f t="shared" si="16"/>
        <v>38589.804668889949</v>
      </c>
      <c r="G41" s="25">
        <f t="shared" si="17"/>
        <v>828315.618707321</v>
      </c>
      <c r="H41" s="243">
        <v>200</v>
      </c>
      <c r="I41" s="244">
        <f t="shared" ref="I41:I73" si="27">IF(H41&lt;&gt;"",G41/H41,"")</f>
        <v>4141.5780935366047</v>
      </c>
      <c r="J41" s="630">
        <v>4200</v>
      </c>
      <c r="K41" s="630"/>
      <c r="L41" s="187" t="s">
        <v>1127</v>
      </c>
      <c r="M41" s="728">
        <f t="shared" si="20"/>
        <v>42129</v>
      </c>
      <c r="N41" s="764">
        <v>67</v>
      </c>
      <c r="O41" s="245">
        <v>9649</v>
      </c>
      <c r="P41" s="8">
        <f t="shared" ref="P41:P73" si="28">N41*O41</f>
        <v>646483</v>
      </c>
      <c r="Q41" s="813" t="s">
        <v>987</v>
      </c>
      <c r="R41" s="189">
        <v>42131</v>
      </c>
    </row>
    <row r="42" spans="1:18">
      <c r="A42" s="744">
        <f t="shared" si="26"/>
        <v>25</v>
      </c>
      <c r="B42" s="190" t="s">
        <v>1192</v>
      </c>
      <c r="C42" s="766">
        <f t="shared" si="18"/>
        <v>1144000</v>
      </c>
      <c r="D42" s="766">
        <f t="shared" si="16"/>
        <v>214864.2210576465</v>
      </c>
      <c r="E42" s="766">
        <f t="shared" si="16"/>
        <v>0</v>
      </c>
      <c r="F42" s="766">
        <f t="shared" si="16"/>
        <v>57884.707003334915</v>
      </c>
      <c r="G42" s="25">
        <f t="shared" si="17"/>
        <v>1416748.9280609814</v>
      </c>
      <c r="H42" s="243">
        <v>300</v>
      </c>
      <c r="I42" s="244">
        <f t="shared" si="27"/>
        <v>4722.4964268699377</v>
      </c>
      <c r="J42" s="630">
        <v>5200</v>
      </c>
      <c r="K42" s="630"/>
      <c r="L42" s="282" t="s">
        <v>476</v>
      </c>
      <c r="M42" s="728">
        <f t="shared" si="20"/>
        <v>42129</v>
      </c>
      <c r="N42" s="285">
        <v>100</v>
      </c>
      <c r="O42" s="245">
        <v>11440</v>
      </c>
      <c r="P42" s="8">
        <f t="shared" si="28"/>
        <v>1144000</v>
      </c>
      <c r="Q42" s="813" t="s">
        <v>987</v>
      </c>
      <c r="R42" s="189">
        <v>42131</v>
      </c>
    </row>
    <row r="43" spans="1:18">
      <c r="A43" s="744">
        <f t="shared" si="26"/>
        <v>26</v>
      </c>
      <c r="B43" s="190" t="s">
        <v>1193</v>
      </c>
      <c r="C43" s="766">
        <f t="shared" si="18"/>
        <v>1640200</v>
      </c>
      <c r="D43" s="766">
        <f t="shared" si="16"/>
        <v>143242.81403843098</v>
      </c>
      <c r="E43" s="766">
        <f t="shared" si="16"/>
        <v>0</v>
      </c>
      <c r="F43" s="766">
        <f t="shared" si="16"/>
        <v>38589.804668889949</v>
      </c>
      <c r="G43" s="25">
        <f t="shared" si="17"/>
        <v>1822032.6187073209</v>
      </c>
      <c r="H43" s="243">
        <v>200</v>
      </c>
      <c r="I43" s="244">
        <f t="shared" si="27"/>
        <v>9110.1630935366047</v>
      </c>
      <c r="J43" s="630">
        <v>8400</v>
      </c>
      <c r="K43" s="630"/>
      <c r="L43" s="187" t="s">
        <v>544</v>
      </c>
      <c r="M43" s="728">
        <f t="shared" si="20"/>
        <v>42129</v>
      </c>
      <c r="N43" s="764">
        <v>200</v>
      </c>
      <c r="O43" s="245">
        <v>8201</v>
      </c>
      <c r="P43" s="8">
        <f t="shared" si="28"/>
        <v>1640200</v>
      </c>
      <c r="Q43" s="813" t="s">
        <v>987</v>
      </c>
      <c r="R43" s="189">
        <v>42131</v>
      </c>
    </row>
    <row r="44" spans="1:18">
      <c r="A44" s="744">
        <f t="shared" si="26"/>
        <v>27</v>
      </c>
      <c r="B44" s="190" t="s">
        <v>1194</v>
      </c>
      <c r="C44" s="766">
        <f t="shared" si="18"/>
        <v>1481025</v>
      </c>
      <c r="D44" s="766">
        <f t="shared" si="16"/>
        <v>143242.81403843098</v>
      </c>
      <c r="E44" s="766">
        <f t="shared" si="16"/>
        <v>0</v>
      </c>
      <c r="F44" s="766">
        <f t="shared" si="16"/>
        <v>38589.804668889949</v>
      </c>
      <c r="G44" s="25">
        <f t="shared" si="17"/>
        <v>1662857.6187073209</v>
      </c>
      <c r="H44" s="243">
        <v>200</v>
      </c>
      <c r="I44" s="244">
        <f t="shared" si="27"/>
        <v>8314.2880935366047</v>
      </c>
      <c r="J44" s="630">
        <v>7800</v>
      </c>
      <c r="K44" s="630"/>
      <c r="L44" s="868" t="s">
        <v>469</v>
      </c>
      <c r="M44" s="728">
        <f t="shared" si="20"/>
        <v>42129</v>
      </c>
      <c r="N44" s="285">
        <v>65</v>
      </c>
      <c r="O44" s="245">
        <v>22785</v>
      </c>
      <c r="P44" s="8">
        <f t="shared" si="28"/>
        <v>1481025</v>
      </c>
      <c r="Q44" s="813" t="s">
        <v>987</v>
      </c>
      <c r="R44" s="189">
        <v>42131</v>
      </c>
    </row>
    <row r="45" spans="1:18">
      <c r="A45" s="744">
        <f t="shared" si="26"/>
        <v>28</v>
      </c>
      <c r="B45" s="190" t="s">
        <v>1195</v>
      </c>
      <c r="C45" s="766">
        <f t="shared" si="18"/>
        <v>1640200</v>
      </c>
      <c r="D45" s="766">
        <f t="shared" si="16"/>
        <v>143242.81403843098</v>
      </c>
      <c r="E45" s="766">
        <f t="shared" si="16"/>
        <v>0</v>
      </c>
      <c r="F45" s="766">
        <f t="shared" si="16"/>
        <v>38589.804668889949</v>
      </c>
      <c r="G45" s="25">
        <f t="shared" si="17"/>
        <v>1822032.6187073209</v>
      </c>
      <c r="H45" s="243">
        <v>200</v>
      </c>
      <c r="I45" s="244">
        <f t="shared" si="27"/>
        <v>9110.1630935366047</v>
      </c>
      <c r="J45" s="630">
        <v>8800</v>
      </c>
      <c r="K45" s="630"/>
      <c r="L45" s="187" t="s">
        <v>544</v>
      </c>
      <c r="M45" s="728">
        <f t="shared" si="20"/>
        <v>42129</v>
      </c>
      <c r="N45" s="285">
        <v>200</v>
      </c>
      <c r="O45" s="245">
        <v>8201</v>
      </c>
      <c r="P45" s="8">
        <f t="shared" si="28"/>
        <v>1640200</v>
      </c>
      <c r="Q45" s="813" t="s">
        <v>987</v>
      </c>
      <c r="R45" s="189">
        <v>42131</v>
      </c>
    </row>
    <row r="46" spans="1:18">
      <c r="A46" s="744">
        <f t="shared" si="26"/>
        <v>29</v>
      </c>
      <c r="B46" s="190" t="s">
        <v>1196</v>
      </c>
      <c r="C46" s="766">
        <f t="shared" si="18"/>
        <v>5355000</v>
      </c>
      <c r="D46" s="766">
        <f t="shared" si="16"/>
        <v>358107.03509607748</v>
      </c>
      <c r="E46" s="766">
        <f t="shared" si="16"/>
        <v>0</v>
      </c>
      <c r="F46" s="766">
        <f t="shared" si="16"/>
        <v>96474.511672224864</v>
      </c>
      <c r="G46" s="25">
        <f t="shared" si="17"/>
        <v>5809581.5467683021</v>
      </c>
      <c r="H46" s="243">
        <v>500</v>
      </c>
      <c r="I46" s="244">
        <f t="shared" si="27"/>
        <v>11619.163093536605</v>
      </c>
      <c r="J46" s="630">
        <v>11300</v>
      </c>
      <c r="K46" s="630"/>
      <c r="L46" s="868" t="s">
        <v>577</v>
      </c>
      <c r="M46" s="728">
        <f t="shared" si="20"/>
        <v>42156</v>
      </c>
      <c r="N46" s="285">
        <v>500</v>
      </c>
      <c r="O46" s="245">
        <v>10710</v>
      </c>
      <c r="P46" s="8">
        <f t="shared" si="28"/>
        <v>5355000</v>
      </c>
      <c r="Q46" s="813" t="s">
        <v>991</v>
      </c>
      <c r="R46" s="189">
        <v>42158</v>
      </c>
    </row>
    <row r="47" spans="1:18">
      <c r="A47" s="744">
        <f t="shared" si="26"/>
        <v>30</v>
      </c>
      <c r="B47" s="190" t="s">
        <v>1197</v>
      </c>
      <c r="C47" s="766">
        <f t="shared" si="18"/>
        <v>1804590</v>
      </c>
      <c r="D47" s="766">
        <f t="shared" si="16"/>
        <v>644592.66317293944</v>
      </c>
      <c r="E47" s="766">
        <f t="shared" si="16"/>
        <v>0</v>
      </c>
      <c r="F47" s="766">
        <f t="shared" si="16"/>
        <v>173654.12101000475</v>
      </c>
      <c r="G47" s="25">
        <f t="shared" si="17"/>
        <v>2622836.7841829439</v>
      </c>
      <c r="H47" s="243">
        <v>900</v>
      </c>
      <c r="I47" s="244">
        <f t="shared" si="27"/>
        <v>2914.2630935366042</v>
      </c>
      <c r="J47" s="630">
        <v>2400</v>
      </c>
      <c r="K47" s="630"/>
      <c r="L47" s="282" t="s">
        <v>483</v>
      </c>
      <c r="M47" s="728">
        <f t="shared" si="20"/>
        <v>42168</v>
      </c>
      <c r="N47" s="764">
        <v>90</v>
      </c>
      <c r="O47" s="243">
        <v>20051</v>
      </c>
      <c r="P47" s="8">
        <f t="shared" si="28"/>
        <v>1804590</v>
      </c>
      <c r="Q47" s="813" t="s">
        <v>993</v>
      </c>
      <c r="R47" s="189">
        <v>42170</v>
      </c>
    </row>
    <row r="48" spans="1:18">
      <c r="A48" s="744">
        <f t="shared" si="26"/>
        <v>31</v>
      </c>
      <c r="B48" s="190" t="s">
        <v>1183</v>
      </c>
      <c r="C48" s="766">
        <f t="shared" si="18"/>
        <v>446624</v>
      </c>
      <c r="D48" s="766">
        <f t="shared" si="16"/>
        <v>5729.7125615372397</v>
      </c>
      <c r="E48" s="766">
        <f t="shared" si="16"/>
        <v>0</v>
      </c>
      <c r="F48" s="766">
        <f t="shared" si="16"/>
        <v>1543.5921867555978</v>
      </c>
      <c r="G48" s="25">
        <f t="shared" si="17"/>
        <v>453897.30474829284</v>
      </c>
      <c r="H48" s="243">
        <v>8</v>
      </c>
      <c r="I48" s="244">
        <f t="shared" si="27"/>
        <v>56737.163093536605</v>
      </c>
      <c r="J48" s="630">
        <v>70000</v>
      </c>
      <c r="K48" s="630"/>
      <c r="L48" s="187" t="s">
        <v>1135</v>
      </c>
      <c r="M48" s="728">
        <f t="shared" si="20"/>
        <v>42173</v>
      </c>
      <c r="N48" s="764">
        <v>16</v>
      </c>
      <c r="O48" s="243">
        <v>27914</v>
      </c>
      <c r="P48" s="8">
        <f t="shared" si="28"/>
        <v>446624</v>
      </c>
      <c r="Q48" s="813" t="s">
        <v>995</v>
      </c>
      <c r="R48" s="189">
        <v>42175</v>
      </c>
    </row>
    <row r="49" spans="1:18">
      <c r="A49" s="744">
        <f t="shared" si="26"/>
        <v>32</v>
      </c>
      <c r="B49" s="190" t="s">
        <v>1198</v>
      </c>
      <c r="C49" s="766">
        <f t="shared" si="18"/>
        <v>426530</v>
      </c>
      <c r="D49" s="766">
        <f t="shared" si="16"/>
        <v>5729.7125615372397</v>
      </c>
      <c r="E49" s="766">
        <f t="shared" si="16"/>
        <v>0</v>
      </c>
      <c r="F49" s="766">
        <f t="shared" si="16"/>
        <v>1543.5921867555978</v>
      </c>
      <c r="G49" s="25">
        <f t="shared" si="17"/>
        <v>433803.30474829284</v>
      </c>
      <c r="H49" s="243">
        <v>8</v>
      </c>
      <c r="I49" s="244">
        <f t="shared" si="27"/>
        <v>54225.413093536605</v>
      </c>
      <c r="J49" s="630">
        <v>61000</v>
      </c>
      <c r="K49" s="630"/>
      <c r="L49" s="868" t="s">
        <v>601</v>
      </c>
      <c r="M49" s="728">
        <f t="shared" si="20"/>
        <v>42173</v>
      </c>
      <c r="N49" s="285">
        <v>20</v>
      </c>
      <c r="O49" s="243">
        <v>21326.5</v>
      </c>
      <c r="P49" s="8">
        <f t="shared" si="28"/>
        <v>426530</v>
      </c>
      <c r="Q49" s="813" t="s">
        <v>995</v>
      </c>
      <c r="R49" s="189">
        <v>42175</v>
      </c>
    </row>
    <row r="50" spans="1:18">
      <c r="A50" s="744">
        <f t="shared" si="26"/>
        <v>33</v>
      </c>
      <c r="B50" s="190" t="s">
        <v>1199</v>
      </c>
      <c r="C50" s="766">
        <f t="shared" si="18"/>
        <v>811008</v>
      </c>
      <c r="D50" s="766">
        <f t="shared" si="16"/>
        <v>7162.1407019215494</v>
      </c>
      <c r="E50" s="766">
        <f t="shared" si="16"/>
        <v>0</v>
      </c>
      <c r="F50" s="766">
        <f t="shared" si="16"/>
        <v>1929.4902334444973</v>
      </c>
      <c r="G50" s="25">
        <f t="shared" si="17"/>
        <v>820099.63093536603</v>
      </c>
      <c r="H50" s="243">
        <v>10</v>
      </c>
      <c r="I50" s="244">
        <f t="shared" si="27"/>
        <v>82009.9630935366</v>
      </c>
      <c r="J50" s="630">
        <v>96000</v>
      </c>
      <c r="K50" s="630"/>
      <c r="L50" s="868" t="s">
        <v>1121</v>
      </c>
      <c r="M50" s="728">
        <f t="shared" si="20"/>
        <v>42173</v>
      </c>
      <c r="N50" s="285">
        <v>32</v>
      </c>
      <c r="O50" s="750">
        <v>25344</v>
      </c>
      <c r="P50" s="8">
        <f t="shared" si="28"/>
        <v>811008</v>
      </c>
      <c r="Q50" s="813" t="s">
        <v>995</v>
      </c>
      <c r="R50" s="189">
        <v>42175</v>
      </c>
    </row>
    <row r="51" spans="1:18">
      <c r="A51" s="744">
        <f t="shared" si="26"/>
        <v>34</v>
      </c>
      <c r="B51" s="190" t="s">
        <v>1200</v>
      </c>
      <c r="C51" s="766">
        <f t="shared" si="18"/>
        <v>2787840</v>
      </c>
      <c r="D51" s="766">
        <f t="shared" si="16"/>
        <v>35810.703509607745</v>
      </c>
      <c r="E51" s="766">
        <f t="shared" si="16"/>
        <v>0</v>
      </c>
      <c r="F51" s="766">
        <f t="shared" si="16"/>
        <v>9647.4511672224871</v>
      </c>
      <c r="G51" s="25">
        <f t="shared" si="17"/>
        <v>2833298.1546768304</v>
      </c>
      <c r="H51" s="243">
        <v>50</v>
      </c>
      <c r="I51" s="244">
        <f t="shared" si="27"/>
        <v>56665.963093536608</v>
      </c>
      <c r="J51" s="630">
        <v>67000</v>
      </c>
      <c r="K51" s="630"/>
      <c r="L51" s="868" t="s">
        <v>1121</v>
      </c>
      <c r="M51" s="728">
        <f t="shared" si="20"/>
        <v>42173</v>
      </c>
      <c r="N51" s="285">
        <v>110</v>
      </c>
      <c r="O51" s="750">
        <v>25344</v>
      </c>
      <c r="P51" s="8">
        <f t="shared" si="28"/>
        <v>2787840</v>
      </c>
      <c r="Q51" s="813" t="s">
        <v>995</v>
      </c>
      <c r="R51" s="189">
        <v>42175</v>
      </c>
    </row>
    <row r="52" spans="1:18">
      <c r="A52" s="1124">
        <f>IF(B52&lt;&gt;"",A51+1,"")</f>
        <v>35</v>
      </c>
      <c r="B52" s="1125" t="s">
        <v>1189</v>
      </c>
      <c r="C52" s="1127">
        <f>P52+P53</f>
        <v>13508721</v>
      </c>
      <c r="D52" s="1127">
        <f t="shared" si="16"/>
        <v>275026.20295378752</v>
      </c>
      <c r="E52" s="1127">
        <f t="shared" si="16"/>
        <v>0</v>
      </c>
      <c r="F52" s="1127">
        <f t="shared" si="16"/>
        <v>74092.424964268692</v>
      </c>
      <c r="G52" s="1127">
        <f t="shared" si="17"/>
        <v>13857839.627918057</v>
      </c>
      <c r="H52" s="1127">
        <v>384</v>
      </c>
      <c r="I52" s="1127">
        <f t="shared" si="27"/>
        <v>36088.124031036605</v>
      </c>
      <c r="J52" s="1126">
        <v>32000</v>
      </c>
      <c r="K52" s="630"/>
      <c r="L52" s="868" t="s">
        <v>578</v>
      </c>
      <c r="M52" s="728">
        <f t="shared" si="20"/>
        <v>42179</v>
      </c>
      <c r="N52" s="285">
        <v>501</v>
      </c>
      <c r="O52" s="245">
        <v>21871</v>
      </c>
      <c r="P52" s="8">
        <f t="shared" si="28"/>
        <v>10957371</v>
      </c>
      <c r="Q52" s="813" t="s">
        <v>996</v>
      </c>
      <c r="R52" s="189">
        <v>42181</v>
      </c>
    </row>
    <row r="53" spans="1:18">
      <c r="A53" s="1124"/>
      <c r="B53" s="1125"/>
      <c r="C53" s="1127"/>
      <c r="D53" s="1127"/>
      <c r="E53" s="1127"/>
      <c r="F53" s="1127"/>
      <c r="G53" s="1127"/>
      <c r="H53" s="1127"/>
      <c r="I53" s="1127"/>
      <c r="J53" s="1126"/>
      <c r="K53" s="630"/>
      <c r="L53" s="868" t="s">
        <v>1116</v>
      </c>
      <c r="M53" s="728">
        <f t="shared" si="20"/>
        <v>42179</v>
      </c>
      <c r="N53" s="285">
        <v>150</v>
      </c>
      <c r="O53" s="245">
        <v>17009</v>
      </c>
      <c r="P53" s="8">
        <f t="shared" ref="P53" si="29">N53*O53</f>
        <v>2551350</v>
      </c>
      <c r="Q53" s="813" t="s">
        <v>996</v>
      </c>
      <c r="R53" s="189">
        <v>42181</v>
      </c>
    </row>
    <row r="54" spans="1:18">
      <c r="A54" s="744">
        <f>IF(B54&lt;&gt;"",A52+1,"")</f>
        <v>36</v>
      </c>
      <c r="B54" s="190" t="s">
        <v>1183</v>
      </c>
      <c r="C54" s="766">
        <f t="shared" si="18"/>
        <v>962200</v>
      </c>
      <c r="D54" s="766">
        <f t="shared" ref="D54:F65" si="30">IF($H$75&lt;&gt;0,D$75/$H$75*$H54,0)</f>
        <v>10743.211052882325</v>
      </c>
      <c r="E54" s="766">
        <f t="shared" si="30"/>
        <v>0</v>
      </c>
      <c r="F54" s="766">
        <f t="shared" si="30"/>
        <v>2894.2353501667458</v>
      </c>
      <c r="G54" s="25">
        <f t="shared" ref="G54:G65" si="31">SUM(C54:F54)</f>
        <v>975837.44640304917</v>
      </c>
      <c r="H54" s="243">
        <v>15</v>
      </c>
      <c r="I54" s="244">
        <f t="shared" si="27"/>
        <v>65055.829760203276</v>
      </c>
      <c r="J54" s="630">
        <v>70000</v>
      </c>
      <c r="K54" s="630"/>
      <c r="L54" s="868" t="s">
        <v>570</v>
      </c>
      <c r="M54" s="728">
        <f t="shared" si="20"/>
        <v>42179</v>
      </c>
      <c r="N54" s="285">
        <v>40</v>
      </c>
      <c r="O54" s="243">
        <v>24055</v>
      </c>
      <c r="P54" s="8">
        <f t="shared" si="28"/>
        <v>962200</v>
      </c>
      <c r="Q54" s="813" t="s">
        <v>997</v>
      </c>
      <c r="R54" s="189">
        <v>42181</v>
      </c>
    </row>
    <row r="55" spans="1:18">
      <c r="A55" s="744">
        <f t="shared" si="26"/>
        <v>37</v>
      </c>
      <c r="B55" s="190" t="s">
        <v>1199</v>
      </c>
      <c r="C55" s="766">
        <f t="shared" si="18"/>
        <v>319872</v>
      </c>
      <c r="D55" s="766">
        <f t="shared" si="30"/>
        <v>4297.28442115293</v>
      </c>
      <c r="E55" s="766">
        <f t="shared" si="30"/>
        <v>0</v>
      </c>
      <c r="F55" s="766">
        <f t="shared" si="30"/>
        <v>1157.6941400666983</v>
      </c>
      <c r="G55" s="25">
        <f t="shared" si="31"/>
        <v>325326.97856121958</v>
      </c>
      <c r="H55" s="243">
        <v>6</v>
      </c>
      <c r="I55" s="244">
        <f t="shared" si="27"/>
        <v>54221.163093536597</v>
      </c>
      <c r="J55" s="630">
        <v>86000</v>
      </c>
      <c r="K55" s="630"/>
      <c r="L55" s="868" t="s">
        <v>581</v>
      </c>
      <c r="M55" s="728">
        <f t="shared" si="20"/>
        <v>42179</v>
      </c>
      <c r="N55" s="285">
        <v>16</v>
      </c>
      <c r="O55" s="245">
        <v>19992</v>
      </c>
      <c r="P55" s="8">
        <f t="shared" si="28"/>
        <v>319872</v>
      </c>
      <c r="Q55" s="813" t="s">
        <v>997</v>
      </c>
      <c r="R55" s="189">
        <v>42181</v>
      </c>
    </row>
    <row r="56" spans="1:18">
      <c r="A56" s="744">
        <f t="shared" si="26"/>
        <v>38</v>
      </c>
      <c r="B56" s="190" t="s">
        <v>1200</v>
      </c>
      <c r="C56" s="766">
        <f t="shared" si="18"/>
        <v>3367700</v>
      </c>
      <c r="D56" s="766">
        <f t="shared" si="30"/>
        <v>39391.773860568523</v>
      </c>
      <c r="E56" s="766">
        <f t="shared" si="30"/>
        <v>0</v>
      </c>
      <c r="F56" s="766">
        <f t="shared" si="30"/>
        <v>10612.196283944735</v>
      </c>
      <c r="G56" s="25">
        <f t="shared" si="31"/>
        <v>3417703.9701445135</v>
      </c>
      <c r="H56" s="243">
        <v>55</v>
      </c>
      <c r="I56" s="244">
        <f t="shared" si="27"/>
        <v>62140.0721844457</v>
      </c>
      <c r="J56" s="630">
        <v>67000</v>
      </c>
      <c r="K56" s="630"/>
      <c r="L56" s="868" t="s">
        <v>570</v>
      </c>
      <c r="M56" s="728">
        <f t="shared" si="20"/>
        <v>42179</v>
      </c>
      <c r="N56" s="285">
        <v>140</v>
      </c>
      <c r="O56" s="243">
        <v>24055</v>
      </c>
      <c r="P56" s="8">
        <f t="shared" si="28"/>
        <v>3367700</v>
      </c>
      <c r="Q56" s="813" t="s">
        <v>997</v>
      </c>
      <c r="R56" s="189">
        <v>42181</v>
      </c>
    </row>
    <row r="57" spans="1:18">
      <c r="A57" s="744">
        <f t="shared" si="26"/>
        <v>39</v>
      </c>
      <c r="B57" s="190" t="s">
        <v>572</v>
      </c>
      <c r="C57" s="766">
        <f t="shared" si="18"/>
        <v>7840000</v>
      </c>
      <c r="D57" s="766">
        <f t="shared" si="30"/>
        <v>358107.03509607748</v>
      </c>
      <c r="E57" s="766">
        <f t="shared" si="30"/>
        <v>0</v>
      </c>
      <c r="F57" s="766">
        <f t="shared" si="30"/>
        <v>96474.511672224864</v>
      </c>
      <c r="G57" s="25">
        <f t="shared" si="31"/>
        <v>8294581.5467683021</v>
      </c>
      <c r="H57" s="243">
        <v>500</v>
      </c>
      <c r="I57" s="244">
        <f t="shared" si="27"/>
        <v>16589.163093536605</v>
      </c>
      <c r="J57" s="630">
        <v>16449</v>
      </c>
      <c r="K57" s="630"/>
      <c r="L57" s="187" t="s">
        <v>551</v>
      </c>
      <c r="M57" s="728">
        <f t="shared" si="20"/>
        <v>42183</v>
      </c>
      <c r="N57" s="285">
        <v>250</v>
      </c>
      <c r="O57" s="245">
        <v>31360</v>
      </c>
      <c r="P57" s="8">
        <f t="shared" si="28"/>
        <v>7840000</v>
      </c>
      <c r="Q57" s="813" t="s">
        <v>1000</v>
      </c>
      <c r="R57" s="189">
        <v>42185</v>
      </c>
    </row>
    <row r="58" spans="1:18">
      <c r="A58" s="744">
        <f t="shared" si="26"/>
        <v>40</v>
      </c>
      <c r="B58" s="190" t="s">
        <v>573</v>
      </c>
      <c r="C58" s="766">
        <f t="shared" si="18"/>
        <v>8236500</v>
      </c>
      <c r="D58" s="766">
        <f t="shared" si="30"/>
        <v>358107.03509607748</v>
      </c>
      <c r="E58" s="766">
        <f t="shared" si="30"/>
        <v>0</v>
      </c>
      <c r="F58" s="766">
        <f t="shared" si="30"/>
        <v>96474.511672224864</v>
      </c>
      <c r="G58" s="25">
        <f t="shared" si="31"/>
        <v>8691081.5467683021</v>
      </c>
      <c r="H58" s="243">
        <v>500</v>
      </c>
      <c r="I58" s="244">
        <f t="shared" si="27"/>
        <v>17382.163093536605</v>
      </c>
      <c r="J58" s="630">
        <v>17297</v>
      </c>
      <c r="K58" s="630"/>
      <c r="L58" s="868" t="s">
        <v>573</v>
      </c>
      <c r="M58" s="728">
        <f t="shared" si="20"/>
        <v>42183</v>
      </c>
      <c r="N58" s="285">
        <v>500</v>
      </c>
      <c r="O58" s="245">
        <v>16473</v>
      </c>
      <c r="P58" s="8">
        <f t="shared" si="28"/>
        <v>8236500</v>
      </c>
      <c r="Q58" s="813" t="s">
        <v>1000</v>
      </c>
      <c r="R58" s="189">
        <v>42185</v>
      </c>
    </row>
    <row r="59" spans="1:18">
      <c r="A59" s="744">
        <f t="shared" si="26"/>
        <v>41</v>
      </c>
      <c r="B59" s="190" t="s">
        <v>570</v>
      </c>
      <c r="C59" s="766">
        <f t="shared" si="18"/>
        <v>9742275</v>
      </c>
      <c r="D59" s="766">
        <f t="shared" si="30"/>
        <v>286485.62807686196</v>
      </c>
      <c r="E59" s="766">
        <f t="shared" si="30"/>
        <v>0</v>
      </c>
      <c r="F59" s="766">
        <f t="shared" si="30"/>
        <v>77179.609337779897</v>
      </c>
      <c r="G59" s="25">
        <f t="shared" si="31"/>
        <v>10105940.237414643</v>
      </c>
      <c r="H59" s="243">
        <v>400</v>
      </c>
      <c r="I59" s="244">
        <f t="shared" si="27"/>
        <v>25264.850593536608</v>
      </c>
      <c r="J59" s="630">
        <v>25258</v>
      </c>
      <c r="K59" s="630"/>
      <c r="L59" s="868" t="s">
        <v>570</v>
      </c>
      <c r="M59" s="728">
        <f t="shared" si="20"/>
        <v>42183</v>
      </c>
      <c r="N59" s="285">
        <v>405</v>
      </c>
      <c r="O59" s="245">
        <v>24055</v>
      </c>
      <c r="P59" s="8">
        <f t="shared" si="28"/>
        <v>9742275</v>
      </c>
      <c r="Q59" s="813" t="s">
        <v>1001</v>
      </c>
      <c r="R59" s="189">
        <v>42185</v>
      </c>
    </row>
    <row r="60" spans="1:18">
      <c r="A60" s="744">
        <f t="shared" si="26"/>
        <v>42</v>
      </c>
      <c r="B60" s="190" t="s">
        <v>571</v>
      </c>
      <c r="C60" s="766">
        <f t="shared" si="18"/>
        <v>7282800</v>
      </c>
      <c r="D60" s="766">
        <f t="shared" si="30"/>
        <v>429728.442115293</v>
      </c>
      <c r="E60" s="766">
        <f t="shared" si="30"/>
        <v>0</v>
      </c>
      <c r="F60" s="766">
        <f t="shared" si="30"/>
        <v>115769.41400666983</v>
      </c>
      <c r="G60" s="25">
        <f t="shared" si="31"/>
        <v>7828297.8561219629</v>
      </c>
      <c r="H60" s="243">
        <v>600</v>
      </c>
      <c r="I60" s="244">
        <f t="shared" si="27"/>
        <v>13047.163093536605</v>
      </c>
      <c r="J60" s="630">
        <v>12406</v>
      </c>
      <c r="K60" s="630"/>
      <c r="L60" s="187" t="s">
        <v>520</v>
      </c>
      <c r="M60" s="728">
        <f t="shared" si="20"/>
        <v>42183</v>
      </c>
      <c r="N60" s="285">
        <v>600</v>
      </c>
      <c r="O60" s="245">
        <v>12138</v>
      </c>
      <c r="P60" s="8">
        <f t="shared" si="28"/>
        <v>7282800</v>
      </c>
      <c r="Q60" s="813" t="s">
        <v>1001</v>
      </c>
      <c r="R60" s="189">
        <v>42185</v>
      </c>
    </row>
    <row r="61" spans="1:18">
      <c r="A61" s="744">
        <f t="shared" si="26"/>
        <v>43</v>
      </c>
      <c r="B61" s="190" t="s">
        <v>574</v>
      </c>
      <c r="C61" s="766">
        <f t="shared" si="18"/>
        <v>7218923.076923077</v>
      </c>
      <c r="D61" s="766">
        <f t="shared" si="30"/>
        <v>358107.03509607748</v>
      </c>
      <c r="E61" s="766">
        <f t="shared" si="30"/>
        <v>0</v>
      </c>
      <c r="F61" s="766">
        <f t="shared" si="30"/>
        <v>96474.511672224864</v>
      </c>
      <c r="G61" s="25">
        <f t="shared" si="31"/>
        <v>7673504.6236913791</v>
      </c>
      <c r="H61" s="243">
        <v>500</v>
      </c>
      <c r="I61" s="244">
        <f t="shared" si="27"/>
        <v>15347.009247382759</v>
      </c>
      <c r="J61" s="630">
        <v>15909</v>
      </c>
      <c r="K61" s="630"/>
      <c r="L61" s="868" t="s">
        <v>511</v>
      </c>
      <c r="M61" s="728">
        <f t="shared" si="20"/>
        <v>42183</v>
      </c>
      <c r="N61" s="285">
        <v>600</v>
      </c>
      <c r="O61" s="750">
        <v>12031.538461538461</v>
      </c>
      <c r="P61" s="8">
        <f t="shared" si="28"/>
        <v>7218923.076923077</v>
      </c>
      <c r="Q61" s="813" t="s">
        <v>1002</v>
      </c>
      <c r="R61" s="189">
        <v>42185</v>
      </c>
    </row>
    <row r="62" spans="1:18">
      <c r="A62" s="744">
        <f t="shared" si="26"/>
        <v>44</v>
      </c>
      <c r="B62" s="190" t="s">
        <v>575</v>
      </c>
      <c r="C62" s="766">
        <f t="shared" si="18"/>
        <v>8616300</v>
      </c>
      <c r="D62" s="766">
        <f t="shared" si="30"/>
        <v>393917.73860568524</v>
      </c>
      <c r="E62" s="766">
        <f t="shared" si="30"/>
        <v>0</v>
      </c>
      <c r="F62" s="766">
        <f t="shared" si="30"/>
        <v>106121.96283944735</v>
      </c>
      <c r="G62" s="25">
        <f t="shared" si="31"/>
        <v>9116339.7014451325</v>
      </c>
      <c r="H62" s="243">
        <v>550</v>
      </c>
      <c r="I62" s="244">
        <f t="shared" si="27"/>
        <v>16575.163093536605</v>
      </c>
      <c r="J62" s="630">
        <v>16627</v>
      </c>
      <c r="K62" s="630"/>
      <c r="L62" s="868" t="s">
        <v>572</v>
      </c>
      <c r="M62" s="728">
        <f t="shared" si="20"/>
        <v>42183</v>
      </c>
      <c r="N62" s="764">
        <v>550</v>
      </c>
      <c r="O62" s="245">
        <v>15666</v>
      </c>
      <c r="P62" s="8">
        <f t="shared" si="28"/>
        <v>8616300</v>
      </c>
      <c r="Q62" s="813" t="s">
        <v>1002</v>
      </c>
      <c r="R62" s="189">
        <v>42185</v>
      </c>
    </row>
    <row r="63" spans="1:18">
      <c r="A63" s="744">
        <f t="shared" si="26"/>
        <v>45</v>
      </c>
      <c r="B63" s="190" t="s">
        <v>578</v>
      </c>
      <c r="C63" s="766">
        <f t="shared" si="18"/>
        <v>10684200</v>
      </c>
      <c r="D63" s="766">
        <f t="shared" si="30"/>
        <v>350944.89439415594</v>
      </c>
      <c r="E63" s="766">
        <f t="shared" si="30"/>
        <v>0</v>
      </c>
      <c r="F63" s="766">
        <f t="shared" si="30"/>
        <v>94545.021438780372</v>
      </c>
      <c r="G63" s="25">
        <f t="shared" si="31"/>
        <v>11129689.915832937</v>
      </c>
      <c r="H63" s="243">
        <v>490</v>
      </c>
      <c r="I63" s="244">
        <f t="shared" si="27"/>
        <v>22713.652889454974</v>
      </c>
      <c r="J63" s="630">
        <v>22964</v>
      </c>
      <c r="K63" s="630"/>
      <c r="L63" s="868" t="s">
        <v>481</v>
      </c>
      <c r="M63" s="728">
        <f t="shared" si="20"/>
        <v>42183</v>
      </c>
      <c r="N63" s="764">
        <v>600</v>
      </c>
      <c r="O63" s="750">
        <v>17807</v>
      </c>
      <c r="P63" s="8">
        <f t="shared" si="28"/>
        <v>10684200</v>
      </c>
      <c r="Q63" s="813" t="s">
        <v>1003</v>
      </c>
      <c r="R63" s="189">
        <v>42185</v>
      </c>
    </row>
    <row r="64" spans="1:18">
      <c r="A64" s="744">
        <f t="shared" si="26"/>
        <v>46</v>
      </c>
      <c r="B64" s="190" t="s">
        <v>576</v>
      </c>
      <c r="C64" s="766">
        <f t="shared" si="18"/>
        <v>6015769.2307692301</v>
      </c>
      <c r="D64" s="766">
        <f t="shared" si="30"/>
        <v>358107.03509607748</v>
      </c>
      <c r="E64" s="766">
        <f t="shared" si="30"/>
        <v>0</v>
      </c>
      <c r="F64" s="766">
        <f t="shared" si="30"/>
        <v>96474.511672224864</v>
      </c>
      <c r="G64" s="25">
        <f t="shared" si="31"/>
        <v>6470350.7775375322</v>
      </c>
      <c r="H64" s="243">
        <v>500</v>
      </c>
      <c r="I64" s="244">
        <f t="shared" si="27"/>
        <v>12940.701555075064</v>
      </c>
      <c r="J64" s="630">
        <v>13066</v>
      </c>
      <c r="K64" s="630"/>
      <c r="L64" s="868" t="s">
        <v>511</v>
      </c>
      <c r="M64" s="728">
        <f t="shared" si="20"/>
        <v>42183</v>
      </c>
      <c r="N64" s="285">
        <f>H64</f>
        <v>500</v>
      </c>
      <c r="O64" s="243">
        <v>12031.538461538461</v>
      </c>
      <c r="P64" s="8">
        <f t="shared" si="28"/>
        <v>6015769.2307692301</v>
      </c>
      <c r="Q64" s="813" t="s">
        <v>1003</v>
      </c>
      <c r="R64" s="189">
        <v>42185</v>
      </c>
    </row>
    <row r="65" spans="1:18">
      <c r="A65" s="1124">
        <f t="shared" si="26"/>
        <v>47</v>
      </c>
      <c r="B65" s="1125" t="s">
        <v>520</v>
      </c>
      <c r="C65" s="1127">
        <f>P65+P66</f>
        <v>16132975</v>
      </c>
      <c r="D65" s="1127">
        <f t="shared" si="30"/>
        <v>931078.2912498014</v>
      </c>
      <c r="E65" s="1127">
        <f t="shared" si="30"/>
        <v>0</v>
      </c>
      <c r="F65" s="1127">
        <f t="shared" si="30"/>
        <v>250833.73034778464</v>
      </c>
      <c r="G65" s="1127">
        <f t="shared" si="31"/>
        <v>17314887.021597587</v>
      </c>
      <c r="H65" s="1127">
        <v>1300</v>
      </c>
      <c r="I65" s="1127">
        <f t="shared" si="27"/>
        <v>13319.143862767374</v>
      </c>
      <c r="J65" s="1126">
        <v>12745</v>
      </c>
      <c r="K65" s="630"/>
      <c r="L65" s="868" t="s">
        <v>571</v>
      </c>
      <c r="M65" s="728">
        <f t="shared" si="20"/>
        <v>42183</v>
      </c>
      <c r="N65" s="285">
        <v>1300</v>
      </c>
      <c r="O65" s="245">
        <v>11815</v>
      </c>
      <c r="P65" s="8">
        <f t="shared" si="28"/>
        <v>15359500</v>
      </c>
      <c r="Q65" s="813" t="s">
        <v>1004</v>
      </c>
      <c r="R65" s="189">
        <v>42185</v>
      </c>
    </row>
    <row r="66" spans="1:18">
      <c r="A66" s="1124"/>
      <c r="B66" s="1125"/>
      <c r="C66" s="1127"/>
      <c r="D66" s="1127"/>
      <c r="E66" s="1127"/>
      <c r="F66" s="1127"/>
      <c r="G66" s="1127"/>
      <c r="H66" s="1127"/>
      <c r="I66" s="1127"/>
      <c r="J66" s="1126"/>
      <c r="K66" s="630"/>
      <c r="L66" s="868" t="s">
        <v>1117</v>
      </c>
      <c r="M66" s="728">
        <f t="shared" si="20"/>
        <v>42183</v>
      </c>
      <c r="N66" s="285">
        <v>75</v>
      </c>
      <c r="O66" s="245">
        <v>10313</v>
      </c>
      <c r="P66" s="8">
        <f t="shared" ref="P66" si="32">N66*O66</f>
        <v>773475</v>
      </c>
      <c r="Q66" s="813" t="s">
        <v>1004</v>
      </c>
      <c r="R66" s="189">
        <v>42185</v>
      </c>
    </row>
    <row r="67" spans="1:18">
      <c r="A67" s="744">
        <f>IF(B67&lt;&gt;"",A65+1,"")</f>
        <v>48</v>
      </c>
      <c r="B67" s="190" t="s">
        <v>577</v>
      </c>
      <c r="C67" s="766">
        <f t="shared" si="18"/>
        <v>7497000</v>
      </c>
      <c r="D67" s="766">
        <f t="shared" ref="D67:F73" si="33">IF($H$75&lt;&gt;0,D$75/$H$75*$H67,0)</f>
        <v>501349.84913450846</v>
      </c>
      <c r="E67" s="766">
        <f t="shared" si="33"/>
        <v>0</v>
      </c>
      <c r="F67" s="766">
        <f t="shared" si="33"/>
        <v>135064.31634111481</v>
      </c>
      <c r="G67" s="25">
        <f t="shared" ref="G67:G73" si="34">SUM(C67:F67)</f>
        <v>8133414.1654756237</v>
      </c>
      <c r="H67" s="243">
        <v>700</v>
      </c>
      <c r="I67" s="244">
        <f t="shared" si="27"/>
        <v>11619.163093536605</v>
      </c>
      <c r="J67" s="630">
        <v>11246</v>
      </c>
      <c r="K67" s="630"/>
      <c r="L67" s="868" t="s">
        <v>577</v>
      </c>
      <c r="M67" s="728">
        <f t="shared" si="20"/>
        <v>42183</v>
      </c>
      <c r="N67" s="285">
        <v>700</v>
      </c>
      <c r="O67" s="245">
        <v>10710</v>
      </c>
      <c r="P67" s="8">
        <f t="shared" si="28"/>
        <v>7497000</v>
      </c>
      <c r="Q67" s="813" t="s">
        <v>1005</v>
      </c>
      <c r="R67" s="189">
        <v>42185</v>
      </c>
    </row>
    <row r="68" spans="1:18">
      <c r="A68" s="744">
        <f t="shared" si="26"/>
        <v>49</v>
      </c>
      <c r="B68" s="190" t="s">
        <v>511</v>
      </c>
      <c r="C68" s="766">
        <f t="shared" si="18"/>
        <v>9370332</v>
      </c>
      <c r="D68" s="766">
        <f t="shared" si="33"/>
        <v>539309.19485469267</v>
      </c>
      <c r="E68" s="766">
        <f t="shared" si="33"/>
        <v>0</v>
      </c>
      <c r="F68" s="766">
        <f t="shared" si="33"/>
        <v>145290.61457837065</v>
      </c>
      <c r="G68" s="25">
        <f t="shared" si="34"/>
        <v>10054931.809433063</v>
      </c>
      <c r="H68" s="243">
        <v>753</v>
      </c>
      <c r="I68" s="244">
        <f t="shared" si="27"/>
        <v>13353.163093536605</v>
      </c>
      <c r="J68" s="630">
        <v>12633</v>
      </c>
      <c r="K68" s="630"/>
      <c r="L68" s="868" t="s">
        <v>576</v>
      </c>
      <c r="M68" s="728">
        <f t="shared" si="20"/>
        <v>42183</v>
      </c>
      <c r="N68" s="285">
        <v>753</v>
      </c>
      <c r="O68" s="243">
        <v>12444</v>
      </c>
      <c r="P68" s="8">
        <f t="shared" si="28"/>
        <v>9370332</v>
      </c>
      <c r="Q68" s="813" t="s">
        <v>1005</v>
      </c>
      <c r="R68" s="189">
        <v>42185</v>
      </c>
    </row>
    <row r="69" spans="1:18">
      <c r="A69" s="744">
        <f t="shared" si="26"/>
        <v>50</v>
      </c>
      <c r="B69" s="190" t="s">
        <v>570</v>
      </c>
      <c r="C69" s="766">
        <f t="shared" si="18"/>
        <v>12268050</v>
      </c>
      <c r="D69" s="766">
        <f t="shared" si="33"/>
        <v>358107.03509607748</v>
      </c>
      <c r="E69" s="766">
        <f t="shared" si="33"/>
        <v>0</v>
      </c>
      <c r="F69" s="766">
        <f t="shared" si="33"/>
        <v>96474.511672224864</v>
      </c>
      <c r="G69" s="25">
        <f t="shared" si="34"/>
        <v>12722631.546768302</v>
      </c>
      <c r="H69" s="243">
        <v>500</v>
      </c>
      <c r="I69" s="244">
        <f t="shared" si="27"/>
        <v>25445.263093536603</v>
      </c>
      <c r="J69" s="719">
        <v>25258</v>
      </c>
      <c r="K69" s="630"/>
      <c r="L69" s="868" t="s">
        <v>570</v>
      </c>
      <c r="M69" s="728">
        <f t="shared" si="20"/>
        <v>42183</v>
      </c>
      <c r="N69" s="285">
        <v>510</v>
      </c>
      <c r="O69" s="245">
        <v>24055</v>
      </c>
      <c r="P69" s="8">
        <f t="shared" si="28"/>
        <v>12268050</v>
      </c>
      <c r="Q69" s="813" t="s">
        <v>1006</v>
      </c>
      <c r="R69" s="189">
        <v>42185</v>
      </c>
    </row>
    <row r="70" spans="1:18">
      <c r="A70" s="744">
        <f>IF(B70&lt;&gt;"",A69+1,"")</f>
        <v>51</v>
      </c>
      <c r="B70" s="190" t="s">
        <v>571</v>
      </c>
      <c r="C70" s="766">
        <f t="shared" si="18"/>
        <v>4855200</v>
      </c>
      <c r="D70" s="766">
        <f t="shared" si="33"/>
        <v>286485.62807686196</v>
      </c>
      <c r="E70" s="766">
        <f t="shared" si="33"/>
        <v>0</v>
      </c>
      <c r="F70" s="766">
        <f t="shared" si="33"/>
        <v>77179.609337779897</v>
      </c>
      <c r="G70" s="25">
        <f t="shared" si="34"/>
        <v>5218865.2374146413</v>
      </c>
      <c r="H70" s="243">
        <v>400</v>
      </c>
      <c r="I70" s="244">
        <f t="shared" si="27"/>
        <v>13047.163093536603</v>
      </c>
      <c r="J70" s="630">
        <v>12406</v>
      </c>
      <c r="K70" s="630"/>
      <c r="L70" s="187" t="s">
        <v>520</v>
      </c>
      <c r="M70" s="728">
        <f t="shared" si="20"/>
        <v>42183</v>
      </c>
      <c r="N70" s="285">
        <v>400</v>
      </c>
      <c r="O70" s="245">
        <v>12138</v>
      </c>
      <c r="P70" s="8">
        <f t="shared" si="28"/>
        <v>4855200</v>
      </c>
      <c r="Q70" s="813" t="s">
        <v>1006</v>
      </c>
      <c r="R70" s="189">
        <v>42185</v>
      </c>
    </row>
    <row r="71" spans="1:18">
      <c r="A71" s="744">
        <f t="shared" si="26"/>
        <v>52</v>
      </c>
      <c r="B71" s="190" t="s">
        <v>570</v>
      </c>
      <c r="C71" s="766">
        <f t="shared" si="18"/>
        <v>2525775</v>
      </c>
      <c r="D71" s="766">
        <f t="shared" si="33"/>
        <v>71621.40701921549</v>
      </c>
      <c r="E71" s="766">
        <f t="shared" si="33"/>
        <v>0</v>
      </c>
      <c r="F71" s="766">
        <f t="shared" si="33"/>
        <v>19294.902334444974</v>
      </c>
      <c r="G71" s="25">
        <f t="shared" si="34"/>
        <v>2616691.3093536608</v>
      </c>
      <c r="H71" s="243">
        <v>100</v>
      </c>
      <c r="I71" s="244">
        <f t="shared" si="27"/>
        <v>26166.913093536608</v>
      </c>
      <c r="J71" s="630">
        <v>25258</v>
      </c>
      <c r="K71" s="630"/>
      <c r="L71" s="868" t="s">
        <v>570</v>
      </c>
      <c r="M71" s="728">
        <f t="shared" si="20"/>
        <v>42183</v>
      </c>
      <c r="N71" s="285">
        <v>105</v>
      </c>
      <c r="O71" s="245">
        <v>24055</v>
      </c>
      <c r="P71" s="8">
        <f t="shared" si="28"/>
        <v>2525775</v>
      </c>
      <c r="Q71" s="813" t="s">
        <v>1007</v>
      </c>
      <c r="R71" s="189">
        <v>42185</v>
      </c>
    </row>
    <row r="72" spans="1:18">
      <c r="A72" s="744">
        <f t="shared" si="26"/>
        <v>53</v>
      </c>
      <c r="B72" s="190" t="s">
        <v>576</v>
      </c>
      <c r="C72" s="766">
        <f t="shared" si="18"/>
        <v>6617346.153846154</v>
      </c>
      <c r="D72" s="766">
        <f t="shared" si="33"/>
        <v>383174.52755280293</v>
      </c>
      <c r="E72" s="766">
        <f t="shared" si="33"/>
        <v>0</v>
      </c>
      <c r="F72" s="766">
        <f t="shared" si="33"/>
        <v>103227.7274892806</v>
      </c>
      <c r="G72" s="25">
        <f t="shared" si="34"/>
        <v>7103748.4088882376</v>
      </c>
      <c r="H72" s="243">
        <v>535</v>
      </c>
      <c r="I72" s="244">
        <f t="shared" si="27"/>
        <v>13278.034409136893</v>
      </c>
      <c r="J72" s="719">
        <v>13066</v>
      </c>
      <c r="K72" s="630"/>
      <c r="L72" s="868" t="s">
        <v>511</v>
      </c>
      <c r="M72" s="728">
        <f t="shared" si="20"/>
        <v>42183</v>
      </c>
      <c r="N72" s="285">
        <v>550</v>
      </c>
      <c r="O72" s="243">
        <v>12031.538461538461</v>
      </c>
      <c r="P72" s="8">
        <f t="shared" si="28"/>
        <v>6617346.153846154</v>
      </c>
      <c r="Q72" s="813" t="s">
        <v>1007</v>
      </c>
      <c r="R72" s="189">
        <v>42185</v>
      </c>
    </row>
    <row r="73" spans="1:18">
      <c r="A73" s="744">
        <f>IF(B73&lt;&gt;"",A72+1,"")</f>
        <v>54</v>
      </c>
      <c r="B73" s="190" t="s">
        <v>1201</v>
      </c>
      <c r="C73" s="766">
        <f t="shared" si="18"/>
        <v>1780700</v>
      </c>
      <c r="D73" s="766">
        <f t="shared" si="33"/>
        <v>71621.40701921549</v>
      </c>
      <c r="E73" s="766">
        <f t="shared" si="33"/>
        <v>0</v>
      </c>
      <c r="F73" s="766">
        <f t="shared" si="33"/>
        <v>19294.902334444974</v>
      </c>
      <c r="G73" s="25">
        <f t="shared" si="34"/>
        <v>1871616.3093536603</v>
      </c>
      <c r="H73" s="243">
        <v>100</v>
      </c>
      <c r="I73" s="244">
        <f t="shared" si="27"/>
        <v>18716.163093536605</v>
      </c>
      <c r="J73" s="719">
        <v>18650</v>
      </c>
      <c r="K73" s="630"/>
      <c r="L73" s="868" t="s">
        <v>481</v>
      </c>
      <c r="M73" s="728">
        <f t="shared" si="20"/>
        <v>42183</v>
      </c>
      <c r="N73" s="764">
        <v>100</v>
      </c>
      <c r="O73" s="750">
        <v>17807</v>
      </c>
      <c r="P73" s="8">
        <f t="shared" si="28"/>
        <v>1780700</v>
      </c>
      <c r="Q73" s="813" t="s">
        <v>1008</v>
      </c>
      <c r="R73" s="189">
        <v>42185</v>
      </c>
    </row>
    <row r="74" spans="1:18" s="730" customFormat="1">
      <c r="A74" s="712"/>
      <c r="B74" s="736"/>
      <c r="C74" s="737"/>
      <c r="D74" s="738"/>
      <c r="E74" s="739"/>
      <c r="F74" s="739"/>
      <c r="G74" s="738"/>
      <c r="H74" s="741"/>
      <c r="I74" s="739"/>
      <c r="J74" s="630"/>
      <c r="K74" s="630"/>
      <c r="L74" s="425"/>
      <c r="M74" s="728"/>
      <c r="N74" s="769"/>
      <c r="O74" s="750"/>
      <c r="P74" s="25"/>
      <c r="Q74" s="425"/>
      <c r="R74" s="728"/>
    </row>
    <row r="75" spans="1:18" s="709" customFormat="1">
      <c r="A75" s="714"/>
      <c r="B75" s="715" t="s">
        <v>234</v>
      </c>
      <c r="C75" s="505">
        <f>SUM(C36:C74)</f>
        <v>182768643.76923075</v>
      </c>
      <c r="D75" s="505">
        <v>9020000</v>
      </c>
      <c r="E75" s="505"/>
      <c r="F75" s="505">
        <v>2430000</v>
      </c>
      <c r="G75" s="505">
        <f>ROUND(SUM(G36:G74),0)</f>
        <v>194218644</v>
      </c>
      <c r="H75" s="505">
        <f>ROUND(SUM(H36:H74),0)</f>
        <v>12594</v>
      </c>
      <c r="I75" s="505"/>
      <c r="J75" s="722"/>
      <c r="K75" s="722"/>
      <c r="L75" s="731"/>
      <c r="M75" s="732"/>
      <c r="N75" s="765"/>
      <c r="O75" s="27"/>
      <c r="P75" s="46">
        <f>SUM(P36:P74)</f>
        <v>182768643.76923075</v>
      </c>
      <c r="Q75" s="731"/>
      <c r="R75" s="732"/>
    </row>
    <row r="76" spans="1:18" s="709" customFormat="1">
      <c r="A76" s="716"/>
      <c r="B76" s="717"/>
      <c r="C76" s="710"/>
      <c r="D76" s="710"/>
      <c r="E76" s="710"/>
      <c r="F76" s="710"/>
      <c r="G76" s="710"/>
      <c r="H76" s="710"/>
      <c r="I76" s="710"/>
      <c r="J76" s="722"/>
      <c r="K76" s="722"/>
      <c r="L76" s="426"/>
      <c r="M76" s="733"/>
      <c r="N76" s="763"/>
      <c r="O76" s="725"/>
      <c r="P76" s="734"/>
      <c r="Q76" s="426"/>
      <c r="R76" s="733"/>
    </row>
    <row r="77" spans="1:18" s="709" customFormat="1">
      <c r="A77" s="716"/>
      <c r="B77" s="717"/>
      <c r="C77" s="710"/>
      <c r="D77" s="710"/>
      <c r="E77" s="710"/>
      <c r="F77" s="710"/>
      <c r="G77" s="710"/>
      <c r="H77" s="710"/>
      <c r="I77" s="710"/>
      <c r="J77" s="722"/>
      <c r="K77" s="722"/>
      <c r="L77" s="426"/>
      <c r="M77" s="733"/>
      <c r="N77" s="763"/>
      <c r="O77" s="725"/>
      <c r="P77" s="734"/>
      <c r="Q77" s="426"/>
      <c r="R77" s="733"/>
    </row>
    <row r="78" spans="1:18">
      <c r="L78" s="426"/>
      <c r="M78" s="733"/>
      <c r="N78" s="763"/>
      <c r="O78" s="725"/>
      <c r="P78" s="734"/>
      <c r="Q78" s="426"/>
      <c r="R78" s="733"/>
    </row>
    <row r="79" spans="1:18" ht="18" hidden="1" customHeight="1">
      <c r="A79" s="543" t="str">
        <f>TH!$A$1</f>
        <v>Đơn vị: CÔNG TY TNHH MỘT THÀNH VIÊN KHỞI NGUYÊN AN</v>
      </c>
      <c r="B79" s="709"/>
      <c r="C79" s="279"/>
      <c r="D79" s="279"/>
      <c r="E79" s="279"/>
      <c r="F79" s="279"/>
      <c r="G79" s="279"/>
      <c r="H79" s="571"/>
      <c r="I79" s="279"/>
      <c r="J79" s="722"/>
      <c r="K79" s="722"/>
      <c r="L79" s="426"/>
      <c r="M79" s="733"/>
      <c r="N79" s="763"/>
      <c r="O79" s="725"/>
      <c r="P79" s="734"/>
      <c r="Q79" s="426"/>
      <c r="R79" s="733"/>
    </row>
    <row r="80" spans="1:18" ht="18.75" customHeight="1">
      <c r="A80" s="710" t="s">
        <v>357</v>
      </c>
      <c r="B80" s="710"/>
      <c r="C80" s="710"/>
      <c r="D80" s="710"/>
      <c r="E80" s="710"/>
      <c r="F80" s="710"/>
      <c r="G80" s="710"/>
      <c r="H80" s="710"/>
      <c r="I80" s="710"/>
      <c r="J80" s="722"/>
      <c r="K80" s="722"/>
      <c r="L80" s="426"/>
      <c r="M80" s="733"/>
      <c r="N80" s="763"/>
      <c r="O80" s="725"/>
      <c r="P80" s="734"/>
      <c r="Q80" s="426"/>
      <c r="R80" s="733"/>
    </row>
    <row r="81" spans="1:18" ht="12.75" customHeight="1">
      <c r="A81" s="754"/>
      <c r="B81" s="746"/>
      <c r="C81" s="746"/>
      <c r="D81" s="746"/>
      <c r="E81" s="746"/>
      <c r="F81" s="746"/>
      <c r="G81" s="746"/>
      <c r="H81" s="724"/>
      <c r="I81" s="746"/>
      <c r="J81" s="722"/>
      <c r="K81" s="722"/>
      <c r="L81" s="426"/>
      <c r="M81" s="733"/>
      <c r="N81" s="763"/>
      <c r="O81" s="725"/>
      <c r="P81" s="734"/>
      <c r="Q81" s="426"/>
      <c r="R81" s="733"/>
    </row>
    <row r="82" spans="1:18" s="424" customFormat="1" ht="30.75" customHeight="1">
      <c r="A82" s="767" t="s">
        <v>35</v>
      </c>
      <c r="B82" s="420" t="s">
        <v>226</v>
      </c>
      <c r="C82" s="421" t="s">
        <v>229</v>
      </c>
      <c r="D82" s="421" t="s">
        <v>366</v>
      </c>
      <c r="E82" s="421" t="s">
        <v>230</v>
      </c>
      <c r="F82" s="421" t="s">
        <v>354</v>
      </c>
      <c r="G82" s="421" t="s">
        <v>231</v>
      </c>
      <c r="H82" s="422" t="s">
        <v>227</v>
      </c>
      <c r="I82" s="421" t="s">
        <v>232</v>
      </c>
      <c r="J82" s="423"/>
      <c r="K82" s="423"/>
      <c r="L82" s="420" t="s">
        <v>226</v>
      </c>
      <c r="M82" s="421" t="s">
        <v>220</v>
      </c>
      <c r="N82" s="759" t="s">
        <v>187</v>
      </c>
      <c r="O82" s="421" t="s">
        <v>228</v>
      </c>
      <c r="P82" s="421" t="s">
        <v>233</v>
      </c>
      <c r="Q82" s="420" t="s">
        <v>226</v>
      </c>
      <c r="R82" s="421" t="s">
        <v>220</v>
      </c>
    </row>
    <row r="83" spans="1:18" ht="13.5" customHeight="1">
      <c r="A83" s="712">
        <f>IF(B83&lt;&gt;"",ROW()-(ROW()-1),"")</f>
        <v>1</v>
      </c>
      <c r="B83" s="190" t="s">
        <v>1202</v>
      </c>
      <c r="C83" s="25">
        <f>P83</f>
        <v>300150</v>
      </c>
      <c r="D83" s="713">
        <f t="shared" ref="D83:F84" si="35">IF($H$88&lt;&gt;0,D$88/$H$88*$H83,0)</f>
        <v>192765.95744680852</v>
      </c>
      <c r="E83" s="713">
        <f t="shared" si="35"/>
        <v>0</v>
      </c>
      <c r="F83" s="713">
        <f t="shared" si="35"/>
        <v>0</v>
      </c>
      <c r="G83" s="25">
        <f>SUM(C83:F83)</f>
        <v>492915.95744680852</v>
      </c>
      <c r="H83" s="243">
        <v>50</v>
      </c>
      <c r="I83" s="713">
        <f>IF(H83&lt;&gt;"",G83/H83,"")</f>
        <v>9858.3191489361707</v>
      </c>
      <c r="J83" s="630">
        <v>6000</v>
      </c>
      <c r="K83" s="630"/>
      <c r="L83" s="187" t="s">
        <v>1119</v>
      </c>
      <c r="M83" s="727">
        <f>R83-2</f>
        <v>42203</v>
      </c>
      <c r="N83" s="285">
        <v>15</v>
      </c>
      <c r="O83" s="750">
        <v>20010</v>
      </c>
      <c r="P83" s="25">
        <f t="shared" ref="P83:P84" si="36">ROUND(N83*O83,0)</f>
        <v>300150</v>
      </c>
      <c r="Q83" s="813" t="s">
        <v>1009</v>
      </c>
      <c r="R83" s="189">
        <v>42205</v>
      </c>
    </row>
    <row r="84" spans="1:18" ht="13.5" customHeight="1">
      <c r="A84" s="1124">
        <f>IF(B84&lt;&gt;"",A83+1,"")</f>
        <v>2</v>
      </c>
      <c r="B84" s="1125" t="s">
        <v>697</v>
      </c>
      <c r="C84" s="1127">
        <f>P84+P85</f>
        <v>35836080</v>
      </c>
      <c r="D84" s="1127">
        <f t="shared" si="35"/>
        <v>7710638.2978723403</v>
      </c>
      <c r="E84" s="1127">
        <f t="shared" si="35"/>
        <v>0</v>
      </c>
      <c r="F84" s="1127">
        <f t="shared" si="35"/>
        <v>0</v>
      </c>
      <c r="G84" s="1127">
        <f>SUM(C84:F84)</f>
        <v>43546718.297872342</v>
      </c>
      <c r="H84" s="1127">
        <v>2000</v>
      </c>
      <c r="I84" s="1127">
        <f t="shared" ref="I84:I86" si="37">IF(H84&lt;&gt;"",G84/H84,"")</f>
        <v>21773.359148936172</v>
      </c>
      <c r="J84" s="1126">
        <v>22000</v>
      </c>
      <c r="K84" s="630"/>
      <c r="L84" s="40" t="s">
        <v>608</v>
      </c>
      <c r="M84" s="727">
        <f t="shared" ref="M84:M86" si="38">R84-2</f>
        <v>42217</v>
      </c>
      <c r="N84" s="285">
        <v>1000</v>
      </c>
      <c r="O84" s="750">
        <v>32109</v>
      </c>
      <c r="P84" s="25">
        <f t="shared" si="36"/>
        <v>32109000</v>
      </c>
      <c r="Q84" s="813" t="s">
        <v>1012</v>
      </c>
      <c r="R84" s="189">
        <v>42219</v>
      </c>
    </row>
    <row r="85" spans="1:18" ht="13.5" customHeight="1">
      <c r="A85" s="1124"/>
      <c r="B85" s="1125"/>
      <c r="C85" s="1127"/>
      <c r="D85" s="1127"/>
      <c r="E85" s="1127"/>
      <c r="F85" s="1127"/>
      <c r="G85" s="1127"/>
      <c r="H85" s="1127"/>
      <c r="I85" s="1127"/>
      <c r="J85" s="1126"/>
      <c r="K85" s="630"/>
      <c r="L85" s="187" t="s">
        <v>1130</v>
      </c>
      <c r="M85" s="727">
        <f t="shared" si="38"/>
        <v>42217</v>
      </c>
      <c r="N85" s="285">
        <v>400</v>
      </c>
      <c r="O85" s="750">
        <v>9317.7000000000007</v>
      </c>
      <c r="P85" s="25">
        <f t="shared" ref="P85" si="39">ROUND(N85*O85,0)</f>
        <v>3727080</v>
      </c>
      <c r="Q85" s="813" t="s">
        <v>1012</v>
      </c>
      <c r="R85" s="189">
        <v>42219</v>
      </c>
    </row>
    <row r="86" spans="1:18" ht="13.5" customHeight="1">
      <c r="A86" s="712">
        <f t="shared" ref="A86" si="40">IF(B86&lt;&gt;"",A84+1,"")</f>
        <v>3</v>
      </c>
      <c r="B86" s="190" t="s">
        <v>845</v>
      </c>
      <c r="C86" s="25">
        <f t="shared" ref="C86" si="41">P86</f>
        <v>4391100</v>
      </c>
      <c r="D86" s="713">
        <f>IF($H$88&lt;&gt;0,D$88/$H$88*$H86,0)</f>
        <v>1156595.744680851</v>
      </c>
      <c r="E86" s="713">
        <f>IF($H$88&lt;&gt;0,E$88/$H$88*$H86,0)</f>
        <v>0</v>
      </c>
      <c r="F86" s="713">
        <f>IF($H$88&lt;&gt;0,F$88/$H$88*$H86,0)</f>
        <v>0</v>
      </c>
      <c r="G86" s="25">
        <f>SUM(C86:F86)</f>
        <v>5547695.7446808508</v>
      </c>
      <c r="H86" s="243">
        <v>300</v>
      </c>
      <c r="I86" s="713">
        <f t="shared" si="37"/>
        <v>18492.319148936171</v>
      </c>
      <c r="J86" s="630">
        <v>17500</v>
      </c>
      <c r="K86" s="630"/>
      <c r="L86" s="868" t="s">
        <v>670</v>
      </c>
      <c r="M86" s="727">
        <f t="shared" si="38"/>
        <v>42222</v>
      </c>
      <c r="N86" s="285">
        <v>350</v>
      </c>
      <c r="O86" s="750">
        <v>12546</v>
      </c>
      <c r="P86" s="25">
        <f t="shared" ref="P86:P87" si="42">ROUND(N86*O86,0)</f>
        <v>4391100</v>
      </c>
      <c r="Q86" s="813" t="s">
        <v>1013</v>
      </c>
      <c r="R86" s="189">
        <v>42224</v>
      </c>
    </row>
    <row r="87" spans="1:18" s="730" customFormat="1" ht="13.5" customHeight="1">
      <c r="A87" s="712" t="str">
        <f>IF(B87&lt;&gt;"",#REF!+1,"")</f>
        <v/>
      </c>
      <c r="B87" s="740"/>
      <c r="C87" s="25"/>
      <c r="D87" s="713"/>
      <c r="E87" s="713"/>
      <c r="F87" s="713"/>
      <c r="G87" s="25"/>
      <c r="H87" s="244"/>
      <c r="I87" s="713"/>
      <c r="J87" s="630"/>
      <c r="K87" s="630"/>
      <c r="L87" s="425"/>
      <c r="M87" s="728"/>
      <c r="N87" s="285"/>
      <c r="O87" s="750"/>
      <c r="P87" s="25">
        <f t="shared" si="42"/>
        <v>0</v>
      </c>
      <c r="Q87" s="425"/>
      <c r="R87" s="728"/>
    </row>
    <row r="88" spans="1:18" s="709" customFormat="1" ht="13.5" customHeight="1">
      <c r="A88" s="714"/>
      <c r="B88" s="715" t="s">
        <v>234</v>
      </c>
      <c r="C88" s="505">
        <f>SUM(C83:C87)</f>
        <v>40527330</v>
      </c>
      <c r="D88" s="505">
        <v>9060000</v>
      </c>
      <c r="E88" s="505"/>
      <c r="F88" s="505"/>
      <c r="G88" s="505">
        <f>ROUND(SUM(G83:G87),0)</f>
        <v>49587330</v>
      </c>
      <c r="H88" s="505">
        <f>ROUND(SUM(H83:H87),0)</f>
        <v>2350</v>
      </c>
      <c r="I88" s="505"/>
      <c r="J88" s="722"/>
      <c r="K88" s="722"/>
      <c r="L88" s="731"/>
      <c r="M88" s="732"/>
      <c r="N88" s="765"/>
      <c r="O88" s="27"/>
      <c r="P88" s="46">
        <f>SUM(P83:P87)</f>
        <v>40527330</v>
      </c>
      <c r="Q88" s="731"/>
      <c r="R88" s="732"/>
    </row>
    <row r="89" spans="1:18" s="709" customFormat="1">
      <c r="A89" s="716"/>
      <c r="B89" s="717"/>
      <c r="C89" s="710"/>
      <c r="D89" s="710"/>
      <c r="E89" s="710"/>
      <c r="F89" s="710"/>
      <c r="G89" s="710"/>
      <c r="H89" s="710"/>
      <c r="I89" s="710"/>
      <c r="J89" s="722"/>
      <c r="K89" s="722"/>
      <c r="L89" s="279"/>
      <c r="M89" s="705"/>
      <c r="N89" s="757"/>
      <c r="O89" s="279"/>
      <c r="P89" s="708"/>
      <c r="Q89" s="279"/>
      <c r="R89" s="705"/>
    </row>
    <row r="90" spans="1:18" ht="18" hidden="1" customHeight="1">
      <c r="A90" s="543" t="str">
        <f>TH!$A$1</f>
        <v>Đơn vị: CÔNG TY TNHH MỘT THÀNH VIÊN KHỞI NGUYÊN AN</v>
      </c>
      <c r="B90" s="709"/>
      <c r="C90" s="279"/>
      <c r="D90" s="279"/>
      <c r="E90" s="279"/>
      <c r="F90" s="279"/>
      <c r="G90" s="279"/>
      <c r="H90" s="571"/>
      <c r="I90" s="279"/>
      <c r="J90" s="722"/>
      <c r="K90" s="722"/>
      <c r="L90" s="279"/>
      <c r="M90" s="705"/>
      <c r="Q90" s="279"/>
      <c r="R90" s="705"/>
    </row>
    <row r="91" spans="1:18" ht="18.75" customHeight="1">
      <c r="A91" s="710" t="s">
        <v>358</v>
      </c>
      <c r="B91" s="710"/>
      <c r="C91" s="710"/>
      <c r="D91" s="710"/>
      <c r="E91" s="710"/>
      <c r="F91" s="710"/>
      <c r="G91" s="710"/>
      <c r="H91" s="710"/>
      <c r="I91" s="710"/>
      <c r="J91" s="722"/>
      <c r="K91" s="722"/>
      <c r="L91" s="279"/>
      <c r="M91" s="705"/>
      <c r="Q91" s="279"/>
      <c r="R91" s="705"/>
    </row>
    <row r="92" spans="1:18" ht="12.75" customHeight="1">
      <c r="A92" s="754"/>
      <c r="B92" s="746"/>
      <c r="C92" s="746"/>
      <c r="D92" s="746"/>
      <c r="E92" s="746"/>
      <c r="F92" s="746"/>
      <c r="G92" s="746"/>
      <c r="H92" s="724"/>
      <c r="I92" s="746"/>
      <c r="J92" s="722"/>
      <c r="K92" s="722"/>
      <c r="L92" s="279"/>
      <c r="M92" s="705"/>
      <c r="Q92" s="279"/>
      <c r="R92" s="705"/>
    </row>
    <row r="93" spans="1:18" s="424" customFormat="1" ht="30.75" customHeight="1">
      <c r="A93" s="767" t="s">
        <v>35</v>
      </c>
      <c r="B93" s="420" t="s">
        <v>226</v>
      </c>
      <c r="C93" s="421" t="s">
        <v>229</v>
      </c>
      <c r="D93" s="421" t="s">
        <v>366</v>
      </c>
      <c r="E93" s="421" t="s">
        <v>230</v>
      </c>
      <c r="F93" s="421" t="s">
        <v>354</v>
      </c>
      <c r="G93" s="421" t="s">
        <v>231</v>
      </c>
      <c r="H93" s="422" t="s">
        <v>227</v>
      </c>
      <c r="I93" s="421" t="s">
        <v>232</v>
      </c>
      <c r="J93" s="423"/>
      <c r="K93" s="423"/>
      <c r="L93" s="420" t="s">
        <v>226</v>
      </c>
      <c r="M93" s="421" t="s">
        <v>220</v>
      </c>
      <c r="N93" s="759" t="s">
        <v>187</v>
      </c>
      <c r="O93" s="421" t="s">
        <v>228</v>
      </c>
      <c r="P93" s="421" t="s">
        <v>233</v>
      </c>
      <c r="Q93" s="420" t="s">
        <v>226</v>
      </c>
      <c r="R93" s="421" t="s">
        <v>220</v>
      </c>
    </row>
    <row r="94" spans="1:18" ht="16.5" customHeight="1">
      <c r="A94" s="712">
        <v>1</v>
      </c>
      <c r="B94" s="282" t="s">
        <v>692</v>
      </c>
      <c r="C94" s="25">
        <f>P94</f>
        <v>2056508</v>
      </c>
      <c r="D94" s="713">
        <f t="shared" ref="D94:F98" si="43">IF($H$134&lt;&gt;0,D$134/$H$134*$H94,0)</f>
        <v>293139.62873284909</v>
      </c>
      <c r="E94" s="713">
        <f t="shared" si="43"/>
        <v>0</v>
      </c>
      <c r="F94" s="713">
        <f t="shared" si="43"/>
        <v>0</v>
      </c>
      <c r="G94" s="25">
        <f>SUM(C94:F94)-1</f>
        <v>2349646.6287328489</v>
      </c>
      <c r="H94" s="713">
        <v>200</v>
      </c>
      <c r="I94" s="713">
        <f>IF(H94&lt;&gt;"",G94/H94,"")</f>
        <v>11748.233143664245</v>
      </c>
      <c r="J94" s="630">
        <v>13300</v>
      </c>
      <c r="K94" s="630"/>
      <c r="L94" s="282" t="s">
        <v>477</v>
      </c>
      <c r="M94" s="727">
        <f>R94-2</f>
        <v>42280</v>
      </c>
      <c r="N94" s="285">
        <v>200</v>
      </c>
      <c r="O94" s="742">
        <v>10282.540000000001</v>
      </c>
      <c r="P94" s="25">
        <f t="shared" ref="P94:P133" si="44">ROUND(N94*O94,0)</f>
        <v>2056508</v>
      </c>
      <c r="Q94" s="852" t="s">
        <v>1054</v>
      </c>
      <c r="R94" s="727">
        <v>42282</v>
      </c>
    </row>
    <row r="95" spans="1:18" ht="16.5" customHeight="1">
      <c r="A95" s="712">
        <f t="shared" ref="A95:A132" si="45">IF(B95&lt;&gt;"",A94+1,"")</f>
        <v>2</v>
      </c>
      <c r="B95" s="282" t="s">
        <v>1209</v>
      </c>
      <c r="C95" s="25">
        <f t="shared" ref="C95:C132" si="46">P95</f>
        <v>6970850</v>
      </c>
      <c r="D95" s="713">
        <f t="shared" si="43"/>
        <v>1172558.5149313963</v>
      </c>
      <c r="E95" s="713">
        <f t="shared" si="43"/>
        <v>0</v>
      </c>
      <c r="F95" s="713">
        <f t="shared" si="43"/>
        <v>0</v>
      </c>
      <c r="G95" s="25">
        <f>SUM(C95:F95)-1</f>
        <v>8143407.5149313966</v>
      </c>
      <c r="H95" s="713">
        <v>800</v>
      </c>
      <c r="I95" s="713">
        <f t="shared" ref="I95" si="47">IF(H95&lt;&gt;"",G95/H95,"")</f>
        <v>10179.259393664246</v>
      </c>
      <c r="J95" s="630">
        <v>9800</v>
      </c>
      <c r="K95" s="630"/>
      <c r="L95" s="868" t="s">
        <v>571</v>
      </c>
      <c r="M95" s="727">
        <f t="shared" ref="M95:M132" si="48">R95-2</f>
        <v>42283</v>
      </c>
      <c r="N95" s="285">
        <v>590</v>
      </c>
      <c r="O95" s="748">
        <v>11815</v>
      </c>
      <c r="P95" s="25">
        <f t="shared" si="44"/>
        <v>6970850</v>
      </c>
      <c r="Q95" s="852" t="s">
        <v>1062</v>
      </c>
      <c r="R95" s="727">
        <v>42285</v>
      </c>
    </row>
    <row r="96" spans="1:18" ht="16.5" customHeight="1">
      <c r="A96" s="712">
        <f t="shared" si="45"/>
        <v>3</v>
      </c>
      <c r="B96" s="282" t="s">
        <v>714</v>
      </c>
      <c r="C96" s="25">
        <f t="shared" si="46"/>
        <v>1372518</v>
      </c>
      <c r="D96" s="713">
        <f t="shared" si="43"/>
        <v>87941.888619854726</v>
      </c>
      <c r="E96" s="713">
        <f t="shared" si="43"/>
        <v>0</v>
      </c>
      <c r="F96" s="713">
        <f t="shared" si="43"/>
        <v>0</v>
      </c>
      <c r="G96" s="25">
        <f>SUM(C96:F96)-1</f>
        <v>1460458.8886198548</v>
      </c>
      <c r="H96" s="713">
        <v>60</v>
      </c>
      <c r="I96" s="713">
        <f t="shared" ref="I96:I132" si="49">IF(H96&lt;&gt;"",G96/H96,"")</f>
        <v>24340.981476997582</v>
      </c>
      <c r="J96" s="630">
        <v>25000</v>
      </c>
      <c r="K96" s="630"/>
      <c r="L96" s="868" t="s">
        <v>660</v>
      </c>
      <c r="M96" s="727">
        <f t="shared" si="48"/>
        <v>42286</v>
      </c>
      <c r="N96" s="285">
        <v>63</v>
      </c>
      <c r="O96" s="748">
        <v>21786</v>
      </c>
      <c r="P96" s="25">
        <f t="shared" ref="P96:P132" si="50">ROUND(N96*O96,0)</f>
        <v>1372518</v>
      </c>
      <c r="Q96" s="497" t="s">
        <v>1065</v>
      </c>
      <c r="R96" s="727">
        <v>42288</v>
      </c>
    </row>
    <row r="97" spans="1:18" ht="16.5" customHeight="1">
      <c r="A97" s="712">
        <f t="shared" si="45"/>
        <v>4</v>
      </c>
      <c r="B97" s="282" t="s">
        <v>1210</v>
      </c>
      <c r="C97" s="25">
        <f t="shared" si="46"/>
        <v>3817590</v>
      </c>
      <c r="D97" s="713">
        <f t="shared" si="43"/>
        <v>278482.64729620662</v>
      </c>
      <c r="E97" s="713">
        <f t="shared" si="43"/>
        <v>0</v>
      </c>
      <c r="F97" s="713">
        <f t="shared" si="43"/>
        <v>0</v>
      </c>
      <c r="G97" s="25">
        <f>SUM(C97:F97)-1</f>
        <v>4096071.6472962066</v>
      </c>
      <c r="H97" s="713">
        <v>190</v>
      </c>
      <c r="I97" s="713">
        <f t="shared" si="49"/>
        <v>21558.271827874771</v>
      </c>
      <c r="J97" s="630">
        <v>21400</v>
      </c>
      <c r="K97" s="630"/>
      <c r="L97" s="868" t="s">
        <v>666</v>
      </c>
      <c r="M97" s="727">
        <f t="shared" si="48"/>
        <v>42286</v>
      </c>
      <c r="N97" s="285">
        <v>210</v>
      </c>
      <c r="O97" s="748">
        <v>18179</v>
      </c>
      <c r="P97" s="25">
        <f t="shared" si="50"/>
        <v>3817590</v>
      </c>
      <c r="Q97" s="497" t="s">
        <v>1065</v>
      </c>
      <c r="R97" s="727">
        <v>42288</v>
      </c>
    </row>
    <row r="98" spans="1:18" ht="16.5" customHeight="1">
      <c r="A98" s="1124">
        <f t="shared" si="45"/>
        <v>5</v>
      </c>
      <c r="B98" s="1125" t="s">
        <v>1209</v>
      </c>
      <c r="C98" s="1127">
        <f>P98+P99</f>
        <v>11851500</v>
      </c>
      <c r="D98" s="1127">
        <f t="shared" si="43"/>
        <v>1758837.7723970944</v>
      </c>
      <c r="E98" s="1127">
        <f t="shared" si="43"/>
        <v>0</v>
      </c>
      <c r="F98" s="1127">
        <f t="shared" si="43"/>
        <v>0</v>
      </c>
      <c r="G98" s="1127">
        <f>SUM(C98:F98)</f>
        <v>13610337.772397093</v>
      </c>
      <c r="H98" s="1127">
        <v>1200</v>
      </c>
      <c r="I98" s="1127">
        <f t="shared" si="49"/>
        <v>11341.948143664245</v>
      </c>
      <c r="J98" s="1126">
        <v>9800</v>
      </c>
      <c r="K98" s="630"/>
      <c r="L98" s="868" t="s">
        <v>575</v>
      </c>
      <c r="M98" s="727">
        <f t="shared" si="48"/>
        <v>42287</v>
      </c>
      <c r="N98" s="285">
        <v>600</v>
      </c>
      <c r="O98" s="748">
        <v>15836</v>
      </c>
      <c r="P98" s="25">
        <f t="shared" si="50"/>
        <v>9501600</v>
      </c>
      <c r="Q98" s="497" t="s">
        <v>1067</v>
      </c>
      <c r="R98" s="727">
        <v>42289</v>
      </c>
    </row>
    <row r="99" spans="1:18" ht="16.5" customHeight="1">
      <c r="A99" s="1124"/>
      <c r="B99" s="1125"/>
      <c r="C99" s="1127"/>
      <c r="D99" s="1127"/>
      <c r="E99" s="1127"/>
      <c r="F99" s="1127"/>
      <c r="G99" s="1127"/>
      <c r="H99" s="1127"/>
      <c r="I99" s="1127"/>
      <c r="J99" s="1126"/>
      <c r="K99" s="630"/>
      <c r="L99" s="868" t="s">
        <v>572</v>
      </c>
      <c r="M99" s="727">
        <f t="shared" si="48"/>
        <v>42287</v>
      </c>
      <c r="N99" s="285">
        <v>150</v>
      </c>
      <c r="O99" s="863">
        <v>15666</v>
      </c>
      <c r="P99" s="25">
        <f t="shared" ref="P99" si="51">ROUND(N99*O99,0)</f>
        <v>2349900</v>
      </c>
      <c r="Q99" s="497" t="s">
        <v>1067</v>
      </c>
      <c r="R99" s="727">
        <v>42289</v>
      </c>
    </row>
    <row r="100" spans="1:18" ht="16.5" customHeight="1">
      <c r="A100" s="712">
        <f>IF(B100&lt;&gt;"",A98+1,"")</f>
        <v>6</v>
      </c>
      <c r="B100" s="282" t="s">
        <v>1211</v>
      </c>
      <c r="C100" s="25">
        <f t="shared" si="46"/>
        <v>1278560</v>
      </c>
      <c r="D100" s="713">
        <f t="shared" ref="D100:F109" si="52">IF($H$134&lt;&gt;0,D$134/$H$134*$H100,0)</f>
        <v>7328.4907183212272</v>
      </c>
      <c r="E100" s="713">
        <f t="shared" si="52"/>
        <v>0</v>
      </c>
      <c r="F100" s="713">
        <f t="shared" si="52"/>
        <v>0</v>
      </c>
      <c r="G100" s="25">
        <f t="shared" ref="G100:G109" si="53">SUM(C100:F100)</f>
        <v>1285888.4907183212</v>
      </c>
      <c r="H100" s="713">
        <v>5</v>
      </c>
      <c r="I100" s="713">
        <f t="shared" si="49"/>
        <v>257177.69814366422</v>
      </c>
      <c r="J100" s="630">
        <v>265497</v>
      </c>
      <c r="K100" s="630"/>
      <c r="L100" s="868" t="s">
        <v>683</v>
      </c>
      <c r="M100" s="727">
        <f t="shared" si="48"/>
        <v>42288</v>
      </c>
      <c r="N100" s="285">
        <v>40</v>
      </c>
      <c r="O100" s="748">
        <v>31964</v>
      </c>
      <c r="P100" s="25">
        <f t="shared" si="50"/>
        <v>1278560</v>
      </c>
      <c r="Q100" s="497" t="s">
        <v>1068</v>
      </c>
      <c r="R100" s="727">
        <v>42290</v>
      </c>
    </row>
    <row r="101" spans="1:18" ht="16.5" customHeight="1">
      <c r="A101" s="712">
        <f t="shared" si="45"/>
        <v>7</v>
      </c>
      <c r="B101" s="282" t="s">
        <v>1212</v>
      </c>
      <c r="C101" s="25">
        <f t="shared" si="46"/>
        <v>911250</v>
      </c>
      <c r="D101" s="713">
        <f t="shared" si="52"/>
        <v>10259.887005649718</v>
      </c>
      <c r="E101" s="713">
        <f t="shared" si="52"/>
        <v>0</v>
      </c>
      <c r="F101" s="713">
        <f t="shared" si="52"/>
        <v>0</v>
      </c>
      <c r="G101" s="25">
        <f t="shared" si="53"/>
        <v>921509.88700564974</v>
      </c>
      <c r="H101" s="713">
        <v>7</v>
      </c>
      <c r="I101" s="713">
        <f t="shared" si="49"/>
        <v>131644.26957223567</v>
      </c>
      <c r="J101" s="630">
        <v>144585</v>
      </c>
      <c r="K101" s="630"/>
      <c r="L101" s="868" t="s">
        <v>870</v>
      </c>
      <c r="M101" s="727">
        <f t="shared" si="48"/>
        <v>42288</v>
      </c>
      <c r="N101" s="285">
        <v>30</v>
      </c>
      <c r="O101" s="748">
        <v>30375</v>
      </c>
      <c r="P101" s="25">
        <f t="shared" si="50"/>
        <v>911250</v>
      </c>
      <c r="Q101" s="497" t="s">
        <v>1068</v>
      </c>
      <c r="R101" s="727">
        <v>42290</v>
      </c>
    </row>
    <row r="102" spans="1:18" ht="16.5" customHeight="1">
      <c r="A102" s="712">
        <f t="shared" si="45"/>
        <v>8</v>
      </c>
      <c r="B102" s="282" t="s">
        <v>1213</v>
      </c>
      <c r="C102" s="25">
        <f t="shared" si="46"/>
        <v>415800</v>
      </c>
      <c r="D102" s="713">
        <f t="shared" si="52"/>
        <v>4397.0944309927363</v>
      </c>
      <c r="E102" s="713">
        <f t="shared" si="52"/>
        <v>0</v>
      </c>
      <c r="F102" s="713">
        <f t="shared" si="52"/>
        <v>0</v>
      </c>
      <c r="G102" s="25">
        <f t="shared" si="53"/>
        <v>420197.09443099273</v>
      </c>
      <c r="H102" s="713">
        <v>3</v>
      </c>
      <c r="I102" s="713">
        <f t="shared" si="49"/>
        <v>140065.69814366425</v>
      </c>
      <c r="J102" s="630">
        <v>193781</v>
      </c>
      <c r="K102" s="630"/>
      <c r="L102" s="40" t="s">
        <v>1115</v>
      </c>
      <c r="M102" s="727">
        <f t="shared" si="48"/>
        <v>42288</v>
      </c>
      <c r="N102" s="285">
        <v>20</v>
      </c>
      <c r="O102" s="748">
        <v>20790</v>
      </c>
      <c r="P102" s="25">
        <f t="shared" si="50"/>
        <v>415800</v>
      </c>
      <c r="Q102" s="497" t="s">
        <v>1068</v>
      </c>
      <c r="R102" s="727">
        <v>42290</v>
      </c>
    </row>
    <row r="103" spans="1:18" ht="16.5" customHeight="1">
      <c r="A103" s="712">
        <f t="shared" si="45"/>
        <v>9</v>
      </c>
      <c r="B103" s="282" t="s">
        <v>1185</v>
      </c>
      <c r="C103" s="25">
        <f t="shared" si="46"/>
        <v>1114560</v>
      </c>
      <c r="D103" s="713">
        <f t="shared" si="52"/>
        <v>21985.472154963682</v>
      </c>
      <c r="E103" s="713">
        <f t="shared" si="52"/>
        <v>0</v>
      </c>
      <c r="F103" s="713">
        <f t="shared" si="52"/>
        <v>0</v>
      </c>
      <c r="G103" s="25">
        <f t="shared" si="53"/>
        <v>1136545.4721549638</v>
      </c>
      <c r="H103" s="713">
        <v>15</v>
      </c>
      <c r="I103" s="713">
        <f t="shared" si="49"/>
        <v>75769.698143664253</v>
      </c>
      <c r="J103" s="630">
        <v>76931</v>
      </c>
      <c r="K103" s="630"/>
      <c r="L103" s="868" t="s">
        <v>879</v>
      </c>
      <c r="M103" s="727">
        <f t="shared" si="48"/>
        <v>42288</v>
      </c>
      <c r="N103" s="285">
        <v>30</v>
      </c>
      <c r="O103" s="748">
        <v>37152</v>
      </c>
      <c r="P103" s="25">
        <f t="shared" si="50"/>
        <v>1114560</v>
      </c>
      <c r="Q103" s="497" t="s">
        <v>1068</v>
      </c>
      <c r="R103" s="727">
        <v>42290</v>
      </c>
    </row>
    <row r="104" spans="1:18" ht="16.5" customHeight="1">
      <c r="A104" s="712">
        <f t="shared" si="45"/>
        <v>10</v>
      </c>
      <c r="B104" s="282" t="s">
        <v>1214</v>
      </c>
      <c r="C104" s="25">
        <f t="shared" si="46"/>
        <v>3788928</v>
      </c>
      <c r="D104" s="713">
        <f t="shared" si="52"/>
        <v>17588.377723970945</v>
      </c>
      <c r="E104" s="713">
        <f t="shared" si="52"/>
        <v>0</v>
      </c>
      <c r="F104" s="713">
        <f t="shared" si="52"/>
        <v>0</v>
      </c>
      <c r="G104" s="25">
        <f t="shared" si="53"/>
        <v>3806516.3777239709</v>
      </c>
      <c r="H104" s="713">
        <v>12</v>
      </c>
      <c r="I104" s="713">
        <f t="shared" si="49"/>
        <v>317209.69814366422</v>
      </c>
      <c r="J104" s="630">
        <v>320749</v>
      </c>
      <c r="K104" s="630"/>
      <c r="L104" s="868" t="s">
        <v>878</v>
      </c>
      <c r="M104" s="727">
        <f t="shared" si="48"/>
        <v>42288</v>
      </c>
      <c r="N104" s="285">
        <v>104</v>
      </c>
      <c r="O104" s="748">
        <v>36432</v>
      </c>
      <c r="P104" s="25">
        <f t="shared" si="50"/>
        <v>3788928</v>
      </c>
      <c r="Q104" s="497" t="s">
        <v>1068</v>
      </c>
      <c r="R104" s="727">
        <v>42290</v>
      </c>
    </row>
    <row r="105" spans="1:18" ht="16.5" customHeight="1">
      <c r="A105" s="712">
        <f t="shared" si="45"/>
        <v>11</v>
      </c>
      <c r="B105" s="282" t="s">
        <v>1215</v>
      </c>
      <c r="C105" s="25">
        <f t="shared" si="46"/>
        <v>2893040</v>
      </c>
      <c r="D105" s="713">
        <f t="shared" si="52"/>
        <v>24916.868442292172</v>
      </c>
      <c r="E105" s="713">
        <f t="shared" si="52"/>
        <v>0</v>
      </c>
      <c r="F105" s="713">
        <f t="shared" si="52"/>
        <v>0</v>
      </c>
      <c r="G105" s="25">
        <f t="shared" si="53"/>
        <v>2917956.8684422923</v>
      </c>
      <c r="H105" s="713">
        <v>17</v>
      </c>
      <c r="I105" s="713">
        <f t="shared" si="49"/>
        <v>171644.52167307603</v>
      </c>
      <c r="J105" s="630">
        <v>155049</v>
      </c>
      <c r="K105" s="630"/>
      <c r="L105" s="868" t="s">
        <v>668</v>
      </c>
      <c r="M105" s="727">
        <f t="shared" si="48"/>
        <v>42288</v>
      </c>
      <c r="N105" s="285">
        <v>86</v>
      </c>
      <c r="O105" s="748">
        <v>33640</v>
      </c>
      <c r="P105" s="25">
        <f t="shared" si="50"/>
        <v>2893040</v>
      </c>
      <c r="Q105" s="497" t="s">
        <v>1068</v>
      </c>
      <c r="R105" s="727">
        <v>42290</v>
      </c>
    </row>
    <row r="106" spans="1:18" ht="16.5" customHeight="1">
      <c r="A106" s="712">
        <f t="shared" si="45"/>
        <v>12</v>
      </c>
      <c r="B106" s="282" t="s">
        <v>1216</v>
      </c>
      <c r="C106" s="25">
        <f t="shared" si="46"/>
        <v>600480</v>
      </c>
      <c r="D106" s="713">
        <f t="shared" si="52"/>
        <v>24916.868442292172</v>
      </c>
      <c r="E106" s="713">
        <f t="shared" si="52"/>
        <v>0</v>
      </c>
      <c r="F106" s="713">
        <f t="shared" si="52"/>
        <v>0</v>
      </c>
      <c r="G106" s="25">
        <f t="shared" si="53"/>
        <v>625396.86844229221</v>
      </c>
      <c r="H106" s="713">
        <v>17</v>
      </c>
      <c r="I106" s="713">
        <f t="shared" si="49"/>
        <v>36788.051084840721</v>
      </c>
      <c r="J106" s="630">
        <v>39460</v>
      </c>
      <c r="K106" s="630"/>
      <c r="L106" s="868" t="s">
        <v>882</v>
      </c>
      <c r="M106" s="727">
        <f t="shared" si="48"/>
        <v>42288</v>
      </c>
      <c r="N106" s="285">
        <v>20</v>
      </c>
      <c r="O106" s="748">
        <v>30024</v>
      </c>
      <c r="P106" s="25">
        <f t="shared" si="50"/>
        <v>600480</v>
      </c>
      <c r="Q106" s="497" t="s">
        <v>1068</v>
      </c>
      <c r="R106" s="727">
        <v>42290</v>
      </c>
    </row>
    <row r="107" spans="1:18" ht="16.5" customHeight="1">
      <c r="A107" s="712">
        <f t="shared" si="45"/>
        <v>13</v>
      </c>
      <c r="B107" s="282" t="s">
        <v>621</v>
      </c>
      <c r="C107" s="25">
        <f t="shared" si="46"/>
        <v>2538000</v>
      </c>
      <c r="D107" s="713">
        <f t="shared" si="52"/>
        <v>259428.57142857145</v>
      </c>
      <c r="E107" s="713">
        <f t="shared" si="52"/>
        <v>0</v>
      </c>
      <c r="F107" s="713">
        <f t="shared" si="52"/>
        <v>0</v>
      </c>
      <c r="G107" s="25">
        <f t="shared" si="53"/>
        <v>2797428.5714285714</v>
      </c>
      <c r="H107" s="713">
        <v>177</v>
      </c>
      <c r="I107" s="713">
        <f t="shared" si="49"/>
        <v>15804.681194511702</v>
      </c>
      <c r="J107" s="630">
        <v>16500</v>
      </c>
      <c r="K107" s="630"/>
      <c r="L107" s="868" t="s">
        <v>673</v>
      </c>
      <c r="M107" s="727">
        <f t="shared" si="48"/>
        <v>42290</v>
      </c>
      <c r="N107" s="285">
        <v>188</v>
      </c>
      <c r="O107" s="748">
        <v>13500</v>
      </c>
      <c r="P107" s="25">
        <f t="shared" si="50"/>
        <v>2538000</v>
      </c>
      <c r="Q107" s="497" t="s">
        <v>1071</v>
      </c>
      <c r="R107" s="727">
        <v>42292</v>
      </c>
    </row>
    <row r="108" spans="1:18" ht="16.5" customHeight="1">
      <c r="A108" s="712">
        <f t="shared" si="45"/>
        <v>14</v>
      </c>
      <c r="B108" s="282" t="s">
        <v>1254</v>
      </c>
      <c r="C108" s="25">
        <f t="shared" si="46"/>
        <v>3294600</v>
      </c>
      <c r="D108" s="713">
        <f t="shared" si="52"/>
        <v>293139.62873284909</v>
      </c>
      <c r="E108" s="713">
        <f t="shared" si="52"/>
        <v>0</v>
      </c>
      <c r="F108" s="713">
        <f t="shared" si="52"/>
        <v>0</v>
      </c>
      <c r="G108" s="25">
        <f t="shared" si="53"/>
        <v>3587739.6287328489</v>
      </c>
      <c r="H108" s="713">
        <v>200</v>
      </c>
      <c r="I108" s="713">
        <f t="shared" si="49"/>
        <v>17938.698143664245</v>
      </c>
      <c r="J108" s="630">
        <v>19300</v>
      </c>
      <c r="K108" s="630"/>
      <c r="L108" s="868" t="s">
        <v>573</v>
      </c>
      <c r="M108" s="727">
        <f t="shared" si="48"/>
        <v>42299</v>
      </c>
      <c r="N108" s="285">
        <v>200</v>
      </c>
      <c r="O108" s="748">
        <v>16473</v>
      </c>
      <c r="P108" s="25">
        <f t="shared" si="50"/>
        <v>3294600</v>
      </c>
      <c r="Q108" s="497" t="s">
        <v>1078</v>
      </c>
      <c r="R108" s="727">
        <v>42301</v>
      </c>
    </row>
    <row r="109" spans="1:18" ht="16.5" customHeight="1">
      <c r="A109" s="1124">
        <f t="shared" si="45"/>
        <v>15</v>
      </c>
      <c r="B109" s="1125" t="s">
        <v>1209</v>
      </c>
      <c r="C109" s="1127">
        <f>P109+P110</f>
        <v>8772500</v>
      </c>
      <c r="D109" s="1127">
        <f t="shared" si="52"/>
        <v>1465698.1436642455</v>
      </c>
      <c r="E109" s="1127">
        <f t="shared" si="52"/>
        <v>0</v>
      </c>
      <c r="F109" s="1127">
        <f t="shared" si="52"/>
        <v>0</v>
      </c>
      <c r="G109" s="1127">
        <f t="shared" si="53"/>
        <v>10238198.143664245</v>
      </c>
      <c r="H109" s="1127">
        <v>1000</v>
      </c>
      <c r="I109" s="1127">
        <f t="shared" si="49"/>
        <v>10238.198143664245</v>
      </c>
      <c r="J109" s="1126">
        <v>9800</v>
      </c>
      <c r="K109" s="630"/>
      <c r="L109" s="187" t="s">
        <v>610</v>
      </c>
      <c r="M109" s="727">
        <f t="shared" si="48"/>
        <v>42306</v>
      </c>
      <c r="N109" s="285">
        <v>500</v>
      </c>
      <c r="O109" s="748">
        <v>15721</v>
      </c>
      <c r="P109" s="25">
        <f t="shared" si="50"/>
        <v>7860500</v>
      </c>
      <c r="Q109" s="497" t="s">
        <v>556</v>
      </c>
      <c r="R109" s="727">
        <v>42308</v>
      </c>
    </row>
    <row r="110" spans="1:18" ht="16.5" customHeight="1">
      <c r="A110" s="1124"/>
      <c r="B110" s="1125"/>
      <c r="C110" s="1127"/>
      <c r="D110" s="1127"/>
      <c r="E110" s="1127"/>
      <c r="F110" s="1127"/>
      <c r="G110" s="1127"/>
      <c r="H110" s="1127"/>
      <c r="I110" s="1127"/>
      <c r="J110" s="1126"/>
      <c r="K110" s="630"/>
      <c r="L110" s="868" t="s">
        <v>825</v>
      </c>
      <c r="M110" s="727">
        <f t="shared" si="48"/>
        <v>42306</v>
      </c>
      <c r="N110" s="285">
        <v>1000</v>
      </c>
      <c r="O110" s="725">
        <v>912</v>
      </c>
      <c r="P110" s="25">
        <f t="shared" ref="P110" si="54">ROUND(N110*O110,0)</f>
        <v>912000</v>
      </c>
      <c r="Q110" s="497" t="s">
        <v>556</v>
      </c>
      <c r="R110" s="727">
        <v>42308</v>
      </c>
    </row>
    <row r="111" spans="1:18" ht="16.5" customHeight="1">
      <c r="A111" s="712">
        <f>IF(B111&lt;&gt;"",A109+1,"")</f>
        <v>16</v>
      </c>
      <c r="B111" s="282" t="s">
        <v>1083</v>
      </c>
      <c r="C111" s="25">
        <f t="shared" si="46"/>
        <v>718080</v>
      </c>
      <c r="D111" s="713">
        <f t="shared" ref="D111:F128" si="55">IF($H$134&lt;&gt;0,D$134/$H$134*$H111,0)</f>
        <v>99667.47376916869</v>
      </c>
      <c r="E111" s="713">
        <f t="shared" si="55"/>
        <v>0</v>
      </c>
      <c r="F111" s="713">
        <f t="shared" si="55"/>
        <v>0</v>
      </c>
      <c r="G111" s="25">
        <f t="shared" ref="G111:G128" si="56">SUM(C111:F111)</f>
        <v>817747.47376916872</v>
      </c>
      <c r="H111" s="713">
        <v>68</v>
      </c>
      <c r="I111" s="713">
        <f t="shared" si="49"/>
        <v>12025.698143664245</v>
      </c>
      <c r="J111" s="630">
        <v>11000</v>
      </c>
      <c r="K111" s="630"/>
      <c r="L111" s="868" t="s">
        <v>1261</v>
      </c>
      <c r="M111" s="727">
        <f t="shared" si="48"/>
        <v>42311</v>
      </c>
      <c r="N111" s="8">
        <v>68</v>
      </c>
      <c r="O111" s="279">
        <v>10560</v>
      </c>
      <c r="P111" s="25">
        <f t="shared" si="50"/>
        <v>718080</v>
      </c>
      <c r="Q111" s="497" t="s">
        <v>1084</v>
      </c>
      <c r="R111" s="727">
        <v>42313</v>
      </c>
    </row>
    <row r="112" spans="1:18" ht="16.5" customHeight="1">
      <c r="A112" s="712">
        <f t="shared" si="45"/>
        <v>17</v>
      </c>
      <c r="B112" s="282" t="s">
        <v>1246</v>
      </c>
      <c r="C112" s="25">
        <f t="shared" si="46"/>
        <v>1023750</v>
      </c>
      <c r="D112" s="713">
        <f t="shared" si="55"/>
        <v>51299.43502824859</v>
      </c>
      <c r="E112" s="713">
        <f t="shared" si="55"/>
        <v>0</v>
      </c>
      <c r="F112" s="713">
        <f t="shared" si="55"/>
        <v>0</v>
      </c>
      <c r="G112" s="25">
        <f t="shared" si="56"/>
        <v>1075049.4350282487</v>
      </c>
      <c r="H112" s="713">
        <v>35</v>
      </c>
      <c r="I112" s="713">
        <f t="shared" si="49"/>
        <v>30715.698143664249</v>
      </c>
      <c r="J112" s="630">
        <v>35654</v>
      </c>
      <c r="K112" s="630"/>
      <c r="L112" s="868" t="s">
        <v>802</v>
      </c>
      <c r="M112" s="727">
        <f t="shared" si="48"/>
        <v>42312</v>
      </c>
      <c r="N112" s="285">
        <v>35</v>
      </c>
      <c r="O112" s="863">
        <v>29250</v>
      </c>
      <c r="P112" s="25">
        <f t="shared" si="50"/>
        <v>1023750</v>
      </c>
      <c r="Q112" s="497" t="s">
        <v>1086</v>
      </c>
      <c r="R112" s="727">
        <v>42314</v>
      </c>
    </row>
    <row r="113" spans="1:18" ht="16.5" customHeight="1">
      <c r="A113" s="712">
        <f t="shared" si="45"/>
        <v>18</v>
      </c>
      <c r="B113" s="282" t="s">
        <v>1247</v>
      </c>
      <c r="C113" s="25">
        <f t="shared" si="46"/>
        <v>1046064</v>
      </c>
      <c r="D113" s="713">
        <f t="shared" si="55"/>
        <v>51299.43502824859</v>
      </c>
      <c r="E113" s="713">
        <f t="shared" si="55"/>
        <v>0</v>
      </c>
      <c r="F113" s="713">
        <f t="shared" si="55"/>
        <v>0</v>
      </c>
      <c r="G113" s="25">
        <f t="shared" si="56"/>
        <v>1097363.4350282487</v>
      </c>
      <c r="H113" s="713">
        <v>35</v>
      </c>
      <c r="I113" s="713">
        <f t="shared" si="49"/>
        <v>31353.241000807106</v>
      </c>
      <c r="J113" s="630">
        <v>34406</v>
      </c>
      <c r="K113" s="630"/>
      <c r="L113" s="868" t="s">
        <v>848</v>
      </c>
      <c r="M113" s="727">
        <f t="shared" si="48"/>
        <v>42312</v>
      </c>
      <c r="N113" s="285">
        <v>38</v>
      </c>
      <c r="O113" s="748">
        <v>27528</v>
      </c>
      <c r="P113" s="25">
        <f t="shared" si="50"/>
        <v>1046064</v>
      </c>
      <c r="Q113" s="497" t="s">
        <v>1086</v>
      </c>
      <c r="R113" s="727">
        <v>42314</v>
      </c>
    </row>
    <row r="114" spans="1:18" ht="16.5" customHeight="1">
      <c r="A114" s="712">
        <f t="shared" si="45"/>
        <v>19</v>
      </c>
      <c r="B114" s="282" t="s">
        <v>1248</v>
      </c>
      <c r="C114" s="25">
        <f t="shared" si="46"/>
        <v>1166400</v>
      </c>
      <c r="D114" s="713">
        <f t="shared" si="55"/>
        <v>51299.43502824859</v>
      </c>
      <c r="E114" s="713">
        <f t="shared" si="55"/>
        <v>0</v>
      </c>
      <c r="F114" s="713">
        <f t="shared" si="55"/>
        <v>0</v>
      </c>
      <c r="G114" s="25">
        <f t="shared" si="56"/>
        <v>1217699.4350282487</v>
      </c>
      <c r="H114" s="713">
        <v>35</v>
      </c>
      <c r="I114" s="713">
        <f t="shared" si="49"/>
        <v>34791.412429378535</v>
      </c>
      <c r="J114" s="630">
        <v>38960</v>
      </c>
      <c r="K114" s="630"/>
      <c r="L114" s="868" t="s">
        <v>813</v>
      </c>
      <c r="M114" s="727">
        <f t="shared" si="48"/>
        <v>42312</v>
      </c>
      <c r="N114" s="8">
        <v>40</v>
      </c>
      <c r="O114" s="279">
        <v>29160</v>
      </c>
      <c r="P114" s="25">
        <f t="shared" si="50"/>
        <v>1166400</v>
      </c>
      <c r="Q114" s="497" t="s">
        <v>1086</v>
      </c>
      <c r="R114" s="727">
        <v>42314</v>
      </c>
    </row>
    <row r="115" spans="1:18" ht="16.5" customHeight="1">
      <c r="A115" s="712">
        <f t="shared" si="45"/>
        <v>20</v>
      </c>
      <c r="B115" s="282" t="s">
        <v>1249</v>
      </c>
      <c r="C115" s="25">
        <f t="shared" si="46"/>
        <v>666666</v>
      </c>
      <c r="D115" s="713">
        <f t="shared" si="55"/>
        <v>102598.87005649718</v>
      </c>
      <c r="E115" s="713">
        <f t="shared" si="55"/>
        <v>0</v>
      </c>
      <c r="F115" s="713">
        <f t="shared" si="55"/>
        <v>0</v>
      </c>
      <c r="G115" s="25">
        <f t="shared" si="56"/>
        <v>769264.87005649717</v>
      </c>
      <c r="H115" s="713">
        <v>70</v>
      </c>
      <c r="I115" s="713">
        <f t="shared" si="49"/>
        <v>10989.498143664245</v>
      </c>
      <c r="J115" s="630">
        <v>10714</v>
      </c>
      <c r="K115" s="630"/>
      <c r="L115" s="868" t="s">
        <v>804</v>
      </c>
      <c r="M115" s="727">
        <f t="shared" si="48"/>
        <v>42312</v>
      </c>
      <c r="N115" s="750">
        <v>74</v>
      </c>
      <c r="O115" s="748">
        <v>9009</v>
      </c>
      <c r="P115" s="25">
        <f t="shared" si="50"/>
        <v>666666</v>
      </c>
      <c r="Q115" s="497" t="s">
        <v>1086</v>
      </c>
      <c r="R115" s="727">
        <v>42314</v>
      </c>
    </row>
    <row r="116" spans="1:18" ht="16.5" customHeight="1">
      <c r="A116" s="712">
        <f t="shared" si="45"/>
        <v>21</v>
      </c>
      <c r="B116" s="282" t="s">
        <v>1250</v>
      </c>
      <c r="C116" s="25">
        <f t="shared" si="46"/>
        <v>582750</v>
      </c>
      <c r="D116" s="713">
        <f t="shared" si="55"/>
        <v>102598.87005649718</v>
      </c>
      <c r="E116" s="713">
        <f t="shared" si="55"/>
        <v>0</v>
      </c>
      <c r="F116" s="713">
        <f t="shared" si="55"/>
        <v>0</v>
      </c>
      <c r="G116" s="25">
        <f t="shared" si="56"/>
        <v>685348.87005649717</v>
      </c>
      <c r="H116" s="713">
        <v>70</v>
      </c>
      <c r="I116" s="713">
        <f t="shared" si="49"/>
        <v>9790.6981436642454</v>
      </c>
      <c r="J116" s="630">
        <v>10048</v>
      </c>
      <c r="K116" s="630"/>
      <c r="L116" s="868" t="s">
        <v>807</v>
      </c>
      <c r="M116" s="727">
        <f t="shared" si="48"/>
        <v>42312</v>
      </c>
      <c r="N116" s="750">
        <v>70</v>
      </c>
      <c r="O116" s="748">
        <v>8325</v>
      </c>
      <c r="P116" s="25">
        <f t="shared" si="50"/>
        <v>582750</v>
      </c>
      <c r="Q116" s="497" t="s">
        <v>1086</v>
      </c>
      <c r="R116" s="727">
        <v>42314</v>
      </c>
    </row>
    <row r="117" spans="1:18" ht="16.5" customHeight="1">
      <c r="A117" s="712">
        <f t="shared" si="45"/>
        <v>22</v>
      </c>
      <c r="B117" s="282" t="s">
        <v>1251</v>
      </c>
      <c r="C117" s="25">
        <f t="shared" si="46"/>
        <v>1562328</v>
      </c>
      <c r="D117" s="713">
        <f t="shared" si="55"/>
        <v>79147.699757869254</v>
      </c>
      <c r="E117" s="713">
        <f t="shared" si="55"/>
        <v>0</v>
      </c>
      <c r="F117" s="713">
        <f t="shared" si="55"/>
        <v>0</v>
      </c>
      <c r="G117" s="25">
        <f t="shared" si="56"/>
        <v>1641475.6997578694</v>
      </c>
      <c r="H117" s="713">
        <v>54</v>
      </c>
      <c r="I117" s="713">
        <f t="shared" si="49"/>
        <v>30397.698143664249</v>
      </c>
      <c r="J117" s="630">
        <v>30210</v>
      </c>
      <c r="K117" s="630"/>
      <c r="L117" s="868" t="s">
        <v>686</v>
      </c>
      <c r="M117" s="727">
        <f t="shared" si="48"/>
        <v>42312</v>
      </c>
      <c r="N117" s="285">
        <f t="shared" ref="N117" si="57">H117</f>
        <v>54</v>
      </c>
      <c r="O117" s="748">
        <v>28932</v>
      </c>
      <c r="P117" s="25">
        <f t="shared" si="50"/>
        <v>1562328</v>
      </c>
      <c r="Q117" s="497" t="s">
        <v>1086</v>
      </c>
      <c r="R117" s="727">
        <v>42314</v>
      </c>
    </row>
    <row r="118" spans="1:18" ht="16.5" customHeight="1">
      <c r="A118" s="712">
        <f t="shared" si="45"/>
        <v>23</v>
      </c>
      <c r="B118" s="282" t="s">
        <v>1252</v>
      </c>
      <c r="C118" s="25">
        <f t="shared" si="46"/>
        <v>1377324</v>
      </c>
      <c r="D118" s="713">
        <f t="shared" si="55"/>
        <v>79147.699757869254</v>
      </c>
      <c r="E118" s="713">
        <f t="shared" si="55"/>
        <v>0</v>
      </c>
      <c r="F118" s="713">
        <f t="shared" si="55"/>
        <v>0</v>
      </c>
      <c r="G118" s="25">
        <f t="shared" si="56"/>
        <v>1456471.6997578694</v>
      </c>
      <c r="H118" s="713">
        <v>54</v>
      </c>
      <c r="I118" s="713">
        <f t="shared" si="49"/>
        <v>26971.698143664249</v>
      </c>
      <c r="J118" s="630">
        <v>29081</v>
      </c>
      <c r="K118" s="630"/>
      <c r="L118" s="868" t="s">
        <v>805</v>
      </c>
      <c r="M118" s="727">
        <f t="shared" si="48"/>
        <v>42312</v>
      </c>
      <c r="N118" s="285">
        <v>54</v>
      </c>
      <c r="O118" s="863">
        <v>25506</v>
      </c>
      <c r="P118" s="25">
        <f t="shared" si="50"/>
        <v>1377324</v>
      </c>
      <c r="Q118" s="497" t="s">
        <v>1086</v>
      </c>
      <c r="R118" s="727">
        <v>42314</v>
      </c>
    </row>
    <row r="119" spans="1:18" ht="16.5" customHeight="1">
      <c r="A119" s="712">
        <f t="shared" si="45"/>
        <v>24</v>
      </c>
      <c r="B119" s="282" t="s">
        <v>1253</v>
      </c>
      <c r="C119" s="25">
        <f t="shared" si="46"/>
        <v>720900</v>
      </c>
      <c r="D119" s="713">
        <f t="shared" si="55"/>
        <v>117255.85149313963</v>
      </c>
      <c r="E119" s="713">
        <f t="shared" si="55"/>
        <v>0</v>
      </c>
      <c r="F119" s="713">
        <f t="shared" si="55"/>
        <v>0</v>
      </c>
      <c r="G119" s="25">
        <f t="shared" si="56"/>
        <v>838155.85149313963</v>
      </c>
      <c r="H119" s="713">
        <v>80</v>
      </c>
      <c r="I119" s="713">
        <f t="shared" si="49"/>
        <v>10476.948143664245</v>
      </c>
      <c r="J119" s="630">
        <v>8883</v>
      </c>
      <c r="K119" s="630"/>
      <c r="L119" s="868" t="s">
        <v>864</v>
      </c>
      <c r="M119" s="727">
        <f t="shared" si="48"/>
        <v>42312</v>
      </c>
      <c r="N119" s="750">
        <v>20</v>
      </c>
      <c r="O119" s="748">
        <v>36045</v>
      </c>
      <c r="P119" s="25">
        <f t="shared" si="50"/>
        <v>720900</v>
      </c>
      <c r="Q119" s="497" t="s">
        <v>1086</v>
      </c>
      <c r="R119" s="727">
        <v>42314</v>
      </c>
    </row>
    <row r="120" spans="1:18" ht="16.5" customHeight="1">
      <c r="A120" s="712">
        <f t="shared" si="45"/>
        <v>25</v>
      </c>
      <c r="B120" s="282" t="s">
        <v>1239</v>
      </c>
      <c r="C120" s="25">
        <f t="shared" si="46"/>
        <v>450900</v>
      </c>
      <c r="D120" s="713">
        <f t="shared" si="55"/>
        <v>117255.85149313963</v>
      </c>
      <c r="E120" s="713">
        <f t="shared" si="55"/>
        <v>0</v>
      </c>
      <c r="F120" s="713">
        <f t="shared" si="55"/>
        <v>0</v>
      </c>
      <c r="G120" s="25">
        <f t="shared" si="56"/>
        <v>568155.85149313963</v>
      </c>
      <c r="H120" s="713">
        <v>80</v>
      </c>
      <c r="I120" s="713">
        <f t="shared" si="49"/>
        <v>7101.9481436642454</v>
      </c>
      <c r="J120" s="630">
        <v>8280</v>
      </c>
      <c r="K120" s="630"/>
      <c r="L120" s="868" t="s">
        <v>871</v>
      </c>
      <c r="M120" s="727">
        <f t="shared" si="48"/>
        <v>42312</v>
      </c>
      <c r="N120" s="285">
        <v>20</v>
      </c>
      <c r="O120" s="748">
        <v>22545</v>
      </c>
      <c r="P120" s="25">
        <f t="shared" si="50"/>
        <v>450900</v>
      </c>
      <c r="Q120" s="497" t="s">
        <v>1087</v>
      </c>
      <c r="R120" s="727">
        <v>42314</v>
      </c>
    </row>
    <row r="121" spans="1:18" ht="16.5" customHeight="1">
      <c r="A121" s="712">
        <f t="shared" si="45"/>
        <v>26</v>
      </c>
      <c r="B121" s="282" t="s">
        <v>1240</v>
      </c>
      <c r="C121" s="25">
        <f t="shared" si="46"/>
        <v>1300320</v>
      </c>
      <c r="D121" s="713">
        <f t="shared" si="55"/>
        <v>29313.962873284909</v>
      </c>
      <c r="E121" s="713">
        <f t="shared" si="55"/>
        <v>0</v>
      </c>
      <c r="F121" s="713">
        <f t="shared" si="55"/>
        <v>0</v>
      </c>
      <c r="G121" s="25">
        <f t="shared" si="56"/>
        <v>1329633.9628732849</v>
      </c>
      <c r="H121" s="713">
        <v>20</v>
      </c>
      <c r="I121" s="713">
        <f t="shared" si="49"/>
        <v>66481.698143664253</v>
      </c>
      <c r="J121" s="630">
        <v>68860</v>
      </c>
      <c r="K121" s="630"/>
      <c r="L121" s="868" t="s">
        <v>879</v>
      </c>
      <c r="M121" s="727">
        <f t="shared" si="48"/>
        <v>42312</v>
      </c>
      <c r="N121" s="285">
        <v>35</v>
      </c>
      <c r="O121" s="863">
        <v>37152</v>
      </c>
      <c r="P121" s="25">
        <f t="shared" si="50"/>
        <v>1300320</v>
      </c>
      <c r="Q121" s="497" t="s">
        <v>1087</v>
      </c>
      <c r="R121" s="727">
        <v>42314</v>
      </c>
    </row>
    <row r="122" spans="1:18" ht="16.5" customHeight="1">
      <c r="A122" s="712">
        <f t="shared" si="45"/>
        <v>27</v>
      </c>
      <c r="B122" s="282" t="s">
        <v>1241</v>
      </c>
      <c r="C122" s="25">
        <f t="shared" si="46"/>
        <v>645760</v>
      </c>
      <c r="D122" s="713">
        <f t="shared" si="55"/>
        <v>16122.6795803067</v>
      </c>
      <c r="E122" s="713">
        <f t="shared" si="55"/>
        <v>0</v>
      </c>
      <c r="F122" s="713">
        <f t="shared" si="55"/>
        <v>0</v>
      </c>
      <c r="G122" s="25">
        <f t="shared" si="56"/>
        <v>661882.67958030675</v>
      </c>
      <c r="H122" s="713">
        <v>11</v>
      </c>
      <c r="I122" s="713">
        <f t="shared" si="49"/>
        <v>60171.152689118797</v>
      </c>
      <c r="J122" s="630">
        <v>71842</v>
      </c>
      <c r="K122" s="630"/>
      <c r="L122" s="868" t="s">
        <v>880</v>
      </c>
      <c r="M122" s="727">
        <f t="shared" si="48"/>
        <v>42312</v>
      </c>
      <c r="N122" s="750">
        <v>20</v>
      </c>
      <c r="O122" s="748">
        <v>32288</v>
      </c>
      <c r="P122" s="25">
        <f t="shared" si="50"/>
        <v>645760</v>
      </c>
      <c r="Q122" s="497" t="s">
        <v>1087</v>
      </c>
      <c r="R122" s="727">
        <v>42314</v>
      </c>
    </row>
    <row r="123" spans="1:18" ht="16.5" customHeight="1">
      <c r="A123" s="712">
        <f t="shared" si="45"/>
        <v>28</v>
      </c>
      <c r="B123" s="282" t="s">
        <v>1242</v>
      </c>
      <c r="C123" s="25">
        <f t="shared" si="46"/>
        <v>212628</v>
      </c>
      <c r="D123" s="713">
        <f t="shared" si="55"/>
        <v>4397.0944309927363</v>
      </c>
      <c r="E123" s="713">
        <f t="shared" si="55"/>
        <v>0</v>
      </c>
      <c r="F123" s="713">
        <f t="shared" si="55"/>
        <v>0</v>
      </c>
      <c r="G123" s="25">
        <f t="shared" si="56"/>
        <v>217025.09443099273</v>
      </c>
      <c r="H123" s="713">
        <v>3</v>
      </c>
      <c r="I123" s="713">
        <f t="shared" si="49"/>
        <v>72341.698143664238</v>
      </c>
      <c r="J123" s="630">
        <v>85009</v>
      </c>
      <c r="K123" s="630"/>
      <c r="L123" s="868" t="s">
        <v>814</v>
      </c>
      <c r="M123" s="727">
        <f t="shared" si="48"/>
        <v>42312</v>
      </c>
      <c r="N123" s="285">
        <v>6</v>
      </c>
      <c r="O123" s="748">
        <v>35438</v>
      </c>
      <c r="P123" s="25">
        <f t="shared" si="50"/>
        <v>212628</v>
      </c>
      <c r="Q123" s="497" t="s">
        <v>1087</v>
      </c>
      <c r="R123" s="727">
        <v>42314</v>
      </c>
    </row>
    <row r="124" spans="1:18" ht="16.5" customHeight="1">
      <c r="A124" s="712">
        <f t="shared" si="45"/>
        <v>29</v>
      </c>
      <c r="B124" s="282" t="s">
        <v>1243</v>
      </c>
      <c r="C124" s="25">
        <f t="shared" si="46"/>
        <v>2970000</v>
      </c>
      <c r="D124" s="713">
        <f t="shared" si="55"/>
        <v>58627.925746569817</v>
      </c>
      <c r="E124" s="713">
        <f t="shared" si="55"/>
        <v>0</v>
      </c>
      <c r="F124" s="713">
        <f t="shared" si="55"/>
        <v>0</v>
      </c>
      <c r="G124" s="25">
        <f t="shared" si="56"/>
        <v>3028627.9257465699</v>
      </c>
      <c r="H124" s="713">
        <v>40</v>
      </c>
      <c r="I124" s="713">
        <f t="shared" si="49"/>
        <v>75715.698143664253</v>
      </c>
      <c r="J124" s="630">
        <v>88545</v>
      </c>
      <c r="K124" s="630"/>
      <c r="L124" s="868" t="s">
        <v>811</v>
      </c>
      <c r="M124" s="727">
        <f t="shared" si="48"/>
        <v>42312</v>
      </c>
      <c r="N124" s="285">
        <v>80</v>
      </c>
      <c r="O124" s="748">
        <v>37125</v>
      </c>
      <c r="P124" s="25">
        <f t="shared" si="50"/>
        <v>2970000</v>
      </c>
      <c r="Q124" s="497" t="s">
        <v>1087</v>
      </c>
      <c r="R124" s="727">
        <v>42314</v>
      </c>
    </row>
    <row r="125" spans="1:18" ht="16.5" customHeight="1">
      <c r="A125" s="712">
        <f t="shared" si="45"/>
        <v>30</v>
      </c>
      <c r="B125" s="282" t="s">
        <v>1244</v>
      </c>
      <c r="C125" s="25">
        <f t="shared" si="46"/>
        <v>611520</v>
      </c>
      <c r="D125" s="713">
        <f t="shared" si="55"/>
        <v>17588.377723970945</v>
      </c>
      <c r="E125" s="713">
        <f t="shared" si="55"/>
        <v>0</v>
      </c>
      <c r="F125" s="713">
        <f t="shared" si="55"/>
        <v>0</v>
      </c>
      <c r="G125" s="25">
        <f t="shared" si="56"/>
        <v>629108.37772397092</v>
      </c>
      <c r="H125" s="713">
        <v>12</v>
      </c>
      <c r="I125" s="713">
        <f t="shared" si="49"/>
        <v>52425.698143664245</v>
      </c>
      <c r="J125" s="630">
        <v>55766</v>
      </c>
      <c r="K125" s="630"/>
      <c r="L125" s="868" t="s">
        <v>788</v>
      </c>
      <c r="M125" s="727">
        <f t="shared" si="48"/>
        <v>42312</v>
      </c>
      <c r="N125" s="285">
        <v>20</v>
      </c>
      <c r="O125" s="748">
        <v>30576</v>
      </c>
      <c r="P125" s="25">
        <f t="shared" si="50"/>
        <v>611520</v>
      </c>
      <c r="Q125" s="497" t="s">
        <v>1087</v>
      </c>
      <c r="R125" s="727">
        <v>42314</v>
      </c>
    </row>
    <row r="126" spans="1:18" ht="16.5" customHeight="1">
      <c r="A126" s="712">
        <f t="shared" si="45"/>
        <v>31</v>
      </c>
      <c r="B126" s="282" t="s">
        <v>1245</v>
      </c>
      <c r="C126" s="25">
        <f t="shared" si="46"/>
        <v>1710720</v>
      </c>
      <c r="D126" s="713">
        <f t="shared" si="55"/>
        <v>65956.416464891052</v>
      </c>
      <c r="E126" s="713">
        <f t="shared" si="55"/>
        <v>0</v>
      </c>
      <c r="F126" s="713">
        <f t="shared" si="55"/>
        <v>0</v>
      </c>
      <c r="G126" s="25">
        <f t="shared" si="56"/>
        <v>1776676.4164648911</v>
      </c>
      <c r="H126" s="713">
        <v>45</v>
      </c>
      <c r="I126" s="713">
        <f t="shared" si="49"/>
        <v>39481.698143664245</v>
      </c>
      <c r="J126" s="630">
        <v>46205</v>
      </c>
      <c r="K126" s="630"/>
      <c r="L126" s="868" t="s">
        <v>849</v>
      </c>
      <c r="M126" s="727">
        <f t="shared" si="48"/>
        <v>42312</v>
      </c>
      <c r="N126" s="285">
        <v>90</v>
      </c>
      <c r="O126" s="748">
        <v>19008</v>
      </c>
      <c r="P126" s="25">
        <f t="shared" si="50"/>
        <v>1710720</v>
      </c>
      <c r="Q126" s="497" t="s">
        <v>1087</v>
      </c>
      <c r="R126" s="727">
        <v>42314</v>
      </c>
    </row>
    <row r="127" spans="1:18" ht="16.5" customHeight="1">
      <c r="A127" s="712">
        <f t="shared" si="45"/>
        <v>32</v>
      </c>
      <c r="B127" s="282" t="s">
        <v>1220</v>
      </c>
      <c r="C127" s="25">
        <f t="shared" si="46"/>
        <v>492760</v>
      </c>
      <c r="D127" s="713">
        <f t="shared" si="55"/>
        <v>14656.981436642454</v>
      </c>
      <c r="E127" s="713">
        <f t="shared" si="55"/>
        <v>0</v>
      </c>
      <c r="F127" s="713">
        <f t="shared" si="55"/>
        <v>0</v>
      </c>
      <c r="G127" s="25">
        <f t="shared" si="56"/>
        <v>507416.98143664247</v>
      </c>
      <c r="H127" s="713">
        <v>10</v>
      </c>
      <c r="I127" s="713">
        <f t="shared" si="49"/>
        <v>50741.698143664245</v>
      </c>
      <c r="J127" s="630">
        <v>50825</v>
      </c>
      <c r="K127" s="630"/>
      <c r="L127" s="187" t="s">
        <v>567</v>
      </c>
      <c r="M127" s="727">
        <f t="shared" si="48"/>
        <v>42312</v>
      </c>
      <c r="N127" s="285">
        <v>20</v>
      </c>
      <c r="O127" s="748">
        <v>24638</v>
      </c>
      <c r="P127" s="25">
        <f t="shared" si="50"/>
        <v>492760</v>
      </c>
      <c r="Q127" s="497" t="s">
        <v>1087</v>
      </c>
      <c r="R127" s="727">
        <v>42314</v>
      </c>
    </row>
    <row r="128" spans="1:18" ht="16.5" customHeight="1">
      <c r="A128" s="1124">
        <f t="shared" si="45"/>
        <v>33</v>
      </c>
      <c r="B128" s="1125" t="s">
        <v>1209</v>
      </c>
      <c r="C128" s="1127">
        <f>P128+P129</f>
        <v>9571100</v>
      </c>
      <c r="D128" s="1127">
        <f t="shared" si="55"/>
        <v>1465698.1436642455</v>
      </c>
      <c r="E128" s="1127">
        <f t="shared" si="55"/>
        <v>0</v>
      </c>
      <c r="F128" s="1127">
        <f t="shared" si="55"/>
        <v>0</v>
      </c>
      <c r="G128" s="1127">
        <f t="shared" si="56"/>
        <v>11036798.143664245</v>
      </c>
      <c r="H128" s="1127">
        <v>1000</v>
      </c>
      <c r="I128" s="1127">
        <f t="shared" si="49"/>
        <v>11036.798143664244</v>
      </c>
      <c r="J128" s="1126">
        <v>9800</v>
      </c>
      <c r="K128" s="630"/>
      <c r="L128" s="868" t="s">
        <v>866</v>
      </c>
      <c r="M128" s="727">
        <f t="shared" si="48"/>
        <v>42316</v>
      </c>
      <c r="N128" s="285">
        <v>1000</v>
      </c>
      <c r="O128" s="748">
        <v>8376</v>
      </c>
      <c r="P128" s="25">
        <f t="shared" si="50"/>
        <v>8376000</v>
      </c>
      <c r="Q128" s="497" t="s">
        <v>1088</v>
      </c>
      <c r="R128" s="727">
        <v>42318</v>
      </c>
    </row>
    <row r="129" spans="1:18" ht="16.5" customHeight="1">
      <c r="A129" s="1124"/>
      <c r="B129" s="1125"/>
      <c r="C129" s="1127"/>
      <c r="D129" s="1127"/>
      <c r="E129" s="1127"/>
      <c r="F129" s="1127"/>
      <c r="G129" s="1127"/>
      <c r="H129" s="1127"/>
      <c r="I129" s="1127"/>
      <c r="J129" s="1126"/>
      <c r="K129" s="630"/>
      <c r="L129" s="868" t="s">
        <v>549</v>
      </c>
      <c r="M129" s="727">
        <f t="shared" si="48"/>
        <v>42316</v>
      </c>
      <c r="N129" s="285">
        <v>100</v>
      </c>
      <c r="O129" s="863">
        <v>11951</v>
      </c>
      <c r="P129" s="25">
        <f t="shared" ref="P129" si="58">ROUND(N129*O129,0)</f>
        <v>1195100</v>
      </c>
      <c r="Q129" s="497" t="s">
        <v>1088</v>
      </c>
      <c r="R129" s="727">
        <v>42318</v>
      </c>
    </row>
    <row r="130" spans="1:18" ht="16.5" customHeight="1">
      <c r="A130" s="712">
        <f>IF(B130&lt;&gt;"",A128+1,"")</f>
        <v>34</v>
      </c>
      <c r="B130" s="282" t="s">
        <v>1231</v>
      </c>
      <c r="C130" s="25">
        <f t="shared" si="46"/>
        <v>382700</v>
      </c>
      <c r="D130" s="713">
        <f t="shared" ref="D130:F132" si="59">IF($H$134&lt;&gt;0,D$134/$H$134*$H130,0)</f>
        <v>29313.962873284909</v>
      </c>
      <c r="E130" s="713">
        <f t="shared" si="59"/>
        <v>0</v>
      </c>
      <c r="F130" s="713">
        <f t="shared" si="59"/>
        <v>0</v>
      </c>
      <c r="G130" s="25">
        <f>SUM(C130:F130)</f>
        <v>412013.96287328494</v>
      </c>
      <c r="H130" s="713">
        <v>20</v>
      </c>
      <c r="I130" s="713">
        <f t="shared" si="49"/>
        <v>20600.698143664245</v>
      </c>
      <c r="J130" s="630">
        <v>24948</v>
      </c>
      <c r="K130" s="630"/>
      <c r="L130" s="868" t="s">
        <v>1128</v>
      </c>
      <c r="M130" s="727">
        <f t="shared" si="48"/>
        <v>42326</v>
      </c>
      <c r="N130" s="285">
        <v>20</v>
      </c>
      <c r="O130" s="863">
        <v>19135</v>
      </c>
      <c r="P130" s="25">
        <f t="shared" si="50"/>
        <v>382700</v>
      </c>
      <c r="Q130" s="497" t="s">
        <v>1095</v>
      </c>
      <c r="R130" s="727">
        <v>42328</v>
      </c>
    </row>
    <row r="131" spans="1:18" ht="16.5" customHeight="1">
      <c r="A131" s="712">
        <f t="shared" si="45"/>
        <v>35</v>
      </c>
      <c r="B131" s="282" t="s">
        <v>692</v>
      </c>
      <c r="C131" s="25">
        <f t="shared" si="46"/>
        <v>4977600</v>
      </c>
      <c r="D131" s="713">
        <f t="shared" si="59"/>
        <v>586279.25746569817</v>
      </c>
      <c r="E131" s="713">
        <f t="shared" si="59"/>
        <v>0</v>
      </c>
      <c r="F131" s="713">
        <f t="shared" si="59"/>
        <v>0</v>
      </c>
      <c r="G131" s="25">
        <f>SUM(C131:F131)</f>
        <v>5563879.2574656978</v>
      </c>
      <c r="H131" s="713">
        <v>400</v>
      </c>
      <c r="I131" s="713">
        <f t="shared" si="49"/>
        <v>13909.698143664245</v>
      </c>
      <c r="J131" s="630">
        <v>13300</v>
      </c>
      <c r="K131" s="630"/>
      <c r="L131" s="868" t="s">
        <v>576</v>
      </c>
      <c r="M131" s="727">
        <f t="shared" si="48"/>
        <v>42327</v>
      </c>
      <c r="N131" s="285">
        <v>400</v>
      </c>
      <c r="O131" s="279">
        <v>12444</v>
      </c>
      <c r="P131" s="25">
        <f t="shared" si="50"/>
        <v>4977600</v>
      </c>
      <c r="Q131" s="497" t="s">
        <v>1096</v>
      </c>
      <c r="R131" s="727">
        <v>42329</v>
      </c>
    </row>
    <row r="132" spans="1:18" ht="16.5" customHeight="1">
      <c r="A132" s="712">
        <f t="shared" si="45"/>
        <v>36</v>
      </c>
      <c r="B132" s="282" t="s">
        <v>1206</v>
      </c>
      <c r="C132" s="25">
        <f t="shared" si="46"/>
        <v>1084122</v>
      </c>
      <c r="D132" s="713">
        <f t="shared" si="59"/>
        <v>219854.7215496368</v>
      </c>
      <c r="E132" s="713">
        <f t="shared" si="59"/>
        <v>0</v>
      </c>
      <c r="F132" s="713">
        <f t="shared" si="59"/>
        <v>0</v>
      </c>
      <c r="G132" s="25">
        <f>SUM(C132:F132)</f>
        <v>1303976.7215496367</v>
      </c>
      <c r="H132" s="713">
        <v>150</v>
      </c>
      <c r="I132" s="713">
        <f t="shared" si="49"/>
        <v>8693.178143664245</v>
      </c>
      <c r="J132" s="630">
        <v>7660</v>
      </c>
      <c r="K132" s="630"/>
      <c r="L132" s="868" t="s">
        <v>779</v>
      </c>
      <c r="M132" s="727">
        <f t="shared" si="48"/>
        <v>42358</v>
      </c>
      <c r="N132" s="285">
        <v>82</v>
      </c>
      <c r="O132" s="748">
        <v>13221</v>
      </c>
      <c r="P132" s="25">
        <f t="shared" si="50"/>
        <v>1084122</v>
      </c>
      <c r="Q132" s="497" t="s">
        <v>482</v>
      </c>
      <c r="R132" s="727">
        <v>42360</v>
      </c>
    </row>
    <row r="133" spans="1:18" ht="16.5" customHeight="1">
      <c r="A133" s="712"/>
      <c r="B133" s="282"/>
      <c r="C133" s="25"/>
      <c r="D133" s="713"/>
      <c r="E133" s="713"/>
      <c r="F133" s="713"/>
      <c r="G133" s="25"/>
      <c r="H133" s="713"/>
      <c r="I133" s="713"/>
      <c r="J133" s="630"/>
      <c r="K133" s="630"/>
      <c r="L133" s="425"/>
      <c r="M133" s="727"/>
      <c r="N133" s="285"/>
      <c r="O133" s="748"/>
      <c r="P133" s="25">
        <f t="shared" si="44"/>
        <v>0</v>
      </c>
      <c r="Q133" s="425"/>
      <c r="R133" s="727"/>
    </row>
    <row r="134" spans="1:18" s="730" customFormat="1" ht="16.5" customHeight="1">
      <c r="A134" s="714"/>
      <c r="B134" s="715" t="s">
        <v>234</v>
      </c>
      <c r="C134" s="505">
        <f>SUM(C94:C133)</f>
        <v>84951076</v>
      </c>
      <c r="D134" s="505">
        <v>9080000</v>
      </c>
      <c r="E134" s="505"/>
      <c r="F134" s="505"/>
      <c r="G134" s="505">
        <f>SUM(G94:G133)</f>
        <v>94031071.99999997</v>
      </c>
      <c r="H134" s="505">
        <f>ROUND(SUM(H94:H133),0)</f>
        <v>6195</v>
      </c>
      <c r="I134" s="505"/>
      <c r="J134" s="630"/>
      <c r="K134" s="630"/>
      <c r="L134" s="731"/>
      <c r="M134" s="732"/>
      <c r="N134" s="765"/>
      <c r="O134" s="747"/>
      <c r="P134" s="46">
        <f>SUM(P94:P133)</f>
        <v>84951076</v>
      </c>
      <c r="Q134" s="731"/>
      <c r="R134" s="732"/>
    </row>
    <row r="135" spans="1:18" s="709" customFormat="1">
      <c r="A135" s="708"/>
      <c r="B135" s="708"/>
      <c r="C135" s="708"/>
      <c r="D135" s="708"/>
      <c r="E135" s="708"/>
      <c r="F135" s="708"/>
      <c r="G135" s="279"/>
      <c r="H135" s="708"/>
      <c r="I135" s="708"/>
      <c r="J135" s="630"/>
      <c r="K135" s="630"/>
      <c r="L135" s="708"/>
      <c r="M135" s="721"/>
      <c r="N135" s="757"/>
      <c r="O135" s="279"/>
      <c r="P135" s="708"/>
      <c r="Q135" s="708"/>
      <c r="R135" s="721"/>
    </row>
    <row r="136" spans="1:18">
      <c r="J136" s="630"/>
      <c r="K136" s="630"/>
    </row>
    <row r="137" spans="1:18">
      <c r="G137" s="735"/>
      <c r="J137" s="630"/>
      <c r="K137" s="630"/>
    </row>
    <row r="138" spans="1:18">
      <c r="J138" s="630"/>
      <c r="K138" s="630"/>
    </row>
    <row r="139" spans="1:18">
      <c r="G139" s="735">
        <f>G134+G88+G75+G28</f>
        <v>425532790</v>
      </c>
      <c r="P139" s="735">
        <f>P134+P88+P75+P28</f>
        <v>386922794.76923072</v>
      </c>
    </row>
  </sheetData>
  <autoFilter ref="A93:R132"/>
  <sortState ref="A359:AB597">
    <sortCondition ref="R359:R597"/>
  </sortState>
  <mergeCells count="100">
    <mergeCell ref="F128:F129"/>
    <mergeCell ref="I98:I99"/>
    <mergeCell ref="A98:A99"/>
    <mergeCell ref="B98:B99"/>
    <mergeCell ref="C98:C99"/>
    <mergeCell ref="D98:D99"/>
    <mergeCell ref="E98:E99"/>
    <mergeCell ref="H98:H99"/>
    <mergeCell ref="G128:G129"/>
    <mergeCell ref="H128:H129"/>
    <mergeCell ref="I128:I129"/>
    <mergeCell ref="A128:A129"/>
    <mergeCell ref="B128:B129"/>
    <mergeCell ref="C128:C129"/>
    <mergeCell ref="D128:D129"/>
    <mergeCell ref="E128:E129"/>
    <mergeCell ref="F98:F99"/>
    <mergeCell ref="G98:G99"/>
    <mergeCell ref="A84:A85"/>
    <mergeCell ref="B84:B85"/>
    <mergeCell ref="C84:C85"/>
    <mergeCell ref="D84:D85"/>
    <mergeCell ref="E84:E85"/>
    <mergeCell ref="F84:F85"/>
    <mergeCell ref="F109:F110"/>
    <mergeCell ref="G109:G110"/>
    <mergeCell ref="H109:H110"/>
    <mergeCell ref="I109:I110"/>
    <mergeCell ref="J109:J110"/>
    <mergeCell ref="A109:A110"/>
    <mergeCell ref="B109:B110"/>
    <mergeCell ref="C109:C110"/>
    <mergeCell ref="D109:D110"/>
    <mergeCell ref="E109:E110"/>
    <mergeCell ref="J128:J129"/>
    <mergeCell ref="J20:J21"/>
    <mergeCell ref="G22:G23"/>
    <mergeCell ref="H22:H23"/>
    <mergeCell ref="I22:I23"/>
    <mergeCell ref="J22:J23"/>
    <mergeCell ref="H20:H21"/>
    <mergeCell ref="I20:I21"/>
    <mergeCell ref="J84:J85"/>
    <mergeCell ref="G84:G85"/>
    <mergeCell ref="H84:H85"/>
    <mergeCell ref="I84:I85"/>
    <mergeCell ref="J98:J99"/>
    <mergeCell ref="A65:A66"/>
    <mergeCell ref="B65:B66"/>
    <mergeCell ref="E65:E66"/>
    <mergeCell ref="A22:A23"/>
    <mergeCell ref="B22:B23"/>
    <mergeCell ref="C22:C23"/>
    <mergeCell ref="D22:D23"/>
    <mergeCell ref="A52:A53"/>
    <mergeCell ref="B52:B53"/>
    <mergeCell ref="C52:C53"/>
    <mergeCell ref="D52:D53"/>
    <mergeCell ref="E52:E53"/>
    <mergeCell ref="E22:E23"/>
    <mergeCell ref="C65:C66"/>
    <mergeCell ref="D65:D66"/>
    <mergeCell ref="C20:C21"/>
    <mergeCell ref="D20:D21"/>
    <mergeCell ref="E20:E21"/>
    <mergeCell ref="F20:F21"/>
    <mergeCell ref="G20:G21"/>
    <mergeCell ref="F22:F23"/>
    <mergeCell ref="G65:G66"/>
    <mergeCell ref="H65:H66"/>
    <mergeCell ref="I65:I66"/>
    <mergeCell ref="J65:J66"/>
    <mergeCell ref="F65:F66"/>
    <mergeCell ref="I52:I53"/>
    <mergeCell ref="J52:J53"/>
    <mergeCell ref="F52:F53"/>
    <mergeCell ref="G52:G53"/>
    <mergeCell ref="H52:H53"/>
    <mergeCell ref="E18:E19"/>
    <mergeCell ref="A10:A11"/>
    <mergeCell ref="B10:B11"/>
    <mergeCell ref="C10:C11"/>
    <mergeCell ref="D10:D11"/>
    <mergeCell ref="E10:E11"/>
    <mergeCell ref="A20:A21"/>
    <mergeCell ref="B20:B21"/>
    <mergeCell ref="J10:J11"/>
    <mergeCell ref="G18:G19"/>
    <mergeCell ref="H18:H19"/>
    <mergeCell ref="I18:I19"/>
    <mergeCell ref="J18:J19"/>
    <mergeCell ref="G10:G11"/>
    <mergeCell ref="H10:H11"/>
    <mergeCell ref="I10:I11"/>
    <mergeCell ref="F10:F11"/>
    <mergeCell ref="F18:F19"/>
    <mergeCell ref="A18:A19"/>
    <mergeCell ref="B18:B19"/>
    <mergeCell ref="C18:C19"/>
    <mergeCell ref="D18:D19"/>
  </mergeCells>
  <dataValidations count="1">
    <dataValidation type="list" allowBlank="1" showInputMessage="1" showErrorMessage="1" sqref="L93 L82 L6 L35 Q93 Q82 Q6 Q35">
      <formula1>DSTP</formula1>
    </dataValidation>
  </dataValidations>
  <printOptions horizontalCentered="1"/>
  <pageMargins left="0.1" right="0.6" top="0.2" bottom="0.3" header="0" footer="0"/>
  <pageSetup paperSize="9" scale="75"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K26"/>
  <sheetViews>
    <sheetView zoomScale="90" workbookViewId="0">
      <pane ySplit="10" topLeftCell="A11" activePane="bottomLeft" state="frozen"/>
      <selection activeCell="D67" sqref="D67"/>
      <selection pane="bottomLeft"/>
    </sheetView>
  </sheetViews>
  <sheetFormatPr defaultColWidth="10.28515625" defaultRowHeight="12.75"/>
  <cols>
    <col min="1" max="1" width="40.42578125" style="556" customWidth="1"/>
    <col min="2" max="2" width="15.7109375" style="556" customWidth="1"/>
    <col min="3" max="3" width="16.85546875" style="556" customWidth="1"/>
    <col min="4" max="9" width="15.28515625" style="556" customWidth="1"/>
    <col min="10" max="10" width="10.140625" style="556" customWidth="1"/>
    <col min="11" max="11" width="5.85546875" style="556" customWidth="1"/>
    <col min="12" max="16384" width="10.28515625" style="556"/>
  </cols>
  <sheetData>
    <row r="1" spans="1:11" s="427" customFormat="1" ht="19.5" customHeight="1">
      <c r="A1" s="543" t="str">
        <f>TH!A1</f>
        <v>Đơn vị: CÔNG TY TNHH MỘT THÀNH VIÊN KHỞI NGUYÊN AN</v>
      </c>
      <c r="B1" s="543"/>
      <c r="D1" s="428"/>
      <c r="E1" s="428"/>
      <c r="F1" s="428"/>
      <c r="G1" s="1130" t="s">
        <v>235</v>
      </c>
      <c r="H1" s="1130"/>
      <c r="I1" s="1130"/>
      <c r="J1" s="429"/>
      <c r="K1" s="430"/>
    </row>
    <row r="2" spans="1:11" s="427" customFormat="1" ht="19.5" customHeight="1">
      <c r="A2" s="591" t="str">
        <f>TH!A2</f>
        <v>Địa chỉ: Thửa đất số 144, tờ bản đồ số 12TĐH.1, tổ 1, khu phố Đông Tác, Phường Tân Đông Hiệp, Thị Xã Dĩ An, Tỉnh Bình Dương, Việt Nam</v>
      </c>
      <c r="B2" s="543"/>
      <c r="D2" s="431"/>
      <c r="E2" s="431"/>
      <c r="F2" s="431"/>
      <c r="G2" s="1131" t="e">
        <f ca="1">IF(YEAR(TK!$B$14)&gt;=2015,"(Ban hành theo Thông tư số 200/2014/TT-BTC  Ngày 22/12/2014 của Bộ Tài chính)","(Ban hành kèm theo QĐ 48/2006/QĐ-BTC ngày 24/09/2006 của Bộ trưởng BTC)")</f>
        <v>#VALUE!</v>
      </c>
      <c r="H2" s="1131"/>
      <c r="I2" s="1131"/>
      <c r="J2" s="429"/>
      <c r="K2" s="417">
        <v>1</v>
      </c>
    </row>
    <row r="3" spans="1:11" s="427" customFormat="1" ht="15">
      <c r="A3" s="544"/>
      <c r="B3" s="545"/>
      <c r="C3" s="431"/>
      <c r="D3" s="431"/>
      <c r="E3" s="431"/>
      <c r="F3" s="431"/>
      <c r="G3" s="1131"/>
      <c r="H3" s="1131"/>
      <c r="I3" s="1131"/>
      <c r="J3" s="429"/>
    </row>
    <row r="4" spans="1:11" s="547" customFormat="1" ht="17.25" customHeight="1">
      <c r="A4" s="1132" t="s">
        <v>236</v>
      </c>
      <c r="B4" s="1132"/>
      <c r="C4" s="1132"/>
      <c r="D4" s="1132"/>
      <c r="E4" s="1132"/>
      <c r="F4" s="1132"/>
      <c r="G4" s="1132"/>
      <c r="H4" s="1132"/>
      <c r="I4" s="1132"/>
      <c r="J4" s="546"/>
    </row>
    <row r="5" spans="1:11" s="548" customFormat="1" ht="17.25" customHeight="1">
      <c r="B5" s="549"/>
      <c r="C5" s="550" t="s">
        <v>321</v>
      </c>
      <c r="D5" s="549" t="str">
        <f>IF($K$2&lt;10,"0"&amp;$K$2&amp;"  năm 2011",$K$2&amp;"  năm 2011")</f>
        <v>01  năm 2011</v>
      </c>
      <c r="E5" s="549"/>
      <c r="F5" s="549"/>
      <c r="G5" s="549"/>
      <c r="H5" s="549"/>
      <c r="I5" s="549"/>
      <c r="J5" s="549"/>
    </row>
    <row r="6" spans="1:11" s="548" customFormat="1" ht="17.25" customHeight="1">
      <c r="B6" s="551"/>
      <c r="C6" s="1133" t="s">
        <v>237</v>
      </c>
      <c r="D6" s="1133"/>
      <c r="E6" s="1134"/>
      <c r="F6" s="1134"/>
      <c r="G6" s="1134"/>
      <c r="H6" s="663"/>
      <c r="I6" s="551"/>
      <c r="J6" s="549"/>
    </row>
    <row r="7" spans="1:11" s="553" customFormat="1" ht="9.75" customHeight="1">
      <c r="A7" s="552"/>
      <c r="B7" s="552"/>
      <c r="C7" s="552"/>
      <c r="D7" s="552"/>
      <c r="E7" s="552"/>
      <c r="F7" s="552"/>
      <c r="G7" s="552"/>
      <c r="H7" s="552"/>
      <c r="I7" s="552"/>
      <c r="J7" s="551"/>
    </row>
    <row r="8" spans="1:11" s="433" customFormat="1" ht="17.25" customHeight="1">
      <c r="A8" s="1135" t="s">
        <v>238</v>
      </c>
      <c r="B8" s="1136" t="s">
        <v>239</v>
      </c>
      <c r="C8" s="1136" t="s">
        <v>240</v>
      </c>
      <c r="D8" s="1136"/>
      <c r="E8" s="1136"/>
      <c r="F8" s="1136"/>
      <c r="G8" s="1136"/>
      <c r="H8" s="1136"/>
      <c r="I8" s="1136"/>
      <c r="J8" s="432"/>
    </row>
    <row r="9" spans="1:11" s="436" customFormat="1" ht="35.25" customHeight="1">
      <c r="A9" s="1135"/>
      <c r="B9" s="1136"/>
      <c r="C9" s="434" t="s">
        <v>359</v>
      </c>
      <c r="D9" s="434" t="s">
        <v>241</v>
      </c>
      <c r="E9" s="434" t="s">
        <v>360</v>
      </c>
      <c r="F9" s="434" t="s">
        <v>361</v>
      </c>
      <c r="G9" s="434" t="s">
        <v>242</v>
      </c>
      <c r="H9" s="434" t="s">
        <v>243</v>
      </c>
      <c r="I9" s="434" t="s">
        <v>362</v>
      </c>
      <c r="J9" s="435"/>
    </row>
    <row r="10" spans="1:11" s="439" customFormat="1" ht="15">
      <c r="A10" s="437" t="s">
        <v>2</v>
      </c>
      <c r="B10" s="438">
        <v>1</v>
      </c>
      <c r="C10" s="438">
        <v>2</v>
      </c>
      <c r="D10" s="438">
        <v>3</v>
      </c>
      <c r="E10" s="438">
        <v>4</v>
      </c>
      <c r="F10" s="438">
        <v>5</v>
      </c>
      <c r="G10" s="438">
        <v>6</v>
      </c>
      <c r="H10" s="438">
        <v>7</v>
      </c>
      <c r="I10" s="438">
        <v>8</v>
      </c>
      <c r="J10" s="429"/>
    </row>
    <row r="11" spans="1:11" s="548" customFormat="1" ht="24.75" customHeight="1">
      <c r="A11" s="554" t="s">
        <v>244</v>
      </c>
      <c r="B11" s="555">
        <f>ROUND(SUM(C11:I11),0)</f>
        <v>0</v>
      </c>
      <c r="C11" s="555">
        <v>0</v>
      </c>
      <c r="D11" s="555">
        <v>0</v>
      </c>
      <c r="E11" s="555">
        <v>0</v>
      </c>
      <c r="F11" s="555">
        <v>0</v>
      </c>
      <c r="G11" s="555">
        <v>0</v>
      </c>
      <c r="H11" s="555">
        <v>0</v>
      </c>
      <c r="I11" s="555">
        <v>0</v>
      </c>
      <c r="J11" s="549"/>
    </row>
    <row r="12" spans="1:11" s="548" customFormat="1" ht="24.75" customHeight="1">
      <c r="A12" s="554" t="s">
        <v>245</v>
      </c>
      <c r="B12" s="555">
        <f ca="1">ROUND(SUM(C12:I12),0)</f>
        <v>0</v>
      </c>
      <c r="C12" s="555">
        <f ca="1">IF(ISNA(VLOOKUP($E6,INDIRECT("DSSP"&amp;$K$2),5,0)),0,VLOOKUP($E6,INDIRECT("DSSP"&amp;$K$2),5,0))</f>
        <v>0</v>
      </c>
      <c r="D12" s="555">
        <f ca="1">IF(ISNA(VLOOKUP($E6,INDIRECT("DSSP"&amp;$K$2),6,0)),0,VLOOKUP($E6,INDIRECT("DSSP"&amp;$K$2),6,0))</f>
        <v>0</v>
      </c>
      <c r="E12" s="555">
        <f ca="1">IF(ISNA(VLOOKUP($E6,INDIRECT("DSSP"&amp;$K$2),7,0)),0,VLOOKUP($E6,INDIRECT("DSSP"&amp;$K$2),7,0))</f>
        <v>0</v>
      </c>
      <c r="F12" s="555">
        <f ca="1">IF(ISNA(VLOOKUP($E6,INDIRECT("DSSP"&amp;$K$2),8,0)),0,VLOOKUP($E6,INDIRECT("DSSP"&amp;$K$2),8,0))</f>
        <v>0</v>
      </c>
      <c r="G12" s="555">
        <f ca="1">IF(ISNA(VLOOKUP($E6,INDIRECT("DSSP"&amp;$K$2),9,0)),0,VLOOKUP($E6,INDIRECT("DSSP"&amp;$K$2),9,0))</f>
        <v>0</v>
      </c>
      <c r="H12" s="555">
        <f ca="1">IF(ISNA(VLOOKUP($E6,INDIRECT("DSSP"&amp;$K$2),10,0)),0,VLOOKUP($E6,INDIRECT("DSSP"&amp;$K$2),10,0))</f>
        <v>0</v>
      </c>
      <c r="I12" s="555">
        <f ca="1">IF(ISNA(VLOOKUP($E6,INDIRECT("DSSP"&amp;$K$2),11,0)),0,VLOOKUP($E6,INDIRECT("DSSP"&amp;$K$2),11,0))</f>
        <v>0</v>
      </c>
      <c r="J12" s="549"/>
    </row>
    <row r="13" spans="1:11" s="548" customFormat="1" ht="24.75" customHeight="1">
      <c r="A13" s="554" t="s">
        <v>246</v>
      </c>
      <c r="B13" s="555">
        <f ca="1">ROUND(IF(ISNA(VLOOKUP($E6,INDIRECT("DSSP"&amp;$K$2),13,0)),0,VLOOKUP($E6,INDIRECT("DSSP"&amp;$K$2),13,0)),0)</f>
        <v>0</v>
      </c>
      <c r="C13" s="555">
        <f t="shared" ref="C13:I13" ca="1" si="0">C12</f>
        <v>0</v>
      </c>
      <c r="D13" s="555">
        <f t="shared" ca="1" si="0"/>
        <v>0</v>
      </c>
      <c r="E13" s="555">
        <f t="shared" ca="1" si="0"/>
        <v>0</v>
      </c>
      <c r="F13" s="555"/>
      <c r="G13" s="555">
        <f t="shared" ca="1" si="0"/>
        <v>0</v>
      </c>
      <c r="H13" s="555"/>
      <c r="I13" s="555">
        <f t="shared" ca="1" si="0"/>
        <v>0</v>
      </c>
      <c r="J13" s="549"/>
    </row>
    <row r="14" spans="1:11" s="548" customFormat="1" ht="24.75" customHeight="1">
      <c r="A14" s="554" t="s">
        <v>247</v>
      </c>
      <c r="B14" s="555">
        <f ca="1">B12-B13</f>
        <v>0</v>
      </c>
      <c r="C14" s="555">
        <f t="shared" ref="C14:I14" ca="1" si="1">C12-C13</f>
        <v>0</v>
      </c>
      <c r="D14" s="555">
        <f t="shared" ca="1" si="1"/>
        <v>0</v>
      </c>
      <c r="E14" s="555">
        <f t="shared" ca="1" si="1"/>
        <v>0</v>
      </c>
      <c r="F14" s="555"/>
      <c r="G14" s="555">
        <f t="shared" ca="1" si="1"/>
        <v>0</v>
      </c>
      <c r="H14" s="555"/>
      <c r="I14" s="555">
        <f t="shared" ca="1" si="1"/>
        <v>0</v>
      </c>
      <c r="J14" s="549"/>
    </row>
    <row r="15" spans="1:11" s="548" customFormat="1" ht="15">
      <c r="B15" s="549"/>
      <c r="C15" s="549"/>
      <c r="D15" s="549"/>
      <c r="E15" s="549"/>
      <c r="F15" s="549"/>
      <c r="G15" s="549"/>
      <c r="H15" s="549"/>
      <c r="I15" s="549"/>
      <c r="J15" s="549"/>
    </row>
    <row r="16" spans="1:11" s="548" customFormat="1" ht="15">
      <c r="B16" s="549"/>
      <c r="C16" s="549"/>
      <c r="D16" s="549"/>
      <c r="E16" s="1129" t="str">
        <f xml:space="preserve"> IF(OR($K$2=1,$K$2=4,$K$2=6,$K$2=9,$K$2=11),"Ngày  30  tháng  "&amp;$K$2&amp;"  năm 2011",IF(OR($K$2=3,$K$2=5,$K$2=7,$K$2=8,$K$2=10,$K$2=12),"Ngày  31  tháng  "&amp;$K$2&amp;"  năm 2011","Ngày  29  tháng  "&amp;$K$2&amp;"  năm 2011"))</f>
        <v>Ngày  30  tháng  1  năm 2011</v>
      </c>
      <c r="F16" s="1129"/>
      <c r="G16" s="1129"/>
      <c r="H16" s="1129"/>
      <c r="I16" s="1129"/>
      <c r="J16" s="549"/>
    </row>
    <row r="17" spans="2:10" s="548" customFormat="1" ht="15">
      <c r="B17" s="439" t="s">
        <v>248</v>
      </c>
      <c r="C17" s="549"/>
      <c r="D17" s="549"/>
      <c r="E17" s="1129" t="s">
        <v>12</v>
      </c>
      <c r="F17" s="1129"/>
      <c r="G17" s="1129"/>
      <c r="H17" s="1129"/>
      <c r="I17" s="1129"/>
      <c r="J17" s="549"/>
    </row>
    <row r="19" spans="2:10" ht="15">
      <c r="E19" s="557"/>
      <c r="F19" s="557"/>
    </row>
    <row r="26" spans="2:10">
      <c r="B26" s="531" t="s">
        <v>151</v>
      </c>
    </row>
  </sheetData>
  <mergeCells count="10">
    <mergeCell ref="E16:I16"/>
    <mergeCell ref="E17:I17"/>
    <mergeCell ref="G1:I1"/>
    <mergeCell ref="G2:I3"/>
    <mergeCell ref="A4:I4"/>
    <mergeCell ref="C6:D6"/>
    <mergeCell ref="E6:G6"/>
    <mergeCell ref="A8:A9"/>
    <mergeCell ref="B8:B9"/>
    <mergeCell ref="C8:I8"/>
  </mergeCells>
  <dataValidations count="2">
    <dataValidation type="list" allowBlank="1" showInputMessage="1" showErrorMessage="1" sqref="K2">
      <formula1>"1,2,3,4"</formula1>
    </dataValidation>
    <dataValidation type="list" allowBlank="1" showInputMessage="1" showErrorMessage="1" sqref="E6:F6">
      <formula1>INDIRECT("DSGT"&amp;$K$2)</formula1>
    </dataValidation>
  </dataValidations>
  <pageMargins left="0.51" right="0.16" top="0.51" bottom="0.15" header="0.14000000000000001" footer="0.15"/>
  <pageSetup scale="9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VQ47"/>
  <sheetViews>
    <sheetView topLeftCell="A19" workbookViewId="0">
      <selection activeCell="D35" sqref="D35"/>
    </sheetView>
  </sheetViews>
  <sheetFormatPr defaultRowHeight="15.75"/>
  <cols>
    <col min="1" max="1" width="12.7109375" style="952" customWidth="1"/>
    <col min="2" max="2" width="24.140625" style="595" customWidth="1"/>
    <col min="3" max="3" width="23.85546875" style="595" customWidth="1"/>
    <col min="4" max="4" width="13.85546875" style="595" customWidth="1"/>
    <col min="5" max="5" width="31.85546875" style="595" customWidth="1"/>
    <col min="6" max="6" width="11.140625" style="954" customWidth="1"/>
    <col min="7" max="7" width="11" style="954" customWidth="1"/>
    <col min="8" max="8" width="14.5703125" style="595" customWidth="1"/>
    <col min="9" max="9" width="10.85546875" style="595" customWidth="1"/>
    <col min="10" max="10" width="9.140625" style="595"/>
    <col min="11" max="83" width="9.140625" style="601"/>
    <col min="84" max="256" width="9.140625" style="595"/>
    <col min="257" max="257" width="11.140625" style="595" customWidth="1"/>
    <col min="258" max="258" width="24.140625" style="595" customWidth="1"/>
    <col min="259" max="259" width="24.7109375" style="595" customWidth="1"/>
    <col min="260" max="260" width="13.85546875" style="595" customWidth="1"/>
    <col min="261" max="261" width="15.28515625" style="595" customWidth="1"/>
    <col min="262" max="262" width="10.42578125" style="595" customWidth="1"/>
    <col min="263" max="263" width="10.5703125" style="595" customWidth="1"/>
    <col min="264" max="264" width="12.85546875" style="595" customWidth="1"/>
    <col min="265" max="265" width="10.85546875" style="595" customWidth="1"/>
    <col min="266" max="512" width="9.140625" style="595"/>
    <col min="513" max="513" width="11.140625" style="595" customWidth="1"/>
    <col min="514" max="514" width="24.140625" style="595" customWidth="1"/>
    <col min="515" max="515" width="24.7109375" style="595" customWidth="1"/>
    <col min="516" max="516" width="13.85546875" style="595" customWidth="1"/>
    <col min="517" max="517" width="15.28515625" style="595" customWidth="1"/>
    <col min="518" max="518" width="10.42578125" style="595" customWidth="1"/>
    <col min="519" max="519" width="10.5703125" style="595" customWidth="1"/>
    <col min="520" max="520" width="12.85546875" style="595" customWidth="1"/>
    <col min="521" max="521" width="10.85546875" style="595" customWidth="1"/>
    <col min="522" max="768" width="9.140625" style="595"/>
    <col min="769" max="769" width="11.140625" style="595" customWidth="1"/>
    <col min="770" max="770" width="24.140625" style="595" customWidth="1"/>
    <col min="771" max="771" width="24.7109375" style="595" customWidth="1"/>
    <col min="772" max="772" width="13.85546875" style="595" customWidth="1"/>
    <col min="773" max="773" width="15.28515625" style="595" customWidth="1"/>
    <col min="774" max="774" width="10.42578125" style="595" customWidth="1"/>
    <col min="775" max="775" width="10.5703125" style="595" customWidth="1"/>
    <col min="776" max="776" width="12.85546875" style="595" customWidth="1"/>
    <col min="777" max="777" width="10.85546875" style="595" customWidth="1"/>
    <col min="778" max="1024" width="9.140625" style="595"/>
    <col min="1025" max="1025" width="11.140625" style="595" customWidth="1"/>
    <col min="1026" max="1026" width="24.140625" style="595" customWidth="1"/>
    <col min="1027" max="1027" width="24.7109375" style="595" customWidth="1"/>
    <col min="1028" max="1028" width="13.85546875" style="595" customWidth="1"/>
    <col min="1029" max="1029" width="15.28515625" style="595" customWidth="1"/>
    <col min="1030" max="1030" width="10.42578125" style="595" customWidth="1"/>
    <col min="1031" max="1031" width="10.5703125" style="595" customWidth="1"/>
    <col min="1032" max="1032" width="12.85546875" style="595" customWidth="1"/>
    <col min="1033" max="1033" width="10.85546875" style="595" customWidth="1"/>
    <col min="1034" max="1280" width="9.140625" style="595"/>
    <col min="1281" max="1281" width="11.140625" style="595" customWidth="1"/>
    <col min="1282" max="1282" width="24.140625" style="595" customWidth="1"/>
    <col min="1283" max="1283" width="24.7109375" style="595" customWidth="1"/>
    <col min="1284" max="1284" width="13.85546875" style="595" customWidth="1"/>
    <col min="1285" max="1285" width="15.28515625" style="595" customWidth="1"/>
    <col min="1286" max="1286" width="10.42578125" style="595" customWidth="1"/>
    <col min="1287" max="1287" width="10.5703125" style="595" customWidth="1"/>
    <col min="1288" max="1288" width="12.85546875" style="595" customWidth="1"/>
    <col min="1289" max="1289" width="10.85546875" style="595" customWidth="1"/>
    <col min="1290" max="1536" width="9.140625" style="595"/>
    <col min="1537" max="1537" width="11.140625" style="595" customWidth="1"/>
    <col min="1538" max="1538" width="24.140625" style="595" customWidth="1"/>
    <col min="1539" max="1539" width="24.7109375" style="595" customWidth="1"/>
    <col min="1540" max="1540" width="13.85546875" style="595" customWidth="1"/>
    <col min="1541" max="1541" width="15.28515625" style="595" customWidth="1"/>
    <col min="1542" max="1542" width="10.42578125" style="595" customWidth="1"/>
    <col min="1543" max="1543" width="10.5703125" style="595" customWidth="1"/>
    <col min="1544" max="1544" width="12.85546875" style="595" customWidth="1"/>
    <col min="1545" max="1545" width="10.85546875" style="595" customWidth="1"/>
    <col min="1546" max="1792" width="9.140625" style="595"/>
    <col min="1793" max="1793" width="11.140625" style="595" customWidth="1"/>
    <col min="1794" max="1794" width="24.140625" style="595" customWidth="1"/>
    <col min="1795" max="1795" width="24.7109375" style="595" customWidth="1"/>
    <col min="1796" max="1796" width="13.85546875" style="595" customWidth="1"/>
    <col min="1797" max="1797" width="15.28515625" style="595" customWidth="1"/>
    <col min="1798" max="1798" width="10.42578125" style="595" customWidth="1"/>
    <col min="1799" max="1799" width="10.5703125" style="595" customWidth="1"/>
    <col min="1800" max="1800" width="12.85546875" style="595" customWidth="1"/>
    <col min="1801" max="1801" width="10.85546875" style="595" customWidth="1"/>
    <col min="1802" max="2048" width="9.140625" style="595"/>
    <col min="2049" max="2049" width="11.140625" style="595" customWidth="1"/>
    <col min="2050" max="2050" width="24.140625" style="595" customWidth="1"/>
    <col min="2051" max="2051" width="24.7109375" style="595" customWidth="1"/>
    <col min="2052" max="2052" width="13.85546875" style="595" customWidth="1"/>
    <col min="2053" max="2053" width="15.28515625" style="595" customWidth="1"/>
    <col min="2054" max="2054" width="10.42578125" style="595" customWidth="1"/>
    <col min="2055" max="2055" width="10.5703125" style="595" customWidth="1"/>
    <col min="2056" max="2056" width="12.85546875" style="595" customWidth="1"/>
    <col min="2057" max="2057" width="10.85546875" style="595" customWidth="1"/>
    <col min="2058" max="2304" width="9.140625" style="595"/>
    <col min="2305" max="2305" width="11.140625" style="595" customWidth="1"/>
    <col min="2306" max="2306" width="24.140625" style="595" customWidth="1"/>
    <col min="2307" max="2307" width="24.7109375" style="595" customWidth="1"/>
    <col min="2308" max="2308" width="13.85546875" style="595" customWidth="1"/>
    <col min="2309" max="2309" width="15.28515625" style="595" customWidth="1"/>
    <col min="2310" max="2310" width="10.42578125" style="595" customWidth="1"/>
    <col min="2311" max="2311" width="10.5703125" style="595" customWidth="1"/>
    <col min="2312" max="2312" width="12.85546875" style="595" customWidth="1"/>
    <col min="2313" max="2313" width="10.85546875" style="595" customWidth="1"/>
    <col min="2314" max="2560" width="9.140625" style="595"/>
    <col min="2561" max="2561" width="11.140625" style="595" customWidth="1"/>
    <col min="2562" max="2562" width="24.140625" style="595" customWidth="1"/>
    <col min="2563" max="2563" width="24.7109375" style="595" customWidth="1"/>
    <col min="2564" max="2564" width="13.85546875" style="595" customWidth="1"/>
    <col min="2565" max="2565" width="15.28515625" style="595" customWidth="1"/>
    <col min="2566" max="2566" width="10.42578125" style="595" customWidth="1"/>
    <col min="2567" max="2567" width="10.5703125" style="595" customWidth="1"/>
    <col min="2568" max="2568" width="12.85546875" style="595" customWidth="1"/>
    <col min="2569" max="2569" width="10.85546875" style="595" customWidth="1"/>
    <col min="2570" max="2816" width="9.140625" style="595"/>
    <col min="2817" max="2817" width="11.140625" style="595" customWidth="1"/>
    <col min="2818" max="2818" width="24.140625" style="595" customWidth="1"/>
    <col min="2819" max="2819" width="24.7109375" style="595" customWidth="1"/>
    <col min="2820" max="2820" width="13.85546875" style="595" customWidth="1"/>
    <col min="2821" max="2821" width="15.28515625" style="595" customWidth="1"/>
    <col min="2822" max="2822" width="10.42578125" style="595" customWidth="1"/>
    <col min="2823" max="2823" width="10.5703125" style="595" customWidth="1"/>
    <col min="2824" max="2824" width="12.85546875" style="595" customWidth="1"/>
    <col min="2825" max="2825" width="10.85546875" style="595" customWidth="1"/>
    <col min="2826" max="3072" width="9.140625" style="595"/>
    <col min="3073" max="3073" width="11.140625" style="595" customWidth="1"/>
    <col min="3074" max="3074" width="24.140625" style="595" customWidth="1"/>
    <col min="3075" max="3075" width="24.7109375" style="595" customWidth="1"/>
    <col min="3076" max="3076" width="13.85546875" style="595" customWidth="1"/>
    <col min="3077" max="3077" width="15.28515625" style="595" customWidth="1"/>
    <col min="3078" max="3078" width="10.42578125" style="595" customWidth="1"/>
    <col min="3079" max="3079" width="10.5703125" style="595" customWidth="1"/>
    <col min="3080" max="3080" width="12.85546875" style="595" customWidth="1"/>
    <col min="3081" max="3081" width="10.85546875" style="595" customWidth="1"/>
    <col min="3082" max="3328" width="9.140625" style="595"/>
    <col min="3329" max="3329" width="11.140625" style="595" customWidth="1"/>
    <col min="3330" max="3330" width="24.140625" style="595" customWidth="1"/>
    <col min="3331" max="3331" width="24.7109375" style="595" customWidth="1"/>
    <col min="3332" max="3332" width="13.85546875" style="595" customWidth="1"/>
    <col min="3333" max="3333" width="15.28515625" style="595" customWidth="1"/>
    <col min="3334" max="3334" width="10.42578125" style="595" customWidth="1"/>
    <col min="3335" max="3335" width="10.5703125" style="595" customWidth="1"/>
    <col min="3336" max="3336" width="12.85546875" style="595" customWidth="1"/>
    <col min="3337" max="3337" width="10.85546875" style="595" customWidth="1"/>
    <col min="3338" max="3584" width="9.140625" style="595"/>
    <col min="3585" max="3585" width="11.140625" style="595" customWidth="1"/>
    <col min="3586" max="3586" width="24.140625" style="595" customWidth="1"/>
    <col min="3587" max="3587" width="24.7109375" style="595" customWidth="1"/>
    <col min="3588" max="3588" width="13.85546875" style="595" customWidth="1"/>
    <col min="3589" max="3589" width="15.28515625" style="595" customWidth="1"/>
    <col min="3590" max="3590" width="10.42578125" style="595" customWidth="1"/>
    <col min="3591" max="3591" width="10.5703125" style="595" customWidth="1"/>
    <col min="3592" max="3592" width="12.85546875" style="595" customWidth="1"/>
    <col min="3593" max="3593" width="10.85546875" style="595" customWidth="1"/>
    <col min="3594" max="3840" width="9.140625" style="595"/>
    <col min="3841" max="3841" width="11.140625" style="595" customWidth="1"/>
    <col min="3842" max="3842" width="24.140625" style="595" customWidth="1"/>
    <col min="3843" max="3843" width="24.7109375" style="595" customWidth="1"/>
    <col min="3844" max="3844" width="13.85546875" style="595" customWidth="1"/>
    <col min="3845" max="3845" width="15.28515625" style="595" customWidth="1"/>
    <col min="3846" max="3846" width="10.42578125" style="595" customWidth="1"/>
    <col min="3847" max="3847" width="10.5703125" style="595" customWidth="1"/>
    <col min="3848" max="3848" width="12.85546875" style="595" customWidth="1"/>
    <col min="3849" max="3849" width="10.85546875" style="595" customWidth="1"/>
    <col min="3850" max="4096" width="9.140625" style="595"/>
    <col min="4097" max="4097" width="11.140625" style="595" customWidth="1"/>
    <col min="4098" max="4098" width="24.140625" style="595" customWidth="1"/>
    <col min="4099" max="4099" width="24.7109375" style="595" customWidth="1"/>
    <col min="4100" max="4100" width="13.85546875" style="595" customWidth="1"/>
    <col min="4101" max="4101" width="15.28515625" style="595" customWidth="1"/>
    <col min="4102" max="4102" width="10.42578125" style="595" customWidth="1"/>
    <col min="4103" max="4103" width="10.5703125" style="595" customWidth="1"/>
    <col min="4104" max="4104" width="12.85546875" style="595" customWidth="1"/>
    <col min="4105" max="4105" width="10.85546875" style="595" customWidth="1"/>
    <col min="4106" max="4352" width="9.140625" style="595"/>
    <col min="4353" max="4353" width="11.140625" style="595" customWidth="1"/>
    <col min="4354" max="4354" width="24.140625" style="595" customWidth="1"/>
    <col min="4355" max="4355" width="24.7109375" style="595" customWidth="1"/>
    <col min="4356" max="4356" width="13.85546875" style="595" customWidth="1"/>
    <col min="4357" max="4357" width="15.28515625" style="595" customWidth="1"/>
    <col min="4358" max="4358" width="10.42578125" style="595" customWidth="1"/>
    <col min="4359" max="4359" width="10.5703125" style="595" customWidth="1"/>
    <col min="4360" max="4360" width="12.85546875" style="595" customWidth="1"/>
    <col min="4361" max="4361" width="10.85546875" style="595" customWidth="1"/>
    <col min="4362" max="4608" width="9.140625" style="595"/>
    <col min="4609" max="4609" width="11.140625" style="595" customWidth="1"/>
    <col min="4610" max="4610" width="24.140625" style="595" customWidth="1"/>
    <col min="4611" max="4611" width="24.7109375" style="595" customWidth="1"/>
    <col min="4612" max="4612" width="13.85546875" style="595" customWidth="1"/>
    <col min="4613" max="4613" width="15.28515625" style="595" customWidth="1"/>
    <col min="4614" max="4614" width="10.42578125" style="595" customWidth="1"/>
    <col min="4615" max="4615" width="10.5703125" style="595" customWidth="1"/>
    <col min="4616" max="4616" width="12.85546875" style="595" customWidth="1"/>
    <col min="4617" max="4617" width="10.85546875" style="595" customWidth="1"/>
    <col min="4618" max="4864" width="9.140625" style="595"/>
    <col min="4865" max="4865" width="11.140625" style="595" customWidth="1"/>
    <col min="4866" max="4866" width="24.140625" style="595" customWidth="1"/>
    <col min="4867" max="4867" width="24.7109375" style="595" customWidth="1"/>
    <col min="4868" max="4868" width="13.85546875" style="595" customWidth="1"/>
    <col min="4869" max="4869" width="15.28515625" style="595" customWidth="1"/>
    <col min="4870" max="4870" width="10.42578125" style="595" customWidth="1"/>
    <col min="4871" max="4871" width="10.5703125" style="595" customWidth="1"/>
    <col min="4872" max="4872" width="12.85546875" style="595" customWidth="1"/>
    <col min="4873" max="4873" width="10.85546875" style="595" customWidth="1"/>
    <col min="4874" max="5120" width="9.140625" style="595"/>
    <col min="5121" max="5121" width="11.140625" style="595" customWidth="1"/>
    <col min="5122" max="5122" width="24.140625" style="595" customWidth="1"/>
    <col min="5123" max="5123" width="24.7109375" style="595" customWidth="1"/>
    <col min="5124" max="5124" width="13.85546875" style="595" customWidth="1"/>
    <col min="5125" max="5125" width="15.28515625" style="595" customWidth="1"/>
    <col min="5126" max="5126" width="10.42578125" style="595" customWidth="1"/>
    <col min="5127" max="5127" width="10.5703125" style="595" customWidth="1"/>
    <col min="5128" max="5128" width="12.85546875" style="595" customWidth="1"/>
    <col min="5129" max="5129" width="10.85546875" style="595" customWidth="1"/>
    <col min="5130" max="5376" width="9.140625" style="595"/>
    <col min="5377" max="5377" width="11.140625" style="595" customWidth="1"/>
    <col min="5378" max="5378" width="24.140625" style="595" customWidth="1"/>
    <col min="5379" max="5379" width="24.7109375" style="595" customWidth="1"/>
    <col min="5380" max="5380" width="13.85546875" style="595" customWidth="1"/>
    <col min="5381" max="5381" width="15.28515625" style="595" customWidth="1"/>
    <col min="5382" max="5382" width="10.42578125" style="595" customWidth="1"/>
    <col min="5383" max="5383" width="10.5703125" style="595" customWidth="1"/>
    <col min="5384" max="5384" width="12.85546875" style="595" customWidth="1"/>
    <col min="5385" max="5385" width="10.85546875" style="595" customWidth="1"/>
    <col min="5386" max="5632" width="9.140625" style="595"/>
    <col min="5633" max="5633" width="11.140625" style="595" customWidth="1"/>
    <col min="5634" max="5634" width="24.140625" style="595" customWidth="1"/>
    <col min="5635" max="5635" width="24.7109375" style="595" customWidth="1"/>
    <col min="5636" max="5636" width="13.85546875" style="595" customWidth="1"/>
    <col min="5637" max="5637" width="15.28515625" style="595" customWidth="1"/>
    <col min="5638" max="5638" width="10.42578125" style="595" customWidth="1"/>
    <col min="5639" max="5639" width="10.5703125" style="595" customWidth="1"/>
    <col min="5640" max="5640" width="12.85546875" style="595" customWidth="1"/>
    <col min="5641" max="5641" width="10.85546875" style="595" customWidth="1"/>
    <col min="5642" max="5888" width="9.140625" style="595"/>
    <col min="5889" max="5889" width="11.140625" style="595" customWidth="1"/>
    <col min="5890" max="5890" width="24.140625" style="595" customWidth="1"/>
    <col min="5891" max="5891" width="24.7109375" style="595" customWidth="1"/>
    <col min="5892" max="5892" width="13.85546875" style="595" customWidth="1"/>
    <col min="5893" max="5893" width="15.28515625" style="595" customWidth="1"/>
    <col min="5894" max="5894" width="10.42578125" style="595" customWidth="1"/>
    <col min="5895" max="5895" width="10.5703125" style="595" customWidth="1"/>
    <col min="5896" max="5896" width="12.85546875" style="595" customWidth="1"/>
    <col min="5897" max="5897" width="10.85546875" style="595" customWidth="1"/>
    <col min="5898" max="6144" width="9.140625" style="595"/>
    <col min="6145" max="6145" width="11.140625" style="595" customWidth="1"/>
    <col min="6146" max="6146" width="24.140625" style="595" customWidth="1"/>
    <col min="6147" max="6147" width="24.7109375" style="595" customWidth="1"/>
    <col min="6148" max="6148" width="13.85546875" style="595" customWidth="1"/>
    <col min="6149" max="6149" width="15.28515625" style="595" customWidth="1"/>
    <col min="6150" max="6150" width="10.42578125" style="595" customWidth="1"/>
    <col min="6151" max="6151" width="10.5703125" style="595" customWidth="1"/>
    <col min="6152" max="6152" width="12.85546875" style="595" customWidth="1"/>
    <col min="6153" max="6153" width="10.85546875" style="595" customWidth="1"/>
    <col min="6154" max="6400" width="9.140625" style="595"/>
    <col min="6401" max="6401" width="11.140625" style="595" customWidth="1"/>
    <col min="6402" max="6402" width="24.140625" style="595" customWidth="1"/>
    <col min="6403" max="6403" width="24.7109375" style="595" customWidth="1"/>
    <col min="6404" max="6404" width="13.85546875" style="595" customWidth="1"/>
    <col min="6405" max="6405" width="15.28515625" style="595" customWidth="1"/>
    <col min="6406" max="6406" width="10.42578125" style="595" customWidth="1"/>
    <col min="6407" max="6407" width="10.5703125" style="595" customWidth="1"/>
    <col min="6408" max="6408" width="12.85546875" style="595" customWidth="1"/>
    <col min="6409" max="6409" width="10.85546875" style="595" customWidth="1"/>
    <col min="6410" max="6656" width="9.140625" style="595"/>
    <col min="6657" max="6657" width="11.140625" style="595" customWidth="1"/>
    <col min="6658" max="6658" width="24.140625" style="595" customWidth="1"/>
    <col min="6659" max="6659" width="24.7109375" style="595" customWidth="1"/>
    <col min="6660" max="6660" width="13.85546875" style="595" customWidth="1"/>
    <col min="6661" max="6661" width="15.28515625" style="595" customWidth="1"/>
    <col min="6662" max="6662" width="10.42578125" style="595" customWidth="1"/>
    <col min="6663" max="6663" width="10.5703125" style="595" customWidth="1"/>
    <col min="6664" max="6664" width="12.85546875" style="595" customWidth="1"/>
    <col min="6665" max="6665" width="10.85546875" style="595" customWidth="1"/>
    <col min="6666" max="6912" width="9.140625" style="595"/>
    <col min="6913" max="6913" width="11.140625" style="595" customWidth="1"/>
    <col min="6914" max="6914" width="24.140625" style="595" customWidth="1"/>
    <col min="6915" max="6915" width="24.7109375" style="595" customWidth="1"/>
    <col min="6916" max="6916" width="13.85546875" style="595" customWidth="1"/>
    <col min="6917" max="6917" width="15.28515625" style="595" customWidth="1"/>
    <col min="6918" max="6918" width="10.42578125" style="595" customWidth="1"/>
    <col min="6919" max="6919" width="10.5703125" style="595" customWidth="1"/>
    <col min="6920" max="6920" width="12.85546875" style="595" customWidth="1"/>
    <col min="6921" max="6921" width="10.85546875" style="595" customWidth="1"/>
    <col min="6922" max="7168" width="9.140625" style="595"/>
    <col min="7169" max="7169" width="11.140625" style="595" customWidth="1"/>
    <col min="7170" max="7170" width="24.140625" style="595" customWidth="1"/>
    <col min="7171" max="7171" width="24.7109375" style="595" customWidth="1"/>
    <col min="7172" max="7172" width="13.85546875" style="595" customWidth="1"/>
    <col min="7173" max="7173" width="15.28515625" style="595" customWidth="1"/>
    <col min="7174" max="7174" width="10.42578125" style="595" customWidth="1"/>
    <col min="7175" max="7175" width="10.5703125" style="595" customWidth="1"/>
    <col min="7176" max="7176" width="12.85546875" style="595" customWidth="1"/>
    <col min="7177" max="7177" width="10.85546875" style="595" customWidth="1"/>
    <col min="7178" max="7424" width="9.140625" style="595"/>
    <col min="7425" max="7425" width="11.140625" style="595" customWidth="1"/>
    <col min="7426" max="7426" width="24.140625" style="595" customWidth="1"/>
    <col min="7427" max="7427" width="24.7109375" style="595" customWidth="1"/>
    <col min="7428" max="7428" width="13.85546875" style="595" customWidth="1"/>
    <col min="7429" max="7429" width="15.28515625" style="595" customWidth="1"/>
    <col min="7430" max="7430" width="10.42578125" style="595" customWidth="1"/>
    <col min="7431" max="7431" width="10.5703125" style="595" customWidth="1"/>
    <col min="7432" max="7432" width="12.85546875" style="595" customWidth="1"/>
    <col min="7433" max="7433" width="10.85546875" style="595" customWidth="1"/>
    <col min="7434" max="7680" width="9.140625" style="595"/>
    <col min="7681" max="7681" width="11.140625" style="595" customWidth="1"/>
    <col min="7682" max="7682" width="24.140625" style="595" customWidth="1"/>
    <col min="7683" max="7683" width="24.7109375" style="595" customWidth="1"/>
    <col min="7684" max="7684" width="13.85546875" style="595" customWidth="1"/>
    <col min="7685" max="7685" width="15.28515625" style="595" customWidth="1"/>
    <col min="7686" max="7686" width="10.42578125" style="595" customWidth="1"/>
    <col min="7687" max="7687" width="10.5703125" style="595" customWidth="1"/>
    <col min="7688" max="7688" width="12.85546875" style="595" customWidth="1"/>
    <col min="7689" max="7689" width="10.85546875" style="595" customWidth="1"/>
    <col min="7690" max="7936" width="9.140625" style="595"/>
    <col min="7937" max="7937" width="11.140625" style="595" customWidth="1"/>
    <col min="7938" max="7938" width="24.140625" style="595" customWidth="1"/>
    <col min="7939" max="7939" width="24.7109375" style="595" customWidth="1"/>
    <col min="7940" max="7940" width="13.85546875" style="595" customWidth="1"/>
    <col min="7941" max="7941" width="15.28515625" style="595" customWidth="1"/>
    <col min="7942" max="7942" width="10.42578125" style="595" customWidth="1"/>
    <col min="7943" max="7943" width="10.5703125" style="595" customWidth="1"/>
    <col min="7944" max="7944" width="12.85546875" style="595" customWidth="1"/>
    <col min="7945" max="7945" width="10.85546875" style="595" customWidth="1"/>
    <col min="7946" max="8192" width="9.140625" style="595"/>
    <col min="8193" max="8193" width="11.140625" style="595" customWidth="1"/>
    <col min="8194" max="8194" width="24.140625" style="595" customWidth="1"/>
    <col min="8195" max="8195" width="24.7109375" style="595" customWidth="1"/>
    <col min="8196" max="8196" width="13.85546875" style="595" customWidth="1"/>
    <col min="8197" max="8197" width="15.28515625" style="595" customWidth="1"/>
    <col min="8198" max="8198" width="10.42578125" style="595" customWidth="1"/>
    <col min="8199" max="8199" width="10.5703125" style="595" customWidth="1"/>
    <col min="8200" max="8200" width="12.85546875" style="595" customWidth="1"/>
    <col min="8201" max="8201" width="10.85546875" style="595" customWidth="1"/>
    <col min="8202" max="8448" width="9.140625" style="595"/>
    <col min="8449" max="8449" width="11.140625" style="595" customWidth="1"/>
    <col min="8450" max="8450" width="24.140625" style="595" customWidth="1"/>
    <col min="8451" max="8451" width="24.7109375" style="595" customWidth="1"/>
    <col min="8452" max="8452" width="13.85546875" style="595" customWidth="1"/>
    <col min="8453" max="8453" width="15.28515625" style="595" customWidth="1"/>
    <col min="8454" max="8454" width="10.42578125" style="595" customWidth="1"/>
    <col min="8455" max="8455" width="10.5703125" style="595" customWidth="1"/>
    <col min="8456" max="8456" width="12.85546875" style="595" customWidth="1"/>
    <col min="8457" max="8457" width="10.85546875" style="595" customWidth="1"/>
    <col min="8458" max="8704" width="9.140625" style="595"/>
    <col min="8705" max="8705" width="11.140625" style="595" customWidth="1"/>
    <col min="8706" max="8706" width="24.140625" style="595" customWidth="1"/>
    <col min="8707" max="8707" width="24.7109375" style="595" customWidth="1"/>
    <col min="8708" max="8708" width="13.85546875" style="595" customWidth="1"/>
    <col min="8709" max="8709" width="15.28515625" style="595" customWidth="1"/>
    <col min="8710" max="8710" width="10.42578125" style="595" customWidth="1"/>
    <col min="8711" max="8711" width="10.5703125" style="595" customWidth="1"/>
    <col min="8712" max="8712" width="12.85546875" style="595" customWidth="1"/>
    <col min="8713" max="8713" width="10.85546875" style="595" customWidth="1"/>
    <col min="8714" max="8960" width="9.140625" style="595"/>
    <col min="8961" max="8961" width="11.140625" style="595" customWidth="1"/>
    <col min="8962" max="8962" width="24.140625" style="595" customWidth="1"/>
    <col min="8963" max="8963" width="24.7109375" style="595" customWidth="1"/>
    <col min="8964" max="8964" width="13.85546875" style="595" customWidth="1"/>
    <col min="8965" max="8965" width="15.28515625" style="595" customWidth="1"/>
    <col min="8966" max="8966" width="10.42578125" style="595" customWidth="1"/>
    <col min="8967" max="8967" width="10.5703125" style="595" customWidth="1"/>
    <col min="8968" max="8968" width="12.85546875" style="595" customWidth="1"/>
    <col min="8969" max="8969" width="10.85546875" style="595" customWidth="1"/>
    <col min="8970" max="9216" width="9.140625" style="595"/>
    <col min="9217" max="9217" width="11.140625" style="595" customWidth="1"/>
    <col min="9218" max="9218" width="24.140625" style="595" customWidth="1"/>
    <col min="9219" max="9219" width="24.7109375" style="595" customWidth="1"/>
    <col min="9220" max="9220" width="13.85546875" style="595" customWidth="1"/>
    <col min="9221" max="9221" width="15.28515625" style="595" customWidth="1"/>
    <col min="9222" max="9222" width="10.42578125" style="595" customWidth="1"/>
    <col min="9223" max="9223" width="10.5703125" style="595" customWidth="1"/>
    <col min="9224" max="9224" width="12.85546875" style="595" customWidth="1"/>
    <col min="9225" max="9225" width="10.85546875" style="595" customWidth="1"/>
    <col min="9226" max="9472" width="9.140625" style="595"/>
    <col min="9473" max="9473" width="11.140625" style="595" customWidth="1"/>
    <col min="9474" max="9474" width="24.140625" style="595" customWidth="1"/>
    <col min="9475" max="9475" width="24.7109375" style="595" customWidth="1"/>
    <col min="9476" max="9476" width="13.85546875" style="595" customWidth="1"/>
    <col min="9477" max="9477" width="15.28515625" style="595" customWidth="1"/>
    <col min="9478" max="9478" width="10.42578125" style="595" customWidth="1"/>
    <col min="9479" max="9479" width="10.5703125" style="595" customWidth="1"/>
    <col min="9480" max="9480" width="12.85546875" style="595" customWidth="1"/>
    <col min="9481" max="9481" width="10.85546875" style="595" customWidth="1"/>
    <col min="9482" max="9728" width="9.140625" style="595"/>
    <col min="9729" max="9729" width="11.140625" style="595" customWidth="1"/>
    <col min="9730" max="9730" width="24.140625" style="595" customWidth="1"/>
    <col min="9731" max="9731" width="24.7109375" style="595" customWidth="1"/>
    <col min="9732" max="9732" width="13.85546875" style="595" customWidth="1"/>
    <col min="9733" max="9733" width="15.28515625" style="595" customWidth="1"/>
    <col min="9734" max="9734" width="10.42578125" style="595" customWidth="1"/>
    <col min="9735" max="9735" width="10.5703125" style="595" customWidth="1"/>
    <col min="9736" max="9736" width="12.85546875" style="595" customWidth="1"/>
    <col min="9737" max="9737" width="10.85546875" style="595" customWidth="1"/>
    <col min="9738" max="9984" width="9.140625" style="595"/>
    <col min="9985" max="9985" width="11.140625" style="595" customWidth="1"/>
    <col min="9986" max="9986" width="24.140625" style="595" customWidth="1"/>
    <col min="9987" max="9987" width="24.7109375" style="595" customWidth="1"/>
    <col min="9988" max="9988" width="13.85546875" style="595" customWidth="1"/>
    <col min="9989" max="9989" width="15.28515625" style="595" customWidth="1"/>
    <col min="9990" max="9990" width="10.42578125" style="595" customWidth="1"/>
    <col min="9991" max="9991" width="10.5703125" style="595" customWidth="1"/>
    <col min="9992" max="9992" width="12.85546875" style="595" customWidth="1"/>
    <col min="9993" max="9993" width="10.85546875" style="595" customWidth="1"/>
    <col min="9994" max="10240" width="9.140625" style="595"/>
    <col min="10241" max="10241" width="11.140625" style="595" customWidth="1"/>
    <col min="10242" max="10242" width="24.140625" style="595" customWidth="1"/>
    <col min="10243" max="10243" width="24.7109375" style="595" customWidth="1"/>
    <col min="10244" max="10244" width="13.85546875" style="595" customWidth="1"/>
    <col min="10245" max="10245" width="15.28515625" style="595" customWidth="1"/>
    <col min="10246" max="10246" width="10.42578125" style="595" customWidth="1"/>
    <col min="10247" max="10247" width="10.5703125" style="595" customWidth="1"/>
    <col min="10248" max="10248" width="12.85546875" style="595" customWidth="1"/>
    <col min="10249" max="10249" width="10.85546875" style="595" customWidth="1"/>
    <col min="10250" max="10496" width="9.140625" style="595"/>
    <col min="10497" max="10497" width="11.140625" style="595" customWidth="1"/>
    <col min="10498" max="10498" width="24.140625" style="595" customWidth="1"/>
    <col min="10499" max="10499" width="24.7109375" style="595" customWidth="1"/>
    <col min="10500" max="10500" width="13.85546875" style="595" customWidth="1"/>
    <col min="10501" max="10501" width="15.28515625" style="595" customWidth="1"/>
    <col min="10502" max="10502" width="10.42578125" style="595" customWidth="1"/>
    <col min="10503" max="10503" width="10.5703125" style="595" customWidth="1"/>
    <col min="10504" max="10504" width="12.85546875" style="595" customWidth="1"/>
    <col min="10505" max="10505" width="10.85546875" style="595" customWidth="1"/>
    <col min="10506" max="10752" width="9.140625" style="595"/>
    <col min="10753" max="10753" width="11.140625" style="595" customWidth="1"/>
    <col min="10754" max="10754" width="24.140625" style="595" customWidth="1"/>
    <col min="10755" max="10755" width="24.7109375" style="595" customWidth="1"/>
    <col min="10756" max="10756" width="13.85546875" style="595" customWidth="1"/>
    <col min="10757" max="10757" width="15.28515625" style="595" customWidth="1"/>
    <col min="10758" max="10758" width="10.42578125" style="595" customWidth="1"/>
    <col min="10759" max="10759" width="10.5703125" style="595" customWidth="1"/>
    <col min="10760" max="10760" width="12.85546875" style="595" customWidth="1"/>
    <col min="10761" max="10761" width="10.85546875" style="595" customWidth="1"/>
    <col min="10762" max="11008" width="9.140625" style="595"/>
    <col min="11009" max="11009" width="11.140625" style="595" customWidth="1"/>
    <col min="11010" max="11010" width="24.140625" style="595" customWidth="1"/>
    <col min="11011" max="11011" width="24.7109375" style="595" customWidth="1"/>
    <col min="11012" max="11012" width="13.85546875" style="595" customWidth="1"/>
    <col min="11013" max="11013" width="15.28515625" style="595" customWidth="1"/>
    <col min="11014" max="11014" width="10.42578125" style="595" customWidth="1"/>
    <col min="11015" max="11015" width="10.5703125" style="595" customWidth="1"/>
    <col min="11016" max="11016" width="12.85546875" style="595" customWidth="1"/>
    <col min="11017" max="11017" width="10.85546875" style="595" customWidth="1"/>
    <col min="11018" max="11264" width="9.140625" style="595"/>
    <col min="11265" max="11265" width="11.140625" style="595" customWidth="1"/>
    <col min="11266" max="11266" width="24.140625" style="595" customWidth="1"/>
    <col min="11267" max="11267" width="24.7109375" style="595" customWidth="1"/>
    <col min="11268" max="11268" width="13.85546875" style="595" customWidth="1"/>
    <col min="11269" max="11269" width="15.28515625" style="595" customWidth="1"/>
    <col min="11270" max="11270" width="10.42578125" style="595" customWidth="1"/>
    <col min="11271" max="11271" width="10.5703125" style="595" customWidth="1"/>
    <col min="11272" max="11272" width="12.85546875" style="595" customWidth="1"/>
    <col min="11273" max="11273" width="10.85546875" style="595" customWidth="1"/>
    <col min="11274" max="11520" width="9.140625" style="595"/>
    <col min="11521" max="11521" width="11.140625" style="595" customWidth="1"/>
    <col min="11522" max="11522" width="24.140625" style="595" customWidth="1"/>
    <col min="11523" max="11523" width="24.7109375" style="595" customWidth="1"/>
    <col min="11524" max="11524" width="13.85546875" style="595" customWidth="1"/>
    <col min="11525" max="11525" width="15.28515625" style="595" customWidth="1"/>
    <col min="11526" max="11526" width="10.42578125" style="595" customWidth="1"/>
    <col min="11527" max="11527" width="10.5703125" style="595" customWidth="1"/>
    <col min="11528" max="11528" width="12.85546875" style="595" customWidth="1"/>
    <col min="11529" max="11529" width="10.85546875" style="595" customWidth="1"/>
    <col min="11530" max="11776" width="9.140625" style="595"/>
    <col min="11777" max="11777" width="11.140625" style="595" customWidth="1"/>
    <col min="11778" max="11778" width="24.140625" style="595" customWidth="1"/>
    <col min="11779" max="11779" width="24.7109375" style="595" customWidth="1"/>
    <col min="11780" max="11780" width="13.85546875" style="595" customWidth="1"/>
    <col min="11781" max="11781" width="15.28515625" style="595" customWidth="1"/>
    <col min="11782" max="11782" width="10.42578125" style="595" customWidth="1"/>
    <col min="11783" max="11783" width="10.5703125" style="595" customWidth="1"/>
    <col min="11784" max="11784" width="12.85546875" style="595" customWidth="1"/>
    <col min="11785" max="11785" width="10.85546875" style="595" customWidth="1"/>
    <col min="11786" max="12032" width="9.140625" style="595"/>
    <col min="12033" max="12033" width="11.140625" style="595" customWidth="1"/>
    <col min="12034" max="12034" width="24.140625" style="595" customWidth="1"/>
    <col min="12035" max="12035" width="24.7109375" style="595" customWidth="1"/>
    <col min="12036" max="12036" width="13.85546875" style="595" customWidth="1"/>
    <col min="12037" max="12037" width="15.28515625" style="595" customWidth="1"/>
    <col min="12038" max="12038" width="10.42578125" style="595" customWidth="1"/>
    <col min="12039" max="12039" width="10.5703125" style="595" customWidth="1"/>
    <col min="12040" max="12040" width="12.85546875" style="595" customWidth="1"/>
    <col min="12041" max="12041" width="10.85546875" style="595" customWidth="1"/>
    <col min="12042" max="12288" width="9.140625" style="595"/>
    <col min="12289" max="12289" width="11.140625" style="595" customWidth="1"/>
    <col min="12290" max="12290" width="24.140625" style="595" customWidth="1"/>
    <col min="12291" max="12291" width="24.7109375" style="595" customWidth="1"/>
    <col min="12292" max="12292" width="13.85546875" style="595" customWidth="1"/>
    <col min="12293" max="12293" width="15.28515625" style="595" customWidth="1"/>
    <col min="12294" max="12294" width="10.42578125" style="595" customWidth="1"/>
    <col min="12295" max="12295" width="10.5703125" style="595" customWidth="1"/>
    <col min="12296" max="12296" width="12.85546875" style="595" customWidth="1"/>
    <col min="12297" max="12297" width="10.85546875" style="595" customWidth="1"/>
    <col min="12298" max="12544" width="9.140625" style="595"/>
    <col min="12545" max="12545" width="11.140625" style="595" customWidth="1"/>
    <col min="12546" max="12546" width="24.140625" style="595" customWidth="1"/>
    <col min="12547" max="12547" width="24.7109375" style="595" customWidth="1"/>
    <col min="12548" max="12548" width="13.85546875" style="595" customWidth="1"/>
    <col min="12549" max="12549" width="15.28515625" style="595" customWidth="1"/>
    <col min="12550" max="12550" width="10.42578125" style="595" customWidth="1"/>
    <col min="12551" max="12551" width="10.5703125" style="595" customWidth="1"/>
    <col min="12552" max="12552" width="12.85546875" style="595" customWidth="1"/>
    <col min="12553" max="12553" width="10.85546875" style="595" customWidth="1"/>
    <col min="12554" max="12800" width="9.140625" style="595"/>
    <col min="12801" max="12801" width="11.140625" style="595" customWidth="1"/>
    <col min="12802" max="12802" width="24.140625" style="595" customWidth="1"/>
    <col min="12803" max="12803" width="24.7109375" style="595" customWidth="1"/>
    <col min="12804" max="12804" width="13.85546875" style="595" customWidth="1"/>
    <col min="12805" max="12805" width="15.28515625" style="595" customWidth="1"/>
    <col min="12806" max="12806" width="10.42578125" style="595" customWidth="1"/>
    <col min="12807" max="12807" width="10.5703125" style="595" customWidth="1"/>
    <col min="12808" max="12808" width="12.85546875" style="595" customWidth="1"/>
    <col min="12809" max="12809" width="10.85546875" style="595" customWidth="1"/>
    <col min="12810" max="13056" width="9.140625" style="595"/>
    <col min="13057" max="13057" width="11.140625" style="595" customWidth="1"/>
    <col min="13058" max="13058" width="24.140625" style="595" customWidth="1"/>
    <col min="13059" max="13059" width="24.7109375" style="595" customWidth="1"/>
    <col min="13060" max="13060" width="13.85546875" style="595" customWidth="1"/>
    <col min="13061" max="13061" width="15.28515625" style="595" customWidth="1"/>
    <col min="13062" max="13062" width="10.42578125" style="595" customWidth="1"/>
    <col min="13063" max="13063" width="10.5703125" style="595" customWidth="1"/>
    <col min="13064" max="13064" width="12.85546875" style="595" customWidth="1"/>
    <col min="13065" max="13065" width="10.85546875" style="595" customWidth="1"/>
    <col min="13066" max="13312" width="9.140625" style="595"/>
    <col min="13313" max="13313" width="11.140625" style="595" customWidth="1"/>
    <col min="13314" max="13314" width="24.140625" style="595" customWidth="1"/>
    <col min="13315" max="13315" width="24.7109375" style="595" customWidth="1"/>
    <col min="13316" max="13316" width="13.85546875" style="595" customWidth="1"/>
    <col min="13317" max="13317" width="15.28515625" style="595" customWidth="1"/>
    <col min="13318" max="13318" width="10.42578125" style="595" customWidth="1"/>
    <col min="13319" max="13319" width="10.5703125" style="595" customWidth="1"/>
    <col min="13320" max="13320" width="12.85546875" style="595" customWidth="1"/>
    <col min="13321" max="13321" width="10.85546875" style="595" customWidth="1"/>
    <col min="13322" max="13568" width="9.140625" style="595"/>
    <col min="13569" max="13569" width="11.140625" style="595" customWidth="1"/>
    <col min="13570" max="13570" width="24.140625" style="595" customWidth="1"/>
    <col min="13571" max="13571" width="24.7109375" style="595" customWidth="1"/>
    <col min="13572" max="13572" width="13.85546875" style="595" customWidth="1"/>
    <col min="13573" max="13573" width="15.28515625" style="595" customWidth="1"/>
    <col min="13574" max="13574" width="10.42578125" style="595" customWidth="1"/>
    <col min="13575" max="13575" width="10.5703125" style="595" customWidth="1"/>
    <col min="13576" max="13576" width="12.85546875" style="595" customWidth="1"/>
    <col min="13577" max="13577" width="10.85546875" style="595" customWidth="1"/>
    <col min="13578" max="13824" width="9.140625" style="595"/>
    <col min="13825" max="13825" width="11.140625" style="595" customWidth="1"/>
    <col min="13826" max="13826" width="24.140625" style="595" customWidth="1"/>
    <col min="13827" max="13827" width="24.7109375" style="595" customWidth="1"/>
    <col min="13828" max="13828" width="13.85546875" style="595" customWidth="1"/>
    <col min="13829" max="13829" width="15.28515625" style="595" customWidth="1"/>
    <col min="13830" max="13830" width="10.42578125" style="595" customWidth="1"/>
    <col min="13831" max="13831" width="10.5703125" style="595" customWidth="1"/>
    <col min="13832" max="13832" width="12.85546875" style="595" customWidth="1"/>
    <col min="13833" max="13833" width="10.85546875" style="595" customWidth="1"/>
    <col min="13834" max="14080" width="9.140625" style="595"/>
    <col min="14081" max="14081" width="11.140625" style="595" customWidth="1"/>
    <col min="14082" max="14082" width="24.140625" style="595" customWidth="1"/>
    <col min="14083" max="14083" width="24.7109375" style="595" customWidth="1"/>
    <col min="14084" max="14084" width="13.85546875" style="595" customWidth="1"/>
    <col min="14085" max="14085" width="15.28515625" style="595" customWidth="1"/>
    <col min="14086" max="14086" width="10.42578125" style="595" customWidth="1"/>
    <col min="14087" max="14087" width="10.5703125" style="595" customWidth="1"/>
    <col min="14088" max="14088" width="12.85546875" style="595" customWidth="1"/>
    <col min="14089" max="14089" width="10.85546875" style="595" customWidth="1"/>
    <col min="14090" max="14336" width="9.140625" style="595"/>
    <col min="14337" max="14337" width="11.140625" style="595" customWidth="1"/>
    <col min="14338" max="14338" width="24.140625" style="595" customWidth="1"/>
    <col min="14339" max="14339" width="24.7109375" style="595" customWidth="1"/>
    <col min="14340" max="14340" width="13.85546875" style="595" customWidth="1"/>
    <col min="14341" max="14341" width="15.28515625" style="595" customWidth="1"/>
    <col min="14342" max="14342" width="10.42578125" style="595" customWidth="1"/>
    <col min="14343" max="14343" width="10.5703125" style="595" customWidth="1"/>
    <col min="14344" max="14344" width="12.85546875" style="595" customWidth="1"/>
    <col min="14345" max="14345" width="10.85546875" style="595" customWidth="1"/>
    <col min="14346" max="14592" width="9.140625" style="595"/>
    <col min="14593" max="14593" width="11.140625" style="595" customWidth="1"/>
    <col min="14594" max="14594" width="24.140625" style="595" customWidth="1"/>
    <col min="14595" max="14595" width="24.7109375" style="595" customWidth="1"/>
    <col min="14596" max="14596" width="13.85546875" style="595" customWidth="1"/>
    <col min="14597" max="14597" width="15.28515625" style="595" customWidth="1"/>
    <col min="14598" max="14598" width="10.42578125" style="595" customWidth="1"/>
    <col min="14599" max="14599" width="10.5703125" style="595" customWidth="1"/>
    <col min="14600" max="14600" width="12.85546875" style="595" customWidth="1"/>
    <col min="14601" max="14601" width="10.85546875" style="595" customWidth="1"/>
    <col min="14602" max="14848" width="9.140625" style="595"/>
    <col min="14849" max="14849" width="11.140625" style="595" customWidth="1"/>
    <col min="14850" max="14850" width="24.140625" style="595" customWidth="1"/>
    <col min="14851" max="14851" width="24.7109375" style="595" customWidth="1"/>
    <col min="14852" max="14852" width="13.85546875" style="595" customWidth="1"/>
    <col min="14853" max="14853" width="15.28515625" style="595" customWidth="1"/>
    <col min="14854" max="14854" width="10.42578125" style="595" customWidth="1"/>
    <col min="14855" max="14855" width="10.5703125" style="595" customWidth="1"/>
    <col min="14856" max="14856" width="12.85546875" style="595" customWidth="1"/>
    <col min="14857" max="14857" width="10.85546875" style="595" customWidth="1"/>
    <col min="14858" max="15104" width="9.140625" style="595"/>
    <col min="15105" max="15105" width="11.140625" style="595" customWidth="1"/>
    <col min="15106" max="15106" width="24.140625" style="595" customWidth="1"/>
    <col min="15107" max="15107" width="24.7109375" style="595" customWidth="1"/>
    <col min="15108" max="15108" width="13.85546875" style="595" customWidth="1"/>
    <col min="15109" max="15109" width="15.28515625" style="595" customWidth="1"/>
    <col min="15110" max="15110" width="10.42578125" style="595" customWidth="1"/>
    <col min="15111" max="15111" width="10.5703125" style="595" customWidth="1"/>
    <col min="15112" max="15112" width="12.85546875" style="595" customWidth="1"/>
    <col min="15113" max="15113" width="10.85546875" style="595" customWidth="1"/>
    <col min="15114" max="15360" width="9.140625" style="595"/>
    <col min="15361" max="15361" width="11.140625" style="595" customWidth="1"/>
    <col min="15362" max="15362" width="24.140625" style="595" customWidth="1"/>
    <col min="15363" max="15363" width="24.7109375" style="595" customWidth="1"/>
    <col min="15364" max="15364" width="13.85546875" style="595" customWidth="1"/>
    <col min="15365" max="15365" width="15.28515625" style="595" customWidth="1"/>
    <col min="15366" max="15366" width="10.42578125" style="595" customWidth="1"/>
    <col min="15367" max="15367" width="10.5703125" style="595" customWidth="1"/>
    <col min="15368" max="15368" width="12.85546875" style="595" customWidth="1"/>
    <col min="15369" max="15369" width="10.85546875" style="595" customWidth="1"/>
    <col min="15370" max="15616" width="9.140625" style="595"/>
    <col min="15617" max="15617" width="11.140625" style="595" customWidth="1"/>
    <col min="15618" max="15618" width="24.140625" style="595" customWidth="1"/>
    <col min="15619" max="15619" width="24.7109375" style="595" customWidth="1"/>
    <col min="15620" max="15620" width="13.85546875" style="595" customWidth="1"/>
    <col min="15621" max="15621" width="15.28515625" style="595" customWidth="1"/>
    <col min="15622" max="15622" width="10.42578125" style="595" customWidth="1"/>
    <col min="15623" max="15623" width="10.5703125" style="595" customWidth="1"/>
    <col min="15624" max="15624" width="12.85546875" style="595" customWidth="1"/>
    <col min="15625" max="15625" width="10.85546875" style="595" customWidth="1"/>
    <col min="15626" max="15872" width="9.140625" style="595"/>
    <col min="15873" max="15873" width="11.140625" style="595" customWidth="1"/>
    <col min="15874" max="15874" width="24.140625" style="595" customWidth="1"/>
    <col min="15875" max="15875" width="24.7109375" style="595" customWidth="1"/>
    <col min="15876" max="15876" width="13.85546875" style="595" customWidth="1"/>
    <col min="15877" max="15877" width="15.28515625" style="595" customWidth="1"/>
    <col min="15878" max="15878" width="10.42578125" style="595" customWidth="1"/>
    <col min="15879" max="15879" width="10.5703125" style="595" customWidth="1"/>
    <col min="15880" max="15880" width="12.85546875" style="595" customWidth="1"/>
    <col min="15881" max="15881" width="10.85546875" style="595" customWidth="1"/>
    <col min="15882" max="16128" width="9.140625" style="595"/>
    <col min="16129" max="16129" width="11.140625" style="595" customWidth="1"/>
    <col min="16130" max="16130" width="24.140625" style="595" customWidth="1"/>
    <col min="16131" max="16131" width="24.7109375" style="595" customWidth="1"/>
    <col min="16132" max="16132" width="13.85546875" style="595" customWidth="1"/>
    <col min="16133" max="16133" width="15.28515625" style="595" customWidth="1"/>
    <col min="16134" max="16134" width="10.42578125" style="595" customWidth="1"/>
    <col min="16135" max="16135" width="10.5703125" style="595" customWidth="1"/>
    <col min="16136" max="16136" width="12.85546875" style="595" customWidth="1"/>
    <col min="16137" max="16137" width="10.85546875" style="595" customWidth="1"/>
    <col min="16138" max="16384" width="9.140625" style="595"/>
  </cols>
  <sheetData>
    <row r="1" spans="1:83" ht="16.5" customHeight="1">
      <c r="A1" s="1139" t="s">
        <v>1471</v>
      </c>
      <c r="B1" s="1139"/>
      <c r="C1" s="1139"/>
      <c r="D1" s="1139"/>
      <c r="E1" s="1139"/>
      <c r="F1" s="1139"/>
      <c r="G1" s="1140"/>
      <c r="H1" s="1141" t="s">
        <v>1492</v>
      </c>
      <c r="I1" s="1142"/>
    </row>
    <row r="2" spans="1:83" ht="16.5" customHeight="1">
      <c r="A2" s="1139"/>
      <c r="B2" s="1139"/>
      <c r="C2" s="1139"/>
      <c r="D2" s="1139"/>
      <c r="E2" s="1139"/>
      <c r="F2" s="1139"/>
      <c r="G2" s="1140"/>
      <c r="H2" s="1143"/>
      <c r="I2" s="1144"/>
    </row>
    <row r="3" spans="1:83" ht="16.5" customHeight="1">
      <c r="A3" s="1139"/>
      <c r="B3" s="1139"/>
      <c r="C3" s="1139"/>
      <c r="D3" s="1139"/>
      <c r="E3" s="1139"/>
      <c r="F3" s="1139"/>
      <c r="G3" s="1140"/>
      <c r="H3" s="1143"/>
      <c r="I3" s="1144"/>
    </row>
    <row r="4" spans="1:83" s="779" customFormat="1" ht="16.5" customHeight="1">
      <c r="A4" s="1147" t="s">
        <v>1495</v>
      </c>
      <c r="B4" s="1147"/>
      <c r="C4" s="1147"/>
      <c r="D4" s="1147"/>
      <c r="E4" s="1147"/>
      <c r="F4" s="1147"/>
      <c r="G4" s="1148"/>
      <c r="H4" s="1145"/>
      <c r="I4" s="1146"/>
      <c r="K4" s="778"/>
      <c r="L4" s="778"/>
      <c r="M4" s="778"/>
      <c r="N4" s="778"/>
      <c r="O4" s="778"/>
      <c r="P4" s="778"/>
      <c r="Q4" s="778"/>
      <c r="R4" s="778"/>
      <c r="S4" s="778"/>
      <c r="T4" s="778"/>
      <c r="U4" s="778"/>
      <c r="V4" s="778"/>
      <c r="W4" s="778"/>
      <c r="X4" s="778"/>
      <c r="Y4" s="778"/>
      <c r="Z4" s="778"/>
      <c r="AA4" s="778"/>
      <c r="AB4" s="778"/>
      <c r="AC4" s="778"/>
      <c r="AD4" s="778"/>
      <c r="AE4" s="778"/>
      <c r="AF4" s="778"/>
      <c r="AG4" s="778"/>
      <c r="AH4" s="778"/>
      <c r="AI4" s="778"/>
      <c r="AJ4" s="778"/>
      <c r="AK4" s="778"/>
      <c r="AL4" s="778"/>
      <c r="AM4" s="778"/>
      <c r="AN4" s="778"/>
      <c r="AO4" s="778"/>
      <c r="AP4" s="778"/>
      <c r="AQ4" s="778"/>
      <c r="AR4" s="778"/>
      <c r="AS4" s="778"/>
      <c r="AT4" s="778"/>
      <c r="AU4" s="778"/>
      <c r="AV4" s="778"/>
      <c r="AW4" s="778"/>
      <c r="AX4" s="778"/>
      <c r="AY4" s="778"/>
      <c r="AZ4" s="778"/>
      <c r="BA4" s="778"/>
      <c r="BB4" s="778"/>
      <c r="BC4" s="778"/>
      <c r="BD4" s="778"/>
      <c r="BE4" s="778"/>
      <c r="BF4" s="778"/>
      <c r="BG4" s="778"/>
      <c r="BH4" s="778"/>
      <c r="BI4" s="778"/>
      <c r="BJ4" s="778"/>
      <c r="BK4" s="778"/>
      <c r="BL4" s="778"/>
      <c r="BM4" s="778"/>
      <c r="BN4" s="778"/>
      <c r="BO4" s="778"/>
      <c r="BP4" s="778"/>
      <c r="BQ4" s="778"/>
      <c r="BR4" s="778"/>
      <c r="BS4" s="778"/>
      <c r="BT4" s="778"/>
      <c r="BU4" s="778"/>
      <c r="BV4" s="778"/>
      <c r="BW4" s="778"/>
      <c r="BX4" s="778"/>
      <c r="BY4" s="778"/>
      <c r="BZ4" s="778"/>
      <c r="CA4" s="778"/>
      <c r="CB4" s="778"/>
      <c r="CC4" s="778"/>
      <c r="CD4" s="778"/>
      <c r="CE4" s="778"/>
    </row>
    <row r="5" spans="1:83" s="779" customFormat="1" ht="15" customHeight="1">
      <c r="A5" s="927"/>
      <c r="F5" s="928"/>
      <c r="G5" s="928"/>
      <c r="K5" s="778"/>
      <c r="L5" s="778"/>
      <c r="M5" s="778"/>
      <c r="N5" s="778"/>
      <c r="O5" s="778"/>
      <c r="P5" s="778"/>
      <c r="Q5" s="778"/>
      <c r="R5" s="778"/>
      <c r="S5" s="778"/>
      <c r="T5" s="778"/>
      <c r="U5" s="778"/>
      <c r="V5" s="778"/>
      <c r="W5" s="778"/>
      <c r="X5" s="778"/>
      <c r="Y5" s="778"/>
      <c r="Z5" s="778"/>
      <c r="AA5" s="778"/>
      <c r="AB5" s="778"/>
      <c r="AC5" s="778"/>
      <c r="AD5" s="778"/>
      <c r="AE5" s="778"/>
      <c r="AF5" s="778"/>
      <c r="AG5" s="778"/>
      <c r="AH5" s="778"/>
      <c r="AI5" s="778"/>
      <c r="AJ5" s="778"/>
      <c r="AK5" s="778"/>
      <c r="AL5" s="778"/>
      <c r="AM5" s="778"/>
      <c r="AN5" s="778"/>
      <c r="AO5" s="778"/>
      <c r="AP5" s="778"/>
      <c r="AQ5" s="778"/>
      <c r="AR5" s="778"/>
      <c r="AS5" s="778"/>
      <c r="AT5" s="778"/>
      <c r="AU5" s="778"/>
      <c r="AV5" s="778"/>
      <c r="AW5" s="778"/>
      <c r="AX5" s="778"/>
      <c r="AY5" s="778"/>
      <c r="AZ5" s="778"/>
      <c r="BA5" s="778"/>
      <c r="BB5" s="778"/>
      <c r="BC5" s="778"/>
      <c r="BD5" s="778"/>
      <c r="BE5" s="778"/>
      <c r="BF5" s="778"/>
      <c r="BG5" s="778"/>
      <c r="BH5" s="778"/>
      <c r="BI5" s="778"/>
      <c r="BJ5" s="778"/>
      <c r="BK5" s="778"/>
      <c r="BL5" s="778"/>
      <c r="BM5" s="778"/>
      <c r="BN5" s="778"/>
      <c r="BO5" s="778"/>
      <c r="BP5" s="778"/>
      <c r="BQ5" s="778"/>
      <c r="BR5" s="778"/>
      <c r="BS5" s="778"/>
      <c r="BT5" s="778"/>
      <c r="BU5" s="778"/>
      <c r="BV5" s="778"/>
      <c r="BW5" s="778"/>
      <c r="BX5" s="778"/>
      <c r="BY5" s="778"/>
      <c r="BZ5" s="778"/>
      <c r="CA5" s="778"/>
      <c r="CB5" s="778"/>
      <c r="CC5" s="778"/>
      <c r="CD5" s="778"/>
      <c r="CE5" s="778"/>
    </row>
    <row r="6" spans="1:83" s="779" customFormat="1" ht="21.75" customHeight="1">
      <c r="A6" s="927" t="s">
        <v>1496</v>
      </c>
      <c r="E6" s="779" t="s">
        <v>1497</v>
      </c>
      <c r="F6" s="928"/>
      <c r="G6" s="928"/>
      <c r="K6" s="778"/>
      <c r="L6" s="778"/>
      <c r="M6" s="778"/>
      <c r="N6" s="778"/>
      <c r="O6" s="778"/>
      <c r="P6" s="778"/>
      <c r="Q6" s="778"/>
      <c r="R6" s="778"/>
      <c r="S6" s="778"/>
      <c r="T6" s="778"/>
      <c r="U6" s="778"/>
      <c r="V6" s="778"/>
      <c r="W6" s="778"/>
      <c r="X6" s="778"/>
      <c r="Y6" s="778"/>
      <c r="Z6" s="778"/>
      <c r="AA6" s="778"/>
      <c r="AB6" s="778"/>
      <c r="AC6" s="778"/>
      <c r="AD6" s="778"/>
      <c r="AE6" s="778"/>
      <c r="AF6" s="778"/>
      <c r="AG6" s="778"/>
      <c r="AH6" s="778"/>
      <c r="AI6" s="778"/>
      <c r="AJ6" s="778"/>
      <c r="AK6" s="778"/>
      <c r="AL6" s="778"/>
      <c r="AM6" s="778"/>
      <c r="AN6" s="778"/>
      <c r="AO6" s="778"/>
      <c r="AP6" s="778"/>
      <c r="AQ6" s="778"/>
      <c r="AR6" s="778"/>
      <c r="AS6" s="778"/>
      <c r="AT6" s="778"/>
      <c r="AU6" s="778"/>
      <c r="AV6" s="778"/>
      <c r="AW6" s="778"/>
      <c r="AX6" s="778"/>
      <c r="AY6" s="778"/>
      <c r="AZ6" s="778"/>
      <c r="BA6" s="778"/>
      <c r="BB6" s="778"/>
      <c r="BC6" s="778"/>
      <c r="BD6" s="778"/>
      <c r="BE6" s="778"/>
      <c r="BF6" s="778"/>
      <c r="BG6" s="778"/>
      <c r="BH6" s="778"/>
      <c r="BI6" s="778"/>
      <c r="BJ6" s="778"/>
      <c r="BK6" s="778"/>
      <c r="BL6" s="778"/>
      <c r="BM6" s="778"/>
      <c r="BN6" s="778"/>
      <c r="BO6" s="778"/>
      <c r="BP6" s="778"/>
      <c r="BQ6" s="778"/>
      <c r="BR6" s="778"/>
      <c r="BS6" s="778"/>
      <c r="BT6" s="778"/>
      <c r="BU6" s="778"/>
      <c r="BV6" s="778"/>
      <c r="BW6" s="778"/>
      <c r="BX6" s="778"/>
      <c r="BY6" s="778"/>
      <c r="BZ6" s="778"/>
      <c r="CA6" s="778"/>
      <c r="CB6" s="778"/>
      <c r="CC6" s="778"/>
      <c r="CD6" s="778"/>
      <c r="CE6" s="778"/>
    </row>
    <row r="7" spans="1:83" s="779" customFormat="1" ht="21.75" customHeight="1">
      <c r="A7" s="927" t="s">
        <v>406</v>
      </c>
      <c r="F7" s="928"/>
      <c r="G7" s="928"/>
      <c r="K7" s="778"/>
      <c r="L7" s="778"/>
      <c r="M7" s="778"/>
      <c r="N7" s="778"/>
      <c r="O7" s="778"/>
      <c r="P7" s="778"/>
      <c r="Q7" s="778"/>
      <c r="R7" s="778"/>
      <c r="S7" s="778"/>
      <c r="T7" s="778"/>
      <c r="U7" s="778"/>
      <c r="V7" s="778"/>
      <c r="W7" s="778"/>
      <c r="X7" s="778"/>
      <c r="Y7" s="778"/>
      <c r="Z7" s="778"/>
      <c r="AA7" s="778"/>
      <c r="AB7" s="778"/>
      <c r="AC7" s="778"/>
      <c r="AD7" s="778"/>
      <c r="AE7" s="778"/>
      <c r="AF7" s="778"/>
      <c r="AG7" s="778"/>
      <c r="AH7" s="778"/>
      <c r="AI7" s="778"/>
      <c r="AJ7" s="778"/>
      <c r="AK7" s="778"/>
      <c r="AL7" s="778"/>
      <c r="AM7" s="778"/>
      <c r="AN7" s="778"/>
      <c r="AO7" s="778"/>
      <c r="AP7" s="778"/>
      <c r="AQ7" s="778"/>
      <c r="AR7" s="778"/>
      <c r="AS7" s="778"/>
      <c r="AT7" s="778"/>
      <c r="AU7" s="778"/>
      <c r="AV7" s="778"/>
      <c r="AW7" s="778"/>
      <c r="AX7" s="778"/>
      <c r="AY7" s="778"/>
      <c r="AZ7" s="778"/>
      <c r="BA7" s="778"/>
      <c r="BB7" s="778"/>
      <c r="BC7" s="778"/>
      <c r="BD7" s="778"/>
      <c r="BE7" s="778"/>
      <c r="BF7" s="778"/>
      <c r="BG7" s="778"/>
      <c r="BH7" s="778"/>
      <c r="BI7" s="778"/>
      <c r="BJ7" s="778"/>
      <c r="BK7" s="778"/>
      <c r="BL7" s="778"/>
      <c r="BM7" s="778"/>
      <c r="BN7" s="778"/>
      <c r="BO7" s="778"/>
      <c r="BP7" s="778"/>
      <c r="BQ7" s="778"/>
      <c r="BR7" s="778"/>
      <c r="BS7" s="778"/>
      <c r="BT7" s="778"/>
      <c r="BU7" s="778"/>
      <c r="BV7" s="778"/>
      <c r="BW7" s="778"/>
      <c r="BX7" s="778"/>
      <c r="BY7" s="778"/>
      <c r="BZ7" s="778"/>
      <c r="CA7" s="778"/>
      <c r="CB7" s="778"/>
      <c r="CC7" s="778"/>
      <c r="CD7" s="778"/>
      <c r="CE7" s="778"/>
    </row>
    <row r="8" spans="1:83" s="779" customFormat="1" ht="21.75" customHeight="1">
      <c r="A8" s="927" t="s">
        <v>1472</v>
      </c>
      <c r="F8" s="928"/>
      <c r="G8" s="928"/>
      <c r="K8" s="778"/>
      <c r="L8" s="778"/>
      <c r="M8" s="778"/>
      <c r="N8" s="778"/>
      <c r="O8" s="778"/>
      <c r="P8" s="778"/>
      <c r="Q8" s="778"/>
      <c r="R8" s="778"/>
      <c r="S8" s="778"/>
      <c r="T8" s="778"/>
      <c r="U8" s="778"/>
      <c r="V8" s="778"/>
      <c r="W8" s="778"/>
      <c r="X8" s="778"/>
      <c r="Y8" s="778"/>
      <c r="Z8" s="778"/>
      <c r="AA8" s="778"/>
      <c r="AB8" s="778"/>
      <c r="AC8" s="778"/>
      <c r="AD8" s="778"/>
      <c r="AE8" s="778"/>
      <c r="AF8" s="778"/>
      <c r="AG8" s="778"/>
      <c r="AH8" s="778"/>
      <c r="AI8" s="778"/>
      <c r="AJ8" s="778"/>
      <c r="AK8" s="778"/>
      <c r="AL8" s="778"/>
      <c r="AM8" s="778"/>
      <c r="AN8" s="778"/>
      <c r="AO8" s="778"/>
      <c r="AP8" s="778"/>
      <c r="AQ8" s="778"/>
      <c r="AR8" s="778"/>
      <c r="AS8" s="778"/>
      <c r="AT8" s="778"/>
      <c r="AU8" s="778"/>
      <c r="AV8" s="778"/>
      <c r="AW8" s="778"/>
      <c r="AX8" s="778"/>
      <c r="AY8" s="778"/>
      <c r="AZ8" s="778"/>
      <c r="BA8" s="778"/>
      <c r="BB8" s="778"/>
      <c r="BC8" s="778"/>
      <c r="BD8" s="778"/>
      <c r="BE8" s="778"/>
      <c r="BF8" s="778"/>
      <c r="BG8" s="778"/>
      <c r="BH8" s="778"/>
      <c r="BI8" s="778"/>
      <c r="BJ8" s="778"/>
      <c r="BK8" s="778"/>
      <c r="BL8" s="778"/>
      <c r="BM8" s="778"/>
      <c r="BN8" s="778"/>
      <c r="BO8" s="778"/>
      <c r="BP8" s="778"/>
      <c r="BQ8" s="778"/>
      <c r="BR8" s="778"/>
      <c r="BS8" s="778"/>
      <c r="BT8" s="778"/>
      <c r="BU8" s="778"/>
      <c r="BV8" s="778"/>
      <c r="BW8" s="778"/>
      <c r="BX8" s="778"/>
      <c r="BY8" s="778"/>
      <c r="BZ8" s="778"/>
      <c r="CA8" s="778"/>
      <c r="CB8" s="778"/>
      <c r="CC8" s="778"/>
      <c r="CD8" s="778"/>
      <c r="CE8" s="778"/>
    </row>
    <row r="9" spans="1:83" s="779" customFormat="1" ht="21.75" customHeight="1">
      <c r="A9" s="927" t="s">
        <v>1473</v>
      </c>
      <c r="F9" s="928"/>
      <c r="G9" s="928"/>
      <c r="K9" s="778"/>
      <c r="L9" s="778"/>
      <c r="M9" s="778"/>
      <c r="N9" s="778"/>
      <c r="O9" s="778"/>
      <c r="P9" s="778"/>
      <c r="Q9" s="778"/>
      <c r="R9" s="778"/>
      <c r="S9" s="778"/>
      <c r="T9" s="778"/>
      <c r="U9" s="778"/>
      <c r="V9" s="778"/>
      <c r="W9" s="778"/>
      <c r="X9" s="778"/>
      <c r="Y9" s="778"/>
      <c r="Z9" s="778"/>
      <c r="AA9" s="778"/>
      <c r="AB9" s="778"/>
      <c r="AC9" s="778"/>
      <c r="AD9" s="778"/>
      <c r="AE9" s="778"/>
      <c r="AF9" s="778"/>
      <c r="AG9" s="778"/>
      <c r="AH9" s="778"/>
      <c r="AI9" s="778"/>
      <c r="AJ9" s="778"/>
      <c r="AK9" s="778"/>
      <c r="AL9" s="778"/>
      <c r="AM9" s="778"/>
      <c r="AN9" s="778"/>
      <c r="AO9" s="778"/>
      <c r="AP9" s="778"/>
      <c r="AQ9" s="778"/>
      <c r="AR9" s="778"/>
      <c r="AS9" s="778"/>
      <c r="AT9" s="778"/>
      <c r="AU9" s="778"/>
      <c r="AV9" s="778"/>
      <c r="AW9" s="778"/>
      <c r="AX9" s="778"/>
      <c r="AY9" s="778"/>
      <c r="AZ9" s="778"/>
      <c r="BA9" s="778"/>
      <c r="BB9" s="778"/>
      <c r="BC9" s="778"/>
      <c r="BD9" s="778"/>
      <c r="BE9" s="778"/>
      <c r="BF9" s="778"/>
      <c r="BG9" s="778"/>
      <c r="BH9" s="778"/>
      <c r="BI9" s="778"/>
      <c r="BJ9" s="778"/>
      <c r="BK9" s="778"/>
      <c r="BL9" s="778"/>
      <c r="BM9" s="778"/>
      <c r="BN9" s="778"/>
      <c r="BO9" s="778"/>
      <c r="BP9" s="778"/>
      <c r="BQ9" s="778"/>
      <c r="BR9" s="778"/>
      <c r="BS9" s="778"/>
      <c r="BT9" s="778"/>
      <c r="BU9" s="778"/>
      <c r="BV9" s="778"/>
      <c r="BW9" s="778"/>
      <c r="BX9" s="778"/>
      <c r="BY9" s="778"/>
      <c r="BZ9" s="778"/>
      <c r="CA9" s="778"/>
      <c r="CB9" s="778"/>
      <c r="CC9" s="778"/>
      <c r="CD9" s="778"/>
      <c r="CE9" s="778"/>
    </row>
    <row r="10" spans="1:83" s="779" customFormat="1" ht="6.75" customHeight="1">
      <c r="A10" s="927"/>
      <c r="F10" s="928"/>
      <c r="G10" s="928"/>
      <c r="K10" s="778"/>
      <c r="L10" s="778"/>
      <c r="M10" s="778"/>
      <c r="N10" s="778"/>
      <c r="O10" s="778"/>
      <c r="P10" s="778"/>
      <c r="Q10" s="778"/>
      <c r="R10" s="778"/>
      <c r="S10" s="778"/>
      <c r="T10" s="778"/>
      <c r="U10" s="778"/>
      <c r="V10" s="778"/>
      <c r="W10" s="778"/>
      <c r="X10" s="778"/>
      <c r="Y10" s="778"/>
      <c r="Z10" s="778"/>
      <c r="AA10" s="778"/>
      <c r="AB10" s="778"/>
      <c r="AC10" s="778"/>
      <c r="AD10" s="778"/>
      <c r="AE10" s="778"/>
      <c r="AF10" s="778"/>
      <c r="AG10" s="778"/>
      <c r="AH10" s="778"/>
      <c r="AI10" s="778"/>
      <c r="AJ10" s="778"/>
      <c r="AK10" s="778"/>
      <c r="AL10" s="778"/>
      <c r="AM10" s="778"/>
      <c r="AN10" s="778"/>
      <c r="AO10" s="778"/>
      <c r="AP10" s="778"/>
      <c r="AQ10" s="778"/>
      <c r="AR10" s="778"/>
      <c r="AS10" s="778"/>
      <c r="AT10" s="778"/>
      <c r="AU10" s="778"/>
      <c r="AV10" s="778"/>
      <c r="AW10" s="778"/>
      <c r="AX10" s="778"/>
      <c r="AY10" s="778"/>
      <c r="AZ10" s="778"/>
      <c r="BA10" s="778"/>
      <c r="BB10" s="778"/>
      <c r="BC10" s="778"/>
      <c r="BD10" s="778"/>
      <c r="BE10" s="778"/>
      <c r="BF10" s="778"/>
      <c r="BG10" s="778"/>
      <c r="BH10" s="778"/>
      <c r="BI10" s="778"/>
      <c r="BJ10" s="778"/>
      <c r="BK10" s="778"/>
      <c r="BL10" s="778"/>
      <c r="BM10" s="778"/>
      <c r="BN10" s="778"/>
      <c r="BO10" s="778"/>
      <c r="BP10" s="778"/>
      <c r="BQ10" s="778"/>
      <c r="BR10" s="778"/>
      <c r="BS10" s="778"/>
      <c r="BT10" s="778"/>
      <c r="BU10" s="778"/>
      <c r="BV10" s="778"/>
      <c r="BW10" s="778"/>
      <c r="BX10" s="778"/>
      <c r="BY10" s="778"/>
      <c r="BZ10" s="778"/>
      <c r="CA10" s="778"/>
      <c r="CB10" s="778"/>
      <c r="CC10" s="778"/>
      <c r="CD10" s="778"/>
      <c r="CE10" s="778"/>
    </row>
    <row r="11" spans="1:83" s="796" customFormat="1" ht="27" customHeight="1">
      <c r="A11" s="1149" t="s">
        <v>1474</v>
      </c>
      <c r="B11" s="1151" t="s">
        <v>1475</v>
      </c>
      <c r="C11" s="1152"/>
      <c r="D11" s="1153"/>
      <c r="E11" s="1154" t="s">
        <v>1476</v>
      </c>
      <c r="F11" s="1154"/>
      <c r="G11" s="1154"/>
      <c r="H11" s="1154"/>
      <c r="I11" s="929" t="s">
        <v>127</v>
      </c>
      <c r="K11" s="930"/>
      <c r="L11" s="930"/>
      <c r="M11" s="930"/>
      <c r="N11" s="930"/>
      <c r="O11" s="930"/>
      <c r="P11" s="930"/>
      <c r="Q11" s="930"/>
      <c r="R11" s="930"/>
      <c r="S11" s="930"/>
      <c r="T11" s="930"/>
      <c r="U11" s="930"/>
      <c r="V11" s="930"/>
      <c r="W11" s="930"/>
      <c r="X11" s="930"/>
      <c r="Y11" s="930"/>
      <c r="Z11" s="930"/>
      <c r="AA11" s="930"/>
      <c r="AB11" s="930"/>
      <c r="AC11" s="930"/>
      <c r="AD11" s="930"/>
      <c r="AE11" s="930"/>
      <c r="AF11" s="930"/>
      <c r="AG11" s="930"/>
      <c r="AH11" s="930"/>
      <c r="AI11" s="930"/>
      <c r="AJ11" s="930"/>
      <c r="AK11" s="930"/>
      <c r="AL11" s="930"/>
      <c r="AM11" s="930"/>
      <c r="AN11" s="930"/>
      <c r="AO11" s="930"/>
      <c r="AP11" s="930"/>
      <c r="AQ11" s="930"/>
      <c r="AR11" s="930"/>
      <c r="AS11" s="930"/>
      <c r="AT11" s="930"/>
      <c r="AU11" s="930"/>
      <c r="AV11" s="930"/>
      <c r="AW11" s="930"/>
      <c r="AX11" s="930"/>
      <c r="AY11" s="930"/>
      <c r="AZ11" s="930"/>
      <c r="BA11" s="930"/>
      <c r="BB11" s="930"/>
      <c r="BC11" s="930"/>
      <c r="BD11" s="930"/>
      <c r="BE11" s="930"/>
      <c r="BF11" s="930"/>
      <c r="BG11" s="930"/>
      <c r="BH11" s="930"/>
      <c r="BI11" s="930"/>
      <c r="BJ11" s="930"/>
      <c r="BK11" s="930"/>
      <c r="BL11" s="930"/>
      <c r="BM11" s="930"/>
      <c r="BN11" s="930"/>
      <c r="BO11" s="930"/>
      <c r="BP11" s="930"/>
      <c r="BQ11" s="930"/>
      <c r="BR11" s="930"/>
      <c r="BS11" s="930"/>
      <c r="BT11" s="930"/>
      <c r="BU11" s="930"/>
      <c r="BV11" s="930"/>
      <c r="BW11" s="930"/>
      <c r="BX11" s="930"/>
      <c r="BY11" s="930"/>
      <c r="BZ11" s="930"/>
      <c r="CA11" s="930"/>
      <c r="CB11" s="930"/>
      <c r="CC11" s="930"/>
      <c r="CD11" s="930"/>
      <c r="CE11" s="930"/>
    </row>
    <row r="12" spans="1:83" s="796" customFormat="1" ht="46.5" customHeight="1">
      <c r="A12" s="1150"/>
      <c r="B12" s="929" t="s">
        <v>1477</v>
      </c>
      <c r="C12" s="929" t="s">
        <v>1478</v>
      </c>
      <c r="D12" s="929" t="s">
        <v>1479</v>
      </c>
      <c r="E12" s="931" t="s">
        <v>1480</v>
      </c>
      <c r="F12" s="932" t="s">
        <v>191</v>
      </c>
      <c r="G12" s="932" t="s">
        <v>192</v>
      </c>
      <c r="H12" s="931" t="s">
        <v>1481</v>
      </c>
      <c r="I12" s="929"/>
      <c r="K12" s="930"/>
      <c r="L12" s="930"/>
      <c r="M12" s="930"/>
      <c r="N12" s="930"/>
      <c r="O12" s="930"/>
      <c r="P12" s="930"/>
      <c r="Q12" s="930"/>
      <c r="R12" s="930"/>
      <c r="S12" s="930"/>
      <c r="T12" s="930"/>
      <c r="U12" s="930"/>
      <c r="V12" s="930"/>
      <c r="W12" s="930"/>
      <c r="X12" s="930"/>
      <c r="Y12" s="930"/>
      <c r="Z12" s="930"/>
      <c r="AA12" s="930"/>
      <c r="AB12" s="930"/>
      <c r="AC12" s="930"/>
      <c r="AD12" s="930"/>
      <c r="AE12" s="930"/>
      <c r="AF12" s="930"/>
      <c r="AG12" s="930"/>
      <c r="AH12" s="930"/>
      <c r="AI12" s="930"/>
      <c r="AJ12" s="930"/>
      <c r="AK12" s="930"/>
      <c r="AL12" s="930"/>
      <c r="AM12" s="930"/>
      <c r="AN12" s="930"/>
      <c r="AO12" s="930"/>
      <c r="AP12" s="930"/>
      <c r="AQ12" s="930"/>
      <c r="AR12" s="930"/>
      <c r="AS12" s="930"/>
      <c r="AT12" s="930"/>
      <c r="AU12" s="930"/>
      <c r="AV12" s="930"/>
      <c r="AW12" s="930"/>
      <c r="AX12" s="930"/>
      <c r="AY12" s="930"/>
      <c r="AZ12" s="930"/>
      <c r="BA12" s="930"/>
      <c r="BB12" s="930"/>
      <c r="BC12" s="930"/>
      <c r="BD12" s="930"/>
      <c r="BE12" s="930"/>
      <c r="BF12" s="930"/>
      <c r="BG12" s="930"/>
      <c r="BH12" s="930"/>
      <c r="BI12" s="930"/>
      <c r="BJ12" s="930"/>
      <c r="BK12" s="930"/>
      <c r="BL12" s="930"/>
      <c r="BM12" s="930"/>
      <c r="BN12" s="930"/>
      <c r="BO12" s="930"/>
      <c r="BP12" s="930"/>
      <c r="BQ12" s="930"/>
      <c r="BR12" s="930"/>
      <c r="BS12" s="930"/>
      <c r="BT12" s="930"/>
      <c r="BU12" s="930"/>
      <c r="BV12" s="930"/>
      <c r="BW12" s="930"/>
      <c r="BX12" s="930"/>
      <c r="BY12" s="930"/>
      <c r="BZ12" s="930"/>
      <c r="CA12" s="930"/>
      <c r="CB12" s="930"/>
      <c r="CC12" s="930"/>
      <c r="CD12" s="930"/>
      <c r="CE12" s="930"/>
    </row>
    <row r="13" spans="1:83" s="935" customFormat="1" ht="15.75" customHeight="1">
      <c r="A13" s="933" t="s">
        <v>1482</v>
      </c>
      <c r="B13" s="929">
        <v>2</v>
      </c>
      <c r="C13" s="929">
        <v>3</v>
      </c>
      <c r="D13" s="929">
        <v>4</v>
      </c>
      <c r="E13" s="929">
        <v>5</v>
      </c>
      <c r="F13" s="934" t="s">
        <v>1483</v>
      </c>
      <c r="G13" s="934" t="s">
        <v>1484</v>
      </c>
      <c r="H13" s="929">
        <v>8</v>
      </c>
      <c r="I13" s="929">
        <v>9</v>
      </c>
      <c r="J13" s="930"/>
      <c r="K13" s="930"/>
      <c r="L13" s="930"/>
      <c r="M13" s="930"/>
      <c r="N13" s="930"/>
      <c r="O13" s="930"/>
      <c r="P13" s="930"/>
      <c r="Q13" s="930"/>
      <c r="R13" s="930"/>
      <c r="S13" s="930"/>
      <c r="T13" s="930"/>
      <c r="U13" s="930"/>
      <c r="V13" s="930"/>
      <c r="W13" s="930"/>
      <c r="X13" s="930"/>
      <c r="Y13" s="930"/>
      <c r="Z13" s="930"/>
      <c r="AA13" s="930"/>
      <c r="AB13" s="930"/>
      <c r="AC13" s="930"/>
      <c r="AD13" s="930"/>
      <c r="AE13" s="930"/>
      <c r="AF13" s="930"/>
      <c r="AG13" s="930"/>
      <c r="AH13" s="930"/>
      <c r="AI13" s="930"/>
      <c r="AJ13" s="930"/>
      <c r="AK13" s="930"/>
      <c r="AL13" s="930"/>
      <c r="AM13" s="930"/>
      <c r="AN13" s="930"/>
      <c r="AO13" s="930"/>
      <c r="AP13" s="930"/>
      <c r="AQ13" s="930"/>
      <c r="AR13" s="930"/>
      <c r="AS13" s="930"/>
      <c r="AT13" s="930"/>
      <c r="AU13" s="930"/>
      <c r="AV13" s="930"/>
      <c r="AW13" s="930"/>
      <c r="AX13" s="930"/>
      <c r="AY13" s="930"/>
      <c r="AZ13" s="930"/>
      <c r="BA13" s="930"/>
      <c r="BB13" s="930"/>
      <c r="BC13" s="930"/>
      <c r="BD13" s="930"/>
      <c r="BE13" s="930"/>
      <c r="BF13" s="930"/>
      <c r="BG13" s="930"/>
      <c r="BH13" s="930"/>
      <c r="BI13" s="930"/>
      <c r="BJ13" s="930"/>
      <c r="BK13" s="930"/>
      <c r="BL13" s="930"/>
      <c r="BM13" s="930"/>
      <c r="BN13" s="930"/>
      <c r="BO13" s="930"/>
      <c r="BP13" s="930"/>
      <c r="BQ13" s="930"/>
      <c r="BR13" s="930"/>
      <c r="BS13" s="930"/>
      <c r="BT13" s="930"/>
      <c r="BU13" s="930"/>
      <c r="BV13" s="930"/>
      <c r="BW13" s="930"/>
      <c r="BX13" s="930"/>
      <c r="BY13" s="930"/>
      <c r="BZ13" s="930"/>
      <c r="CA13" s="930"/>
      <c r="CB13" s="930"/>
      <c r="CC13" s="930"/>
      <c r="CD13" s="930"/>
      <c r="CE13" s="930"/>
    </row>
    <row r="14" spans="1:83" s="942" customFormat="1" ht="24.75" customHeight="1">
      <c r="A14" s="936">
        <v>42034</v>
      </c>
      <c r="B14" s="937"/>
      <c r="C14" s="938"/>
      <c r="D14" s="939"/>
      <c r="E14" s="964" t="s">
        <v>1498</v>
      </c>
      <c r="F14" s="940">
        <v>1</v>
      </c>
      <c r="G14" s="941">
        <v>5000000</v>
      </c>
      <c r="H14" s="941">
        <f>F14*G14</f>
        <v>5000000</v>
      </c>
      <c r="I14" s="941"/>
      <c r="J14" s="930"/>
      <c r="K14" s="778"/>
      <c r="L14" s="778"/>
      <c r="M14" s="778"/>
      <c r="N14" s="778"/>
      <c r="O14" s="778"/>
      <c r="P14" s="778"/>
      <c r="Q14" s="778"/>
      <c r="R14" s="778"/>
      <c r="S14" s="778"/>
      <c r="T14" s="778"/>
      <c r="U14" s="778"/>
      <c r="V14" s="778"/>
      <c r="W14" s="778"/>
      <c r="X14" s="778"/>
      <c r="Y14" s="778"/>
      <c r="Z14" s="778"/>
      <c r="AA14" s="778"/>
      <c r="AB14" s="778"/>
      <c r="AC14" s="778"/>
      <c r="AD14" s="778"/>
      <c r="AE14" s="778"/>
      <c r="AF14" s="778"/>
      <c r="AG14" s="778"/>
      <c r="AH14" s="778"/>
      <c r="AI14" s="778"/>
      <c r="AJ14" s="778"/>
      <c r="AK14" s="778"/>
      <c r="AL14" s="778"/>
      <c r="AM14" s="778"/>
      <c r="AN14" s="778"/>
      <c r="AO14" s="778"/>
      <c r="AP14" s="778"/>
      <c r="AQ14" s="778"/>
      <c r="AR14" s="778"/>
      <c r="AS14" s="778"/>
      <c r="AT14" s="778"/>
      <c r="AU14" s="778"/>
      <c r="AV14" s="778"/>
      <c r="AW14" s="778"/>
      <c r="AX14" s="778"/>
      <c r="AY14" s="778"/>
      <c r="AZ14" s="778"/>
      <c r="BA14" s="778"/>
      <c r="BB14" s="778"/>
      <c r="BC14" s="778"/>
      <c r="BD14" s="778"/>
      <c r="BE14" s="778"/>
      <c r="BF14" s="778"/>
      <c r="BG14" s="778"/>
      <c r="BH14" s="778"/>
      <c r="BI14" s="778"/>
      <c r="BJ14" s="778"/>
      <c r="BK14" s="778"/>
      <c r="BL14" s="778"/>
      <c r="BM14" s="778"/>
      <c r="BN14" s="778"/>
      <c r="BO14" s="778"/>
      <c r="BP14" s="778"/>
      <c r="BQ14" s="778"/>
      <c r="BR14" s="778"/>
      <c r="BS14" s="778"/>
      <c r="BT14" s="778"/>
      <c r="BU14" s="778"/>
      <c r="BV14" s="778"/>
      <c r="BW14" s="778"/>
      <c r="BX14" s="778"/>
      <c r="BY14" s="778"/>
      <c r="BZ14" s="778"/>
      <c r="CA14" s="778"/>
      <c r="CB14" s="778"/>
      <c r="CC14" s="778"/>
      <c r="CD14" s="778"/>
      <c r="CE14" s="778"/>
    </row>
    <row r="15" spans="1:83" s="778" customFormat="1" ht="24.75" customHeight="1">
      <c r="A15" s="936">
        <v>42063</v>
      </c>
      <c r="B15" s="937"/>
      <c r="C15" s="790"/>
      <c r="D15" s="788"/>
      <c r="E15" s="964" t="s">
        <v>1499</v>
      </c>
      <c r="F15" s="940">
        <v>1</v>
      </c>
      <c r="G15" s="941">
        <v>5000000</v>
      </c>
      <c r="H15" s="941">
        <f t="shared" ref="H15:H25" si="0">F15*G15</f>
        <v>5000000</v>
      </c>
      <c r="I15" s="944"/>
      <c r="J15" s="930"/>
    </row>
    <row r="16" spans="1:83" s="778" customFormat="1" ht="24.75" customHeight="1">
      <c r="A16" s="936">
        <v>42094</v>
      </c>
      <c r="B16" s="937"/>
      <c r="C16" s="790"/>
      <c r="D16" s="788"/>
      <c r="E16" s="964" t="s">
        <v>1500</v>
      </c>
      <c r="F16" s="940">
        <v>1</v>
      </c>
      <c r="G16" s="941">
        <v>5000000</v>
      </c>
      <c r="H16" s="941">
        <f t="shared" si="0"/>
        <v>5000000</v>
      </c>
      <c r="I16" s="944"/>
      <c r="J16" s="930"/>
    </row>
    <row r="17" spans="1:10" s="778" customFormat="1" ht="24.75" customHeight="1">
      <c r="A17" s="936">
        <v>42124</v>
      </c>
      <c r="B17" s="945"/>
      <c r="C17" s="790"/>
      <c r="D17" s="788"/>
      <c r="E17" s="964" t="s">
        <v>1501</v>
      </c>
      <c r="F17" s="940">
        <v>1</v>
      </c>
      <c r="G17" s="941">
        <v>5000000</v>
      </c>
      <c r="H17" s="941">
        <f t="shared" si="0"/>
        <v>5000000</v>
      </c>
      <c r="I17" s="944"/>
      <c r="J17" s="930"/>
    </row>
    <row r="18" spans="1:10" s="778" customFormat="1" ht="24.75" customHeight="1">
      <c r="A18" s="936">
        <v>42155</v>
      </c>
      <c r="B18" s="937"/>
      <c r="C18" s="790"/>
      <c r="D18" s="788"/>
      <c r="E18" s="964" t="s">
        <v>1502</v>
      </c>
      <c r="F18" s="940">
        <v>1</v>
      </c>
      <c r="G18" s="941">
        <v>5000000</v>
      </c>
      <c r="H18" s="941">
        <f t="shared" si="0"/>
        <v>5000000</v>
      </c>
      <c r="I18" s="944"/>
      <c r="J18" s="930"/>
    </row>
    <row r="19" spans="1:10" s="778" customFormat="1" ht="24.75" customHeight="1">
      <c r="A19" s="936">
        <v>42185</v>
      </c>
      <c r="B19" s="937"/>
      <c r="C19" s="790"/>
      <c r="D19" s="788"/>
      <c r="E19" s="964" t="s">
        <v>1503</v>
      </c>
      <c r="F19" s="940">
        <v>1</v>
      </c>
      <c r="G19" s="941">
        <v>5000000</v>
      </c>
      <c r="H19" s="941">
        <f t="shared" si="0"/>
        <v>5000000</v>
      </c>
      <c r="I19" s="944"/>
      <c r="J19" s="930"/>
    </row>
    <row r="20" spans="1:10" s="778" customFormat="1" ht="24.75" customHeight="1">
      <c r="A20" s="936">
        <v>42216</v>
      </c>
      <c r="B20" s="937"/>
      <c r="C20" s="790"/>
      <c r="D20" s="788"/>
      <c r="E20" s="964" t="s">
        <v>1504</v>
      </c>
      <c r="F20" s="940">
        <v>1</v>
      </c>
      <c r="G20" s="941">
        <v>5000000</v>
      </c>
      <c r="H20" s="941">
        <f t="shared" si="0"/>
        <v>5000000</v>
      </c>
      <c r="I20" s="944"/>
      <c r="J20" s="930"/>
    </row>
    <row r="21" spans="1:10" s="778" customFormat="1" ht="24.75" customHeight="1">
      <c r="A21" s="936">
        <v>42247</v>
      </c>
      <c r="B21" s="937"/>
      <c r="C21" s="790"/>
      <c r="D21" s="788"/>
      <c r="E21" s="964" t="s">
        <v>1505</v>
      </c>
      <c r="F21" s="940">
        <v>1</v>
      </c>
      <c r="G21" s="941">
        <v>5000000</v>
      </c>
      <c r="H21" s="941">
        <f t="shared" si="0"/>
        <v>5000000</v>
      </c>
      <c r="I21" s="944"/>
      <c r="J21" s="930"/>
    </row>
    <row r="22" spans="1:10" s="778" customFormat="1" ht="24.75" customHeight="1">
      <c r="A22" s="936">
        <v>42277</v>
      </c>
      <c r="B22" s="945"/>
      <c r="C22" s="790"/>
      <c r="D22" s="788"/>
      <c r="E22" s="964" t="s">
        <v>1506</v>
      </c>
      <c r="F22" s="940">
        <v>1</v>
      </c>
      <c r="G22" s="941">
        <v>5000000</v>
      </c>
      <c r="H22" s="941">
        <f t="shared" si="0"/>
        <v>5000000</v>
      </c>
      <c r="I22" s="944"/>
      <c r="J22" s="930"/>
    </row>
    <row r="23" spans="1:10" s="778" customFormat="1" ht="24.75" customHeight="1">
      <c r="A23" s="936">
        <v>42308</v>
      </c>
      <c r="B23" s="937"/>
      <c r="C23" s="790"/>
      <c r="D23" s="788"/>
      <c r="E23" s="964" t="s">
        <v>1507</v>
      </c>
      <c r="F23" s="940">
        <v>1</v>
      </c>
      <c r="G23" s="941">
        <v>5000000</v>
      </c>
      <c r="H23" s="941">
        <f t="shared" si="0"/>
        <v>5000000</v>
      </c>
      <c r="I23" s="944"/>
      <c r="J23" s="930"/>
    </row>
    <row r="24" spans="1:10" s="778" customFormat="1" ht="24.75" customHeight="1">
      <c r="A24" s="936">
        <v>42338</v>
      </c>
      <c r="B24" s="945"/>
      <c r="C24" s="790"/>
      <c r="D24" s="788"/>
      <c r="E24" s="964" t="s">
        <v>1508</v>
      </c>
      <c r="F24" s="940">
        <v>1</v>
      </c>
      <c r="G24" s="941">
        <v>5000000</v>
      </c>
      <c r="H24" s="941">
        <f t="shared" si="0"/>
        <v>5000000</v>
      </c>
      <c r="I24" s="944"/>
      <c r="J24" s="930"/>
    </row>
    <row r="25" spans="1:10" s="778" customFormat="1" ht="24.75" customHeight="1">
      <c r="A25" s="936">
        <v>42369</v>
      </c>
      <c r="B25" s="937"/>
      <c r="C25" s="790"/>
      <c r="D25" s="788"/>
      <c r="E25" s="964" t="s">
        <v>1509</v>
      </c>
      <c r="F25" s="940">
        <v>1</v>
      </c>
      <c r="G25" s="941">
        <v>5000000</v>
      </c>
      <c r="H25" s="941">
        <f t="shared" si="0"/>
        <v>5000000</v>
      </c>
      <c r="I25" s="944"/>
      <c r="J25" s="930"/>
    </row>
    <row r="26" spans="1:10" s="778" customFormat="1" ht="24.75" customHeight="1">
      <c r="A26" s="946"/>
      <c r="B26" s="937"/>
      <c r="C26" s="790"/>
      <c r="D26" s="788"/>
      <c r="E26" s="943"/>
      <c r="F26" s="943"/>
      <c r="G26" s="944"/>
      <c r="H26" s="944"/>
      <c r="I26" s="944"/>
      <c r="J26" s="930"/>
    </row>
    <row r="27" spans="1:10" s="601" customFormat="1" ht="13.5" customHeight="1">
      <c r="A27" s="947"/>
      <c r="B27" s="778"/>
      <c r="C27" s="930"/>
      <c r="D27" s="930"/>
      <c r="E27" s="948"/>
      <c r="F27" s="948"/>
      <c r="G27" s="949"/>
      <c r="H27" s="950"/>
      <c r="I27" s="950"/>
      <c r="J27" s="951"/>
    </row>
    <row r="28" spans="1:10" s="601" customFormat="1" ht="16.5" customHeight="1">
      <c r="A28" s="952" t="s">
        <v>1485</v>
      </c>
      <c r="B28" s="595"/>
      <c r="C28" s="953">
        <f>SUM(H14:H26)</f>
        <v>60000000</v>
      </c>
      <c r="D28" s="953"/>
      <c r="E28" s="595"/>
      <c r="F28" s="954"/>
      <c r="G28" s="954"/>
      <c r="H28" s="595"/>
      <c r="I28" s="595"/>
      <c r="J28" s="595"/>
    </row>
    <row r="29" spans="1:10" s="601" customFormat="1" ht="6.75" customHeight="1">
      <c r="A29" s="952"/>
      <c r="B29" s="595"/>
      <c r="C29" s="954"/>
      <c r="D29" s="595"/>
      <c r="E29" s="595"/>
      <c r="F29" s="954"/>
      <c r="G29" s="954"/>
      <c r="H29" s="955"/>
      <c r="I29" s="595"/>
      <c r="J29" s="595"/>
    </row>
    <row r="30" spans="1:10" s="601" customFormat="1">
      <c r="A30" s="952"/>
      <c r="B30" s="595"/>
      <c r="C30" s="955"/>
      <c r="D30" s="954"/>
      <c r="E30" s="595"/>
      <c r="F30" s="954"/>
      <c r="G30" s="956" t="s">
        <v>1494</v>
      </c>
      <c r="H30" s="957"/>
      <c r="I30" s="957"/>
      <c r="J30" s="595"/>
    </row>
    <row r="31" spans="1:10" s="601" customFormat="1">
      <c r="A31" s="952"/>
      <c r="B31" s="925" t="s">
        <v>1486</v>
      </c>
      <c r="C31" s="595"/>
      <c r="D31" s="595"/>
      <c r="E31" s="595"/>
      <c r="F31" s="954"/>
      <c r="G31" s="958" t="s">
        <v>1487</v>
      </c>
      <c r="H31" s="595"/>
      <c r="I31" s="595"/>
      <c r="J31" s="595"/>
    </row>
    <row r="32" spans="1:10" s="601" customFormat="1">
      <c r="A32" s="952"/>
      <c r="B32" s="959" t="s">
        <v>1488</v>
      </c>
      <c r="C32" s="595"/>
      <c r="D32" s="960"/>
      <c r="E32" s="595"/>
      <c r="F32" s="954"/>
      <c r="G32" s="961" t="s">
        <v>1489</v>
      </c>
      <c r="H32" s="595"/>
      <c r="I32" s="595"/>
      <c r="J32" s="595"/>
    </row>
    <row r="33" spans="1:16137" s="601" customFormat="1">
      <c r="A33" s="952"/>
      <c r="B33" s="959"/>
      <c r="C33" s="595"/>
      <c r="D33" s="960"/>
      <c r="E33" s="595"/>
      <c r="F33" s="954"/>
      <c r="G33" s="961"/>
      <c r="H33" s="595"/>
      <c r="I33" s="595"/>
      <c r="J33" s="595"/>
    </row>
    <row r="34" spans="1:16137" s="601" customFormat="1">
      <c r="A34" s="952"/>
      <c r="B34" s="959"/>
      <c r="C34" s="595"/>
      <c r="D34" s="960"/>
      <c r="E34" s="595"/>
      <c r="F34" s="954"/>
      <c r="G34" s="961"/>
      <c r="H34" s="595"/>
      <c r="I34" s="595"/>
      <c r="J34" s="595"/>
    </row>
    <row r="35" spans="1:16137" s="601" customFormat="1">
      <c r="A35" s="952"/>
      <c r="B35" s="959"/>
      <c r="C35" s="595"/>
      <c r="D35" s="960"/>
      <c r="E35" s="595"/>
      <c r="F35" s="954"/>
      <c r="G35" s="961"/>
      <c r="H35" s="595"/>
      <c r="I35" s="595"/>
      <c r="J35" s="595"/>
    </row>
    <row r="36" spans="1:16137" s="601" customFormat="1">
      <c r="A36" s="952"/>
      <c r="B36" s="959"/>
      <c r="C36" s="595"/>
      <c r="D36" s="960"/>
      <c r="E36" s="595"/>
      <c r="F36" s="954"/>
      <c r="G36" s="961"/>
      <c r="H36" s="595"/>
      <c r="I36" s="595"/>
      <c r="J36" s="595"/>
    </row>
    <row r="37" spans="1:16137" s="601" customFormat="1" ht="17.25" customHeight="1">
      <c r="A37" s="952"/>
      <c r="B37" s="962"/>
      <c r="C37" s="962"/>
      <c r="D37" s="595"/>
      <c r="E37" s="595"/>
      <c r="F37" s="954"/>
      <c r="G37" s="954"/>
      <c r="H37" s="595"/>
      <c r="I37" s="595"/>
      <c r="J37" s="595"/>
    </row>
    <row r="38" spans="1:16137" s="601" customFormat="1" ht="17.25" customHeight="1">
      <c r="A38" s="952"/>
      <c r="B38" s="962"/>
      <c r="C38" s="962"/>
      <c r="D38" s="595"/>
      <c r="E38" s="595"/>
      <c r="F38" s="954"/>
      <c r="G38" s="954"/>
      <c r="H38" s="595"/>
      <c r="I38" s="595"/>
      <c r="J38" s="595"/>
    </row>
    <row r="39" spans="1:16137" s="601" customFormat="1" ht="17.25" customHeight="1">
      <c r="A39" s="952"/>
      <c r="B39" s="962"/>
      <c r="C39" s="962"/>
      <c r="D39" s="595"/>
      <c r="E39" s="595"/>
      <c r="F39" s="954"/>
      <c r="G39" s="954"/>
      <c r="H39" s="595"/>
      <c r="I39" s="595"/>
      <c r="J39" s="595"/>
      <c r="CF39" s="595"/>
      <c r="CG39" s="595"/>
      <c r="CH39" s="595"/>
      <c r="CI39" s="595"/>
      <c r="CJ39" s="595"/>
      <c r="CK39" s="595"/>
      <c r="CL39" s="595"/>
      <c r="CM39" s="595"/>
      <c r="CN39" s="595"/>
      <c r="CO39" s="595"/>
      <c r="CP39" s="595"/>
      <c r="CQ39" s="595"/>
      <c r="CR39" s="595"/>
      <c r="CS39" s="595"/>
      <c r="CT39" s="595"/>
      <c r="CU39" s="595"/>
      <c r="CV39" s="595"/>
      <c r="CW39" s="595"/>
      <c r="CX39" s="595"/>
      <c r="CY39" s="595"/>
      <c r="CZ39" s="595"/>
      <c r="DA39" s="595"/>
      <c r="DB39" s="595"/>
      <c r="DC39" s="595"/>
      <c r="DD39" s="595"/>
      <c r="DE39" s="595"/>
      <c r="DF39" s="595"/>
      <c r="DG39" s="595"/>
      <c r="DH39" s="595"/>
      <c r="DI39" s="595"/>
      <c r="DJ39" s="595"/>
      <c r="DK39" s="595"/>
      <c r="DL39" s="595"/>
      <c r="DM39" s="595"/>
      <c r="DN39" s="595"/>
      <c r="DO39" s="595"/>
      <c r="DP39" s="595"/>
      <c r="DQ39" s="595"/>
      <c r="DR39" s="595"/>
      <c r="DS39" s="595"/>
      <c r="DT39" s="595"/>
      <c r="DU39" s="595"/>
      <c r="DV39" s="595"/>
      <c r="DW39" s="595"/>
      <c r="DX39" s="595"/>
      <c r="DY39" s="595"/>
      <c r="DZ39" s="595"/>
      <c r="EA39" s="595"/>
      <c r="EB39" s="595"/>
      <c r="EC39" s="595"/>
      <c r="ED39" s="595"/>
      <c r="EE39" s="595"/>
      <c r="EF39" s="595"/>
      <c r="EG39" s="595"/>
      <c r="EH39" s="595"/>
      <c r="EI39" s="595"/>
      <c r="EJ39" s="595"/>
      <c r="EK39" s="595"/>
      <c r="EL39" s="595"/>
      <c r="EM39" s="595"/>
      <c r="EN39" s="595"/>
      <c r="EO39" s="595"/>
      <c r="EP39" s="595"/>
      <c r="EQ39" s="595"/>
      <c r="ER39" s="595"/>
      <c r="ES39" s="595"/>
      <c r="ET39" s="595"/>
      <c r="EU39" s="595"/>
      <c r="EV39" s="595"/>
      <c r="EW39" s="595"/>
      <c r="EX39" s="595"/>
      <c r="EY39" s="595"/>
      <c r="EZ39" s="595"/>
      <c r="FA39" s="595"/>
      <c r="FB39" s="595"/>
      <c r="FC39" s="595"/>
      <c r="FD39" s="595"/>
      <c r="FE39" s="595"/>
      <c r="FF39" s="595"/>
      <c r="FG39" s="595"/>
      <c r="FH39" s="595"/>
      <c r="FI39" s="595"/>
      <c r="FJ39" s="595"/>
      <c r="FK39" s="595"/>
      <c r="FL39" s="595"/>
      <c r="FM39" s="595"/>
      <c r="FN39" s="595"/>
      <c r="FO39" s="595"/>
      <c r="FP39" s="595"/>
      <c r="FQ39" s="595"/>
      <c r="FR39" s="595"/>
      <c r="FS39" s="595"/>
      <c r="FT39" s="595"/>
      <c r="FU39" s="595"/>
      <c r="FV39" s="595"/>
      <c r="FW39" s="595"/>
      <c r="FX39" s="595"/>
      <c r="FY39" s="595"/>
      <c r="FZ39" s="595"/>
      <c r="GA39" s="595"/>
      <c r="GB39" s="595"/>
      <c r="GC39" s="595"/>
      <c r="GD39" s="595"/>
      <c r="GE39" s="595"/>
      <c r="GF39" s="595"/>
      <c r="GG39" s="595"/>
      <c r="GH39" s="595"/>
      <c r="GI39" s="595"/>
      <c r="GJ39" s="595"/>
      <c r="GK39" s="595"/>
      <c r="GL39" s="595"/>
      <c r="GM39" s="595"/>
      <c r="GN39" s="595"/>
      <c r="GO39" s="595"/>
      <c r="GP39" s="595"/>
      <c r="GQ39" s="595"/>
      <c r="GR39" s="595"/>
      <c r="GS39" s="595"/>
      <c r="GT39" s="595"/>
      <c r="GU39" s="595"/>
      <c r="GV39" s="595"/>
      <c r="GW39" s="595"/>
      <c r="GX39" s="595"/>
      <c r="GY39" s="595"/>
      <c r="GZ39" s="595"/>
      <c r="HA39" s="595"/>
      <c r="HB39" s="595"/>
      <c r="HC39" s="595"/>
      <c r="HD39" s="595"/>
      <c r="HE39" s="595"/>
      <c r="HF39" s="595"/>
      <c r="HG39" s="595"/>
      <c r="HH39" s="595"/>
      <c r="HI39" s="595"/>
      <c r="HJ39" s="595"/>
      <c r="HK39" s="595"/>
      <c r="HL39" s="595"/>
      <c r="HM39" s="595"/>
      <c r="HN39" s="595"/>
      <c r="HO39" s="595"/>
      <c r="HP39" s="595"/>
      <c r="HQ39" s="595"/>
      <c r="HR39" s="595"/>
      <c r="HS39" s="595"/>
      <c r="HT39" s="595"/>
      <c r="HU39" s="595"/>
      <c r="HV39" s="595"/>
      <c r="HW39" s="595"/>
      <c r="HX39" s="595"/>
      <c r="HY39" s="595"/>
      <c r="HZ39" s="595"/>
      <c r="IA39" s="595"/>
      <c r="IB39" s="595"/>
      <c r="IC39" s="595"/>
      <c r="ID39" s="595"/>
      <c r="IE39" s="595"/>
      <c r="IF39" s="595"/>
      <c r="IG39" s="595"/>
      <c r="IH39" s="595"/>
      <c r="II39" s="595"/>
      <c r="IJ39" s="595"/>
      <c r="IK39" s="595"/>
      <c r="IL39" s="595"/>
      <c r="IM39" s="595"/>
      <c r="IN39" s="595"/>
      <c r="IO39" s="595"/>
      <c r="IP39" s="595"/>
      <c r="IQ39" s="595"/>
      <c r="IR39" s="595"/>
      <c r="IS39" s="595"/>
      <c r="IT39" s="595"/>
      <c r="IU39" s="595"/>
      <c r="IV39" s="595"/>
      <c r="IW39" s="595"/>
      <c r="IX39" s="595"/>
      <c r="IY39" s="595"/>
      <c r="IZ39" s="595"/>
      <c r="JA39" s="595"/>
      <c r="JB39" s="595"/>
      <c r="JC39" s="595"/>
      <c r="JD39" s="595"/>
      <c r="JE39" s="595"/>
      <c r="JF39" s="595"/>
      <c r="JG39" s="595"/>
      <c r="JH39" s="595"/>
      <c r="JI39" s="595"/>
      <c r="JJ39" s="595"/>
      <c r="JK39" s="595"/>
      <c r="JL39" s="595"/>
      <c r="JM39" s="595"/>
      <c r="JN39" s="595"/>
      <c r="JO39" s="595"/>
      <c r="JP39" s="595"/>
      <c r="JQ39" s="595"/>
      <c r="JR39" s="595"/>
      <c r="JS39" s="595"/>
      <c r="JT39" s="595"/>
      <c r="JU39" s="595"/>
      <c r="JV39" s="595"/>
      <c r="JW39" s="595"/>
      <c r="JX39" s="595"/>
      <c r="JY39" s="595"/>
      <c r="JZ39" s="595"/>
      <c r="KA39" s="595"/>
      <c r="KB39" s="595"/>
      <c r="KC39" s="595"/>
      <c r="KD39" s="595"/>
      <c r="KE39" s="595"/>
      <c r="KF39" s="595"/>
      <c r="KG39" s="595"/>
      <c r="KH39" s="595"/>
      <c r="KI39" s="595"/>
      <c r="KJ39" s="595"/>
      <c r="KK39" s="595"/>
      <c r="KL39" s="595"/>
      <c r="KM39" s="595"/>
      <c r="KN39" s="595"/>
      <c r="KO39" s="595"/>
      <c r="KP39" s="595"/>
      <c r="KQ39" s="595"/>
      <c r="KR39" s="595"/>
      <c r="KS39" s="595"/>
      <c r="KT39" s="595"/>
      <c r="KU39" s="595"/>
      <c r="KV39" s="595"/>
      <c r="KW39" s="595"/>
      <c r="KX39" s="595"/>
      <c r="KY39" s="595"/>
      <c r="KZ39" s="595"/>
      <c r="LA39" s="595"/>
      <c r="LB39" s="595"/>
      <c r="LC39" s="595"/>
      <c r="LD39" s="595"/>
      <c r="LE39" s="595"/>
      <c r="LF39" s="595"/>
      <c r="LG39" s="595"/>
      <c r="LH39" s="595"/>
      <c r="LI39" s="595"/>
      <c r="LJ39" s="595"/>
      <c r="LK39" s="595"/>
      <c r="LL39" s="595"/>
      <c r="LM39" s="595"/>
      <c r="LN39" s="595"/>
      <c r="LO39" s="595"/>
      <c r="LP39" s="595"/>
      <c r="LQ39" s="595"/>
      <c r="LR39" s="595"/>
      <c r="LS39" s="595"/>
      <c r="LT39" s="595"/>
      <c r="LU39" s="595"/>
      <c r="LV39" s="595"/>
      <c r="LW39" s="595"/>
      <c r="LX39" s="595"/>
      <c r="LY39" s="595"/>
      <c r="LZ39" s="595"/>
      <c r="MA39" s="595"/>
      <c r="MB39" s="595"/>
      <c r="MC39" s="595"/>
      <c r="MD39" s="595"/>
      <c r="ME39" s="595"/>
      <c r="MF39" s="595"/>
      <c r="MG39" s="595"/>
      <c r="MH39" s="595"/>
      <c r="MI39" s="595"/>
      <c r="MJ39" s="595"/>
      <c r="MK39" s="595"/>
      <c r="ML39" s="595"/>
      <c r="MM39" s="595"/>
      <c r="MN39" s="595"/>
      <c r="MO39" s="595"/>
      <c r="MP39" s="595"/>
      <c r="MQ39" s="595"/>
      <c r="MR39" s="595"/>
      <c r="MS39" s="595"/>
      <c r="MT39" s="595"/>
      <c r="MU39" s="595"/>
      <c r="MV39" s="595"/>
      <c r="MW39" s="595"/>
      <c r="MX39" s="595"/>
      <c r="MY39" s="595"/>
      <c r="MZ39" s="595"/>
      <c r="NA39" s="595"/>
      <c r="NB39" s="595"/>
      <c r="NC39" s="595"/>
      <c r="ND39" s="595"/>
      <c r="NE39" s="595"/>
      <c r="NF39" s="595"/>
      <c r="NG39" s="595"/>
      <c r="NH39" s="595"/>
      <c r="NI39" s="595"/>
      <c r="NJ39" s="595"/>
      <c r="NK39" s="595"/>
      <c r="NL39" s="595"/>
      <c r="NM39" s="595"/>
      <c r="NN39" s="595"/>
      <c r="NO39" s="595"/>
      <c r="NP39" s="595"/>
      <c r="NQ39" s="595"/>
      <c r="NR39" s="595"/>
      <c r="NS39" s="595"/>
      <c r="NT39" s="595"/>
      <c r="NU39" s="595"/>
      <c r="NV39" s="595"/>
      <c r="NW39" s="595"/>
      <c r="NX39" s="595"/>
      <c r="NY39" s="595"/>
      <c r="NZ39" s="595"/>
      <c r="OA39" s="595"/>
      <c r="OB39" s="595"/>
      <c r="OC39" s="595"/>
      <c r="OD39" s="595"/>
      <c r="OE39" s="595"/>
      <c r="OF39" s="595"/>
      <c r="OG39" s="595"/>
      <c r="OH39" s="595"/>
      <c r="OI39" s="595"/>
      <c r="OJ39" s="595"/>
      <c r="OK39" s="595"/>
      <c r="OL39" s="595"/>
      <c r="OM39" s="595"/>
      <c r="ON39" s="595"/>
      <c r="OO39" s="595"/>
      <c r="OP39" s="595"/>
      <c r="OQ39" s="595"/>
      <c r="OR39" s="595"/>
      <c r="OS39" s="595"/>
      <c r="OT39" s="595"/>
      <c r="OU39" s="595"/>
      <c r="OV39" s="595"/>
      <c r="OW39" s="595"/>
      <c r="OX39" s="595"/>
      <c r="OY39" s="595"/>
      <c r="OZ39" s="595"/>
      <c r="PA39" s="595"/>
      <c r="PB39" s="595"/>
      <c r="PC39" s="595"/>
      <c r="PD39" s="595"/>
      <c r="PE39" s="595"/>
      <c r="PF39" s="595"/>
      <c r="PG39" s="595"/>
      <c r="PH39" s="595"/>
      <c r="PI39" s="595"/>
      <c r="PJ39" s="595"/>
      <c r="PK39" s="595"/>
      <c r="PL39" s="595"/>
      <c r="PM39" s="595"/>
      <c r="PN39" s="595"/>
      <c r="PO39" s="595"/>
      <c r="PP39" s="595"/>
      <c r="PQ39" s="595"/>
      <c r="PR39" s="595"/>
      <c r="PS39" s="595"/>
      <c r="PT39" s="595"/>
      <c r="PU39" s="595"/>
      <c r="PV39" s="595"/>
      <c r="PW39" s="595"/>
      <c r="PX39" s="595"/>
      <c r="PY39" s="595"/>
      <c r="PZ39" s="595"/>
      <c r="QA39" s="595"/>
      <c r="QB39" s="595"/>
      <c r="QC39" s="595"/>
      <c r="QD39" s="595"/>
      <c r="QE39" s="595"/>
      <c r="QF39" s="595"/>
      <c r="QG39" s="595"/>
      <c r="QH39" s="595"/>
      <c r="QI39" s="595"/>
      <c r="QJ39" s="595"/>
      <c r="QK39" s="595"/>
      <c r="QL39" s="595"/>
      <c r="QM39" s="595"/>
      <c r="QN39" s="595"/>
      <c r="QO39" s="595"/>
      <c r="QP39" s="595"/>
      <c r="QQ39" s="595"/>
      <c r="QR39" s="595"/>
      <c r="QS39" s="595"/>
      <c r="QT39" s="595"/>
      <c r="QU39" s="595"/>
      <c r="QV39" s="595"/>
      <c r="QW39" s="595"/>
      <c r="QX39" s="595"/>
      <c r="QY39" s="595"/>
      <c r="QZ39" s="595"/>
      <c r="RA39" s="595"/>
      <c r="RB39" s="595"/>
      <c r="RC39" s="595"/>
      <c r="RD39" s="595"/>
      <c r="RE39" s="595"/>
      <c r="RF39" s="595"/>
      <c r="RG39" s="595"/>
      <c r="RH39" s="595"/>
      <c r="RI39" s="595"/>
      <c r="RJ39" s="595"/>
      <c r="RK39" s="595"/>
      <c r="RL39" s="595"/>
      <c r="RM39" s="595"/>
      <c r="RN39" s="595"/>
      <c r="RO39" s="595"/>
      <c r="RP39" s="595"/>
      <c r="RQ39" s="595"/>
      <c r="RR39" s="595"/>
      <c r="RS39" s="595"/>
      <c r="RT39" s="595"/>
      <c r="RU39" s="595"/>
      <c r="RV39" s="595"/>
      <c r="RW39" s="595"/>
      <c r="RX39" s="595"/>
      <c r="RY39" s="595"/>
      <c r="RZ39" s="595"/>
      <c r="SA39" s="595"/>
      <c r="SB39" s="595"/>
      <c r="SC39" s="595"/>
      <c r="SD39" s="595"/>
      <c r="SE39" s="595"/>
      <c r="SF39" s="595"/>
      <c r="SG39" s="595"/>
      <c r="SH39" s="595"/>
      <c r="SI39" s="595"/>
      <c r="SJ39" s="595"/>
      <c r="SK39" s="595"/>
      <c r="SL39" s="595"/>
      <c r="SM39" s="595"/>
      <c r="SN39" s="595"/>
      <c r="SO39" s="595"/>
      <c r="SP39" s="595"/>
      <c r="SQ39" s="595"/>
      <c r="SR39" s="595"/>
      <c r="SS39" s="595"/>
      <c r="ST39" s="595"/>
      <c r="SU39" s="595"/>
      <c r="SV39" s="595"/>
      <c r="SW39" s="595"/>
      <c r="SX39" s="595"/>
      <c r="SY39" s="595"/>
      <c r="SZ39" s="595"/>
      <c r="TA39" s="595"/>
      <c r="TB39" s="595"/>
      <c r="TC39" s="595"/>
      <c r="TD39" s="595"/>
      <c r="TE39" s="595"/>
      <c r="TF39" s="595"/>
      <c r="TG39" s="595"/>
      <c r="TH39" s="595"/>
      <c r="TI39" s="595"/>
      <c r="TJ39" s="595"/>
      <c r="TK39" s="595"/>
      <c r="TL39" s="595"/>
      <c r="TM39" s="595"/>
      <c r="TN39" s="595"/>
      <c r="TO39" s="595"/>
      <c r="TP39" s="595"/>
      <c r="TQ39" s="595"/>
      <c r="TR39" s="595"/>
      <c r="TS39" s="595"/>
      <c r="TT39" s="595"/>
      <c r="TU39" s="595"/>
      <c r="TV39" s="595"/>
      <c r="TW39" s="595"/>
      <c r="TX39" s="595"/>
      <c r="TY39" s="595"/>
      <c r="TZ39" s="595"/>
      <c r="UA39" s="595"/>
      <c r="UB39" s="595"/>
      <c r="UC39" s="595"/>
      <c r="UD39" s="595"/>
      <c r="UE39" s="595"/>
      <c r="UF39" s="595"/>
      <c r="UG39" s="595"/>
      <c r="UH39" s="595"/>
      <c r="UI39" s="595"/>
      <c r="UJ39" s="595"/>
      <c r="UK39" s="595"/>
      <c r="UL39" s="595"/>
      <c r="UM39" s="595"/>
      <c r="UN39" s="595"/>
      <c r="UO39" s="595"/>
      <c r="UP39" s="595"/>
      <c r="UQ39" s="595"/>
      <c r="UR39" s="595"/>
      <c r="US39" s="595"/>
      <c r="UT39" s="595"/>
      <c r="UU39" s="595"/>
      <c r="UV39" s="595"/>
      <c r="UW39" s="595"/>
      <c r="UX39" s="595"/>
      <c r="UY39" s="595"/>
      <c r="UZ39" s="595"/>
      <c r="VA39" s="595"/>
      <c r="VB39" s="595"/>
      <c r="VC39" s="595"/>
      <c r="VD39" s="595"/>
      <c r="VE39" s="595"/>
      <c r="VF39" s="595"/>
      <c r="VG39" s="595"/>
      <c r="VH39" s="595"/>
      <c r="VI39" s="595"/>
      <c r="VJ39" s="595"/>
      <c r="VK39" s="595"/>
      <c r="VL39" s="595"/>
      <c r="VM39" s="595"/>
      <c r="VN39" s="595"/>
      <c r="VO39" s="595"/>
      <c r="VP39" s="595"/>
      <c r="VQ39" s="595"/>
      <c r="VR39" s="595"/>
      <c r="VS39" s="595"/>
      <c r="VT39" s="595"/>
      <c r="VU39" s="595"/>
      <c r="VV39" s="595"/>
      <c r="VW39" s="595"/>
      <c r="VX39" s="595"/>
      <c r="VY39" s="595"/>
      <c r="VZ39" s="595"/>
      <c r="WA39" s="595"/>
      <c r="WB39" s="595"/>
      <c r="WC39" s="595"/>
      <c r="WD39" s="595"/>
      <c r="WE39" s="595"/>
      <c r="WF39" s="595"/>
      <c r="WG39" s="595"/>
      <c r="WH39" s="595"/>
      <c r="WI39" s="595"/>
      <c r="WJ39" s="595"/>
      <c r="WK39" s="595"/>
      <c r="WL39" s="595"/>
      <c r="WM39" s="595"/>
      <c r="WN39" s="595"/>
      <c r="WO39" s="595"/>
      <c r="WP39" s="595"/>
      <c r="WQ39" s="595"/>
      <c r="WR39" s="595"/>
      <c r="WS39" s="595"/>
      <c r="WT39" s="595"/>
      <c r="WU39" s="595"/>
      <c r="WV39" s="595"/>
      <c r="WW39" s="595"/>
      <c r="WX39" s="595"/>
      <c r="WY39" s="595"/>
      <c r="WZ39" s="595"/>
      <c r="XA39" s="595"/>
      <c r="XB39" s="595"/>
      <c r="XC39" s="595"/>
      <c r="XD39" s="595"/>
      <c r="XE39" s="595"/>
      <c r="XF39" s="595"/>
      <c r="XG39" s="595"/>
      <c r="XH39" s="595"/>
      <c r="XI39" s="595"/>
      <c r="XJ39" s="595"/>
      <c r="XK39" s="595"/>
      <c r="XL39" s="595"/>
      <c r="XM39" s="595"/>
      <c r="XN39" s="595"/>
      <c r="XO39" s="595"/>
      <c r="XP39" s="595"/>
      <c r="XQ39" s="595"/>
      <c r="XR39" s="595"/>
      <c r="XS39" s="595"/>
      <c r="XT39" s="595"/>
      <c r="XU39" s="595"/>
      <c r="XV39" s="595"/>
      <c r="XW39" s="595"/>
      <c r="XX39" s="595"/>
      <c r="XY39" s="595"/>
      <c r="XZ39" s="595"/>
      <c r="YA39" s="595"/>
      <c r="YB39" s="595"/>
      <c r="YC39" s="595"/>
      <c r="YD39" s="595"/>
      <c r="YE39" s="595"/>
      <c r="YF39" s="595"/>
      <c r="YG39" s="595"/>
      <c r="YH39" s="595"/>
      <c r="YI39" s="595"/>
      <c r="YJ39" s="595"/>
      <c r="YK39" s="595"/>
      <c r="YL39" s="595"/>
      <c r="YM39" s="595"/>
      <c r="YN39" s="595"/>
      <c r="YO39" s="595"/>
      <c r="YP39" s="595"/>
      <c r="YQ39" s="595"/>
      <c r="YR39" s="595"/>
      <c r="YS39" s="595"/>
      <c r="YT39" s="595"/>
      <c r="YU39" s="595"/>
      <c r="YV39" s="595"/>
      <c r="YW39" s="595"/>
      <c r="YX39" s="595"/>
      <c r="YY39" s="595"/>
      <c r="YZ39" s="595"/>
      <c r="ZA39" s="595"/>
      <c r="ZB39" s="595"/>
      <c r="ZC39" s="595"/>
      <c r="ZD39" s="595"/>
      <c r="ZE39" s="595"/>
      <c r="ZF39" s="595"/>
      <c r="ZG39" s="595"/>
      <c r="ZH39" s="595"/>
      <c r="ZI39" s="595"/>
      <c r="ZJ39" s="595"/>
      <c r="ZK39" s="595"/>
      <c r="ZL39" s="595"/>
      <c r="ZM39" s="595"/>
      <c r="ZN39" s="595"/>
      <c r="ZO39" s="595"/>
      <c r="ZP39" s="595"/>
      <c r="ZQ39" s="595"/>
      <c r="ZR39" s="595"/>
      <c r="ZS39" s="595"/>
      <c r="ZT39" s="595"/>
      <c r="ZU39" s="595"/>
      <c r="ZV39" s="595"/>
      <c r="ZW39" s="595"/>
      <c r="ZX39" s="595"/>
      <c r="ZY39" s="595"/>
      <c r="ZZ39" s="595"/>
      <c r="AAA39" s="595"/>
      <c r="AAB39" s="595"/>
      <c r="AAC39" s="595"/>
      <c r="AAD39" s="595"/>
      <c r="AAE39" s="595"/>
      <c r="AAF39" s="595"/>
      <c r="AAG39" s="595"/>
      <c r="AAH39" s="595"/>
      <c r="AAI39" s="595"/>
      <c r="AAJ39" s="595"/>
      <c r="AAK39" s="595"/>
      <c r="AAL39" s="595"/>
      <c r="AAM39" s="595"/>
      <c r="AAN39" s="595"/>
      <c r="AAO39" s="595"/>
      <c r="AAP39" s="595"/>
      <c r="AAQ39" s="595"/>
      <c r="AAR39" s="595"/>
      <c r="AAS39" s="595"/>
      <c r="AAT39" s="595"/>
      <c r="AAU39" s="595"/>
      <c r="AAV39" s="595"/>
      <c r="AAW39" s="595"/>
      <c r="AAX39" s="595"/>
      <c r="AAY39" s="595"/>
      <c r="AAZ39" s="595"/>
      <c r="ABA39" s="595"/>
      <c r="ABB39" s="595"/>
      <c r="ABC39" s="595"/>
      <c r="ABD39" s="595"/>
      <c r="ABE39" s="595"/>
      <c r="ABF39" s="595"/>
      <c r="ABG39" s="595"/>
      <c r="ABH39" s="595"/>
      <c r="ABI39" s="595"/>
      <c r="ABJ39" s="595"/>
      <c r="ABK39" s="595"/>
      <c r="ABL39" s="595"/>
      <c r="ABM39" s="595"/>
      <c r="ABN39" s="595"/>
      <c r="ABO39" s="595"/>
      <c r="ABP39" s="595"/>
      <c r="ABQ39" s="595"/>
      <c r="ABR39" s="595"/>
      <c r="ABS39" s="595"/>
      <c r="ABT39" s="595"/>
      <c r="ABU39" s="595"/>
      <c r="ABV39" s="595"/>
      <c r="ABW39" s="595"/>
      <c r="ABX39" s="595"/>
      <c r="ABY39" s="595"/>
      <c r="ABZ39" s="595"/>
      <c r="ACA39" s="595"/>
      <c r="ACB39" s="595"/>
      <c r="ACC39" s="595"/>
      <c r="ACD39" s="595"/>
      <c r="ACE39" s="595"/>
      <c r="ACF39" s="595"/>
      <c r="ACG39" s="595"/>
      <c r="ACH39" s="595"/>
      <c r="ACI39" s="595"/>
      <c r="ACJ39" s="595"/>
      <c r="ACK39" s="595"/>
      <c r="ACL39" s="595"/>
      <c r="ACM39" s="595"/>
      <c r="ACN39" s="595"/>
      <c r="ACO39" s="595"/>
      <c r="ACP39" s="595"/>
      <c r="ACQ39" s="595"/>
      <c r="ACR39" s="595"/>
      <c r="ACS39" s="595"/>
      <c r="ACT39" s="595"/>
      <c r="ACU39" s="595"/>
      <c r="ACV39" s="595"/>
      <c r="ACW39" s="595"/>
      <c r="ACX39" s="595"/>
      <c r="ACY39" s="595"/>
      <c r="ACZ39" s="595"/>
      <c r="ADA39" s="595"/>
      <c r="ADB39" s="595"/>
      <c r="ADC39" s="595"/>
      <c r="ADD39" s="595"/>
      <c r="ADE39" s="595"/>
      <c r="ADF39" s="595"/>
      <c r="ADG39" s="595"/>
      <c r="ADH39" s="595"/>
      <c r="ADI39" s="595"/>
      <c r="ADJ39" s="595"/>
      <c r="ADK39" s="595"/>
      <c r="ADL39" s="595"/>
      <c r="ADM39" s="595"/>
      <c r="ADN39" s="595"/>
      <c r="ADO39" s="595"/>
      <c r="ADP39" s="595"/>
      <c r="ADQ39" s="595"/>
      <c r="ADR39" s="595"/>
      <c r="ADS39" s="595"/>
      <c r="ADT39" s="595"/>
      <c r="ADU39" s="595"/>
      <c r="ADV39" s="595"/>
      <c r="ADW39" s="595"/>
      <c r="ADX39" s="595"/>
      <c r="ADY39" s="595"/>
      <c r="ADZ39" s="595"/>
      <c r="AEA39" s="595"/>
      <c r="AEB39" s="595"/>
      <c r="AEC39" s="595"/>
      <c r="AED39" s="595"/>
      <c r="AEE39" s="595"/>
      <c r="AEF39" s="595"/>
      <c r="AEG39" s="595"/>
      <c r="AEH39" s="595"/>
      <c r="AEI39" s="595"/>
      <c r="AEJ39" s="595"/>
      <c r="AEK39" s="595"/>
      <c r="AEL39" s="595"/>
      <c r="AEM39" s="595"/>
      <c r="AEN39" s="595"/>
      <c r="AEO39" s="595"/>
      <c r="AEP39" s="595"/>
      <c r="AEQ39" s="595"/>
      <c r="AER39" s="595"/>
      <c r="AES39" s="595"/>
      <c r="AET39" s="595"/>
      <c r="AEU39" s="595"/>
      <c r="AEV39" s="595"/>
      <c r="AEW39" s="595"/>
      <c r="AEX39" s="595"/>
      <c r="AEY39" s="595"/>
      <c r="AEZ39" s="595"/>
      <c r="AFA39" s="595"/>
      <c r="AFB39" s="595"/>
      <c r="AFC39" s="595"/>
      <c r="AFD39" s="595"/>
      <c r="AFE39" s="595"/>
      <c r="AFF39" s="595"/>
      <c r="AFG39" s="595"/>
      <c r="AFH39" s="595"/>
      <c r="AFI39" s="595"/>
      <c r="AFJ39" s="595"/>
      <c r="AFK39" s="595"/>
      <c r="AFL39" s="595"/>
      <c r="AFM39" s="595"/>
      <c r="AFN39" s="595"/>
      <c r="AFO39" s="595"/>
      <c r="AFP39" s="595"/>
      <c r="AFQ39" s="595"/>
      <c r="AFR39" s="595"/>
      <c r="AFS39" s="595"/>
      <c r="AFT39" s="595"/>
      <c r="AFU39" s="595"/>
      <c r="AFV39" s="595"/>
      <c r="AFW39" s="595"/>
      <c r="AFX39" s="595"/>
      <c r="AFY39" s="595"/>
      <c r="AFZ39" s="595"/>
      <c r="AGA39" s="595"/>
      <c r="AGB39" s="595"/>
      <c r="AGC39" s="595"/>
      <c r="AGD39" s="595"/>
      <c r="AGE39" s="595"/>
      <c r="AGF39" s="595"/>
      <c r="AGG39" s="595"/>
      <c r="AGH39" s="595"/>
      <c r="AGI39" s="595"/>
      <c r="AGJ39" s="595"/>
      <c r="AGK39" s="595"/>
      <c r="AGL39" s="595"/>
      <c r="AGM39" s="595"/>
      <c r="AGN39" s="595"/>
      <c r="AGO39" s="595"/>
      <c r="AGP39" s="595"/>
      <c r="AGQ39" s="595"/>
      <c r="AGR39" s="595"/>
      <c r="AGS39" s="595"/>
      <c r="AGT39" s="595"/>
      <c r="AGU39" s="595"/>
      <c r="AGV39" s="595"/>
      <c r="AGW39" s="595"/>
      <c r="AGX39" s="595"/>
      <c r="AGY39" s="595"/>
      <c r="AGZ39" s="595"/>
      <c r="AHA39" s="595"/>
      <c r="AHB39" s="595"/>
      <c r="AHC39" s="595"/>
      <c r="AHD39" s="595"/>
      <c r="AHE39" s="595"/>
      <c r="AHF39" s="595"/>
      <c r="AHG39" s="595"/>
      <c r="AHH39" s="595"/>
      <c r="AHI39" s="595"/>
      <c r="AHJ39" s="595"/>
      <c r="AHK39" s="595"/>
      <c r="AHL39" s="595"/>
      <c r="AHM39" s="595"/>
      <c r="AHN39" s="595"/>
      <c r="AHO39" s="595"/>
      <c r="AHP39" s="595"/>
      <c r="AHQ39" s="595"/>
      <c r="AHR39" s="595"/>
      <c r="AHS39" s="595"/>
      <c r="AHT39" s="595"/>
      <c r="AHU39" s="595"/>
      <c r="AHV39" s="595"/>
      <c r="AHW39" s="595"/>
      <c r="AHX39" s="595"/>
      <c r="AHY39" s="595"/>
      <c r="AHZ39" s="595"/>
      <c r="AIA39" s="595"/>
      <c r="AIB39" s="595"/>
      <c r="AIC39" s="595"/>
      <c r="AID39" s="595"/>
      <c r="AIE39" s="595"/>
      <c r="AIF39" s="595"/>
      <c r="AIG39" s="595"/>
      <c r="AIH39" s="595"/>
      <c r="AII39" s="595"/>
      <c r="AIJ39" s="595"/>
      <c r="AIK39" s="595"/>
      <c r="AIL39" s="595"/>
      <c r="AIM39" s="595"/>
      <c r="AIN39" s="595"/>
      <c r="AIO39" s="595"/>
      <c r="AIP39" s="595"/>
      <c r="AIQ39" s="595"/>
      <c r="AIR39" s="595"/>
      <c r="AIS39" s="595"/>
      <c r="AIT39" s="595"/>
      <c r="AIU39" s="595"/>
      <c r="AIV39" s="595"/>
      <c r="AIW39" s="595"/>
      <c r="AIX39" s="595"/>
      <c r="AIY39" s="595"/>
      <c r="AIZ39" s="595"/>
      <c r="AJA39" s="595"/>
      <c r="AJB39" s="595"/>
      <c r="AJC39" s="595"/>
      <c r="AJD39" s="595"/>
      <c r="AJE39" s="595"/>
      <c r="AJF39" s="595"/>
      <c r="AJG39" s="595"/>
      <c r="AJH39" s="595"/>
      <c r="AJI39" s="595"/>
      <c r="AJJ39" s="595"/>
      <c r="AJK39" s="595"/>
      <c r="AJL39" s="595"/>
      <c r="AJM39" s="595"/>
      <c r="AJN39" s="595"/>
      <c r="AJO39" s="595"/>
      <c r="AJP39" s="595"/>
      <c r="AJQ39" s="595"/>
      <c r="AJR39" s="595"/>
      <c r="AJS39" s="595"/>
      <c r="AJT39" s="595"/>
      <c r="AJU39" s="595"/>
      <c r="AJV39" s="595"/>
      <c r="AJW39" s="595"/>
      <c r="AJX39" s="595"/>
      <c r="AJY39" s="595"/>
      <c r="AJZ39" s="595"/>
      <c r="AKA39" s="595"/>
      <c r="AKB39" s="595"/>
      <c r="AKC39" s="595"/>
      <c r="AKD39" s="595"/>
      <c r="AKE39" s="595"/>
      <c r="AKF39" s="595"/>
      <c r="AKG39" s="595"/>
      <c r="AKH39" s="595"/>
      <c r="AKI39" s="595"/>
      <c r="AKJ39" s="595"/>
      <c r="AKK39" s="595"/>
      <c r="AKL39" s="595"/>
      <c r="AKM39" s="595"/>
      <c r="AKN39" s="595"/>
      <c r="AKO39" s="595"/>
      <c r="AKP39" s="595"/>
      <c r="AKQ39" s="595"/>
      <c r="AKR39" s="595"/>
      <c r="AKS39" s="595"/>
      <c r="AKT39" s="595"/>
      <c r="AKU39" s="595"/>
      <c r="AKV39" s="595"/>
      <c r="AKW39" s="595"/>
      <c r="AKX39" s="595"/>
      <c r="AKY39" s="595"/>
      <c r="AKZ39" s="595"/>
      <c r="ALA39" s="595"/>
      <c r="ALB39" s="595"/>
      <c r="ALC39" s="595"/>
      <c r="ALD39" s="595"/>
      <c r="ALE39" s="595"/>
      <c r="ALF39" s="595"/>
      <c r="ALG39" s="595"/>
      <c r="ALH39" s="595"/>
      <c r="ALI39" s="595"/>
      <c r="ALJ39" s="595"/>
      <c r="ALK39" s="595"/>
      <c r="ALL39" s="595"/>
      <c r="ALM39" s="595"/>
      <c r="ALN39" s="595"/>
      <c r="ALO39" s="595"/>
      <c r="ALP39" s="595"/>
      <c r="ALQ39" s="595"/>
      <c r="ALR39" s="595"/>
      <c r="ALS39" s="595"/>
      <c r="ALT39" s="595"/>
      <c r="ALU39" s="595"/>
      <c r="ALV39" s="595"/>
      <c r="ALW39" s="595"/>
      <c r="ALX39" s="595"/>
      <c r="ALY39" s="595"/>
      <c r="ALZ39" s="595"/>
      <c r="AMA39" s="595"/>
      <c r="AMB39" s="595"/>
      <c r="AMC39" s="595"/>
      <c r="AMD39" s="595"/>
      <c r="AME39" s="595"/>
      <c r="AMF39" s="595"/>
      <c r="AMG39" s="595"/>
      <c r="AMH39" s="595"/>
      <c r="AMI39" s="595"/>
      <c r="AMJ39" s="595"/>
      <c r="AMK39" s="595"/>
      <c r="AML39" s="595"/>
      <c r="AMM39" s="595"/>
      <c r="AMN39" s="595"/>
      <c r="AMO39" s="595"/>
      <c r="AMP39" s="595"/>
      <c r="AMQ39" s="595"/>
      <c r="AMR39" s="595"/>
      <c r="AMS39" s="595"/>
      <c r="AMT39" s="595"/>
      <c r="AMU39" s="595"/>
      <c r="AMV39" s="595"/>
      <c r="AMW39" s="595"/>
      <c r="AMX39" s="595"/>
      <c r="AMY39" s="595"/>
      <c r="AMZ39" s="595"/>
      <c r="ANA39" s="595"/>
      <c r="ANB39" s="595"/>
      <c r="ANC39" s="595"/>
      <c r="AND39" s="595"/>
      <c r="ANE39" s="595"/>
      <c r="ANF39" s="595"/>
      <c r="ANG39" s="595"/>
      <c r="ANH39" s="595"/>
      <c r="ANI39" s="595"/>
      <c r="ANJ39" s="595"/>
      <c r="ANK39" s="595"/>
      <c r="ANL39" s="595"/>
      <c r="ANM39" s="595"/>
      <c r="ANN39" s="595"/>
      <c r="ANO39" s="595"/>
      <c r="ANP39" s="595"/>
      <c r="ANQ39" s="595"/>
      <c r="ANR39" s="595"/>
      <c r="ANS39" s="595"/>
      <c r="ANT39" s="595"/>
      <c r="ANU39" s="595"/>
      <c r="ANV39" s="595"/>
      <c r="ANW39" s="595"/>
      <c r="ANX39" s="595"/>
      <c r="ANY39" s="595"/>
      <c r="ANZ39" s="595"/>
      <c r="AOA39" s="595"/>
      <c r="AOB39" s="595"/>
      <c r="AOC39" s="595"/>
      <c r="AOD39" s="595"/>
      <c r="AOE39" s="595"/>
      <c r="AOF39" s="595"/>
      <c r="AOG39" s="595"/>
      <c r="AOH39" s="595"/>
      <c r="AOI39" s="595"/>
      <c r="AOJ39" s="595"/>
      <c r="AOK39" s="595"/>
      <c r="AOL39" s="595"/>
      <c r="AOM39" s="595"/>
      <c r="AON39" s="595"/>
      <c r="AOO39" s="595"/>
      <c r="AOP39" s="595"/>
      <c r="AOQ39" s="595"/>
      <c r="AOR39" s="595"/>
      <c r="AOS39" s="595"/>
      <c r="AOT39" s="595"/>
      <c r="AOU39" s="595"/>
      <c r="AOV39" s="595"/>
      <c r="AOW39" s="595"/>
      <c r="AOX39" s="595"/>
      <c r="AOY39" s="595"/>
      <c r="AOZ39" s="595"/>
      <c r="APA39" s="595"/>
      <c r="APB39" s="595"/>
      <c r="APC39" s="595"/>
      <c r="APD39" s="595"/>
      <c r="APE39" s="595"/>
      <c r="APF39" s="595"/>
      <c r="APG39" s="595"/>
      <c r="APH39" s="595"/>
      <c r="API39" s="595"/>
      <c r="APJ39" s="595"/>
      <c r="APK39" s="595"/>
      <c r="APL39" s="595"/>
      <c r="APM39" s="595"/>
      <c r="APN39" s="595"/>
      <c r="APO39" s="595"/>
      <c r="APP39" s="595"/>
      <c r="APQ39" s="595"/>
      <c r="APR39" s="595"/>
      <c r="APS39" s="595"/>
      <c r="APT39" s="595"/>
      <c r="APU39" s="595"/>
      <c r="APV39" s="595"/>
      <c r="APW39" s="595"/>
      <c r="APX39" s="595"/>
      <c r="APY39" s="595"/>
      <c r="APZ39" s="595"/>
      <c r="AQA39" s="595"/>
      <c r="AQB39" s="595"/>
      <c r="AQC39" s="595"/>
      <c r="AQD39" s="595"/>
      <c r="AQE39" s="595"/>
      <c r="AQF39" s="595"/>
      <c r="AQG39" s="595"/>
      <c r="AQH39" s="595"/>
      <c r="AQI39" s="595"/>
      <c r="AQJ39" s="595"/>
      <c r="AQK39" s="595"/>
      <c r="AQL39" s="595"/>
      <c r="AQM39" s="595"/>
      <c r="AQN39" s="595"/>
      <c r="AQO39" s="595"/>
      <c r="AQP39" s="595"/>
      <c r="AQQ39" s="595"/>
      <c r="AQR39" s="595"/>
      <c r="AQS39" s="595"/>
      <c r="AQT39" s="595"/>
      <c r="AQU39" s="595"/>
      <c r="AQV39" s="595"/>
      <c r="AQW39" s="595"/>
      <c r="AQX39" s="595"/>
      <c r="AQY39" s="595"/>
      <c r="AQZ39" s="595"/>
      <c r="ARA39" s="595"/>
      <c r="ARB39" s="595"/>
      <c r="ARC39" s="595"/>
      <c r="ARD39" s="595"/>
      <c r="ARE39" s="595"/>
      <c r="ARF39" s="595"/>
      <c r="ARG39" s="595"/>
      <c r="ARH39" s="595"/>
      <c r="ARI39" s="595"/>
      <c r="ARJ39" s="595"/>
      <c r="ARK39" s="595"/>
      <c r="ARL39" s="595"/>
      <c r="ARM39" s="595"/>
      <c r="ARN39" s="595"/>
      <c r="ARO39" s="595"/>
      <c r="ARP39" s="595"/>
      <c r="ARQ39" s="595"/>
      <c r="ARR39" s="595"/>
      <c r="ARS39" s="595"/>
      <c r="ART39" s="595"/>
      <c r="ARU39" s="595"/>
      <c r="ARV39" s="595"/>
      <c r="ARW39" s="595"/>
      <c r="ARX39" s="595"/>
      <c r="ARY39" s="595"/>
      <c r="ARZ39" s="595"/>
      <c r="ASA39" s="595"/>
      <c r="ASB39" s="595"/>
      <c r="ASC39" s="595"/>
      <c r="ASD39" s="595"/>
      <c r="ASE39" s="595"/>
      <c r="ASF39" s="595"/>
      <c r="ASG39" s="595"/>
      <c r="ASH39" s="595"/>
      <c r="ASI39" s="595"/>
      <c r="ASJ39" s="595"/>
      <c r="ASK39" s="595"/>
      <c r="ASL39" s="595"/>
      <c r="ASM39" s="595"/>
      <c r="ASN39" s="595"/>
      <c r="ASO39" s="595"/>
      <c r="ASP39" s="595"/>
      <c r="ASQ39" s="595"/>
      <c r="ASR39" s="595"/>
      <c r="ASS39" s="595"/>
      <c r="AST39" s="595"/>
      <c r="ASU39" s="595"/>
      <c r="ASV39" s="595"/>
      <c r="ASW39" s="595"/>
      <c r="ASX39" s="595"/>
      <c r="ASY39" s="595"/>
      <c r="ASZ39" s="595"/>
      <c r="ATA39" s="595"/>
      <c r="ATB39" s="595"/>
      <c r="ATC39" s="595"/>
      <c r="ATD39" s="595"/>
      <c r="ATE39" s="595"/>
      <c r="ATF39" s="595"/>
      <c r="ATG39" s="595"/>
      <c r="ATH39" s="595"/>
      <c r="ATI39" s="595"/>
      <c r="ATJ39" s="595"/>
      <c r="ATK39" s="595"/>
      <c r="ATL39" s="595"/>
      <c r="ATM39" s="595"/>
      <c r="ATN39" s="595"/>
      <c r="ATO39" s="595"/>
      <c r="ATP39" s="595"/>
      <c r="ATQ39" s="595"/>
      <c r="ATR39" s="595"/>
      <c r="ATS39" s="595"/>
      <c r="ATT39" s="595"/>
      <c r="ATU39" s="595"/>
      <c r="ATV39" s="595"/>
      <c r="ATW39" s="595"/>
      <c r="ATX39" s="595"/>
      <c r="ATY39" s="595"/>
      <c r="ATZ39" s="595"/>
      <c r="AUA39" s="595"/>
      <c r="AUB39" s="595"/>
      <c r="AUC39" s="595"/>
      <c r="AUD39" s="595"/>
      <c r="AUE39" s="595"/>
      <c r="AUF39" s="595"/>
      <c r="AUG39" s="595"/>
      <c r="AUH39" s="595"/>
      <c r="AUI39" s="595"/>
      <c r="AUJ39" s="595"/>
      <c r="AUK39" s="595"/>
      <c r="AUL39" s="595"/>
      <c r="AUM39" s="595"/>
      <c r="AUN39" s="595"/>
      <c r="AUO39" s="595"/>
      <c r="AUP39" s="595"/>
      <c r="AUQ39" s="595"/>
      <c r="AUR39" s="595"/>
      <c r="AUS39" s="595"/>
      <c r="AUT39" s="595"/>
      <c r="AUU39" s="595"/>
      <c r="AUV39" s="595"/>
      <c r="AUW39" s="595"/>
      <c r="AUX39" s="595"/>
      <c r="AUY39" s="595"/>
      <c r="AUZ39" s="595"/>
      <c r="AVA39" s="595"/>
      <c r="AVB39" s="595"/>
      <c r="AVC39" s="595"/>
      <c r="AVD39" s="595"/>
      <c r="AVE39" s="595"/>
      <c r="AVF39" s="595"/>
      <c r="AVG39" s="595"/>
      <c r="AVH39" s="595"/>
      <c r="AVI39" s="595"/>
      <c r="AVJ39" s="595"/>
      <c r="AVK39" s="595"/>
      <c r="AVL39" s="595"/>
      <c r="AVM39" s="595"/>
      <c r="AVN39" s="595"/>
      <c r="AVO39" s="595"/>
      <c r="AVP39" s="595"/>
      <c r="AVQ39" s="595"/>
      <c r="AVR39" s="595"/>
      <c r="AVS39" s="595"/>
      <c r="AVT39" s="595"/>
      <c r="AVU39" s="595"/>
      <c r="AVV39" s="595"/>
      <c r="AVW39" s="595"/>
      <c r="AVX39" s="595"/>
      <c r="AVY39" s="595"/>
      <c r="AVZ39" s="595"/>
      <c r="AWA39" s="595"/>
      <c r="AWB39" s="595"/>
      <c r="AWC39" s="595"/>
      <c r="AWD39" s="595"/>
      <c r="AWE39" s="595"/>
      <c r="AWF39" s="595"/>
      <c r="AWG39" s="595"/>
      <c r="AWH39" s="595"/>
      <c r="AWI39" s="595"/>
      <c r="AWJ39" s="595"/>
      <c r="AWK39" s="595"/>
      <c r="AWL39" s="595"/>
      <c r="AWM39" s="595"/>
      <c r="AWN39" s="595"/>
      <c r="AWO39" s="595"/>
      <c r="AWP39" s="595"/>
      <c r="AWQ39" s="595"/>
      <c r="AWR39" s="595"/>
      <c r="AWS39" s="595"/>
      <c r="AWT39" s="595"/>
      <c r="AWU39" s="595"/>
      <c r="AWV39" s="595"/>
      <c r="AWW39" s="595"/>
      <c r="AWX39" s="595"/>
      <c r="AWY39" s="595"/>
      <c r="AWZ39" s="595"/>
      <c r="AXA39" s="595"/>
      <c r="AXB39" s="595"/>
      <c r="AXC39" s="595"/>
      <c r="AXD39" s="595"/>
      <c r="AXE39" s="595"/>
      <c r="AXF39" s="595"/>
      <c r="AXG39" s="595"/>
      <c r="AXH39" s="595"/>
      <c r="AXI39" s="595"/>
      <c r="AXJ39" s="595"/>
      <c r="AXK39" s="595"/>
      <c r="AXL39" s="595"/>
      <c r="AXM39" s="595"/>
      <c r="AXN39" s="595"/>
      <c r="AXO39" s="595"/>
      <c r="AXP39" s="595"/>
      <c r="AXQ39" s="595"/>
      <c r="AXR39" s="595"/>
      <c r="AXS39" s="595"/>
      <c r="AXT39" s="595"/>
      <c r="AXU39" s="595"/>
      <c r="AXV39" s="595"/>
      <c r="AXW39" s="595"/>
      <c r="AXX39" s="595"/>
      <c r="AXY39" s="595"/>
      <c r="AXZ39" s="595"/>
      <c r="AYA39" s="595"/>
      <c r="AYB39" s="595"/>
      <c r="AYC39" s="595"/>
      <c r="AYD39" s="595"/>
      <c r="AYE39" s="595"/>
      <c r="AYF39" s="595"/>
      <c r="AYG39" s="595"/>
      <c r="AYH39" s="595"/>
      <c r="AYI39" s="595"/>
      <c r="AYJ39" s="595"/>
      <c r="AYK39" s="595"/>
      <c r="AYL39" s="595"/>
      <c r="AYM39" s="595"/>
      <c r="AYN39" s="595"/>
      <c r="AYO39" s="595"/>
      <c r="AYP39" s="595"/>
      <c r="AYQ39" s="595"/>
      <c r="AYR39" s="595"/>
      <c r="AYS39" s="595"/>
      <c r="AYT39" s="595"/>
      <c r="AYU39" s="595"/>
      <c r="AYV39" s="595"/>
      <c r="AYW39" s="595"/>
      <c r="AYX39" s="595"/>
      <c r="AYY39" s="595"/>
      <c r="AYZ39" s="595"/>
      <c r="AZA39" s="595"/>
      <c r="AZB39" s="595"/>
      <c r="AZC39" s="595"/>
      <c r="AZD39" s="595"/>
      <c r="AZE39" s="595"/>
      <c r="AZF39" s="595"/>
      <c r="AZG39" s="595"/>
      <c r="AZH39" s="595"/>
      <c r="AZI39" s="595"/>
      <c r="AZJ39" s="595"/>
      <c r="AZK39" s="595"/>
      <c r="AZL39" s="595"/>
      <c r="AZM39" s="595"/>
      <c r="AZN39" s="595"/>
      <c r="AZO39" s="595"/>
      <c r="AZP39" s="595"/>
      <c r="AZQ39" s="595"/>
      <c r="AZR39" s="595"/>
      <c r="AZS39" s="595"/>
      <c r="AZT39" s="595"/>
      <c r="AZU39" s="595"/>
      <c r="AZV39" s="595"/>
      <c r="AZW39" s="595"/>
      <c r="AZX39" s="595"/>
      <c r="AZY39" s="595"/>
      <c r="AZZ39" s="595"/>
      <c r="BAA39" s="595"/>
      <c r="BAB39" s="595"/>
      <c r="BAC39" s="595"/>
      <c r="BAD39" s="595"/>
      <c r="BAE39" s="595"/>
      <c r="BAF39" s="595"/>
      <c r="BAG39" s="595"/>
      <c r="BAH39" s="595"/>
      <c r="BAI39" s="595"/>
      <c r="BAJ39" s="595"/>
      <c r="BAK39" s="595"/>
      <c r="BAL39" s="595"/>
      <c r="BAM39" s="595"/>
      <c r="BAN39" s="595"/>
      <c r="BAO39" s="595"/>
      <c r="BAP39" s="595"/>
      <c r="BAQ39" s="595"/>
      <c r="BAR39" s="595"/>
      <c r="BAS39" s="595"/>
      <c r="BAT39" s="595"/>
      <c r="BAU39" s="595"/>
      <c r="BAV39" s="595"/>
      <c r="BAW39" s="595"/>
      <c r="BAX39" s="595"/>
      <c r="BAY39" s="595"/>
      <c r="BAZ39" s="595"/>
      <c r="BBA39" s="595"/>
      <c r="BBB39" s="595"/>
      <c r="BBC39" s="595"/>
      <c r="BBD39" s="595"/>
      <c r="BBE39" s="595"/>
      <c r="BBF39" s="595"/>
      <c r="BBG39" s="595"/>
      <c r="BBH39" s="595"/>
      <c r="BBI39" s="595"/>
      <c r="BBJ39" s="595"/>
      <c r="BBK39" s="595"/>
      <c r="BBL39" s="595"/>
      <c r="BBM39" s="595"/>
      <c r="BBN39" s="595"/>
      <c r="BBO39" s="595"/>
      <c r="BBP39" s="595"/>
      <c r="BBQ39" s="595"/>
      <c r="BBR39" s="595"/>
      <c r="BBS39" s="595"/>
      <c r="BBT39" s="595"/>
      <c r="BBU39" s="595"/>
      <c r="BBV39" s="595"/>
      <c r="BBW39" s="595"/>
      <c r="BBX39" s="595"/>
      <c r="BBY39" s="595"/>
      <c r="BBZ39" s="595"/>
      <c r="BCA39" s="595"/>
      <c r="BCB39" s="595"/>
      <c r="BCC39" s="595"/>
      <c r="BCD39" s="595"/>
      <c r="BCE39" s="595"/>
      <c r="BCF39" s="595"/>
      <c r="BCG39" s="595"/>
      <c r="BCH39" s="595"/>
      <c r="BCI39" s="595"/>
      <c r="BCJ39" s="595"/>
      <c r="BCK39" s="595"/>
      <c r="BCL39" s="595"/>
      <c r="BCM39" s="595"/>
      <c r="BCN39" s="595"/>
      <c r="BCO39" s="595"/>
      <c r="BCP39" s="595"/>
      <c r="BCQ39" s="595"/>
      <c r="BCR39" s="595"/>
      <c r="BCS39" s="595"/>
      <c r="BCT39" s="595"/>
      <c r="BCU39" s="595"/>
      <c r="BCV39" s="595"/>
      <c r="BCW39" s="595"/>
      <c r="BCX39" s="595"/>
      <c r="BCY39" s="595"/>
      <c r="BCZ39" s="595"/>
      <c r="BDA39" s="595"/>
      <c r="BDB39" s="595"/>
      <c r="BDC39" s="595"/>
      <c r="BDD39" s="595"/>
      <c r="BDE39" s="595"/>
      <c r="BDF39" s="595"/>
      <c r="BDG39" s="595"/>
      <c r="BDH39" s="595"/>
      <c r="BDI39" s="595"/>
      <c r="BDJ39" s="595"/>
      <c r="BDK39" s="595"/>
      <c r="BDL39" s="595"/>
      <c r="BDM39" s="595"/>
      <c r="BDN39" s="595"/>
      <c r="BDO39" s="595"/>
      <c r="BDP39" s="595"/>
      <c r="BDQ39" s="595"/>
      <c r="BDR39" s="595"/>
      <c r="BDS39" s="595"/>
      <c r="BDT39" s="595"/>
      <c r="BDU39" s="595"/>
      <c r="BDV39" s="595"/>
      <c r="BDW39" s="595"/>
      <c r="BDX39" s="595"/>
      <c r="BDY39" s="595"/>
      <c r="BDZ39" s="595"/>
      <c r="BEA39" s="595"/>
      <c r="BEB39" s="595"/>
      <c r="BEC39" s="595"/>
      <c r="BED39" s="595"/>
      <c r="BEE39" s="595"/>
      <c r="BEF39" s="595"/>
      <c r="BEG39" s="595"/>
      <c r="BEH39" s="595"/>
      <c r="BEI39" s="595"/>
      <c r="BEJ39" s="595"/>
      <c r="BEK39" s="595"/>
      <c r="BEL39" s="595"/>
      <c r="BEM39" s="595"/>
      <c r="BEN39" s="595"/>
      <c r="BEO39" s="595"/>
      <c r="BEP39" s="595"/>
      <c r="BEQ39" s="595"/>
      <c r="BER39" s="595"/>
      <c r="BES39" s="595"/>
      <c r="BET39" s="595"/>
      <c r="BEU39" s="595"/>
      <c r="BEV39" s="595"/>
      <c r="BEW39" s="595"/>
      <c r="BEX39" s="595"/>
      <c r="BEY39" s="595"/>
      <c r="BEZ39" s="595"/>
      <c r="BFA39" s="595"/>
      <c r="BFB39" s="595"/>
      <c r="BFC39" s="595"/>
      <c r="BFD39" s="595"/>
      <c r="BFE39" s="595"/>
      <c r="BFF39" s="595"/>
      <c r="BFG39" s="595"/>
      <c r="BFH39" s="595"/>
      <c r="BFI39" s="595"/>
      <c r="BFJ39" s="595"/>
      <c r="BFK39" s="595"/>
      <c r="BFL39" s="595"/>
      <c r="BFM39" s="595"/>
      <c r="BFN39" s="595"/>
      <c r="BFO39" s="595"/>
      <c r="BFP39" s="595"/>
      <c r="BFQ39" s="595"/>
      <c r="BFR39" s="595"/>
      <c r="BFS39" s="595"/>
      <c r="BFT39" s="595"/>
      <c r="BFU39" s="595"/>
      <c r="BFV39" s="595"/>
      <c r="BFW39" s="595"/>
      <c r="BFX39" s="595"/>
      <c r="BFY39" s="595"/>
      <c r="BFZ39" s="595"/>
      <c r="BGA39" s="595"/>
      <c r="BGB39" s="595"/>
      <c r="BGC39" s="595"/>
      <c r="BGD39" s="595"/>
      <c r="BGE39" s="595"/>
      <c r="BGF39" s="595"/>
      <c r="BGG39" s="595"/>
      <c r="BGH39" s="595"/>
      <c r="BGI39" s="595"/>
      <c r="BGJ39" s="595"/>
      <c r="BGK39" s="595"/>
      <c r="BGL39" s="595"/>
      <c r="BGM39" s="595"/>
      <c r="BGN39" s="595"/>
      <c r="BGO39" s="595"/>
      <c r="BGP39" s="595"/>
      <c r="BGQ39" s="595"/>
      <c r="BGR39" s="595"/>
      <c r="BGS39" s="595"/>
      <c r="BGT39" s="595"/>
      <c r="BGU39" s="595"/>
      <c r="BGV39" s="595"/>
      <c r="BGW39" s="595"/>
      <c r="BGX39" s="595"/>
      <c r="BGY39" s="595"/>
      <c r="BGZ39" s="595"/>
      <c r="BHA39" s="595"/>
      <c r="BHB39" s="595"/>
      <c r="BHC39" s="595"/>
      <c r="BHD39" s="595"/>
      <c r="BHE39" s="595"/>
      <c r="BHF39" s="595"/>
      <c r="BHG39" s="595"/>
      <c r="BHH39" s="595"/>
      <c r="BHI39" s="595"/>
      <c r="BHJ39" s="595"/>
      <c r="BHK39" s="595"/>
      <c r="BHL39" s="595"/>
      <c r="BHM39" s="595"/>
      <c r="BHN39" s="595"/>
      <c r="BHO39" s="595"/>
      <c r="BHP39" s="595"/>
      <c r="BHQ39" s="595"/>
      <c r="BHR39" s="595"/>
      <c r="BHS39" s="595"/>
      <c r="BHT39" s="595"/>
      <c r="BHU39" s="595"/>
      <c r="BHV39" s="595"/>
      <c r="BHW39" s="595"/>
      <c r="BHX39" s="595"/>
      <c r="BHY39" s="595"/>
      <c r="BHZ39" s="595"/>
      <c r="BIA39" s="595"/>
      <c r="BIB39" s="595"/>
      <c r="BIC39" s="595"/>
      <c r="BID39" s="595"/>
      <c r="BIE39" s="595"/>
      <c r="BIF39" s="595"/>
      <c r="BIG39" s="595"/>
      <c r="BIH39" s="595"/>
      <c r="BII39" s="595"/>
      <c r="BIJ39" s="595"/>
      <c r="BIK39" s="595"/>
      <c r="BIL39" s="595"/>
      <c r="BIM39" s="595"/>
      <c r="BIN39" s="595"/>
      <c r="BIO39" s="595"/>
      <c r="BIP39" s="595"/>
      <c r="BIQ39" s="595"/>
      <c r="BIR39" s="595"/>
      <c r="BIS39" s="595"/>
      <c r="BIT39" s="595"/>
      <c r="BIU39" s="595"/>
      <c r="BIV39" s="595"/>
      <c r="BIW39" s="595"/>
      <c r="BIX39" s="595"/>
      <c r="BIY39" s="595"/>
      <c r="BIZ39" s="595"/>
      <c r="BJA39" s="595"/>
      <c r="BJB39" s="595"/>
      <c r="BJC39" s="595"/>
      <c r="BJD39" s="595"/>
      <c r="BJE39" s="595"/>
      <c r="BJF39" s="595"/>
      <c r="BJG39" s="595"/>
      <c r="BJH39" s="595"/>
      <c r="BJI39" s="595"/>
      <c r="BJJ39" s="595"/>
      <c r="BJK39" s="595"/>
      <c r="BJL39" s="595"/>
      <c r="BJM39" s="595"/>
      <c r="BJN39" s="595"/>
      <c r="BJO39" s="595"/>
      <c r="BJP39" s="595"/>
      <c r="BJQ39" s="595"/>
      <c r="BJR39" s="595"/>
      <c r="BJS39" s="595"/>
      <c r="BJT39" s="595"/>
      <c r="BJU39" s="595"/>
      <c r="BJV39" s="595"/>
      <c r="BJW39" s="595"/>
      <c r="BJX39" s="595"/>
      <c r="BJY39" s="595"/>
      <c r="BJZ39" s="595"/>
      <c r="BKA39" s="595"/>
      <c r="BKB39" s="595"/>
      <c r="BKC39" s="595"/>
      <c r="BKD39" s="595"/>
      <c r="BKE39" s="595"/>
      <c r="BKF39" s="595"/>
      <c r="BKG39" s="595"/>
      <c r="BKH39" s="595"/>
      <c r="BKI39" s="595"/>
      <c r="BKJ39" s="595"/>
      <c r="BKK39" s="595"/>
      <c r="BKL39" s="595"/>
      <c r="BKM39" s="595"/>
      <c r="BKN39" s="595"/>
      <c r="BKO39" s="595"/>
      <c r="BKP39" s="595"/>
      <c r="BKQ39" s="595"/>
      <c r="BKR39" s="595"/>
      <c r="BKS39" s="595"/>
      <c r="BKT39" s="595"/>
      <c r="BKU39" s="595"/>
      <c r="BKV39" s="595"/>
      <c r="BKW39" s="595"/>
      <c r="BKX39" s="595"/>
      <c r="BKY39" s="595"/>
      <c r="BKZ39" s="595"/>
      <c r="BLA39" s="595"/>
      <c r="BLB39" s="595"/>
      <c r="BLC39" s="595"/>
      <c r="BLD39" s="595"/>
      <c r="BLE39" s="595"/>
      <c r="BLF39" s="595"/>
      <c r="BLG39" s="595"/>
      <c r="BLH39" s="595"/>
      <c r="BLI39" s="595"/>
      <c r="BLJ39" s="595"/>
      <c r="BLK39" s="595"/>
      <c r="BLL39" s="595"/>
      <c r="BLM39" s="595"/>
      <c r="BLN39" s="595"/>
      <c r="BLO39" s="595"/>
      <c r="BLP39" s="595"/>
      <c r="BLQ39" s="595"/>
      <c r="BLR39" s="595"/>
      <c r="BLS39" s="595"/>
      <c r="BLT39" s="595"/>
      <c r="BLU39" s="595"/>
      <c r="BLV39" s="595"/>
      <c r="BLW39" s="595"/>
      <c r="BLX39" s="595"/>
      <c r="BLY39" s="595"/>
      <c r="BLZ39" s="595"/>
      <c r="BMA39" s="595"/>
      <c r="BMB39" s="595"/>
      <c r="BMC39" s="595"/>
      <c r="BMD39" s="595"/>
      <c r="BME39" s="595"/>
      <c r="BMF39" s="595"/>
      <c r="BMG39" s="595"/>
      <c r="BMH39" s="595"/>
      <c r="BMI39" s="595"/>
      <c r="BMJ39" s="595"/>
      <c r="BMK39" s="595"/>
      <c r="BML39" s="595"/>
      <c r="BMM39" s="595"/>
      <c r="BMN39" s="595"/>
      <c r="BMO39" s="595"/>
      <c r="BMP39" s="595"/>
      <c r="BMQ39" s="595"/>
      <c r="BMR39" s="595"/>
      <c r="BMS39" s="595"/>
      <c r="BMT39" s="595"/>
      <c r="BMU39" s="595"/>
      <c r="BMV39" s="595"/>
      <c r="BMW39" s="595"/>
      <c r="BMX39" s="595"/>
      <c r="BMY39" s="595"/>
      <c r="BMZ39" s="595"/>
      <c r="BNA39" s="595"/>
      <c r="BNB39" s="595"/>
      <c r="BNC39" s="595"/>
      <c r="BND39" s="595"/>
      <c r="BNE39" s="595"/>
      <c r="BNF39" s="595"/>
      <c r="BNG39" s="595"/>
      <c r="BNH39" s="595"/>
      <c r="BNI39" s="595"/>
      <c r="BNJ39" s="595"/>
      <c r="BNK39" s="595"/>
      <c r="BNL39" s="595"/>
      <c r="BNM39" s="595"/>
      <c r="BNN39" s="595"/>
      <c r="BNO39" s="595"/>
      <c r="BNP39" s="595"/>
      <c r="BNQ39" s="595"/>
      <c r="BNR39" s="595"/>
      <c r="BNS39" s="595"/>
      <c r="BNT39" s="595"/>
      <c r="BNU39" s="595"/>
      <c r="BNV39" s="595"/>
      <c r="BNW39" s="595"/>
      <c r="BNX39" s="595"/>
      <c r="BNY39" s="595"/>
      <c r="BNZ39" s="595"/>
      <c r="BOA39" s="595"/>
      <c r="BOB39" s="595"/>
      <c r="BOC39" s="595"/>
      <c r="BOD39" s="595"/>
      <c r="BOE39" s="595"/>
      <c r="BOF39" s="595"/>
      <c r="BOG39" s="595"/>
      <c r="BOH39" s="595"/>
      <c r="BOI39" s="595"/>
      <c r="BOJ39" s="595"/>
      <c r="BOK39" s="595"/>
      <c r="BOL39" s="595"/>
      <c r="BOM39" s="595"/>
      <c r="BON39" s="595"/>
      <c r="BOO39" s="595"/>
      <c r="BOP39" s="595"/>
      <c r="BOQ39" s="595"/>
      <c r="BOR39" s="595"/>
      <c r="BOS39" s="595"/>
      <c r="BOT39" s="595"/>
      <c r="BOU39" s="595"/>
      <c r="BOV39" s="595"/>
      <c r="BOW39" s="595"/>
      <c r="BOX39" s="595"/>
      <c r="BOY39" s="595"/>
      <c r="BOZ39" s="595"/>
      <c r="BPA39" s="595"/>
      <c r="BPB39" s="595"/>
      <c r="BPC39" s="595"/>
      <c r="BPD39" s="595"/>
      <c r="BPE39" s="595"/>
      <c r="BPF39" s="595"/>
      <c r="BPG39" s="595"/>
      <c r="BPH39" s="595"/>
      <c r="BPI39" s="595"/>
      <c r="BPJ39" s="595"/>
      <c r="BPK39" s="595"/>
      <c r="BPL39" s="595"/>
      <c r="BPM39" s="595"/>
      <c r="BPN39" s="595"/>
      <c r="BPO39" s="595"/>
      <c r="BPP39" s="595"/>
      <c r="BPQ39" s="595"/>
      <c r="BPR39" s="595"/>
      <c r="BPS39" s="595"/>
      <c r="BPT39" s="595"/>
      <c r="BPU39" s="595"/>
      <c r="BPV39" s="595"/>
      <c r="BPW39" s="595"/>
      <c r="BPX39" s="595"/>
      <c r="BPY39" s="595"/>
      <c r="BPZ39" s="595"/>
      <c r="BQA39" s="595"/>
      <c r="BQB39" s="595"/>
      <c r="BQC39" s="595"/>
      <c r="BQD39" s="595"/>
      <c r="BQE39" s="595"/>
      <c r="BQF39" s="595"/>
      <c r="BQG39" s="595"/>
      <c r="BQH39" s="595"/>
      <c r="BQI39" s="595"/>
      <c r="BQJ39" s="595"/>
      <c r="BQK39" s="595"/>
      <c r="BQL39" s="595"/>
      <c r="BQM39" s="595"/>
      <c r="BQN39" s="595"/>
      <c r="BQO39" s="595"/>
      <c r="BQP39" s="595"/>
      <c r="BQQ39" s="595"/>
      <c r="BQR39" s="595"/>
      <c r="BQS39" s="595"/>
      <c r="BQT39" s="595"/>
      <c r="BQU39" s="595"/>
      <c r="BQV39" s="595"/>
      <c r="BQW39" s="595"/>
      <c r="BQX39" s="595"/>
      <c r="BQY39" s="595"/>
      <c r="BQZ39" s="595"/>
      <c r="BRA39" s="595"/>
      <c r="BRB39" s="595"/>
      <c r="BRC39" s="595"/>
      <c r="BRD39" s="595"/>
      <c r="BRE39" s="595"/>
      <c r="BRF39" s="595"/>
      <c r="BRG39" s="595"/>
      <c r="BRH39" s="595"/>
      <c r="BRI39" s="595"/>
      <c r="BRJ39" s="595"/>
      <c r="BRK39" s="595"/>
      <c r="BRL39" s="595"/>
      <c r="BRM39" s="595"/>
      <c r="BRN39" s="595"/>
      <c r="BRO39" s="595"/>
      <c r="BRP39" s="595"/>
      <c r="BRQ39" s="595"/>
      <c r="BRR39" s="595"/>
      <c r="BRS39" s="595"/>
      <c r="BRT39" s="595"/>
      <c r="BRU39" s="595"/>
      <c r="BRV39" s="595"/>
      <c r="BRW39" s="595"/>
      <c r="BRX39" s="595"/>
      <c r="BRY39" s="595"/>
      <c r="BRZ39" s="595"/>
      <c r="BSA39" s="595"/>
      <c r="BSB39" s="595"/>
      <c r="BSC39" s="595"/>
      <c r="BSD39" s="595"/>
      <c r="BSE39" s="595"/>
      <c r="BSF39" s="595"/>
      <c r="BSG39" s="595"/>
      <c r="BSH39" s="595"/>
      <c r="BSI39" s="595"/>
      <c r="BSJ39" s="595"/>
      <c r="BSK39" s="595"/>
      <c r="BSL39" s="595"/>
      <c r="BSM39" s="595"/>
      <c r="BSN39" s="595"/>
      <c r="BSO39" s="595"/>
      <c r="BSP39" s="595"/>
      <c r="BSQ39" s="595"/>
      <c r="BSR39" s="595"/>
      <c r="BSS39" s="595"/>
      <c r="BST39" s="595"/>
      <c r="BSU39" s="595"/>
      <c r="BSV39" s="595"/>
      <c r="BSW39" s="595"/>
      <c r="BSX39" s="595"/>
      <c r="BSY39" s="595"/>
      <c r="BSZ39" s="595"/>
      <c r="BTA39" s="595"/>
      <c r="BTB39" s="595"/>
      <c r="BTC39" s="595"/>
      <c r="BTD39" s="595"/>
      <c r="BTE39" s="595"/>
      <c r="BTF39" s="595"/>
      <c r="BTG39" s="595"/>
      <c r="BTH39" s="595"/>
      <c r="BTI39" s="595"/>
      <c r="BTJ39" s="595"/>
      <c r="BTK39" s="595"/>
      <c r="BTL39" s="595"/>
      <c r="BTM39" s="595"/>
      <c r="BTN39" s="595"/>
      <c r="BTO39" s="595"/>
      <c r="BTP39" s="595"/>
      <c r="BTQ39" s="595"/>
      <c r="BTR39" s="595"/>
      <c r="BTS39" s="595"/>
      <c r="BTT39" s="595"/>
      <c r="BTU39" s="595"/>
      <c r="BTV39" s="595"/>
      <c r="BTW39" s="595"/>
      <c r="BTX39" s="595"/>
      <c r="BTY39" s="595"/>
      <c r="BTZ39" s="595"/>
      <c r="BUA39" s="595"/>
      <c r="BUB39" s="595"/>
      <c r="BUC39" s="595"/>
      <c r="BUD39" s="595"/>
      <c r="BUE39" s="595"/>
      <c r="BUF39" s="595"/>
      <c r="BUG39" s="595"/>
      <c r="BUH39" s="595"/>
      <c r="BUI39" s="595"/>
      <c r="BUJ39" s="595"/>
      <c r="BUK39" s="595"/>
      <c r="BUL39" s="595"/>
      <c r="BUM39" s="595"/>
      <c r="BUN39" s="595"/>
      <c r="BUO39" s="595"/>
      <c r="BUP39" s="595"/>
      <c r="BUQ39" s="595"/>
      <c r="BUR39" s="595"/>
      <c r="BUS39" s="595"/>
      <c r="BUT39" s="595"/>
      <c r="BUU39" s="595"/>
      <c r="BUV39" s="595"/>
      <c r="BUW39" s="595"/>
      <c r="BUX39" s="595"/>
      <c r="BUY39" s="595"/>
      <c r="BUZ39" s="595"/>
      <c r="BVA39" s="595"/>
      <c r="BVB39" s="595"/>
      <c r="BVC39" s="595"/>
      <c r="BVD39" s="595"/>
      <c r="BVE39" s="595"/>
      <c r="BVF39" s="595"/>
      <c r="BVG39" s="595"/>
      <c r="BVH39" s="595"/>
      <c r="BVI39" s="595"/>
      <c r="BVJ39" s="595"/>
      <c r="BVK39" s="595"/>
      <c r="BVL39" s="595"/>
      <c r="BVM39" s="595"/>
      <c r="BVN39" s="595"/>
      <c r="BVO39" s="595"/>
      <c r="BVP39" s="595"/>
      <c r="BVQ39" s="595"/>
      <c r="BVR39" s="595"/>
      <c r="BVS39" s="595"/>
      <c r="BVT39" s="595"/>
      <c r="BVU39" s="595"/>
      <c r="BVV39" s="595"/>
      <c r="BVW39" s="595"/>
      <c r="BVX39" s="595"/>
      <c r="BVY39" s="595"/>
      <c r="BVZ39" s="595"/>
      <c r="BWA39" s="595"/>
      <c r="BWB39" s="595"/>
      <c r="BWC39" s="595"/>
      <c r="BWD39" s="595"/>
      <c r="BWE39" s="595"/>
      <c r="BWF39" s="595"/>
      <c r="BWG39" s="595"/>
      <c r="BWH39" s="595"/>
      <c r="BWI39" s="595"/>
      <c r="BWJ39" s="595"/>
      <c r="BWK39" s="595"/>
      <c r="BWL39" s="595"/>
      <c r="BWM39" s="595"/>
      <c r="BWN39" s="595"/>
      <c r="BWO39" s="595"/>
      <c r="BWP39" s="595"/>
      <c r="BWQ39" s="595"/>
      <c r="BWR39" s="595"/>
      <c r="BWS39" s="595"/>
      <c r="BWT39" s="595"/>
      <c r="BWU39" s="595"/>
      <c r="BWV39" s="595"/>
      <c r="BWW39" s="595"/>
      <c r="BWX39" s="595"/>
      <c r="BWY39" s="595"/>
      <c r="BWZ39" s="595"/>
      <c r="BXA39" s="595"/>
      <c r="BXB39" s="595"/>
      <c r="BXC39" s="595"/>
      <c r="BXD39" s="595"/>
      <c r="BXE39" s="595"/>
      <c r="BXF39" s="595"/>
      <c r="BXG39" s="595"/>
      <c r="BXH39" s="595"/>
      <c r="BXI39" s="595"/>
      <c r="BXJ39" s="595"/>
      <c r="BXK39" s="595"/>
      <c r="BXL39" s="595"/>
      <c r="BXM39" s="595"/>
      <c r="BXN39" s="595"/>
      <c r="BXO39" s="595"/>
      <c r="BXP39" s="595"/>
      <c r="BXQ39" s="595"/>
      <c r="BXR39" s="595"/>
      <c r="BXS39" s="595"/>
      <c r="BXT39" s="595"/>
      <c r="BXU39" s="595"/>
      <c r="BXV39" s="595"/>
      <c r="BXW39" s="595"/>
      <c r="BXX39" s="595"/>
      <c r="BXY39" s="595"/>
      <c r="BXZ39" s="595"/>
      <c r="BYA39" s="595"/>
      <c r="BYB39" s="595"/>
      <c r="BYC39" s="595"/>
      <c r="BYD39" s="595"/>
      <c r="BYE39" s="595"/>
      <c r="BYF39" s="595"/>
      <c r="BYG39" s="595"/>
      <c r="BYH39" s="595"/>
      <c r="BYI39" s="595"/>
      <c r="BYJ39" s="595"/>
      <c r="BYK39" s="595"/>
      <c r="BYL39" s="595"/>
      <c r="BYM39" s="595"/>
      <c r="BYN39" s="595"/>
      <c r="BYO39" s="595"/>
      <c r="BYP39" s="595"/>
      <c r="BYQ39" s="595"/>
      <c r="BYR39" s="595"/>
      <c r="BYS39" s="595"/>
      <c r="BYT39" s="595"/>
      <c r="BYU39" s="595"/>
      <c r="BYV39" s="595"/>
      <c r="BYW39" s="595"/>
      <c r="BYX39" s="595"/>
      <c r="BYY39" s="595"/>
      <c r="BYZ39" s="595"/>
      <c r="BZA39" s="595"/>
      <c r="BZB39" s="595"/>
      <c r="BZC39" s="595"/>
      <c r="BZD39" s="595"/>
      <c r="BZE39" s="595"/>
      <c r="BZF39" s="595"/>
      <c r="BZG39" s="595"/>
      <c r="BZH39" s="595"/>
      <c r="BZI39" s="595"/>
      <c r="BZJ39" s="595"/>
      <c r="BZK39" s="595"/>
      <c r="BZL39" s="595"/>
      <c r="BZM39" s="595"/>
      <c r="BZN39" s="595"/>
      <c r="BZO39" s="595"/>
      <c r="BZP39" s="595"/>
      <c r="BZQ39" s="595"/>
      <c r="BZR39" s="595"/>
      <c r="BZS39" s="595"/>
      <c r="BZT39" s="595"/>
      <c r="BZU39" s="595"/>
      <c r="BZV39" s="595"/>
      <c r="BZW39" s="595"/>
      <c r="BZX39" s="595"/>
      <c r="BZY39" s="595"/>
      <c r="BZZ39" s="595"/>
      <c r="CAA39" s="595"/>
      <c r="CAB39" s="595"/>
      <c r="CAC39" s="595"/>
      <c r="CAD39" s="595"/>
      <c r="CAE39" s="595"/>
      <c r="CAF39" s="595"/>
      <c r="CAG39" s="595"/>
      <c r="CAH39" s="595"/>
      <c r="CAI39" s="595"/>
      <c r="CAJ39" s="595"/>
      <c r="CAK39" s="595"/>
      <c r="CAL39" s="595"/>
      <c r="CAM39" s="595"/>
      <c r="CAN39" s="595"/>
      <c r="CAO39" s="595"/>
      <c r="CAP39" s="595"/>
      <c r="CAQ39" s="595"/>
      <c r="CAR39" s="595"/>
      <c r="CAS39" s="595"/>
      <c r="CAT39" s="595"/>
      <c r="CAU39" s="595"/>
      <c r="CAV39" s="595"/>
      <c r="CAW39" s="595"/>
      <c r="CAX39" s="595"/>
      <c r="CAY39" s="595"/>
      <c r="CAZ39" s="595"/>
      <c r="CBA39" s="595"/>
      <c r="CBB39" s="595"/>
      <c r="CBC39" s="595"/>
      <c r="CBD39" s="595"/>
      <c r="CBE39" s="595"/>
      <c r="CBF39" s="595"/>
      <c r="CBG39" s="595"/>
      <c r="CBH39" s="595"/>
      <c r="CBI39" s="595"/>
      <c r="CBJ39" s="595"/>
      <c r="CBK39" s="595"/>
      <c r="CBL39" s="595"/>
      <c r="CBM39" s="595"/>
      <c r="CBN39" s="595"/>
      <c r="CBO39" s="595"/>
      <c r="CBP39" s="595"/>
      <c r="CBQ39" s="595"/>
      <c r="CBR39" s="595"/>
      <c r="CBS39" s="595"/>
      <c r="CBT39" s="595"/>
      <c r="CBU39" s="595"/>
      <c r="CBV39" s="595"/>
      <c r="CBW39" s="595"/>
      <c r="CBX39" s="595"/>
      <c r="CBY39" s="595"/>
      <c r="CBZ39" s="595"/>
      <c r="CCA39" s="595"/>
      <c r="CCB39" s="595"/>
      <c r="CCC39" s="595"/>
      <c r="CCD39" s="595"/>
      <c r="CCE39" s="595"/>
      <c r="CCF39" s="595"/>
      <c r="CCG39" s="595"/>
      <c r="CCH39" s="595"/>
      <c r="CCI39" s="595"/>
      <c r="CCJ39" s="595"/>
      <c r="CCK39" s="595"/>
      <c r="CCL39" s="595"/>
      <c r="CCM39" s="595"/>
      <c r="CCN39" s="595"/>
      <c r="CCO39" s="595"/>
      <c r="CCP39" s="595"/>
      <c r="CCQ39" s="595"/>
      <c r="CCR39" s="595"/>
      <c r="CCS39" s="595"/>
      <c r="CCT39" s="595"/>
      <c r="CCU39" s="595"/>
      <c r="CCV39" s="595"/>
      <c r="CCW39" s="595"/>
      <c r="CCX39" s="595"/>
      <c r="CCY39" s="595"/>
      <c r="CCZ39" s="595"/>
      <c r="CDA39" s="595"/>
      <c r="CDB39" s="595"/>
      <c r="CDC39" s="595"/>
      <c r="CDD39" s="595"/>
      <c r="CDE39" s="595"/>
      <c r="CDF39" s="595"/>
      <c r="CDG39" s="595"/>
      <c r="CDH39" s="595"/>
      <c r="CDI39" s="595"/>
      <c r="CDJ39" s="595"/>
      <c r="CDK39" s="595"/>
      <c r="CDL39" s="595"/>
      <c r="CDM39" s="595"/>
      <c r="CDN39" s="595"/>
      <c r="CDO39" s="595"/>
      <c r="CDP39" s="595"/>
      <c r="CDQ39" s="595"/>
      <c r="CDR39" s="595"/>
      <c r="CDS39" s="595"/>
      <c r="CDT39" s="595"/>
      <c r="CDU39" s="595"/>
      <c r="CDV39" s="595"/>
      <c r="CDW39" s="595"/>
      <c r="CDX39" s="595"/>
      <c r="CDY39" s="595"/>
      <c r="CDZ39" s="595"/>
      <c r="CEA39" s="595"/>
      <c r="CEB39" s="595"/>
      <c r="CEC39" s="595"/>
      <c r="CED39" s="595"/>
      <c r="CEE39" s="595"/>
      <c r="CEF39" s="595"/>
      <c r="CEG39" s="595"/>
      <c r="CEH39" s="595"/>
      <c r="CEI39" s="595"/>
      <c r="CEJ39" s="595"/>
      <c r="CEK39" s="595"/>
      <c r="CEL39" s="595"/>
      <c r="CEM39" s="595"/>
      <c r="CEN39" s="595"/>
      <c r="CEO39" s="595"/>
      <c r="CEP39" s="595"/>
      <c r="CEQ39" s="595"/>
      <c r="CER39" s="595"/>
      <c r="CES39" s="595"/>
      <c r="CET39" s="595"/>
      <c r="CEU39" s="595"/>
      <c r="CEV39" s="595"/>
      <c r="CEW39" s="595"/>
      <c r="CEX39" s="595"/>
      <c r="CEY39" s="595"/>
      <c r="CEZ39" s="595"/>
      <c r="CFA39" s="595"/>
      <c r="CFB39" s="595"/>
      <c r="CFC39" s="595"/>
      <c r="CFD39" s="595"/>
      <c r="CFE39" s="595"/>
      <c r="CFF39" s="595"/>
      <c r="CFG39" s="595"/>
      <c r="CFH39" s="595"/>
      <c r="CFI39" s="595"/>
      <c r="CFJ39" s="595"/>
      <c r="CFK39" s="595"/>
      <c r="CFL39" s="595"/>
      <c r="CFM39" s="595"/>
      <c r="CFN39" s="595"/>
      <c r="CFO39" s="595"/>
      <c r="CFP39" s="595"/>
      <c r="CFQ39" s="595"/>
      <c r="CFR39" s="595"/>
      <c r="CFS39" s="595"/>
      <c r="CFT39" s="595"/>
      <c r="CFU39" s="595"/>
      <c r="CFV39" s="595"/>
      <c r="CFW39" s="595"/>
      <c r="CFX39" s="595"/>
      <c r="CFY39" s="595"/>
      <c r="CFZ39" s="595"/>
      <c r="CGA39" s="595"/>
      <c r="CGB39" s="595"/>
      <c r="CGC39" s="595"/>
      <c r="CGD39" s="595"/>
      <c r="CGE39" s="595"/>
      <c r="CGF39" s="595"/>
      <c r="CGG39" s="595"/>
      <c r="CGH39" s="595"/>
      <c r="CGI39" s="595"/>
      <c r="CGJ39" s="595"/>
      <c r="CGK39" s="595"/>
      <c r="CGL39" s="595"/>
      <c r="CGM39" s="595"/>
      <c r="CGN39" s="595"/>
      <c r="CGO39" s="595"/>
      <c r="CGP39" s="595"/>
      <c r="CGQ39" s="595"/>
      <c r="CGR39" s="595"/>
      <c r="CGS39" s="595"/>
      <c r="CGT39" s="595"/>
      <c r="CGU39" s="595"/>
      <c r="CGV39" s="595"/>
      <c r="CGW39" s="595"/>
      <c r="CGX39" s="595"/>
      <c r="CGY39" s="595"/>
      <c r="CGZ39" s="595"/>
      <c r="CHA39" s="595"/>
      <c r="CHB39" s="595"/>
      <c r="CHC39" s="595"/>
      <c r="CHD39" s="595"/>
      <c r="CHE39" s="595"/>
      <c r="CHF39" s="595"/>
      <c r="CHG39" s="595"/>
      <c r="CHH39" s="595"/>
      <c r="CHI39" s="595"/>
      <c r="CHJ39" s="595"/>
      <c r="CHK39" s="595"/>
      <c r="CHL39" s="595"/>
      <c r="CHM39" s="595"/>
      <c r="CHN39" s="595"/>
      <c r="CHO39" s="595"/>
      <c r="CHP39" s="595"/>
      <c r="CHQ39" s="595"/>
      <c r="CHR39" s="595"/>
      <c r="CHS39" s="595"/>
      <c r="CHT39" s="595"/>
      <c r="CHU39" s="595"/>
      <c r="CHV39" s="595"/>
      <c r="CHW39" s="595"/>
      <c r="CHX39" s="595"/>
      <c r="CHY39" s="595"/>
      <c r="CHZ39" s="595"/>
      <c r="CIA39" s="595"/>
      <c r="CIB39" s="595"/>
      <c r="CIC39" s="595"/>
      <c r="CID39" s="595"/>
      <c r="CIE39" s="595"/>
      <c r="CIF39" s="595"/>
      <c r="CIG39" s="595"/>
      <c r="CIH39" s="595"/>
      <c r="CII39" s="595"/>
      <c r="CIJ39" s="595"/>
      <c r="CIK39" s="595"/>
      <c r="CIL39" s="595"/>
      <c r="CIM39" s="595"/>
      <c r="CIN39" s="595"/>
      <c r="CIO39" s="595"/>
      <c r="CIP39" s="595"/>
      <c r="CIQ39" s="595"/>
      <c r="CIR39" s="595"/>
      <c r="CIS39" s="595"/>
      <c r="CIT39" s="595"/>
      <c r="CIU39" s="595"/>
      <c r="CIV39" s="595"/>
      <c r="CIW39" s="595"/>
      <c r="CIX39" s="595"/>
      <c r="CIY39" s="595"/>
      <c r="CIZ39" s="595"/>
      <c r="CJA39" s="595"/>
      <c r="CJB39" s="595"/>
      <c r="CJC39" s="595"/>
      <c r="CJD39" s="595"/>
      <c r="CJE39" s="595"/>
      <c r="CJF39" s="595"/>
      <c r="CJG39" s="595"/>
      <c r="CJH39" s="595"/>
      <c r="CJI39" s="595"/>
      <c r="CJJ39" s="595"/>
      <c r="CJK39" s="595"/>
      <c r="CJL39" s="595"/>
      <c r="CJM39" s="595"/>
      <c r="CJN39" s="595"/>
      <c r="CJO39" s="595"/>
      <c r="CJP39" s="595"/>
      <c r="CJQ39" s="595"/>
      <c r="CJR39" s="595"/>
      <c r="CJS39" s="595"/>
      <c r="CJT39" s="595"/>
      <c r="CJU39" s="595"/>
      <c r="CJV39" s="595"/>
      <c r="CJW39" s="595"/>
      <c r="CJX39" s="595"/>
      <c r="CJY39" s="595"/>
      <c r="CJZ39" s="595"/>
      <c r="CKA39" s="595"/>
      <c r="CKB39" s="595"/>
      <c r="CKC39" s="595"/>
      <c r="CKD39" s="595"/>
      <c r="CKE39" s="595"/>
      <c r="CKF39" s="595"/>
      <c r="CKG39" s="595"/>
      <c r="CKH39" s="595"/>
      <c r="CKI39" s="595"/>
      <c r="CKJ39" s="595"/>
      <c r="CKK39" s="595"/>
      <c r="CKL39" s="595"/>
      <c r="CKM39" s="595"/>
      <c r="CKN39" s="595"/>
      <c r="CKO39" s="595"/>
      <c r="CKP39" s="595"/>
      <c r="CKQ39" s="595"/>
      <c r="CKR39" s="595"/>
      <c r="CKS39" s="595"/>
      <c r="CKT39" s="595"/>
      <c r="CKU39" s="595"/>
      <c r="CKV39" s="595"/>
      <c r="CKW39" s="595"/>
      <c r="CKX39" s="595"/>
      <c r="CKY39" s="595"/>
      <c r="CKZ39" s="595"/>
      <c r="CLA39" s="595"/>
      <c r="CLB39" s="595"/>
      <c r="CLC39" s="595"/>
      <c r="CLD39" s="595"/>
      <c r="CLE39" s="595"/>
      <c r="CLF39" s="595"/>
      <c r="CLG39" s="595"/>
      <c r="CLH39" s="595"/>
      <c r="CLI39" s="595"/>
      <c r="CLJ39" s="595"/>
      <c r="CLK39" s="595"/>
      <c r="CLL39" s="595"/>
      <c r="CLM39" s="595"/>
      <c r="CLN39" s="595"/>
      <c r="CLO39" s="595"/>
      <c r="CLP39" s="595"/>
      <c r="CLQ39" s="595"/>
      <c r="CLR39" s="595"/>
      <c r="CLS39" s="595"/>
      <c r="CLT39" s="595"/>
      <c r="CLU39" s="595"/>
      <c r="CLV39" s="595"/>
      <c r="CLW39" s="595"/>
      <c r="CLX39" s="595"/>
      <c r="CLY39" s="595"/>
      <c r="CLZ39" s="595"/>
      <c r="CMA39" s="595"/>
      <c r="CMB39" s="595"/>
      <c r="CMC39" s="595"/>
      <c r="CMD39" s="595"/>
      <c r="CME39" s="595"/>
      <c r="CMF39" s="595"/>
      <c r="CMG39" s="595"/>
      <c r="CMH39" s="595"/>
      <c r="CMI39" s="595"/>
      <c r="CMJ39" s="595"/>
      <c r="CMK39" s="595"/>
      <c r="CML39" s="595"/>
      <c r="CMM39" s="595"/>
      <c r="CMN39" s="595"/>
      <c r="CMO39" s="595"/>
      <c r="CMP39" s="595"/>
      <c r="CMQ39" s="595"/>
      <c r="CMR39" s="595"/>
      <c r="CMS39" s="595"/>
      <c r="CMT39" s="595"/>
      <c r="CMU39" s="595"/>
      <c r="CMV39" s="595"/>
      <c r="CMW39" s="595"/>
      <c r="CMX39" s="595"/>
      <c r="CMY39" s="595"/>
      <c r="CMZ39" s="595"/>
      <c r="CNA39" s="595"/>
      <c r="CNB39" s="595"/>
      <c r="CNC39" s="595"/>
      <c r="CND39" s="595"/>
      <c r="CNE39" s="595"/>
      <c r="CNF39" s="595"/>
      <c r="CNG39" s="595"/>
      <c r="CNH39" s="595"/>
      <c r="CNI39" s="595"/>
      <c r="CNJ39" s="595"/>
      <c r="CNK39" s="595"/>
      <c r="CNL39" s="595"/>
      <c r="CNM39" s="595"/>
      <c r="CNN39" s="595"/>
      <c r="CNO39" s="595"/>
      <c r="CNP39" s="595"/>
      <c r="CNQ39" s="595"/>
      <c r="CNR39" s="595"/>
      <c r="CNS39" s="595"/>
      <c r="CNT39" s="595"/>
      <c r="CNU39" s="595"/>
      <c r="CNV39" s="595"/>
      <c r="CNW39" s="595"/>
      <c r="CNX39" s="595"/>
      <c r="CNY39" s="595"/>
      <c r="CNZ39" s="595"/>
      <c r="COA39" s="595"/>
      <c r="COB39" s="595"/>
      <c r="COC39" s="595"/>
      <c r="COD39" s="595"/>
      <c r="COE39" s="595"/>
      <c r="COF39" s="595"/>
      <c r="COG39" s="595"/>
      <c r="COH39" s="595"/>
      <c r="COI39" s="595"/>
      <c r="COJ39" s="595"/>
      <c r="COK39" s="595"/>
      <c r="COL39" s="595"/>
      <c r="COM39" s="595"/>
      <c r="CON39" s="595"/>
      <c r="COO39" s="595"/>
      <c r="COP39" s="595"/>
      <c r="COQ39" s="595"/>
      <c r="COR39" s="595"/>
      <c r="COS39" s="595"/>
      <c r="COT39" s="595"/>
      <c r="COU39" s="595"/>
      <c r="COV39" s="595"/>
      <c r="COW39" s="595"/>
      <c r="COX39" s="595"/>
      <c r="COY39" s="595"/>
      <c r="COZ39" s="595"/>
      <c r="CPA39" s="595"/>
      <c r="CPB39" s="595"/>
      <c r="CPC39" s="595"/>
      <c r="CPD39" s="595"/>
      <c r="CPE39" s="595"/>
      <c r="CPF39" s="595"/>
      <c r="CPG39" s="595"/>
      <c r="CPH39" s="595"/>
      <c r="CPI39" s="595"/>
      <c r="CPJ39" s="595"/>
      <c r="CPK39" s="595"/>
      <c r="CPL39" s="595"/>
      <c r="CPM39" s="595"/>
      <c r="CPN39" s="595"/>
      <c r="CPO39" s="595"/>
      <c r="CPP39" s="595"/>
      <c r="CPQ39" s="595"/>
      <c r="CPR39" s="595"/>
      <c r="CPS39" s="595"/>
      <c r="CPT39" s="595"/>
      <c r="CPU39" s="595"/>
      <c r="CPV39" s="595"/>
      <c r="CPW39" s="595"/>
      <c r="CPX39" s="595"/>
      <c r="CPY39" s="595"/>
      <c r="CPZ39" s="595"/>
      <c r="CQA39" s="595"/>
      <c r="CQB39" s="595"/>
      <c r="CQC39" s="595"/>
      <c r="CQD39" s="595"/>
      <c r="CQE39" s="595"/>
      <c r="CQF39" s="595"/>
      <c r="CQG39" s="595"/>
      <c r="CQH39" s="595"/>
      <c r="CQI39" s="595"/>
      <c r="CQJ39" s="595"/>
      <c r="CQK39" s="595"/>
      <c r="CQL39" s="595"/>
      <c r="CQM39" s="595"/>
      <c r="CQN39" s="595"/>
      <c r="CQO39" s="595"/>
      <c r="CQP39" s="595"/>
      <c r="CQQ39" s="595"/>
      <c r="CQR39" s="595"/>
      <c r="CQS39" s="595"/>
      <c r="CQT39" s="595"/>
      <c r="CQU39" s="595"/>
      <c r="CQV39" s="595"/>
      <c r="CQW39" s="595"/>
      <c r="CQX39" s="595"/>
      <c r="CQY39" s="595"/>
      <c r="CQZ39" s="595"/>
      <c r="CRA39" s="595"/>
      <c r="CRB39" s="595"/>
      <c r="CRC39" s="595"/>
      <c r="CRD39" s="595"/>
      <c r="CRE39" s="595"/>
      <c r="CRF39" s="595"/>
      <c r="CRG39" s="595"/>
      <c r="CRH39" s="595"/>
      <c r="CRI39" s="595"/>
      <c r="CRJ39" s="595"/>
      <c r="CRK39" s="595"/>
      <c r="CRL39" s="595"/>
      <c r="CRM39" s="595"/>
      <c r="CRN39" s="595"/>
      <c r="CRO39" s="595"/>
      <c r="CRP39" s="595"/>
      <c r="CRQ39" s="595"/>
      <c r="CRR39" s="595"/>
      <c r="CRS39" s="595"/>
      <c r="CRT39" s="595"/>
      <c r="CRU39" s="595"/>
      <c r="CRV39" s="595"/>
      <c r="CRW39" s="595"/>
      <c r="CRX39" s="595"/>
      <c r="CRY39" s="595"/>
      <c r="CRZ39" s="595"/>
      <c r="CSA39" s="595"/>
      <c r="CSB39" s="595"/>
      <c r="CSC39" s="595"/>
      <c r="CSD39" s="595"/>
      <c r="CSE39" s="595"/>
      <c r="CSF39" s="595"/>
      <c r="CSG39" s="595"/>
      <c r="CSH39" s="595"/>
      <c r="CSI39" s="595"/>
      <c r="CSJ39" s="595"/>
      <c r="CSK39" s="595"/>
      <c r="CSL39" s="595"/>
      <c r="CSM39" s="595"/>
      <c r="CSN39" s="595"/>
      <c r="CSO39" s="595"/>
      <c r="CSP39" s="595"/>
      <c r="CSQ39" s="595"/>
      <c r="CSR39" s="595"/>
      <c r="CSS39" s="595"/>
      <c r="CST39" s="595"/>
      <c r="CSU39" s="595"/>
      <c r="CSV39" s="595"/>
      <c r="CSW39" s="595"/>
      <c r="CSX39" s="595"/>
      <c r="CSY39" s="595"/>
      <c r="CSZ39" s="595"/>
      <c r="CTA39" s="595"/>
      <c r="CTB39" s="595"/>
      <c r="CTC39" s="595"/>
      <c r="CTD39" s="595"/>
      <c r="CTE39" s="595"/>
      <c r="CTF39" s="595"/>
      <c r="CTG39" s="595"/>
      <c r="CTH39" s="595"/>
      <c r="CTI39" s="595"/>
      <c r="CTJ39" s="595"/>
      <c r="CTK39" s="595"/>
      <c r="CTL39" s="595"/>
      <c r="CTM39" s="595"/>
      <c r="CTN39" s="595"/>
      <c r="CTO39" s="595"/>
      <c r="CTP39" s="595"/>
      <c r="CTQ39" s="595"/>
      <c r="CTR39" s="595"/>
      <c r="CTS39" s="595"/>
      <c r="CTT39" s="595"/>
      <c r="CTU39" s="595"/>
      <c r="CTV39" s="595"/>
      <c r="CTW39" s="595"/>
      <c r="CTX39" s="595"/>
      <c r="CTY39" s="595"/>
      <c r="CTZ39" s="595"/>
      <c r="CUA39" s="595"/>
      <c r="CUB39" s="595"/>
      <c r="CUC39" s="595"/>
      <c r="CUD39" s="595"/>
      <c r="CUE39" s="595"/>
      <c r="CUF39" s="595"/>
      <c r="CUG39" s="595"/>
      <c r="CUH39" s="595"/>
      <c r="CUI39" s="595"/>
      <c r="CUJ39" s="595"/>
      <c r="CUK39" s="595"/>
      <c r="CUL39" s="595"/>
      <c r="CUM39" s="595"/>
      <c r="CUN39" s="595"/>
      <c r="CUO39" s="595"/>
      <c r="CUP39" s="595"/>
      <c r="CUQ39" s="595"/>
      <c r="CUR39" s="595"/>
      <c r="CUS39" s="595"/>
      <c r="CUT39" s="595"/>
      <c r="CUU39" s="595"/>
      <c r="CUV39" s="595"/>
      <c r="CUW39" s="595"/>
      <c r="CUX39" s="595"/>
      <c r="CUY39" s="595"/>
      <c r="CUZ39" s="595"/>
      <c r="CVA39" s="595"/>
      <c r="CVB39" s="595"/>
      <c r="CVC39" s="595"/>
      <c r="CVD39" s="595"/>
      <c r="CVE39" s="595"/>
      <c r="CVF39" s="595"/>
      <c r="CVG39" s="595"/>
      <c r="CVH39" s="595"/>
      <c r="CVI39" s="595"/>
      <c r="CVJ39" s="595"/>
      <c r="CVK39" s="595"/>
      <c r="CVL39" s="595"/>
      <c r="CVM39" s="595"/>
      <c r="CVN39" s="595"/>
      <c r="CVO39" s="595"/>
      <c r="CVP39" s="595"/>
      <c r="CVQ39" s="595"/>
      <c r="CVR39" s="595"/>
      <c r="CVS39" s="595"/>
      <c r="CVT39" s="595"/>
      <c r="CVU39" s="595"/>
      <c r="CVV39" s="595"/>
      <c r="CVW39" s="595"/>
      <c r="CVX39" s="595"/>
      <c r="CVY39" s="595"/>
      <c r="CVZ39" s="595"/>
      <c r="CWA39" s="595"/>
      <c r="CWB39" s="595"/>
      <c r="CWC39" s="595"/>
      <c r="CWD39" s="595"/>
      <c r="CWE39" s="595"/>
      <c r="CWF39" s="595"/>
      <c r="CWG39" s="595"/>
      <c r="CWH39" s="595"/>
      <c r="CWI39" s="595"/>
      <c r="CWJ39" s="595"/>
      <c r="CWK39" s="595"/>
      <c r="CWL39" s="595"/>
      <c r="CWM39" s="595"/>
      <c r="CWN39" s="595"/>
      <c r="CWO39" s="595"/>
      <c r="CWP39" s="595"/>
      <c r="CWQ39" s="595"/>
      <c r="CWR39" s="595"/>
      <c r="CWS39" s="595"/>
      <c r="CWT39" s="595"/>
      <c r="CWU39" s="595"/>
      <c r="CWV39" s="595"/>
      <c r="CWW39" s="595"/>
      <c r="CWX39" s="595"/>
      <c r="CWY39" s="595"/>
      <c r="CWZ39" s="595"/>
      <c r="CXA39" s="595"/>
      <c r="CXB39" s="595"/>
      <c r="CXC39" s="595"/>
      <c r="CXD39" s="595"/>
      <c r="CXE39" s="595"/>
      <c r="CXF39" s="595"/>
      <c r="CXG39" s="595"/>
      <c r="CXH39" s="595"/>
      <c r="CXI39" s="595"/>
      <c r="CXJ39" s="595"/>
      <c r="CXK39" s="595"/>
      <c r="CXL39" s="595"/>
      <c r="CXM39" s="595"/>
      <c r="CXN39" s="595"/>
      <c r="CXO39" s="595"/>
      <c r="CXP39" s="595"/>
      <c r="CXQ39" s="595"/>
      <c r="CXR39" s="595"/>
      <c r="CXS39" s="595"/>
      <c r="CXT39" s="595"/>
      <c r="CXU39" s="595"/>
      <c r="CXV39" s="595"/>
      <c r="CXW39" s="595"/>
      <c r="CXX39" s="595"/>
      <c r="CXY39" s="595"/>
      <c r="CXZ39" s="595"/>
      <c r="CYA39" s="595"/>
      <c r="CYB39" s="595"/>
      <c r="CYC39" s="595"/>
      <c r="CYD39" s="595"/>
      <c r="CYE39" s="595"/>
      <c r="CYF39" s="595"/>
      <c r="CYG39" s="595"/>
      <c r="CYH39" s="595"/>
      <c r="CYI39" s="595"/>
      <c r="CYJ39" s="595"/>
      <c r="CYK39" s="595"/>
      <c r="CYL39" s="595"/>
      <c r="CYM39" s="595"/>
      <c r="CYN39" s="595"/>
      <c r="CYO39" s="595"/>
      <c r="CYP39" s="595"/>
      <c r="CYQ39" s="595"/>
      <c r="CYR39" s="595"/>
      <c r="CYS39" s="595"/>
      <c r="CYT39" s="595"/>
      <c r="CYU39" s="595"/>
      <c r="CYV39" s="595"/>
      <c r="CYW39" s="595"/>
      <c r="CYX39" s="595"/>
      <c r="CYY39" s="595"/>
      <c r="CYZ39" s="595"/>
      <c r="CZA39" s="595"/>
      <c r="CZB39" s="595"/>
      <c r="CZC39" s="595"/>
      <c r="CZD39" s="595"/>
      <c r="CZE39" s="595"/>
      <c r="CZF39" s="595"/>
      <c r="CZG39" s="595"/>
      <c r="CZH39" s="595"/>
      <c r="CZI39" s="595"/>
      <c r="CZJ39" s="595"/>
      <c r="CZK39" s="595"/>
      <c r="CZL39" s="595"/>
      <c r="CZM39" s="595"/>
      <c r="CZN39" s="595"/>
      <c r="CZO39" s="595"/>
      <c r="CZP39" s="595"/>
      <c r="CZQ39" s="595"/>
      <c r="CZR39" s="595"/>
      <c r="CZS39" s="595"/>
      <c r="CZT39" s="595"/>
      <c r="CZU39" s="595"/>
      <c r="CZV39" s="595"/>
      <c r="CZW39" s="595"/>
      <c r="CZX39" s="595"/>
      <c r="CZY39" s="595"/>
      <c r="CZZ39" s="595"/>
      <c r="DAA39" s="595"/>
      <c r="DAB39" s="595"/>
      <c r="DAC39" s="595"/>
      <c r="DAD39" s="595"/>
      <c r="DAE39" s="595"/>
      <c r="DAF39" s="595"/>
      <c r="DAG39" s="595"/>
      <c r="DAH39" s="595"/>
      <c r="DAI39" s="595"/>
      <c r="DAJ39" s="595"/>
      <c r="DAK39" s="595"/>
      <c r="DAL39" s="595"/>
      <c r="DAM39" s="595"/>
      <c r="DAN39" s="595"/>
      <c r="DAO39" s="595"/>
      <c r="DAP39" s="595"/>
      <c r="DAQ39" s="595"/>
      <c r="DAR39" s="595"/>
      <c r="DAS39" s="595"/>
      <c r="DAT39" s="595"/>
      <c r="DAU39" s="595"/>
      <c r="DAV39" s="595"/>
      <c r="DAW39" s="595"/>
      <c r="DAX39" s="595"/>
      <c r="DAY39" s="595"/>
      <c r="DAZ39" s="595"/>
      <c r="DBA39" s="595"/>
      <c r="DBB39" s="595"/>
      <c r="DBC39" s="595"/>
      <c r="DBD39" s="595"/>
      <c r="DBE39" s="595"/>
      <c r="DBF39" s="595"/>
      <c r="DBG39" s="595"/>
      <c r="DBH39" s="595"/>
      <c r="DBI39" s="595"/>
      <c r="DBJ39" s="595"/>
      <c r="DBK39" s="595"/>
      <c r="DBL39" s="595"/>
      <c r="DBM39" s="595"/>
      <c r="DBN39" s="595"/>
      <c r="DBO39" s="595"/>
      <c r="DBP39" s="595"/>
      <c r="DBQ39" s="595"/>
      <c r="DBR39" s="595"/>
      <c r="DBS39" s="595"/>
      <c r="DBT39" s="595"/>
      <c r="DBU39" s="595"/>
      <c r="DBV39" s="595"/>
      <c r="DBW39" s="595"/>
      <c r="DBX39" s="595"/>
      <c r="DBY39" s="595"/>
      <c r="DBZ39" s="595"/>
      <c r="DCA39" s="595"/>
      <c r="DCB39" s="595"/>
      <c r="DCC39" s="595"/>
      <c r="DCD39" s="595"/>
      <c r="DCE39" s="595"/>
      <c r="DCF39" s="595"/>
      <c r="DCG39" s="595"/>
      <c r="DCH39" s="595"/>
      <c r="DCI39" s="595"/>
      <c r="DCJ39" s="595"/>
      <c r="DCK39" s="595"/>
      <c r="DCL39" s="595"/>
      <c r="DCM39" s="595"/>
      <c r="DCN39" s="595"/>
      <c r="DCO39" s="595"/>
      <c r="DCP39" s="595"/>
      <c r="DCQ39" s="595"/>
      <c r="DCR39" s="595"/>
      <c r="DCS39" s="595"/>
      <c r="DCT39" s="595"/>
      <c r="DCU39" s="595"/>
      <c r="DCV39" s="595"/>
      <c r="DCW39" s="595"/>
      <c r="DCX39" s="595"/>
      <c r="DCY39" s="595"/>
      <c r="DCZ39" s="595"/>
      <c r="DDA39" s="595"/>
      <c r="DDB39" s="595"/>
      <c r="DDC39" s="595"/>
      <c r="DDD39" s="595"/>
      <c r="DDE39" s="595"/>
      <c r="DDF39" s="595"/>
      <c r="DDG39" s="595"/>
      <c r="DDH39" s="595"/>
      <c r="DDI39" s="595"/>
      <c r="DDJ39" s="595"/>
      <c r="DDK39" s="595"/>
      <c r="DDL39" s="595"/>
      <c r="DDM39" s="595"/>
      <c r="DDN39" s="595"/>
      <c r="DDO39" s="595"/>
      <c r="DDP39" s="595"/>
      <c r="DDQ39" s="595"/>
      <c r="DDR39" s="595"/>
      <c r="DDS39" s="595"/>
      <c r="DDT39" s="595"/>
      <c r="DDU39" s="595"/>
      <c r="DDV39" s="595"/>
      <c r="DDW39" s="595"/>
      <c r="DDX39" s="595"/>
      <c r="DDY39" s="595"/>
      <c r="DDZ39" s="595"/>
      <c r="DEA39" s="595"/>
      <c r="DEB39" s="595"/>
      <c r="DEC39" s="595"/>
      <c r="DED39" s="595"/>
      <c r="DEE39" s="595"/>
      <c r="DEF39" s="595"/>
      <c r="DEG39" s="595"/>
      <c r="DEH39" s="595"/>
      <c r="DEI39" s="595"/>
      <c r="DEJ39" s="595"/>
      <c r="DEK39" s="595"/>
      <c r="DEL39" s="595"/>
      <c r="DEM39" s="595"/>
      <c r="DEN39" s="595"/>
      <c r="DEO39" s="595"/>
      <c r="DEP39" s="595"/>
      <c r="DEQ39" s="595"/>
      <c r="DER39" s="595"/>
      <c r="DES39" s="595"/>
      <c r="DET39" s="595"/>
      <c r="DEU39" s="595"/>
      <c r="DEV39" s="595"/>
      <c r="DEW39" s="595"/>
      <c r="DEX39" s="595"/>
      <c r="DEY39" s="595"/>
      <c r="DEZ39" s="595"/>
      <c r="DFA39" s="595"/>
      <c r="DFB39" s="595"/>
      <c r="DFC39" s="595"/>
      <c r="DFD39" s="595"/>
      <c r="DFE39" s="595"/>
      <c r="DFF39" s="595"/>
      <c r="DFG39" s="595"/>
      <c r="DFH39" s="595"/>
      <c r="DFI39" s="595"/>
      <c r="DFJ39" s="595"/>
      <c r="DFK39" s="595"/>
      <c r="DFL39" s="595"/>
      <c r="DFM39" s="595"/>
      <c r="DFN39" s="595"/>
      <c r="DFO39" s="595"/>
      <c r="DFP39" s="595"/>
      <c r="DFQ39" s="595"/>
      <c r="DFR39" s="595"/>
      <c r="DFS39" s="595"/>
      <c r="DFT39" s="595"/>
      <c r="DFU39" s="595"/>
      <c r="DFV39" s="595"/>
      <c r="DFW39" s="595"/>
      <c r="DFX39" s="595"/>
      <c r="DFY39" s="595"/>
      <c r="DFZ39" s="595"/>
      <c r="DGA39" s="595"/>
      <c r="DGB39" s="595"/>
      <c r="DGC39" s="595"/>
      <c r="DGD39" s="595"/>
      <c r="DGE39" s="595"/>
      <c r="DGF39" s="595"/>
      <c r="DGG39" s="595"/>
      <c r="DGH39" s="595"/>
      <c r="DGI39" s="595"/>
      <c r="DGJ39" s="595"/>
      <c r="DGK39" s="595"/>
      <c r="DGL39" s="595"/>
      <c r="DGM39" s="595"/>
      <c r="DGN39" s="595"/>
      <c r="DGO39" s="595"/>
      <c r="DGP39" s="595"/>
      <c r="DGQ39" s="595"/>
      <c r="DGR39" s="595"/>
      <c r="DGS39" s="595"/>
      <c r="DGT39" s="595"/>
      <c r="DGU39" s="595"/>
      <c r="DGV39" s="595"/>
      <c r="DGW39" s="595"/>
      <c r="DGX39" s="595"/>
      <c r="DGY39" s="595"/>
      <c r="DGZ39" s="595"/>
      <c r="DHA39" s="595"/>
      <c r="DHB39" s="595"/>
      <c r="DHC39" s="595"/>
      <c r="DHD39" s="595"/>
      <c r="DHE39" s="595"/>
      <c r="DHF39" s="595"/>
      <c r="DHG39" s="595"/>
      <c r="DHH39" s="595"/>
      <c r="DHI39" s="595"/>
      <c r="DHJ39" s="595"/>
      <c r="DHK39" s="595"/>
      <c r="DHL39" s="595"/>
      <c r="DHM39" s="595"/>
      <c r="DHN39" s="595"/>
      <c r="DHO39" s="595"/>
      <c r="DHP39" s="595"/>
      <c r="DHQ39" s="595"/>
      <c r="DHR39" s="595"/>
      <c r="DHS39" s="595"/>
      <c r="DHT39" s="595"/>
      <c r="DHU39" s="595"/>
      <c r="DHV39" s="595"/>
      <c r="DHW39" s="595"/>
      <c r="DHX39" s="595"/>
      <c r="DHY39" s="595"/>
      <c r="DHZ39" s="595"/>
      <c r="DIA39" s="595"/>
      <c r="DIB39" s="595"/>
      <c r="DIC39" s="595"/>
      <c r="DID39" s="595"/>
      <c r="DIE39" s="595"/>
      <c r="DIF39" s="595"/>
      <c r="DIG39" s="595"/>
      <c r="DIH39" s="595"/>
      <c r="DII39" s="595"/>
      <c r="DIJ39" s="595"/>
      <c r="DIK39" s="595"/>
      <c r="DIL39" s="595"/>
      <c r="DIM39" s="595"/>
      <c r="DIN39" s="595"/>
      <c r="DIO39" s="595"/>
      <c r="DIP39" s="595"/>
      <c r="DIQ39" s="595"/>
      <c r="DIR39" s="595"/>
      <c r="DIS39" s="595"/>
      <c r="DIT39" s="595"/>
      <c r="DIU39" s="595"/>
      <c r="DIV39" s="595"/>
      <c r="DIW39" s="595"/>
      <c r="DIX39" s="595"/>
      <c r="DIY39" s="595"/>
      <c r="DIZ39" s="595"/>
      <c r="DJA39" s="595"/>
      <c r="DJB39" s="595"/>
      <c r="DJC39" s="595"/>
      <c r="DJD39" s="595"/>
      <c r="DJE39" s="595"/>
      <c r="DJF39" s="595"/>
      <c r="DJG39" s="595"/>
      <c r="DJH39" s="595"/>
      <c r="DJI39" s="595"/>
      <c r="DJJ39" s="595"/>
      <c r="DJK39" s="595"/>
      <c r="DJL39" s="595"/>
      <c r="DJM39" s="595"/>
      <c r="DJN39" s="595"/>
      <c r="DJO39" s="595"/>
      <c r="DJP39" s="595"/>
      <c r="DJQ39" s="595"/>
      <c r="DJR39" s="595"/>
      <c r="DJS39" s="595"/>
      <c r="DJT39" s="595"/>
      <c r="DJU39" s="595"/>
      <c r="DJV39" s="595"/>
      <c r="DJW39" s="595"/>
      <c r="DJX39" s="595"/>
      <c r="DJY39" s="595"/>
      <c r="DJZ39" s="595"/>
      <c r="DKA39" s="595"/>
      <c r="DKB39" s="595"/>
      <c r="DKC39" s="595"/>
      <c r="DKD39" s="595"/>
      <c r="DKE39" s="595"/>
      <c r="DKF39" s="595"/>
      <c r="DKG39" s="595"/>
      <c r="DKH39" s="595"/>
      <c r="DKI39" s="595"/>
      <c r="DKJ39" s="595"/>
      <c r="DKK39" s="595"/>
      <c r="DKL39" s="595"/>
      <c r="DKM39" s="595"/>
      <c r="DKN39" s="595"/>
      <c r="DKO39" s="595"/>
      <c r="DKP39" s="595"/>
      <c r="DKQ39" s="595"/>
      <c r="DKR39" s="595"/>
      <c r="DKS39" s="595"/>
      <c r="DKT39" s="595"/>
      <c r="DKU39" s="595"/>
      <c r="DKV39" s="595"/>
      <c r="DKW39" s="595"/>
      <c r="DKX39" s="595"/>
      <c r="DKY39" s="595"/>
      <c r="DKZ39" s="595"/>
      <c r="DLA39" s="595"/>
      <c r="DLB39" s="595"/>
      <c r="DLC39" s="595"/>
      <c r="DLD39" s="595"/>
      <c r="DLE39" s="595"/>
      <c r="DLF39" s="595"/>
      <c r="DLG39" s="595"/>
      <c r="DLH39" s="595"/>
      <c r="DLI39" s="595"/>
      <c r="DLJ39" s="595"/>
      <c r="DLK39" s="595"/>
      <c r="DLL39" s="595"/>
      <c r="DLM39" s="595"/>
      <c r="DLN39" s="595"/>
      <c r="DLO39" s="595"/>
      <c r="DLP39" s="595"/>
      <c r="DLQ39" s="595"/>
      <c r="DLR39" s="595"/>
      <c r="DLS39" s="595"/>
      <c r="DLT39" s="595"/>
      <c r="DLU39" s="595"/>
      <c r="DLV39" s="595"/>
      <c r="DLW39" s="595"/>
      <c r="DLX39" s="595"/>
      <c r="DLY39" s="595"/>
      <c r="DLZ39" s="595"/>
      <c r="DMA39" s="595"/>
      <c r="DMB39" s="595"/>
      <c r="DMC39" s="595"/>
      <c r="DMD39" s="595"/>
      <c r="DME39" s="595"/>
      <c r="DMF39" s="595"/>
      <c r="DMG39" s="595"/>
      <c r="DMH39" s="595"/>
      <c r="DMI39" s="595"/>
      <c r="DMJ39" s="595"/>
      <c r="DMK39" s="595"/>
      <c r="DML39" s="595"/>
      <c r="DMM39" s="595"/>
      <c r="DMN39" s="595"/>
      <c r="DMO39" s="595"/>
      <c r="DMP39" s="595"/>
      <c r="DMQ39" s="595"/>
      <c r="DMR39" s="595"/>
      <c r="DMS39" s="595"/>
      <c r="DMT39" s="595"/>
      <c r="DMU39" s="595"/>
      <c r="DMV39" s="595"/>
      <c r="DMW39" s="595"/>
      <c r="DMX39" s="595"/>
      <c r="DMY39" s="595"/>
      <c r="DMZ39" s="595"/>
      <c r="DNA39" s="595"/>
      <c r="DNB39" s="595"/>
      <c r="DNC39" s="595"/>
      <c r="DND39" s="595"/>
      <c r="DNE39" s="595"/>
      <c r="DNF39" s="595"/>
      <c r="DNG39" s="595"/>
      <c r="DNH39" s="595"/>
      <c r="DNI39" s="595"/>
      <c r="DNJ39" s="595"/>
      <c r="DNK39" s="595"/>
      <c r="DNL39" s="595"/>
      <c r="DNM39" s="595"/>
      <c r="DNN39" s="595"/>
      <c r="DNO39" s="595"/>
      <c r="DNP39" s="595"/>
      <c r="DNQ39" s="595"/>
      <c r="DNR39" s="595"/>
      <c r="DNS39" s="595"/>
      <c r="DNT39" s="595"/>
      <c r="DNU39" s="595"/>
      <c r="DNV39" s="595"/>
      <c r="DNW39" s="595"/>
      <c r="DNX39" s="595"/>
      <c r="DNY39" s="595"/>
      <c r="DNZ39" s="595"/>
      <c r="DOA39" s="595"/>
      <c r="DOB39" s="595"/>
      <c r="DOC39" s="595"/>
      <c r="DOD39" s="595"/>
      <c r="DOE39" s="595"/>
      <c r="DOF39" s="595"/>
      <c r="DOG39" s="595"/>
      <c r="DOH39" s="595"/>
      <c r="DOI39" s="595"/>
      <c r="DOJ39" s="595"/>
      <c r="DOK39" s="595"/>
      <c r="DOL39" s="595"/>
      <c r="DOM39" s="595"/>
      <c r="DON39" s="595"/>
      <c r="DOO39" s="595"/>
      <c r="DOP39" s="595"/>
      <c r="DOQ39" s="595"/>
      <c r="DOR39" s="595"/>
      <c r="DOS39" s="595"/>
      <c r="DOT39" s="595"/>
      <c r="DOU39" s="595"/>
      <c r="DOV39" s="595"/>
      <c r="DOW39" s="595"/>
      <c r="DOX39" s="595"/>
      <c r="DOY39" s="595"/>
      <c r="DOZ39" s="595"/>
      <c r="DPA39" s="595"/>
      <c r="DPB39" s="595"/>
      <c r="DPC39" s="595"/>
      <c r="DPD39" s="595"/>
      <c r="DPE39" s="595"/>
      <c r="DPF39" s="595"/>
      <c r="DPG39" s="595"/>
      <c r="DPH39" s="595"/>
      <c r="DPI39" s="595"/>
      <c r="DPJ39" s="595"/>
      <c r="DPK39" s="595"/>
      <c r="DPL39" s="595"/>
      <c r="DPM39" s="595"/>
      <c r="DPN39" s="595"/>
      <c r="DPO39" s="595"/>
      <c r="DPP39" s="595"/>
      <c r="DPQ39" s="595"/>
      <c r="DPR39" s="595"/>
      <c r="DPS39" s="595"/>
      <c r="DPT39" s="595"/>
      <c r="DPU39" s="595"/>
      <c r="DPV39" s="595"/>
      <c r="DPW39" s="595"/>
      <c r="DPX39" s="595"/>
      <c r="DPY39" s="595"/>
      <c r="DPZ39" s="595"/>
      <c r="DQA39" s="595"/>
      <c r="DQB39" s="595"/>
      <c r="DQC39" s="595"/>
      <c r="DQD39" s="595"/>
      <c r="DQE39" s="595"/>
      <c r="DQF39" s="595"/>
      <c r="DQG39" s="595"/>
      <c r="DQH39" s="595"/>
      <c r="DQI39" s="595"/>
      <c r="DQJ39" s="595"/>
      <c r="DQK39" s="595"/>
      <c r="DQL39" s="595"/>
      <c r="DQM39" s="595"/>
      <c r="DQN39" s="595"/>
      <c r="DQO39" s="595"/>
      <c r="DQP39" s="595"/>
      <c r="DQQ39" s="595"/>
      <c r="DQR39" s="595"/>
      <c r="DQS39" s="595"/>
      <c r="DQT39" s="595"/>
      <c r="DQU39" s="595"/>
      <c r="DQV39" s="595"/>
      <c r="DQW39" s="595"/>
      <c r="DQX39" s="595"/>
      <c r="DQY39" s="595"/>
      <c r="DQZ39" s="595"/>
      <c r="DRA39" s="595"/>
      <c r="DRB39" s="595"/>
      <c r="DRC39" s="595"/>
      <c r="DRD39" s="595"/>
      <c r="DRE39" s="595"/>
      <c r="DRF39" s="595"/>
      <c r="DRG39" s="595"/>
      <c r="DRH39" s="595"/>
      <c r="DRI39" s="595"/>
      <c r="DRJ39" s="595"/>
      <c r="DRK39" s="595"/>
      <c r="DRL39" s="595"/>
      <c r="DRM39" s="595"/>
      <c r="DRN39" s="595"/>
      <c r="DRO39" s="595"/>
      <c r="DRP39" s="595"/>
      <c r="DRQ39" s="595"/>
      <c r="DRR39" s="595"/>
      <c r="DRS39" s="595"/>
      <c r="DRT39" s="595"/>
      <c r="DRU39" s="595"/>
      <c r="DRV39" s="595"/>
      <c r="DRW39" s="595"/>
      <c r="DRX39" s="595"/>
      <c r="DRY39" s="595"/>
      <c r="DRZ39" s="595"/>
      <c r="DSA39" s="595"/>
      <c r="DSB39" s="595"/>
      <c r="DSC39" s="595"/>
      <c r="DSD39" s="595"/>
      <c r="DSE39" s="595"/>
      <c r="DSF39" s="595"/>
      <c r="DSG39" s="595"/>
      <c r="DSH39" s="595"/>
      <c r="DSI39" s="595"/>
      <c r="DSJ39" s="595"/>
      <c r="DSK39" s="595"/>
      <c r="DSL39" s="595"/>
      <c r="DSM39" s="595"/>
      <c r="DSN39" s="595"/>
      <c r="DSO39" s="595"/>
      <c r="DSP39" s="595"/>
      <c r="DSQ39" s="595"/>
      <c r="DSR39" s="595"/>
      <c r="DSS39" s="595"/>
      <c r="DST39" s="595"/>
      <c r="DSU39" s="595"/>
      <c r="DSV39" s="595"/>
      <c r="DSW39" s="595"/>
      <c r="DSX39" s="595"/>
      <c r="DSY39" s="595"/>
      <c r="DSZ39" s="595"/>
      <c r="DTA39" s="595"/>
      <c r="DTB39" s="595"/>
      <c r="DTC39" s="595"/>
      <c r="DTD39" s="595"/>
      <c r="DTE39" s="595"/>
      <c r="DTF39" s="595"/>
      <c r="DTG39" s="595"/>
      <c r="DTH39" s="595"/>
      <c r="DTI39" s="595"/>
      <c r="DTJ39" s="595"/>
      <c r="DTK39" s="595"/>
      <c r="DTL39" s="595"/>
      <c r="DTM39" s="595"/>
      <c r="DTN39" s="595"/>
      <c r="DTO39" s="595"/>
      <c r="DTP39" s="595"/>
      <c r="DTQ39" s="595"/>
      <c r="DTR39" s="595"/>
      <c r="DTS39" s="595"/>
      <c r="DTT39" s="595"/>
      <c r="DTU39" s="595"/>
      <c r="DTV39" s="595"/>
      <c r="DTW39" s="595"/>
      <c r="DTX39" s="595"/>
      <c r="DTY39" s="595"/>
      <c r="DTZ39" s="595"/>
      <c r="DUA39" s="595"/>
      <c r="DUB39" s="595"/>
      <c r="DUC39" s="595"/>
      <c r="DUD39" s="595"/>
      <c r="DUE39" s="595"/>
      <c r="DUF39" s="595"/>
      <c r="DUG39" s="595"/>
      <c r="DUH39" s="595"/>
      <c r="DUI39" s="595"/>
      <c r="DUJ39" s="595"/>
      <c r="DUK39" s="595"/>
      <c r="DUL39" s="595"/>
      <c r="DUM39" s="595"/>
      <c r="DUN39" s="595"/>
      <c r="DUO39" s="595"/>
      <c r="DUP39" s="595"/>
      <c r="DUQ39" s="595"/>
      <c r="DUR39" s="595"/>
      <c r="DUS39" s="595"/>
      <c r="DUT39" s="595"/>
      <c r="DUU39" s="595"/>
      <c r="DUV39" s="595"/>
      <c r="DUW39" s="595"/>
      <c r="DUX39" s="595"/>
      <c r="DUY39" s="595"/>
      <c r="DUZ39" s="595"/>
      <c r="DVA39" s="595"/>
      <c r="DVB39" s="595"/>
      <c r="DVC39" s="595"/>
      <c r="DVD39" s="595"/>
      <c r="DVE39" s="595"/>
      <c r="DVF39" s="595"/>
      <c r="DVG39" s="595"/>
      <c r="DVH39" s="595"/>
      <c r="DVI39" s="595"/>
      <c r="DVJ39" s="595"/>
      <c r="DVK39" s="595"/>
      <c r="DVL39" s="595"/>
      <c r="DVM39" s="595"/>
      <c r="DVN39" s="595"/>
      <c r="DVO39" s="595"/>
      <c r="DVP39" s="595"/>
      <c r="DVQ39" s="595"/>
      <c r="DVR39" s="595"/>
      <c r="DVS39" s="595"/>
      <c r="DVT39" s="595"/>
      <c r="DVU39" s="595"/>
      <c r="DVV39" s="595"/>
      <c r="DVW39" s="595"/>
      <c r="DVX39" s="595"/>
      <c r="DVY39" s="595"/>
      <c r="DVZ39" s="595"/>
      <c r="DWA39" s="595"/>
      <c r="DWB39" s="595"/>
      <c r="DWC39" s="595"/>
      <c r="DWD39" s="595"/>
      <c r="DWE39" s="595"/>
      <c r="DWF39" s="595"/>
      <c r="DWG39" s="595"/>
      <c r="DWH39" s="595"/>
      <c r="DWI39" s="595"/>
      <c r="DWJ39" s="595"/>
      <c r="DWK39" s="595"/>
      <c r="DWL39" s="595"/>
      <c r="DWM39" s="595"/>
      <c r="DWN39" s="595"/>
      <c r="DWO39" s="595"/>
      <c r="DWP39" s="595"/>
      <c r="DWQ39" s="595"/>
      <c r="DWR39" s="595"/>
      <c r="DWS39" s="595"/>
      <c r="DWT39" s="595"/>
      <c r="DWU39" s="595"/>
      <c r="DWV39" s="595"/>
      <c r="DWW39" s="595"/>
      <c r="DWX39" s="595"/>
      <c r="DWY39" s="595"/>
      <c r="DWZ39" s="595"/>
      <c r="DXA39" s="595"/>
      <c r="DXB39" s="595"/>
      <c r="DXC39" s="595"/>
      <c r="DXD39" s="595"/>
      <c r="DXE39" s="595"/>
      <c r="DXF39" s="595"/>
      <c r="DXG39" s="595"/>
      <c r="DXH39" s="595"/>
      <c r="DXI39" s="595"/>
      <c r="DXJ39" s="595"/>
      <c r="DXK39" s="595"/>
      <c r="DXL39" s="595"/>
      <c r="DXM39" s="595"/>
      <c r="DXN39" s="595"/>
      <c r="DXO39" s="595"/>
      <c r="DXP39" s="595"/>
      <c r="DXQ39" s="595"/>
      <c r="DXR39" s="595"/>
      <c r="DXS39" s="595"/>
      <c r="DXT39" s="595"/>
      <c r="DXU39" s="595"/>
      <c r="DXV39" s="595"/>
      <c r="DXW39" s="595"/>
      <c r="DXX39" s="595"/>
      <c r="DXY39" s="595"/>
      <c r="DXZ39" s="595"/>
      <c r="DYA39" s="595"/>
      <c r="DYB39" s="595"/>
      <c r="DYC39" s="595"/>
      <c r="DYD39" s="595"/>
      <c r="DYE39" s="595"/>
      <c r="DYF39" s="595"/>
      <c r="DYG39" s="595"/>
      <c r="DYH39" s="595"/>
      <c r="DYI39" s="595"/>
      <c r="DYJ39" s="595"/>
      <c r="DYK39" s="595"/>
      <c r="DYL39" s="595"/>
      <c r="DYM39" s="595"/>
      <c r="DYN39" s="595"/>
      <c r="DYO39" s="595"/>
      <c r="DYP39" s="595"/>
      <c r="DYQ39" s="595"/>
      <c r="DYR39" s="595"/>
      <c r="DYS39" s="595"/>
      <c r="DYT39" s="595"/>
      <c r="DYU39" s="595"/>
      <c r="DYV39" s="595"/>
      <c r="DYW39" s="595"/>
      <c r="DYX39" s="595"/>
      <c r="DYY39" s="595"/>
      <c r="DYZ39" s="595"/>
      <c r="DZA39" s="595"/>
      <c r="DZB39" s="595"/>
      <c r="DZC39" s="595"/>
      <c r="DZD39" s="595"/>
      <c r="DZE39" s="595"/>
      <c r="DZF39" s="595"/>
      <c r="DZG39" s="595"/>
      <c r="DZH39" s="595"/>
      <c r="DZI39" s="595"/>
      <c r="DZJ39" s="595"/>
      <c r="DZK39" s="595"/>
      <c r="DZL39" s="595"/>
      <c r="DZM39" s="595"/>
      <c r="DZN39" s="595"/>
      <c r="DZO39" s="595"/>
      <c r="DZP39" s="595"/>
      <c r="DZQ39" s="595"/>
      <c r="DZR39" s="595"/>
      <c r="DZS39" s="595"/>
      <c r="DZT39" s="595"/>
      <c r="DZU39" s="595"/>
      <c r="DZV39" s="595"/>
      <c r="DZW39" s="595"/>
      <c r="DZX39" s="595"/>
      <c r="DZY39" s="595"/>
      <c r="DZZ39" s="595"/>
      <c r="EAA39" s="595"/>
      <c r="EAB39" s="595"/>
      <c r="EAC39" s="595"/>
      <c r="EAD39" s="595"/>
      <c r="EAE39" s="595"/>
      <c r="EAF39" s="595"/>
      <c r="EAG39" s="595"/>
      <c r="EAH39" s="595"/>
      <c r="EAI39" s="595"/>
      <c r="EAJ39" s="595"/>
      <c r="EAK39" s="595"/>
      <c r="EAL39" s="595"/>
      <c r="EAM39" s="595"/>
      <c r="EAN39" s="595"/>
      <c r="EAO39" s="595"/>
      <c r="EAP39" s="595"/>
      <c r="EAQ39" s="595"/>
      <c r="EAR39" s="595"/>
      <c r="EAS39" s="595"/>
      <c r="EAT39" s="595"/>
      <c r="EAU39" s="595"/>
      <c r="EAV39" s="595"/>
      <c r="EAW39" s="595"/>
      <c r="EAX39" s="595"/>
      <c r="EAY39" s="595"/>
      <c r="EAZ39" s="595"/>
      <c r="EBA39" s="595"/>
      <c r="EBB39" s="595"/>
      <c r="EBC39" s="595"/>
      <c r="EBD39" s="595"/>
      <c r="EBE39" s="595"/>
      <c r="EBF39" s="595"/>
      <c r="EBG39" s="595"/>
      <c r="EBH39" s="595"/>
      <c r="EBI39" s="595"/>
      <c r="EBJ39" s="595"/>
      <c r="EBK39" s="595"/>
      <c r="EBL39" s="595"/>
      <c r="EBM39" s="595"/>
      <c r="EBN39" s="595"/>
      <c r="EBO39" s="595"/>
      <c r="EBP39" s="595"/>
      <c r="EBQ39" s="595"/>
      <c r="EBR39" s="595"/>
      <c r="EBS39" s="595"/>
      <c r="EBT39" s="595"/>
      <c r="EBU39" s="595"/>
      <c r="EBV39" s="595"/>
      <c r="EBW39" s="595"/>
      <c r="EBX39" s="595"/>
      <c r="EBY39" s="595"/>
      <c r="EBZ39" s="595"/>
      <c r="ECA39" s="595"/>
      <c r="ECB39" s="595"/>
      <c r="ECC39" s="595"/>
      <c r="ECD39" s="595"/>
      <c r="ECE39" s="595"/>
      <c r="ECF39" s="595"/>
      <c r="ECG39" s="595"/>
      <c r="ECH39" s="595"/>
      <c r="ECI39" s="595"/>
      <c r="ECJ39" s="595"/>
      <c r="ECK39" s="595"/>
      <c r="ECL39" s="595"/>
      <c r="ECM39" s="595"/>
      <c r="ECN39" s="595"/>
      <c r="ECO39" s="595"/>
      <c r="ECP39" s="595"/>
      <c r="ECQ39" s="595"/>
      <c r="ECR39" s="595"/>
      <c r="ECS39" s="595"/>
      <c r="ECT39" s="595"/>
      <c r="ECU39" s="595"/>
      <c r="ECV39" s="595"/>
      <c r="ECW39" s="595"/>
      <c r="ECX39" s="595"/>
      <c r="ECY39" s="595"/>
      <c r="ECZ39" s="595"/>
      <c r="EDA39" s="595"/>
      <c r="EDB39" s="595"/>
      <c r="EDC39" s="595"/>
      <c r="EDD39" s="595"/>
      <c r="EDE39" s="595"/>
      <c r="EDF39" s="595"/>
      <c r="EDG39" s="595"/>
      <c r="EDH39" s="595"/>
      <c r="EDI39" s="595"/>
      <c r="EDJ39" s="595"/>
      <c r="EDK39" s="595"/>
      <c r="EDL39" s="595"/>
      <c r="EDM39" s="595"/>
      <c r="EDN39" s="595"/>
      <c r="EDO39" s="595"/>
      <c r="EDP39" s="595"/>
      <c r="EDQ39" s="595"/>
      <c r="EDR39" s="595"/>
      <c r="EDS39" s="595"/>
      <c r="EDT39" s="595"/>
      <c r="EDU39" s="595"/>
      <c r="EDV39" s="595"/>
      <c r="EDW39" s="595"/>
      <c r="EDX39" s="595"/>
      <c r="EDY39" s="595"/>
      <c r="EDZ39" s="595"/>
      <c r="EEA39" s="595"/>
      <c r="EEB39" s="595"/>
      <c r="EEC39" s="595"/>
      <c r="EED39" s="595"/>
      <c r="EEE39" s="595"/>
      <c r="EEF39" s="595"/>
      <c r="EEG39" s="595"/>
      <c r="EEH39" s="595"/>
      <c r="EEI39" s="595"/>
      <c r="EEJ39" s="595"/>
      <c r="EEK39" s="595"/>
      <c r="EEL39" s="595"/>
      <c r="EEM39" s="595"/>
      <c r="EEN39" s="595"/>
      <c r="EEO39" s="595"/>
      <c r="EEP39" s="595"/>
      <c r="EEQ39" s="595"/>
      <c r="EER39" s="595"/>
      <c r="EES39" s="595"/>
      <c r="EET39" s="595"/>
      <c r="EEU39" s="595"/>
      <c r="EEV39" s="595"/>
      <c r="EEW39" s="595"/>
      <c r="EEX39" s="595"/>
      <c r="EEY39" s="595"/>
      <c r="EEZ39" s="595"/>
      <c r="EFA39" s="595"/>
      <c r="EFB39" s="595"/>
      <c r="EFC39" s="595"/>
      <c r="EFD39" s="595"/>
      <c r="EFE39" s="595"/>
      <c r="EFF39" s="595"/>
      <c r="EFG39" s="595"/>
      <c r="EFH39" s="595"/>
      <c r="EFI39" s="595"/>
      <c r="EFJ39" s="595"/>
      <c r="EFK39" s="595"/>
      <c r="EFL39" s="595"/>
      <c r="EFM39" s="595"/>
      <c r="EFN39" s="595"/>
      <c r="EFO39" s="595"/>
      <c r="EFP39" s="595"/>
      <c r="EFQ39" s="595"/>
      <c r="EFR39" s="595"/>
      <c r="EFS39" s="595"/>
      <c r="EFT39" s="595"/>
      <c r="EFU39" s="595"/>
      <c r="EFV39" s="595"/>
      <c r="EFW39" s="595"/>
      <c r="EFX39" s="595"/>
      <c r="EFY39" s="595"/>
      <c r="EFZ39" s="595"/>
      <c r="EGA39" s="595"/>
      <c r="EGB39" s="595"/>
      <c r="EGC39" s="595"/>
      <c r="EGD39" s="595"/>
      <c r="EGE39" s="595"/>
      <c r="EGF39" s="595"/>
      <c r="EGG39" s="595"/>
      <c r="EGH39" s="595"/>
      <c r="EGI39" s="595"/>
      <c r="EGJ39" s="595"/>
      <c r="EGK39" s="595"/>
      <c r="EGL39" s="595"/>
      <c r="EGM39" s="595"/>
      <c r="EGN39" s="595"/>
      <c r="EGO39" s="595"/>
      <c r="EGP39" s="595"/>
      <c r="EGQ39" s="595"/>
      <c r="EGR39" s="595"/>
      <c r="EGS39" s="595"/>
      <c r="EGT39" s="595"/>
      <c r="EGU39" s="595"/>
      <c r="EGV39" s="595"/>
      <c r="EGW39" s="595"/>
      <c r="EGX39" s="595"/>
      <c r="EGY39" s="595"/>
      <c r="EGZ39" s="595"/>
      <c r="EHA39" s="595"/>
      <c r="EHB39" s="595"/>
      <c r="EHC39" s="595"/>
      <c r="EHD39" s="595"/>
      <c r="EHE39" s="595"/>
      <c r="EHF39" s="595"/>
      <c r="EHG39" s="595"/>
      <c r="EHH39" s="595"/>
      <c r="EHI39" s="595"/>
      <c r="EHJ39" s="595"/>
      <c r="EHK39" s="595"/>
      <c r="EHL39" s="595"/>
      <c r="EHM39" s="595"/>
      <c r="EHN39" s="595"/>
      <c r="EHO39" s="595"/>
      <c r="EHP39" s="595"/>
      <c r="EHQ39" s="595"/>
      <c r="EHR39" s="595"/>
      <c r="EHS39" s="595"/>
      <c r="EHT39" s="595"/>
      <c r="EHU39" s="595"/>
      <c r="EHV39" s="595"/>
      <c r="EHW39" s="595"/>
      <c r="EHX39" s="595"/>
      <c r="EHY39" s="595"/>
      <c r="EHZ39" s="595"/>
      <c r="EIA39" s="595"/>
      <c r="EIB39" s="595"/>
      <c r="EIC39" s="595"/>
      <c r="EID39" s="595"/>
      <c r="EIE39" s="595"/>
      <c r="EIF39" s="595"/>
      <c r="EIG39" s="595"/>
      <c r="EIH39" s="595"/>
      <c r="EII39" s="595"/>
      <c r="EIJ39" s="595"/>
      <c r="EIK39" s="595"/>
      <c r="EIL39" s="595"/>
      <c r="EIM39" s="595"/>
      <c r="EIN39" s="595"/>
      <c r="EIO39" s="595"/>
      <c r="EIP39" s="595"/>
      <c r="EIQ39" s="595"/>
      <c r="EIR39" s="595"/>
      <c r="EIS39" s="595"/>
      <c r="EIT39" s="595"/>
      <c r="EIU39" s="595"/>
      <c r="EIV39" s="595"/>
      <c r="EIW39" s="595"/>
      <c r="EIX39" s="595"/>
      <c r="EIY39" s="595"/>
      <c r="EIZ39" s="595"/>
      <c r="EJA39" s="595"/>
      <c r="EJB39" s="595"/>
      <c r="EJC39" s="595"/>
      <c r="EJD39" s="595"/>
      <c r="EJE39" s="595"/>
      <c r="EJF39" s="595"/>
      <c r="EJG39" s="595"/>
      <c r="EJH39" s="595"/>
      <c r="EJI39" s="595"/>
      <c r="EJJ39" s="595"/>
      <c r="EJK39" s="595"/>
      <c r="EJL39" s="595"/>
      <c r="EJM39" s="595"/>
      <c r="EJN39" s="595"/>
      <c r="EJO39" s="595"/>
      <c r="EJP39" s="595"/>
      <c r="EJQ39" s="595"/>
      <c r="EJR39" s="595"/>
      <c r="EJS39" s="595"/>
      <c r="EJT39" s="595"/>
      <c r="EJU39" s="595"/>
      <c r="EJV39" s="595"/>
      <c r="EJW39" s="595"/>
      <c r="EJX39" s="595"/>
      <c r="EJY39" s="595"/>
      <c r="EJZ39" s="595"/>
      <c r="EKA39" s="595"/>
      <c r="EKB39" s="595"/>
      <c r="EKC39" s="595"/>
      <c r="EKD39" s="595"/>
      <c r="EKE39" s="595"/>
      <c r="EKF39" s="595"/>
      <c r="EKG39" s="595"/>
      <c r="EKH39" s="595"/>
      <c r="EKI39" s="595"/>
      <c r="EKJ39" s="595"/>
      <c r="EKK39" s="595"/>
      <c r="EKL39" s="595"/>
      <c r="EKM39" s="595"/>
      <c r="EKN39" s="595"/>
      <c r="EKO39" s="595"/>
      <c r="EKP39" s="595"/>
      <c r="EKQ39" s="595"/>
      <c r="EKR39" s="595"/>
      <c r="EKS39" s="595"/>
      <c r="EKT39" s="595"/>
      <c r="EKU39" s="595"/>
      <c r="EKV39" s="595"/>
      <c r="EKW39" s="595"/>
      <c r="EKX39" s="595"/>
      <c r="EKY39" s="595"/>
      <c r="EKZ39" s="595"/>
      <c r="ELA39" s="595"/>
      <c r="ELB39" s="595"/>
      <c r="ELC39" s="595"/>
      <c r="ELD39" s="595"/>
      <c r="ELE39" s="595"/>
      <c r="ELF39" s="595"/>
      <c r="ELG39" s="595"/>
      <c r="ELH39" s="595"/>
      <c r="ELI39" s="595"/>
      <c r="ELJ39" s="595"/>
      <c r="ELK39" s="595"/>
      <c r="ELL39" s="595"/>
      <c r="ELM39" s="595"/>
      <c r="ELN39" s="595"/>
      <c r="ELO39" s="595"/>
      <c r="ELP39" s="595"/>
      <c r="ELQ39" s="595"/>
      <c r="ELR39" s="595"/>
      <c r="ELS39" s="595"/>
      <c r="ELT39" s="595"/>
      <c r="ELU39" s="595"/>
      <c r="ELV39" s="595"/>
      <c r="ELW39" s="595"/>
      <c r="ELX39" s="595"/>
      <c r="ELY39" s="595"/>
      <c r="ELZ39" s="595"/>
      <c r="EMA39" s="595"/>
      <c r="EMB39" s="595"/>
      <c r="EMC39" s="595"/>
      <c r="EMD39" s="595"/>
      <c r="EME39" s="595"/>
      <c r="EMF39" s="595"/>
      <c r="EMG39" s="595"/>
      <c r="EMH39" s="595"/>
      <c r="EMI39" s="595"/>
      <c r="EMJ39" s="595"/>
      <c r="EMK39" s="595"/>
      <c r="EML39" s="595"/>
      <c r="EMM39" s="595"/>
      <c r="EMN39" s="595"/>
      <c r="EMO39" s="595"/>
      <c r="EMP39" s="595"/>
      <c r="EMQ39" s="595"/>
      <c r="EMR39" s="595"/>
      <c r="EMS39" s="595"/>
      <c r="EMT39" s="595"/>
      <c r="EMU39" s="595"/>
      <c r="EMV39" s="595"/>
      <c r="EMW39" s="595"/>
      <c r="EMX39" s="595"/>
      <c r="EMY39" s="595"/>
      <c r="EMZ39" s="595"/>
      <c r="ENA39" s="595"/>
      <c r="ENB39" s="595"/>
      <c r="ENC39" s="595"/>
      <c r="END39" s="595"/>
      <c r="ENE39" s="595"/>
      <c r="ENF39" s="595"/>
      <c r="ENG39" s="595"/>
      <c r="ENH39" s="595"/>
      <c r="ENI39" s="595"/>
      <c r="ENJ39" s="595"/>
      <c r="ENK39" s="595"/>
      <c r="ENL39" s="595"/>
      <c r="ENM39" s="595"/>
      <c r="ENN39" s="595"/>
      <c r="ENO39" s="595"/>
      <c r="ENP39" s="595"/>
      <c r="ENQ39" s="595"/>
      <c r="ENR39" s="595"/>
      <c r="ENS39" s="595"/>
      <c r="ENT39" s="595"/>
      <c r="ENU39" s="595"/>
      <c r="ENV39" s="595"/>
      <c r="ENW39" s="595"/>
      <c r="ENX39" s="595"/>
      <c r="ENY39" s="595"/>
      <c r="ENZ39" s="595"/>
      <c r="EOA39" s="595"/>
      <c r="EOB39" s="595"/>
      <c r="EOC39" s="595"/>
      <c r="EOD39" s="595"/>
      <c r="EOE39" s="595"/>
      <c r="EOF39" s="595"/>
      <c r="EOG39" s="595"/>
      <c r="EOH39" s="595"/>
      <c r="EOI39" s="595"/>
      <c r="EOJ39" s="595"/>
      <c r="EOK39" s="595"/>
      <c r="EOL39" s="595"/>
      <c r="EOM39" s="595"/>
      <c r="EON39" s="595"/>
      <c r="EOO39" s="595"/>
      <c r="EOP39" s="595"/>
      <c r="EOQ39" s="595"/>
      <c r="EOR39" s="595"/>
      <c r="EOS39" s="595"/>
      <c r="EOT39" s="595"/>
      <c r="EOU39" s="595"/>
      <c r="EOV39" s="595"/>
      <c r="EOW39" s="595"/>
      <c r="EOX39" s="595"/>
      <c r="EOY39" s="595"/>
      <c r="EOZ39" s="595"/>
      <c r="EPA39" s="595"/>
      <c r="EPB39" s="595"/>
      <c r="EPC39" s="595"/>
      <c r="EPD39" s="595"/>
      <c r="EPE39" s="595"/>
      <c r="EPF39" s="595"/>
      <c r="EPG39" s="595"/>
      <c r="EPH39" s="595"/>
      <c r="EPI39" s="595"/>
      <c r="EPJ39" s="595"/>
      <c r="EPK39" s="595"/>
      <c r="EPL39" s="595"/>
      <c r="EPM39" s="595"/>
      <c r="EPN39" s="595"/>
      <c r="EPO39" s="595"/>
      <c r="EPP39" s="595"/>
      <c r="EPQ39" s="595"/>
      <c r="EPR39" s="595"/>
      <c r="EPS39" s="595"/>
      <c r="EPT39" s="595"/>
      <c r="EPU39" s="595"/>
      <c r="EPV39" s="595"/>
      <c r="EPW39" s="595"/>
      <c r="EPX39" s="595"/>
      <c r="EPY39" s="595"/>
      <c r="EPZ39" s="595"/>
      <c r="EQA39" s="595"/>
      <c r="EQB39" s="595"/>
      <c r="EQC39" s="595"/>
      <c r="EQD39" s="595"/>
      <c r="EQE39" s="595"/>
      <c r="EQF39" s="595"/>
      <c r="EQG39" s="595"/>
      <c r="EQH39" s="595"/>
      <c r="EQI39" s="595"/>
      <c r="EQJ39" s="595"/>
      <c r="EQK39" s="595"/>
      <c r="EQL39" s="595"/>
      <c r="EQM39" s="595"/>
      <c r="EQN39" s="595"/>
      <c r="EQO39" s="595"/>
      <c r="EQP39" s="595"/>
      <c r="EQQ39" s="595"/>
      <c r="EQR39" s="595"/>
      <c r="EQS39" s="595"/>
      <c r="EQT39" s="595"/>
      <c r="EQU39" s="595"/>
      <c r="EQV39" s="595"/>
      <c r="EQW39" s="595"/>
      <c r="EQX39" s="595"/>
      <c r="EQY39" s="595"/>
      <c r="EQZ39" s="595"/>
      <c r="ERA39" s="595"/>
      <c r="ERB39" s="595"/>
      <c r="ERC39" s="595"/>
      <c r="ERD39" s="595"/>
      <c r="ERE39" s="595"/>
      <c r="ERF39" s="595"/>
      <c r="ERG39" s="595"/>
      <c r="ERH39" s="595"/>
      <c r="ERI39" s="595"/>
      <c r="ERJ39" s="595"/>
      <c r="ERK39" s="595"/>
      <c r="ERL39" s="595"/>
      <c r="ERM39" s="595"/>
      <c r="ERN39" s="595"/>
      <c r="ERO39" s="595"/>
      <c r="ERP39" s="595"/>
      <c r="ERQ39" s="595"/>
      <c r="ERR39" s="595"/>
      <c r="ERS39" s="595"/>
      <c r="ERT39" s="595"/>
      <c r="ERU39" s="595"/>
      <c r="ERV39" s="595"/>
      <c r="ERW39" s="595"/>
      <c r="ERX39" s="595"/>
      <c r="ERY39" s="595"/>
      <c r="ERZ39" s="595"/>
      <c r="ESA39" s="595"/>
      <c r="ESB39" s="595"/>
      <c r="ESC39" s="595"/>
      <c r="ESD39" s="595"/>
      <c r="ESE39" s="595"/>
      <c r="ESF39" s="595"/>
      <c r="ESG39" s="595"/>
      <c r="ESH39" s="595"/>
      <c r="ESI39" s="595"/>
      <c r="ESJ39" s="595"/>
      <c r="ESK39" s="595"/>
      <c r="ESL39" s="595"/>
      <c r="ESM39" s="595"/>
      <c r="ESN39" s="595"/>
      <c r="ESO39" s="595"/>
      <c r="ESP39" s="595"/>
      <c r="ESQ39" s="595"/>
      <c r="ESR39" s="595"/>
      <c r="ESS39" s="595"/>
      <c r="EST39" s="595"/>
      <c r="ESU39" s="595"/>
      <c r="ESV39" s="595"/>
      <c r="ESW39" s="595"/>
      <c r="ESX39" s="595"/>
      <c r="ESY39" s="595"/>
      <c r="ESZ39" s="595"/>
      <c r="ETA39" s="595"/>
      <c r="ETB39" s="595"/>
      <c r="ETC39" s="595"/>
      <c r="ETD39" s="595"/>
      <c r="ETE39" s="595"/>
      <c r="ETF39" s="595"/>
      <c r="ETG39" s="595"/>
      <c r="ETH39" s="595"/>
      <c r="ETI39" s="595"/>
      <c r="ETJ39" s="595"/>
      <c r="ETK39" s="595"/>
      <c r="ETL39" s="595"/>
      <c r="ETM39" s="595"/>
      <c r="ETN39" s="595"/>
      <c r="ETO39" s="595"/>
      <c r="ETP39" s="595"/>
      <c r="ETQ39" s="595"/>
      <c r="ETR39" s="595"/>
      <c r="ETS39" s="595"/>
      <c r="ETT39" s="595"/>
      <c r="ETU39" s="595"/>
      <c r="ETV39" s="595"/>
      <c r="ETW39" s="595"/>
      <c r="ETX39" s="595"/>
      <c r="ETY39" s="595"/>
      <c r="ETZ39" s="595"/>
      <c r="EUA39" s="595"/>
      <c r="EUB39" s="595"/>
      <c r="EUC39" s="595"/>
      <c r="EUD39" s="595"/>
      <c r="EUE39" s="595"/>
      <c r="EUF39" s="595"/>
      <c r="EUG39" s="595"/>
      <c r="EUH39" s="595"/>
      <c r="EUI39" s="595"/>
      <c r="EUJ39" s="595"/>
      <c r="EUK39" s="595"/>
      <c r="EUL39" s="595"/>
      <c r="EUM39" s="595"/>
      <c r="EUN39" s="595"/>
      <c r="EUO39" s="595"/>
      <c r="EUP39" s="595"/>
      <c r="EUQ39" s="595"/>
      <c r="EUR39" s="595"/>
      <c r="EUS39" s="595"/>
      <c r="EUT39" s="595"/>
      <c r="EUU39" s="595"/>
      <c r="EUV39" s="595"/>
      <c r="EUW39" s="595"/>
      <c r="EUX39" s="595"/>
      <c r="EUY39" s="595"/>
      <c r="EUZ39" s="595"/>
      <c r="EVA39" s="595"/>
      <c r="EVB39" s="595"/>
      <c r="EVC39" s="595"/>
      <c r="EVD39" s="595"/>
      <c r="EVE39" s="595"/>
      <c r="EVF39" s="595"/>
      <c r="EVG39" s="595"/>
      <c r="EVH39" s="595"/>
      <c r="EVI39" s="595"/>
      <c r="EVJ39" s="595"/>
      <c r="EVK39" s="595"/>
      <c r="EVL39" s="595"/>
      <c r="EVM39" s="595"/>
      <c r="EVN39" s="595"/>
      <c r="EVO39" s="595"/>
      <c r="EVP39" s="595"/>
      <c r="EVQ39" s="595"/>
      <c r="EVR39" s="595"/>
      <c r="EVS39" s="595"/>
      <c r="EVT39" s="595"/>
      <c r="EVU39" s="595"/>
      <c r="EVV39" s="595"/>
      <c r="EVW39" s="595"/>
      <c r="EVX39" s="595"/>
      <c r="EVY39" s="595"/>
      <c r="EVZ39" s="595"/>
      <c r="EWA39" s="595"/>
      <c r="EWB39" s="595"/>
      <c r="EWC39" s="595"/>
      <c r="EWD39" s="595"/>
      <c r="EWE39" s="595"/>
      <c r="EWF39" s="595"/>
      <c r="EWG39" s="595"/>
      <c r="EWH39" s="595"/>
      <c r="EWI39" s="595"/>
      <c r="EWJ39" s="595"/>
      <c r="EWK39" s="595"/>
      <c r="EWL39" s="595"/>
      <c r="EWM39" s="595"/>
      <c r="EWN39" s="595"/>
      <c r="EWO39" s="595"/>
      <c r="EWP39" s="595"/>
      <c r="EWQ39" s="595"/>
      <c r="EWR39" s="595"/>
      <c r="EWS39" s="595"/>
      <c r="EWT39" s="595"/>
      <c r="EWU39" s="595"/>
      <c r="EWV39" s="595"/>
      <c r="EWW39" s="595"/>
      <c r="EWX39" s="595"/>
      <c r="EWY39" s="595"/>
      <c r="EWZ39" s="595"/>
      <c r="EXA39" s="595"/>
      <c r="EXB39" s="595"/>
      <c r="EXC39" s="595"/>
      <c r="EXD39" s="595"/>
      <c r="EXE39" s="595"/>
      <c r="EXF39" s="595"/>
      <c r="EXG39" s="595"/>
      <c r="EXH39" s="595"/>
      <c r="EXI39" s="595"/>
      <c r="EXJ39" s="595"/>
      <c r="EXK39" s="595"/>
      <c r="EXL39" s="595"/>
      <c r="EXM39" s="595"/>
      <c r="EXN39" s="595"/>
      <c r="EXO39" s="595"/>
      <c r="EXP39" s="595"/>
      <c r="EXQ39" s="595"/>
      <c r="EXR39" s="595"/>
      <c r="EXS39" s="595"/>
      <c r="EXT39" s="595"/>
      <c r="EXU39" s="595"/>
      <c r="EXV39" s="595"/>
      <c r="EXW39" s="595"/>
      <c r="EXX39" s="595"/>
      <c r="EXY39" s="595"/>
      <c r="EXZ39" s="595"/>
      <c r="EYA39" s="595"/>
      <c r="EYB39" s="595"/>
      <c r="EYC39" s="595"/>
      <c r="EYD39" s="595"/>
      <c r="EYE39" s="595"/>
      <c r="EYF39" s="595"/>
      <c r="EYG39" s="595"/>
      <c r="EYH39" s="595"/>
      <c r="EYI39" s="595"/>
      <c r="EYJ39" s="595"/>
      <c r="EYK39" s="595"/>
      <c r="EYL39" s="595"/>
      <c r="EYM39" s="595"/>
      <c r="EYN39" s="595"/>
      <c r="EYO39" s="595"/>
      <c r="EYP39" s="595"/>
      <c r="EYQ39" s="595"/>
      <c r="EYR39" s="595"/>
      <c r="EYS39" s="595"/>
      <c r="EYT39" s="595"/>
      <c r="EYU39" s="595"/>
      <c r="EYV39" s="595"/>
      <c r="EYW39" s="595"/>
      <c r="EYX39" s="595"/>
      <c r="EYY39" s="595"/>
      <c r="EYZ39" s="595"/>
      <c r="EZA39" s="595"/>
      <c r="EZB39" s="595"/>
      <c r="EZC39" s="595"/>
      <c r="EZD39" s="595"/>
      <c r="EZE39" s="595"/>
      <c r="EZF39" s="595"/>
      <c r="EZG39" s="595"/>
      <c r="EZH39" s="595"/>
      <c r="EZI39" s="595"/>
      <c r="EZJ39" s="595"/>
      <c r="EZK39" s="595"/>
      <c r="EZL39" s="595"/>
      <c r="EZM39" s="595"/>
      <c r="EZN39" s="595"/>
      <c r="EZO39" s="595"/>
      <c r="EZP39" s="595"/>
      <c r="EZQ39" s="595"/>
      <c r="EZR39" s="595"/>
      <c r="EZS39" s="595"/>
      <c r="EZT39" s="595"/>
      <c r="EZU39" s="595"/>
      <c r="EZV39" s="595"/>
      <c r="EZW39" s="595"/>
      <c r="EZX39" s="595"/>
      <c r="EZY39" s="595"/>
      <c r="EZZ39" s="595"/>
      <c r="FAA39" s="595"/>
      <c r="FAB39" s="595"/>
      <c r="FAC39" s="595"/>
      <c r="FAD39" s="595"/>
      <c r="FAE39" s="595"/>
      <c r="FAF39" s="595"/>
      <c r="FAG39" s="595"/>
      <c r="FAH39" s="595"/>
      <c r="FAI39" s="595"/>
      <c r="FAJ39" s="595"/>
      <c r="FAK39" s="595"/>
      <c r="FAL39" s="595"/>
      <c r="FAM39" s="595"/>
      <c r="FAN39" s="595"/>
      <c r="FAO39" s="595"/>
      <c r="FAP39" s="595"/>
      <c r="FAQ39" s="595"/>
      <c r="FAR39" s="595"/>
      <c r="FAS39" s="595"/>
      <c r="FAT39" s="595"/>
      <c r="FAU39" s="595"/>
      <c r="FAV39" s="595"/>
      <c r="FAW39" s="595"/>
      <c r="FAX39" s="595"/>
      <c r="FAY39" s="595"/>
      <c r="FAZ39" s="595"/>
      <c r="FBA39" s="595"/>
      <c r="FBB39" s="595"/>
      <c r="FBC39" s="595"/>
      <c r="FBD39" s="595"/>
      <c r="FBE39" s="595"/>
      <c r="FBF39" s="595"/>
      <c r="FBG39" s="595"/>
      <c r="FBH39" s="595"/>
      <c r="FBI39" s="595"/>
      <c r="FBJ39" s="595"/>
      <c r="FBK39" s="595"/>
      <c r="FBL39" s="595"/>
      <c r="FBM39" s="595"/>
      <c r="FBN39" s="595"/>
      <c r="FBO39" s="595"/>
      <c r="FBP39" s="595"/>
      <c r="FBQ39" s="595"/>
      <c r="FBR39" s="595"/>
      <c r="FBS39" s="595"/>
      <c r="FBT39" s="595"/>
      <c r="FBU39" s="595"/>
      <c r="FBV39" s="595"/>
      <c r="FBW39" s="595"/>
      <c r="FBX39" s="595"/>
      <c r="FBY39" s="595"/>
      <c r="FBZ39" s="595"/>
      <c r="FCA39" s="595"/>
      <c r="FCB39" s="595"/>
      <c r="FCC39" s="595"/>
      <c r="FCD39" s="595"/>
      <c r="FCE39" s="595"/>
      <c r="FCF39" s="595"/>
      <c r="FCG39" s="595"/>
      <c r="FCH39" s="595"/>
      <c r="FCI39" s="595"/>
      <c r="FCJ39" s="595"/>
      <c r="FCK39" s="595"/>
      <c r="FCL39" s="595"/>
      <c r="FCM39" s="595"/>
      <c r="FCN39" s="595"/>
      <c r="FCO39" s="595"/>
      <c r="FCP39" s="595"/>
      <c r="FCQ39" s="595"/>
      <c r="FCR39" s="595"/>
      <c r="FCS39" s="595"/>
      <c r="FCT39" s="595"/>
      <c r="FCU39" s="595"/>
      <c r="FCV39" s="595"/>
      <c r="FCW39" s="595"/>
      <c r="FCX39" s="595"/>
      <c r="FCY39" s="595"/>
      <c r="FCZ39" s="595"/>
      <c r="FDA39" s="595"/>
      <c r="FDB39" s="595"/>
      <c r="FDC39" s="595"/>
      <c r="FDD39" s="595"/>
      <c r="FDE39" s="595"/>
      <c r="FDF39" s="595"/>
      <c r="FDG39" s="595"/>
      <c r="FDH39" s="595"/>
      <c r="FDI39" s="595"/>
      <c r="FDJ39" s="595"/>
      <c r="FDK39" s="595"/>
      <c r="FDL39" s="595"/>
      <c r="FDM39" s="595"/>
      <c r="FDN39" s="595"/>
      <c r="FDO39" s="595"/>
      <c r="FDP39" s="595"/>
      <c r="FDQ39" s="595"/>
      <c r="FDR39" s="595"/>
      <c r="FDS39" s="595"/>
      <c r="FDT39" s="595"/>
      <c r="FDU39" s="595"/>
      <c r="FDV39" s="595"/>
      <c r="FDW39" s="595"/>
      <c r="FDX39" s="595"/>
      <c r="FDY39" s="595"/>
      <c r="FDZ39" s="595"/>
      <c r="FEA39" s="595"/>
      <c r="FEB39" s="595"/>
      <c r="FEC39" s="595"/>
      <c r="FED39" s="595"/>
      <c r="FEE39" s="595"/>
      <c r="FEF39" s="595"/>
      <c r="FEG39" s="595"/>
      <c r="FEH39" s="595"/>
      <c r="FEI39" s="595"/>
      <c r="FEJ39" s="595"/>
      <c r="FEK39" s="595"/>
      <c r="FEL39" s="595"/>
      <c r="FEM39" s="595"/>
      <c r="FEN39" s="595"/>
      <c r="FEO39" s="595"/>
      <c r="FEP39" s="595"/>
      <c r="FEQ39" s="595"/>
      <c r="FER39" s="595"/>
      <c r="FES39" s="595"/>
      <c r="FET39" s="595"/>
      <c r="FEU39" s="595"/>
      <c r="FEV39" s="595"/>
      <c r="FEW39" s="595"/>
      <c r="FEX39" s="595"/>
      <c r="FEY39" s="595"/>
      <c r="FEZ39" s="595"/>
      <c r="FFA39" s="595"/>
      <c r="FFB39" s="595"/>
      <c r="FFC39" s="595"/>
      <c r="FFD39" s="595"/>
      <c r="FFE39" s="595"/>
      <c r="FFF39" s="595"/>
      <c r="FFG39" s="595"/>
      <c r="FFH39" s="595"/>
      <c r="FFI39" s="595"/>
      <c r="FFJ39" s="595"/>
      <c r="FFK39" s="595"/>
      <c r="FFL39" s="595"/>
      <c r="FFM39" s="595"/>
      <c r="FFN39" s="595"/>
      <c r="FFO39" s="595"/>
      <c r="FFP39" s="595"/>
      <c r="FFQ39" s="595"/>
      <c r="FFR39" s="595"/>
      <c r="FFS39" s="595"/>
      <c r="FFT39" s="595"/>
      <c r="FFU39" s="595"/>
      <c r="FFV39" s="595"/>
      <c r="FFW39" s="595"/>
      <c r="FFX39" s="595"/>
      <c r="FFY39" s="595"/>
      <c r="FFZ39" s="595"/>
      <c r="FGA39" s="595"/>
      <c r="FGB39" s="595"/>
      <c r="FGC39" s="595"/>
      <c r="FGD39" s="595"/>
      <c r="FGE39" s="595"/>
      <c r="FGF39" s="595"/>
      <c r="FGG39" s="595"/>
      <c r="FGH39" s="595"/>
      <c r="FGI39" s="595"/>
      <c r="FGJ39" s="595"/>
      <c r="FGK39" s="595"/>
      <c r="FGL39" s="595"/>
      <c r="FGM39" s="595"/>
      <c r="FGN39" s="595"/>
      <c r="FGO39" s="595"/>
      <c r="FGP39" s="595"/>
      <c r="FGQ39" s="595"/>
      <c r="FGR39" s="595"/>
      <c r="FGS39" s="595"/>
      <c r="FGT39" s="595"/>
      <c r="FGU39" s="595"/>
      <c r="FGV39" s="595"/>
      <c r="FGW39" s="595"/>
      <c r="FGX39" s="595"/>
      <c r="FGY39" s="595"/>
      <c r="FGZ39" s="595"/>
      <c r="FHA39" s="595"/>
      <c r="FHB39" s="595"/>
      <c r="FHC39" s="595"/>
      <c r="FHD39" s="595"/>
      <c r="FHE39" s="595"/>
      <c r="FHF39" s="595"/>
      <c r="FHG39" s="595"/>
      <c r="FHH39" s="595"/>
      <c r="FHI39" s="595"/>
      <c r="FHJ39" s="595"/>
      <c r="FHK39" s="595"/>
      <c r="FHL39" s="595"/>
      <c r="FHM39" s="595"/>
      <c r="FHN39" s="595"/>
      <c r="FHO39" s="595"/>
      <c r="FHP39" s="595"/>
      <c r="FHQ39" s="595"/>
      <c r="FHR39" s="595"/>
      <c r="FHS39" s="595"/>
      <c r="FHT39" s="595"/>
      <c r="FHU39" s="595"/>
      <c r="FHV39" s="595"/>
      <c r="FHW39" s="595"/>
      <c r="FHX39" s="595"/>
      <c r="FHY39" s="595"/>
      <c r="FHZ39" s="595"/>
      <c r="FIA39" s="595"/>
      <c r="FIB39" s="595"/>
      <c r="FIC39" s="595"/>
      <c r="FID39" s="595"/>
      <c r="FIE39" s="595"/>
      <c r="FIF39" s="595"/>
      <c r="FIG39" s="595"/>
      <c r="FIH39" s="595"/>
      <c r="FII39" s="595"/>
      <c r="FIJ39" s="595"/>
      <c r="FIK39" s="595"/>
      <c r="FIL39" s="595"/>
      <c r="FIM39" s="595"/>
      <c r="FIN39" s="595"/>
      <c r="FIO39" s="595"/>
      <c r="FIP39" s="595"/>
      <c r="FIQ39" s="595"/>
      <c r="FIR39" s="595"/>
      <c r="FIS39" s="595"/>
      <c r="FIT39" s="595"/>
      <c r="FIU39" s="595"/>
      <c r="FIV39" s="595"/>
      <c r="FIW39" s="595"/>
      <c r="FIX39" s="595"/>
      <c r="FIY39" s="595"/>
      <c r="FIZ39" s="595"/>
      <c r="FJA39" s="595"/>
      <c r="FJB39" s="595"/>
      <c r="FJC39" s="595"/>
      <c r="FJD39" s="595"/>
      <c r="FJE39" s="595"/>
      <c r="FJF39" s="595"/>
      <c r="FJG39" s="595"/>
      <c r="FJH39" s="595"/>
      <c r="FJI39" s="595"/>
      <c r="FJJ39" s="595"/>
      <c r="FJK39" s="595"/>
      <c r="FJL39" s="595"/>
      <c r="FJM39" s="595"/>
      <c r="FJN39" s="595"/>
      <c r="FJO39" s="595"/>
      <c r="FJP39" s="595"/>
      <c r="FJQ39" s="595"/>
      <c r="FJR39" s="595"/>
      <c r="FJS39" s="595"/>
      <c r="FJT39" s="595"/>
      <c r="FJU39" s="595"/>
      <c r="FJV39" s="595"/>
      <c r="FJW39" s="595"/>
      <c r="FJX39" s="595"/>
      <c r="FJY39" s="595"/>
      <c r="FJZ39" s="595"/>
      <c r="FKA39" s="595"/>
      <c r="FKB39" s="595"/>
      <c r="FKC39" s="595"/>
      <c r="FKD39" s="595"/>
      <c r="FKE39" s="595"/>
      <c r="FKF39" s="595"/>
      <c r="FKG39" s="595"/>
      <c r="FKH39" s="595"/>
      <c r="FKI39" s="595"/>
      <c r="FKJ39" s="595"/>
      <c r="FKK39" s="595"/>
      <c r="FKL39" s="595"/>
      <c r="FKM39" s="595"/>
      <c r="FKN39" s="595"/>
      <c r="FKO39" s="595"/>
      <c r="FKP39" s="595"/>
      <c r="FKQ39" s="595"/>
      <c r="FKR39" s="595"/>
      <c r="FKS39" s="595"/>
      <c r="FKT39" s="595"/>
      <c r="FKU39" s="595"/>
      <c r="FKV39" s="595"/>
      <c r="FKW39" s="595"/>
      <c r="FKX39" s="595"/>
      <c r="FKY39" s="595"/>
      <c r="FKZ39" s="595"/>
      <c r="FLA39" s="595"/>
      <c r="FLB39" s="595"/>
      <c r="FLC39" s="595"/>
      <c r="FLD39" s="595"/>
      <c r="FLE39" s="595"/>
      <c r="FLF39" s="595"/>
      <c r="FLG39" s="595"/>
      <c r="FLH39" s="595"/>
      <c r="FLI39" s="595"/>
      <c r="FLJ39" s="595"/>
      <c r="FLK39" s="595"/>
      <c r="FLL39" s="595"/>
      <c r="FLM39" s="595"/>
      <c r="FLN39" s="595"/>
      <c r="FLO39" s="595"/>
      <c r="FLP39" s="595"/>
      <c r="FLQ39" s="595"/>
      <c r="FLR39" s="595"/>
      <c r="FLS39" s="595"/>
      <c r="FLT39" s="595"/>
      <c r="FLU39" s="595"/>
      <c r="FLV39" s="595"/>
      <c r="FLW39" s="595"/>
      <c r="FLX39" s="595"/>
      <c r="FLY39" s="595"/>
      <c r="FLZ39" s="595"/>
      <c r="FMA39" s="595"/>
      <c r="FMB39" s="595"/>
      <c r="FMC39" s="595"/>
      <c r="FMD39" s="595"/>
      <c r="FME39" s="595"/>
      <c r="FMF39" s="595"/>
      <c r="FMG39" s="595"/>
      <c r="FMH39" s="595"/>
      <c r="FMI39" s="595"/>
      <c r="FMJ39" s="595"/>
      <c r="FMK39" s="595"/>
      <c r="FML39" s="595"/>
      <c r="FMM39" s="595"/>
      <c r="FMN39" s="595"/>
      <c r="FMO39" s="595"/>
      <c r="FMP39" s="595"/>
      <c r="FMQ39" s="595"/>
      <c r="FMR39" s="595"/>
      <c r="FMS39" s="595"/>
      <c r="FMT39" s="595"/>
      <c r="FMU39" s="595"/>
      <c r="FMV39" s="595"/>
      <c r="FMW39" s="595"/>
      <c r="FMX39" s="595"/>
      <c r="FMY39" s="595"/>
      <c r="FMZ39" s="595"/>
      <c r="FNA39" s="595"/>
      <c r="FNB39" s="595"/>
      <c r="FNC39" s="595"/>
      <c r="FND39" s="595"/>
      <c r="FNE39" s="595"/>
      <c r="FNF39" s="595"/>
      <c r="FNG39" s="595"/>
      <c r="FNH39" s="595"/>
      <c r="FNI39" s="595"/>
      <c r="FNJ39" s="595"/>
      <c r="FNK39" s="595"/>
      <c r="FNL39" s="595"/>
      <c r="FNM39" s="595"/>
      <c r="FNN39" s="595"/>
      <c r="FNO39" s="595"/>
      <c r="FNP39" s="595"/>
      <c r="FNQ39" s="595"/>
      <c r="FNR39" s="595"/>
      <c r="FNS39" s="595"/>
      <c r="FNT39" s="595"/>
      <c r="FNU39" s="595"/>
      <c r="FNV39" s="595"/>
      <c r="FNW39" s="595"/>
      <c r="FNX39" s="595"/>
      <c r="FNY39" s="595"/>
      <c r="FNZ39" s="595"/>
      <c r="FOA39" s="595"/>
      <c r="FOB39" s="595"/>
      <c r="FOC39" s="595"/>
      <c r="FOD39" s="595"/>
      <c r="FOE39" s="595"/>
      <c r="FOF39" s="595"/>
      <c r="FOG39" s="595"/>
      <c r="FOH39" s="595"/>
      <c r="FOI39" s="595"/>
      <c r="FOJ39" s="595"/>
      <c r="FOK39" s="595"/>
      <c r="FOL39" s="595"/>
      <c r="FOM39" s="595"/>
      <c r="FON39" s="595"/>
      <c r="FOO39" s="595"/>
      <c r="FOP39" s="595"/>
      <c r="FOQ39" s="595"/>
      <c r="FOR39" s="595"/>
      <c r="FOS39" s="595"/>
      <c r="FOT39" s="595"/>
      <c r="FOU39" s="595"/>
      <c r="FOV39" s="595"/>
      <c r="FOW39" s="595"/>
      <c r="FOX39" s="595"/>
      <c r="FOY39" s="595"/>
      <c r="FOZ39" s="595"/>
      <c r="FPA39" s="595"/>
      <c r="FPB39" s="595"/>
      <c r="FPC39" s="595"/>
      <c r="FPD39" s="595"/>
      <c r="FPE39" s="595"/>
      <c r="FPF39" s="595"/>
      <c r="FPG39" s="595"/>
      <c r="FPH39" s="595"/>
      <c r="FPI39" s="595"/>
      <c r="FPJ39" s="595"/>
      <c r="FPK39" s="595"/>
      <c r="FPL39" s="595"/>
      <c r="FPM39" s="595"/>
      <c r="FPN39" s="595"/>
      <c r="FPO39" s="595"/>
      <c r="FPP39" s="595"/>
      <c r="FPQ39" s="595"/>
      <c r="FPR39" s="595"/>
      <c r="FPS39" s="595"/>
      <c r="FPT39" s="595"/>
      <c r="FPU39" s="595"/>
      <c r="FPV39" s="595"/>
      <c r="FPW39" s="595"/>
      <c r="FPX39" s="595"/>
      <c r="FPY39" s="595"/>
      <c r="FPZ39" s="595"/>
      <c r="FQA39" s="595"/>
      <c r="FQB39" s="595"/>
      <c r="FQC39" s="595"/>
      <c r="FQD39" s="595"/>
      <c r="FQE39" s="595"/>
      <c r="FQF39" s="595"/>
      <c r="FQG39" s="595"/>
      <c r="FQH39" s="595"/>
      <c r="FQI39" s="595"/>
      <c r="FQJ39" s="595"/>
      <c r="FQK39" s="595"/>
      <c r="FQL39" s="595"/>
      <c r="FQM39" s="595"/>
      <c r="FQN39" s="595"/>
      <c r="FQO39" s="595"/>
      <c r="FQP39" s="595"/>
      <c r="FQQ39" s="595"/>
      <c r="FQR39" s="595"/>
      <c r="FQS39" s="595"/>
      <c r="FQT39" s="595"/>
      <c r="FQU39" s="595"/>
      <c r="FQV39" s="595"/>
      <c r="FQW39" s="595"/>
      <c r="FQX39" s="595"/>
      <c r="FQY39" s="595"/>
      <c r="FQZ39" s="595"/>
      <c r="FRA39" s="595"/>
      <c r="FRB39" s="595"/>
      <c r="FRC39" s="595"/>
      <c r="FRD39" s="595"/>
      <c r="FRE39" s="595"/>
      <c r="FRF39" s="595"/>
      <c r="FRG39" s="595"/>
      <c r="FRH39" s="595"/>
      <c r="FRI39" s="595"/>
      <c r="FRJ39" s="595"/>
      <c r="FRK39" s="595"/>
      <c r="FRL39" s="595"/>
      <c r="FRM39" s="595"/>
      <c r="FRN39" s="595"/>
      <c r="FRO39" s="595"/>
      <c r="FRP39" s="595"/>
      <c r="FRQ39" s="595"/>
      <c r="FRR39" s="595"/>
      <c r="FRS39" s="595"/>
      <c r="FRT39" s="595"/>
      <c r="FRU39" s="595"/>
      <c r="FRV39" s="595"/>
      <c r="FRW39" s="595"/>
      <c r="FRX39" s="595"/>
      <c r="FRY39" s="595"/>
      <c r="FRZ39" s="595"/>
      <c r="FSA39" s="595"/>
      <c r="FSB39" s="595"/>
      <c r="FSC39" s="595"/>
      <c r="FSD39" s="595"/>
      <c r="FSE39" s="595"/>
      <c r="FSF39" s="595"/>
      <c r="FSG39" s="595"/>
      <c r="FSH39" s="595"/>
      <c r="FSI39" s="595"/>
      <c r="FSJ39" s="595"/>
      <c r="FSK39" s="595"/>
      <c r="FSL39" s="595"/>
      <c r="FSM39" s="595"/>
      <c r="FSN39" s="595"/>
      <c r="FSO39" s="595"/>
      <c r="FSP39" s="595"/>
      <c r="FSQ39" s="595"/>
      <c r="FSR39" s="595"/>
      <c r="FSS39" s="595"/>
      <c r="FST39" s="595"/>
      <c r="FSU39" s="595"/>
      <c r="FSV39" s="595"/>
      <c r="FSW39" s="595"/>
      <c r="FSX39" s="595"/>
      <c r="FSY39" s="595"/>
      <c r="FSZ39" s="595"/>
      <c r="FTA39" s="595"/>
      <c r="FTB39" s="595"/>
      <c r="FTC39" s="595"/>
      <c r="FTD39" s="595"/>
      <c r="FTE39" s="595"/>
      <c r="FTF39" s="595"/>
      <c r="FTG39" s="595"/>
      <c r="FTH39" s="595"/>
      <c r="FTI39" s="595"/>
      <c r="FTJ39" s="595"/>
      <c r="FTK39" s="595"/>
      <c r="FTL39" s="595"/>
      <c r="FTM39" s="595"/>
      <c r="FTN39" s="595"/>
      <c r="FTO39" s="595"/>
      <c r="FTP39" s="595"/>
      <c r="FTQ39" s="595"/>
      <c r="FTR39" s="595"/>
      <c r="FTS39" s="595"/>
      <c r="FTT39" s="595"/>
      <c r="FTU39" s="595"/>
      <c r="FTV39" s="595"/>
      <c r="FTW39" s="595"/>
      <c r="FTX39" s="595"/>
      <c r="FTY39" s="595"/>
      <c r="FTZ39" s="595"/>
      <c r="FUA39" s="595"/>
      <c r="FUB39" s="595"/>
      <c r="FUC39" s="595"/>
      <c r="FUD39" s="595"/>
      <c r="FUE39" s="595"/>
      <c r="FUF39" s="595"/>
      <c r="FUG39" s="595"/>
      <c r="FUH39" s="595"/>
      <c r="FUI39" s="595"/>
      <c r="FUJ39" s="595"/>
      <c r="FUK39" s="595"/>
      <c r="FUL39" s="595"/>
      <c r="FUM39" s="595"/>
      <c r="FUN39" s="595"/>
      <c r="FUO39" s="595"/>
      <c r="FUP39" s="595"/>
      <c r="FUQ39" s="595"/>
      <c r="FUR39" s="595"/>
      <c r="FUS39" s="595"/>
      <c r="FUT39" s="595"/>
      <c r="FUU39" s="595"/>
      <c r="FUV39" s="595"/>
      <c r="FUW39" s="595"/>
      <c r="FUX39" s="595"/>
      <c r="FUY39" s="595"/>
      <c r="FUZ39" s="595"/>
      <c r="FVA39" s="595"/>
      <c r="FVB39" s="595"/>
      <c r="FVC39" s="595"/>
      <c r="FVD39" s="595"/>
      <c r="FVE39" s="595"/>
      <c r="FVF39" s="595"/>
      <c r="FVG39" s="595"/>
      <c r="FVH39" s="595"/>
      <c r="FVI39" s="595"/>
      <c r="FVJ39" s="595"/>
      <c r="FVK39" s="595"/>
      <c r="FVL39" s="595"/>
      <c r="FVM39" s="595"/>
      <c r="FVN39" s="595"/>
      <c r="FVO39" s="595"/>
      <c r="FVP39" s="595"/>
      <c r="FVQ39" s="595"/>
      <c r="FVR39" s="595"/>
      <c r="FVS39" s="595"/>
      <c r="FVT39" s="595"/>
      <c r="FVU39" s="595"/>
      <c r="FVV39" s="595"/>
      <c r="FVW39" s="595"/>
      <c r="FVX39" s="595"/>
      <c r="FVY39" s="595"/>
      <c r="FVZ39" s="595"/>
      <c r="FWA39" s="595"/>
      <c r="FWB39" s="595"/>
      <c r="FWC39" s="595"/>
      <c r="FWD39" s="595"/>
      <c r="FWE39" s="595"/>
      <c r="FWF39" s="595"/>
      <c r="FWG39" s="595"/>
      <c r="FWH39" s="595"/>
      <c r="FWI39" s="595"/>
      <c r="FWJ39" s="595"/>
      <c r="FWK39" s="595"/>
      <c r="FWL39" s="595"/>
      <c r="FWM39" s="595"/>
      <c r="FWN39" s="595"/>
      <c r="FWO39" s="595"/>
      <c r="FWP39" s="595"/>
      <c r="FWQ39" s="595"/>
      <c r="FWR39" s="595"/>
      <c r="FWS39" s="595"/>
      <c r="FWT39" s="595"/>
      <c r="FWU39" s="595"/>
      <c r="FWV39" s="595"/>
      <c r="FWW39" s="595"/>
      <c r="FWX39" s="595"/>
      <c r="FWY39" s="595"/>
      <c r="FWZ39" s="595"/>
      <c r="FXA39" s="595"/>
      <c r="FXB39" s="595"/>
      <c r="FXC39" s="595"/>
      <c r="FXD39" s="595"/>
      <c r="FXE39" s="595"/>
      <c r="FXF39" s="595"/>
      <c r="FXG39" s="595"/>
      <c r="FXH39" s="595"/>
      <c r="FXI39" s="595"/>
      <c r="FXJ39" s="595"/>
      <c r="FXK39" s="595"/>
      <c r="FXL39" s="595"/>
      <c r="FXM39" s="595"/>
      <c r="FXN39" s="595"/>
      <c r="FXO39" s="595"/>
      <c r="FXP39" s="595"/>
      <c r="FXQ39" s="595"/>
      <c r="FXR39" s="595"/>
      <c r="FXS39" s="595"/>
      <c r="FXT39" s="595"/>
      <c r="FXU39" s="595"/>
      <c r="FXV39" s="595"/>
      <c r="FXW39" s="595"/>
      <c r="FXX39" s="595"/>
      <c r="FXY39" s="595"/>
      <c r="FXZ39" s="595"/>
      <c r="FYA39" s="595"/>
      <c r="FYB39" s="595"/>
      <c r="FYC39" s="595"/>
      <c r="FYD39" s="595"/>
      <c r="FYE39" s="595"/>
      <c r="FYF39" s="595"/>
      <c r="FYG39" s="595"/>
      <c r="FYH39" s="595"/>
      <c r="FYI39" s="595"/>
      <c r="FYJ39" s="595"/>
      <c r="FYK39" s="595"/>
      <c r="FYL39" s="595"/>
      <c r="FYM39" s="595"/>
      <c r="FYN39" s="595"/>
      <c r="FYO39" s="595"/>
      <c r="FYP39" s="595"/>
      <c r="FYQ39" s="595"/>
      <c r="FYR39" s="595"/>
      <c r="FYS39" s="595"/>
      <c r="FYT39" s="595"/>
      <c r="FYU39" s="595"/>
      <c r="FYV39" s="595"/>
      <c r="FYW39" s="595"/>
      <c r="FYX39" s="595"/>
      <c r="FYY39" s="595"/>
      <c r="FYZ39" s="595"/>
      <c r="FZA39" s="595"/>
      <c r="FZB39" s="595"/>
      <c r="FZC39" s="595"/>
      <c r="FZD39" s="595"/>
      <c r="FZE39" s="595"/>
      <c r="FZF39" s="595"/>
      <c r="FZG39" s="595"/>
      <c r="FZH39" s="595"/>
      <c r="FZI39" s="595"/>
      <c r="FZJ39" s="595"/>
      <c r="FZK39" s="595"/>
      <c r="FZL39" s="595"/>
      <c r="FZM39" s="595"/>
      <c r="FZN39" s="595"/>
      <c r="FZO39" s="595"/>
      <c r="FZP39" s="595"/>
      <c r="FZQ39" s="595"/>
      <c r="FZR39" s="595"/>
      <c r="FZS39" s="595"/>
      <c r="FZT39" s="595"/>
      <c r="FZU39" s="595"/>
      <c r="FZV39" s="595"/>
      <c r="FZW39" s="595"/>
      <c r="FZX39" s="595"/>
      <c r="FZY39" s="595"/>
      <c r="FZZ39" s="595"/>
      <c r="GAA39" s="595"/>
      <c r="GAB39" s="595"/>
      <c r="GAC39" s="595"/>
      <c r="GAD39" s="595"/>
      <c r="GAE39" s="595"/>
      <c r="GAF39" s="595"/>
      <c r="GAG39" s="595"/>
      <c r="GAH39" s="595"/>
      <c r="GAI39" s="595"/>
      <c r="GAJ39" s="595"/>
      <c r="GAK39" s="595"/>
      <c r="GAL39" s="595"/>
      <c r="GAM39" s="595"/>
      <c r="GAN39" s="595"/>
      <c r="GAO39" s="595"/>
      <c r="GAP39" s="595"/>
      <c r="GAQ39" s="595"/>
      <c r="GAR39" s="595"/>
      <c r="GAS39" s="595"/>
      <c r="GAT39" s="595"/>
      <c r="GAU39" s="595"/>
      <c r="GAV39" s="595"/>
      <c r="GAW39" s="595"/>
      <c r="GAX39" s="595"/>
      <c r="GAY39" s="595"/>
      <c r="GAZ39" s="595"/>
      <c r="GBA39" s="595"/>
      <c r="GBB39" s="595"/>
      <c r="GBC39" s="595"/>
      <c r="GBD39" s="595"/>
      <c r="GBE39" s="595"/>
      <c r="GBF39" s="595"/>
      <c r="GBG39" s="595"/>
      <c r="GBH39" s="595"/>
      <c r="GBI39" s="595"/>
      <c r="GBJ39" s="595"/>
      <c r="GBK39" s="595"/>
      <c r="GBL39" s="595"/>
      <c r="GBM39" s="595"/>
      <c r="GBN39" s="595"/>
      <c r="GBO39" s="595"/>
      <c r="GBP39" s="595"/>
      <c r="GBQ39" s="595"/>
      <c r="GBR39" s="595"/>
      <c r="GBS39" s="595"/>
      <c r="GBT39" s="595"/>
      <c r="GBU39" s="595"/>
      <c r="GBV39" s="595"/>
      <c r="GBW39" s="595"/>
      <c r="GBX39" s="595"/>
      <c r="GBY39" s="595"/>
      <c r="GBZ39" s="595"/>
      <c r="GCA39" s="595"/>
      <c r="GCB39" s="595"/>
      <c r="GCC39" s="595"/>
      <c r="GCD39" s="595"/>
      <c r="GCE39" s="595"/>
      <c r="GCF39" s="595"/>
      <c r="GCG39" s="595"/>
      <c r="GCH39" s="595"/>
      <c r="GCI39" s="595"/>
      <c r="GCJ39" s="595"/>
      <c r="GCK39" s="595"/>
      <c r="GCL39" s="595"/>
      <c r="GCM39" s="595"/>
      <c r="GCN39" s="595"/>
      <c r="GCO39" s="595"/>
      <c r="GCP39" s="595"/>
      <c r="GCQ39" s="595"/>
      <c r="GCR39" s="595"/>
      <c r="GCS39" s="595"/>
      <c r="GCT39" s="595"/>
      <c r="GCU39" s="595"/>
      <c r="GCV39" s="595"/>
      <c r="GCW39" s="595"/>
      <c r="GCX39" s="595"/>
      <c r="GCY39" s="595"/>
      <c r="GCZ39" s="595"/>
      <c r="GDA39" s="595"/>
      <c r="GDB39" s="595"/>
      <c r="GDC39" s="595"/>
      <c r="GDD39" s="595"/>
      <c r="GDE39" s="595"/>
      <c r="GDF39" s="595"/>
      <c r="GDG39" s="595"/>
      <c r="GDH39" s="595"/>
      <c r="GDI39" s="595"/>
      <c r="GDJ39" s="595"/>
      <c r="GDK39" s="595"/>
      <c r="GDL39" s="595"/>
      <c r="GDM39" s="595"/>
      <c r="GDN39" s="595"/>
      <c r="GDO39" s="595"/>
      <c r="GDP39" s="595"/>
      <c r="GDQ39" s="595"/>
      <c r="GDR39" s="595"/>
      <c r="GDS39" s="595"/>
      <c r="GDT39" s="595"/>
      <c r="GDU39" s="595"/>
      <c r="GDV39" s="595"/>
      <c r="GDW39" s="595"/>
      <c r="GDX39" s="595"/>
      <c r="GDY39" s="595"/>
      <c r="GDZ39" s="595"/>
      <c r="GEA39" s="595"/>
      <c r="GEB39" s="595"/>
      <c r="GEC39" s="595"/>
      <c r="GED39" s="595"/>
      <c r="GEE39" s="595"/>
      <c r="GEF39" s="595"/>
      <c r="GEG39" s="595"/>
      <c r="GEH39" s="595"/>
      <c r="GEI39" s="595"/>
      <c r="GEJ39" s="595"/>
      <c r="GEK39" s="595"/>
      <c r="GEL39" s="595"/>
      <c r="GEM39" s="595"/>
      <c r="GEN39" s="595"/>
      <c r="GEO39" s="595"/>
      <c r="GEP39" s="595"/>
      <c r="GEQ39" s="595"/>
      <c r="GER39" s="595"/>
      <c r="GES39" s="595"/>
      <c r="GET39" s="595"/>
      <c r="GEU39" s="595"/>
      <c r="GEV39" s="595"/>
      <c r="GEW39" s="595"/>
      <c r="GEX39" s="595"/>
      <c r="GEY39" s="595"/>
      <c r="GEZ39" s="595"/>
      <c r="GFA39" s="595"/>
      <c r="GFB39" s="595"/>
      <c r="GFC39" s="595"/>
      <c r="GFD39" s="595"/>
      <c r="GFE39" s="595"/>
      <c r="GFF39" s="595"/>
      <c r="GFG39" s="595"/>
      <c r="GFH39" s="595"/>
      <c r="GFI39" s="595"/>
      <c r="GFJ39" s="595"/>
      <c r="GFK39" s="595"/>
      <c r="GFL39" s="595"/>
      <c r="GFM39" s="595"/>
      <c r="GFN39" s="595"/>
      <c r="GFO39" s="595"/>
      <c r="GFP39" s="595"/>
      <c r="GFQ39" s="595"/>
      <c r="GFR39" s="595"/>
      <c r="GFS39" s="595"/>
      <c r="GFT39" s="595"/>
      <c r="GFU39" s="595"/>
      <c r="GFV39" s="595"/>
      <c r="GFW39" s="595"/>
      <c r="GFX39" s="595"/>
      <c r="GFY39" s="595"/>
      <c r="GFZ39" s="595"/>
      <c r="GGA39" s="595"/>
      <c r="GGB39" s="595"/>
      <c r="GGC39" s="595"/>
      <c r="GGD39" s="595"/>
      <c r="GGE39" s="595"/>
      <c r="GGF39" s="595"/>
      <c r="GGG39" s="595"/>
      <c r="GGH39" s="595"/>
      <c r="GGI39" s="595"/>
      <c r="GGJ39" s="595"/>
      <c r="GGK39" s="595"/>
      <c r="GGL39" s="595"/>
      <c r="GGM39" s="595"/>
      <c r="GGN39" s="595"/>
      <c r="GGO39" s="595"/>
      <c r="GGP39" s="595"/>
      <c r="GGQ39" s="595"/>
      <c r="GGR39" s="595"/>
      <c r="GGS39" s="595"/>
      <c r="GGT39" s="595"/>
      <c r="GGU39" s="595"/>
      <c r="GGV39" s="595"/>
      <c r="GGW39" s="595"/>
      <c r="GGX39" s="595"/>
      <c r="GGY39" s="595"/>
      <c r="GGZ39" s="595"/>
      <c r="GHA39" s="595"/>
      <c r="GHB39" s="595"/>
      <c r="GHC39" s="595"/>
      <c r="GHD39" s="595"/>
      <c r="GHE39" s="595"/>
      <c r="GHF39" s="595"/>
      <c r="GHG39" s="595"/>
      <c r="GHH39" s="595"/>
      <c r="GHI39" s="595"/>
      <c r="GHJ39" s="595"/>
      <c r="GHK39" s="595"/>
      <c r="GHL39" s="595"/>
      <c r="GHM39" s="595"/>
      <c r="GHN39" s="595"/>
      <c r="GHO39" s="595"/>
      <c r="GHP39" s="595"/>
      <c r="GHQ39" s="595"/>
      <c r="GHR39" s="595"/>
      <c r="GHS39" s="595"/>
      <c r="GHT39" s="595"/>
      <c r="GHU39" s="595"/>
      <c r="GHV39" s="595"/>
      <c r="GHW39" s="595"/>
      <c r="GHX39" s="595"/>
      <c r="GHY39" s="595"/>
      <c r="GHZ39" s="595"/>
      <c r="GIA39" s="595"/>
      <c r="GIB39" s="595"/>
      <c r="GIC39" s="595"/>
      <c r="GID39" s="595"/>
      <c r="GIE39" s="595"/>
      <c r="GIF39" s="595"/>
      <c r="GIG39" s="595"/>
      <c r="GIH39" s="595"/>
      <c r="GII39" s="595"/>
      <c r="GIJ39" s="595"/>
      <c r="GIK39" s="595"/>
      <c r="GIL39" s="595"/>
      <c r="GIM39" s="595"/>
      <c r="GIN39" s="595"/>
      <c r="GIO39" s="595"/>
      <c r="GIP39" s="595"/>
      <c r="GIQ39" s="595"/>
      <c r="GIR39" s="595"/>
      <c r="GIS39" s="595"/>
      <c r="GIT39" s="595"/>
      <c r="GIU39" s="595"/>
      <c r="GIV39" s="595"/>
      <c r="GIW39" s="595"/>
      <c r="GIX39" s="595"/>
      <c r="GIY39" s="595"/>
      <c r="GIZ39" s="595"/>
      <c r="GJA39" s="595"/>
      <c r="GJB39" s="595"/>
      <c r="GJC39" s="595"/>
      <c r="GJD39" s="595"/>
      <c r="GJE39" s="595"/>
      <c r="GJF39" s="595"/>
      <c r="GJG39" s="595"/>
      <c r="GJH39" s="595"/>
      <c r="GJI39" s="595"/>
      <c r="GJJ39" s="595"/>
      <c r="GJK39" s="595"/>
      <c r="GJL39" s="595"/>
      <c r="GJM39" s="595"/>
      <c r="GJN39" s="595"/>
      <c r="GJO39" s="595"/>
      <c r="GJP39" s="595"/>
      <c r="GJQ39" s="595"/>
      <c r="GJR39" s="595"/>
      <c r="GJS39" s="595"/>
      <c r="GJT39" s="595"/>
      <c r="GJU39" s="595"/>
      <c r="GJV39" s="595"/>
      <c r="GJW39" s="595"/>
      <c r="GJX39" s="595"/>
      <c r="GJY39" s="595"/>
      <c r="GJZ39" s="595"/>
      <c r="GKA39" s="595"/>
      <c r="GKB39" s="595"/>
      <c r="GKC39" s="595"/>
      <c r="GKD39" s="595"/>
      <c r="GKE39" s="595"/>
      <c r="GKF39" s="595"/>
      <c r="GKG39" s="595"/>
      <c r="GKH39" s="595"/>
      <c r="GKI39" s="595"/>
      <c r="GKJ39" s="595"/>
      <c r="GKK39" s="595"/>
      <c r="GKL39" s="595"/>
      <c r="GKM39" s="595"/>
      <c r="GKN39" s="595"/>
      <c r="GKO39" s="595"/>
      <c r="GKP39" s="595"/>
      <c r="GKQ39" s="595"/>
      <c r="GKR39" s="595"/>
      <c r="GKS39" s="595"/>
      <c r="GKT39" s="595"/>
      <c r="GKU39" s="595"/>
      <c r="GKV39" s="595"/>
      <c r="GKW39" s="595"/>
      <c r="GKX39" s="595"/>
      <c r="GKY39" s="595"/>
      <c r="GKZ39" s="595"/>
      <c r="GLA39" s="595"/>
      <c r="GLB39" s="595"/>
      <c r="GLC39" s="595"/>
      <c r="GLD39" s="595"/>
      <c r="GLE39" s="595"/>
      <c r="GLF39" s="595"/>
      <c r="GLG39" s="595"/>
      <c r="GLH39" s="595"/>
      <c r="GLI39" s="595"/>
      <c r="GLJ39" s="595"/>
      <c r="GLK39" s="595"/>
      <c r="GLL39" s="595"/>
      <c r="GLM39" s="595"/>
      <c r="GLN39" s="595"/>
      <c r="GLO39" s="595"/>
      <c r="GLP39" s="595"/>
      <c r="GLQ39" s="595"/>
      <c r="GLR39" s="595"/>
      <c r="GLS39" s="595"/>
      <c r="GLT39" s="595"/>
      <c r="GLU39" s="595"/>
      <c r="GLV39" s="595"/>
      <c r="GLW39" s="595"/>
      <c r="GLX39" s="595"/>
      <c r="GLY39" s="595"/>
      <c r="GLZ39" s="595"/>
      <c r="GMA39" s="595"/>
      <c r="GMB39" s="595"/>
      <c r="GMC39" s="595"/>
      <c r="GMD39" s="595"/>
      <c r="GME39" s="595"/>
      <c r="GMF39" s="595"/>
      <c r="GMG39" s="595"/>
      <c r="GMH39" s="595"/>
      <c r="GMI39" s="595"/>
      <c r="GMJ39" s="595"/>
      <c r="GMK39" s="595"/>
      <c r="GML39" s="595"/>
      <c r="GMM39" s="595"/>
      <c r="GMN39" s="595"/>
      <c r="GMO39" s="595"/>
      <c r="GMP39" s="595"/>
      <c r="GMQ39" s="595"/>
      <c r="GMR39" s="595"/>
      <c r="GMS39" s="595"/>
      <c r="GMT39" s="595"/>
      <c r="GMU39" s="595"/>
      <c r="GMV39" s="595"/>
      <c r="GMW39" s="595"/>
      <c r="GMX39" s="595"/>
      <c r="GMY39" s="595"/>
      <c r="GMZ39" s="595"/>
      <c r="GNA39" s="595"/>
      <c r="GNB39" s="595"/>
      <c r="GNC39" s="595"/>
      <c r="GND39" s="595"/>
      <c r="GNE39" s="595"/>
      <c r="GNF39" s="595"/>
      <c r="GNG39" s="595"/>
      <c r="GNH39" s="595"/>
      <c r="GNI39" s="595"/>
      <c r="GNJ39" s="595"/>
      <c r="GNK39" s="595"/>
      <c r="GNL39" s="595"/>
      <c r="GNM39" s="595"/>
      <c r="GNN39" s="595"/>
      <c r="GNO39" s="595"/>
      <c r="GNP39" s="595"/>
      <c r="GNQ39" s="595"/>
      <c r="GNR39" s="595"/>
      <c r="GNS39" s="595"/>
      <c r="GNT39" s="595"/>
      <c r="GNU39" s="595"/>
      <c r="GNV39" s="595"/>
      <c r="GNW39" s="595"/>
      <c r="GNX39" s="595"/>
      <c r="GNY39" s="595"/>
      <c r="GNZ39" s="595"/>
      <c r="GOA39" s="595"/>
      <c r="GOB39" s="595"/>
      <c r="GOC39" s="595"/>
      <c r="GOD39" s="595"/>
      <c r="GOE39" s="595"/>
      <c r="GOF39" s="595"/>
      <c r="GOG39" s="595"/>
      <c r="GOH39" s="595"/>
      <c r="GOI39" s="595"/>
      <c r="GOJ39" s="595"/>
      <c r="GOK39" s="595"/>
      <c r="GOL39" s="595"/>
      <c r="GOM39" s="595"/>
      <c r="GON39" s="595"/>
      <c r="GOO39" s="595"/>
      <c r="GOP39" s="595"/>
      <c r="GOQ39" s="595"/>
      <c r="GOR39" s="595"/>
      <c r="GOS39" s="595"/>
      <c r="GOT39" s="595"/>
      <c r="GOU39" s="595"/>
      <c r="GOV39" s="595"/>
      <c r="GOW39" s="595"/>
      <c r="GOX39" s="595"/>
      <c r="GOY39" s="595"/>
      <c r="GOZ39" s="595"/>
      <c r="GPA39" s="595"/>
      <c r="GPB39" s="595"/>
      <c r="GPC39" s="595"/>
      <c r="GPD39" s="595"/>
      <c r="GPE39" s="595"/>
      <c r="GPF39" s="595"/>
      <c r="GPG39" s="595"/>
      <c r="GPH39" s="595"/>
      <c r="GPI39" s="595"/>
      <c r="GPJ39" s="595"/>
      <c r="GPK39" s="595"/>
      <c r="GPL39" s="595"/>
      <c r="GPM39" s="595"/>
      <c r="GPN39" s="595"/>
      <c r="GPO39" s="595"/>
      <c r="GPP39" s="595"/>
      <c r="GPQ39" s="595"/>
      <c r="GPR39" s="595"/>
      <c r="GPS39" s="595"/>
      <c r="GPT39" s="595"/>
      <c r="GPU39" s="595"/>
      <c r="GPV39" s="595"/>
      <c r="GPW39" s="595"/>
      <c r="GPX39" s="595"/>
      <c r="GPY39" s="595"/>
      <c r="GPZ39" s="595"/>
      <c r="GQA39" s="595"/>
      <c r="GQB39" s="595"/>
      <c r="GQC39" s="595"/>
      <c r="GQD39" s="595"/>
      <c r="GQE39" s="595"/>
      <c r="GQF39" s="595"/>
      <c r="GQG39" s="595"/>
      <c r="GQH39" s="595"/>
      <c r="GQI39" s="595"/>
      <c r="GQJ39" s="595"/>
      <c r="GQK39" s="595"/>
      <c r="GQL39" s="595"/>
      <c r="GQM39" s="595"/>
      <c r="GQN39" s="595"/>
      <c r="GQO39" s="595"/>
      <c r="GQP39" s="595"/>
      <c r="GQQ39" s="595"/>
      <c r="GQR39" s="595"/>
      <c r="GQS39" s="595"/>
      <c r="GQT39" s="595"/>
      <c r="GQU39" s="595"/>
      <c r="GQV39" s="595"/>
      <c r="GQW39" s="595"/>
      <c r="GQX39" s="595"/>
      <c r="GQY39" s="595"/>
      <c r="GQZ39" s="595"/>
      <c r="GRA39" s="595"/>
      <c r="GRB39" s="595"/>
      <c r="GRC39" s="595"/>
      <c r="GRD39" s="595"/>
      <c r="GRE39" s="595"/>
      <c r="GRF39" s="595"/>
      <c r="GRG39" s="595"/>
      <c r="GRH39" s="595"/>
      <c r="GRI39" s="595"/>
      <c r="GRJ39" s="595"/>
      <c r="GRK39" s="595"/>
      <c r="GRL39" s="595"/>
      <c r="GRM39" s="595"/>
      <c r="GRN39" s="595"/>
      <c r="GRO39" s="595"/>
      <c r="GRP39" s="595"/>
      <c r="GRQ39" s="595"/>
      <c r="GRR39" s="595"/>
      <c r="GRS39" s="595"/>
      <c r="GRT39" s="595"/>
      <c r="GRU39" s="595"/>
      <c r="GRV39" s="595"/>
      <c r="GRW39" s="595"/>
      <c r="GRX39" s="595"/>
      <c r="GRY39" s="595"/>
      <c r="GRZ39" s="595"/>
      <c r="GSA39" s="595"/>
      <c r="GSB39" s="595"/>
      <c r="GSC39" s="595"/>
      <c r="GSD39" s="595"/>
      <c r="GSE39" s="595"/>
      <c r="GSF39" s="595"/>
      <c r="GSG39" s="595"/>
      <c r="GSH39" s="595"/>
      <c r="GSI39" s="595"/>
      <c r="GSJ39" s="595"/>
      <c r="GSK39" s="595"/>
      <c r="GSL39" s="595"/>
      <c r="GSM39" s="595"/>
      <c r="GSN39" s="595"/>
      <c r="GSO39" s="595"/>
      <c r="GSP39" s="595"/>
      <c r="GSQ39" s="595"/>
      <c r="GSR39" s="595"/>
      <c r="GSS39" s="595"/>
      <c r="GST39" s="595"/>
      <c r="GSU39" s="595"/>
      <c r="GSV39" s="595"/>
      <c r="GSW39" s="595"/>
      <c r="GSX39" s="595"/>
      <c r="GSY39" s="595"/>
      <c r="GSZ39" s="595"/>
      <c r="GTA39" s="595"/>
      <c r="GTB39" s="595"/>
      <c r="GTC39" s="595"/>
      <c r="GTD39" s="595"/>
      <c r="GTE39" s="595"/>
      <c r="GTF39" s="595"/>
      <c r="GTG39" s="595"/>
      <c r="GTH39" s="595"/>
      <c r="GTI39" s="595"/>
      <c r="GTJ39" s="595"/>
      <c r="GTK39" s="595"/>
      <c r="GTL39" s="595"/>
      <c r="GTM39" s="595"/>
      <c r="GTN39" s="595"/>
      <c r="GTO39" s="595"/>
      <c r="GTP39" s="595"/>
      <c r="GTQ39" s="595"/>
      <c r="GTR39" s="595"/>
      <c r="GTS39" s="595"/>
      <c r="GTT39" s="595"/>
      <c r="GTU39" s="595"/>
      <c r="GTV39" s="595"/>
      <c r="GTW39" s="595"/>
      <c r="GTX39" s="595"/>
      <c r="GTY39" s="595"/>
      <c r="GTZ39" s="595"/>
      <c r="GUA39" s="595"/>
      <c r="GUB39" s="595"/>
      <c r="GUC39" s="595"/>
      <c r="GUD39" s="595"/>
      <c r="GUE39" s="595"/>
      <c r="GUF39" s="595"/>
      <c r="GUG39" s="595"/>
      <c r="GUH39" s="595"/>
      <c r="GUI39" s="595"/>
      <c r="GUJ39" s="595"/>
      <c r="GUK39" s="595"/>
      <c r="GUL39" s="595"/>
      <c r="GUM39" s="595"/>
      <c r="GUN39" s="595"/>
      <c r="GUO39" s="595"/>
      <c r="GUP39" s="595"/>
      <c r="GUQ39" s="595"/>
      <c r="GUR39" s="595"/>
      <c r="GUS39" s="595"/>
      <c r="GUT39" s="595"/>
      <c r="GUU39" s="595"/>
      <c r="GUV39" s="595"/>
      <c r="GUW39" s="595"/>
      <c r="GUX39" s="595"/>
      <c r="GUY39" s="595"/>
      <c r="GUZ39" s="595"/>
      <c r="GVA39" s="595"/>
      <c r="GVB39" s="595"/>
      <c r="GVC39" s="595"/>
      <c r="GVD39" s="595"/>
      <c r="GVE39" s="595"/>
      <c r="GVF39" s="595"/>
      <c r="GVG39" s="595"/>
      <c r="GVH39" s="595"/>
      <c r="GVI39" s="595"/>
      <c r="GVJ39" s="595"/>
      <c r="GVK39" s="595"/>
      <c r="GVL39" s="595"/>
      <c r="GVM39" s="595"/>
      <c r="GVN39" s="595"/>
      <c r="GVO39" s="595"/>
      <c r="GVP39" s="595"/>
      <c r="GVQ39" s="595"/>
      <c r="GVR39" s="595"/>
      <c r="GVS39" s="595"/>
      <c r="GVT39" s="595"/>
      <c r="GVU39" s="595"/>
      <c r="GVV39" s="595"/>
      <c r="GVW39" s="595"/>
      <c r="GVX39" s="595"/>
      <c r="GVY39" s="595"/>
      <c r="GVZ39" s="595"/>
      <c r="GWA39" s="595"/>
      <c r="GWB39" s="595"/>
      <c r="GWC39" s="595"/>
      <c r="GWD39" s="595"/>
      <c r="GWE39" s="595"/>
      <c r="GWF39" s="595"/>
      <c r="GWG39" s="595"/>
      <c r="GWH39" s="595"/>
      <c r="GWI39" s="595"/>
      <c r="GWJ39" s="595"/>
      <c r="GWK39" s="595"/>
      <c r="GWL39" s="595"/>
      <c r="GWM39" s="595"/>
      <c r="GWN39" s="595"/>
      <c r="GWO39" s="595"/>
      <c r="GWP39" s="595"/>
      <c r="GWQ39" s="595"/>
      <c r="GWR39" s="595"/>
      <c r="GWS39" s="595"/>
      <c r="GWT39" s="595"/>
      <c r="GWU39" s="595"/>
      <c r="GWV39" s="595"/>
      <c r="GWW39" s="595"/>
      <c r="GWX39" s="595"/>
      <c r="GWY39" s="595"/>
      <c r="GWZ39" s="595"/>
      <c r="GXA39" s="595"/>
      <c r="GXB39" s="595"/>
      <c r="GXC39" s="595"/>
      <c r="GXD39" s="595"/>
      <c r="GXE39" s="595"/>
      <c r="GXF39" s="595"/>
      <c r="GXG39" s="595"/>
      <c r="GXH39" s="595"/>
      <c r="GXI39" s="595"/>
      <c r="GXJ39" s="595"/>
      <c r="GXK39" s="595"/>
      <c r="GXL39" s="595"/>
      <c r="GXM39" s="595"/>
      <c r="GXN39" s="595"/>
      <c r="GXO39" s="595"/>
      <c r="GXP39" s="595"/>
      <c r="GXQ39" s="595"/>
      <c r="GXR39" s="595"/>
      <c r="GXS39" s="595"/>
      <c r="GXT39" s="595"/>
      <c r="GXU39" s="595"/>
      <c r="GXV39" s="595"/>
      <c r="GXW39" s="595"/>
      <c r="GXX39" s="595"/>
      <c r="GXY39" s="595"/>
      <c r="GXZ39" s="595"/>
      <c r="GYA39" s="595"/>
      <c r="GYB39" s="595"/>
      <c r="GYC39" s="595"/>
      <c r="GYD39" s="595"/>
      <c r="GYE39" s="595"/>
      <c r="GYF39" s="595"/>
      <c r="GYG39" s="595"/>
      <c r="GYH39" s="595"/>
      <c r="GYI39" s="595"/>
      <c r="GYJ39" s="595"/>
      <c r="GYK39" s="595"/>
      <c r="GYL39" s="595"/>
      <c r="GYM39" s="595"/>
      <c r="GYN39" s="595"/>
      <c r="GYO39" s="595"/>
      <c r="GYP39" s="595"/>
      <c r="GYQ39" s="595"/>
      <c r="GYR39" s="595"/>
      <c r="GYS39" s="595"/>
      <c r="GYT39" s="595"/>
      <c r="GYU39" s="595"/>
      <c r="GYV39" s="595"/>
      <c r="GYW39" s="595"/>
      <c r="GYX39" s="595"/>
      <c r="GYY39" s="595"/>
      <c r="GYZ39" s="595"/>
      <c r="GZA39" s="595"/>
      <c r="GZB39" s="595"/>
      <c r="GZC39" s="595"/>
      <c r="GZD39" s="595"/>
      <c r="GZE39" s="595"/>
      <c r="GZF39" s="595"/>
      <c r="GZG39" s="595"/>
      <c r="GZH39" s="595"/>
      <c r="GZI39" s="595"/>
      <c r="GZJ39" s="595"/>
      <c r="GZK39" s="595"/>
      <c r="GZL39" s="595"/>
      <c r="GZM39" s="595"/>
      <c r="GZN39" s="595"/>
      <c r="GZO39" s="595"/>
      <c r="GZP39" s="595"/>
      <c r="GZQ39" s="595"/>
      <c r="GZR39" s="595"/>
      <c r="GZS39" s="595"/>
      <c r="GZT39" s="595"/>
      <c r="GZU39" s="595"/>
      <c r="GZV39" s="595"/>
      <c r="GZW39" s="595"/>
      <c r="GZX39" s="595"/>
      <c r="GZY39" s="595"/>
      <c r="GZZ39" s="595"/>
      <c r="HAA39" s="595"/>
      <c r="HAB39" s="595"/>
      <c r="HAC39" s="595"/>
      <c r="HAD39" s="595"/>
      <c r="HAE39" s="595"/>
      <c r="HAF39" s="595"/>
      <c r="HAG39" s="595"/>
      <c r="HAH39" s="595"/>
      <c r="HAI39" s="595"/>
      <c r="HAJ39" s="595"/>
      <c r="HAK39" s="595"/>
      <c r="HAL39" s="595"/>
      <c r="HAM39" s="595"/>
      <c r="HAN39" s="595"/>
      <c r="HAO39" s="595"/>
      <c r="HAP39" s="595"/>
      <c r="HAQ39" s="595"/>
      <c r="HAR39" s="595"/>
      <c r="HAS39" s="595"/>
      <c r="HAT39" s="595"/>
      <c r="HAU39" s="595"/>
      <c r="HAV39" s="595"/>
      <c r="HAW39" s="595"/>
      <c r="HAX39" s="595"/>
      <c r="HAY39" s="595"/>
      <c r="HAZ39" s="595"/>
      <c r="HBA39" s="595"/>
      <c r="HBB39" s="595"/>
      <c r="HBC39" s="595"/>
      <c r="HBD39" s="595"/>
      <c r="HBE39" s="595"/>
      <c r="HBF39" s="595"/>
      <c r="HBG39" s="595"/>
      <c r="HBH39" s="595"/>
      <c r="HBI39" s="595"/>
      <c r="HBJ39" s="595"/>
      <c r="HBK39" s="595"/>
      <c r="HBL39" s="595"/>
      <c r="HBM39" s="595"/>
      <c r="HBN39" s="595"/>
      <c r="HBO39" s="595"/>
      <c r="HBP39" s="595"/>
      <c r="HBQ39" s="595"/>
      <c r="HBR39" s="595"/>
      <c r="HBS39" s="595"/>
      <c r="HBT39" s="595"/>
      <c r="HBU39" s="595"/>
      <c r="HBV39" s="595"/>
      <c r="HBW39" s="595"/>
      <c r="HBX39" s="595"/>
      <c r="HBY39" s="595"/>
      <c r="HBZ39" s="595"/>
      <c r="HCA39" s="595"/>
      <c r="HCB39" s="595"/>
      <c r="HCC39" s="595"/>
      <c r="HCD39" s="595"/>
      <c r="HCE39" s="595"/>
      <c r="HCF39" s="595"/>
      <c r="HCG39" s="595"/>
      <c r="HCH39" s="595"/>
      <c r="HCI39" s="595"/>
      <c r="HCJ39" s="595"/>
      <c r="HCK39" s="595"/>
      <c r="HCL39" s="595"/>
      <c r="HCM39" s="595"/>
      <c r="HCN39" s="595"/>
      <c r="HCO39" s="595"/>
      <c r="HCP39" s="595"/>
      <c r="HCQ39" s="595"/>
      <c r="HCR39" s="595"/>
      <c r="HCS39" s="595"/>
      <c r="HCT39" s="595"/>
      <c r="HCU39" s="595"/>
      <c r="HCV39" s="595"/>
      <c r="HCW39" s="595"/>
      <c r="HCX39" s="595"/>
      <c r="HCY39" s="595"/>
      <c r="HCZ39" s="595"/>
      <c r="HDA39" s="595"/>
      <c r="HDB39" s="595"/>
      <c r="HDC39" s="595"/>
      <c r="HDD39" s="595"/>
      <c r="HDE39" s="595"/>
      <c r="HDF39" s="595"/>
      <c r="HDG39" s="595"/>
      <c r="HDH39" s="595"/>
      <c r="HDI39" s="595"/>
      <c r="HDJ39" s="595"/>
      <c r="HDK39" s="595"/>
      <c r="HDL39" s="595"/>
      <c r="HDM39" s="595"/>
      <c r="HDN39" s="595"/>
      <c r="HDO39" s="595"/>
      <c r="HDP39" s="595"/>
      <c r="HDQ39" s="595"/>
      <c r="HDR39" s="595"/>
      <c r="HDS39" s="595"/>
      <c r="HDT39" s="595"/>
      <c r="HDU39" s="595"/>
      <c r="HDV39" s="595"/>
      <c r="HDW39" s="595"/>
      <c r="HDX39" s="595"/>
      <c r="HDY39" s="595"/>
      <c r="HDZ39" s="595"/>
      <c r="HEA39" s="595"/>
      <c r="HEB39" s="595"/>
      <c r="HEC39" s="595"/>
      <c r="HED39" s="595"/>
      <c r="HEE39" s="595"/>
      <c r="HEF39" s="595"/>
      <c r="HEG39" s="595"/>
      <c r="HEH39" s="595"/>
      <c r="HEI39" s="595"/>
      <c r="HEJ39" s="595"/>
      <c r="HEK39" s="595"/>
      <c r="HEL39" s="595"/>
      <c r="HEM39" s="595"/>
      <c r="HEN39" s="595"/>
      <c r="HEO39" s="595"/>
      <c r="HEP39" s="595"/>
      <c r="HEQ39" s="595"/>
      <c r="HER39" s="595"/>
      <c r="HES39" s="595"/>
      <c r="HET39" s="595"/>
      <c r="HEU39" s="595"/>
      <c r="HEV39" s="595"/>
      <c r="HEW39" s="595"/>
      <c r="HEX39" s="595"/>
      <c r="HEY39" s="595"/>
      <c r="HEZ39" s="595"/>
      <c r="HFA39" s="595"/>
      <c r="HFB39" s="595"/>
      <c r="HFC39" s="595"/>
      <c r="HFD39" s="595"/>
      <c r="HFE39" s="595"/>
      <c r="HFF39" s="595"/>
      <c r="HFG39" s="595"/>
      <c r="HFH39" s="595"/>
      <c r="HFI39" s="595"/>
      <c r="HFJ39" s="595"/>
      <c r="HFK39" s="595"/>
      <c r="HFL39" s="595"/>
      <c r="HFM39" s="595"/>
      <c r="HFN39" s="595"/>
      <c r="HFO39" s="595"/>
      <c r="HFP39" s="595"/>
      <c r="HFQ39" s="595"/>
      <c r="HFR39" s="595"/>
      <c r="HFS39" s="595"/>
      <c r="HFT39" s="595"/>
      <c r="HFU39" s="595"/>
      <c r="HFV39" s="595"/>
      <c r="HFW39" s="595"/>
      <c r="HFX39" s="595"/>
      <c r="HFY39" s="595"/>
      <c r="HFZ39" s="595"/>
      <c r="HGA39" s="595"/>
      <c r="HGB39" s="595"/>
      <c r="HGC39" s="595"/>
      <c r="HGD39" s="595"/>
      <c r="HGE39" s="595"/>
      <c r="HGF39" s="595"/>
      <c r="HGG39" s="595"/>
      <c r="HGH39" s="595"/>
      <c r="HGI39" s="595"/>
      <c r="HGJ39" s="595"/>
      <c r="HGK39" s="595"/>
      <c r="HGL39" s="595"/>
      <c r="HGM39" s="595"/>
      <c r="HGN39" s="595"/>
      <c r="HGO39" s="595"/>
      <c r="HGP39" s="595"/>
      <c r="HGQ39" s="595"/>
      <c r="HGR39" s="595"/>
      <c r="HGS39" s="595"/>
      <c r="HGT39" s="595"/>
      <c r="HGU39" s="595"/>
      <c r="HGV39" s="595"/>
      <c r="HGW39" s="595"/>
      <c r="HGX39" s="595"/>
      <c r="HGY39" s="595"/>
      <c r="HGZ39" s="595"/>
      <c r="HHA39" s="595"/>
      <c r="HHB39" s="595"/>
      <c r="HHC39" s="595"/>
      <c r="HHD39" s="595"/>
      <c r="HHE39" s="595"/>
      <c r="HHF39" s="595"/>
      <c r="HHG39" s="595"/>
      <c r="HHH39" s="595"/>
      <c r="HHI39" s="595"/>
      <c r="HHJ39" s="595"/>
      <c r="HHK39" s="595"/>
      <c r="HHL39" s="595"/>
      <c r="HHM39" s="595"/>
      <c r="HHN39" s="595"/>
      <c r="HHO39" s="595"/>
      <c r="HHP39" s="595"/>
      <c r="HHQ39" s="595"/>
      <c r="HHR39" s="595"/>
      <c r="HHS39" s="595"/>
      <c r="HHT39" s="595"/>
      <c r="HHU39" s="595"/>
      <c r="HHV39" s="595"/>
      <c r="HHW39" s="595"/>
      <c r="HHX39" s="595"/>
      <c r="HHY39" s="595"/>
      <c r="HHZ39" s="595"/>
      <c r="HIA39" s="595"/>
      <c r="HIB39" s="595"/>
      <c r="HIC39" s="595"/>
      <c r="HID39" s="595"/>
      <c r="HIE39" s="595"/>
      <c r="HIF39" s="595"/>
      <c r="HIG39" s="595"/>
      <c r="HIH39" s="595"/>
      <c r="HII39" s="595"/>
      <c r="HIJ39" s="595"/>
      <c r="HIK39" s="595"/>
      <c r="HIL39" s="595"/>
      <c r="HIM39" s="595"/>
      <c r="HIN39" s="595"/>
      <c r="HIO39" s="595"/>
      <c r="HIP39" s="595"/>
      <c r="HIQ39" s="595"/>
      <c r="HIR39" s="595"/>
      <c r="HIS39" s="595"/>
      <c r="HIT39" s="595"/>
      <c r="HIU39" s="595"/>
      <c r="HIV39" s="595"/>
      <c r="HIW39" s="595"/>
      <c r="HIX39" s="595"/>
      <c r="HIY39" s="595"/>
      <c r="HIZ39" s="595"/>
      <c r="HJA39" s="595"/>
      <c r="HJB39" s="595"/>
      <c r="HJC39" s="595"/>
      <c r="HJD39" s="595"/>
      <c r="HJE39" s="595"/>
      <c r="HJF39" s="595"/>
      <c r="HJG39" s="595"/>
      <c r="HJH39" s="595"/>
      <c r="HJI39" s="595"/>
      <c r="HJJ39" s="595"/>
      <c r="HJK39" s="595"/>
      <c r="HJL39" s="595"/>
      <c r="HJM39" s="595"/>
      <c r="HJN39" s="595"/>
      <c r="HJO39" s="595"/>
      <c r="HJP39" s="595"/>
      <c r="HJQ39" s="595"/>
      <c r="HJR39" s="595"/>
      <c r="HJS39" s="595"/>
      <c r="HJT39" s="595"/>
      <c r="HJU39" s="595"/>
      <c r="HJV39" s="595"/>
      <c r="HJW39" s="595"/>
      <c r="HJX39" s="595"/>
      <c r="HJY39" s="595"/>
      <c r="HJZ39" s="595"/>
      <c r="HKA39" s="595"/>
      <c r="HKB39" s="595"/>
      <c r="HKC39" s="595"/>
      <c r="HKD39" s="595"/>
      <c r="HKE39" s="595"/>
      <c r="HKF39" s="595"/>
      <c r="HKG39" s="595"/>
      <c r="HKH39" s="595"/>
      <c r="HKI39" s="595"/>
      <c r="HKJ39" s="595"/>
      <c r="HKK39" s="595"/>
      <c r="HKL39" s="595"/>
      <c r="HKM39" s="595"/>
      <c r="HKN39" s="595"/>
      <c r="HKO39" s="595"/>
      <c r="HKP39" s="595"/>
      <c r="HKQ39" s="595"/>
      <c r="HKR39" s="595"/>
      <c r="HKS39" s="595"/>
      <c r="HKT39" s="595"/>
      <c r="HKU39" s="595"/>
      <c r="HKV39" s="595"/>
      <c r="HKW39" s="595"/>
      <c r="HKX39" s="595"/>
      <c r="HKY39" s="595"/>
      <c r="HKZ39" s="595"/>
      <c r="HLA39" s="595"/>
      <c r="HLB39" s="595"/>
      <c r="HLC39" s="595"/>
      <c r="HLD39" s="595"/>
      <c r="HLE39" s="595"/>
      <c r="HLF39" s="595"/>
      <c r="HLG39" s="595"/>
      <c r="HLH39" s="595"/>
      <c r="HLI39" s="595"/>
      <c r="HLJ39" s="595"/>
      <c r="HLK39" s="595"/>
      <c r="HLL39" s="595"/>
      <c r="HLM39" s="595"/>
      <c r="HLN39" s="595"/>
      <c r="HLO39" s="595"/>
      <c r="HLP39" s="595"/>
      <c r="HLQ39" s="595"/>
      <c r="HLR39" s="595"/>
      <c r="HLS39" s="595"/>
      <c r="HLT39" s="595"/>
      <c r="HLU39" s="595"/>
      <c r="HLV39" s="595"/>
      <c r="HLW39" s="595"/>
      <c r="HLX39" s="595"/>
      <c r="HLY39" s="595"/>
      <c r="HLZ39" s="595"/>
      <c r="HMA39" s="595"/>
      <c r="HMB39" s="595"/>
      <c r="HMC39" s="595"/>
      <c r="HMD39" s="595"/>
      <c r="HME39" s="595"/>
      <c r="HMF39" s="595"/>
      <c r="HMG39" s="595"/>
      <c r="HMH39" s="595"/>
      <c r="HMI39" s="595"/>
      <c r="HMJ39" s="595"/>
      <c r="HMK39" s="595"/>
      <c r="HML39" s="595"/>
      <c r="HMM39" s="595"/>
      <c r="HMN39" s="595"/>
      <c r="HMO39" s="595"/>
      <c r="HMP39" s="595"/>
      <c r="HMQ39" s="595"/>
      <c r="HMR39" s="595"/>
      <c r="HMS39" s="595"/>
      <c r="HMT39" s="595"/>
      <c r="HMU39" s="595"/>
      <c r="HMV39" s="595"/>
      <c r="HMW39" s="595"/>
      <c r="HMX39" s="595"/>
      <c r="HMY39" s="595"/>
      <c r="HMZ39" s="595"/>
      <c r="HNA39" s="595"/>
      <c r="HNB39" s="595"/>
      <c r="HNC39" s="595"/>
      <c r="HND39" s="595"/>
      <c r="HNE39" s="595"/>
      <c r="HNF39" s="595"/>
      <c r="HNG39" s="595"/>
      <c r="HNH39" s="595"/>
      <c r="HNI39" s="595"/>
      <c r="HNJ39" s="595"/>
      <c r="HNK39" s="595"/>
      <c r="HNL39" s="595"/>
      <c r="HNM39" s="595"/>
      <c r="HNN39" s="595"/>
      <c r="HNO39" s="595"/>
      <c r="HNP39" s="595"/>
      <c r="HNQ39" s="595"/>
      <c r="HNR39" s="595"/>
      <c r="HNS39" s="595"/>
      <c r="HNT39" s="595"/>
      <c r="HNU39" s="595"/>
      <c r="HNV39" s="595"/>
      <c r="HNW39" s="595"/>
      <c r="HNX39" s="595"/>
      <c r="HNY39" s="595"/>
      <c r="HNZ39" s="595"/>
      <c r="HOA39" s="595"/>
      <c r="HOB39" s="595"/>
      <c r="HOC39" s="595"/>
      <c r="HOD39" s="595"/>
      <c r="HOE39" s="595"/>
      <c r="HOF39" s="595"/>
      <c r="HOG39" s="595"/>
      <c r="HOH39" s="595"/>
      <c r="HOI39" s="595"/>
      <c r="HOJ39" s="595"/>
      <c r="HOK39" s="595"/>
      <c r="HOL39" s="595"/>
      <c r="HOM39" s="595"/>
      <c r="HON39" s="595"/>
      <c r="HOO39" s="595"/>
      <c r="HOP39" s="595"/>
      <c r="HOQ39" s="595"/>
      <c r="HOR39" s="595"/>
      <c r="HOS39" s="595"/>
      <c r="HOT39" s="595"/>
      <c r="HOU39" s="595"/>
      <c r="HOV39" s="595"/>
      <c r="HOW39" s="595"/>
      <c r="HOX39" s="595"/>
      <c r="HOY39" s="595"/>
      <c r="HOZ39" s="595"/>
      <c r="HPA39" s="595"/>
      <c r="HPB39" s="595"/>
      <c r="HPC39" s="595"/>
      <c r="HPD39" s="595"/>
      <c r="HPE39" s="595"/>
      <c r="HPF39" s="595"/>
      <c r="HPG39" s="595"/>
      <c r="HPH39" s="595"/>
      <c r="HPI39" s="595"/>
      <c r="HPJ39" s="595"/>
      <c r="HPK39" s="595"/>
      <c r="HPL39" s="595"/>
      <c r="HPM39" s="595"/>
      <c r="HPN39" s="595"/>
      <c r="HPO39" s="595"/>
      <c r="HPP39" s="595"/>
      <c r="HPQ39" s="595"/>
      <c r="HPR39" s="595"/>
      <c r="HPS39" s="595"/>
      <c r="HPT39" s="595"/>
      <c r="HPU39" s="595"/>
      <c r="HPV39" s="595"/>
      <c r="HPW39" s="595"/>
      <c r="HPX39" s="595"/>
      <c r="HPY39" s="595"/>
      <c r="HPZ39" s="595"/>
      <c r="HQA39" s="595"/>
      <c r="HQB39" s="595"/>
      <c r="HQC39" s="595"/>
      <c r="HQD39" s="595"/>
      <c r="HQE39" s="595"/>
      <c r="HQF39" s="595"/>
      <c r="HQG39" s="595"/>
      <c r="HQH39" s="595"/>
      <c r="HQI39" s="595"/>
      <c r="HQJ39" s="595"/>
      <c r="HQK39" s="595"/>
      <c r="HQL39" s="595"/>
      <c r="HQM39" s="595"/>
      <c r="HQN39" s="595"/>
      <c r="HQO39" s="595"/>
      <c r="HQP39" s="595"/>
      <c r="HQQ39" s="595"/>
      <c r="HQR39" s="595"/>
      <c r="HQS39" s="595"/>
      <c r="HQT39" s="595"/>
      <c r="HQU39" s="595"/>
      <c r="HQV39" s="595"/>
      <c r="HQW39" s="595"/>
      <c r="HQX39" s="595"/>
      <c r="HQY39" s="595"/>
      <c r="HQZ39" s="595"/>
      <c r="HRA39" s="595"/>
      <c r="HRB39" s="595"/>
      <c r="HRC39" s="595"/>
      <c r="HRD39" s="595"/>
      <c r="HRE39" s="595"/>
      <c r="HRF39" s="595"/>
      <c r="HRG39" s="595"/>
      <c r="HRH39" s="595"/>
      <c r="HRI39" s="595"/>
      <c r="HRJ39" s="595"/>
      <c r="HRK39" s="595"/>
      <c r="HRL39" s="595"/>
      <c r="HRM39" s="595"/>
      <c r="HRN39" s="595"/>
      <c r="HRO39" s="595"/>
      <c r="HRP39" s="595"/>
      <c r="HRQ39" s="595"/>
      <c r="HRR39" s="595"/>
      <c r="HRS39" s="595"/>
      <c r="HRT39" s="595"/>
      <c r="HRU39" s="595"/>
      <c r="HRV39" s="595"/>
      <c r="HRW39" s="595"/>
      <c r="HRX39" s="595"/>
      <c r="HRY39" s="595"/>
      <c r="HRZ39" s="595"/>
      <c r="HSA39" s="595"/>
      <c r="HSB39" s="595"/>
      <c r="HSC39" s="595"/>
      <c r="HSD39" s="595"/>
      <c r="HSE39" s="595"/>
      <c r="HSF39" s="595"/>
      <c r="HSG39" s="595"/>
      <c r="HSH39" s="595"/>
      <c r="HSI39" s="595"/>
      <c r="HSJ39" s="595"/>
      <c r="HSK39" s="595"/>
      <c r="HSL39" s="595"/>
      <c r="HSM39" s="595"/>
      <c r="HSN39" s="595"/>
      <c r="HSO39" s="595"/>
      <c r="HSP39" s="595"/>
      <c r="HSQ39" s="595"/>
      <c r="HSR39" s="595"/>
      <c r="HSS39" s="595"/>
      <c r="HST39" s="595"/>
      <c r="HSU39" s="595"/>
      <c r="HSV39" s="595"/>
      <c r="HSW39" s="595"/>
      <c r="HSX39" s="595"/>
      <c r="HSY39" s="595"/>
      <c r="HSZ39" s="595"/>
      <c r="HTA39" s="595"/>
      <c r="HTB39" s="595"/>
      <c r="HTC39" s="595"/>
      <c r="HTD39" s="595"/>
      <c r="HTE39" s="595"/>
      <c r="HTF39" s="595"/>
      <c r="HTG39" s="595"/>
      <c r="HTH39" s="595"/>
      <c r="HTI39" s="595"/>
      <c r="HTJ39" s="595"/>
      <c r="HTK39" s="595"/>
      <c r="HTL39" s="595"/>
      <c r="HTM39" s="595"/>
      <c r="HTN39" s="595"/>
      <c r="HTO39" s="595"/>
      <c r="HTP39" s="595"/>
      <c r="HTQ39" s="595"/>
      <c r="HTR39" s="595"/>
      <c r="HTS39" s="595"/>
      <c r="HTT39" s="595"/>
      <c r="HTU39" s="595"/>
      <c r="HTV39" s="595"/>
      <c r="HTW39" s="595"/>
      <c r="HTX39" s="595"/>
      <c r="HTY39" s="595"/>
      <c r="HTZ39" s="595"/>
      <c r="HUA39" s="595"/>
      <c r="HUB39" s="595"/>
      <c r="HUC39" s="595"/>
      <c r="HUD39" s="595"/>
      <c r="HUE39" s="595"/>
      <c r="HUF39" s="595"/>
      <c r="HUG39" s="595"/>
      <c r="HUH39" s="595"/>
      <c r="HUI39" s="595"/>
      <c r="HUJ39" s="595"/>
      <c r="HUK39" s="595"/>
      <c r="HUL39" s="595"/>
      <c r="HUM39" s="595"/>
      <c r="HUN39" s="595"/>
      <c r="HUO39" s="595"/>
      <c r="HUP39" s="595"/>
      <c r="HUQ39" s="595"/>
      <c r="HUR39" s="595"/>
      <c r="HUS39" s="595"/>
      <c r="HUT39" s="595"/>
      <c r="HUU39" s="595"/>
      <c r="HUV39" s="595"/>
      <c r="HUW39" s="595"/>
      <c r="HUX39" s="595"/>
      <c r="HUY39" s="595"/>
      <c r="HUZ39" s="595"/>
      <c r="HVA39" s="595"/>
      <c r="HVB39" s="595"/>
      <c r="HVC39" s="595"/>
      <c r="HVD39" s="595"/>
      <c r="HVE39" s="595"/>
      <c r="HVF39" s="595"/>
      <c r="HVG39" s="595"/>
      <c r="HVH39" s="595"/>
      <c r="HVI39" s="595"/>
      <c r="HVJ39" s="595"/>
      <c r="HVK39" s="595"/>
      <c r="HVL39" s="595"/>
      <c r="HVM39" s="595"/>
      <c r="HVN39" s="595"/>
      <c r="HVO39" s="595"/>
      <c r="HVP39" s="595"/>
      <c r="HVQ39" s="595"/>
      <c r="HVR39" s="595"/>
      <c r="HVS39" s="595"/>
      <c r="HVT39" s="595"/>
      <c r="HVU39" s="595"/>
      <c r="HVV39" s="595"/>
      <c r="HVW39" s="595"/>
      <c r="HVX39" s="595"/>
      <c r="HVY39" s="595"/>
      <c r="HVZ39" s="595"/>
      <c r="HWA39" s="595"/>
      <c r="HWB39" s="595"/>
      <c r="HWC39" s="595"/>
      <c r="HWD39" s="595"/>
      <c r="HWE39" s="595"/>
      <c r="HWF39" s="595"/>
      <c r="HWG39" s="595"/>
      <c r="HWH39" s="595"/>
      <c r="HWI39" s="595"/>
      <c r="HWJ39" s="595"/>
      <c r="HWK39" s="595"/>
      <c r="HWL39" s="595"/>
      <c r="HWM39" s="595"/>
      <c r="HWN39" s="595"/>
      <c r="HWO39" s="595"/>
      <c r="HWP39" s="595"/>
      <c r="HWQ39" s="595"/>
      <c r="HWR39" s="595"/>
      <c r="HWS39" s="595"/>
      <c r="HWT39" s="595"/>
      <c r="HWU39" s="595"/>
      <c r="HWV39" s="595"/>
      <c r="HWW39" s="595"/>
      <c r="HWX39" s="595"/>
      <c r="HWY39" s="595"/>
      <c r="HWZ39" s="595"/>
      <c r="HXA39" s="595"/>
      <c r="HXB39" s="595"/>
      <c r="HXC39" s="595"/>
      <c r="HXD39" s="595"/>
      <c r="HXE39" s="595"/>
      <c r="HXF39" s="595"/>
      <c r="HXG39" s="595"/>
      <c r="HXH39" s="595"/>
      <c r="HXI39" s="595"/>
      <c r="HXJ39" s="595"/>
      <c r="HXK39" s="595"/>
      <c r="HXL39" s="595"/>
      <c r="HXM39" s="595"/>
      <c r="HXN39" s="595"/>
      <c r="HXO39" s="595"/>
      <c r="HXP39" s="595"/>
      <c r="HXQ39" s="595"/>
      <c r="HXR39" s="595"/>
      <c r="HXS39" s="595"/>
      <c r="HXT39" s="595"/>
      <c r="HXU39" s="595"/>
      <c r="HXV39" s="595"/>
      <c r="HXW39" s="595"/>
      <c r="HXX39" s="595"/>
      <c r="HXY39" s="595"/>
      <c r="HXZ39" s="595"/>
      <c r="HYA39" s="595"/>
      <c r="HYB39" s="595"/>
      <c r="HYC39" s="595"/>
      <c r="HYD39" s="595"/>
      <c r="HYE39" s="595"/>
      <c r="HYF39" s="595"/>
      <c r="HYG39" s="595"/>
      <c r="HYH39" s="595"/>
      <c r="HYI39" s="595"/>
      <c r="HYJ39" s="595"/>
      <c r="HYK39" s="595"/>
      <c r="HYL39" s="595"/>
      <c r="HYM39" s="595"/>
      <c r="HYN39" s="595"/>
      <c r="HYO39" s="595"/>
      <c r="HYP39" s="595"/>
      <c r="HYQ39" s="595"/>
      <c r="HYR39" s="595"/>
      <c r="HYS39" s="595"/>
      <c r="HYT39" s="595"/>
      <c r="HYU39" s="595"/>
      <c r="HYV39" s="595"/>
      <c r="HYW39" s="595"/>
      <c r="HYX39" s="595"/>
      <c r="HYY39" s="595"/>
      <c r="HYZ39" s="595"/>
      <c r="HZA39" s="595"/>
      <c r="HZB39" s="595"/>
      <c r="HZC39" s="595"/>
      <c r="HZD39" s="595"/>
      <c r="HZE39" s="595"/>
      <c r="HZF39" s="595"/>
      <c r="HZG39" s="595"/>
      <c r="HZH39" s="595"/>
      <c r="HZI39" s="595"/>
      <c r="HZJ39" s="595"/>
      <c r="HZK39" s="595"/>
      <c r="HZL39" s="595"/>
      <c r="HZM39" s="595"/>
      <c r="HZN39" s="595"/>
      <c r="HZO39" s="595"/>
      <c r="HZP39" s="595"/>
      <c r="HZQ39" s="595"/>
      <c r="HZR39" s="595"/>
      <c r="HZS39" s="595"/>
      <c r="HZT39" s="595"/>
      <c r="HZU39" s="595"/>
      <c r="HZV39" s="595"/>
      <c r="HZW39" s="595"/>
      <c r="HZX39" s="595"/>
      <c r="HZY39" s="595"/>
      <c r="HZZ39" s="595"/>
      <c r="IAA39" s="595"/>
      <c r="IAB39" s="595"/>
      <c r="IAC39" s="595"/>
      <c r="IAD39" s="595"/>
      <c r="IAE39" s="595"/>
      <c r="IAF39" s="595"/>
      <c r="IAG39" s="595"/>
      <c r="IAH39" s="595"/>
      <c r="IAI39" s="595"/>
      <c r="IAJ39" s="595"/>
      <c r="IAK39" s="595"/>
      <c r="IAL39" s="595"/>
      <c r="IAM39" s="595"/>
      <c r="IAN39" s="595"/>
      <c r="IAO39" s="595"/>
      <c r="IAP39" s="595"/>
      <c r="IAQ39" s="595"/>
      <c r="IAR39" s="595"/>
      <c r="IAS39" s="595"/>
      <c r="IAT39" s="595"/>
      <c r="IAU39" s="595"/>
      <c r="IAV39" s="595"/>
      <c r="IAW39" s="595"/>
      <c r="IAX39" s="595"/>
      <c r="IAY39" s="595"/>
      <c r="IAZ39" s="595"/>
      <c r="IBA39" s="595"/>
      <c r="IBB39" s="595"/>
      <c r="IBC39" s="595"/>
      <c r="IBD39" s="595"/>
      <c r="IBE39" s="595"/>
      <c r="IBF39" s="595"/>
      <c r="IBG39" s="595"/>
      <c r="IBH39" s="595"/>
      <c r="IBI39" s="595"/>
      <c r="IBJ39" s="595"/>
      <c r="IBK39" s="595"/>
      <c r="IBL39" s="595"/>
      <c r="IBM39" s="595"/>
      <c r="IBN39" s="595"/>
      <c r="IBO39" s="595"/>
      <c r="IBP39" s="595"/>
      <c r="IBQ39" s="595"/>
      <c r="IBR39" s="595"/>
      <c r="IBS39" s="595"/>
      <c r="IBT39" s="595"/>
      <c r="IBU39" s="595"/>
      <c r="IBV39" s="595"/>
      <c r="IBW39" s="595"/>
      <c r="IBX39" s="595"/>
      <c r="IBY39" s="595"/>
      <c r="IBZ39" s="595"/>
      <c r="ICA39" s="595"/>
      <c r="ICB39" s="595"/>
      <c r="ICC39" s="595"/>
      <c r="ICD39" s="595"/>
      <c r="ICE39" s="595"/>
      <c r="ICF39" s="595"/>
      <c r="ICG39" s="595"/>
      <c r="ICH39" s="595"/>
      <c r="ICI39" s="595"/>
      <c r="ICJ39" s="595"/>
      <c r="ICK39" s="595"/>
      <c r="ICL39" s="595"/>
      <c r="ICM39" s="595"/>
      <c r="ICN39" s="595"/>
      <c r="ICO39" s="595"/>
      <c r="ICP39" s="595"/>
      <c r="ICQ39" s="595"/>
      <c r="ICR39" s="595"/>
      <c r="ICS39" s="595"/>
      <c r="ICT39" s="595"/>
      <c r="ICU39" s="595"/>
      <c r="ICV39" s="595"/>
      <c r="ICW39" s="595"/>
      <c r="ICX39" s="595"/>
      <c r="ICY39" s="595"/>
      <c r="ICZ39" s="595"/>
      <c r="IDA39" s="595"/>
      <c r="IDB39" s="595"/>
      <c r="IDC39" s="595"/>
      <c r="IDD39" s="595"/>
      <c r="IDE39" s="595"/>
      <c r="IDF39" s="595"/>
      <c r="IDG39" s="595"/>
      <c r="IDH39" s="595"/>
      <c r="IDI39" s="595"/>
      <c r="IDJ39" s="595"/>
      <c r="IDK39" s="595"/>
      <c r="IDL39" s="595"/>
      <c r="IDM39" s="595"/>
      <c r="IDN39" s="595"/>
      <c r="IDO39" s="595"/>
      <c r="IDP39" s="595"/>
      <c r="IDQ39" s="595"/>
      <c r="IDR39" s="595"/>
      <c r="IDS39" s="595"/>
      <c r="IDT39" s="595"/>
      <c r="IDU39" s="595"/>
      <c r="IDV39" s="595"/>
      <c r="IDW39" s="595"/>
      <c r="IDX39" s="595"/>
      <c r="IDY39" s="595"/>
      <c r="IDZ39" s="595"/>
      <c r="IEA39" s="595"/>
      <c r="IEB39" s="595"/>
      <c r="IEC39" s="595"/>
      <c r="IED39" s="595"/>
      <c r="IEE39" s="595"/>
      <c r="IEF39" s="595"/>
      <c r="IEG39" s="595"/>
      <c r="IEH39" s="595"/>
      <c r="IEI39" s="595"/>
      <c r="IEJ39" s="595"/>
      <c r="IEK39" s="595"/>
      <c r="IEL39" s="595"/>
      <c r="IEM39" s="595"/>
      <c r="IEN39" s="595"/>
      <c r="IEO39" s="595"/>
      <c r="IEP39" s="595"/>
      <c r="IEQ39" s="595"/>
      <c r="IER39" s="595"/>
      <c r="IES39" s="595"/>
      <c r="IET39" s="595"/>
      <c r="IEU39" s="595"/>
      <c r="IEV39" s="595"/>
      <c r="IEW39" s="595"/>
      <c r="IEX39" s="595"/>
      <c r="IEY39" s="595"/>
      <c r="IEZ39" s="595"/>
      <c r="IFA39" s="595"/>
      <c r="IFB39" s="595"/>
      <c r="IFC39" s="595"/>
      <c r="IFD39" s="595"/>
      <c r="IFE39" s="595"/>
      <c r="IFF39" s="595"/>
      <c r="IFG39" s="595"/>
      <c r="IFH39" s="595"/>
      <c r="IFI39" s="595"/>
      <c r="IFJ39" s="595"/>
      <c r="IFK39" s="595"/>
      <c r="IFL39" s="595"/>
      <c r="IFM39" s="595"/>
      <c r="IFN39" s="595"/>
      <c r="IFO39" s="595"/>
      <c r="IFP39" s="595"/>
      <c r="IFQ39" s="595"/>
      <c r="IFR39" s="595"/>
      <c r="IFS39" s="595"/>
      <c r="IFT39" s="595"/>
      <c r="IFU39" s="595"/>
      <c r="IFV39" s="595"/>
      <c r="IFW39" s="595"/>
      <c r="IFX39" s="595"/>
      <c r="IFY39" s="595"/>
      <c r="IFZ39" s="595"/>
      <c r="IGA39" s="595"/>
      <c r="IGB39" s="595"/>
      <c r="IGC39" s="595"/>
      <c r="IGD39" s="595"/>
      <c r="IGE39" s="595"/>
      <c r="IGF39" s="595"/>
      <c r="IGG39" s="595"/>
      <c r="IGH39" s="595"/>
      <c r="IGI39" s="595"/>
      <c r="IGJ39" s="595"/>
      <c r="IGK39" s="595"/>
      <c r="IGL39" s="595"/>
      <c r="IGM39" s="595"/>
      <c r="IGN39" s="595"/>
      <c r="IGO39" s="595"/>
      <c r="IGP39" s="595"/>
      <c r="IGQ39" s="595"/>
      <c r="IGR39" s="595"/>
      <c r="IGS39" s="595"/>
      <c r="IGT39" s="595"/>
      <c r="IGU39" s="595"/>
      <c r="IGV39" s="595"/>
      <c r="IGW39" s="595"/>
      <c r="IGX39" s="595"/>
      <c r="IGY39" s="595"/>
      <c r="IGZ39" s="595"/>
      <c r="IHA39" s="595"/>
      <c r="IHB39" s="595"/>
      <c r="IHC39" s="595"/>
      <c r="IHD39" s="595"/>
      <c r="IHE39" s="595"/>
      <c r="IHF39" s="595"/>
      <c r="IHG39" s="595"/>
      <c r="IHH39" s="595"/>
      <c r="IHI39" s="595"/>
      <c r="IHJ39" s="595"/>
      <c r="IHK39" s="595"/>
      <c r="IHL39" s="595"/>
      <c r="IHM39" s="595"/>
      <c r="IHN39" s="595"/>
      <c r="IHO39" s="595"/>
      <c r="IHP39" s="595"/>
      <c r="IHQ39" s="595"/>
      <c r="IHR39" s="595"/>
      <c r="IHS39" s="595"/>
      <c r="IHT39" s="595"/>
      <c r="IHU39" s="595"/>
      <c r="IHV39" s="595"/>
      <c r="IHW39" s="595"/>
      <c r="IHX39" s="595"/>
      <c r="IHY39" s="595"/>
      <c r="IHZ39" s="595"/>
      <c r="IIA39" s="595"/>
      <c r="IIB39" s="595"/>
      <c r="IIC39" s="595"/>
      <c r="IID39" s="595"/>
      <c r="IIE39" s="595"/>
      <c r="IIF39" s="595"/>
      <c r="IIG39" s="595"/>
      <c r="IIH39" s="595"/>
      <c r="III39" s="595"/>
      <c r="IIJ39" s="595"/>
      <c r="IIK39" s="595"/>
      <c r="IIL39" s="595"/>
      <c r="IIM39" s="595"/>
      <c r="IIN39" s="595"/>
      <c r="IIO39" s="595"/>
      <c r="IIP39" s="595"/>
      <c r="IIQ39" s="595"/>
      <c r="IIR39" s="595"/>
      <c r="IIS39" s="595"/>
      <c r="IIT39" s="595"/>
      <c r="IIU39" s="595"/>
      <c r="IIV39" s="595"/>
      <c r="IIW39" s="595"/>
      <c r="IIX39" s="595"/>
      <c r="IIY39" s="595"/>
      <c r="IIZ39" s="595"/>
      <c r="IJA39" s="595"/>
      <c r="IJB39" s="595"/>
      <c r="IJC39" s="595"/>
      <c r="IJD39" s="595"/>
      <c r="IJE39" s="595"/>
      <c r="IJF39" s="595"/>
      <c r="IJG39" s="595"/>
      <c r="IJH39" s="595"/>
      <c r="IJI39" s="595"/>
      <c r="IJJ39" s="595"/>
      <c r="IJK39" s="595"/>
      <c r="IJL39" s="595"/>
      <c r="IJM39" s="595"/>
      <c r="IJN39" s="595"/>
      <c r="IJO39" s="595"/>
      <c r="IJP39" s="595"/>
      <c r="IJQ39" s="595"/>
      <c r="IJR39" s="595"/>
      <c r="IJS39" s="595"/>
      <c r="IJT39" s="595"/>
      <c r="IJU39" s="595"/>
      <c r="IJV39" s="595"/>
      <c r="IJW39" s="595"/>
      <c r="IJX39" s="595"/>
      <c r="IJY39" s="595"/>
      <c r="IJZ39" s="595"/>
      <c r="IKA39" s="595"/>
      <c r="IKB39" s="595"/>
      <c r="IKC39" s="595"/>
      <c r="IKD39" s="595"/>
      <c r="IKE39" s="595"/>
      <c r="IKF39" s="595"/>
      <c r="IKG39" s="595"/>
      <c r="IKH39" s="595"/>
      <c r="IKI39" s="595"/>
      <c r="IKJ39" s="595"/>
      <c r="IKK39" s="595"/>
      <c r="IKL39" s="595"/>
      <c r="IKM39" s="595"/>
      <c r="IKN39" s="595"/>
      <c r="IKO39" s="595"/>
      <c r="IKP39" s="595"/>
      <c r="IKQ39" s="595"/>
      <c r="IKR39" s="595"/>
      <c r="IKS39" s="595"/>
      <c r="IKT39" s="595"/>
      <c r="IKU39" s="595"/>
      <c r="IKV39" s="595"/>
      <c r="IKW39" s="595"/>
      <c r="IKX39" s="595"/>
      <c r="IKY39" s="595"/>
      <c r="IKZ39" s="595"/>
      <c r="ILA39" s="595"/>
      <c r="ILB39" s="595"/>
      <c r="ILC39" s="595"/>
      <c r="ILD39" s="595"/>
      <c r="ILE39" s="595"/>
      <c r="ILF39" s="595"/>
      <c r="ILG39" s="595"/>
      <c r="ILH39" s="595"/>
      <c r="ILI39" s="595"/>
      <c r="ILJ39" s="595"/>
      <c r="ILK39" s="595"/>
      <c r="ILL39" s="595"/>
      <c r="ILM39" s="595"/>
      <c r="ILN39" s="595"/>
      <c r="ILO39" s="595"/>
      <c r="ILP39" s="595"/>
      <c r="ILQ39" s="595"/>
      <c r="ILR39" s="595"/>
      <c r="ILS39" s="595"/>
      <c r="ILT39" s="595"/>
      <c r="ILU39" s="595"/>
      <c r="ILV39" s="595"/>
      <c r="ILW39" s="595"/>
      <c r="ILX39" s="595"/>
      <c r="ILY39" s="595"/>
      <c r="ILZ39" s="595"/>
      <c r="IMA39" s="595"/>
      <c r="IMB39" s="595"/>
      <c r="IMC39" s="595"/>
      <c r="IMD39" s="595"/>
      <c r="IME39" s="595"/>
      <c r="IMF39" s="595"/>
      <c r="IMG39" s="595"/>
      <c r="IMH39" s="595"/>
      <c r="IMI39" s="595"/>
      <c r="IMJ39" s="595"/>
      <c r="IMK39" s="595"/>
      <c r="IML39" s="595"/>
      <c r="IMM39" s="595"/>
      <c r="IMN39" s="595"/>
      <c r="IMO39" s="595"/>
      <c r="IMP39" s="595"/>
      <c r="IMQ39" s="595"/>
      <c r="IMR39" s="595"/>
      <c r="IMS39" s="595"/>
      <c r="IMT39" s="595"/>
      <c r="IMU39" s="595"/>
      <c r="IMV39" s="595"/>
      <c r="IMW39" s="595"/>
      <c r="IMX39" s="595"/>
      <c r="IMY39" s="595"/>
      <c r="IMZ39" s="595"/>
      <c r="INA39" s="595"/>
      <c r="INB39" s="595"/>
      <c r="INC39" s="595"/>
      <c r="IND39" s="595"/>
      <c r="INE39" s="595"/>
      <c r="INF39" s="595"/>
      <c r="ING39" s="595"/>
      <c r="INH39" s="595"/>
      <c r="INI39" s="595"/>
      <c r="INJ39" s="595"/>
      <c r="INK39" s="595"/>
      <c r="INL39" s="595"/>
      <c r="INM39" s="595"/>
      <c r="INN39" s="595"/>
      <c r="INO39" s="595"/>
      <c r="INP39" s="595"/>
      <c r="INQ39" s="595"/>
      <c r="INR39" s="595"/>
      <c r="INS39" s="595"/>
      <c r="INT39" s="595"/>
      <c r="INU39" s="595"/>
      <c r="INV39" s="595"/>
      <c r="INW39" s="595"/>
      <c r="INX39" s="595"/>
      <c r="INY39" s="595"/>
      <c r="INZ39" s="595"/>
      <c r="IOA39" s="595"/>
      <c r="IOB39" s="595"/>
      <c r="IOC39" s="595"/>
      <c r="IOD39" s="595"/>
      <c r="IOE39" s="595"/>
      <c r="IOF39" s="595"/>
      <c r="IOG39" s="595"/>
      <c r="IOH39" s="595"/>
      <c r="IOI39" s="595"/>
      <c r="IOJ39" s="595"/>
      <c r="IOK39" s="595"/>
      <c r="IOL39" s="595"/>
      <c r="IOM39" s="595"/>
      <c r="ION39" s="595"/>
      <c r="IOO39" s="595"/>
      <c r="IOP39" s="595"/>
      <c r="IOQ39" s="595"/>
      <c r="IOR39" s="595"/>
      <c r="IOS39" s="595"/>
      <c r="IOT39" s="595"/>
      <c r="IOU39" s="595"/>
      <c r="IOV39" s="595"/>
      <c r="IOW39" s="595"/>
      <c r="IOX39" s="595"/>
      <c r="IOY39" s="595"/>
      <c r="IOZ39" s="595"/>
      <c r="IPA39" s="595"/>
      <c r="IPB39" s="595"/>
      <c r="IPC39" s="595"/>
      <c r="IPD39" s="595"/>
      <c r="IPE39" s="595"/>
      <c r="IPF39" s="595"/>
      <c r="IPG39" s="595"/>
      <c r="IPH39" s="595"/>
      <c r="IPI39" s="595"/>
      <c r="IPJ39" s="595"/>
      <c r="IPK39" s="595"/>
      <c r="IPL39" s="595"/>
      <c r="IPM39" s="595"/>
      <c r="IPN39" s="595"/>
      <c r="IPO39" s="595"/>
      <c r="IPP39" s="595"/>
      <c r="IPQ39" s="595"/>
      <c r="IPR39" s="595"/>
      <c r="IPS39" s="595"/>
      <c r="IPT39" s="595"/>
      <c r="IPU39" s="595"/>
      <c r="IPV39" s="595"/>
      <c r="IPW39" s="595"/>
      <c r="IPX39" s="595"/>
      <c r="IPY39" s="595"/>
      <c r="IPZ39" s="595"/>
      <c r="IQA39" s="595"/>
      <c r="IQB39" s="595"/>
      <c r="IQC39" s="595"/>
      <c r="IQD39" s="595"/>
      <c r="IQE39" s="595"/>
      <c r="IQF39" s="595"/>
      <c r="IQG39" s="595"/>
      <c r="IQH39" s="595"/>
      <c r="IQI39" s="595"/>
      <c r="IQJ39" s="595"/>
      <c r="IQK39" s="595"/>
      <c r="IQL39" s="595"/>
      <c r="IQM39" s="595"/>
      <c r="IQN39" s="595"/>
      <c r="IQO39" s="595"/>
      <c r="IQP39" s="595"/>
      <c r="IQQ39" s="595"/>
      <c r="IQR39" s="595"/>
      <c r="IQS39" s="595"/>
      <c r="IQT39" s="595"/>
      <c r="IQU39" s="595"/>
      <c r="IQV39" s="595"/>
      <c r="IQW39" s="595"/>
      <c r="IQX39" s="595"/>
      <c r="IQY39" s="595"/>
      <c r="IQZ39" s="595"/>
      <c r="IRA39" s="595"/>
      <c r="IRB39" s="595"/>
      <c r="IRC39" s="595"/>
      <c r="IRD39" s="595"/>
      <c r="IRE39" s="595"/>
      <c r="IRF39" s="595"/>
      <c r="IRG39" s="595"/>
      <c r="IRH39" s="595"/>
      <c r="IRI39" s="595"/>
      <c r="IRJ39" s="595"/>
      <c r="IRK39" s="595"/>
      <c r="IRL39" s="595"/>
      <c r="IRM39" s="595"/>
      <c r="IRN39" s="595"/>
      <c r="IRO39" s="595"/>
      <c r="IRP39" s="595"/>
      <c r="IRQ39" s="595"/>
      <c r="IRR39" s="595"/>
      <c r="IRS39" s="595"/>
      <c r="IRT39" s="595"/>
      <c r="IRU39" s="595"/>
      <c r="IRV39" s="595"/>
      <c r="IRW39" s="595"/>
      <c r="IRX39" s="595"/>
      <c r="IRY39" s="595"/>
      <c r="IRZ39" s="595"/>
      <c r="ISA39" s="595"/>
      <c r="ISB39" s="595"/>
      <c r="ISC39" s="595"/>
      <c r="ISD39" s="595"/>
      <c r="ISE39" s="595"/>
      <c r="ISF39" s="595"/>
      <c r="ISG39" s="595"/>
      <c r="ISH39" s="595"/>
      <c r="ISI39" s="595"/>
      <c r="ISJ39" s="595"/>
      <c r="ISK39" s="595"/>
      <c r="ISL39" s="595"/>
      <c r="ISM39" s="595"/>
      <c r="ISN39" s="595"/>
      <c r="ISO39" s="595"/>
      <c r="ISP39" s="595"/>
      <c r="ISQ39" s="595"/>
      <c r="ISR39" s="595"/>
      <c r="ISS39" s="595"/>
      <c r="IST39" s="595"/>
      <c r="ISU39" s="595"/>
      <c r="ISV39" s="595"/>
      <c r="ISW39" s="595"/>
      <c r="ISX39" s="595"/>
      <c r="ISY39" s="595"/>
      <c r="ISZ39" s="595"/>
      <c r="ITA39" s="595"/>
      <c r="ITB39" s="595"/>
      <c r="ITC39" s="595"/>
      <c r="ITD39" s="595"/>
      <c r="ITE39" s="595"/>
      <c r="ITF39" s="595"/>
      <c r="ITG39" s="595"/>
      <c r="ITH39" s="595"/>
      <c r="ITI39" s="595"/>
      <c r="ITJ39" s="595"/>
      <c r="ITK39" s="595"/>
      <c r="ITL39" s="595"/>
      <c r="ITM39" s="595"/>
      <c r="ITN39" s="595"/>
      <c r="ITO39" s="595"/>
      <c r="ITP39" s="595"/>
      <c r="ITQ39" s="595"/>
      <c r="ITR39" s="595"/>
      <c r="ITS39" s="595"/>
      <c r="ITT39" s="595"/>
      <c r="ITU39" s="595"/>
      <c r="ITV39" s="595"/>
      <c r="ITW39" s="595"/>
      <c r="ITX39" s="595"/>
      <c r="ITY39" s="595"/>
      <c r="ITZ39" s="595"/>
      <c r="IUA39" s="595"/>
      <c r="IUB39" s="595"/>
      <c r="IUC39" s="595"/>
      <c r="IUD39" s="595"/>
      <c r="IUE39" s="595"/>
      <c r="IUF39" s="595"/>
      <c r="IUG39" s="595"/>
      <c r="IUH39" s="595"/>
      <c r="IUI39" s="595"/>
      <c r="IUJ39" s="595"/>
      <c r="IUK39" s="595"/>
      <c r="IUL39" s="595"/>
      <c r="IUM39" s="595"/>
      <c r="IUN39" s="595"/>
      <c r="IUO39" s="595"/>
      <c r="IUP39" s="595"/>
      <c r="IUQ39" s="595"/>
      <c r="IUR39" s="595"/>
      <c r="IUS39" s="595"/>
      <c r="IUT39" s="595"/>
      <c r="IUU39" s="595"/>
      <c r="IUV39" s="595"/>
      <c r="IUW39" s="595"/>
      <c r="IUX39" s="595"/>
      <c r="IUY39" s="595"/>
      <c r="IUZ39" s="595"/>
      <c r="IVA39" s="595"/>
      <c r="IVB39" s="595"/>
      <c r="IVC39" s="595"/>
      <c r="IVD39" s="595"/>
      <c r="IVE39" s="595"/>
      <c r="IVF39" s="595"/>
      <c r="IVG39" s="595"/>
      <c r="IVH39" s="595"/>
      <c r="IVI39" s="595"/>
      <c r="IVJ39" s="595"/>
      <c r="IVK39" s="595"/>
      <c r="IVL39" s="595"/>
      <c r="IVM39" s="595"/>
      <c r="IVN39" s="595"/>
      <c r="IVO39" s="595"/>
      <c r="IVP39" s="595"/>
      <c r="IVQ39" s="595"/>
      <c r="IVR39" s="595"/>
      <c r="IVS39" s="595"/>
      <c r="IVT39" s="595"/>
      <c r="IVU39" s="595"/>
      <c r="IVV39" s="595"/>
      <c r="IVW39" s="595"/>
      <c r="IVX39" s="595"/>
      <c r="IVY39" s="595"/>
      <c r="IVZ39" s="595"/>
      <c r="IWA39" s="595"/>
      <c r="IWB39" s="595"/>
      <c r="IWC39" s="595"/>
      <c r="IWD39" s="595"/>
      <c r="IWE39" s="595"/>
      <c r="IWF39" s="595"/>
      <c r="IWG39" s="595"/>
      <c r="IWH39" s="595"/>
      <c r="IWI39" s="595"/>
      <c r="IWJ39" s="595"/>
      <c r="IWK39" s="595"/>
      <c r="IWL39" s="595"/>
      <c r="IWM39" s="595"/>
      <c r="IWN39" s="595"/>
      <c r="IWO39" s="595"/>
      <c r="IWP39" s="595"/>
      <c r="IWQ39" s="595"/>
      <c r="IWR39" s="595"/>
      <c r="IWS39" s="595"/>
      <c r="IWT39" s="595"/>
      <c r="IWU39" s="595"/>
      <c r="IWV39" s="595"/>
      <c r="IWW39" s="595"/>
      <c r="IWX39" s="595"/>
      <c r="IWY39" s="595"/>
      <c r="IWZ39" s="595"/>
      <c r="IXA39" s="595"/>
      <c r="IXB39" s="595"/>
      <c r="IXC39" s="595"/>
      <c r="IXD39" s="595"/>
      <c r="IXE39" s="595"/>
      <c r="IXF39" s="595"/>
      <c r="IXG39" s="595"/>
      <c r="IXH39" s="595"/>
      <c r="IXI39" s="595"/>
      <c r="IXJ39" s="595"/>
      <c r="IXK39" s="595"/>
      <c r="IXL39" s="595"/>
      <c r="IXM39" s="595"/>
      <c r="IXN39" s="595"/>
      <c r="IXO39" s="595"/>
      <c r="IXP39" s="595"/>
      <c r="IXQ39" s="595"/>
      <c r="IXR39" s="595"/>
      <c r="IXS39" s="595"/>
      <c r="IXT39" s="595"/>
      <c r="IXU39" s="595"/>
      <c r="IXV39" s="595"/>
      <c r="IXW39" s="595"/>
      <c r="IXX39" s="595"/>
      <c r="IXY39" s="595"/>
      <c r="IXZ39" s="595"/>
      <c r="IYA39" s="595"/>
      <c r="IYB39" s="595"/>
      <c r="IYC39" s="595"/>
      <c r="IYD39" s="595"/>
      <c r="IYE39" s="595"/>
      <c r="IYF39" s="595"/>
      <c r="IYG39" s="595"/>
      <c r="IYH39" s="595"/>
      <c r="IYI39" s="595"/>
      <c r="IYJ39" s="595"/>
      <c r="IYK39" s="595"/>
      <c r="IYL39" s="595"/>
      <c r="IYM39" s="595"/>
      <c r="IYN39" s="595"/>
      <c r="IYO39" s="595"/>
      <c r="IYP39" s="595"/>
      <c r="IYQ39" s="595"/>
      <c r="IYR39" s="595"/>
      <c r="IYS39" s="595"/>
      <c r="IYT39" s="595"/>
      <c r="IYU39" s="595"/>
      <c r="IYV39" s="595"/>
      <c r="IYW39" s="595"/>
      <c r="IYX39" s="595"/>
      <c r="IYY39" s="595"/>
      <c r="IYZ39" s="595"/>
      <c r="IZA39" s="595"/>
      <c r="IZB39" s="595"/>
      <c r="IZC39" s="595"/>
      <c r="IZD39" s="595"/>
      <c r="IZE39" s="595"/>
      <c r="IZF39" s="595"/>
      <c r="IZG39" s="595"/>
      <c r="IZH39" s="595"/>
      <c r="IZI39" s="595"/>
      <c r="IZJ39" s="595"/>
      <c r="IZK39" s="595"/>
      <c r="IZL39" s="595"/>
      <c r="IZM39" s="595"/>
      <c r="IZN39" s="595"/>
      <c r="IZO39" s="595"/>
      <c r="IZP39" s="595"/>
      <c r="IZQ39" s="595"/>
      <c r="IZR39" s="595"/>
      <c r="IZS39" s="595"/>
      <c r="IZT39" s="595"/>
      <c r="IZU39" s="595"/>
      <c r="IZV39" s="595"/>
      <c r="IZW39" s="595"/>
      <c r="IZX39" s="595"/>
      <c r="IZY39" s="595"/>
      <c r="IZZ39" s="595"/>
      <c r="JAA39" s="595"/>
      <c r="JAB39" s="595"/>
      <c r="JAC39" s="595"/>
      <c r="JAD39" s="595"/>
      <c r="JAE39" s="595"/>
      <c r="JAF39" s="595"/>
      <c r="JAG39" s="595"/>
      <c r="JAH39" s="595"/>
      <c r="JAI39" s="595"/>
      <c r="JAJ39" s="595"/>
      <c r="JAK39" s="595"/>
      <c r="JAL39" s="595"/>
      <c r="JAM39" s="595"/>
      <c r="JAN39" s="595"/>
      <c r="JAO39" s="595"/>
      <c r="JAP39" s="595"/>
      <c r="JAQ39" s="595"/>
      <c r="JAR39" s="595"/>
      <c r="JAS39" s="595"/>
      <c r="JAT39" s="595"/>
      <c r="JAU39" s="595"/>
      <c r="JAV39" s="595"/>
      <c r="JAW39" s="595"/>
      <c r="JAX39" s="595"/>
      <c r="JAY39" s="595"/>
      <c r="JAZ39" s="595"/>
      <c r="JBA39" s="595"/>
      <c r="JBB39" s="595"/>
      <c r="JBC39" s="595"/>
      <c r="JBD39" s="595"/>
      <c r="JBE39" s="595"/>
      <c r="JBF39" s="595"/>
      <c r="JBG39" s="595"/>
      <c r="JBH39" s="595"/>
      <c r="JBI39" s="595"/>
      <c r="JBJ39" s="595"/>
      <c r="JBK39" s="595"/>
      <c r="JBL39" s="595"/>
      <c r="JBM39" s="595"/>
      <c r="JBN39" s="595"/>
      <c r="JBO39" s="595"/>
      <c r="JBP39" s="595"/>
      <c r="JBQ39" s="595"/>
      <c r="JBR39" s="595"/>
      <c r="JBS39" s="595"/>
      <c r="JBT39" s="595"/>
      <c r="JBU39" s="595"/>
      <c r="JBV39" s="595"/>
      <c r="JBW39" s="595"/>
      <c r="JBX39" s="595"/>
      <c r="JBY39" s="595"/>
      <c r="JBZ39" s="595"/>
      <c r="JCA39" s="595"/>
      <c r="JCB39" s="595"/>
      <c r="JCC39" s="595"/>
      <c r="JCD39" s="595"/>
      <c r="JCE39" s="595"/>
      <c r="JCF39" s="595"/>
      <c r="JCG39" s="595"/>
      <c r="JCH39" s="595"/>
      <c r="JCI39" s="595"/>
      <c r="JCJ39" s="595"/>
      <c r="JCK39" s="595"/>
      <c r="JCL39" s="595"/>
      <c r="JCM39" s="595"/>
      <c r="JCN39" s="595"/>
      <c r="JCO39" s="595"/>
      <c r="JCP39" s="595"/>
      <c r="JCQ39" s="595"/>
      <c r="JCR39" s="595"/>
      <c r="JCS39" s="595"/>
      <c r="JCT39" s="595"/>
      <c r="JCU39" s="595"/>
      <c r="JCV39" s="595"/>
      <c r="JCW39" s="595"/>
      <c r="JCX39" s="595"/>
      <c r="JCY39" s="595"/>
      <c r="JCZ39" s="595"/>
      <c r="JDA39" s="595"/>
      <c r="JDB39" s="595"/>
      <c r="JDC39" s="595"/>
      <c r="JDD39" s="595"/>
      <c r="JDE39" s="595"/>
      <c r="JDF39" s="595"/>
      <c r="JDG39" s="595"/>
      <c r="JDH39" s="595"/>
      <c r="JDI39" s="595"/>
      <c r="JDJ39" s="595"/>
      <c r="JDK39" s="595"/>
      <c r="JDL39" s="595"/>
      <c r="JDM39" s="595"/>
      <c r="JDN39" s="595"/>
      <c r="JDO39" s="595"/>
      <c r="JDP39" s="595"/>
      <c r="JDQ39" s="595"/>
      <c r="JDR39" s="595"/>
      <c r="JDS39" s="595"/>
      <c r="JDT39" s="595"/>
      <c r="JDU39" s="595"/>
      <c r="JDV39" s="595"/>
      <c r="JDW39" s="595"/>
      <c r="JDX39" s="595"/>
      <c r="JDY39" s="595"/>
      <c r="JDZ39" s="595"/>
      <c r="JEA39" s="595"/>
      <c r="JEB39" s="595"/>
      <c r="JEC39" s="595"/>
      <c r="JED39" s="595"/>
      <c r="JEE39" s="595"/>
      <c r="JEF39" s="595"/>
      <c r="JEG39" s="595"/>
      <c r="JEH39" s="595"/>
      <c r="JEI39" s="595"/>
      <c r="JEJ39" s="595"/>
      <c r="JEK39" s="595"/>
      <c r="JEL39" s="595"/>
      <c r="JEM39" s="595"/>
      <c r="JEN39" s="595"/>
      <c r="JEO39" s="595"/>
      <c r="JEP39" s="595"/>
      <c r="JEQ39" s="595"/>
      <c r="JER39" s="595"/>
      <c r="JES39" s="595"/>
      <c r="JET39" s="595"/>
      <c r="JEU39" s="595"/>
      <c r="JEV39" s="595"/>
      <c r="JEW39" s="595"/>
      <c r="JEX39" s="595"/>
      <c r="JEY39" s="595"/>
      <c r="JEZ39" s="595"/>
      <c r="JFA39" s="595"/>
      <c r="JFB39" s="595"/>
      <c r="JFC39" s="595"/>
      <c r="JFD39" s="595"/>
      <c r="JFE39" s="595"/>
      <c r="JFF39" s="595"/>
      <c r="JFG39" s="595"/>
      <c r="JFH39" s="595"/>
      <c r="JFI39" s="595"/>
      <c r="JFJ39" s="595"/>
      <c r="JFK39" s="595"/>
      <c r="JFL39" s="595"/>
      <c r="JFM39" s="595"/>
      <c r="JFN39" s="595"/>
      <c r="JFO39" s="595"/>
      <c r="JFP39" s="595"/>
      <c r="JFQ39" s="595"/>
      <c r="JFR39" s="595"/>
      <c r="JFS39" s="595"/>
      <c r="JFT39" s="595"/>
      <c r="JFU39" s="595"/>
      <c r="JFV39" s="595"/>
      <c r="JFW39" s="595"/>
      <c r="JFX39" s="595"/>
      <c r="JFY39" s="595"/>
      <c r="JFZ39" s="595"/>
      <c r="JGA39" s="595"/>
      <c r="JGB39" s="595"/>
      <c r="JGC39" s="595"/>
      <c r="JGD39" s="595"/>
      <c r="JGE39" s="595"/>
      <c r="JGF39" s="595"/>
      <c r="JGG39" s="595"/>
      <c r="JGH39" s="595"/>
      <c r="JGI39" s="595"/>
      <c r="JGJ39" s="595"/>
      <c r="JGK39" s="595"/>
      <c r="JGL39" s="595"/>
      <c r="JGM39" s="595"/>
      <c r="JGN39" s="595"/>
      <c r="JGO39" s="595"/>
      <c r="JGP39" s="595"/>
      <c r="JGQ39" s="595"/>
      <c r="JGR39" s="595"/>
      <c r="JGS39" s="595"/>
      <c r="JGT39" s="595"/>
      <c r="JGU39" s="595"/>
      <c r="JGV39" s="595"/>
      <c r="JGW39" s="595"/>
      <c r="JGX39" s="595"/>
      <c r="JGY39" s="595"/>
      <c r="JGZ39" s="595"/>
      <c r="JHA39" s="595"/>
      <c r="JHB39" s="595"/>
      <c r="JHC39" s="595"/>
      <c r="JHD39" s="595"/>
      <c r="JHE39" s="595"/>
      <c r="JHF39" s="595"/>
      <c r="JHG39" s="595"/>
      <c r="JHH39" s="595"/>
      <c r="JHI39" s="595"/>
      <c r="JHJ39" s="595"/>
      <c r="JHK39" s="595"/>
      <c r="JHL39" s="595"/>
      <c r="JHM39" s="595"/>
      <c r="JHN39" s="595"/>
      <c r="JHO39" s="595"/>
      <c r="JHP39" s="595"/>
      <c r="JHQ39" s="595"/>
      <c r="JHR39" s="595"/>
      <c r="JHS39" s="595"/>
      <c r="JHT39" s="595"/>
      <c r="JHU39" s="595"/>
      <c r="JHV39" s="595"/>
      <c r="JHW39" s="595"/>
      <c r="JHX39" s="595"/>
      <c r="JHY39" s="595"/>
      <c r="JHZ39" s="595"/>
      <c r="JIA39" s="595"/>
      <c r="JIB39" s="595"/>
      <c r="JIC39" s="595"/>
      <c r="JID39" s="595"/>
      <c r="JIE39" s="595"/>
      <c r="JIF39" s="595"/>
      <c r="JIG39" s="595"/>
      <c r="JIH39" s="595"/>
      <c r="JII39" s="595"/>
      <c r="JIJ39" s="595"/>
      <c r="JIK39" s="595"/>
      <c r="JIL39" s="595"/>
      <c r="JIM39" s="595"/>
      <c r="JIN39" s="595"/>
      <c r="JIO39" s="595"/>
      <c r="JIP39" s="595"/>
      <c r="JIQ39" s="595"/>
      <c r="JIR39" s="595"/>
      <c r="JIS39" s="595"/>
      <c r="JIT39" s="595"/>
      <c r="JIU39" s="595"/>
      <c r="JIV39" s="595"/>
      <c r="JIW39" s="595"/>
      <c r="JIX39" s="595"/>
      <c r="JIY39" s="595"/>
      <c r="JIZ39" s="595"/>
      <c r="JJA39" s="595"/>
      <c r="JJB39" s="595"/>
      <c r="JJC39" s="595"/>
      <c r="JJD39" s="595"/>
      <c r="JJE39" s="595"/>
      <c r="JJF39" s="595"/>
      <c r="JJG39" s="595"/>
      <c r="JJH39" s="595"/>
      <c r="JJI39" s="595"/>
      <c r="JJJ39" s="595"/>
      <c r="JJK39" s="595"/>
      <c r="JJL39" s="595"/>
      <c r="JJM39" s="595"/>
      <c r="JJN39" s="595"/>
      <c r="JJO39" s="595"/>
      <c r="JJP39" s="595"/>
      <c r="JJQ39" s="595"/>
      <c r="JJR39" s="595"/>
      <c r="JJS39" s="595"/>
      <c r="JJT39" s="595"/>
      <c r="JJU39" s="595"/>
      <c r="JJV39" s="595"/>
      <c r="JJW39" s="595"/>
      <c r="JJX39" s="595"/>
      <c r="JJY39" s="595"/>
      <c r="JJZ39" s="595"/>
      <c r="JKA39" s="595"/>
      <c r="JKB39" s="595"/>
      <c r="JKC39" s="595"/>
      <c r="JKD39" s="595"/>
      <c r="JKE39" s="595"/>
      <c r="JKF39" s="595"/>
      <c r="JKG39" s="595"/>
      <c r="JKH39" s="595"/>
      <c r="JKI39" s="595"/>
      <c r="JKJ39" s="595"/>
      <c r="JKK39" s="595"/>
      <c r="JKL39" s="595"/>
      <c r="JKM39" s="595"/>
      <c r="JKN39" s="595"/>
      <c r="JKO39" s="595"/>
      <c r="JKP39" s="595"/>
      <c r="JKQ39" s="595"/>
      <c r="JKR39" s="595"/>
      <c r="JKS39" s="595"/>
      <c r="JKT39" s="595"/>
      <c r="JKU39" s="595"/>
      <c r="JKV39" s="595"/>
      <c r="JKW39" s="595"/>
      <c r="JKX39" s="595"/>
      <c r="JKY39" s="595"/>
      <c r="JKZ39" s="595"/>
      <c r="JLA39" s="595"/>
      <c r="JLB39" s="595"/>
      <c r="JLC39" s="595"/>
      <c r="JLD39" s="595"/>
      <c r="JLE39" s="595"/>
      <c r="JLF39" s="595"/>
      <c r="JLG39" s="595"/>
      <c r="JLH39" s="595"/>
      <c r="JLI39" s="595"/>
      <c r="JLJ39" s="595"/>
      <c r="JLK39" s="595"/>
      <c r="JLL39" s="595"/>
      <c r="JLM39" s="595"/>
      <c r="JLN39" s="595"/>
      <c r="JLO39" s="595"/>
      <c r="JLP39" s="595"/>
      <c r="JLQ39" s="595"/>
      <c r="JLR39" s="595"/>
      <c r="JLS39" s="595"/>
      <c r="JLT39" s="595"/>
      <c r="JLU39" s="595"/>
      <c r="JLV39" s="595"/>
      <c r="JLW39" s="595"/>
      <c r="JLX39" s="595"/>
      <c r="JLY39" s="595"/>
      <c r="JLZ39" s="595"/>
      <c r="JMA39" s="595"/>
      <c r="JMB39" s="595"/>
      <c r="JMC39" s="595"/>
      <c r="JMD39" s="595"/>
      <c r="JME39" s="595"/>
      <c r="JMF39" s="595"/>
      <c r="JMG39" s="595"/>
      <c r="JMH39" s="595"/>
      <c r="JMI39" s="595"/>
      <c r="JMJ39" s="595"/>
      <c r="JMK39" s="595"/>
      <c r="JML39" s="595"/>
      <c r="JMM39" s="595"/>
      <c r="JMN39" s="595"/>
      <c r="JMO39" s="595"/>
      <c r="JMP39" s="595"/>
      <c r="JMQ39" s="595"/>
      <c r="JMR39" s="595"/>
      <c r="JMS39" s="595"/>
      <c r="JMT39" s="595"/>
      <c r="JMU39" s="595"/>
      <c r="JMV39" s="595"/>
      <c r="JMW39" s="595"/>
      <c r="JMX39" s="595"/>
      <c r="JMY39" s="595"/>
      <c r="JMZ39" s="595"/>
      <c r="JNA39" s="595"/>
      <c r="JNB39" s="595"/>
      <c r="JNC39" s="595"/>
      <c r="JND39" s="595"/>
      <c r="JNE39" s="595"/>
      <c r="JNF39" s="595"/>
      <c r="JNG39" s="595"/>
      <c r="JNH39" s="595"/>
      <c r="JNI39" s="595"/>
      <c r="JNJ39" s="595"/>
      <c r="JNK39" s="595"/>
      <c r="JNL39" s="595"/>
      <c r="JNM39" s="595"/>
      <c r="JNN39" s="595"/>
      <c r="JNO39" s="595"/>
      <c r="JNP39" s="595"/>
      <c r="JNQ39" s="595"/>
      <c r="JNR39" s="595"/>
      <c r="JNS39" s="595"/>
      <c r="JNT39" s="595"/>
      <c r="JNU39" s="595"/>
      <c r="JNV39" s="595"/>
      <c r="JNW39" s="595"/>
      <c r="JNX39" s="595"/>
      <c r="JNY39" s="595"/>
      <c r="JNZ39" s="595"/>
      <c r="JOA39" s="595"/>
      <c r="JOB39" s="595"/>
      <c r="JOC39" s="595"/>
      <c r="JOD39" s="595"/>
      <c r="JOE39" s="595"/>
      <c r="JOF39" s="595"/>
      <c r="JOG39" s="595"/>
      <c r="JOH39" s="595"/>
      <c r="JOI39" s="595"/>
      <c r="JOJ39" s="595"/>
      <c r="JOK39" s="595"/>
      <c r="JOL39" s="595"/>
      <c r="JOM39" s="595"/>
      <c r="JON39" s="595"/>
      <c r="JOO39" s="595"/>
      <c r="JOP39" s="595"/>
      <c r="JOQ39" s="595"/>
      <c r="JOR39" s="595"/>
      <c r="JOS39" s="595"/>
      <c r="JOT39" s="595"/>
      <c r="JOU39" s="595"/>
      <c r="JOV39" s="595"/>
      <c r="JOW39" s="595"/>
      <c r="JOX39" s="595"/>
      <c r="JOY39" s="595"/>
      <c r="JOZ39" s="595"/>
      <c r="JPA39" s="595"/>
      <c r="JPB39" s="595"/>
      <c r="JPC39" s="595"/>
      <c r="JPD39" s="595"/>
      <c r="JPE39" s="595"/>
      <c r="JPF39" s="595"/>
      <c r="JPG39" s="595"/>
      <c r="JPH39" s="595"/>
      <c r="JPI39" s="595"/>
      <c r="JPJ39" s="595"/>
      <c r="JPK39" s="595"/>
      <c r="JPL39" s="595"/>
      <c r="JPM39" s="595"/>
      <c r="JPN39" s="595"/>
      <c r="JPO39" s="595"/>
      <c r="JPP39" s="595"/>
      <c r="JPQ39" s="595"/>
      <c r="JPR39" s="595"/>
      <c r="JPS39" s="595"/>
      <c r="JPT39" s="595"/>
      <c r="JPU39" s="595"/>
      <c r="JPV39" s="595"/>
      <c r="JPW39" s="595"/>
      <c r="JPX39" s="595"/>
      <c r="JPY39" s="595"/>
      <c r="JPZ39" s="595"/>
      <c r="JQA39" s="595"/>
      <c r="JQB39" s="595"/>
      <c r="JQC39" s="595"/>
      <c r="JQD39" s="595"/>
      <c r="JQE39" s="595"/>
      <c r="JQF39" s="595"/>
      <c r="JQG39" s="595"/>
      <c r="JQH39" s="595"/>
      <c r="JQI39" s="595"/>
      <c r="JQJ39" s="595"/>
      <c r="JQK39" s="595"/>
      <c r="JQL39" s="595"/>
      <c r="JQM39" s="595"/>
      <c r="JQN39" s="595"/>
      <c r="JQO39" s="595"/>
      <c r="JQP39" s="595"/>
      <c r="JQQ39" s="595"/>
      <c r="JQR39" s="595"/>
      <c r="JQS39" s="595"/>
      <c r="JQT39" s="595"/>
      <c r="JQU39" s="595"/>
      <c r="JQV39" s="595"/>
      <c r="JQW39" s="595"/>
      <c r="JQX39" s="595"/>
      <c r="JQY39" s="595"/>
      <c r="JQZ39" s="595"/>
      <c r="JRA39" s="595"/>
      <c r="JRB39" s="595"/>
      <c r="JRC39" s="595"/>
      <c r="JRD39" s="595"/>
      <c r="JRE39" s="595"/>
      <c r="JRF39" s="595"/>
      <c r="JRG39" s="595"/>
      <c r="JRH39" s="595"/>
      <c r="JRI39" s="595"/>
      <c r="JRJ39" s="595"/>
      <c r="JRK39" s="595"/>
      <c r="JRL39" s="595"/>
      <c r="JRM39" s="595"/>
      <c r="JRN39" s="595"/>
      <c r="JRO39" s="595"/>
      <c r="JRP39" s="595"/>
      <c r="JRQ39" s="595"/>
      <c r="JRR39" s="595"/>
      <c r="JRS39" s="595"/>
      <c r="JRT39" s="595"/>
      <c r="JRU39" s="595"/>
      <c r="JRV39" s="595"/>
      <c r="JRW39" s="595"/>
      <c r="JRX39" s="595"/>
      <c r="JRY39" s="595"/>
      <c r="JRZ39" s="595"/>
      <c r="JSA39" s="595"/>
      <c r="JSB39" s="595"/>
      <c r="JSC39" s="595"/>
      <c r="JSD39" s="595"/>
      <c r="JSE39" s="595"/>
      <c r="JSF39" s="595"/>
      <c r="JSG39" s="595"/>
      <c r="JSH39" s="595"/>
      <c r="JSI39" s="595"/>
      <c r="JSJ39" s="595"/>
      <c r="JSK39" s="595"/>
      <c r="JSL39" s="595"/>
      <c r="JSM39" s="595"/>
      <c r="JSN39" s="595"/>
      <c r="JSO39" s="595"/>
      <c r="JSP39" s="595"/>
      <c r="JSQ39" s="595"/>
      <c r="JSR39" s="595"/>
      <c r="JSS39" s="595"/>
      <c r="JST39" s="595"/>
      <c r="JSU39" s="595"/>
      <c r="JSV39" s="595"/>
      <c r="JSW39" s="595"/>
      <c r="JSX39" s="595"/>
      <c r="JSY39" s="595"/>
      <c r="JSZ39" s="595"/>
      <c r="JTA39" s="595"/>
      <c r="JTB39" s="595"/>
      <c r="JTC39" s="595"/>
      <c r="JTD39" s="595"/>
      <c r="JTE39" s="595"/>
      <c r="JTF39" s="595"/>
      <c r="JTG39" s="595"/>
      <c r="JTH39" s="595"/>
      <c r="JTI39" s="595"/>
      <c r="JTJ39" s="595"/>
      <c r="JTK39" s="595"/>
      <c r="JTL39" s="595"/>
      <c r="JTM39" s="595"/>
      <c r="JTN39" s="595"/>
      <c r="JTO39" s="595"/>
      <c r="JTP39" s="595"/>
      <c r="JTQ39" s="595"/>
      <c r="JTR39" s="595"/>
      <c r="JTS39" s="595"/>
      <c r="JTT39" s="595"/>
      <c r="JTU39" s="595"/>
      <c r="JTV39" s="595"/>
      <c r="JTW39" s="595"/>
      <c r="JTX39" s="595"/>
      <c r="JTY39" s="595"/>
      <c r="JTZ39" s="595"/>
      <c r="JUA39" s="595"/>
      <c r="JUB39" s="595"/>
      <c r="JUC39" s="595"/>
      <c r="JUD39" s="595"/>
      <c r="JUE39" s="595"/>
      <c r="JUF39" s="595"/>
      <c r="JUG39" s="595"/>
      <c r="JUH39" s="595"/>
      <c r="JUI39" s="595"/>
      <c r="JUJ39" s="595"/>
      <c r="JUK39" s="595"/>
      <c r="JUL39" s="595"/>
      <c r="JUM39" s="595"/>
      <c r="JUN39" s="595"/>
      <c r="JUO39" s="595"/>
      <c r="JUP39" s="595"/>
      <c r="JUQ39" s="595"/>
      <c r="JUR39" s="595"/>
      <c r="JUS39" s="595"/>
      <c r="JUT39" s="595"/>
      <c r="JUU39" s="595"/>
      <c r="JUV39" s="595"/>
      <c r="JUW39" s="595"/>
      <c r="JUX39" s="595"/>
      <c r="JUY39" s="595"/>
      <c r="JUZ39" s="595"/>
      <c r="JVA39" s="595"/>
      <c r="JVB39" s="595"/>
      <c r="JVC39" s="595"/>
      <c r="JVD39" s="595"/>
      <c r="JVE39" s="595"/>
      <c r="JVF39" s="595"/>
      <c r="JVG39" s="595"/>
      <c r="JVH39" s="595"/>
      <c r="JVI39" s="595"/>
      <c r="JVJ39" s="595"/>
      <c r="JVK39" s="595"/>
      <c r="JVL39" s="595"/>
      <c r="JVM39" s="595"/>
      <c r="JVN39" s="595"/>
      <c r="JVO39" s="595"/>
      <c r="JVP39" s="595"/>
      <c r="JVQ39" s="595"/>
      <c r="JVR39" s="595"/>
      <c r="JVS39" s="595"/>
      <c r="JVT39" s="595"/>
      <c r="JVU39" s="595"/>
      <c r="JVV39" s="595"/>
      <c r="JVW39" s="595"/>
      <c r="JVX39" s="595"/>
      <c r="JVY39" s="595"/>
      <c r="JVZ39" s="595"/>
      <c r="JWA39" s="595"/>
      <c r="JWB39" s="595"/>
      <c r="JWC39" s="595"/>
      <c r="JWD39" s="595"/>
      <c r="JWE39" s="595"/>
      <c r="JWF39" s="595"/>
      <c r="JWG39" s="595"/>
      <c r="JWH39" s="595"/>
      <c r="JWI39" s="595"/>
      <c r="JWJ39" s="595"/>
      <c r="JWK39" s="595"/>
      <c r="JWL39" s="595"/>
      <c r="JWM39" s="595"/>
      <c r="JWN39" s="595"/>
      <c r="JWO39" s="595"/>
      <c r="JWP39" s="595"/>
      <c r="JWQ39" s="595"/>
      <c r="JWR39" s="595"/>
      <c r="JWS39" s="595"/>
      <c r="JWT39" s="595"/>
      <c r="JWU39" s="595"/>
      <c r="JWV39" s="595"/>
      <c r="JWW39" s="595"/>
      <c r="JWX39" s="595"/>
      <c r="JWY39" s="595"/>
      <c r="JWZ39" s="595"/>
      <c r="JXA39" s="595"/>
      <c r="JXB39" s="595"/>
      <c r="JXC39" s="595"/>
      <c r="JXD39" s="595"/>
      <c r="JXE39" s="595"/>
      <c r="JXF39" s="595"/>
      <c r="JXG39" s="595"/>
      <c r="JXH39" s="595"/>
      <c r="JXI39" s="595"/>
      <c r="JXJ39" s="595"/>
      <c r="JXK39" s="595"/>
      <c r="JXL39" s="595"/>
      <c r="JXM39" s="595"/>
      <c r="JXN39" s="595"/>
      <c r="JXO39" s="595"/>
      <c r="JXP39" s="595"/>
      <c r="JXQ39" s="595"/>
      <c r="JXR39" s="595"/>
      <c r="JXS39" s="595"/>
      <c r="JXT39" s="595"/>
      <c r="JXU39" s="595"/>
      <c r="JXV39" s="595"/>
      <c r="JXW39" s="595"/>
      <c r="JXX39" s="595"/>
      <c r="JXY39" s="595"/>
      <c r="JXZ39" s="595"/>
      <c r="JYA39" s="595"/>
      <c r="JYB39" s="595"/>
      <c r="JYC39" s="595"/>
      <c r="JYD39" s="595"/>
      <c r="JYE39" s="595"/>
      <c r="JYF39" s="595"/>
      <c r="JYG39" s="595"/>
      <c r="JYH39" s="595"/>
      <c r="JYI39" s="595"/>
      <c r="JYJ39" s="595"/>
      <c r="JYK39" s="595"/>
      <c r="JYL39" s="595"/>
      <c r="JYM39" s="595"/>
      <c r="JYN39" s="595"/>
      <c r="JYO39" s="595"/>
      <c r="JYP39" s="595"/>
      <c r="JYQ39" s="595"/>
      <c r="JYR39" s="595"/>
      <c r="JYS39" s="595"/>
      <c r="JYT39" s="595"/>
      <c r="JYU39" s="595"/>
      <c r="JYV39" s="595"/>
      <c r="JYW39" s="595"/>
      <c r="JYX39" s="595"/>
      <c r="JYY39" s="595"/>
      <c r="JYZ39" s="595"/>
      <c r="JZA39" s="595"/>
      <c r="JZB39" s="595"/>
      <c r="JZC39" s="595"/>
      <c r="JZD39" s="595"/>
      <c r="JZE39" s="595"/>
      <c r="JZF39" s="595"/>
      <c r="JZG39" s="595"/>
      <c r="JZH39" s="595"/>
      <c r="JZI39" s="595"/>
      <c r="JZJ39" s="595"/>
      <c r="JZK39" s="595"/>
      <c r="JZL39" s="595"/>
      <c r="JZM39" s="595"/>
      <c r="JZN39" s="595"/>
      <c r="JZO39" s="595"/>
      <c r="JZP39" s="595"/>
      <c r="JZQ39" s="595"/>
      <c r="JZR39" s="595"/>
      <c r="JZS39" s="595"/>
      <c r="JZT39" s="595"/>
      <c r="JZU39" s="595"/>
      <c r="JZV39" s="595"/>
      <c r="JZW39" s="595"/>
      <c r="JZX39" s="595"/>
      <c r="JZY39" s="595"/>
      <c r="JZZ39" s="595"/>
      <c r="KAA39" s="595"/>
      <c r="KAB39" s="595"/>
      <c r="KAC39" s="595"/>
      <c r="KAD39" s="595"/>
      <c r="KAE39" s="595"/>
      <c r="KAF39" s="595"/>
      <c r="KAG39" s="595"/>
      <c r="KAH39" s="595"/>
      <c r="KAI39" s="595"/>
      <c r="KAJ39" s="595"/>
      <c r="KAK39" s="595"/>
      <c r="KAL39" s="595"/>
      <c r="KAM39" s="595"/>
      <c r="KAN39" s="595"/>
      <c r="KAO39" s="595"/>
      <c r="KAP39" s="595"/>
      <c r="KAQ39" s="595"/>
      <c r="KAR39" s="595"/>
      <c r="KAS39" s="595"/>
      <c r="KAT39" s="595"/>
      <c r="KAU39" s="595"/>
      <c r="KAV39" s="595"/>
      <c r="KAW39" s="595"/>
      <c r="KAX39" s="595"/>
      <c r="KAY39" s="595"/>
      <c r="KAZ39" s="595"/>
      <c r="KBA39" s="595"/>
      <c r="KBB39" s="595"/>
      <c r="KBC39" s="595"/>
      <c r="KBD39" s="595"/>
      <c r="KBE39" s="595"/>
      <c r="KBF39" s="595"/>
      <c r="KBG39" s="595"/>
      <c r="KBH39" s="595"/>
      <c r="KBI39" s="595"/>
      <c r="KBJ39" s="595"/>
      <c r="KBK39" s="595"/>
      <c r="KBL39" s="595"/>
      <c r="KBM39" s="595"/>
      <c r="KBN39" s="595"/>
      <c r="KBO39" s="595"/>
      <c r="KBP39" s="595"/>
      <c r="KBQ39" s="595"/>
      <c r="KBR39" s="595"/>
      <c r="KBS39" s="595"/>
      <c r="KBT39" s="595"/>
      <c r="KBU39" s="595"/>
      <c r="KBV39" s="595"/>
      <c r="KBW39" s="595"/>
      <c r="KBX39" s="595"/>
      <c r="KBY39" s="595"/>
      <c r="KBZ39" s="595"/>
      <c r="KCA39" s="595"/>
      <c r="KCB39" s="595"/>
      <c r="KCC39" s="595"/>
      <c r="KCD39" s="595"/>
      <c r="KCE39" s="595"/>
      <c r="KCF39" s="595"/>
      <c r="KCG39" s="595"/>
      <c r="KCH39" s="595"/>
      <c r="KCI39" s="595"/>
      <c r="KCJ39" s="595"/>
      <c r="KCK39" s="595"/>
      <c r="KCL39" s="595"/>
      <c r="KCM39" s="595"/>
      <c r="KCN39" s="595"/>
      <c r="KCO39" s="595"/>
      <c r="KCP39" s="595"/>
      <c r="KCQ39" s="595"/>
      <c r="KCR39" s="595"/>
      <c r="KCS39" s="595"/>
      <c r="KCT39" s="595"/>
      <c r="KCU39" s="595"/>
      <c r="KCV39" s="595"/>
      <c r="KCW39" s="595"/>
      <c r="KCX39" s="595"/>
      <c r="KCY39" s="595"/>
      <c r="KCZ39" s="595"/>
      <c r="KDA39" s="595"/>
      <c r="KDB39" s="595"/>
      <c r="KDC39" s="595"/>
      <c r="KDD39" s="595"/>
      <c r="KDE39" s="595"/>
      <c r="KDF39" s="595"/>
      <c r="KDG39" s="595"/>
      <c r="KDH39" s="595"/>
      <c r="KDI39" s="595"/>
      <c r="KDJ39" s="595"/>
      <c r="KDK39" s="595"/>
      <c r="KDL39" s="595"/>
      <c r="KDM39" s="595"/>
      <c r="KDN39" s="595"/>
      <c r="KDO39" s="595"/>
      <c r="KDP39" s="595"/>
      <c r="KDQ39" s="595"/>
      <c r="KDR39" s="595"/>
      <c r="KDS39" s="595"/>
      <c r="KDT39" s="595"/>
      <c r="KDU39" s="595"/>
      <c r="KDV39" s="595"/>
      <c r="KDW39" s="595"/>
      <c r="KDX39" s="595"/>
      <c r="KDY39" s="595"/>
      <c r="KDZ39" s="595"/>
      <c r="KEA39" s="595"/>
      <c r="KEB39" s="595"/>
      <c r="KEC39" s="595"/>
      <c r="KED39" s="595"/>
      <c r="KEE39" s="595"/>
      <c r="KEF39" s="595"/>
      <c r="KEG39" s="595"/>
      <c r="KEH39" s="595"/>
      <c r="KEI39" s="595"/>
      <c r="KEJ39" s="595"/>
      <c r="KEK39" s="595"/>
      <c r="KEL39" s="595"/>
      <c r="KEM39" s="595"/>
      <c r="KEN39" s="595"/>
      <c r="KEO39" s="595"/>
      <c r="KEP39" s="595"/>
      <c r="KEQ39" s="595"/>
      <c r="KER39" s="595"/>
      <c r="KES39" s="595"/>
      <c r="KET39" s="595"/>
      <c r="KEU39" s="595"/>
      <c r="KEV39" s="595"/>
      <c r="KEW39" s="595"/>
      <c r="KEX39" s="595"/>
      <c r="KEY39" s="595"/>
      <c r="KEZ39" s="595"/>
      <c r="KFA39" s="595"/>
      <c r="KFB39" s="595"/>
      <c r="KFC39" s="595"/>
      <c r="KFD39" s="595"/>
      <c r="KFE39" s="595"/>
      <c r="KFF39" s="595"/>
      <c r="KFG39" s="595"/>
      <c r="KFH39" s="595"/>
      <c r="KFI39" s="595"/>
      <c r="KFJ39" s="595"/>
      <c r="KFK39" s="595"/>
      <c r="KFL39" s="595"/>
      <c r="KFM39" s="595"/>
      <c r="KFN39" s="595"/>
      <c r="KFO39" s="595"/>
      <c r="KFP39" s="595"/>
      <c r="KFQ39" s="595"/>
      <c r="KFR39" s="595"/>
      <c r="KFS39" s="595"/>
      <c r="KFT39" s="595"/>
      <c r="KFU39" s="595"/>
      <c r="KFV39" s="595"/>
      <c r="KFW39" s="595"/>
      <c r="KFX39" s="595"/>
      <c r="KFY39" s="595"/>
      <c r="KFZ39" s="595"/>
      <c r="KGA39" s="595"/>
      <c r="KGB39" s="595"/>
      <c r="KGC39" s="595"/>
      <c r="KGD39" s="595"/>
      <c r="KGE39" s="595"/>
      <c r="KGF39" s="595"/>
      <c r="KGG39" s="595"/>
      <c r="KGH39" s="595"/>
      <c r="KGI39" s="595"/>
      <c r="KGJ39" s="595"/>
      <c r="KGK39" s="595"/>
      <c r="KGL39" s="595"/>
      <c r="KGM39" s="595"/>
      <c r="KGN39" s="595"/>
      <c r="KGO39" s="595"/>
      <c r="KGP39" s="595"/>
      <c r="KGQ39" s="595"/>
      <c r="KGR39" s="595"/>
      <c r="KGS39" s="595"/>
      <c r="KGT39" s="595"/>
      <c r="KGU39" s="595"/>
      <c r="KGV39" s="595"/>
      <c r="KGW39" s="595"/>
      <c r="KGX39" s="595"/>
      <c r="KGY39" s="595"/>
      <c r="KGZ39" s="595"/>
      <c r="KHA39" s="595"/>
      <c r="KHB39" s="595"/>
      <c r="KHC39" s="595"/>
      <c r="KHD39" s="595"/>
      <c r="KHE39" s="595"/>
      <c r="KHF39" s="595"/>
      <c r="KHG39" s="595"/>
      <c r="KHH39" s="595"/>
      <c r="KHI39" s="595"/>
      <c r="KHJ39" s="595"/>
      <c r="KHK39" s="595"/>
      <c r="KHL39" s="595"/>
      <c r="KHM39" s="595"/>
      <c r="KHN39" s="595"/>
      <c r="KHO39" s="595"/>
      <c r="KHP39" s="595"/>
      <c r="KHQ39" s="595"/>
      <c r="KHR39" s="595"/>
      <c r="KHS39" s="595"/>
      <c r="KHT39" s="595"/>
      <c r="KHU39" s="595"/>
      <c r="KHV39" s="595"/>
      <c r="KHW39" s="595"/>
      <c r="KHX39" s="595"/>
      <c r="KHY39" s="595"/>
      <c r="KHZ39" s="595"/>
      <c r="KIA39" s="595"/>
      <c r="KIB39" s="595"/>
      <c r="KIC39" s="595"/>
      <c r="KID39" s="595"/>
      <c r="KIE39" s="595"/>
      <c r="KIF39" s="595"/>
      <c r="KIG39" s="595"/>
      <c r="KIH39" s="595"/>
      <c r="KII39" s="595"/>
      <c r="KIJ39" s="595"/>
      <c r="KIK39" s="595"/>
      <c r="KIL39" s="595"/>
      <c r="KIM39" s="595"/>
      <c r="KIN39" s="595"/>
      <c r="KIO39" s="595"/>
      <c r="KIP39" s="595"/>
      <c r="KIQ39" s="595"/>
      <c r="KIR39" s="595"/>
      <c r="KIS39" s="595"/>
      <c r="KIT39" s="595"/>
      <c r="KIU39" s="595"/>
      <c r="KIV39" s="595"/>
      <c r="KIW39" s="595"/>
      <c r="KIX39" s="595"/>
      <c r="KIY39" s="595"/>
      <c r="KIZ39" s="595"/>
      <c r="KJA39" s="595"/>
      <c r="KJB39" s="595"/>
      <c r="KJC39" s="595"/>
      <c r="KJD39" s="595"/>
      <c r="KJE39" s="595"/>
      <c r="KJF39" s="595"/>
      <c r="KJG39" s="595"/>
      <c r="KJH39" s="595"/>
      <c r="KJI39" s="595"/>
      <c r="KJJ39" s="595"/>
      <c r="KJK39" s="595"/>
      <c r="KJL39" s="595"/>
      <c r="KJM39" s="595"/>
      <c r="KJN39" s="595"/>
      <c r="KJO39" s="595"/>
      <c r="KJP39" s="595"/>
      <c r="KJQ39" s="595"/>
      <c r="KJR39" s="595"/>
      <c r="KJS39" s="595"/>
      <c r="KJT39" s="595"/>
      <c r="KJU39" s="595"/>
      <c r="KJV39" s="595"/>
      <c r="KJW39" s="595"/>
      <c r="KJX39" s="595"/>
      <c r="KJY39" s="595"/>
      <c r="KJZ39" s="595"/>
      <c r="KKA39" s="595"/>
      <c r="KKB39" s="595"/>
      <c r="KKC39" s="595"/>
      <c r="KKD39" s="595"/>
      <c r="KKE39" s="595"/>
      <c r="KKF39" s="595"/>
      <c r="KKG39" s="595"/>
      <c r="KKH39" s="595"/>
      <c r="KKI39" s="595"/>
      <c r="KKJ39" s="595"/>
      <c r="KKK39" s="595"/>
      <c r="KKL39" s="595"/>
      <c r="KKM39" s="595"/>
      <c r="KKN39" s="595"/>
      <c r="KKO39" s="595"/>
      <c r="KKP39" s="595"/>
      <c r="KKQ39" s="595"/>
      <c r="KKR39" s="595"/>
      <c r="KKS39" s="595"/>
      <c r="KKT39" s="595"/>
      <c r="KKU39" s="595"/>
      <c r="KKV39" s="595"/>
      <c r="KKW39" s="595"/>
      <c r="KKX39" s="595"/>
      <c r="KKY39" s="595"/>
      <c r="KKZ39" s="595"/>
      <c r="KLA39" s="595"/>
      <c r="KLB39" s="595"/>
      <c r="KLC39" s="595"/>
      <c r="KLD39" s="595"/>
      <c r="KLE39" s="595"/>
      <c r="KLF39" s="595"/>
      <c r="KLG39" s="595"/>
      <c r="KLH39" s="595"/>
      <c r="KLI39" s="595"/>
      <c r="KLJ39" s="595"/>
      <c r="KLK39" s="595"/>
      <c r="KLL39" s="595"/>
      <c r="KLM39" s="595"/>
      <c r="KLN39" s="595"/>
      <c r="KLO39" s="595"/>
      <c r="KLP39" s="595"/>
      <c r="KLQ39" s="595"/>
      <c r="KLR39" s="595"/>
      <c r="KLS39" s="595"/>
      <c r="KLT39" s="595"/>
      <c r="KLU39" s="595"/>
      <c r="KLV39" s="595"/>
      <c r="KLW39" s="595"/>
      <c r="KLX39" s="595"/>
      <c r="KLY39" s="595"/>
      <c r="KLZ39" s="595"/>
      <c r="KMA39" s="595"/>
      <c r="KMB39" s="595"/>
      <c r="KMC39" s="595"/>
      <c r="KMD39" s="595"/>
      <c r="KME39" s="595"/>
      <c r="KMF39" s="595"/>
      <c r="KMG39" s="595"/>
      <c r="KMH39" s="595"/>
      <c r="KMI39" s="595"/>
      <c r="KMJ39" s="595"/>
      <c r="KMK39" s="595"/>
      <c r="KML39" s="595"/>
      <c r="KMM39" s="595"/>
      <c r="KMN39" s="595"/>
      <c r="KMO39" s="595"/>
      <c r="KMP39" s="595"/>
      <c r="KMQ39" s="595"/>
      <c r="KMR39" s="595"/>
      <c r="KMS39" s="595"/>
      <c r="KMT39" s="595"/>
      <c r="KMU39" s="595"/>
      <c r="KMV39" s="595"/>
      <c r="KMW39" s="595"/>
      <c r="KMX39" s="595"/>
      <c r="KMY39" s="595"/>
      <c r="KMZ39" s="595"/>
      <c r="KNA39" s="595"/>
      <c r="KNB39" s="595"/>
      <c r="KNC39" s="595"/>
      <c r="KND39" s="595"/>
      <c r="KNE39" s="595"/>
      <c r="KNF39" s="595"/>
      <c r="KNG39" s="595"/>
      <c r="KNH39" s="595"/>
      <c r="KNI39" s="595"/>
      <c r="KNJ39" s="595"/>
      <c r="KNK39" s="595"/>
      <c r="KNL39" s="595"/>
      <c r="KNM39" s="595"/>
      <c r="KNN39" s="595"/>
      <c r="KNO39" s="595"/>
      <c r="KNP39" s="595"/>
      <c r="KNQ39" s="595"/>
      <c r="KNR39" s="595"/>
      <c r="KNS39" s="595"/>
      <c r="KNT39" s="595"/>
      <c r="KNU39" s="595"/>
      <c r="KNV39" s="595"/>
      <c r="KNW39" s="595"/>
      <c r="KNX39" s="595"/>
      <c r="KNY39" s="595"/>
      <c r="KNZ39" s="595"/>
      <c r="KOA39" s="595"/>
      <c r="KOB39" s="595"/>
      <c r="KOC39" s="595"/>
      <c r="KOD39" s="595"/>
      <c r="KOE39" s="595"/>
      <c r="KOF39" s="595"/>
      <c r="KOG39" s="595"/>
      <c r="KOH39" s="595"/>
      <c r="KOI39" s="595"/>
      <c r="KOJ39" s="595"/>
      <c r="KOK39" s="595"/>
      <c r="KOL39" s="595"/>
      <c r="KOM39" s="595"/>
      <c r="KON39" s="595"/>
      <c r="KOO39" s="595"/>
      <c r="KOP39" s="595"/>
      <c r="KOQ39" s="595"/>
      <c r="KOR39" s="595"/>
      <c r="KOS39" s="595"/>
      <c r="KOT39" s="595"/>
      <c r="KOU39" s="595"/>
      <c r="KOV39" s="595"/>
      <c r="KOW39" s="595"/>
      <c r="KOX39" s="595"/>
      <c r="KOY39" s="595"/>
      <c r="KOZ39" s="595"/>
      <c r="KPA39" s="595"/>
      <c r="KPB39" s="595"/>
      <c r="KPC39" s="595"/>
      <c r="KPD39" s="595"/>
      <c r="KPE39" s="595"/>
      <c r="KPF39" s="595"/>
      <c r="KPG39" s="595"/>
      <c r="KPH39" s="595"/>
      <c r="KPI39" s="595"/>
      <c r="KPJ39" s="595"/>
      <c r="KPK39" s="595"/>
      <c r="KPL39" s="595"/>
      <c r="KPM39" s="595"/>
      <c r="KPN39" s="595"/>
      <c r="KPO39" s="595"/>
      <c r="KPP39" s="595"/>
      <c r="KPQ39" s="595"/>
      <c r="KPR39" s="595"/>
      <c r="KPS39" s="595"/>
      <c r="KPT39" s="595"/>
      <c r="KPU39" s="595"/>
      <c r="KPV39" s="595"/>
      <c r="KPW39" s="595"/>
      <c r="KPX39" s="595"/>
      <c r="KPY39" s="595"/>
      <c r="KPZ39" s="595"/>
      <c r="KQA39" s="595"/>
      <c r="KQB39" s="595"/>
      <c r="KQC39" s="595"/>
      <c r="KQD39" s="595"/>
      <c r="KQE39" s="595"/>
      <c r="KQF39" s="595"/>
      <c r="KQG39" s="595"/>
      <c r="KQH39" s="595"/>
      <c r="KQI39" s="595"/>
      <c r="KQJ39" s="595"/>
      <c r="KQK39" s="595"/>
      <c r="KQL39" s="595"/>
      <c r="KQM39" s="595"/>
      <c r="KQN39" s="595"/>
      <c r="KQO39" s="595"/>
      <c r="KQP39" s="595"/>
      <c r="KQQ39" s="595"/>
      <c r="KQR39" s="595"/>
      <c r="KQS39" s="595"/>
      <c r="KQT39" s="595"/>
      <c r="KQU39" s="595"/>
      <c r="KQV39" s="595"/>
      <c r="KQW39" s="595"/>
      <c r="KQX39" s="595"/>
      <c r="KQY39" s="595"/>
      <c r="KQZ39" s="595"/>
      <c r="KRA39" s="595"/>
      <c r="KRB39" s="595"/>
      <c r="KRC39" s="595"/>
      <c r="KRD39" s="595"/>
      <c r="KRE39" s="595"/>
      <c r="KRF39" s="595"/>
      <c r="KRG39" s="595"/>
      <c r="KRH39" s="595"/>
      <c r="KRI39" s="595"/>
      <c r="KRJ39" s="595"/>
      <c r="KRK39" s="595"/>
      <c r="KRL39" s="595"/>
      <c r="KRM39" s="595"/>
      <c r="KRN39" s="595"/>
      <c r="KRO39" s="595"/>
      <c r="KRP39" s="595"/>
      <c r="KRQ39" s="595"/>
      <c r="KRR39" s="595"/>
      <c r="KRS39" s="595"/>
      <c r="KRT39" s="595"/>
      <c r="KRU39" s="595"/>
      <c r="KRV39" s="595"/>
      <c r="KRW39" s="595"/>
      <c r="KRX39" s="595"/>
      <c r="KRY39" s="595"/>
      <c r="KRZ39" s="595"/>
      <c r="KSA39" s="595"/>
      <c r="KSB39" s="595"/>
      <c r="KSC39" s="595"/>
      <c r="KSD39" s="595"/>
      <c r="KSE39" s="595"/>
      <c r="KSF39" s="595"/>
      <c r="KSG39" s="595"/>
      <c r="KSH39" s="595"/>
      <c r="KSI39" s="595"/>
      <c r="KSJ39" s="595"/>
      <c r="KSK39" s="595"/>
      <c r="KSL39" s="595"/>
      <c r="KSM39" s="595"/>
      <c r="KSN39" s="595"/>
      <c r="KSO39" s="595"/>
      <c r="KSP39" s="595"/>
      <c r="KSQ39" s="595"/>
      <c r="KSR39" s="595"/>
      <c r="KSS39" s="595"/>
      <c r="KST39" s="595"/>
      <c r="KSU39" s="595"/>
      <c r="KSV39" s="595"/>
      <c r="KSW39" s="595"/>
      <c r="KSX39" s="595"/>
      <c r="KSY39" s="595"/>
      <c r="KSZ39" s="595"/>
      <c r="KTA39" s="595"/>
      <c r="KTB39" s="595"/>
      <c r="KTC39" s="595"/>
      <c r="KTD39" s="595"/>
      <c r="KTE39" s="595"/>
      <c r="KTF39" s="595"/>
      <c r="KTG39" s="595"/>
      <c r="KTH39" s="595"/>
      <c r="KTI39" s="595"/>
      <c r="KTJ39" s="595"/>
      <c r="KTK39" s="595"/>
      <c r="KTL39" s="595"/>
      <c r="KTM39" s="595"/>
      <c r="KTN39" s="595"/>
      <c r="KTO39" s="595"/>
      <c r="KTP39" s="595"/>
      <c r="KTQ39" s="595"/>
      <c r="KTR39" s="595"/>
      <c r="KTS39" s="595"/>
      <c r="KTT39" s="595"/>
      <c r="KTU39" s="595"/>
      <c r="KTV39" s="595"/>
      <c r="KTW39" s="595"/>
      <c r="KTX39" s="595"/>
      <c r="KTY39" s="595"/>
      <c r="KTZ39" s="595"/>
      <c r="KUA39" s="595"/>
      <c r="KUB39" s="595"/>
      <c r="KUC39" s="595"/>
      <c r="KUD39" s="595"/>
      <c r="KUE39" s="595"/>
      <c r="KUF39" s="595"/>
      <c r="KUG39" s="595"/>
      <c r="KUH39" s="595"/>
      <c r="KUI39" s="595"/>
      <c r="KUJ39" s="595"/>
      <c r="KUK39" s="595"/>
      <c r="KUL39" s="595"/>
      <c r="KUM39" s="595"/>
      <c r="KUN39" s="595"/>
      <c r="KUO39" s="595"/>
      <c r="KUP39" s="595"/>
      <c r="KUQ39" s="595"/>
      <c r="KUR39" s="595"/>
      <c r="KUS39" s="595"/>
      <c r="KUT39" s="595"/>
      <c r="KUU39" s="595"/>
      <c r="KUV39" s="595"/>
      <c r="KUW39" s="595"/>
      <c r="KUX39" s="595"/>
      <c r="KUY39" s="595"/>
      <c r="KUZ39" s="595"/>
      <c r="KVA39" s="595"/>
      <c r="KVB39" s="595"/>
      <c r="KVC39" s="595"/>
      <c r="KVD39" s="595"/>
      <c r="KVE39" s="595"/>
      <c r="KVF39" s="595"/>
      <c r="KVG39" s="595"/>
      <c r="KVH39" s="595"/>
      <c r="KVI39" s="595"/>
      <c r="KVJ39" s="595"/>
      <c r="KVK39" s="595"/>
      <c r="KVL39" s="595"/>
      <c r="KVM39" s="595"/>
      <c r="KVN39" s="595"/>
      <c r="KVO39" s="595"/>
      <c r="KVP39" s="595"/>
      <c r="KVQ39" s="595"/>
      <c r="KVR39" s="595"/>
      <c r="KVS39" s="595"/>
      <c r="KVT39" s="595"/>
      <c r="KVU39" s="595"/>
      <c r="KVV39" s="595"/>
      <c r="KVW39" s="595"/>
      <c r="KVX39" s="595"/>
      <c r="KVY39" s="595"/>
      <c r="KVZ39" s="595"/>
      <c r="KWA39" s="595"/>
      <c r="KWB39" s="595"/>
      <c r="KWC39" s="595"/>
      <c r="KWD39" s="595"/>
      <c r="KWE39" s="595"/>
      <c r="KWF39" s="595"/>
      <c r="KWG39" s="595"/>
      <c r="KWH39" s="595"/>
      <c r="KWI39" s="595"/>
      <c r="KWJ39" s="595"/>
      <c r="KWK39" s="595"/>
      <c r="KWL39" s="595"/>
      <c r="KWM39" s="595"/>
      <c r="KWN39" s="595"/>
      <c r="KWO39" s="595"/>
      <c r="KWP39" s="595"/>
      <c r="KWQ39" s="595"/>
      <c r="KWR39" s="595"/>
      <c r="KWS39" s="595"/>
      <c r="KWT39" s="595"/>
      <c r="KWU39" s="595"/>
      <c r="KWV39" s="595"/>
      <c r="KWW39" s="595"/>
      <c r="KWX39" s="595"/>
      <c r="KWY39" s="595"/>
      <c r="KWZ39" s="595"/>
      <c r="KXA39" s="595"/>
      <c r="KXB39" s="595"/>
      <c r="KXC39" s="595"/>
      <c r="KXD39" s="595"/>
      <c r="KXE39" s="595"/>
      <c r="KXF39" s="595"/>
      <c r="KXG39" s="595"/>
      <c r="KXH39" s="595"/>
      <c r="KXI39" s="595"/>
      <c r="KXJ39" s="595"/>
      <c r="KXK39" s="595"/>
      <c r="KXL39" s="595"/>
      <c r="KXM39" s="595"/>
      <c r="KXN39" s="595"/>
      <c r="KXO39" s="595"/>
      <c r="KXP39" s="595"/>
      <c r="KXQ39" s="595"/>
      <c r="KXR39" s="595"/>
      <c r="KXS39" s="595"/>
      <c r="KXT39" s="595"/>
      <c r="KXU39" s="595"/>
      <c r="KXV39" s="595"/>
      <c r="KXW39" s="595"/>
      <c r="KXX39" s="595"/>
      <c r="KXY39" s="595"/>
      <c r="KXZ39" s="595"/>
      <c r="KYA39" s="595"/>
      <c r="KYB39" s="595"/>
      <c r="KYC39" s="595"/>
      <c r="KYD39" s="595"/>
      <c r="KYE39" s="595"/>
      <c r="KYF39" s="595"/>
      <c r="KYG39" s="595"/>
      <c r="KYH39" s="595"/>
      <c r="KYI39" s="595"/>
      <c r="KYJ39" s="595"/>
      <c r="KYK39" s="595"/>
      <c r="KYL39" s="595"/>
      <c r="KYM39" s="595"/>
      <c r="KYN39" s="595"/>
      <c r="KYO39" s="595"/>
      <c r="KYP39" s="595"/>
      <c r="KYQ39" s="595"/>
      <c r="KYR39" s="595"/>
      <c r="KYS39" s="595"/>
      <c r="KYT39" s="595"/>
      <c r="KYU39" s="595"/>
      <c r="KYV39" s="595"/>
      <c r="KYW39" s="595"/>
      <c r="KYX39" s="595"/>
      <c r="KYY39" s="595"/>
      <c r="KYZ39" s="595"/>
      <c r="KZA39" s="595"/>
      <c r="KZB39" s="595"/>
      <c r="KZC39" s="595"/>
      <c r="KZD39" s="595"/>
      <c r="KZE39" s="595"/>
      <c r="KZF39" s="595"/>
      <c r="KZG39" s="595"/>
      <c r="KZH39" s="595"/>
      <c r="KZI39" s="595"/>
      <c r="KZJ39" s="595"/>
      <c r="KZK39" s="595"/>
      <c r="KZL39" s="595"/>
      <c r="KZM39" s="595"/>
      <c r="KZN39" s="595"/>
      <c r="KZO39" s="595"/>
      <c r="KZP39" s="595"/>
      <c r="KZQ39" s="595"/>
      <c r="KZR39" s="595"/>
      <c r="KZS39" s="595"/>
      <c r="KZT39" s="595"/>
      <c r="KZU39" s="595"/>
      <c r="KZV39" s="595"/>
      <c r="KZW39" s="595"/>
      <c r="KZX39" s="595"/>
      <c r="KZY39" s="595"/>
      <c r="KZZ39" s="595"/>
      <c r="LAA39" s="595"/>
      <c r="LAB39" s="595"/>
      <c r="LAC39" s="595"/>
      <c r="LAD39" s="595"/>
      <c r="LAE39" s="595"/>
      <c r="LAF39" s="595"/>
      <c r="LAG39" s="595"/>
      <c r="LAH39" s="595"/>
      <c r="LAI39" s="595"/>
      <c r="LAJ39" s="595"/>
      <c r="LAK39" s="595"/>
      <c r="LAL39" s="595"/>
      <c r="LAM39" s="595"/>
      <c r="LAN39" s="595"/>
      <c r="LAO39" s="595"/>
      <c r="LAP39" s="595"/>
      <c r="LAQ39" s="595"/>
      <c r="LAR39" s="595"/>
      <c r="LAS39" s="595"/>
      <c r="LAT39" s="595"/>
      <c r="LAU39" s="595"/>
      <c r="LAV39" s="595"/>
      <c r="LAW39" s="595"/>
      <c r="LAX39" s="595"/>
      <c r="LAY39" s="595"/>
      <c r="LAZ39" s="595"/>
      <c r="LBA39" s="595"/>
      <c r="LBB39" s="595"/>
      <c r="LBC39" s="595"/>
      <c r="LBD39" s="595"/>
      <c r="LBE39" s="595"/>
      <c r="LBF39" s="595"/>
      <c r="LBG39" s="595"/>
      <c r="LBH39" s="595"/>
      <c r="LBI39" s="595"/>
      <c r="LBJ39" s="595"/>
      <c r="LBK39" s="595"/>
      <c r="LBL39" s="595"/>
      <c r="LBM39" s="595"/>
      <c r="LBN39" s="595"/>
      <c r="LBO39" s="595"/>
      <c r="LBP39" s="595"/>
      <c r="LBQ39" s="595"/>
      <c r="LBR39" s="595"/>
      <c r="LBS39" s="595"/>
      <c r="LBT39" s="595"/>
      <c r="LBU39" s="595"/>
      <c r="LBV39" s="595"/>
      <c r="LBW39" s="595"/>
      <c r="LBX39" s="595"/>
      <c r="LBY39" s="595"/>
      <c r="LBZ39" s="595"/>
      <c r="LCA39" s="595"/>
      <c r="LCB39" s="595"/>
      <c r="LCC39" s="595"/>
      <c r="LCD39" s="595"/>
      <c r="LCE39" s="595"/>
      <c r="LCF39" s="595"/>
      <c r="LCG39" s="595"/>
      <c r="LCH39" s="595"/>
      <c r="LCI39" s="595"/>
      <c r="LCJ39" s="595"/>
      <c r="LCK39" s="595"/>
      <c r="LCL39" s="595"/>
      <c r="LCM39" s="595"/>
      <c r="LCN39" s="595"/>
      <c r="LCO39" s="595"/>
      <c r="LCP39" s="595"/>
      <c r="LCQ39" s="595"/>
      <c r="LCR39" s="595"/>
      <c r="LCS39" s="595"/>
      <c r="LCT39" s="595"/>
      <c r="LCU39" s="595"/>
      <c r="LCV39" s="595"/>
      <c r="LCW39" s="595"/>
      <c r="LCX39" s="595"/>
      <c r="LCY39" s="595"/>
      <c r="LCZ39" s="595"/>
      <c r="LDA39" s="595"/>
      <c r="LDB39" s="595"/>
      <c r="LDC39" s="595"/>
      <c r="LDD39" s="595"/>
      <c r="LDE39" s="595"/>
      <c r="LDF39" s="595"/>
      <c r="LDG39" s="595"/>
      <c r="LDH39" s="595"/>
      <c r="LDI39" s="595"/>
      <c r="LDJ39" s="595"/>
      <c r="LDK39" s="595"/>
      <c r="LDL39" s="595"/>
      <c r="LDM39" s="595"/>
      <c r="LDN39" s="595"/>
      <c r="LDO39" s="595"/>
      <c r="LDP39" s="595"/>
      <c r="LDQ39" s="595"/>
      <c r="LDR39" s="595"/>
      <c r="LDS39" s="595"/>
      <c r="LDT39" s="595"/>
      <c r="LDU39" s="595"/>
      <c r="LDV39" s="595"/>
      <c r="LDW39" s="595"/>
      <c r="LDX39" s="595"/>
      <c r="LDY39" s="595"/>
      <c r="LDZ39" s="595"/>
      <c r="LEA39" s="595"/>
      <c r="LEB39" s="595"/>
      <c r="LEC39" s="595"/>
      <c r="LED39" s="595"/>
      <c r="LEE39" s="595"/>
      <c r="LEF39" s="595"/>
      <c r="LEG39" s="595"/>
      <c r="LEH39" s="595"/>
      <c r="LEI39" s="595"/>
      <c r="LEJ39" s="595"/>
      <c r="LEK39" s="595"/>
      <c r="LEL39" s="595"/>
      <c r="LEM39" s="595"/>
      <c r="LEN39" s="595"/>
      <c r="LEO39" s="595"/>
      <c r="LEP39" s="595"/>
      <c r="LEQ39" s="595"/>
      <c r="LER39" s="595"/>
      <c r="LES39" s="595"/>
      <c r="LET39" s="595"/>
      <c r="LEU39" s="595"/>
      <c r="LEV39" s="595"/>
      <c r="LEW39" s="595"/>
      <c r="LEX39" s="595"/>
      <c r="LEY39" s="595"/>
      <c r="LEZ39" s="595"/>
      <c r="LFA39" s="595"/>
      <c r="LFB39" s="595"/>
      <c r="LFC39" s="595"/>
      <c r="LFD39" s="595"/>
      <c r="LFE39" s="595"/>
      <c r="LFF39" s="595"/>
      <c r="LFG39" s="595"/>
      <c r="LFH39" s="595"/>
      <c r="LFI39" s="595"/>
      <c r="LFJ39" s="595"/>
      <c r="LFK39" s="595"/>
      <c r="LFL39" s="595"/>
      <c r="LFM39" s="595"/>
      <c r="LFN39" s="595"/>
      <c r="LFO39" s="595"/>
      <c r="LFP39" s="595"/>
      <c r="LFQ39" s="595"/>
      <c r="LFR39" s="595"/>
      <c r="LFS39" s="595"/>
      <c r="LFT39" s="595"/>
      <c r="LFU39" s="595"/>
      <c r="LFV39" s="595"/>
      <c r="LFW39" s="595"/>
      <c r="LFX39" s="595"/>
      <c r="LFY39" s="595"/>
      <c r="LFZ39" s="595"/>
      <c r="LGA39" s="595"/>
      <c r="LGB39" s="595"/>
      <c r="LGC39" s="595"/>
      <c r="LGD39" s="595"/>
      <c r="LGE39" s="595"/>
      <c r="LGF39" s="595"/>
      <c r="LGG39" s="595"/>
      <c r="LGH39" s="595"/>
      <c r="LGI39" s="595"/>
      <c r="LGJ39" s="595"/>
      <c r="LGK39" s="595"/>
      <c r="LGL39" s="595"/>
      <c r="LGM39" s="595"/>
      <c r="LGN39" s="595"/>
      <c r="LGO39" s="595"/>
      <c r="LGP39" s="595"/>
      <c r="LGQ39" s="595"/>
      <c r="LGR39" s="595"/>
      <c r="LGS39" s="595"/>
      <c r="LGT39" s="595"/>
      <c r="LGU39" s="595"/>
      <c r="LGV39" s="595"/>
      <c r="LGW39" s="595"/>
      <c r="LGX39" s="595"/>
      <c r="LGY39" s="595"/>
      <c r="LGZ39" s="595"/>
      <c r="LHA39" s="595"/>
      <c r="LHB39" s="595"/>
      <c r="LHC39" s="595"/>
      <c r="LHD39" s="595"/>
      <c r="LHE39" s="595"/>
      <c r="LHF39" s="595"/>
      <c r="LHG39" s="595"/>
      <c r="LHH39" s="595"/>
      <c r="LHI39" s="595"/>
      <c r="LHJ39" s="595"/>
      <c r="LHK39" s="595"/>
      <c r="LHL39" s="595"/>
      <c r="LHM39" s="595"/>
      <c r="LHN39" s="595"/>
      <c r="LHO39" s="595"/>
      <c r="LHP39" s="595"/>
      <c r="LHQ39" s="595"/>
      <c r="LHR39" s="595"/>
      <c r="LHS39" s="595"/>
      <c r="LHT39" s="595"/>
      <c r="LHU39" s="595"/>
      <c r="LHV39" s="595"/>
      <c r="LHW39" s="595"/>
      <c r="LHX39" s="595"/>
      <c r="LHY39" s="595"/>
      <c r="LHZ39" s="595"/>
      <c r="LIA39" s="595"/>
      <c r="LIB39" s="595"/>
      <c r="LIC39" s="595"/>
      <c r="LID39" s="595"/>
      <c r="LIE39" s="595"/>
      <c r="LIF39" s="595"/>
      <c r="LIG39" s="595"/>
      <c r="LIH39" s="595"/>
      <c r="LII39" s="595"/>
      <c r="LIJ39" s="595"/>
      <c r="LIK39" s="595"/>
      <c r="LIL39" s="595"/>
      <c r="LIM39" s="595"/>
      <c r="LIN39" s="595"/>
      <c r="LIO39" s="595"/>
      <c r="LIP39" s="595"/>
      <c r="LIQ39" s="595"/>
      <c r="LIR39" s="595"/>
      <c r="LIS39" s="595"/>
      <c r="LIT39" s="595"/>
      <c r="LIU39" s="595"/>
      <c r="LIV39" s="595"/>
      <c r="LIW39" s="595"/>
      <c r="LIX39" s="595"/>
      <c r="LIY39" s="595"/>
      <c r="LIZ39" s="595"/>
      <c r="LJA39" s="595"/>
      <c r="LJB39" s="595"/>
      <c r="LJC39" s="595"/>
      <c r="LJD39" s="595"/>
      <c r="LJE39" s="595"/>
      <c r="LJF39" s="595"/>
      <c r="LJG39" s="595"/>
      <c r="LJH39" s="595"/>
      <c r="LJI39" s="595"/>
      <c r="LJJ39" s="595"/>
      <c r="LJK39" s="595"/>
      <c r="LJL39" s="595"/>
      <c r="LJM39" s="595"/>
      <c r="LJN39" s="595"/>
      <c r="LJO39" s="595"/>
      <c r="LJP39" s="595"/>
      <c r="LJQ39" s="595"/>
      <c r="LJR39" s="595"/>
      <c r="LJS39" s="595"/>
      <c r="LJT39" s="595"/>
      <c r="LJU39" s="595"/>
      <c r="LJV39" s="595"/>
      <c r="LJW39" s="595"/>
      <c r="LJX39" s="595"/>
      <c r="LJY39" s="595"/>
      <c r="LJZ39" s="595"/>
      <c r="LKA39" s="595"/>
      <c r="LKB39" s="595"/>
      <c r="LKC39" s="595"/>
      <c r="LKD39" s="595"/>
      <c r="LKE39" s="595"/>
      <c r="LKF39" s="595"/>
      <c r="LKG39" s="595"/>
      <c r="LKH39" s="595"/>
      <c r="LKI39" s="595"/>
      <c r="LKJ39" s="595"/>
      <c r="LKK39" s="595"/>
      <c r="LKL39" s="595"/>
      <c r="LKM39" s="595"/>
      <c r="LKN39" s="595"/>
      <c r="LKO39" s="595"/>
      <c r="LKP39" s="595"/>
      <c r="LKQ39" s="595"/>
      <c r="LKR39" s="595"/>
      <c r="LKS39" s="595"/>
      <c r="LKT39" s="595"/>
      <c r="LKU39" s="595"/>
      <c r="LKV39" s="595"/>
      <c r="LKW39" s="595"/>
      <c r="LKX39" s="595"/>
      <c r="LKY39" s="595"/>
      <c r="LKZ39" s="595"/>
      <c r="LLA39" s="595"/>
      <c r="LLB39" s="595"/>
      <c r="LLC39" s="595"/>
      <c r="LLD39" s="595"/>
      <c r="LLE39" s="595"/>
      <c r="LLF39" s="595"/>
      <c r="LLG39" s="595"/>
      <c r="LLH39" s="595"/>
      <c r="LLI39" s="595"/>
      <c r="LLJ39" s="595"/>
      <c r="LLK39" s="595"/>
      <c r="LLL39" s="595"/>
      <c r="LLM39" s="595"/>
      <c r="LLN39" s="595"/>
      <c r="LLO39" s="595"/>
      <c r="LLP39" s="595"/>
      <c r="LLQ39" s="595"/>
      <c r="LLR39" s="595"/>
      <c r="LLS39" s="595"/>
      <c r="LLT39" s="595"/>
      <c r="LLU39" s="595"/>
      <c r="LLV39" s="595"/>
      <c r="LLW39" s="595"/>
      <c r="LLX39" s="595"/>
      <c r="LLY39" s="595"/>
      <c r="LLZ39" s="595"/>
      <c r="LMA39" s="595"/>
      <c r="LMB39" s="595"/>
      <c r="LMC39" s="595"/>
      <c r="LMD39" s="595"/>
      <c r="LME39" s="595"/>
      <c r="LMF39" s="595"/>
      <c r="LMG39" s="595"/>
      <c r="LMH39" s="595"/>
      <c r="LMI39" s="595"/>
      <c r="LMJ39" s="595"/>
      <c r="LMK39" s="595"/>
      <c r="LML39" s="595"/>
      <c r="LMM39" s="595"/>
      <c r="LMN39" s="595"/>
      <c r="LMO39" s="595"/>
      <c r="LMP39" s="595"/>
      <c r="LMQ39" s="595"/>
      <c r="LMR39" s="595"/>
      <c r="LMS39" s="595"/>
      <c r="LMT39" s="595"/>
      <c r="LMU39" s="595"/>
      <c r="LMV39" s="595"/>
      <c r="LMW39" s="595"/>
      <c r="LMX39" s="595"/>
      <c r="LMY39" s="595"/>
      <c r="LMZ39" s="595"/>
      <c r="LNA39" s="595"/>
      <c r="LNB39" s="595"/>
      <c r="LNC39" s="595"/>
      <c r="LND39" s="595"/>
      <c r="LNE39" s="595"/>
      <c r="LNF39" s="595"/>
      <c r="LNG39" s="595"/>
      <c r="LNH39" s="595"/>
      <c r="LNI39" s="595"/>
      <c r="LNJ39" s="595"/>
      <c r="LNK39" s="595"/>
      <c r="LNL39" s="595"/>
      <c r="LNM39" s="595"/>
      <c r="LNN39" s="595"/>
      <c r="LNO39" s="595"/>
      <c r="LNP39" s="595"/>
      <c r="LNQ39" s="595"/>
      <c r="LNR39" s="595"/>
      <c r="LNS39" s="595"/>
      <c r="LNT39" s="595"/>
      <c r="LNU39" s="595"/>
      <c r="LNV39" s="595"/>
      <c r="LNW39" s="595"/>
      <c r="LNX39" s="595"/>
      <c r="LNY39" s="595"/>
      <c r="LNZ39" s="595"/>
      <c r="LOA39" s="595"/>
      <c r="LOB39" s="595"/>
      <c r="LOC39" s="595"/>
      <c r="LOD39" s="595"/>
      <c r="LOE39" s="595"/>
      <c r="LOF39" s="595"/>
      <c r="LOG39" s="595"/>
      <c r="LOH39" s="595"/>
      <c r="LOI39" s="595"/>
      <c r="LOJ39" s="595"/>
      <c r="LOK39" s="595"/>
      <c r="LOL39" s="595"/>
      <c r="LOM39" s="595"/>
      <c r="LON39" s="595"/>
      <c r="LOO39" s="595"/>
      <c r="LOP39" s="595"/>
      <c r="LOQ39" s="595"/>
      <c r="LOR39" s="595"/>
      <c r="LOS39" s="595"/>
      <c r="LOT39" s="595"/>
      <c r="LOU39" s="595"/>
      <c r="LOV39" s="595"/>
      <c r="LOW39" s="595"/>
      <c r="LOX39" s="595"/>
      <c r="LOY39" s="595"/>
      <c r="LOZ39" s="595"/>
      <c r="LPA39" s="595"/>
      <c r="LPB39" s="595"/>
      <c r="LPC39" s="595"/>
      <c r="LPD39" s="595"/>
      <c r="LPE39" s="595"/>
      <c r="LPF39" s="595"/>
      <c r="LPG39" s="595"/>
      <c r="LPH39" s="595"/>
      <c r="LPI39" s="595"/>
      <c r="LPJ39" s="595"/>
      <c r="LPK39" s="595"/>
      <c r="LPL39" s="595"/>
      <c r="LPM39" s="595"/>
      <c r="LPN39" s="595"/>
      <c r="LPO39" s="595"/>
      <c r="LPP39" s="595"/>
      <c r="LPQ39" s="595"/>
      <c r="LPR39" s="595"/>
      <c r="LPS39" s="595"/>
      <c r="LPT39" s="595"/>
      <c r="LPU39" s="595"/>
      <c r="LPV39" s="595"/>
      <c r="LPW39" s="595"/>
      <c r="LPX39" s="595"/>
      <c r="LPY39" s="595"/>
      <c r="LPZ39" s="595"/>
      <c r="LQA39" s="595"/>
      <c r="LQB39" s="595"/>
      <c r="LQC39" s="595"/>
      <c r="LQD39" s="595"/>
      <c r="LQE39" s="595"/>
      <c r="LQF39" s="595"/>
      <c r="LQG39" s="595"/>
      <c r="LQH39" s="595"/>
      <c r="LQI39" s="595"/>
      <c r="LQJ39" s="595"/>
      <c r="LQK39" s="595"/>
      <c r="LQL39" s="595"/>
      <c r="LQM39" s="595"/>
      <c r="LQN39" s="595"/>
      <c r="LQO39" s="595"/>
      <c r="LQP39" s="595"/>
      <c r="LQQ39" s="595"/>
      <c r="LQR39" s="595"/>
      <c r="LQS39" s="595"/>
      <c r="LQT39" s="595"/>
      <c r="LQU39" s="595"/>
      <c r="LQV39" s="595"/>
      <c r="LQW39" s="595"/>
      <c r="LQX39" s="595"/>
      <c r="LQY39" s="595"/>
      <c r="LQZ39" s="595"/>
      <c r="LRA39" s="595"/>
      <c r="LRB39" s="595"/>
      <c r="LRC39" s="595"/>
      <c r="LRD39" s="595"/>
      <c r="LRE39" s="595"/>
      <c r="LRF39" s="595"/>
      <c r="LRG39" s="595"/>
      <c r="LRH39" s="595"/>
      <c r="LRI39" s="595"/>
      <c r="LRJ39" s="595"/>
      <c r="LRK39" s="595"/>
      <c r="LRL39" s="595"/>
      <c r="LRM39" s="595"/>
      <c r="LRN39" s="595"/>
      <c r="LRO39" s="595"/>
      <c r="LRP39" s="595"/>
      <c r="LRQ39" s="595"/>
      <c r="LRR39" s="595"/>
      <c r="LRS39" s="595"/>
      <c r="LRT39" s="595"/>
      <c r="LRU39" s="595"/>
      <c r="LRV39" s="595"/>
      <c r="LRW39" s="595"/>
      <c r="LRX39" s="595"/>
      <c r="LRY39" s="595"/>
      <c r="LRZ39" s="595"/>
      <c r="LSA39" s="595"/>
      <c r="LSB39" s="595"/>
      <c r="LSC39" s="595"/>
      <c r="LSD39" s="595"/>
      <c r="LSE39" s="595"/>
      <c r="LSF39" s="595"/>
      <c r="LSG39" s="595"/>
      <c r="LSH39" s="595"/>
      <c r="LSI39" s="595"/>
      <c r="LSJ39" s="595"/>
      <c r="LSK39" s="595"/>
      <c r="LSL39" s="595"/>
      <c r="LSM39" s="595"/>
      <c r="LSN39" s="595"/>
      <c r="LSO39" s="595"/>
      <c r="LSP39" s="595"/>
      <c r="LSQ39" s="595"/>
      <c r="LSR39" s="595"/>
      <c r="LSS39" s="595"/>
      <c r="LST39" s="595"/>
      <c r="LSU39" s="595"/>
      <c r="LSV39" s="595"/>
      <c r="LSW39" s="595"/>
      <c r="LSX39" s="595"/>
      <c r="LSY39" s="595"/>
      <c r="LSZ39" s="595"/>
      <c r="LTA39" s="595"/>
      <c r="LTB39" s="595"/>
      <c r="LTC39" s="595"/>
      <c r="LTD39" s="595"/>
      <c r="LTE39" s="595"/>
      <c r="LTF39" s="595"/>
      <c r="LTG39" s="595"/>
      <c r="LTH39" s="595"/>
      <c r="LTI39" s="595"/>
      <c r="LTJ39" s="595"/>
      <c r="LTK39" s="595"/>
      <c r="LTL39" s="595"/>
      <c r="LTM39" s="595"/>
      <c r="LTN39" s="595"/>
      <c r="LTO39" s="595"/>
      <c r="LTP39" s="595"/>
      <c r="LTQ39" s="595"/>
      <c r="LTR39" s="595"/>
      <c r="LTS39" s="595"/>
      <c r="LTT39" s="595"/>
      <c r="LTU39" s="595"/>
      <c r="LTV39" s="595"/>
      <c r="LTW39" s="595"/>
      <c r="LTX39" s="595"/>
      <c r="LTY39" s="595"/>
      <c r="LTZ39" s="595"/>
      <c r="LUA39" s="595"/>
      <c r="LUB39" s="595"/>
      <c r="LUC39" s="595"/>
      <c r="LUD39" s="595"/>
      <c r="LUE39" s="595"/>
      <c r="LUF39" s="595"/>
      <c r="LUG39" s="595"/>
      <c r="LUH39" s="595"/>
      <c r="LUI39" s="595"/>
      <c r="LUJ39" s="595"/>
      <c r="LUK39" s="595"/>
      <c r="LUL39" s="595"/>
      <c r="LUM39" s="595"/>
      <c r="LUN39" s="595"/>
      <c r="LUO39" s="595"/>
      <c r="LUP39" s="595"/>
      <c r="LUQ39" s="595"/>
      <c r="LUR39" s="595"/>
      <c r="LUS39" s="595"/>
      <c r="LUT39" s="595"/>
      <c r="LUU39" s="595"/>
      <c r="LUV39" s="595"/>
      <c r="LUW39" s="595"/>
      <c r="LUX39" s="595"/>
      <c r="LUY39" s="595"/>
      <c r="LUZ39" s="595"/>
      <c r="LVA39" s="595"/>
      <c r="LVB39" s="595"/>
      <c r="LVC39" s="595"/>
      <c r="LVD39" s="595"/>
      <c r="LVE39" s="595"/>
      <c r="LVF39" s="595"/>
      <c r="LVG39" s="595"/>
      <c r="LVH39" s="595"/>
      <c r="LVI39" s="595"/>
      <c r="LVJ39" s="595"/>
      <c r="LVK39" s="595"/>
      <c r="LVL39" s="595"/>
      <c r="LVM39" s="595"/>
      <c r="LVN39" s="595"/>
      <c r="LVO39" s="595"/>
      <c r="LVP39" s="595"/>
      <c r="LVQ39" s="595"/>
      <c r="LVR39" s="595"/>
      <c r="LVS39" s="595"/>
      <c r="LVT39" s="595"/>
      <c r="LVU39" s="595"/>
      <c r="LVV39" s="595"/>
      <c r="LVW39" s="595"/>
      <c r="LVX39" s="595"/>
      <c r="LVY39" s="595"/>
      <c r="LVZ39" s="595"/>
      <c r="LWA39" s="595"/>
      <c r="LWB39" s="595"/>
      <c r="LWC39" s="595"/>
      <c r="LWD39" s="595"/>
      <c r="LWE39" s="595"/>
      <c r="LWF39" s="595"/>
      <c r="LWG39" s="595"/>
      <c r="LWH39" s="595"/>
      <c r="LWI39" s="595"/>
      <c r="LWJ39" s="595"/>
      <c r="LWK39" s="595"/>
      <c r="LWL39" s="595"/>
      <c r="LWM39" s="595"/>
      <c r="LWN39" s="595"/>
      <c r="LWO39" s="595"/>
      <c r="LWP39" s="595"/>
      <c r="LWQ39" s="595"/>
      <c r="LWR39" s="595"/>
      <c r="LWS39" s="595"/>
      <c r="LWT39" s="595"/>
      <c r="LWU39" s="595"/>
      <c r="LWV39" s="595"/>
      <c r="LWW39" s="595"/>
      <c r="LWX39" s="595"/>
      <c r="LWY39" s="595"/>
      <c r="LWZ39" s="595"/>
      <c r="LXA39" s="595"/>
      <c r="LXB39" s="595"/>
      <c r="LXC39" s="595"/>
      <c r="LXD39" s="595"/>
      <c r="LXE39" s="595"/>
      <c r="LXF39" s="595"/>
      <c r="LXG39" s="595"/>
      <c r="LXH39" s="595"/>
      <c r="LXI39" s="595"/>
      <c r="LXJ39" s="595"/>
      <c r="LXK39" s="595"/>
      <c r="LXL39" s="595"/>
      <c r="LXM39" s="595"/>
      <c r="LXN39" s="595"/>
      <c r="LXO39" s="595"/>
      <c r="LXP39" s="595"/>
      <c r="LXQ39" s="595"/>
      <c r="LXR39" s="595"/>
      <c r="LXS39" s="595"/>
      <c r="LXT39" s="595"/>
      <c r="LXU39" s="595"/>
      <c r="LXV39" s="595"/>
      <c r="LXW39" s="595"/>
      <c r="LXX39" s="595"/>
      <c r="LXY39" s="595"/>
      <c r="LXZ39" s="595"/>
      <c r="LYA39" s="595"/>
      <c r="LYB39" s="595"/>
      <c r="LYC39" s="595"/>
      <c r="LYD39" s="595"/>
      <c r="LYE39" s="595"/>
      <c r="LYF39" s="595"/>
      <c r="LYG39" s="595"/>
      <c r="LYH39" s="595"/>
      <c r="LYI39" s="595"/>
      <c r="LYJ39" s="595"/>
      <c r="LYK39" s="595"/>
      <c r="LYL39" s="595"/>
      <c r="LYM39" s="595"/>
      <c r="LYN39" s="595"/>
      <c r="LYO39" s="595"/>
      <c r="LYP39" s="595"/>
      <c r="LYQ39" s="595"/>
      <c r="LYR39" s="595"/>
      <c r="LYS39" s="595"/>
      <c r="LYT39" s="595"/>
      <c r="LYU39" s="595"/>
      <c r="LYV39" s="595"/>
      <c r="LYW39" s="595"/>
      <c r="LYX39" s="595"/>
      <c r="LYY39" s="595"/>
      <c r="LYZ39" s="595"/>
      <c r="LZA39" s="595"/>
      <c r="LZB39" s="595"/>
      <c r="LZC39" s="595"/>
      <c r="LZD39" s="595"/>
      <c r="LZE39" s="595"/>
      <c r="LZF39" s="595"/>
      <c r="LZG39" s="595"/>
      <c r="LZH39" s="595"/>
      <c r="LZI39" s="595"/>
      <c r="LZJ39" s="595"/>
      <c r="LZK39" s="595"/>
      <c r="LZL39" s="595"/>
      <c r="LZM39" s="595"/>
      <c r="LZN39" s="595"/>
      <c r="LZO39" s="595"/>
      <c r="LZP39" s="595"/>
      <c r="LZQ39" s="595"/>
      <c r="LZR39" s="595"/>
      <c r="LZS39" s="595"/>
      <c r="LZT39" s="595"/>
      <c r="LZU39" s="595"/>
      <c r="LZV39" s="595"/>
      <c r="LZW39" s="595"/>
      <c r="LZX39" s="595"/>
      <c r="LZY39" s="595"/>
      <c r="LZZ39" s="595"/>
      <c r="MAA39" s="595"/>
      <c r="MAB39" s="595"/>
      <c r="MAC39" s="595"/>
      <c r="MAD39" s="595"/>
      <c r="MAE39" s="595"/>
      <c r="MAF39" s="595"/>
      <c r="MAG39" s="595"/>
      <c r="MAH39" s="595"/>
      <c r="MAI39" s="595"/>
      <c r="MAJ39" s="595"/>
      <c r="MAK39" s="595"/>
      <c r="MAL39" s="595"/>
      <c r="MAM39" s="595"/>
      <c r="MAN39" s="595"/>
      <c r="MAO39" s="595"/>
      <c r="MAP39" s="595"/>
      <c r="MAQ39" s="595"/>
      <c r="MAR39" s="595"/>
      <c r="MAS39" s="595"/>
      <c r="MAT39" s="595"/>
      <c r="MAU39" s="595"/>
      <c r="MAV39" s="595"/>
      <c r="MAW39" s="595"/>
      <c r="MAX39" s="595"/>
      <c r="MAY39" s="595"/>
      <c r="MAZ39" s="595"/>
      <c r="MBA39" s="595"/>
      <c r="MBB39" s="595"/>
      <c r="MBC39" s="595"/>
      <c r="MBD39" s="595"/>
      <c r="MBE39" s="595"/>
      <c r="MBF39" s="595"/>
      <c r="MBG39" s="595"/>
      <c r="MBH39" s="595"/>
      <c r="MBI39" s="595"/>
      <c r="MBJ39" s="595"/>
      <c r="MBK39" s="595"/>
      <c r="MBL39" s="595"/>
      <c r="MBM39" s="595"/>
      <c r="MBN39" s="595"/>
      <c r="MBO39" s="595"/>
      <c r="MBP39" s="595"/>
      <c r="MBQ39" s="595"/>
      <c r="MBR39" s="595"/>
      <c r="MBS39" s="595"/>
      <c r="MBT39" s="595"/>
      <c r="MBU39" s="595"/>
      <c r="MBV39" s="595"/>
      <c r="MBW39" s="595"/>
      <c r="MBX39" s="595"/>
      <c r="MBY39" s="595"/>
      <c r="MBZ39" s="595"/>
      <c r="MCA39" s="595"/>
      <c r="MCB39" s="595"/>
      <c r="MCC39" s="595"/>
      <c r="MCD39" s="595"/>
      <c r="MCE39" s="595"/>
      <c r="MCF39" s="595"/>
      <c r="MCG39" s="595"/>
      <c r="MCH39" s="595"/>
      <c r="MCI39" s="595"/>
      <c r="MCJ39" s="595"/>
      <c r="MCK39" s="595"/>
      <c r="MCL39" s="595"/>
      <c r="MCM39" s="595"/>
      <c r="MCN39" s="595"/>
      <c r="MCO39" s="595"/>
      <c r="MCP39" s="595"/>
      <c r="MCQ39" s="595"/>
      <c r="MCR39" s="595"/>
      <c r="MCS39" s="595"/>
      <c r="MCT39" s="595"/>
      <c r="MCU39" s="595"/>
      <c r="MCV39" s="595"/>
      <c r="MCW39" s="595"/>
      <c r="MCX39" s="595"/>
      <c r="MCY39" s="595"/>
      <c r="MCZ39" s="595"/>
      <c r="MDA39" s="595"/>
      <c r="MDB39" s="595"/>
      <c r="MDC39" s="595"/>
      <c r="MDD39" s="595"/>
      <c r="MDE39" s="595"/>
      <c r="MDF39" s="595"/>
      <c r="MDG39" s="595"/>
      <c r="MDH39" s="595"/>
      <c r="MDI39" s="595"/>
      <c r="MDJ39" s="595"/>
      <c r="MDK39" s="595"/>
      <c r="MDL39" s="595"/>
      <c r="MDM39" s="595"/>
      <c r="MDN39" s="595"/>
      <c r="MDO39" s="595"/>
      <c r="MDP39" s="595"/>
      <c r="MDQ39" s="595"/>
      <c r="MDR39" s="595"/>
      <c r="MDS39" s="595"/>
      <c r="MDT39" s="595"/>
      <c r="MDU39" s="595"/>
      <c r="MDV39" s="595"/>
      <c r="MDW39" s="595"/>
      <c r="MDX39" s="595"/>
      <c r="MDY39" s="595"/>
      <c r="MDZ39" s="595"/>
      <c r="MEA39" s="595"/>
      <c r="MEB39" s="595"/>
      <c r="MEC39" s="595"/>
      <c r="MED39" s="595"/>
      <c r="MEE39" s="595"/>
      <c r="MEF39" s="595"/>
      <c r="MEG39" s="595"/>
      <c r="MEH39" s="595"/>
      <c r="MEI39" s="595"/>
      <c r="MEJ39" s="595"/>
      <c r="MEK39" s="595"/>
      <c r="MEL39" s="595"/>
      <c r="MEM39" s="595"/>
      <c r="MEN39" s="595"/>
      <c r="MEO39" s="595"/>
      <c r="MEP39" s="595"/>
      <c r="MEQ39" s="595"/>
      <c r="MER39" s="595"/>
      <c r="MES39" s="595"/>
      <c r="MET39" s="595"/>
      <c r="MEU39" s="595"/>
      <c r="MEV39" s="595"/>
      <c r="MEW39" s="595"/>
      <c r="MEX39" s="595"/>
      <c r="MEY39" s="595"/>
      <c r="MEZ39" s="595"/>
      <c r="MFA39" s="595"/>
      <c r="MFB39" s="595"/>
      <c r="MFC39" s="595"/>
      <c r="MFD39" s="595"/>
      <c r="MFE39" s="595"/>
      <c r="MFF39" s="595"/>
      <c r="MFG39" s="595"/>
      <c r="MFH39" s="595"/>
      <c r="MFI39" s="595"/>
      <c r="MFJ39" s="595"/>
      <c r="MFK39" s="595"/>
      <c r="MFL39" s="595"/>
      <c r="MFM39" s="595"/>
      <c r="MFN39" s="595"/>
      <c r="MFO39" s="595"/>
      <c r="MFP39" s="595"/>
      <c r="MFQ39" s="595"/>
      <c r="MFR39" s="595"/>
      <c r="MFS39" s="595"/>
      <c r="MFT39" s="595"/>
      <c r="MFU39" s="595"/>
      <c r="MFV39" s="595"/>
      <c r="MFW39" s="595"/>
      <c r="MFX39" s="595"/>
      <c r="MFY39" s="595"/>
      <c r="MFZ39" s="595"/>
      <c r="MGA39" s="595"/>
      <c r="MGB39" s="595"/>
      <c r="MGC39" s="595"/>
      <c r="MGD39" s="595"/>
      <c r="MGE39" s="595"/>
      <c r="MGF39" s="595"/>
      <c r="MGG39" s="595"/>
      <c r="MGH39" s="595"/>
      <c r="MGI39" s="595"/>
      <c r="MGJ39" s="595"/>
      <c r="MGK39" s="595"/>
      <c r="MGL39" s="595"/>
      <c r="MGM39" s="595"/>
      <c r="MGN39" s="595"/>
      <c r="MGO39" s="595"/>
      <c r="MGP39" s="595"/>
      <c r="MGQ39" s="595"/>
      <c r="MGR39" s="595"/>
      <c r="MGS39" s="595"/>
      <c r="MGT39" s="595"/>
      <c r="MGU39" s="595"/>
      <c r="MGV39" s="595"/>
      <c r="MGW39" s="595"/>
      <c r="MGX39" s="595"/>
      <c r="MGY39" s="595"/>
      <c r="MGZ39" s="595"/>
      <c r="MHA39" s="595"/>
      <c r="MHB39" s="595"/>
      <c r="MHC39" s="595"/>
      <c r="MHD39" s="595"/>
      <c r="MHE39" s="595"/>
      <c r="MHF39" s="595"/>
      <c r="MHG39" s="595"/>
      <c r="MHH39" s="595"/>
      <c r="MHI39" s="595"/>
      <c r="MHJ39" s="595"/>
      <c r="MHK39" s="595"/>
      <c r="MHL39" s="595"/>
      <c r="MHM39" s="595"/>
      <c r="MHN39" s="595"/>
      <c r="MHO39" s="595"/>
      <c r="MHP39" s="595"/>
      <c r="MHQ39" s="595"/>
      <c r="MHR39" s="595"/>
      <c r="MHS39" s="595"/>
      <c r="MHT39" s="595"/>
      <c r="MHU39" s="595"/>
      <c r="MHV39" s="595"/>
      <c r="MHW39" s="595"/>
      <c r="MHX39" s="595"/>
      <c r="MHY39" s="595"/>
      <c r="MHZ39" s="595"/>
      <c r="MIA39" s="595"/>
      <c r="MIB39" s="595"/>
      <c r="MIC39" s="595"/>
      <c r="MID39" s="595"/>
      <c r="MIE39" s="595"/>
      <c r="MIF39" s="595"/>
      <c r="MIG39" s="595"/>
      <c r="MIH39" s="595"/>
      <c r="MII39" s="595"/>
      <c r="MIJ39" s="595"/>
      <c r="MIK39" s="595"/>
      <c r="MIL39" s="595"/>
      <c r="MIM39" s="595"/>
      <c r="MIN39" s="595"/>
      <c r="MIO39" s="595"/>
      <c r="MIP39" s="595"/>
      <c r="MIQ39" s="595"/>
      <c r="MIR39" s="595"/>
      <c r="MIS39" s="595"/>
      <c r="MIT39" s="595"/>
      <c r="MIU39" s="595"/>
      <c r="MIV39" s="595"/>
      <c r="MIW39" s="595"/>
      <c r="MIX39" s="595"/>
      <c r="MIY39" s="595"/>
      <c r="MIZ39" s="595"/>
      <c r="MJA39" s="595"/>
      <c r="MJB39" s="595"/>
      <c r="MJC39" s="595"/>
      <c r="MJD39" s="595"/>
      <c r="MJE39" s="595"/>
      <c r="MJF39" s="595"/>
      <c r="MJG39" s="595"/>
      <c r="MJH39" s="595"/>
      <c r="MJI39" s="595"/>
      <c r="MJJ39" s="595"/>
      <c r="MJK39" s="595"/>
      <c r="MJL39" s="595"/>
      <c r="MJM39" s="595"/>
      <c r="MJN39" s="595"/>
      <c r="MJO39" s="595"/>
      <c r="MJP39" s="595"/>
      <c r="MJQ39" s="595"/>
      <c r="MJR39" s="595"/>
      <c r="MJS39" s="595"/>
      <c r="MJT39" s="595"/>
      <c r="MJU39" s="595"/>
      <c r="MJV39" s="595"/>
      <c r="MJW39" s="595"/>
      <c r="MJX39" s="595"/>
      <c r="MJY39" s="595"/>
      <c r="MJZ39" s="595"/>
      <c r="MKA39" s="595"/>
      <c r="MKB39" s="595"/>
      <c r="MKC39" s="595"/>
      <c r="MKD39" s="595"/>
      <c r="MKE39" s="595"/>
      <c r="MKF39" s="595"/>
      <c r="MKG39" s="595"/>
      <c r="MKH39" s="595"/>
      <c r="MKI39" s="595"/>
      <c r="MKJ39" s="595"/>
      <c r="MKK39" s="595"/>
      <c r="MKL39" s="595"/>
      <c r="MKM39" s="595"/>
      <c r="MKN39" s="595"/>
      <c r="MKO39" s="595"/>
      <c r="MKP39" s="595"/>
      <c r="MKQ39" s="595"/>
      <c r="MKR39" s="595"/>
      <c r="MKS39" s="595"/>
      <c r="MKT39" s="595"/>
      <c r="MKU39" s="595"/>
      <c r="MKV39" s="595"/>
      <c r="MKW39" s="595"/>
      <c r="MKX39" s="595"/>
      <c r="MKY39" s="595"/>
      <c r="MKZ39" s="595"/>
      <c r="MLA39" s="595"/>
      <c r="MLB39" s="595"/>
      <c r="MLC39" s="595"/>
      <c r="MLD39" s="595"/>
      <c r="MLE39" s="595"/>
      <c r="MLF39" s="595"/>
      <c r="MLG39" s="595"/>
      <c r="MLH39" s="595"/>
      <c r="MLI39" s="595"/>
      <c r="MLJ39" s="595"/>
      <c r="MLK39" s="595"/>
      <c r="MLL39" s="595"/>
      <c r="MLM39" s="595"/>
      <c r="MLN39" s="595"/>
      <c r="MLO39" s="595"/>
      <c r="MLP39" s="595"/>
      <c r="MLQ39" s="595"/>
      <c r="MLR39" s="595"/>
      <c r="MLS39" s="595"/>
      <c r="MLT39" s="595"/>
      <c r="MLU39" s="595"/>
      <c r="MLV39" s="595"/>
      <c r="MLW39" s="595"/>
      <c r="MLX39" s="595"/>
      <c r="MLY39" s="595"/>
      <c r="MLZ39" s="595"/>
      <c r="MMA39" s="595"/>
      <c r="MMB39" s="595"/>
      <c r="MMC39" s="595"/>
      <c r="MMD39" s="595"/>
      <c r="MME39" s="595"/>
      <c r="MMF39" s="595"/>
      <c r="MMG39" s="595"/>
      <c r="MMH39" s="595"/>
      <c r="MMI39" s="595"/>
      <c r="MMJ39" s="595"/>
      <c r="MMK39" s="595"/>
      <c r="MML39" s="595"/>
      <c r="MMM39" s="595"/>
      <c r="MMN39" s="595"/>
      <c r="MMO39" s="595"/>
      <c r="MMP39" s="595"/>
      <c r="MMQ39" s="595"/>
      <c r="MMR39" s="595"/>
      <c r="MMS39" s="595"/>
      <c r="MMT39" s="595"/>
      <c r="MMU39" s="595"/>
      <c r="MMV39" s="595"/>
      <c r="MMW39" s="595"/>
      <c r="MMX39" s="595"/>
      <c r="MMY39" s="595"/>
      <c r="MMZ39" s="595"/>
      <c r="MNA39" s="595"/>
      <c r="MNB39" s="595"/>
      <c r="MNC39" s="595"/>
      <c r="MND39" s="595"/>
      <c r="MNE39" s="595"/>
      <c r="MNF39" s="595"/>
      <c r="MNG39" s="595"/>
      <c r="MNH39" s="595"/>
      <c r="MNI39" s="595"/>
      <c r="MNJ39" s="595"/>
      <c r="MNK39" s="595"/>
      <c r="MNL39" s="595"/>
      <c r="MNM39" s="595"/>
      <c r="MNN39" s="595"/>
      <c r="MNO39" s="595"/>
      <c r="MNP39" s="595"/>
      <c r="MNQ39" s="595"/>
      <c r="MNR39" s="595"/>
      <c r="MNS39" s="595"/>
      <c r="MNT39" s="595"/>
      <c r="MNU39" s="595"/>
      <c r="MNV39" s="595"/>
      <c r="MNW39" s="595"/>
      <c r="MNX39" s="595"/>
      <c r="MNY39" s="595"/>
      <c r="MNZ39" s="595"/>
      <c r="MOA39" s="595"/>
      <c r="MOB39" s="595"/>
      <c r="MOC39" s="595"/>
      <c r="MOD39" s="595"/>
      <c r="MOE39" s="595"/>
      <c r="MOF39" s="595"/>
      <c r="MOG39" s="595"/>
      <c r="MOH39" s="595"/>
      <c r="MOI39" s="595"/>
      <c r="MOJ39" s="595"/>
      <c r="MOK39" s="595"/>
      <c r="MOL39" s="595"/>
      <c r="MOM39" s="595"/>
      <c r="MON39" s="595"/>
      <c r="MOO39" s="595"/>
      <c r="MOP39" s="595"/>
      <c r="MOQ39" s="595"/>
      <c r="MOR39" s="595"/>
      <c r="MOS39" s="595"/>
      <c r="MOT39" s="595"/>
      <c r="MOU39" s="595"/>
      <c r="MOV39" s="595"/>
      <c r="MOW39" s="595"/>
      <c r="MOX39" s="595"/>
      <c r="MOY39" s="595"/>
      <c r="MOZ39" s="595"/>
      <c r="MPA39" s="595"/>
      <c r="MPB39" s="595"/>
      <c r="MPC39" s="595"/>
      <c r="MPD39" s="595"/>
      <c r="MPE39" s="595"/>
      <c r="MPF39" s="595"/>
      <c r="MPG39" s="595"/>
      <c r="MPH39" s="595"/>
      <c r="MPI39" s="595"/>
      <c r="MPJ39" s="595"/>
      <c r="MPK39" s="595"/>
      <c r="MPL39" s="595"/>
      <c r="MPM39" s="595"/>
      <c r="MPN39" s="595"/>
      <c r="MPO39" s="595"/>
      <c r="MPP39" s="595"/>
      <c r="MPQ39" s="595"/>
      <c r="MPR39" s="595"/>
      <c r="MPS39" s="595"/>
      <c r="MPT39" s="595"/>
      <c r="MPU39" s="595"/>
      <c r="MPV39" s="595"/>
      <c r="MPW39" s="595"/>
      <c r="MPX39" s="595"/>
      <c r="MPY39" s="595"/>
      <c r="MPZ39" s="595"/>
      <c r="MQA39" s="595"/>
      <c r="MQB39" s="595"/>
      <c r="MQC39" s="595"/>
      <c r="MQD39" s="595"/>
      <c r="MQE39" s="595"/>
      <c r="MQF39" s="595"/>
      <c r="MQG39" s="595"/>
      <c r="MQH39" s="595"/>
      <c r="MQI39" s="595"/>
      <c r="MQJ39" s="595"/>
      <c r="MQK39" s="595"/>
      <c r="MQL39" s="595"/>
      <c r="MQM39" s="595"/>
      <c r="MQN39" s="595"/>
      <c r="MQO39" s="595"/>
      <c r="MQP39" s="595"/>
      <c r="MQQ39" s="595"/>
      <c r="MQR39" s="595"/>
      <c r="MQS39" s="595"/>
      <c r="MQT39" s="595"/>
      <c r="MQU39" s="595"/>
      <c r="MQV39" s="595"/>
      <c r="MQW39" s="595"/>
      <c r="MQX39" s="595"/>
      <c r="MQY39" s="595"/>
      <c r="MQZ39" s="595"/>
      <c r="MRA39" s="595"/>
      <c r="MRB39" s="595"/>
      <c r="MRC39" s="595"/>
      <c r="MRD39" s="595"/>
      <c r="MRE39" s="595"/>
      <c r="MRF39" s="595"/>
      <c r="MRG39" s="595"/>
      <c r="MRH39" s="595"/>
      <c r="MRI39" s="595"/>
      <c r="MRJ39" s="595"/>
      <c r="MRK39" s="595"/>
      <c r="MRL39" s="595"/>
      <c r="MRM39" s="595"/>
      <c r="MRN39" s="595"/>
      <c r="MRO39" s="595"/>
      <c r="MRP39" s="595"/>
      <c r="MRQ39" s="595"/>
      <c r="MRR39" s="595"/>
      <c r="MRS39" s="595"/>
      <c r="MRT39" s="595"/>
      <c r="MRU39" s="595"/>
      <c r="MRV39" s="595"/>
      <c r="MRW39" s="595"/>
      <c r="MRX39" s="595"/>
      <c r="MRY39" s="595"/>
      <c r="MRZ39" s="595"/>
      <c r="MSA39" s="595"/>
      <c r="MSB39" s="595"/>
      <c r="MSC39" s="595"/>
      <c r="MSD39" s="595"/>
      <c r="MSE39" s="595"/>
      <c r="MSF39" s="595"/>
      <c r="MSG39" s="595"/>
      <c r="MSH39" s="595"/>
      <c r="MSI39" s="595"/>
      <c r="MSJ39" s="595"/>
      <c r="MSK39" s="595"/>
      <c r="MSL39" s="595"/>
      <c r="MSM39" s="595"/>
      <c r="MSN39" s="595"/>
      <c r="MSO39" s="595"/>
      <c r="MSP39" s="595"/>
      <c r="MSQ39" s="595"/>
      <c r="MSR39" s="595"/>
      <c r="MSS39" s="595"/>
      <c r="MST39" s="595"/>
      <c r="MSU39" s="595"/>
      <c r="MSV39" s="595"/>
      <c r="MSW39" s="595"/>
      <c r="MSX39" s="595"/>
      <c r="MSY39" s="595"/>
      <c r="MSZ39" s="595"/>
      <c r="MTA39" s="595"/>
      <c r="MTB39" s="595"/>
      <c r="MTC39" s="595"/>
      <c r="MTD39" s="595"/>
      <c r="MTE39" s="595"/>
      <c r="MTF39" s="595"/>
      <c r="MTG39" s="595"/>
      <c r="MTH39" s="595"/>
      <c r="MTI39" s="595"/>
      <c r="MTJ39" s="595"/>
      <c r="MTK39" s="595"/>
      <c r="MTL39" s="595"/>
      <c r="MTM39" s="595"/>
      <c r="MTN39" s="595"/>
      <c r="MTO39" s="595"/>
      <c r="MTP39" s="595"/>
      <c r="MTQ39" s="595"/>
      <c r="MTR39" s="595"/>
      <c r="MTS39" s="595"/>
      <c r="MTT39" s="595"/>
      <c r="MTU39" s="595"/>
      <c r="MTV39" s="595"/>
      <c r="MTW39" s="595"/>
      <c r="MTX39" s="595"/>
      <c r="MTY39" s="595"/>
      <c r="MTZ39" s="595"/>
      <c r="MUA39" s="595"/>
      <c r="MUB39" s="595"/>
      <c r="MUC39" s="595"/>
      <c r="MUD39" s="595"/>
      <c r="MUE39" s="595"/>
      <c r="MUF39" s="595"/>
      <c r="MUG39" s="595"/>
      <c r="MUH39" s="595"/>
      <c r="MUI39" s="595"/>
      <c r="MUJ39" s="595"/>
      <c r="MUK39" s="595"/>
      <c r="MUL39" s="595"/>
      <c r="MUM39" s="595"/>
      <c r="MUN39" s="595"/>
      <c r="MUO39" s="595"/>
      <c r="MUP39" s="595"/>
      <c r="MUQ39" s="595"/>
      <c r="MUR39" s="595"/>
      <c r="MUS39" s="595"/>
      <c r="MUT39" s="595"/>
      <c r="MUU39" s="595"/>
      <c r="MUV39" s="595"/>
      <c r="MUW39" s="595"/>
      <c r="MUX39" s="595"/>
      <c r="MUY39" s="595"/>
      <c r="MUZ39" s="595"/>
      <c r="MVA39" s="595"/>
      <c r="MVB39" s="595"/>
      <c r="MVC39" s="595"/>
      <c r="MVD39" s="595"/>
      <c r="MVE39" s="595"/>
      <c r="MVF39" s="595"/>
      <c r="MVG39" s="595"/>
      <c r="MVH39" s="595"/>
      <c r="MVI39" s="595"/>
      <c r="MVJ39" s="595"/>
      <c r="MVK39" s="595"/>
      <c r="MVL39" s="595"/>
      <c r="MVM39" s="595"/>
      <c r="MVN39" s="595"/>
      <c r="MVO39" s="595"/>
      <c r="MVP39" s="595"/>
      <c r="MVQ39" s="595"/>
      <c r="MVR39" s="595"/>
      <c r="MVS39" s="595"/>
      <c r="MVT39" s="595"/>
      <c r="MVU39" s="595"/>
      <c r="MVV39" s="595"/>
      <c r="MVW39" s="595"/>
      <c r="MVX39" s="595"/>
      <c r="MVY39" s="595"/>
      <c r="MVZ39" s="595"/>
      <c r="MWA39" s="595"/>
      <c r="MWB39" s="595"/>
      <c r="MWC39" s="595"/>
      <c r="MWD39" s="595"/>
      <c r="MWE39" s="595"/>
      <c r="MWF39" s="595"/>
      <c r="MWG39" s="595"/>
      <c r="MWH39" s="595"/>
      <c r="MWI39" s="595"/>
      <c r="MWJ39" s="595"/>
      <c r="MWK39" s="595"/>
      <c r="MWL39" s="595"/>
      <c r="MWM39" s="595"/>
      <c r="MWN39" s="595"/>
      <c r="MWO39" s="595"/>
      <c r="MWP39" s="595"/>
      <c r="MWQ39" s="595"/>
      <c r="MWR39" s="595"/>
      <c r="MWS39" s="595"/>
      <c r="MWT39" s="595"/>
      <c r="MWU39" s="595"/>
      <c r="MWV39" s="595"/>
      <c r="MWW39" s="595"/>
      <c r="MWX39" s="595"/>
      <c r="MWY39" s="595"/>
      <c r="MWZ39" s="595"/>
      <c r="MXA39" s="595"/>
      <c r="MXB39" s="595"/>
      <c r="MXC39" s="595"/>
      <c r="MXD39" s="595"/>
      <c r="MXE39" s="595"/>
      <c r="MXF39" s="595"/>
      <c r="MXG39" s="595"/>
      <c r="MXH39" s="595"/>
      <c r="MXI39" s="595"/>
      <c r="MXJ39" s="595"/>
      <c r="MXK39" s="595"/>
      <c r="MXL39" s="595"/>
      <c r="MXM39" s="595"/>
      <c r="MXN39" s="595"/>
      <c r="MXO39" s="595"/>
      <c r="MXP39" s="595"/>
      <c r="MXQ39" s="595"/>
      <c r="MXR39" s="595"/>
      <c r="MXS39" s="595"/>
      <c r="MXT39" s="595"/>
      <c r="MXU39" s="595"/>
      <c r="MXV39" s="595"/>
      <c r="MXW39" s="595"/>
      <c r="MXX39" s="595"/>
      <c r="MXY39" s="595"/>
      <c r="MXZ39" s="595"/>
      <c r="MYA39" s="595"/>
      <c r="MYB39" s="595"/>
      <c r="MYC39" s="595"/>
      <c r="MYD39" s="595"/>
      <c r="MYE39" s="595"/>
      <c r="MYF39" s="595"/>
      <c r="MYG39" s="595"/>
      <c r="MYH39" s="595"/>
      <c r="MYI39" s="595"/>
      <c r="MYJ39" s="595"/>
      <c r="MYK39" s="595"/>
      <c r="MYL39" s="595"/>
      <c r="MYM39" s="595"/>
      <c r="MYN39" s="595"/>
      <c r="MYO39" s="595"/>
      <c r="MYP39" s="595"/>
      <c r="MYQ39" s="595"/>
      <c r="MYR39" s="595"/>
      <c r="MYS39" s="595"/>
      <c r="MYT39" s="595"/>
      <c r="MYU39" s="595"/>
      <c r="MYV39" s="595"/>
      <c r="MYW39" s="595"/>
      <c r="MYX39" s="595"/>
      <c r="MYY39" s="595"/>
      <c r="MYZ39" s="595"/>
      <c r="MZA39" s="595"/>
      <c r="MZB39" s="595"/>
      <c r="MZC39" s="595"/>
      <c r="MZD39" s="595"/>
      <c r="MZE39" s="595"/>
      <c r="MZF39" s="595"/>
      <c r="MZG39" s="595"/>
      <c r="MZH39" s="595"/>
      <c r="MZI39" s="595"/>
      <c r="MZJ39" s="595"/>
      <c r="MZK39" s="595"/>
      <c r="MZL39" s="595"/>
      <c r="MZM39" s="595"/>
      <c r="MZN39" s="595"/>
      <c r="MZO39" s="595"/>
      <c r="MZP39" s="595"/>
      <c r="MZQ39" s="595"/>
      <c r="MZR39" s="595"/>
      <c r="MZS39" s="595"/>
      <c r="MZT39" s="595"/>
      <c r="MZU39" s="595"/>
      <c r="MZV39" s="595"/>
      <c r="MZW39" s="595"/>
      <c r="MZX39" s="595"/>
      <c r="MZY39" s="595"/>
      <c r="MZZ39" s="595"/>
      <c r="NAA39" s="595"/>
      <c r="NAB39" s="595"/>
      <c r="NAC39" s="595"/>
      <c r="NAD39" s="595"/>
      <c r="NAE39" s="595"/>
      <c r="NAF39" s="595"/>
      <c r="NAG39" s="595"/>
      <c r="NAH39" s="595"/>
      <c r="NAI39" s="595"/>
      <c r="NAJ39" s="595"/>
      <c r="NAK39" s="595"/>
      <c r="NAL39" s="595"/>
      <c r="NAM39" s="595"/>
      <c r="NAN39" s="595"/>
      <c r="NAO39" s="595"/>
      <c r="NAP39" s="595"/>
      <c r="NAQ39" s="595"/>
      <c r="NAR39" s="595"/>
      <c r="NAS39" s="595"/>
      <c r="NAT39" s="595"/>
      <c r="NAU39" s="595"/>
      <c r="NAV39" s="595"/>
      <c r="NAW39" s="595"/>
      <c r="NAX39" s="595"/>
      <c r="NAY39" s="595"/>
      <c r="NAZ39" s="595"/>
      <c r="NBA39" s="595"/>
      <c r="NBB39" s="595"/>
      <c r="NBC39" s="595"/>
      <c r="NBD39" s="595"/>
      <c r="NBE39" s="595"/>
      <c r="NBF39" s="595"/>
      <c r="NBG39" s="595"/>
      <c r="NBH39" s="595"/>
      <c r="NBI39" s="595"/>
      <c r="NBJ39" s="595"/>
      <c r="NBK39" s="595"/>
      <c r="NBL39" s="595"/>
      <c r="NBM39" s="595"/>
      <c r="NBN39" s="595"/>
      <c r="NBO39" s="595"/>
      <c r="NBP39" s="595"/>
      <c r="NBQ39" s="595"/>
      <c r="NBR39" s="595"/>
      <c r="NBS39" s="595"/>
      <c r="NBT39" s="595"/>
      <c r="NBU39" s="595"/>
      <c r="NBV39" s="595"/>
      <c r="NBW39" s="595"/>
      <c r="NBX39" s="595"/>
      <c r="NBY39" s="595"/>
      <c r="NBZ39" s="595"/>
      <c r="NCA39" s="595"/>
      <c r="NCB39" s="595"/>
      <c r="NCC39" s="595"/>
      <c r="NCD39" s="595"/>
      <c r="NCE39" s="595"/>
      <c r="NCF39" s="595"/>
      <c r="NCG39" s="595"/>
      <c r="NCH39" s="595"/>
      <c r="NCI39" s="595"/>
      <c r="NCJ39" s="595"/>
      <c r="NCK39" s="595"/>
      <c r="NCL39" s="595"/>
      <c r="NCM39" s="595"/>
      <c r="NCN39" s="595"/>
      <c r="NCO39" s="595"/>
      <c r="NCP39" s="595"/>
      <c r="NCQ39" s="595"/>
      <c r="NCR39" s="595"/>
      <c r="NCS39" s="595"/>
      <c r="NCT39" s="595"/>
      <c r="NCU39" s="595"/>
      <c r="NCV39" s="595"/>
      <c r="NCW39" s="595"/>
      <c r="NCX39" s="595"/>
      <c r="NCY39" s="595"/>
      <c r="NCZ39" s="595"/>
      <c r="NDA39" s="595"/>
      <c r="NDB39" s="595"/>
      <c r="NDC39" s="595"/>
      <c r="NDD39" s="595"/>
      <c r="NDE39" s="595"/>
      <c r="NDF39" s="595"/>
      <c r="NDG39" s="595"/>
      <c r="NDH39" s="595"/>
      <c r="NDI39" s="595"/>
      <c r="NDJ39" s="595"/>
      <c r="NDK39" s="595"/>
      <c r="NDL39" s="595"/>
      <c r="NDM39" s="595"/>
      <c r="NDN39" s="595"/>
      <c r="NDO39" s="595"/>
      <c r="NDP39" s="595"/>
      <c r="NDQ39" s="595"/>
      <c r="NDR39" s="595"/>
      <c r="NDS39" s="595"/>
      <c r="NDT39" s="595"/>
      <c r="NDU39" s="595"/>
      <c r="NDV39" s="595"/>
      <c r="NDW39" s="595"/>
      <c r="NDX39" s="595"/>
      <c r="NDY39" s="595"/>
      <c r="NDZ39" s="595"/>
      <c r="NEA39" s="595"/>
      <c r="NEB39" s="595"/>
      <c r="NEC39" s="595"/>
      <c r="NED39" s="595"/>
      <c r="NEE39" s="595"/>
      <c r="NEF39" s="595"/>
      <c r="NEG39" s="595"/>
      <c r="NEH39" s="595"/>
      <c r="NEI39" s="595"/>
      <c r="NEJ39" s="595"/>
      <c r="NEK39" s="595"/>
      <c r="NEL39" s="595"/>
      <c r="NEM39" s="595"/>
      <c r="NEN39" s="595"/>
      <c r="NEO39" s="595"/>
      <c r="NEP39" s="595"/>
      <c r="NEQ39" s="595"/>
      <c r="NER39" s="595"/>
      <c r="NES39" s="595"/>
      <c r="NET39" s="595"/>
      <c r="NEU39" s="595"/>
      <c r="NEV39" s="595"/>
      <c r="NEW39" s="595"/>
      <c r="NEX39" s="595"/>
      <c r="NEY39" s="595"/>
      <c r="NEZ39" s="595"/>
      <c r="NFA39" s="595"/>
      <c r="NFB39" s="595"/>
      <c r="NFC39" s="595"/>
      <c r="NFD39" s="595"/>
      <c r="NFE39" s="595"/>
      <c r="NFF39" s="595"/>
      <c r="NFG39" s="595"/>
      <c r="NFH39" s="595"/>
      <c r="NFI39" s="595"/>
      <c r="NFJ39" s="595"/>
      <c r="NFK39" s="595"/>
      <c r="NFL39" s="595"/>
      <c r="NFM39" s="595"/>
      <c r="NFN39" s="595"/>
      <c r="NFO39" s="595"/>
      <c r="NFP39" s="595"/>
      <c r="NFQ39" s="595"/>
      <c r="NFR39" s="595"/>
      <c r="NFS39" s="595"/>
      <c r="NFT39" s="595"/>
      <c r="NFU39" s="595"/>
      <c r="NFV39" s="595"/>
      <c r="NFW39" s="595"/>
      <c r="NFX39" s="595"/>
      <c r="NFY39" s="595"/>
      <c r="NFZ39" s="595"/>
      <c r="NGA39" s="595"/>
      <c r="NGB39" s="595"/>
      <c r="NGC39" s="595"/>
      <c r="NGD39" s="595"/>
      <c r="NGE39" s="595"/>
      <c r="NGF39" s="595"/>
      <c r="NGG39" s="595"/>
      <c r="NGH39" s="595"/>
      <c r="NGI39" s="595"/>
      <c r="NGJ39" s="595"/>
      <c r="NGK39" s="595"/>
      <c r="NGL39" s="595"/>
      <c r="NGM39" s="595"/>
      <c r="NGN39" s="595"/>
      <c r="NGO39" s="595"/>
      <c r="NGP39" s="595"/>
      <c r="NGQ39" s="595"/>
      <c r="NGR39" s="595"/>
      <c r="NGS39" s="595"/>
      <c r="NGT39" s="595"/>
      <c r="NGU39" s="595"/>
      <c r="NGV39" s="595"/>
      <c r="NGW39" s="595"/>
      <c r="NGX39" s="595"/>
      <c r="NGY39" s="595"/>
      <c r="NGZ39" s="595"/>
      <c r="NHA39" s="595"/>
      <c r="NHB39" s="595"/>
      <c r="NHC39" s="595"/>
      <c r="NHD39" s="595"/>
      <c r="NHE39" s="595"/>
      <c r="NHF39" s="595"/>
      <c r="NHG39" s="595"/>
      <c r="NHH39" s="595"/>
      <c r="NHI39" s="595"/>
      <c r="NHJ39" s="595"/>
      <c r="NHK39" s="595"/>
      <c r="NHL39" s="595"/>
      <c r="NHM39" s="595"/>
      <c r="NHN39" s="595"/>
      <c r="NHO39" s="595"/>
      <c r="NHP39" s="595"/>
      <c r="NHQ39" s="595"/>
      <c r="NHR39" s="595"/>
      <c r="NHS39" s="595"/>
      <c r="NHT39" s="595"/>
      <c r="NHU39" s="595"/>
      <c r="NHV39" s="595"/>
      <c r="NHW39" s="595"/>
      <c r="NHX39" s="595"/>
      <c r="NHY39" s="595"/>
      <c r="NHZ39" s="595"/>
      <c r="NIA39" s="595"/>
      <c r="NIB39" s="595"/>
      <c r="NIC39" s="595"/>
      <c r="NID39" s="595"/>
      <c r="NIE39" s="595"/>
      <c r="NIF39" s="595"/>
      <c r="NIG39" s="595"/>
      <c r="NIH39" s="595"/>
      <c r="NII39" s="595"/>
      <c r="NIJ39" s="595"/>
      <c r="NIK39" s="595"/>
      <c r="NIL39" s="595"/>
      <c r="NIM39" s="595"/>
      <c r="NIN39" s="595"/>
      <c r="NIO39" s="595"/>
      <c r="NIP39" s="595"/>
      <c r="NIQ39" s="595"/>
      <c r="NIR39" s="595"/>
      <c r="NIS39" s="595"/>
      <c r="NIT39" s="595"/>
      <c r="NIU39" s="595"/>
      <c r="NIV39" s="595"/>
      <c r="NIW39" s="595"/>
      <c r="NIX39" s="595"/>
      <c r="NIY39" s="595"/>
      <c r="NIZ39" s="595"/>
      <c r="NJA39" s="595"/>
      <c r="NJB39" s="595"/>
      <c r="NJC39" s="595"/>
      <c r="NJD39" s="595"/>
      <c r="NJE39" s="595"/>
      <c r="NJF39" s="595"/>
      <c r="NJG39" s="595"/>
      <c r="NJH39" s="595"/>
      <c r="NJI39" s="595"/>
      <c r="NJJ39" s="595"/>
      <c r="NJK39" s="595"/>
      <c r="NJL39" s="595"/>
      <c r="NJM39" s="595"/>
      <c r="NJN39" s="595"/>
      <c r="NJO39" s="595"/>
      <c r="NJP39" s="595"/>
      <c r="NJQ39" s="595"/>
      <c r="NJR39" s="595"/>
      <c r="NJS39" s="595"/>
      <c r="NJT39" s="595"/>
      <c r="NJU39" s="595"/>
      <c r="NJV39" s="595"/>
      <c r="NJW39" s="595"/>
      <c r="NJX39" s="595"/>
      <c r="NJY39" s="595"/>
      <c r="NJZ39" s="595"/>
      <c r="NKA39" s="595"/>
      <c r="NKB39" s="595"/>
      <c r="NKC39" s="595"/>
      <c r="NKD39" s="595"/>
      <c r="NKE39" s="595"/>
      <c r="NKF39" s="595"/>
      <c r="NKG39" s="595"/>
      <c r="NKH39" s="595"/>
      <c r="NKI39" s="595"/>
      <c r="NKJ39" s="595"/>
      <c r="NKK39" s="595"/>
      <c r="NKL39" s="595"/>
      <c r="NKM39" s="595"/>
      <c r="NKN39" s="595"/>
      <c r="NKO39" s="595"/>
      <c r="NKP39" s="595"/>
      <c r="NKQ39" s="595"/>
      <c r="NKR39" s="595"/>
      <c r="NKS39" s="595"/>
      <c r="NKT39" s="595"/>
      <c r="NKU39" s="595"/>
      <c r="NKV39" s="595"/>
      <c r="NKW39" s="595"/>
      <c r="NKX39" s="595"/>
      <c r="NKY39" s="595"/>
      <c r="NKZ39" s="595"/>
      <c r="NLA39" s="595"/>
      <c r="NLB39" s="595"/>
      <c r="NLC39" s="595"/>
      <c r="NLD39" s="595"/>
      <c r="NLE39" s="595"/>
      <c r="NLF39" s="595"/>
      <c r="NLG39" s="595"/>
      <c r="NLH39" s="595"/>
      <c r="NLI39" s="595"/>
      <c r="NLJ39" s="595"/>
      <c r="NLK39" s="595"/>
      <c r="NLL39" s="595"/>
      <c r="NLM39" s="595"/>
      <c r="NLN39" s="595"/>
      <c r="NLO39" s="595"/>
      <c r="NLP39" s="595"/>
      <c r="NLQ39" s="595"/>
      <c r="NLR39" s="595"/>
      <c r="NLS39" s="595"/>
      <c r="NLT39" s="595"/>
      <c r="NLU39" s="595"/>
      <c r="NLV39" s="595"/>
      <c r="NLW39" s="595"/>
      <c r="NLX39" s="595"/>
      <c r="NLY39" s="595"/>
      <c r="NLZ39" s="595"/>
      <c r="NMA39" s="595"/>
      <c r="NMB39" s="595"/>
      <c r="NMC39" s="595"/>
      <c r="NMD39" s="595"/>
      <c r="NME39" s="595"/>
      <c r="NMF39" s="595"/>
      <c r="NMG39" s="595"/>
      <c r="NMH39" s="595"/>
      <c r="NMI39" s="595"/>
      <c r="NMJ39" s="595"/>
      <c r="NMK39" s="595"/>
      <c r="NML39" s="595"/>
      <c r="NMM39" s="595"/>
      <c r="NMN39" s="595"/>
      <c r="NMO39" s="595"/>
      <c r="NMP39" s="595"/>
      <c r="NMQ39" s="595"/>
      <c r="NMR39" s="595"/>
      <c r="NMS39" s="595"/>
      <c r="NMT39" s="595"/>
      <c r="NMU39" s="595"/>
      <c r="NMV39" s="595"/>
      <c r="NMW39" s="595"/>
      <c r="NMX39" s="595"/>
      <c r="NMY39" s="595"/>
      <c r="NMZ39" s="595"/>
      <c r="NNA39" s="595"/>
      <c r="NNB39" s="595"/>
      <c r="NNC39" s="595"/>
      <c r="NND39" s="595"/>
      <c r="NNE39" s="595"/>
      <c r="NNF39" s="595"/>
      <c r="NNG39" s="595"/>
      <c r="NNH39" s="595"/>
      <c r="NNI39" s="595"/>
      <c r="NNJ39" s="595"/>
      <c r="NNK39" s="595"/>
      <c r="NNL39" s="595"/>
      <c r="NNM39" s="595"/>
      <c r="NNN39" s="595"/>
      <c r="NNO39" s="595"/>
      <c r="NNP39" s="595"/>
      <c r="NNQ39" s="595"/>
      <c r="NNR39" s="595"/>
      <c r="NNS39" s="595"/>
      <c r="NNT39" s="595"/>
      <c r="NNU39" s="595"/>
      <c r="NNV39" s="595"/>
      <c r="NNW39" s="595"/>
      <c r="NNX39" s="595"/>
      <c r="NNY39" s="595"/>
      <c r="NNZ39" s="595"/>
      <c r="NOA39" s="595"/>
      <c r="NOB39" s="595"/>
      <c r="NOC39" s="595"/>
      <c r="NOD39" s="595"/>
      <c r="NOE39" s="595"/>
      <c r="NOF39" s="595"/>
      <c r="NOG39" s="595"/>
      <c r="NOH39" s="595"/>
      <c r="NOI39" s="595"/>
      <c r="NOJ39" s="595"/>
      <c r="NOK39" s="595"/>
      <c r="NOL39" s="595"/>
      <c r="NOM39" s="595"/>
      <c r="NON39" s="595"/>
      <c r="NOO39" s="595"/>
      <c r="NOP39" s="595"/>
      <c r="NOQ39" s="595"/>
      <c r="NOR39" s="595"/>
      <c r="NOS39" s="595"/>
      <c r="NOT39" s="595"/>
      <c r="NOU39" s="595"/>
      <c r="NOV39" s="595"/>
      <c r="NOW39" s="595"/>
      <c r="NOX39" s="595"/>
      <c r="NOY39" s="595"/>
      <c r="NOZ39" s="595"/>
      <c r="NPA39" s="595"/>
      <c r="NPB39" s="595"/>
      <c r="NPC39" s="595"/>
      <c r="NPD39" s="595"/>
      <c r="NPE39" s="595"/>
      <c r="NPF39" s="595"/>
      <c r="NPG39" s="595"/>
      <c r="NPH39" s="595"/>
      <c r="NPI39" s="595"/>
      <c r="NPJ39" s="595"/>
      <c r="NPK39" s="595"/>
      <c r="NPL39" s="595"/>
      <c r="NPM39" s="595"/>
      <c r="NPN39" s="595"/>
      <c r="NPO39" s="595"/>
      <c r="NPP39" s="595"/>
      <c r="NPQ39" s="595"/>
      <c r="NPR39" s="595"/>
      <c r="NPS39" s="595"/>
      <c r="NPT39" s="595"/>
      <c r="NPU39" s="595"/>
      <c r="NPV39" s="595"/>
      <c r="NPW39" s="595"/>
      <c r="NPX39" s="595"/>
      <c r="NPY39" s="595"/>
      <c r="NPZ39" s="595"/>
      <c r="NQA39" s="595"/>
      <c r="NQB39" s="595"/>
      <c r="NQC39" s="595"/>
      <c r="NQD39" s="595"/>
      <c r="NQE39" s="595"/>
      <c r="NQF39" s="595"/>
      <c r="NQG39" s="595"/>
      <c r="NQH39" s="595"/>
      <c r="NQI39" s="595"/>
      <c r="NQJ39" s="595"/>
      <c r="NQK39" s="595"/>
      <c r="NQL39" s="595"/>
      <c r="NQM39" s="595"/>
      <c r="NQN39" s="595"/>
      <c r="NQO39" s="595"/>
      <c r="NQP39" s="595"/>
      <c r="NQQ39" s="595"/>
      <c r="NQR39" s="595"/>
      <c r="NQS39" s="595"/>
      <c r="NQT39" s="595"/>
      <c r="NQU39" s="595"/>
      <c r="NQV39" s="595"/>
      <c r="NQW39" s="595"/>
      <c r="NQX39" s="595"/>
      <c r="NQY39" s="595"/>
      <c r="NQZ39" s="595"/>
      <c r="NRA39" s="595"/>
      <c r="NRB39" s="595"/>
      <c r="NRC39" s="595"/>
      <c r="NRD39" s="595"/>
      <c r="NRE39" s="595"/>
      <c r="NRF39" s="595"/>
      <c r="NRG39" s="595"/>
      <c r="NRH39" s="595"/>
      <c r="NRI39" s="595"/>
      <c r="NRJ39" s="595"/>
      <c r="NRK39" s="595"/>
      <c r="NRL39" s="595"/>
      <c r="NRM39" s="595"/>
      <c r="NRN39" s="595"/>
      <c r="NRO39" s="595"/>
      <c r="NRP39" s="595"/>
      <c r="NRQ39" s="595"/>
      <c r="NRR39" s="595"/>
      <c r="NRS39" s="595"/>
      <c r="NRT39" s="595"/>
      <c r="NRU39" s="595"/>
      <c r="NRV39" s="595"/>
      <c r="NRW39" s="595"/>
      <c r="NRX39" s="595"/>
      <c r="NRY39" s="595"/>
      <c r="NRZ39" s="595"/>
      <c r="NSA39" s="595"/>
      <c r="NSB39" s="595"/>
      <c r="NSC39" s="595"/>
      <c r="NSD39" s="595"/>
      <c r="NSE39" s="595"/>
      <c r="NSF39" s="595"/>
      <c r="NSG39" s="595"/>
      <c r="NSH39" s="595"/>
      <c r="NSI39" s="595"/>
      <c r="NSJ39" s="595"/>
      <c r="NSK39" s="595"/>
      <c r="NSL39" s="595"/>
      <c r="NSM39" s="595"/>
      <c r="NSN39" s="595"/>
      <c r="NSO39" s="595"/>
      <c r="NSP39" s="595"/>
      <c r="NSQ39" s="595"/>
      <c r="NSR39" s="595"/>
      <c r="NSS39" s="595"/>
      <c r="NST39" s="595"/>
      <c r="NSU39" s="595"/>
      <c r="NSV39" s="595"/>
      <c r="NSW39" s="595"/>
      <c r="NSX39" s="595"/>
      <c r="NSY39" s="595"/>
      <c r="NSZ39" s="595"/>
      <c r="NTA39" s="595"/>
      <c r="NTB39" s="595"/>
      <c r="NTC39" s="595"/>
      <c r="NTD39" s="595"/>
      <c r="NTE39" s="595"/>
      <c r="NTF39" s="595"/>
      <c r="NTG39" s="595"/>
      <c r="NTH39" s="595"/>
      <c r="NTI39" s="595"/>
      <c r="NTJ39" s="595"/>
      <c r="NTK39" s="595"/>
      <c r="NTL39" s="595"/>
      <c r="NTM39" s="595"/>
      <c r="NTN39" s="595"/>
      <c r="NTO39" s="595"/>
      <c r="NTP39" s="595"/>
      <c r="NTQ39" s="595"/>
      <c r="NTR39" s="595"/>
      <c r="NTS39" s="595"/>
      <c r="NTT39" s="595"/>
      <c r="NTU39" s="595"/>
      <c r="NTV39" s="595"/>
      <c r="NTW39" s="595"/>
      <c r="NTX39" s="595"/>
      <c r="NTY39" s="595"/>
      <c r="NTZ39" s="595"/>
      <c r="NUA39" s="595"/>
      <c r="NUB39" s="595"/>
      <c r="NUC39" s="595"/>
      <c r="NUD39" s="595"/>
      <c r="NUE39" s="595"/>
      <c r="NUF39" s="595"/>
      <c r="NUG39" s="595"/>
      <c r="NUH39" s="595"/>
      <c r="NUI39" s="595"/>
      <c r="NUJ39" s="595"/>
      <c r="NUK39" s="595"/>
      <c r="NUL39" s="595"/>
      <c r="NUM39" s="595"/>
      <c r="NUN39" s="595"/>
      <c r="NUO39" s="595"/>
      <c r="NUP39" s="595"/>
      <c r="NUQ39" s="595"/>
      <c r="NUR39" s="595"/>
      <c r="NUS39" s="595"/>
      <c r="NUT39" s="595"/>
      <c r="NUU39" s="595"/>
      <c r="NUV39" s="595"/>
      <c r="NUW39" s="595"/>
      <c r="NUX39" s="595"/>
      <c r="NUY39" s="595"/>
      <c r="NUZ39" s="595"/>
      <c r="NVA39" s="595"/>
      <c r="NVB39" s="595"/>
      <c r="NVC39" s="595"/>
      <c r="NVD39" s="595"/>
      <c r="NVE39" s="595"/>
      <c r="NVF39" s="595"/>
      <c r="NVG39" s="595"/>
      <c r="NVH39" s="595"/>
      <c r="NVI39" s="595"/>
      <c r="NVJ39" s="595"/>
      <c r="NVK39" s="595"/>
      <c r="NVL39" s="595"/>
      <c r="NVM39" s="595"/>
      <c r="NVN39" s="595"/>
      <c r="NVO39" s="595"/>
      <c r="NVP39" s="595"/>
      <c r="NVQ39" s="595"/>
      <c r="NVR39" s="595"/>
      <c r="NVS39" s="595"/>
      <c r="NVT39" s="595"/>
      <c r="NVU39" s="595"/>
      <c r="NVV39" s="595"/>
      <c r="NVW39" s="595"/>
      <c r="NVX39" s="595"/>
      <c r="NVY39" s="595"/>
      <c r="NVZ39" s="595"/>
      <c r="NWA39" s="595"/>
      <c r="NWB39" s="595"/>
      <c r="NWC39" s="595"/>
      <c r="NWD39" s="595"/>
      <c r="NWE39" s="595"/>
      <c r="NWF39" s="595"/>
      <c r="NWG39" s="595"/>
      <c r="NWH39" s="595"/>
      <c r="NWI39" s="595"/>
      <c r="NWJ39" s="595"/>
      <c r="NWK39" s="595"/>
      <c r="NWL39" s="595"/>
      <c r="NWM39" s="595"/>
      <c r="NWN39" s="595"/>
      <c r="NWO39" s="595"/>
      <c r="NWP39" s="595"/>
      <c r="NWQ39" s="595"/>
      <c r="NWR39" s="595"/>
      <c r="NWS39" s="595"/>
      <c r="NWT39" s="595"/>
      <c r="NWU39" s="595"/>
      <c r="NWV39" s="595"/>
      <c r="NWW39" s="595"/>
      <c r="NWX39" s="595"/>
      <c r="NWY39" s="595"/>
      <c r="NWZ39" s="595"/>
      <c r="NXA39" s="595"/>
      <c r="NXB39" s="595"/>
      <c r="NXC39" s="595"/>
      <c r="NXD39" s="595"/>
      <c r="NXE39" s="595"/>
      <c r="NXF39" s="595"/>
      <c r="NXG39" s="595"/>
      <c r="NXH39" s="595"/>
      <c r="NXI39" s="595"/>
      <c r="NXJ39" s="595"/>
      <c r="NXK39" s="595"/>
      <c r="NXL39" s="595"/>
      <c r="NXM39" s="595"/>
      <c r="NXN39" s="595"/>
      <c r="NXO39" s="595"/>
      <c r="NXP39" s="595"/>
      <c r="NXQ39" s="595"/>
      <c r="NXR39" s="595"/>
      <c r="NXS39" s="595"/>
      <c r="NXT39" s="595"/>
      <c r="NXU39" s="595"/>
      <c r="NXV39" s="595"/>
      <c r="NXW39" s="595"/>
      <c r="NXX39" s="595"/>
      <c r="NXY39" s="595"/>
      <c r="NXZ39" s="595"/>
      <c r="NYA39" s="595"/>
      <c r="NYB39" s="595"/>
      <c r="NYC39" s="595"/>
      <c r="NYD39" s="595"/>
      <c r="NYE39" s="595"/>
      <c r="NYF39" s="595"/>
      <c r="NYG39" s="595"/>
      <c r="NYH39" s="595"/>
      <c r="NYI39" s="595"/>
      <c r="NYJ39" s="595"/>
      <c r="NYK39" s="595"/>
      <c r="NYL39" s="595"/>
      <c r="NYM39" s="595"/>
      <c r="NYN39" s="595"/>
      <c r="NYO39" s="595"/>
      <c r="NYP39" s="595"/>
      <c r="NYQ39" s="595"/>
      <c r="NYR39" s="595"/>
      <c r="NYS39" s="595"/>
      <c r="NYT39" s="595"/>
      <c r="NYU39" s="595"/>
      <c r="NYV39" s="595"/>
      <c r="NYW39" s="595"/>
      <c r="NYX39" s="595"/>
      <c r="NYY39" s="595"/>
      <c r="NYZ39" s="595"/>
      <c r="NZA39" s="595"/>
      <c r="NZB39" s="595"/>
      <c r="NZC39" s="595"/>
      <c r="NZD39" s="595"/>
      <c r="NZE39" s="595"/>
      <c r="NZF39" s="595"/>
      <c r="NZG39" s="595"/>
      <c r="NZH39" s="595"/>
      <c r="NZI39" s="595"/>
      <c r="NZJ39" s="595"/>
      <c r="NZK39" s="595"/>
      <c r="NZL39" s="595"/>
      <c r="NZM39" s="595"/>
      <c r="NZN39" s="595"/>
      <c r="NZO39" s="595"/>
      <c r="NZP39" s="595"/>
      <c r="NZQ39" s="595"/>
      <c r="NZR39" s="595"/>
      <c r="NZS39" s="595"/>
      <c r="NZT39" s="595"/>
      <c r="NZU39" s="595"/>
      <c r="NZV39" s="595"/>
      <c r="NZW39" s="595"/>
      <c r="NZX39" s="595"/>
      <c r="NZY39" s="595"/>
      <c r="NZZ39" s="595"/>
      <c r="OAA39" s="595"/>
      <c r="OAB39" s="595"/>
      <c r="OAC39" s="595"/>
      <c r="OAD39" s="595"/>
      <c r="OAE39" s="595"/>
      <c r="OAF39" s="595"/>
      <c r="OAG39" s="595"/>
      <c r="OAH39" s="595"/>
      <c r="OAI39" s="595"/>
      <c r="OAJ39" s="595"/>
      <c r="OAK39" s="595"/>
      <c r="OAL39" s="595"/>
      <c r="OAM39" s="595"/>
      <c r="OAN39" s="595"/>
      <c r="OAO39" s="595"/>
      <c r="OAP39" s="595"/>
      <c r="OAQ39" s="595"/>
      <c r="OAR39" s="595"/>
      <c r="OAS39" s="595"/>
      <c r="OAT39" s="595"/>
      <c r="OAU39" s="595"/>
      <c r="OAV39" s="595"/>
      <c r="OAW39" s="595"/>
      <c r="OAX39" s="595"/>
      <c r="OAY39" s="595"/>
      <c r="OAZ39" s="595"/>
      <c r="OBA39" s="595"/>
      <c r="OBB39" s="595"/>
      <c r="OBC39" s="595"/>
      <c r="OBD39" s="595"/>
      <c r="OBE39" s="595"/>
      <c r="OBF39" s="595"/>
      <c r="OBG39" s="595"/>
      <c r="OBH39" s="595"/>
      <c r="OBI39" s="595"/>
      <c r="OBJ39" s="595"/>
      <c r="OBK39" s="595"/>
      <c r="OBL39" s="595"/>
      <c r="OBM39" s="595"/>
      <c r="OBN39" s="595"/>
      <c r="OBO39" s="595"/>
      <c r="OBP39" s="595"/>
      <c r="OBQ39" s="595"/>
      <c r="OBR39" s="595"/>
      <c r="OBS39" s="595"/>
      <c r="OBT39" s="595"/>
      <c r="OBU39" s="595"/>
      <c r="OBV39" s="595"/>
      <c r="OBW39" s="595"/>
      <c r="OBX39" s="595"/>
      <c r="OBY39" s="595"/>
      <c r="OBZ39" s="595"/>
      <c r="OCA39" s="595"/>
      <c r="OCB39" s="595"/>
      <c r="OCC39" s="595"/>
      <c r="OCD39" s="595"/>
      <c r="OCE39" s="595"/>
      <c r="OCF39" s="595"/>
      <c r="OCG39" s="595"/>
      <c r="OCH39" s="595"/>
      <c r="OCI39" s="595"/>
      <c r="OCJ39" s="595"/>
      <c r="OCK39" s="595"/>
      <c r="OCL39" s="595"/>
      <c r="OCM39" s="595"/>
      <c r="OCN39" s="595"/>
      <c r="OCO39" s="595"/>
      <c r="OCP39" s="595"/>
      <c r="OCQ39" s="595"/>
      <c r="OCR39" s="595"/>
      <c r="OCS39" s="595"/>
      <c r="OCT39" s="595"/>
      <c r="OCU39" s="595"/>
      <c r="OCV39" s="595"/>
      <c r="OCW39" s="595"/>
      <c r="OCX39" s="595"/>
      <c r="OCY39" s="595"/>
      <c r="OCZ39" s="595"/>
      <c r="ODA39" s="595"/>
      <c r="ODB39" s="595"/>
      <c r="ODC39" s="595"/>
      <c r="ODD39" s="595"/>
      <c r="ODE39" s="595"/>
      <c r="ODF39" s="595"/>
      <c r="ODG39" s="595"/>
      <c r="ODH39" s="595"/>
      <c r="ODI39" s="595"/>
      <c r="ODJ39" s="595"/>
      <c r="ODK39" s="595"/>
      <c r="ODL39" s="595"/>
      <c r="ODM39" s="595"/>
      <c r="ODN39" s="595"/>
      <c r="ODO39" s="595"/>
      <c r="ODP39" s="595"/>
      <c r="ODQ39" s="595"/>
      <c r="ODR39" s="595"/>
      <c r="ODS39" s="595"/>
      <c r="ODT39" s="595"/>
      <c r="ODU39" s="595"/>
      <c r="ODV39" s="595"/>
      <c r="ODW39" s="595"/>
      <c r="ODX39" s="595"/>
      <c r="ODY39" s="595"/>
      <c r="ODZ39" s="595"/>
      <c r="OEA39" s="595"/>
      <c r="OEB39" s="595"/>
      <c r="OEC39" s="595"/>
      <c r="OED39" s="595"/>
      <c r="OEE39" s="595"/>
      <c r="OEF39" s="595"/>
      <c r="OEG39" s="595"/>
      <c r="OEH39" s="595"/>
      <c r="OEI39" s="595"/>
      <c r="OEJ39" s="595"/>
      <c r="OEK39" s="595"/>
      <c r="OEL39" s="595"/>
      <c r="OEM39" s="595"/>
      <c r="OEN39" s="595"/>
      <c r="OEO39" s="595"/>
      <c r="OEP39" s="595"/>
      <c r="OEQ39" s="595"/>
      <c r="OER39" s="595"/>
      <c r="OES39" s="595"/>
      <c r="OET39" s="595"/>
      <c r="OEU39" s="595"/>
      <c r="OEV39" s="595"/>
      <c r="OEW39" s="595"/>
      <c r="OEX39" s="595"/>
      <c r="OEY39" s="595"/>
      <c r="OEZ39" s="595"/>
      <c r="OFA39" s="595"/>
      <c r="OFB39" s="595"/>
      <c r="OFC39" s="595"/>
      <c r="OFD39" s="595"/>
      <c r="OFE39" s="595"/>
      <c r="OFF39" s="595"/>
      <c r="OFG39" s="595"/>
      <c r="OFH39" s="595"/>
      <c r="OFI39" s="595"/>
      <c r="OFJ39" s="595"/>
      <c r="OFK39" s="595"/>
      <c r="OFL39" s="595"/>
      <c r="OFM39" s="595"/>
      <c r="OFN39" s="595"/>
      <c r="OFO39" s="595"/>
      <c r="OFP39" s="595"/>
      <c r="OFQ39" s="595"/>
      <c r="OFR39" s="595"/>
      <c r="OFS39" s="595"/>
      <c r="OFT39" s="595"/>
      <c r="OFU39" s="595"/>
      <c r="OFV39" s="595"/>
      <c r="OFW39" s="595"/>
      <c r="OFX39" s="595"/>
      <c r="OFY39" s="595"/>
      <c r="OFZ39" s="595"/>
      <c r="OGA39" s="595"/>
      <c r="OGB39" s="595"/>
      <c r="OGC39" s="595"/>
      <c r="OGD39" s="595"/>
      <c r="OGE39" s="595"/>
      <c r="OGF39" s="595"/>
      <c r="OGG39" s="595"/>
      <c r="OGH39" s="595"/>
      <c r="OGI39" s="595"/>
      <c r="OGJ39" s="595"/>
      <c r="OGK39" s="595"/>
      <c r="OGL39" s="595"/>
      <c r="OGM39" s="595"/>
      <c r="OGN39" s="595"/>
      <c r="OGO39" s="595"/>
      <c r="OGP39" s="595"/>
      <c r="OGQ39" s="595"/>
      <c r="OGR39" s="595"/>
      <c r="OGS39" s="595"/>
      <c r="OGT39" s="595"/>
      <c r="OGU39" s="595"/>
      <c r="OGV39" s="595"/>
      <c r="OGW39" s="595"/>
      <c r="OGX39" s="595"/>
      <c r="OGY39" s="595"/>
      <c r="OGZ39" s="595"/>
      <c r="OHA39" s="595"/>
      <c r="OHB39" s="595"/>
      <c r="OHC39" s="595"/>
      <c r="OHD39" s="595"/>
      <c r="OHE39" s="595"/>
      <c r="OHF39" s="595"/>
      <c r="OHG39" s="595"/>
      <c r="OHH39" s="595"/>
      <c r="OHI39" s="595"/>
      <c r="OHJ39" s="595"/>
      <c r="OHK39" s="595"/>
      <c r="OHL39" s="595"/>
      <c r="OHM39" s="595"/>
      <c r="OHN39" s="595"/>
      <c r="OHO39" s="595"/>
      <c r="OHP39" s="595"/>
      <c r="OHQ39" s="595"/>
      <c r="OHR39" s="595"/>
      <c r="OHS39" s="595"/>
      <c r="OHT39" s="595"/>
      <c r="OHU39" s="595"/>
      <c r="OHV39" s="595"/>
      <c r="OHW39" s="595"/>
      <c r="OHX39" s="595"/>
      <c r="OHY39" s="595"/>
      <c r="OHZ39" s="595"/>
      <c r="OIA39" s="595"/>
      <c r="OIB39" s="595"/>
      <c r="OIC39" s="595"/>
      <c r="OID39" s="595"/>
      <c r="OIE39" s="595"/>
      <c r="OIF39" s="595"/>
      <c r="OIG39" s="595"/>
      <c r="OIH39" s="595"/>
      <c r="OII39" s="595"/>
      <c r="OIJ39" s="595"/>
      <c r="OIK39" s="595"/>
      <c r="OIL39" s="595"/>
      <c r="OIM39" s="595"/>
      <c r="OIN39" s="595"/>
      <c r="OIO39" s="595"/>
      <c r="OIP39" s="595"/>
      <c r="OIQ39" s="595"/>
      <c r="OIR39" s="595"/>
      <c r="OIS39" s="595"/>
      <c r="OIT39" s="595"/>
      <c r="OIU39" s="595"/>
      <c r="OIV39" s="595"/>
      <c r="OIW39" s="595"/>
      <c r="OIX39" s="595"/>
      <c r="OIY39" s="595"/>
      <c r="OIZ39" s="595"/>
      <c r="OJA39" s="595"/>
      <c r="OJB39" s="595"/>
      <c r="OJC39" s="595"/>
      <c r="OJD39" s="595"/>
      <c r="OJE39" s="595"/>
      <c r="OJF39" s="595"/>
      <c r="OJG39" s="595"/>
      <c r="OJH39" s="595"/>
      <c r="OJI39" s="595"/>
      <c r="OJJ39" s="595"/>
      <c r="OJK39" s="595"/>
      <c r="OJL39" s="595"/>
      <c r="OJM39" s="595"/>
      <c r="OJN39" s="595"/>
      <c r="OJO39" s="595"/>
      <c r="OJP39" s="595"/>
      <c r="OJQ39" s="595"/>
      <c r="OJR39" s="595"/>
      <c r="OJS39" s="595"/>
      <c r="OJT39" s="595"/>
      <c r="OJU39" s="595"/>
      <c r="OJV39" s="595"/>
      <c r="OJW39" s="595"/>
      <c r="OJX39" s="595"/>
      <c r="OJY39" s="595"/>
      <c r="OJZ39" s="595"/>
      <c r="OKA39" s="595"/>
      <c r="OKB39" s="595"/>
      <c r="OKC39" s="595"/>
      <c r="OKD39" s="595"/>
      <c r="OKE39" s="595"/>
      <c r="OKF39" s="595"/>
      <c r="OKG39" s="595"/>
      <c r="OKH39" s="595"/>
      <c r="OKI39" s="595"/>
      <c r="OKJ39" s="595"/>
      <c r="OKK39" s="595"/>
      <c r="OKL39" s="595"/>
      <c r="OKM39" s="595"/>
      <c r="OKN39" s="595"/>
      <c r="OKO39" s="595"/>
      <c r="OKP39" s="595"/>
      <c r="OKQ39" s="595"/>
      <c r="OKR39" s="595"/>
      <c r="OKS39" s="595"/>
      <c r="OKT39" s="595"/>
      <c r="OKU39" s="595"/>
      <c r="OKV39" s="595"/>
      <c r="OKW39" s="595"/>
      <c r="OKX39" s="595"/>
      <c r="OKY39" s="595"/>
      <c r="OKZ39" s="595"/>
      <c r="OLA39" s="595"/>
      <c r="OLB39" s="595"/>
      <c r="OLC39" s="595"/>
      <c r="OLD39" s="595"/>
      <c r="OLE39" s="595"/>
      <c r="OLF39" s="595"/>
      <c r="OLG39" s="595"/>
      <c r="OLH39" s="595"/>
      <c r="OLI39" s="595"/>
      <c r="OLJ39" s="595"/>
      <c r="OLK39" s="595"/>
      <c r="OLL39" s="595"/>
      <c r="OLM39" s="595"/>
      <c r="OLN39" s="595"/>
      <c r="OLO39" s="595"/>
      <c r="OLP39" s="595"/>
      <c r="OLQ39" s="595"/>
      <c r="OLR39" s="595"/>
      <c r="OLS39" s="595"/>
      <c r="OLT39" s="595"/>
      <c r="OLU39" s="595"/>
      <c r="OLV39" s="595"/>
      <c r="OLW39" s="595"/>
      <c r="OLX39" s="595"/>
      <c r="OLY39" s="595"/>
      <c r="OLZ39" s="595"/>
      <c r="OMA39" s="595"/>
      <c r="OMB39" s="595"/>
      <c r="OMC39" s="595"/>
      <c r="OMD39" s="595"/>
      <c r="OME39" s="595"/>
      <c r="OMF39" s="595"/>
      <c r="OMG39" s="595"/>
      <c r="OMH39" s="595"/>
      <c r="OMI39" s="595"/>
      <c r="OMJ39" s="595"/>
      <c r="OMK39" s="595"/>
      <c r="OML39" s="595"/>
      <c r="OMM39" s="595"/>
      <c r="OMN39" s="595"/>
      <c r="OMO39" s="595"/>
      <c r="OMP39" s="595"/>
      <c r="OMQ39" s="595"/>
      <c r="OMR39" s="595"/>
      <c r="OMS39" s="595"/>
      <c r="OMT39" s="595"/>
      <c r="OMU39" s="595"/>
      <c r="OMV39" s="595"/>
      <c r="OMW39" s="595"/>
      <c r="OMX39" s="595"/>
      <c r="OMY39" s="595"/>
      <c r="OMZ39" s="595"/>
      <c r="ONA39" s="595"/>
      <c r="ONB39" s="595"/>
      <c r="ONC39" s="595"/>
      <c r="OND39" s="595"/>
      <c r="ONE39" s="595"/>
      <c r="ONF39" s="595"/>
      <c r="ONG39" s="595"/>
      <c r="ONH39" s="595"/>
      <c r="ONI39" s="595"/>
      <c r="ONJ39" s="595"/>
      <c r="ONK39" s="595"/>
      <c r="ONL39" s="595"/>
      <c r="ONM39" s="595"/>
      <c r="ONN39" s="595"/>
      <c r="ONO39" s="595"/>
      <c r="ONP39" s="595"/>
      <c r="ONQ39" s="595"/>
      <c r="ONR39" s="595"/>
      <c r="ONS39" s="595"/>
      <c r="ONT39" s="595"/>
      <c r="ONU39" s="595"/>
      <c r="ONV39" s="595"/>
      <c r="ONW39" s="595"/>
      <c r="ONX39" s="595"/>
      <c r="ONY39" s="595"/>
      <c r="ONZ39" s="595"/>
      <c r="OOA39" s="595"/>
      <c r="OOB39" s="595"/>
      <c r="OOC39" s="595"/>
      <c r="OOD39" s="595"/>
      <c r="OOE39" s="595"/>
      <c r="OOF39" s="595"/>
      <c r="OOG39" s="595"/>
      <c r="OOH39" s="595"/>
      <c r="OOI39" s="595"/>
      <c r="OOJ39" s="595"/>
      <c r="OOK39" s="595"/>
      <c r="OOL39" s="595"/>
      <c r="OOM39" s="595"/>
      <c r="OON39" s="595"/>
      <c r="OOO39" s="595"/>
      <c r="OOP39" s="595"/>
      <c r="OOQ39" s="595"/>
      <c r="OOR39" s="595"/>
      <c r="OOS39" s="595"/>
      <c r="OOT39" s="595"/>
      <c r="OOU39" s="595"/>
      <c r="OOV39" s="595"/>
      <c r="OOW39" s="595"/>
      <c r="OOX39" s="595"/>
      <c r="OOY39" s="595"/>
      <c r="OOZ39" s="595"/>
      <c r="OPA39" s="595"/>
      <c r="OPB39" s="595"/>
      <c r="OPC39" s="595"/>
      <c r="OPD39" s="595"/>
      <c r="OPE39" s="595"/>
      <c r="OPF39" s="595"/>
      <c r="OPG39" s="595"/>
      <c r="OPH39" s="595"/>
      <c r="OPI39" s="595"/>
      <c r="OPJ39" s="595"/>
      <c r="OPK39" s="595"/>
      <c r="OPL39" s="595"/>
      <c r="OPM39" s="595"/>
      <c r="OPN39" s="595"/>
      <c r="OPO39" s="595"/>
      <c r="OPP39" s="595"/>
      <c r="OPQ39" s="595"/>
      <c r="OPR39" s="595"/>
      <c r="OPS39" s="595"/>
      <c r="OPT39" s="595"/>
      <c r="OPU39" s="595"/>
      <c r="OPV39" s="595"/>
      <c r="OPW39" s="595"/>
      <c r="OPX39" s="595"/>
      <c r="OPY39" s="595"/>
      <c r="OPZ39" s="595"/>
      <c r="OQA39" s="595"/>
      <c r="OQB39" s="595"/>
      <c r="OQC39" s="595"/>
      <c r="OQD39" s="595"/>
      <c r="OQE39" s="595"/>
      <c r="OQF39" s="595"/>
      <c r="OQG39" s="595"/>
      <c r="OQH39" s="595"/>
      <c r="OQI39" s="595"/>
      <c r="OQJ39" s="595"/>
      <c r="OQK39" s="595"/>
      <c r="OQL39" s="595"/>
      <c r="OQM39" s="595"/>
      <c r="OQN39" s="595"/>
      <c r="OQO39" s="595"/>
      <c r="OQP39" s="595"/>
      <c r="OQQ39" s="595"/>
      <c r="OQR39" s="595"/>
      <c r="OQS39" s="595"/>
      <c r="OQT39" s="595"/>
      <c r="OQU39" s="595"/>
      <c r="OQV39" s="595"/>
      <c r="OQW39" s="595"/>
      <c r="OQX39" s="595"/>
      <c r="OQY39" s="595"/>
      <c r="OQZ39" s="595"/>
      <c r="ORA39" s="595"/>
      <c r="ORB39" s="595"/>
      <c r="ORC39" s="595"/>
      <c r="ORD39" s="595"/>
      <c r="ORE39" s="595"/>
      <c r="ORF39" s="595"/>
      <c r="ORG39" s="595"/>
      <c r="ORH39" s="595"/>
      <c r="ORI39" s="595"/>
      <c r="ORJ39" s="595"/>
      <c r="ORK39" s="595"/>
      <c r="ORL39" s="595"/>
      <c r="ORM39" s="595"/>
      <c r="ORN39" s="595"/>
      <c r="ORO39" s="595"/>
      <c r="ORP39" s="595"/>
      <c r="ORQ39" s="595"/>
      <c r="ORR39" s="595"/>
      <c r="ORS39" s="595"/>
      <c r="ORT39" s="595"/>
      <c r="ORU39" s="595"/>
      <c r="ORV39" s="595"/>
      <c r="ORW39" s="595"/>
      <c r="ORX39" s="595"/>
      <c r="ORY39" s="595"/>
      <c r="ORZ39" s="595"/>
      <c r="OSA39" s="595"/>
      <c r="OSB39" s="595"/>
      <c r="OSC39" s="595"/>
      <c r="OSD39" s="595"/>
      <c r="OSE39" s="595"/>
      <c r="OSF39" s="595"/>
      <c r="OSG39" s="595"/>
      <c r="OSH39" s="595"/>
      <c r="OSI39" s="595"/>
      <c r="OSJ39" s="595"/>
      <c r="OSK39" s="595"/>
      <c r="OSL39" s="595"/>
      <c r="OSM39" s="595"/>
      <c r="OSN39" s="595"/>
      <c r="OSO39" s="595"/>
      <c r="OSP39" s="595"/>
      <c r="OSQ39" s="595"/>
      <c r="OSR39" s="595"/>
      <c r="OSS39" s="595"/>
      <c r="OST39" s="595"/>
      <c r="OSU39" s="595"/>
      <c r="OSV39" s="595"/>
      <c r="OSW39" s="595"/>
      <c r="OSX39" s="595"/>
      <c r="OSY39" s="595"/>
      <c r="OSZ39" s="595"/>
      <c r="OTA39" s="595"/>
      <c r="OTB39" s="595"/>
      <c r="OTC39" s="595"/>
      <c r="OTD39" s="595"/>
      <c r="OTE39" s="595"/>
      <c r="OTF39" s="595"/>
      <c r="OTG39" s="595"/>
      <c r="OTH39" s="595"/>
      <c r="OTI39" s="595"/>
      <c r="OTJ39" s="595"/>
      <c r="OTK39" s="595"/>
      <c r="OTL39" s="595"/>
      <c r="OTM39" s="595"/>
      <c r="OTN39" s="595"/>
      <c r="OTO39" s="595"/>
      <c r="OTP39" s="595"/>
      <c r="OTQ39" s="595"/>
      <c r="OTR39" s="595"/>
      <c r="OTS39" s="595"/>
      <c r="OTT39" s="595"/>
      <c r="OTU39" s="595"/>
      <c r="OTV39" s="595"/>
      <c r="OTW39" s="595"/>
      <c r="OTX39" s="595"/>
      <c r="OTY39" s="595"/>
      <c r="OTZ39" s="595"/>
      <c r="OUA39" s="595"/>
      <c r="OUB39" s="595"/>
      <c r="OUC39" s="595"/>
      <c r="OUD39" s="595"/>
      <c r="OUE39" s="595"/>
      <c r="OUF39" s="595"/>
      <c r="OUG39" s="595"/>
      <c r="OUH39" s="595"/>
      <c r="OUI39" s="595"/>
      <c r="OUJ39" s="595"/>
      <c r="OUK39" s="595"/>
      <c r="OUL39" s="595"/>
      <c r="OUM39" s="595"/>
      <c r="OUN39" s="595"/>
      <c r="OUO39" s="595"/>
      <c r="OUP39" s="595"/>
      <c r="OUQ39" s="595"/>
      <c r="OUR39" s="595"/>
      <c r="OUS39" s="595"/>
      <c r="OUT39" s="595"/>
      <c r="OUU39" s="595"/>
      <c r="OUV39" s="595"/>
      <c r="OUW39" s="595"/>
      <c r="OUX39" s="595"/>
      <c r="OUY39" s="595"/>
      <c r="OUZ39" s="595"/>
      <c r="OVA39" s="595"/>
      <c r="OVB39" s="595"/>
      <c r="OVC39" s="595"/>
      <c r="OVD39" s="595"/>
      <c r="OVE39" s="595"/>
      <c r="OVF39" s="595"/>
      <c r="OVG39" s="595"/>
      <c r="OVH39" s="595"/>
      <c r="OVI39" s="595"/>
      <c r="OVJ39" s="595"/>
      <c r="OVK39" s="595"/>
      <c r="OVL39" s="595"/>
      <c r="OVM39" s="595"/>
      <c r="OVN39" s="595"/>
      <c r="OVO39" s="595"/>
      <c r="OVP39" s="595"/>
      <c r="OVQ39" s="595"/>
      <c r="OVR39" s="595"/>
      <c r="OVS39" s="595"/>
      <c r="OVT39" s="595"/>
      <c r="OVU39" s="595"/>
      <c r="OVV39" s="595"/>
      <c r="OVW39" s="595"/>
      <c r="OVX39" s="595"/>
      <c r="OVY39" s="595"/>
      <c r="OVZ39" s="595"/>
      <c r="OWA39" s="595"/>
      <c r="OWB39" s="595"/>
      <c r="OWC39" s="595"/>
      <c r="OWD39" s="595"/>
      <c r="OWE39" s="595"/>
      <c r="OWF39" s="595"/>
      <c r="OWG39" s="595"/>
      <c r="OWH39" s="595"/>
      <c r="OWI39" s="595"/>
      <c r="OWJ39" s="595"/>
      <c r="OWK39" s="595"/>
      <c r="OWL39" s="595"/>
      <c r="OWM39" s="595"/>
      <c r="OWN39" s="595"/>
      <c r="OWO39" s="595"/>
      <c r="OWP39" s="595"/>
      <c r="OWQ39" s="595"/>
      <c r="OWR39" s="595"/>
      <c r="OWS39" s="595"/>
      <c r="OWT39" s="595"/>
      <c r="OWU39" s="595"/>
      <c r="OWV39" s="595"/>
      <c r="OWW39" s="595"/>
      <c r="OWX39" s="595"/>
      <c r="OWY39" s="595"/>
      <c r="OWZ39" s="595"/>
      <c r="OXA39" s="595"/>
      <c r="OXB39" s="595"/>
      <c r="OXC39" s="595"/>
      <c r="OXD39" s="595"/>
      <c r="OXE39" s="595"/>
      <c r="OXF39" s="595"/>
      <c r="OXG39" s="595"/>
      <c r="OXH39" s="595"/>
      <c r="OXI39" s="595"/>
      <c r="OXJ39" s="595"/>
      <c r="OXK39" s="595"/>
      <c r="OXL39" s="595"/>
      <c r="OXM39" s="595"/>
      <c r="OXN39" s="595"/>
      <c r="OXO39" s="595"/>
      <c r="OXP39" s="595"/>
      <c r="OXQ39" s="595"/>
      <c r="OXR39" s="595"/>
      <c r="OXS39" s="595"/>
      <c r="OXT39" s="595"/>
      <c r="OXU39" s="595"/>
      <c r="OXV39" s="595"/>
      <c r="OXW39" s="595"/>
      <c r="OXX39" s="595"/>
      <c r="OXY39" s="595"/>
      <c r="OXZ39" s="595"/>
      <c r="OYA39" s="595"/>
      <c r="OYB39" s="595"/>
      <c r="OYC39" s="595"/>
      <c r="OYD39" s="595"/>
      <c r="OYE39" s="595"/>
      <c r="OYF39" s="595"/>
      <c r="OYG39" s="595"/>
      <c r="OYH39" s="595"/>
      <c r="OYI39" s="595"/>
      <c r="OYJ39" s="595"/>
      <c r="OYK39" s="595"/>
      <c r="OYL39" s="595"/>
      <c r="OYM39" s="595"/>
      <c r="OYN39" s="595"/>
      <c r="OYO39" s="595"/>
      <c r="OYP39" s="595"/>
      <c r="OYQ39" s="595"/>
      <c r="OYR39" s="595"/>
      <c r="OYS39" s="595"/>
      <c r="OYT39" s="595"/>
      <c r="OYU39" s="595"/>
      <c r="OYV39" s="595"/>
      <c r="OYW39" s="595"/>
      <c r="OYX39" s="595"/>
      <c r="OYY39" s="595"/>
      <c r="OYZ39" s="595"/>
      <c r="OZA39" s="595"/>
      <c r="OZB39" s="595"/>
      <c r="OZC39" s="595"/>
      <c r="OZD39" s="595"/>
      <c r="OZE39" s="595"/>
      <c r="OZF39" s="595"/>
      <c r="OZG39" s="595"/>
      <c r="OZH39" s="595"/>
      <c r="OZI39" s="595"/>
      <c r="OZJ39" s="595"/>
      <c r="OZK39" s="595"/>
      <c r="OZL39" s="595"/>
      <c r="OZM39" s="595"/>
      <c r="OZN39" s="595"/>
      <c r="OZO39" s="595"/>
      <c r="OZP39" s="595"/>
      <c r="OZQ39" s="595"/>
      <c r="OZR39" s="595"/>
      <c r="OZS39" s="595"/>
      <c r="OZT39" s="595"/>
      <c r="OZU39" s="595"/>
      <c r="OZV39" s="595"/>
      <c r="OZW39" s="595"/>
      <c r="OZX39" s="595"/>
      <c r="OZY39" s="595"/>
      <c r="OZZ39" s="595"/>
      <c r="PAA39" s="595"/>
      <c r="PAB39" s="595"/>
      <c r="PAC39" s="595"/>
      <c r="PAD39" s="595"/>
      <c r="PAE39" s="595"/>
      <c r="PAF39" s="595"/>
      <c r="PAG39" s="595"/>
      <c r="PAH39" s="595"/>
      <c r="PAI39" s="595"/>
      <c r="PAJ39" s="595"/>
      <c r="PAK39" s="595"/>
      <c r="PAL39" s="595"/>
      <c r="PAM39" s="595"/>
      <c r="PAN39" s="595"/>
      <c r="PAO39" s="595"/>
      <c r="PAP39" s="595"/>
      <c r="PAQ39" s="595"/>
      <c r="PAR39" s="595"/>
      <c r="PAS39" s="595"/>
      <c r="PAT39" s="595"/>
      <c r="PAU39" s="595"/>
      <c r="PAV39" s="595"/>
      <c r="PAW39" s="595"/>
      <c r="PAX39" s="595"/>
      <c r="PAY39" s="595"/>
      <c r="PAZ39" s="595"/>
      <c r="PBA39" s="595"/>
      <c r="PBB39" s="595"/>
      <c r="PBC39" s="595"/>
      <c r="PBD39" s="595"/>
      <c r="PBE39" s="595"/>
      <c r="PBF39" s="595"/>
      <c r="PBG39" s="595"/>
      <c r="PBH39" s="595"/>
      <c r="PBI39" s="595"/>
      <c r="PBJ39" s="595"/>
      <c r="PBK39" s="595"/>
      <c r="PBL39" s="595"/>
      <c r="PBM39" s="595"/>
      <c r="PBN39" s="595"/>
      <c r="PBO39" s="595"/>
      <c r="PBP39" s="595"/>
      <c r="PBQ39" s="595"/>
      <c r="PBR39" s="595"/>
      <c r="PBS39" s="595"/>
      <c r="PBT39" s="595"/>
      <c r="PBU39" s="595"/>
      <c r="PBV39" s="595"/>
      <c r="PBW39" s="595"/>
      <c r="PBX39" s="595"/>
      <c r="PBY39" s="595"/>
      <c r="PBZ39" s="595"/>
      <c r="PCA39" s="595"/>
      <c r="PCB39" s="595"/>
      <c r="PCC39" s="595"/>
      <c r="PCD39" s="595"/>
      <c r="PCE39" s="595"/>
      <c r="PCF39" s="595"/>
      <c r="PCG39" s="595"/>
      <c r="PCH39" s="595"/>
      <c r="PCI39" s="595"/>
      <c r="PCJ39" s="595"/>
      <c r="PCK39" s="595"/>
      <c r="PCL39" s="595"/>
      <c r="PCM39" s="595"/>
      <c r="PCN39" s="595"/>
      <c r="PCO39" s="595"/>
      <c r="PCP39" s="595"/>
      <c r="PCQ39" s="595"/>
      <c r="PCR39" s="595"/>
      <c r="PCS39" s="595"/>
      <c r="PCT39" s="595"/>
      <c r="PCU39" s="595"/>
      <c r="PCV39" s="595"/>
      <c r="PCW39" s="595"/>
      <c r="PCX39" s="595"/>
      <c r="PCY39" s="595"/>
      <c r="PCZ39" s="595"/>
      <c r="PDA39" s="595"/>
      <c r="PDB39" s="595"/>
      <c r="PDC39" s="595"/>
      <c r="PDD39" s="595"/>
      <c r="PDE39" s="595"/>
      <c r="PDF39" s="595"/>
      <c r="PDG39" s="595"/>
      <c r="PDH39" s="595"/>
      <c r="PDI39" s="595"/>
      <c r="PDJ39" s="595"/>
      <c r="PDK39" s="595"/>
      <c r="PDL39" s="595"/>
      <c r="PDM39" s="595"/>
      <c r="PDN39" s="595"/>
      <c r="PDO39" s="595"/>
      <c r="PDP39" s="595"/>
      <c r="PDQ39" s="595"/>
      <c r="PDR39" s="595"/>
      <c r="PDS39" s="595"/>
      <c r="PDT39" s="595"/>
      <c r="PDU39" s="595"/>
      <c r="PDV39" s="595"/>
      <c r="PDW39" s="595"/>
      <c r="PDX39" s="595"/>
      <c r="PDY39" s="595"/>
      <c r="PDZ39" s="595"/>
      <c r="PEA39" s="595"/>
      <c r="PEB39" s="595"/>
      <c r="PEC39" s="595"/>
      <c r="PED39" s="595"/>
      <c r="PEE39" s="595"/>
      <c r="PEF39" s="595"/>
      <c r="PEG39" s="595"/>
      <c r="PEH39" s="595"/>
      <c r="PEI39" s="595"/>
      <c r="PEJ39" s="595"/>
      <c r="PEK39" s="595"/>
      <c r="PEL39" s="595"/>
      <c r="PEM39" s="595"/>
      <c r="PEN39" s="595"/>
      <c r="PEO39" s="595"/>
      <c r="PEP39" s="595"/>
      <c r="PEQ39" s="595"/>
      <c r="PER39" s="595"/>
      <c r="PES39" s="595"/>
      <c r="PET39" s="595"/>
      <c r="PEU39" s="595"/>
      <c r="PEV39" s="595"/>
      <c r="PEW39" s="595"/>
      <c r="PEX39" s="595"/>
      <c r="PEY39" s="595"/>
      <c r="PEZ39" s="595"/>
      <c r="PFA39" s="595"/>
      <c r="PFB39" s="595"/>
      <c r="PFC39" s="595"/>
      <c r="PFD39" s="595"/>
      <c r="PFE39" s="595"/>
      <c r="PFF39" s="595"/>
      <c r="PFG39" s="595"/>
      <c r="PFH39" s="595"/>
      <c r="PFI39" s="595"/>
      <c r="PFJ39" s="595"/>
      <c r="PFK39" s="595"/>
      <c r="PFL39" s="595"/>
      <c r="PFM39" s="595"/>
      <c r="PFN39" s="595"/>
      <c r="PFO39" s="595"/>
      <c r="PFP39" s="595"/>
      <c r="PFQ39" s="595"/>
      <c r="PFR39" s="595"/>
      <c r="PFS39" s="595"/>
      <c r="PFT39" s="595"/>
      <c r="PFU39" s="595"/>
      <c r="PFV39" s="595"/>
      <c r="PFW39" s="595"/>
      <c r="PFX39" s="595"/>
      <c r="PFY39" s="595"/>
      <c r="PFZ39" s="595"/>
      <c r="PGA39" s="595"/>
      <c r="PGB39" s="595"/>
      <c r="PGC39" s="595"/>
      <c r="PGD39" s="595"/>
      <c r="PGE39" s="595"/>
      <c r="PGF39" s="595"/>
      <c r="PGG39" s="595"/>
      <c r="PGH39" s="595"/>
      <c r="PGI39" s="595"/>
      <c r="PGJ39" s="595"/>
      <c r="PGK39" s="595"/>
      <c r="PGL39" s="595"/>
      <c r="PGM39" s="595"/>
      <c r="PGN39" s="595"/>
      <c r="PGO39" s="595"/>
      <c r="PGP39" s="595"/>
      <c r="PGQ39" s="595"/>
      <c r="PGR39" s="595"/>
      <c r="PGS39" s="595"/>
      <c r="PGT39" s="595"/>
      <c r="PGU39" s="595"/>
      <c r="PGV39" s="595"/>
      <c r="PGW39" s="595"/>
      <c r="PGX39" s="595"/>
      <c r="PGY39" s="595"/>
      <c r="PGZ39" s="595"/>
      <c r="PHA39" s="595"/>
      <c r="PHB39" s="595"/>
      <c r="PHC39" s="595"/>
      <c r="PHD39" s="595"/>
      <c r="PHE39" s="595"/>
      <c r="PHF39" s="595"/>
      <c r="PHG39" s="595"/>
      <c r="PHH39" s="595"/>
      <c r="PHI39" s="595"/>
      <c r="PHJ39" s="595"/>
      <c r="PHK39" s="595"/>
      <c r="PHL39" s="595"/>
      <c r="PHM39" s="595"/>
      <c r="PHN39" s="595"/>
      <c r="PHO39" s="595"/>
      <c r="PHP39" s="595"/>
      <c r="PHQ39" s="595"/>
      <c r="PHR39" s="595"/>
      <c r="PHS39" s="595"/>
      <c r="PHT39" s="595"/>
      <c r="PHU39" s="595"/>
      <c r="PHV39" s="595"/>
      <c r="PHW39" s="595"/>
      <c r="PHX39" s="595"/>
      <c r="PHY39" s="595"/>
      <c r="PHZ39" s="595"/>
      <c r="PIA39" s="595"/>
      <c r="PIB39" s="595"/>
      <c r="PIC39" s="595"/>
      <c r="PID39" s="595"/>
      <c r="PIE39" s="595"/>
      <c r="PIF39" s="595"/>
      <c r="PIG39" s="595"/>
      <c r="PIH39" s="595"/>
      <c r="PII39" s="595"/>
      <c r="PIJ39" s="595"/>
      <c r="PIK39" s="595"/>
      <c r="PIL39" s="595"/>
      <c r="PIM39" s="595"/>
      <c r="PIN39" s="595"/>
      <c r="PIO39" s="595"/>
      <c r="PIP39" s="595"/>
      <c r="PIQ39" s="595"/>
      <c r="PIR39" s="595"/>
      <c r="PIS39" s="595"/>
      <c r="PIT39" s="595"/>
      <c r="PIU39" s="595"/>
      <c r="PIV39" s="595"/>
      <c r="PIW39" s="595"/>
      <c r="PIX39" s="595"/>
      <c r="PIY39" s="595"/>
      <c r="PIZ39" s="595"/>
      <c r="PJA39" s="595"/>
      <c r="PJB39" s="595"/>
      <c r="PJC39" s="595"/>
      <c r="PJD39" s="595"/>
      <c r="PJE39" s="595"/>
      <c r="PJF39" s="595"/>
      <c r="PJG39" s="595"/>
      <c r="PJH39" s="595"/>
      <c r="PJI39" s="595"/>
      <c r="PJJ39" s="595"/>
      <c r="PJK39" s="595"/>
      <c r="PJL39" s="595"/>
      <c r="PJM39" s="595"/>
      <c r="PJN39" s="595"/>
      <c r="PJO39" s="595"/>
      <c r="PJP39" s="595"/>
      <c r="PJQ39" s="595"/>
      <c r="PJR39" s="595"/>
      <c r="PJS39" s="595"/>
      <c r="PJT39" s="595"/>
      <c r="PJU39" s="595"/>
      <c r="PJV39" s="595"/>
      <c r="PJW39" s="595"/>
      <c r="PJX39" s="595"/>
      <c r="PJY39" s="595"/>
      <c r="PJZ39" s="595"/>
      <c r="PKA39" s="595"/>
      <c r="PKB39" s="595"/>
      <c r="PKC39" s="595"/>
      <c r="PKD39" s="595"/>
      <c r="PKE39" s="595"/>
      <c r="PKF39" s="595"/>
      <c r="PKG39" s="595"/>
      <c r="PKH39" s="595"/>
      <c r="PKI39" s="595"/>
      <c r="PKJ39" s="595"/>
      <c r="PKK39" s="595"/>
      <c r="PKL39" s="595"/>
      <c r="PKM39" s="595"/>
      <c r="PKN39" s="595"/>
      <c r="PKO39" s="595"/>
      <c r="PKP39" s="595"/>
      <c r="PKQ39" s="595"/>
      <c r="PKR39" s="595"/>
      <c r="PKS39" s="595"/>
      <c r="PKT39" s="595"/>
      <c r="PKU39" s="595"/>
      <c r="PKV39" s="595"/>
      <c r="PKW39" s="595"/>
      <c r="PKX39" s="595"/>
      <c r="PKY39" s="595"/>
      <c r="PKZ39" s="595"/>
      <c r="PLA39" s="595"/>
      <c r="PLB39" s="595"/>
      <c r="PLC39" s="595"/>
      <c r="PLD39" s="595"/>
      <c r="PLE39" s="595"/>
      <c r="PLF39" s="595"/>
      <c r="PLG39" s="595"/>
      <c r="PLH39" s="595"/>
      <c r="PLI39" s="595"/>
      <c r="PLJ39" s="595"/>
      <c r="PLK39" s="595"/>
      <c r="PLL39" s="595"/>
      <c r="PLM39" s="595"/>
      <c r="PLN39" s="595"/>
      <c r="PLO39" s="595"/>
      <c r="PLP39" s="595"/>
      <c r="PLQ39" s="595"/>
      <c r="PLR39" s="595"/>
      <c r="PLS39" s="595"/>
      <c r="PLT39" s="595"/>
      <c r="PLU39" s="595"/>
      <c r="PLV39" s="595"/>
      <c r="PLW39" s="595"/>
      <c r="PLX39" s="595"/>
      <c r="PLY39" s="595"/>
      <c r="PLZ39" s="595"/>
      <c r="PMA39" s="595"/>
      <c r="PMB39" s="595"/>
      <c r="PMC39" s="595"/>
      <c r="PMD39" s="595"/>
      <c r="PME39" s="595"/>
      <c r="PMF39" s="595"/>
      <c r="PMG39" s="595"/>
      <c r="PMH39" s="595"/>
      <c r="PMI39" s="595"/>
      <c r="PMJ39" s="595"/>
      <c r="PMK39" s="595"/>
      <c r="PML39" s="595"/>
      <c r="PMM39" s="595"/>
      <c r="PMN39" s="595"/>
      <c r="PMO39" s="595"/>
      <c r="PMP39" s="595"/>
      <c r="PMQ39" s="595"/>
      <c r="PMR39" s="595"/>
      <c r="PMS39" s="595"/>
      <c r="PMT39" s="595"/>
      <c r="PMU39" s="595"/>
      <c r="PMV39" s="595"/>
      <c r="PMW39" s="595"/>
      <c r="PMX39" s="595"/>
      <c r="PMY39" s="595"/>
      <c r="PMZ39" s="595"/>
      <c r="PNA39" s="595"/>
      <c r="PNB39" s="595"/>
      <c r="PNC39" s="595"/>
      <c r="PND39" s="595"/>
      <c r="PNE39" s="595"/>
      <c r="PNF39" s="595"/>
      <c r="PNG39" s="595"/>
      <c r="PNH39" s="595"/>
      <c r="PNI39" s="595"/>
      <c r="PNJ39" s="595"/>
      <c r="PNK39" s="595"/>
      <c r="PNL39" s="595"/>
      <c r="PNM39" s="595"/>
      <c r="PNN39" s="595"/>
      <c r="PNO39" s="595"/>
      <c r="PNP39" s="595"/>
      <c r="PNQ39" s="595"/>
      <c r="PNR39" s="595"/>
      <c r="PNS39" s="595"/>
      <c r="PNT39" s="595"/>
      <c r="PNU39" s="595"/>
      <c r="PNV39" s="595"/>
      <c r="PNW39" s="595"/>
      <c r="PNX39" s="595"/>
      <c r="PNY39" s="595"/>
      <c r="PNZ39" s="595"/>
      <c r="POA39" s="595"/>
      <c r="POB39" s="595"/>
      <c r="POC39" s="595"/>
      <c r="POD39" s="595"/>
      <c r="POE39" s="595"/>
      <c r="POF39" s="595"/>
      <c r="POG39" s="595"/>
      <c r="POH39" s="595"/>
      <c r="POI39" s="595"/>
      <c r="POJ39" s="595"/>
      <c r="POK39" s="595"/>
      <c r="POL39" s="595"/>
      <c r="POM39" s="595"/>
      <c r="PON39" s="595"/>
      <c r="POO39" s="595"/>
      <c r="POP39" s="595"/>
      <c r="POQ39" s="595"/>
      <c r="POR39" s="595"/>
      <c r="POS39" s="595"/>
      <c r="POT39" s="595"/>
      <c r="POU39" s="595"/>
      <c r="POV39" s="595"/>
      <c r="POW39" s="595"/>
      <c r="POX39" s="595"/>
      <c r="POY39" s="595"/>
      <c r="POZ39" s="595"/>
      <c r="PPA39" s="595"/>
      <c r="PPB39" s="595"/>
      <c r="PPC39" s="595"/>
      <c r="PPD39" s="595"/>
      <c r="PPE39" s="595"/>
      <c r="PPF39" s="595"/>
      <c r="PPG39" s="595"/>
      <c r="PPH39" s="595"/>
      <c r="PPI39" s="595"/>
      <c r="PPJ39" s="595"/>
      <c r="PPK39" s="595"/>
      <c r="PPL39" s="595"/>
      <c r="PPM39" s="595"/>
      <c r="PPN39" s="595"/>
      <c r="PPO39" s="595"/>
      <c r="PPP39" s="595"/>
      <c r="PPQ39" s="595"/>
      <c r="PPR39" s="595"/>
      <c r="PPS39" s="595"/>
      <c r="PPT39" s="595"/>
      <c r="PPU39" s="595"/>
      <c r="PPV39" s="595"/>
      <c r="PPW39" s="595"/>
      <c r="PPX39" s="595"/>
      <c r="PPY39" s="595"/>
      <c r="PPZ39" s="595"/>
      <c r="PQA39" s="595"/>
      <c r="PQB39" s="595"/>
      <c r="PQC39" s="595"/>
      <c r="PQD39" s="595"/>
      <c r="PQE39" s="595"/>
      <c r="PQF39" s="595"/>
      <c r="PQG39" s="595"/>
      <c r="PQH39" s="595"/>
      <c r="PQI39" s="595"/>
      <c r="PQJ39" s="595"/>
      <c r="PQK39" s="595"/>
      <c r="PQL39" s="595"/>
      <c r="PQM39" s="595"/>
      <c r="PQN39" s="595"/>
      <c r="PQO39" s="595"/>
      <c r="PQP39" s="595"/>
      <c r="PQQ39" s="595"/>
      <c r="PQR39" s="595"/>
      <c r="PQS39" s="595"/>
      <c r="PQT39" s="595"/>
      <c r="PQU39" s="595"/>
      <c r="PQV39" s="595"/>
      <c r="PQW39" s="595"/>
      <c r="PQX39" s="595"/>
      <c r="PQY39" s="595"/>
      <c r="PQZ39" s="595"/>
      <c r="PRA39" s="595"/>
      <c r="PRB39" s="595"/>
      <c r="PRC39" s="595"/>
      <c r="PRD39" s="595"/>
      <c r="PRE39" s="595"/>
      <c r="PRF39" s="595"/>
      <c r="PRG39" s="595"/>
      <c r="PRH39" s="595"/>
      <c r="PRI39" s="595"/>
      <c r="PRJ39" s="595"/>
      <c r="PRK39" s="595"/>
      <c r="PRL39" s="595"/>
      <c r="PRM39" s="595"/>
      <c r="PRN39" s="595"/>
      <c r="PRO39" s="595"/>
      <c r="PRP39" s="595"/>
      <c r="PRQ39" s="595"/>
      <c r="PRR39" s="595"/>
      <c r="PRS39" s="595"/>
      <c r="PRT39" s="595"/>
      <c r="PRU39" s="595"/>
      <c r="PRV39" s="595"/>
      <c r="PRW39" s="595"/>
      <c r="PRX39" s="595"/>
      <c r="PRY39" s="595"/>
      <c r="PRZ39" s="595"/>
      <c r="PSA39" s="595"/>
      <c r="PSB39" s="595"/>
      <c r="PSC39" s="595"/>
      <c r="PSD39" s="595"/>
      <c r="PSE39" s="595"/>
      <c r="PSF39" s="595"/>
      <c r="PSG39" s="595"/>
      <c r="PSH39" s="595"/>
      <c r="PSI39" s="595"/>
      <c r="PSJ39" s="595"/>
      <c r="PSK39" s="595"/>
      <c r="PSL39" s="595"/>
      <c r="PSM39" s="595"/>
      <c r="PSN39" s="595"/>
      <c r="PSO39" s="595"/>
      <c r="PSP39" s="595"/>
      <c r="PSQ39" s="595"/>
      <c r="PSR39" s="595"/>
      <c r="PSS39" s="595"/>
      <c r="PST39" s="595"/>
      <c r="PSU39" s="595"/>
      <c r="PSV39" s="595"/>
      <c r="PSW39" s="595"/>
      <c r="PSX39" s="595"/>
      <c r="PSY39" s="595"/>
      <c r="PSZ39" s="595"/>
      <c r="PTA39" s="595"/>
      <c r="PTB39" s="595"/>
      <c r="PTC39" s="595"/>
      <c r="PTD39" s="595"/>
      <c r="PTE39" s="595"/>
      <c r="PTF39" s="595"/>
      <c r="PTG39" s="595"/>
      <c r="PTH39" s="595"/>
      <c r="PTI39" s="595"/>
      <c r="PTJ39" s="595"/>
      <c r="PTK39" s="595"/>
      <c r="PTL39" s="595"/>
      <c r="PTM39" s="595"/>
      <c r="PTN39" s="595"/>
      <c r="PTO39" s="595"/>
      <c r="PTP39" s="595"/>
      <c r="PTQ39" s="595"/>
      <c r="PTR39" s="595"/>
      <c r="PTS39" s="595"/>
      <c r="PTT39" s="595"/>
      <c r="PTU39" s="595"/>
      <c r="PTV39" s="595"/>
      <c r="PTW39" s="595"/>
      <c r="PTX39" s="595"/>
      <c r="PTY39" s="595"/>
      <c r="PTZ39" s="595"/>
      <c r="PUA39" s="595"/>
      <c r="PUB39" s="595"/>
      <c r="PUC39" s="595"/>
      <c r="PUD39" s="595"/>
      <c r="PUE39" s="595"/>
      <c r="PUF39" s="595"/>
      <c r="PUG39" s="595"/>
      <c r="PUH39" s="595"/>
      <c r="PUI39" s="595"/>
      <c r="PUJ39" s="595"/>
      <c r="PUK39" s="595"/>
      <c r="PUL39" s="595"/>
      <c r="PUM39" s="595"/>
      <c r="PUN39" s="595"/>
      <c r="PUO39" s="595"/>
      <c r="PUP39" s="595"/>
      <c r="PUQ39" s="595"/>
      <c r="PUR39" s="595"/>
      <c r="PUS39" s="595"/>
      <c r="PUT39" s="595"/>
      <c r="PUU39" s="595"/>
      <c r="PUV39" s="595"/>
      <c r="PUW39" s="595"/>
      <c r="PUX39" s="595"/>
      <c r="PUY39" s="595"/>
      <c r="PUZ39" s="595"/>
      <c r="PVA39" s="595"/>
      <c r="PVB39" s="595"/>
      <c r="PVC39" s="595"/>
      <c r="PVD39" s="595"/>
      <c r="PVE39" s="595"/>
      <c r="PVF39" s="595"/>
      <c r="PVG39" s="595"/>
      <c r="PVH39" s="595"/>
      <c r="PVI39" s="595"/>
      <c r="PVJ39" s="595"/>
      <c r="PVK39" s="595"/>
      <c r="PVL39" s="595"/>
      <c r="PVM39" s="595"/>
      <c r="PVN39" s="595"/>
      <c r="PVO39" s="595"/>
      <c r="PVP39" s="595"/>
      <c r="PVQ39" s="595"/>
      <c r="PVR39" s="595"/>
      <c r="PVS39" s="595"/>
      <c r="PVT39" s="595"/>
      <c r="PVU39" s="595"/>
      <c r="PVV39" s="595"/>
      <c r="PVW39" s="595"/>
      <c r="PVX39" s="595"/>
      <c r="PVY39" s="595"/>
      <c r="PVZ39" s="595"/>
      <c r="PWA39" s="595"/>
      <c r="PWB39" s="595"/>
      <c r="PWC39" s="595"/>
      <c r="PWD39" s="595"/>
      <c r="PWE39" s="595"/>
      <c r="PWF39" s="595"/>
      <c r="PWG39" s="595"/>
      <c r="PWH39" s="595"/>
      <c r="PWI39" s="595"/>
      <c r="PWJ39" s="595"/>
      <c r="PWK39" s="595"/>
      <c r="PWL39" s="595"/>
      <c r="PWM39" s="595"/>
      <c r="PWN39" s="595"/>
      <c r="PWO39" s="595"/>
      <c r="PWP39" s="595"/>
      <c r="PWQ39" s="595"/>
      <c r="PWR39" s="595"/>
      <c r="PWS39" s="595"/>
      <c r="PWT39" s="595"/>
      <c r="PWU39" s="595"/>
      <c r="PWV39" s="595"/>
      <c r="PWW39" s="595"/>
      <c r="PWX39" s="595"/>
      <c r="PWY39" s="595"/>
      <c r="PWZ39" s="595"/>
      <c r="PXA39" s="595"/>
      <c r="PXB39" s="595"/>
      <c r="PXC39" s="595"/>
      <c r="PXD39" s="595"/>
      <c r="PXE39" s="595"/>
      <c r="PXF39" s="595"/>
      <c r="PXG39" s="595"/>
      <c r="PXH39" s="595"/>
      <c r="PXI39" s="595"/>
      <c r="PXJ39" s="595"/>
      <c r="PXK39" s="595"/>
      <c r="PXL39" s="595"/>
      <c r="PXM39" s="595"/>
      <c r="PXN39" s="595"/>
      <c r="PXO39" s="595"/>
      <c r="PXP39" s="595"/>
      <c r="PXQ39" s="595"/>
      <c r="PXR39" s="595"/>
      <c r="PXS39" s="595"/>
      <c r="PXT39" s="595"/>
      <c r="PXU39" s="595"/>
      <c r="PXV39" s="595"/>
      <c r="PXW39" s="595"/>
      <c r="PXX39" s="595"/>
      <c r="PXY39" s="595"/>
      <c r="PXZ39" s="595"/>
      <c r="PYA39" s="595"/>
      <c r="PYB39" s="595"/>
      <c r="PYC39" s="595"/>
      <c r="PYD39" s="595"/>
      <c r="PYE39" s="595"/>
      <c r="PYF39" s="595"/>
      <c r="PYG39" s="595"/>
      <c r="PYH39" s="595"/>
      <c r="PYI39" s="595"/>
      <c r="PYJ39" s="595"/>
      <c r="PYK39" s="595"/>
      <c r="PYL39" s="595"/>
      <c r="PYM39" s="595"/>
      <c r="PYN39" s="595"/>
      <c r="PYO39" s="595"/>
      <c r="PYP39" s="595"/>
      <c r="PYQ39" s="595"/>
      <c r="PYR39" s="595"/>
      <c r="PYS39" s="595"/>
      <c r="PYT39" s="595"/>
      <c r="PYU39" s="595"/>
      <c r="PYV39" s="595"/>
      <c r="PYW39" s="595"/>
      <c r="PYX39" s="595"/>
      <c r="PYY39" s="595"/>
      <c r="PYZ39" s="595"/>
      <c r="PZA39" s="595"/>
      <c r="PZB39" s="595"/>
      <c r="PZC39" s="595"/>
      <c r="PZD39" s="595"/>
      <c r="PZE39" s="595"/>
      <c r="PZF39" s="595"/>
      <c r="PZG39" s="595"/>
      <c r="PZH39" s="595"/>
      <c r="PZI39" s="595"/>
      <c r="PZJ39" s="595"/>
      <c r="PZK39" s="595"/>
      <c r="PZL39" s="595"/>
      <c r="PZM39" s="595"/>
      <c r="PZN39" s="595"/>
      <c r="PZO39" s="595"/>
      <c r="PZP39" s="595"/>
      <c r="PZQ39" s="595"/>
      <c r="PZR39" s="595"/>
      <c r="PZS39" s="595"/>
      <c r="PZT39" s="595"/>
      <c r="PZU39" s="595"/>
      <c r="PZV39" s="595"/>
      <c r="PZW39" s="595"/>
      <c r="PZX39" s="595"/>
      <c r="PZY39" s="595"/>
      <c r="PZZ39" s="595"/>
      <c r="QAA39" s="595"/>
      <c r="QAB39" s="595"/>
      <c r="QAC39" s="595"/>
      <c r="QAD39" s="595"/>
      <c r="QAE39" s="595"/>
      <c r="QAF39" s="595"/>
      <c r="QAG39" s="595"/>
      <c r="QAH39" s="595"/>
      <c r="QAI39" s="595"/>
      <c r="QAJ39" s="595"/>
      <c r="QAK39" s="595"/>
      <c r="QAL39" s="595"/>
      <c r="QAM39" s="595"/>
      <c r="QAN39" s="595"/>
      <c r="QAO39" s="595"/>
      <c r="QAP39" s="595"/>
      <c r="QAQ39" s="595"/>
      <c r="QAR39" s="595"/>
      <c r="QAS39" s="595"/>
      <c r="QAT39" s="595"/>
      <c r="QAU39" s="595"/>
      <c r="QAV39" s="595"/>
      <c r="QAW39" s="595"/>
      <c r="QAX39" s="595"/>
      <c r="QAY39" s="595"/>
      <c r="QAZ39" s="595"/>
      <c r="QBA39" s="595"/>
      <c r="QBB39" s="595"/>
      <c r="QBC39" s="595"/>
      <c r="QBD39" s="595"/>
      <c r="QBE39" s="595"/>
      <c r="QBF39" s="595"/>
      <c r="QBG39" s="595"/>
      <c r="QBH39" s="595"/>
      <c r="QBI39" s="595"/>
      <c r="QBJ39" s="595"/>
      <c r="QBK39" s="595"/>
      <c r="QBL39" s="595"/>
      <c r="QBM39" s="595"/>
      <c r="QBN39" s="595"/>
      <c r="QBO39" s="595"/>
      <c r="QBP39" s="595"/>
      <c r="QBQ39" s="595"/>
      <c r="QBR39" s="595"/>
      <c r="QBS39" s="595"/>
      <c r="QBT39" s="595"/>
      <c r="QBU39" s="595"/>
      <c r="QBV39" s="595"/>
      <c r="QBW39" s="595"/>
      <c r="QBX39" s="595"/>
      <c r="QBY39" s="595"/>
      <c r="QBZ39" s="595"/>
      <c r="QCA39" s="595"/>
      <c r="QCB39" s="595"/>
      <c r="QCC39" s="595"/>
      <c r="QCD39" s="595"/>
      <c r="QCE39" s="595"/>
      <c r="QCF39" s="595"/>
      <c r="QCG39" s="595"/>
      <c r="QCH39" s="595"/>
      <c r="QCI39" s="595"/>
      <c r="QCJ39" s="595"/>
      <c r="QCK39" s="595"/>
      <c r="QCL39" s="595"/>
      <c r="QCM39" s="595"/>
      <c r="QCN39" s="595"/>
      <c r="QCO39" s="595"/>
      <c r="QCP39" s="595"/>
      <c r="QCQ39" s="595"/>
      <c r="QCR39" s="595"/>
      <c r="QCS39" s="595"/>
      <c r="QCT39" s="595"/>
      <c r="QCU39" s="595"/>
      <c r="QCV39" s="595"/>
      <c r="QCW39" s="595"/>
      <c r="QCX39" s="595"/>
      <c r="QCY39" s="595"/>
      <c r="QCZ39" s="595"/>
      <c r="QDA39" s="595"/>
      <c r="QDB39" s="595"/>
      <c r="QDC39" s="595"/>
      <c r="QDD39" s="595"/>
      <c r="QDE39" s="595"/>
      <c r="QDF39" s="595"/>
      <c r="QDG39" s="595"/>
      <c r="QDH39" s="595"/>
      <c r="QDI39" s="595"/>
      <c r="QDJ39" s="595"/>
      <c r="QDK39" s="595"/>
      <c r="QDL39" s="595"/>
      <c r="QDM39" s="595"/>
      <c r="QDN39" s="595"/>
      <c r="QDO39" s="595"/>
      <c r="QDP39" s="595"/>
      <c r="QDQ39" s="595"/>
      <c r="QDR39" s="595"/>
      <c r="QDS39" s="595"/>
      <c r="QDT39" s="595"/>
      <c r="QDU39" s="595"/>
      <c r="QDV39" s="595"/>
      <c r="QDW39" s="595"/>
      <c r="QDX39" s="595"/>
      <c r="QDY39" s="595"/>
      <c r="QDZ39" s="595"/>
      <c r="QEA39" s="595"/>
      <c r="QEB39" s="595"/>
      <c r="QEC39" s="595"/>
      <c r="QED39" s="595"/>
      <c r="QEE39" s="595"/>
      <c r="QEF39" s="595"/>
      <c r="QEG39" s="595"/>
      <c r="QEH39" s="595"/>
      <c r="QEI39" s="595"/>
      <c r="QEJ39" s="595"/>
      <c r="QEK39" s="595"/>
      <c r="QEL39" s="595"/>
      <c r="QEM39" s="595"/>
      <c r="QEN39" s="595"/>
      <c r="QEO39" s="595"/>
      <c r="QEP39" s="595"/>
      <c r="QEQ39" s="595"/>
      <c r="QER39" s="595"/>
      <c r="QES39" s="595"/>
      <c r="QET39" s="595"/>
      <c r="QEU39" s="595"/>
      <c r="QEV39" s="595"/>
      <c r="QEW39" s="595"/>
      <c r="QEX39" s="595"/>
      <c r="QEY39" s="595"/>
      <c r="QEZ39" s="595"/>
      <c r="QFA39" s="595"/>
      <c r="QFB39" s="595"/>
      <c r="QFC39" s="595"/>
      <c r="QFD39" s="595"/>
      <c r="QFE39" s="595"/>
      <c r="QFF39" s="595"/>
      <c r="QFG39" s="595"/>
      <c r="QFH39" s="595"/>
      <c r="QFI39" s="595"/>
      <c r="QFJ39" s="595"/>
      <c r="QFK39" s="595"/>
      <c r="QFL39" s="595"/>
      <c r="QFM39" s="595"/>
      <c r="QFN39" s="595"/>
      <c r="QFO39" s="595"/>
      <c r="QFP39" s="595"/>
      <c r="QFQ39" s="595"/>
      <c r="QFR39" s="595"/>
      <c r="QFS39" s="595"/>
      <c r="QFT39" s="595"/>
      <c r="QFU39" s="595"/>
      <c r="QFV39" s="595"/>
      <c r="QFW39" s="595"/>
      <c r="QFX39" s="595"/>
      <c r="QFY39" s="595"/>
      <c r="QFZ39" s="595"/>
      <c r="QGA39" s="595"/>
      <c r="QGB39" s="595"/>
      <c r="QGC39" s="595"/>
      <c r="QGD39" s="595"/>
      <c r="QGE39" s="595"/>
      <c r="QGF39" s="595"/>
      <c r="QGG39" s="595"/>
      <c r="QGH39" s="595"/>
      <c r="QGI39" s="595"/>
      <c r="QGJ39" s="595"/>
      <c r="QGK39" s="595"/>
      <c r="QGL39" s="595"/>
      <c r="QGM39" s="595"/>
      <c r="QGN39" s="595"/>
      <c r="QGO39" s="595"/>
      <c r="QGP39" s="595"/>
      <c r="QGQ39" s="595"/>
      <c r="QGR39" s="595"/>
      <c r="QGS39" s="595"/>
      <c r="QGT39" s="595"/>
      <c r="QGU39" s="595"/>
      <c r="QGV39" s="595"/>
      <c r="QGW39" s="595"/>
      <c r="QGX39" s="595"/>
      <c r="QGY39" s="595"/>
      <c r="QGZ39" s="595"/>
      <c r="QHA39" s="595"/>
      <c r="QHB39" s="595"/>
      <c r="QHC39" s="595"/>
      <c r="QHD39" s="595"/>
      <c r="QHE39" s="595"/>
      <c r="QHF39" s="595"/>
      <c r="QHG39" s="595"/>
      <c r="QHH39" s="595"/>
      <c r="QHI39" s="595"/>
      <c r="QHJ39" s="595"/>
      <c r="QHK39" s="595"/>
      <c r="QHL39" s="595"/>
      <c r="QHM39" s="595"/>
      <c r="QHN39" s="595"/>
      <c r="QHO39" s="595"/>
      <c r="QHP39" s="595"/>
      <c r="QHQ39" s="595"/>
      <c r="QHR39" s="595"/>
      <c r="QHS39" s="595"/>
      <c r="QHT39" s="595"/>
      <c r="QHU39" s="595"/>
      <c r="QHV39" s="595"/>
      <c r="QHW39" s="595"/>
      <c r="QHX39" s="595"/>
      <c r="QHY39" s="595"/>
      <c r="QHZ39" s="595"/>
      <c r="QIA39" s="595"/>
      <c r="QIB39" s="595"/>
      <c r="QIC39" s="595"/>
      <c r="QID39" s="595"/>
      <c r="QIE39" s="595"/>
      <c r="QIF39" s="595"/>
      <c r="QIG39" s="595"/>
      <c r="QIH39" s="595"/>
      <c r="QII39" s="595"/>
      <c r="QIJ39" s="595"/>
      <c r="QIK39" s="595"/>
      <c r="QIL39" s="595"/>
      <c r="QIM39" s="595"/>
      <c r="QIN39" s="595"/>
      <c r="QIO39" s="595"/>
      <c r="QIP39" s="595"/>
      <c r="QIQ39" s="595"/>
      <c r="QIR39" s="595"/>
      <c r="QIS39" s="595"/>
      <c r="QIT39" s="595"/>
      <c r="QIU39" s="595"/>
      <c r="QIV39" s="595"/>
      <c r="QIW39" s="595"/>
      <c r="QIX39" s="595"/>
      <c r="QIY39" s="595"/>
      <c r="QIZ39" s="595"/>
      <c r="QJA39" s="595"/>
      <c r="QJB39" s="595"/>
      <c r="QJC39" s="595"/>
      <c r="QJD39" s="595"/>
      <c r="QJE39" s="595"/>
      <c r="QJF39" s="595"/>
      <c r="QJG39" s="595"/>
      <c r="QJH39" s="595"/>
      <c r="QJI39" s="595"/>
      <c r="QJJ39" s="595"/>
      <c r="QJK39" s="595"/>
      <c r="QJL39" s="595"/>
      <c r="QJM39" s="595"/>
      <c r="QJN39" s="595"/>
      <c r="QJO39" s="595"/>
      <c r="QJP39" s="595"/>
      <c r="QJQ39" s="595"/>
      <c r="QJR39" s="595"/>
      <c r="QJS39" s="595"/>
      <c r="QJT39" s="595"/>
      <c r="QJU39" s="595"/>
      <c r="QJV39" s="595"/>
      <c r="QJW39" s="595"/>
      <c r="QJX39" s="595"/>
      <c r="QJY39" s="595"/>
      <c r="QJZ39" s="595"/>
      <c r="QKA39" s="595"/>
      <c r="QKB39" s="595"/>
      <c r="QKC39" s="595"/>
      <c r="QKD39" s="595"/>
      <c r="QKE39" s="595"/>
      <c r="QKF39" s="595"/>
      <c r="QKG39" s="595"/>
      <c r="QKH39" s="595"/>
      <c r="QKI39" s="595"/>
      <c r="QKJ39" s="595"/>
      <c r="QKK39" s="595"/>
      <c r="QKL39" s="595"/>
      <c r="QKM39" s="595"/>
      <c r="QKN39" s="595"/>
      <c r="QKO39" s="595"/>
      <c r="QKP39" s="595"/>
      <c r="QKQ39" s="595"/>
      <c r="QKR39" s="595"/>
      <c r="QKS39" s="595"/>
      <c r="QKT39" s="595"/>
      <c r="QKU39" s="595"/>
      <c r="QKV39" s="595"/>
      <c r="QKW39" s="595"/>
      <c r="QKX39" s="595"/>
      <c r="QKY39" s="595"/>
      <c r="QKZ39" s="595"/>
      <c r="QLA39" s="595"/>
      <c r="QLB39" s="595"/>
      <c r="QLC39" s="595"/>
      <c r="QLD39" s="595"/>
      <c r="QLE39" s="595"/>
      <c r="QLF39" s="595"/>
      <c r="QLG39" s="595"/>
      <c r="QLH39" s="595"/>
      <c r="QLI39" s="595"/>
      <c r="QLJ39" s="595"/>
      <c r="QLK39" s="595"/>
      <c r="QLL39" s="595"/>
      <c r="QLM39" s="595"/>
      <c r="QLN39" s="595"/>
      <c r="QLO39" s="595"/>
      <c r="QLP39" s="595"/>
      <c r="QLQ39" s="595"/>
      <c r="QLR39" s="595"/>
      <c r="QLS39" s="595"/>
      <c r="QLT39" s="595"/>
      <c r="QLU39" s="595"/>
      <c r="QLV39" s="595"/>
      <c r="QLW39" s="595"/>
      <c r="QLX39" s="595"/>
      <c r="QLY39" s="595"/>
      <c r="QLZ39" s="595"/>
      <c r="QMA39" s="595"/>
      <c r="QMB39" s="595"/>
      <c r="QMC39" s="595"/>
      <c r="QMD39" s="595"/>
      <c r="QME39" s="595"/>
      <c r="QMF39" s="595"/>
      <c r="QMG39" s="595"/>
      <c r="QMH39" s="595"/>
      <c r="QMI39" s="595"/>
      <c r="QMJ39" s="595"/>
      <c r="QMK39" s="595"/>
      <c r="QML39" s="595"/>
      <c r="QMM39" s="595"/>
      <c r="QMN39" s="595"/>
      <c r="QMO39" s="595"/>
      <c r="QMP39" s="595"/>
      <c r="QMQ39" s="595"/>
      <c r="QMR39" s="595"/>
      <c r="QMS39" s="595"/>
      <c r="QMT39" s="595"/>
      <c r="QMU39" s="595"/>
      <c r="QMV39" s="595"/>
      <c r="QMW39" s="595"/>
      <c r="QMX39" s="595"/>
      <c r="QMY39" s="595"/>
      <c r="QMZ39" s="595"/>
      <c r="QNA39" s="595"/>
      <c r="QNB39" s="595"/>
      <c r="QNC39" s="595"/>
      <c r="QND39" s="595"/>
      <c r="QNE39" s="595"/>
      <c r="QNF39" s="595"/>
      <c r="QNG39" s="595"/>
      <c r="QNH39" s="595"/>
      <c r="QNI39" s="595"/>
      <c r="QNJ39" s="595"/>
      <c r="QNK39" s="595"/>
      <c r="QNL39" s="595"/>
      <c r="QNM39" s="595"/>
      <c r="QNN39" s="595"/>
      <c r="QNO39" s="595"/>
      <c r="QNP39" s="595"/>
      <c r="QNQ39" s="595"/>
      <c r="QNR39" s="595"/>
      <c r="QNS39" s="595"/>
      <c r="QNT39" s="595"/>
      <c r="QNU39" s="595"/>
      <c r="QNV39" s="595"/>
      <c r="QNW39" s="595"/>
      <c r="QNX39" s="595"/>
      <c r="QNY39" s="595"/>
      <c r="QNZ39" s="595"/>
      <c r="QOA39" s="595"/>
      <c r="QOB39" s="595"/>
      <c r="QOC39" s="595"/>
      <c r="QOD39" s="595"/>
      <c r="QOE39" s="595"/>
      <c r="QOF39" s="595"/>
      <c r="QOG39" s="595"/>
      <c r="QOH39" s="595"/>
      <c r="QOI39" s="595"/>
      <c r="QOJ39" s="595"/>
      <c r="QOK39" s="595"/>
      <c r="QOL39" s="595"/>
      <c r="QOM39" s="595"/>
      <c r="QON39" s="595"/>
      <c r="QOO39" s="595"/>
      <c r="QOP39" s="595"/>
      <c r="QOQ39" s="595"/>
      <c r="QOR39" s="595"/>
      <c r="QOS39" s="595"/>
      <c r="QOT39" s="595"/>
      <c r="QOU39" s="595"/>
      <c r="QOV39" s="595"/>
      <c r="QOW39" s="595"/>
      <c r="QOX39" s="595"/>
      <c r="QOY39" s="595"/>
      <c r="QOZ39" s="595"/>
      <c r="QPA39" s="595"/>
      <c r="QPB39" s="595"/>
      <c r="QPC39" s="595"/>
      <c r="QPD39" s="595"/>
      <c r="QPE39" s="595"/>
      <c r="QPF39" s="595"/>
      <c r="QPG39" s="595"/>
      <c r="QPH39" s="595"/>
      <c r="QPI39" s="595"/>
      <c r="QPJ39" s="595"/>
      <c r="QPK39" s="595"/>
      <c r="QPL39" s="595"/>
      <c r="QPM39" s="595"/>
      <c r="QPN39" s="595"/>
      <c r="QPO39" s="595"/>
      <c r="QPP39" s="595"/>
      <c r="QPQ39" s="595"/>
      <c r="QPR39" s="595"/>
      <c r="QPS39" s="595"/>
      <c r="QPT39" s="595"/>
      <c r="QPU39" s="595"/>
      <c r="QPV39" s="595"/>
      <c r="QPW39" s="595"/>
      <c r="QPX39" s="595"/>
      <c r="QPY39" s="595"/>
      <c r="QPZ39" s="595"/>
      <c r="QQA39" s="595"/>
      <c r="QQB39" s="595"/>
      <c r="QQC39" s="595"/>
      <c r="QQD39" s="595"/>
      <c r="QQE39" s="595"/>
      <c r="QQF39" s="595"/>
      <c r="QQG39" s="595"/>
      <c r="QQH39" s="595"/>
      <c r="QQI39" s="595"/>
      <c r="QQJ39" s="595"/>
      <c r="QQK39" s="595"/>
      <c r="QQL39" s="595"/>
      <c r="QQM39" s="595"/>
      <c r="QQN39" s="595"/>
      <c r="QQO39" s="595"/>
      <c r="QQP39" s="595"/>
      <c r="QQQ39" s="595"/>
      <c r="QQR39" s="595"/>
      <c r="QQS39" s="595"/>
      <c r="QQT39" s="595"/>
      <c r="QQU39" s="595"/>
      <c r="QQV39" s="595"/>
      <c r="QQW39" s="595"/>
      <c r="QQX39" s="595"/>
      <c r="QQY39" s="595"/>
      <c r="QQZ39" s="595"/>
      <c r="QRA39" s="595"/>
      <c r="QRB39" s="595"/>
      <c r="QRC39" s="595"/>
      <c r="QRD39" s="595"/>
      <c r="QRE39" s="595"/>
      <c r="QRF39" s="595"/>
      <c r="QRG39" s="595"/>
      <c r="QRH39" s="595"/>
      <c r="QRI39" s="595"/>
      <c r="QRJ39" s="595"/>
      <c r="QRK39" s="595"/>
      <c r="QRL39" s="595"/>
      <c r="QRM39" s="595"/>
      <c r="QRN39" s="595"/>
      <c r="QRO39" s="595"/>
      <c r="QRP39" s="595"/>
      <c r="QRQ39" s="595"/>
      <c r="QRR39" s="595"/>
      <c r="QRS39" s="595"/>
      <c r="QRT39" s="595"/>
      <c r="QRU39" s="595"/>
      <c r="QRV39" s="595"/>
      <c r="QRW39" s="595"/>
      <c r="QRX39" s="595"/>
      <c r="QRY39" s="595"/>
      <c r="QRZ39" s="595"/>
      <c r="QSA39" s="595"/>
      <c r="QSB39" s="595"/>
      <c r="QSC39" s="595"/>
      <c r="QSD39" s="595"/>
      <c r="QSE39" s="595"/>
      <c r="QSF39" s="595"/>
      <c r="QSG39" s="595"/>
      <c r="QSH39" s="595"/>
      <c r="QSI39" s="595"/>
      <c r="QSJ39" s="595"/>
      <c r="QSK39" s="595"/>
      <c r="QSL39" s="595"/>
      <c r="QSM39" s="595"/>
      <c r="QSN39" s="595"/>
      <c r="QSO39" s="595"/>
      <c r="QSP39" s="595"/>
      <c r="QSQ39" s="595"/>
      <c r="QSR39" s="595"/>
      <c r="QSS39" s="595"/>
      <c r="QST39" s="595"/>
      <c r="QSU39" s="595"/>
      <c r="QSV39" s="595"/>
      <c r="QSW39" s="595"/>
      <c r="QSX39" s="595"/>
      <c r="QSY39" s="595"/>
      <c r="QSZ39" s="595"/>
      <c r="QTA39" s="595"/>
      <c r="QTB39" s="595"/>
      <c r="QTC39" s="595"/>
      <c r="QTD39" s="595"/>
      <c r="QTE39" s="595"/>
      <c r="QTF39" s="595"/>
      <c r="QTG39" s="595"/>
      <c r="QTH39" s="595"/>
      <c r="QTI39" s="595"/>
      <c r="QTJ39" s="595"/>
      <c r="QTK39" s="595"/>
      <c r="QTL39" s="595"/>
      <c r="QTM39" s="595"/>
      <c r="QTN39" s="595"/>
      <c r="QTO39" s="595"/>
      <c r="QTP39" s="595"/>
      <c r="QTQ39" s="595"/>
      <c r="QTR39" s="595"/>
      <c r="QTS39" s="595"/>
      <c r="QTT39" s="595"/>
      <c r="QTU39" s="595"/>
      <c r="QTV39" s="595"/>
      <c r="QTW39" s="595"/>
      <c r="QTX39" s="595"/>
      <c r="QTY39" s="595"/>
      <c r="QTZ39" s="595"/>
      <c r="QUA39" s="595"/>
      <c r="QUB39" s="595"/>
      <c r="QUC39" s="595"/>
      <c r="QUD39" s="595"/>
      <c r="QUE39" s="595"/>
      <c r="QUF39" s="595"/>
      <c r="QUG39" s="595"/>
      <c r="QUH39" s="595"/>
      <c r="QUI39" s="595"/>
      <c r="QUJ39" s="595"/>
      <c r="QUK39" s="595"/>
      <c r="QUL39" s="595"/>
      <c r="QUM39" s="595"/>
      <c r="QUN39" s="595"/>
      <c r="QUO39" s="595"/>
      <c r="QUP39" s="595"/>
      <c r="QUQ39" s="595"/>
      <c r="QUR39" s="595"/>
      <c r="QUS39" s="595"/>
      <c r="QUT39" s="595"/>
      <c r="QUU39" s="595"/>
      <c r="QUV39" s="595"/>
      <c r="QUW39" s="595"/>
      <c r="QUX39" s="595"/>
      <c r="QUY39" s="595"/>
      <c r="QUZ39" s="595"/>
      <c r="QVA39" s="595"/>
      <c r="QVB39" s="595"/>
      <c r="QVC39" s="595"/>
      <c r="QVD39" s="595"/>
      <c r="QVE39" s="595"/>
      <c r="QVF39" s="595"/>
      <c r="QVG39" s="595"/>
      <c r="QVH39" s="595"/>
      <c r="QVI39" s="595"/>
      <c r="QVJ39" s="595"/>
      <c r="QVK39" s="595"/>
      <c r="QVL39" s="595"/>
      <c r="QVM39" s="595"/>
      <c r="QVN39" s="595"/>
      <c r="QVO39" s="595"/>
      <c r="QVP39" s="595"/>
      <c r="QVQ39" s="595"/>
      <c r="QVR39" s="595"/>
      <c r="QVS39" s="595"/>
      <c r="QVT39" s="595"/>
      <c r="QVU39" s="595"/>
      <c r="QVV39" s="595"/>
      <c r="QVW39" s="595"/>
      <c r="QVX39" s="595"/>
      <c r="QVY39" s="595"/>
      <c r="QVZ39" s="595"/>
      <c r="QWA39" s="595"/>
      <c r="QWB39" s="595"/>
      <c r="QWC39" s="595"/>
      <c r="QWD39" s="595"/>
      <c r="QWE39" s="595"/>
      <c r="QWF39" s="595"/>
      <c r="QWG39" s="595"/>
      <c r="QWH39" s="595"/>
      <c r="QWI39" s="595"/>
      <c r="QWJ39" s="595"/>
      <c r="QWK39" s="595"/>
      <c r="QWL39" s="595"/>
      <c r="QWM39" s="595"/>
      <c r="QWN39" s="595"/>
      <c r="QWO39" s="595"/>
      <c r="QWP39" s="595"/>
      <c r="QWQ39" s="595"/>
      <c r="QWR39" s="595"/>
      <c r="QWS39" s="595"/>
      <c r="QWT39" s="595"/>
      <c r="QWU39" s="595"/>
      <c r="QWV39" s="595"/>
      <c r="QWW39" s="595"/>
      <c r="QWX39" s="595"/>
      <c r="QWY39" s="595"/>
      <c r="QWZ39" s="595"/>
      <c r="QXA39" s="595"/>
      <c r="QXB39" s="595"/>
      <c r="QXC39" s="595"/>
      <c r="QXD39" s="595"/>
      <c r="QXE39" s="595"/>
      <c r="QXF39" s="595"/>
      <c r="QXG39" s="595"/>
      <c r="QXH39" s="595"/>
      <c r="QXI39" s="595"/>
      <c r="QXJ39" s="595"/>
      <c r="QXK39" s="595"/>
      <c r="QXL39" s="595"/>
      <c r="QXM39" s="595"/>
      <c r="QXN39" s="595"/>
      <c r="QXO39" s="595"/>
      <c r="QXP39" s="595"/>
      <c r="QXQ39" s="595"/>
      <c r="QXR39" s="595"/>
      <c r="QXS39" s="595"/>
      <c r="QXT39" s="595"/>
      <c r="QXU39" s="595"/>
      <c r="QXV39" s="595"/>
      <c r="QXW39" s="595"/>
      <c r="QXX39" s="595"/>
      <c r="QXY39" s="595"/>
      <c r="QXZ39" s="595"/>
      <c r="QYA39" s="595"/>
      <c r="QYB39" s="595"/>
      <c r="QYC39" s="595"/>
      <c r="QYD39" s="595"/>
      <c r="QYE39" s="595"/>
      <c r="QYF39" s="595"/>
      <c r="QYG39" s="595"/>
      <c r="QYH39" s="595"/>
      <c r="QYI39" s="595"/>
      <c r="QYJ39" s="595"/>
      <c r="QYK39" s="595"/>
      <c r="QYL39" s="595"/>
      <c r="QYM39" s="595"/>
      <c r="QYN39" s="595"/>
      <c r="QYO39" s="595"/>
      <c r="QYP39" s="595"/>
      <c r="QYQ39" s="595"/>
      <c r="QYR39" s="595"/>
      <c r="QYS39" s="595"/>
      <c r="QYT39" s="595"/>
      <c r="QYU39" s="595"/>
      <c r="QYV39" s="595"/>
      <c r="QYW39" s="595"/>
      <c r="QYX39" s="595"/>
      <c r="QYY39" s="595"/>
      <c r="QYZ39" s="595"/>
      <c r="QZA39" s="595"/>
      <c r="QZB39" s="595"/>
      <c r="QZC39" s="595"/>
      <c r="QZD39" s="595"/>
      <c r="QZE39" s="595"/>
      <c r="QZF39" s="595"/>
      <c r="QZG39" s="595"/>
      <c r="QZH39" s="595"/>
      <c r="QZI39" s="595"/>
      <c r="QZJ39" s="595"/>
      <c r="QZK39" s="595"/>
      <c r="QZL39" s="595"/>
      <c r="QZM39" s="595"/>
      <c r="QZN39" s="595"/>
      <c r="QZO39" s="595"/>
      <c r="QZP39" s="595"/>
      <c r="QZQ39" s="595"/>
      <c r="QZR39" s="595"/>
      <c r="QZS39" s="595"/>
      <c r="QZT39" s="595"/>
      <c r="QZU39" s="595"/>
      <c r="QZV39" s="595"/>
      <c r="QZW39" s="595"/>
      <c r="QZX39" s="595"/>
      <c r="QZY39" s="595"/>
      <c r="QZZ39" s="595"/>
      <c r="RAA39" s="595"/>
      <c r="RAB39" s="595"/>
      <c r="RAC39" s="595"/>
      <c r="RAD39" s="595"/>
      <c r="RAE39" s="595"/>
      <c r="RAF39" s="595"/>
      <c r="RAG39" s="595"/>
      <c r="RAH39" s="595"/>
      <c r="RAI39" s="595"/>
      <c r="RAJ39" s="595"/>
      <c r="RAK39" s="595"/>
      <c r="RAL39" s="595"/>
      <c r="RAM39" s="595"/>
      <c r="RAN39" s="595"/>
      <c r="RAO39" s="595"/>
      <c r="RAP39" s="595"/>
      <c r="RAQ39" s="595"/>
      <c r="RAR39" s="595"/>
      <c r="RAS39" s="595"/>
      <c r="RAT39" s="595"/>
      <c r="RAU39" s="595"/>
      <c r="RAV39" s="595"/>
      <c r="RAW39" s="595"/>
      <c r="RAX39" s="595"/>
      <c r="RAY39" s="595"/>
      <c r="RAZ39" s="595"/>
      <c r="RBA39" s="595"/>
      <c r="RBB39" s="595"/>
      <c r="RBC39" s="595"/>
      <c r="RBD39" s="595"/>
      <c r="RBE39" s="595"/>
      <c r="RBF39" s="595"/>
      <c r="RBG39" s="595"/>
      <c r="RBH39" s="595"/>
      <c r="RBI39" s="595"/>
      <c r="RBJ39" s="595"/>
      <c r="RBK39" s="595"/>
      <c r="RBL39" s="595"/>
      <c r="RBM39" s="595"/>
      <c r="RBN39" s="595"/>
      <c r="RBO39" s="595"/>
      <c r="RBP39" s="595"/>
      <c r="RBQ39" s="595"/>
      <c r="RBR39" s="595"/>
      <c r="RBS39" s="595"/>
      <c r="RBT39" s="595"/>
      <c r="RBU39" s="595"/>
      <c r="RBV39" s="595"/>
      <c r="RBW39" s="595"/>
      <c r="RBX39" s="595"/>
      <c r="RBY39" s="595"/>
      <c r="RBZ39" s="595"/>
      <c r="RCA39" s="595"/>
      <c r="RCB39" s="595"/>
      <c r="RCC39" s="595"/>
      <c r="RCD39" s="595"/>
      <c r="RCE39" s="595"/>
      <c r="RCF39" s="595"/>
      <c r="RCG39" s="595"/>
      <c r="RCH39" s="595"/>
      <c r="RCI39" s="595"/>
      <c r="RCJ39" s="595"/>
      <c r="RCK39" s="595"/>
      <c r="RCL39" s="595"/>
      <c r="RCM39" s="595"/>
      <c r="RCN39" s="595"/>
      <c r="RCO39" s="595"/>
      <c r="RCP39" s="595"/>
      <c r="RCQ39" s="595"/>
      <c r="RCR39" s="595"/>
      <c r="RCS39" s="595"/>
      <c r="RCT39" s="595"/>
      <c r="RCU39" s="595"/>
      <c r="RCV39" s="595"/>
      <c r="RCW39" s="595"/>
      <c r="RCX39" s="595"/>
      <c r="RCY39" s="595"/>
      <c r="RCZ39" s="595"/>
      <c r="RDA39" s="595"/>
      <c r="RDB39" s="595"/>
      <c r="RDC39" s="595"/>
      <c r="RDD39" s="595"/>
      <c r="RDE39" s="595"/>
      <c r="RDF39" s="595"/>
      <c r="RDG39" s="595"/>
      <c r="RDH39" s="595"/>
      <c r="RDI39" s="595"/>
      <c r="RDJ39" s="595"/>
      <c r="RDK39" s="595"/>
      <c r="RDL39" s="595"/>
      <c r="RDM39" s="595"/>
      <c r="RDN39" s="595"/>
      <c r="RDO39" s="595"/>
      <c r="RDP39" s="595"/>
      <c r="RDQ39" s="595"/>
      <c r="RDR39" s="595"/>
      <c r="RDS39" s="595"/>
      <c r="RDT39" s="595"/>
      <c r="RDU39" s="595"/>
      <c r="RDV39" s="595"/>
      <c r="RDW39" s="595"/>
      <c r="RDX39" s="595"/>
      <c r="RDY39" s="595"/>
      <c r="RDZ39" s="595"/>
      <c r="REA39" s="595"/>
      <c r="REB39" s="595"/>
      <c r="REC39" s="595"/>
      <c r="RED39" s="595"/>
      <c r="REE39" s="595"/>
      <c r="REF39" s="595"/>
      <c r="REG39" s="595"/>
      <c r="REH39" s="595"/>
      <c r="REI39" s="595"/>
      <c r="REJ39" s="595"/>
      <c r="REK39" s="595"/>
      <c r="REL39" s="595"/>
      <c r="REM39" s="595"/>
      <c r="REN39" s="595"/>
      <c r="REO39" s="595"/>
      <c r="REP39" s="595"/>
      <c r="REQ39" s="595"/>
      <c r="RER39" s="595"/>
      <c r="RES39" s="595"/>
      <c r="RET39" s="595"/>
      <c r="REU39" s="595"/>
      <c r="REV39" s="595"/>
      <c r="REW39" s="595"/>
      <c r="REX39" s="595"/>
      <c r="REY39" s="595"/>
      <c r="REZ39" s="595"/>
      <c r="RFA39" s="595"/>
      <c r="RFB39" s="595"/>
      <c r="RFC39" s="595"/>
      <c r="RFD39" s="595"/>
      <c r="RFE39" s="595"/>
      <c r="RFF39" s="595"/>
      <c r="RFG39" s="595"/>
      <c r="RFH39" s="595"/>
      <c r="RFI39" s="595"/>
      <c r="RFJ39" s="595"/>
      <c r="RFK39" s="595"/>
      <c r="RFL39" s="595"/>
      <c r="RFM39" s="595"/>
      <c r="RFN39" s="595"/>
      <c r="RFO39" s="595"/>
      <c r="RFP39" s="595"/>
      <c r="RFQ39" s="595"/>
      <c r="RFR39" s="595"/>
      <c r="RFS39" s="595"/>
      <c r="RFT39" s="595"/>
      <c r="RFU39" s="595"/>
      <c r="RFV39" s="595"/>
      <c r="RFW39" s="595"/>
      <c r="RFX39" s="595"/>
      <c r="RFY39" s="595"/>
      <c r="RFZ39" s="595"/>
      <c r="RGA39" s="595"/>
      <c r="RGB39" s="595"/>
      <c r="RGC39" s="595"/>
      <c r="RGD39" s="595"/>
      <c r="RGE39" s="595"/>
      <c r="RGF39" s="595"/>
      <c r="RGG39" s="595"/>
      <c r="RGH39" s="595"/>
      <c r="RGI39" s="595"/>
      <c r="RGJ39" s="595"/>
      <c r="RGK39" s="595"/>
      <c r="RGL39" s="595"/>
      <c r="RGM39" s="595"/>
      <c r="RGN39" s="595"/>
      <c r="RGO39" s="595"/>
      <c r="RGP39" s="595"/>
      <c r="RGQ39" s="595"/>
      <c r="RGR39" s="595"/>
      <c r="RGS39" s="595"/>
      <c r="RGT39" s="595"/>
      <c r="RGU39" s="595"/>
      <c r="RGV39" s="595"/>
      <c r="RGW39" s="595"/>
      <c r="RGX39" s="595"/>
      <c r="RGY39" s="595"/>
      <c r="RGZ39" s="595"/>
      <c r="RHA39" s="595"/>
      <c r="RHB39" s="595"/>
      <c r="RHC39" s="595"/>
      <c r="RHD39" s="595"/>
      <c r="RHE39" s="595"/>
      <c r="RHF39" s="595"/>
      <c r="RHG39" s="595"/>
      <c r="RHH39" s="595"/>
      <c r="RHI39" s="595"/>
      <c r="RHJ39" s="595"/>
      <c r="RHK39" s="595"/>
      <c r="RHL39" s="595"/>
      <c r="RHM39" s="595"/>
      <c r="RHN39" s="595"/>
      <c r="RHO39" s="595"/>
      <c r="RHP39" s="595"/>
      <c r="RHQ39" s="595"/>
      <c r="RHR39" s="595"/>
      <c r="RHS39" s="595"/>
      <c r="RHT39" s="595"/>
      <c r="RHU39" s="595"/>
      <c r="RHV39" s="595"/>
      <c r="RHW39" s="595"/>
      <c r="RHX39" s="595"/>
      <c r="RHY39" s="595"/>
      <c r="RHZ39" s="595"/>
      <c r="RIA39" s="595"/>
      <c r="RIB39" s="595"/>
      <c r="RIC39" s="595"/>
      <c r="RID39" s="595"/>
      <c r="RIE39" s="595"/>
      <c r="RIF39" s="595"/>
      <c r="RIG39" s="595"/>
      <c r="RIH39" s="595"/>
      <c r="RII39" s="595"/>
      <c r="RIJ39" s="595"/>
      <c r="RIK39" s="595"/>
      <c r="RIL39" s="595"/>
      <c r="RIM39" s="595"/>
      <c r="RIN39" s="595"/>
      <c r="RIO39" s="595"/>
      <c r="RIP39" s="595"/>
      <c r="RIQ39" s="595"/>
      <c r="RIR39" s="595"/>
      <c r="RIS39" s="595"/>
      <c r="RIT39" s="595"/>
      <c r="RIU39" s="595"/>
      <c r="RIV39" s="595"/>
      <c r="RIW39" s="595"/>
      <c r="RIX39" s="595"/>
      <c r="RIY39" s="595"/>
      <c r="RIZ39" s="595"/>
      <c r="RJA39" s="595"/>
      <c r="RJB39" s="595"/>
      <c r="RJC39" s="595"/>
      <c r="RJD39" s="595"/>
      <c r="RJE39" s="595"/>
      <c r="RJF39" s="595"/>
      <c r="RJG39" s="595"/>
      <c r="RJH39" s="595"/>
      <c r="RJI39" s="595"/>
      <c r="RJJ39" s="595"/>
      <c r="RJK39" s="595"/>
      <c r="RJL39" s="595"/>
      <c r="RJM39" s="595"/>
      <c r="RJN39" s="595"/>
      <c r="RJO39" s="595"/>
      <c r="RJP39" s="595"/>
      <c r="RJQ39" s="595"/>
      <c r="RJR39" s="595"/>
      <c r="RJS39" s="595"/>
      <c r="RJT39" s="595"/>
      <c r="RJU39" s="595"/>
      <c r="RJV39" s="595"/>
      <c r="RJW39" s="595"/>
      <c r="RJX39" s="595"/>
      <c r="RJY39" s="595"/>
      <c r="RJZ39" s="595"/>
      <c r="RKA39" s="595"/>
      <c r="RKB39" s="595"/>
      <c r="RKC39" s="595"/>
      <c r="RKD39" s="595"/>
      <c r="RKE39" s="595"/>
      <c r="RKF39" s="595"/>
      <c r="RKG39" s="595"/>
      <c r="RKH39" s="595"/>
      <c r="RKI39" s="595"/>
      <c r="RKJ39" s="595"/>
      <c r="RKK39" s="595"/>
      <c r="RKL39" s="595"/>
      <c r="RKM39" s="595"/>
      <c r="RKN39" s="595"/>
      <c r="RKO39" s="595"/>
      <c r="RKP39" s="595"/>
      <c r="RKQ39" s="595"/>
      <c r="RKR39" s="595"/>
      <c r="RKS39" s="595"/>
      <c r="RKT39" s="595"/>
      <c r="RKU39" s="595"/>
      <c r="RKV39" s="595"/>
      <c r="RKW39" s="595"/>
      <c r="RKX39" s="595"/>
      <c r="RKY39" s="595"/>
      <c r="RKZ39" s="595"/>
      <c r="RLA39" s="595"/>
      <c r="RLB39" s="595"/>
      <c r="RLC39" s="595"/>
      <c r="RLD39" s="595"/>
      <c r="RLE39" s="595"/>
      <c r="RLF39" s="595"/>
      <c r="RLG39" s="595"/>
      <c r="RLH39" s="595"/>
      <c r="RLI39" s="595"/>
      <c r="RLJ39" s="595"/>
      <c r="RLK39" s="595"/>
      <c r="RLL39" s="595"/>
      <c r="RLM39" s="595"/>
      <c r="RLN39" s="595"/>
      <c r="RLO39" s="595"/>
      <c r="RLP39" s="595"/>
      <c r="RLQ39" s="595"/>
      <c r="RLR39" s="595"/>
      <c r="RLS39" s="595"/>
      <c r="RLT39" s="595"/>
      <c r="RLU39" s="595"/>
      <c r="RLV39" s="595"/>
      <c r="RLW39" s="595"/>
      <c r="RLX39" s="595"/>
      <c r="RLY39" s="595"/>
      <c r="RLZ39" s="595"/>
      <c r="RMA39" s="595"/>
      <c r="RMB39" s="595"/>
      <c r="RMC39" s="595"/>
      <c r="RMD39" s="595"/>
      <c r="RME39" s="595"/>
      <c r="RMF39" s="595"/>
      <c r="RMG39" s="595"/>
      <c r="RMH39" s="595"/>
      <c r="RMI39" s="595"/>
      <c r="RMJ39" s="595"/>
      <c r="RMK39" s="595"/>
      <c r="RML39" s="595"/>
      <c r="RMM39" s="595"/>
      <c r="RMN39" s="595"/>
      <c r="RMO39" s="595"/>
      <c r="RMP39" s="595"/>
      <c r="RMQ39" s="595"/>
      <c r="RMR39" s="595"/>
      <c r="RMS39" s="595"/>
      <c r="RMT39" s="595"/>
      <c r="RMU39" s="595"/>
      <c r="RMV39" s="595"/>
      <c r="RMW39" s="595"/>
      <c r="RMX39" s="595"/>
      <c r="RMY39" s="595"/>
      <c r="RMZ39" s="595"/>
      <c r="RNA39" s="595"/>
      <c r="RNB39" s="595"/>
      <c r="RNC39" s="595"/>
      <c r="RND39" s="595"/>
      <c r="RNE39" s="595"/>
      <c r="RNF39" s="595"/>
      <c r="RNG39" s="595"/>
      <c r="RNH39" s="595"/>
      <c r="RNI39" s="595"/>
      <c r="RNJ39" s="595"/>
      <c r="RNK39" s="595"/>
      <c r="RNL39" s="595"/>
      <c r="RNM39" s="595"/>
      <c r="RNN39" s="595"/>
      <c r="RNO39" s="595"/>
      <c r="RNP39" s="595"/>
      <c r="RNQ39" s="595"/>
      <c r="RNR39" s="595"/>
      <c r="RNS39" s="595"/>
      <c r="RNT39" s="595"/>
      <c r="RNU39" s="595"/>
      <c r="RNV39" s="595"/>
      <c r="RNW39" s="595"/>
      <c r="RNX39" s="595"/>
      <c r="RNY39" s="595"/>
      <c r="RNZ39" s="595"/>
      <c r="ROA39" s="595"/>
      <c r="ROB39" s="595"/>
      <c r="ROC39" s="595"/>
      <c r="ROD39" s="595"/>
      <c r="ROE39" s="595"/>
      <c r="ROF39" s="595"/>
      <c r="ROG39" s="595"/>
      <c r="ROH39" s="595"/>
      <c r="ROI39" s="595"/>
      <c r="ROJ39" s="595"/>
      <c r="ROK39" s="595"/>
      <c r="ROL39" s="595"/>
      <c r="ROM39" s="595"/>
      <c r="RON39" s="595"/>
      <c r="ROO39" s="595"/>
      <c r="ROP39" s="595"/>
      <c r="ROQ39" s="595"/>
      <c r="ROR39" s="595"/>
      <c r="ROS39" s="595"/>
      <c r="ROT39" s="595"/>
      <c r="ROU39" s="595"/>
      <c r="ROV39" s="595"/>
      <c r="ROW39" s="595"/>
      <c r="ROX39" s="595"/>
      <c r="ROY39" s="595"/>
      <c r="ROZ39" s="595"/>
      <c r="RPA39" s="595"/>
      <c r="RPB39" s="595"/>
      <c r="RPC39" s="595"/>
      <c r="RPD39" s="595"/>
      <c r="RPE39" s="595"/>
      <c r="RPF39" s="595"/>
      <c r="RPG39" s="595"/>
      <c r="RPH39" s="595"/>
      <c r="RPI39" s="595"/>
      <c r="RPJ39" s="595"/>
      <c r="RPK39" s="595"/>
      <c r="RPL39" s="595"/>
      <c r="RPM39" s="595"/>
      <c r="RPN39" s="595"/>
      <c r="RPO39" s="595"/>
      <c r="RPP39" s="595"/>
      <c r="RPQ39" s="595"/>
      <c r="RPR39" s="595"/>
      <c r="RPS39" s="595"/>
      <c r="RPT39" s="595"/>
      <c r="RPU39" s="595"/>
      <c r="RPV39" s="595"/>
      <c r="RPW39" s="595"/>
      <c r="RPX39" s="595"/>
      <c r="RPY39" s="595"/>
      <c r="RPZ39" s="595"/>
      <c r="RQA39" s="595"/>
      <c r="RQB39" s="595"/>
      <c r="RQC39" s="595"/>
      <c r="RQD39" s="595"/>
      <c r="RQE39" s="595"/>
      <c r="RQF39" s="595"/>
      <c r="RQG39" s="595"/>
      <c r="RQH39" s="595"/>
      <c r="RQI39" s="595"/>
      <c r="RQJ39" s="595"/>
      <c r="RQK39" s="595"/>
      <c r="RQL39" s="595"/>
      <c r="RQM39" s="595"/>
      <c r="RQN39" s="595"/>
      <c r="RQO39" s="595"/>
      <c r="RQP39" s="595"/>
      <c r="RQQ39" s="595"/>
      <c r="RQR39" s="595"/>
      <c r="RQS39" s="595"/>
      <c r="RQT39" s="595"/>
      <c r="RQU39" s="595"/>
      <c r="RQV39" s="595"/>
      <c r="RQW39" s="595"/>
      <c r="RQX39" s="595"/>
      <c r="RQY39" s="595"/>
      <c r="RQZ39" s="595"/>
      <c r="RRA39" s="595"/>
      <c r="RRB39" s="595"/>
      <c r="RRC39" s="595"/>
      <c r="RRD39" s="595"/>
      <c r="RRE39" s="595"/>
      <c r="RRF39" s="595"/>
      <c r="RRG39" s="595"/>
      <c r="RRH39" s="595"/>
      <c r="RRI39" s="595"/>
      <c r="RRJ39" s="595"/>
      <c r="RRK39" s="595"/>
      <c r="RRL39" s="595"/>
      <c r="RRM39" s="595"/>
      <c r="RRN39" s="595"/>
      <c r="RRO39" s="595"/>
      <c r="RRP39" s="595"/>
      <c r="RRQ39" s="595"/>
      <c r="RRR39" s="595"/>
      <c r="RRS39" s="595"/>
      <c r="RRT39" s="595"/>
      <c r="RRU39" s="595"/>
      <c r="RRV39" s="595"/>
      <c r="RRW39" s="595"/>
      <c r="RRX39" s="595"/>
      <c r="RRY39" s="595"/>
      <c r="RRZ39" s="595"/>
      <c r="RSA39" s="595"/>
      <c r="RSB39" s="595"/>
      <c r="RSC39" s="595"/>
      <c r="RSD39" s="595"/>
      <c r="RSE39" s="595"/>
      <c r="RSF39" s="595"/>
      <c r="RSG39" s="595"/>
      <c r="RSH39" s="595"/>
      <c r="RSI39" s="595"/>
      <c r="RSJ39" s="595"/>
      <c r="RSK39" s="595"/>
      <c r="RSL39" s="595"/>
      <c r="RSM39" s="595"/>
      <c r="RSN39" s="595"/>
      <c r="RSO39" s="595"/>
      <c r="RSP39" s="595"/>
      <c r="RSQ39" s="595"/>
      <c r="RSR39" s="595"/>
      <c r="RSS39" s="595"/>
      <c r="RST39" s="595"/>
      <c r="RSU39" s="595"/>
      <c r="RSV39" s="595"/>
      <c r="RSW39" s="595"/>
      <c r="RSX39" s="595"/>
      <c r="RSY39" s="595"/>
      <c r="RSZ39" s="595"/>
      <c r="RTA39" s="595"/>
      <c r="RTB39" s="595"/>
      <c r="RTC39" s="595"/>
      <c r="RTD39" s="595"/>
      <c r="RTE39" s="595"/>
      <c r="RTF39" s="595"/>
      <c r="RTG39" s="595"/>
      <c r="RTH39" s="595"/>
      <c r="RTI39" s="595"/>
      <c r="RTJ39" s="595"/>
      <c r="RTK39" s="595"/>
      <c r="RTL39" s="595"/>
      <c r="RTM39" s="595"/>
      <c r="RTN39" s="595"/>
      <c r="RTO39" s="595"/>
      <c r="RTP39" s="595"/>
      <c r="RTQ39" s="595"/>
      <c r="RTR39" s="595"/>
      <c r="RTS39" s="595"/>
      <c r="RTT39" s="595"/>
      <c r="RTU39" s="595"/>
      <c r="RTV39" s="595"/>
      <c r="RTW39" s="595"/>
      <c r="RTX39" s="595"/>
      <c r="RTY39" s="595"/>
      <c r="RTZ39" s="595"/>
      <c r="RUA39" s="595"/>
      <c r="RUB39" s="595"/>
      <c r="RUC39" s="595"/>
      <c r="RUD39" s="595"/>
      <c r="RUE39" s="595"/>
      <c r="RUF39" s="595"/>
      <c r="RUG39" s="595"/>
      <c r="RUH39" s="595"/>
      <c r="RUI39" s="595"/>
      <c r="RUJ39" s="595"/>
      <c r="RUK39" s="595"/>
      <c r="RUL39" s="595"/>
      <c r="RUM39" s="595"/>
      <c r="RUN39" s="595"/>
      <c r="RUO39" s="595"/>
      <c r="RUP39" s="595"/>
      <c r="RUQ39" s="595"/>
      <c r="RUR39" s="595"/>
      <c r="RUS39" s="595"/>
      <c r="RUT39" s="595"/>
      <c r="RUU39" s="595"/>
      <c r="RUV39" s="595"/>
      <c r="RUW39" s="595"/>
      <c r="RUX39" s="595"/>
      <c r="RUY39" s="595"/>
      <c r="RUZ39" s="595"/>
      <c r="RVA39" s="595"/>
      <c r="RVB39" s="595"/>
      <c r="RVC39" s="595"/>
      <c r="RVD39" s="595"/>
      <c r="RVE39" s="595"/>
      <c r="RVF39" s="595"/>
      <c r="RVG39" s="595"/>
      <c r="RVH39" s="595"/>
      <c r="RVI39" s="595"/>
      <c r="RVJ39" s="595"/>
      <c r="RVK39" s="595"/>
      <c r="RVL39" s="595"/>
      <c r="RVM39" s="595"/>
      <c r="RVN39" s="595"/>
      <c r="RVO39" s="595"/>
      <c r="RVP39" s="595"/>
      <c r="RVQ39" s="595"/>
      <c r="RVR39" s="595"/>
      <c r="RVS39" s="595"/>
      <c r="RVT39" s="595"/>
      <c r="RVU39" s="595"/>
      <c r="RVV39" s="595"/>
      <c r="RVW39" s="595"/>
      <c r="RVX39" s="595"/>
      <c r="RVY39" s="595"/>
      <c r="RVZ39" s="595"/>
      <c r="RWA39" s="595"/>
      <c r="RWB39" s="595"/>
      <c r="RWC39" s="595"/>
      <c r="RWD39" s="595"/>
      <c r="RWE39" s="595"/>
      <c r="RWF39" s="595"/>
      <c r="RWG39" s="595"/>
      <c r="RWH39" s="595"/>
      <c r="RWI39" s="595"/>
      <c r="RWJ39" s="595"/>
      <c r="RWK39" s="595"/>
      <c r="RWL39" s="595"/>
      <c r="RWM39" s="595"/>
      <c r="RWN39" s="595"/>
      <c r="RWO39" s="595"/>
      <c r="RWP39" s="595"/>
      <c r="RWQ39" s="595"/>
      <c r="RWR39" s="595"/>
      <c r="RWS39" s="595"/>
      <c r="RWT39" s="595"/>
      <c r="RWU39" s="595"/>
      <c r="RWV39" s="595"/>
      <c r="RWW39" s="595"/>
      <c r="RWX39" s="595"/>
      <c r="RWY39" s="595"/>
      <c r="RWZ39" s="595"/>
      <c r="RXA39" s="595"/>
      <c r="RXB39" s="595"/>
      <c r="RXC39" s="595"/>
      <c r="RXD39" s="595"/>
      <c r="RXE39" s="595"/>
      <c r="RXF39" s="595"/>
      <c r="RXG39" s="595"/>
      <c r="RXH39" s="595"/>
      <c r="RXI39" s="595"/>
      <c r="RXJ39" s="595"/>
      <c r="RXK39" s="595"/>
      <c r="RXL39" s="595"/>
      <c r="RXM39" s="595"/>
      <c r="RXN39" s="595"/>
      <c r="RXO39" s="595"/>
      <c r="RXP39" s="595"/>
      <c r="RXQ39" s="595"/>
      <c r="RXR39" s="595"/>
      <c r="RXS39" s="595"/>
      <c r="RXT39" s="595"/>
      <c r="RXU39" s="595"/>
      <c r="RXV39" s="595"/>
      <c r="RXW39" s="595"/>
      <c r="RXX39" s="595"/>
      <c r="RXY39" s="595"/>
      <c r="RXZ39" s="595"/>
      <c r="RYA39" s="595"/>
      <c r="RYB39" s="595"/>
      <c r="RYC39" s="595"/>
      <c r="RYD39" s="595"/>
      <c r="RYE39" s="595"/>
      <c r="RYF39" s="595"/>
      <c r="RYG39" s="595"/>
      <c r="RYH39" s="595"/>
      <c r="RYI39" s="595"/>
      <c r="RYJ39" s="595"/>
      <c r="RYK39" s="595"/>
      <c r="RYL39" s="595"/>
      <c r="RYM39" s="595"/>
      <c r="RYN39" s="595"/>
      <c r="RYO39" s="595"/>
      <c r="RYP39" s="595"/>
      <c r="RYQ39" s="595"/>
      <c r="RYR39" s="595"/>
      <c r="RYS39" s="595"/>
      <c r="RYT39" s="595"/>
      <c r="RYU39" s="595"/>
      <c r="RYV39" s="595"/>
      <c r="RYW39" s="595"/>
      <c r="RYX39" s="595"/>
      <c r="RYY39" s="595"/>
      <c r="RYZ39" s="595"/>
      <c r="RZA39" s="595"/>
      <c r="RZB39" s="595"/>
      <c r="RZC39" s="595"/>
      <c r="RZD39" s="595"/>
      <c r="RZE39" s="595"/>
      <c r="RZF39" s="595"/>
      <c r="RZG39" s="595"/>
      <c r="RZH39" s="595"/>
      <c r="RZI39" s="595"/>
      <c r="RZJ39" s="595"/>
      <c r="RZK39" s="595"/>
      <c r="RZL39" s="595"/>
      <c r="RZM39" s="595"/>
      <c r="RZN39" s="595"/>
      <c r="RZO39" s="595"/>
      <c r="RZP39" s="595"/>
      <c r="RZQ39" s="595"/>
      <c r="RZR39" s="595"/>
      <c r="RZS39" s="595"/>
      <c r="RZT39" s="595"/>
      <c r="RZU39" s="595"/>
      <c r="RZV39" s="595"/>
      <c r="RZW39" s="595"/>
      <c r="RZX39" s="595"/>
      <c r="RZY39" s="595"/>
      <c r="RZZ39" s="595"/>
      <c r="SAA39" s="595"/>
      <c r="SAB39" s="595"/>
      <c r="SAC39" s="595"/>
      <c r="SAD39" s="595"/>
      <c r="SAE39" s="595"/>
      <c r="SAF39" s="595"/>
      <c r="SAG39" s="595"/>
      <c r="SAH39" s="595"/>
      <c r="SAI39" s="595"/>
      <c r="SAJ39" s="595"/>
      <c r="SAK39" s="595"/>
      <c r="SAL39" s="595"/>
      <c r="SAM39" s="595"/>
      <c r="SAN39" s="595"/>
      <c r="SAO39" s="595"/>
      <c r="SAP39" s="595"/>
      <c r="SAQ39" s="595"/>
      <c r="SAR39" s="595"/>
      <c r="SAS39" s="595"/>
      <c r="SAT39" s="595"/>
      <c r="SAU39" s="595"/>
      <c r="SAV39" s="595"/>
      <c r="SAW39" s="595"/>
      <c r="SAX39" s="595"/>
      <c r="SAY39" s="595"/>
      <c r="SAZ39" s="595"/>
      <c r="SBA39" s="595"/>
      <c r="SBB39" s="595"/>
      <c r="SBC39" s="595"/>
      <c r="SBD39" s="595"/>
      <c r="SBE39" s="595"/>
      <c r="SBF39" s="595"/>
      <c r="SBG39" s="595"/>
      <c r="SBH39" s="595"/>
      <c r="SBI39" s="595"/>
      <c r="SBJ39" s="595"/>
      <c r="SBK39" s="595"/>
      <c r="SBL39" s="595"/>
      <c r="SBM39" s="595"/>
      <c r="SBN39" s="595"/>
      <c r="SBO39" s="595"/>
      <c r="SBP39" s="595"/>
      <c r="SBQ39" s="595"/>
      <c r="SBR39" s="595"/>
      <c r="SBS39" s="595"/>
      <c r="SBT39" s="595"/>
      <c r="SBU39" s="595"/>
      <c r="SBV39" s="595"/>
      <c r="SBW39" s="595"/>
      <c r="SBX39" s="595"/>
      <c r="SBY39" s="595"/>
      <c r="SBZ39" s="595"/>
      <c r="SCA39" s="595"/>
      <c r="SCB39" s="595"/>
      <c r="SCC39" s="595"/>
      <c r="SCD39" s="595"/>
      <c r="SCE39" s="595"/>
      <c r="SCF39" s="595"/>
      <c r="SCG39" s="595"/>
      <c r="SCH39" s="595"/>
      <c r="SCI39" s="595"/>
      <c r="SCJ39" s="595"/>
      <c r="SCK39" s="595"/>
      <c r="SCL39" s="595"/>
      <c r="SCM39" s="595"/>
      <c r="SCN39" s="595"/>
      <c r="SCO39" s="595"/>
      <c r="SCP39" s="595"/>
      <c r="SCQ39" s="595"/>
      <c r="SCR39" s="595"/>
      <c r="SCS39" s="595"/>
      <c r="SCT39" s="595"/>
      <c r="SCU39" s="595"/>
      <c r="SCV39" s="595"/>
      <c r="SCW39" s="595"/>
      <c r="SCX39" s="595"/>
      <c r="SCY39" s="595"/>
      <c r="SCZ39" s="595"/>
      <c r="SDA39" s="595"/>
      <c r="SDB39" s="595"/>
      <c r="SDC39" s="595"/>
      <c r="SDD39" s="595"/>
      <c r="SDE39" s="595"/>
      <c r="SDF39" s="595"/>
      <c r="SDG39" s="595"/>
      <c r="SDH39" s="595"/>
      <c r="SDI39" s="595"/>
      <c r="SDJ39" s="595"/>
      <c r="SDK39" s="595"/>
      <c r="SDL39" s="595"/>
      <c r="SDM39" s="595"/>
      <c r="SDN39" s="595"/>
      <c r="SDO39" s="595"/>
      <c r="SDP39" s="595"/>
      <c r="SDQ39" s="595"/>
      <c r="SDR39" s="595"/>
      <c r="SDS39" s="595"/>
      <c r="SDT39" s="595"/>
      <c r="SDU39" s="595"/>
      <c r="SDV39" s="595"/>
      <c r="SDW39" s="595"/>
      <c r="SDX39" s="595"/>
      <c r="SDY39" s="595"/>
      <c r="SDZ39" s="595"/>
      <c r="SEA39" s="595"/>
      <c r="SEB39" s="595"/>
      <c r="SEC39" s="595"/>
      <c r="SED39" s="595"/>
      <c r="SEE39" s="595"/>
      <c r="SEF39" s="595"/>
      <c r="SEG39" s="595"/>
      <c r="SEH39" s="595"/>
      <c r="SEI39" s="595"/>
      <c r="SEJ39" s="595"/>
      <c r="SEK39" s="595"/>
      <c r="SEL39" s="595"/>
      <c r="SEM39" s="595"/>
      <c r="SEN39" s="595"/>
      <c r="SEO39" s="595"/>
      <c r="SEP39" s="595"/>
      <c r="SEQ39" s="595"/>
      <c r="SER39" s="595"/>
      <c r="SES39" s="595"/>
      <c r="SET39" s="595"/>
      <c r="SEU39" s="595"/>
      <c r="SEV39" s="595"/>
      <c r="SEW39" s="595"/>
      <c r="SEX39" s="595"/>
      <c r="SEY39" s="595"/>
      <c r="SEZ39" s="595"/>
      <c r="SFA39" s="595"/>
      <c r="SFB39" s="595"/>
      <c r="SFC39" s="595"/>
      <c r="SFD39" s="595"/>
      <c r="SFE39" s="595"/>
      <c r="SFF39" s="595"/>
      <c r="SFG39" s="595"/>
      <c r="SFH39" s="595"/>
      <c r="SFI39" s="595"/>
      <c r="SFJ39" s="595"/>
      <c r="SFK39" s="595"/>
      <c r="SFL39" s="595"/>
      <c r="SFM39" s="595"/>
      <c r="SFN39" s="595"/>
      <c r="SFO39" s="595"/>
      <c r="SFP39" s="595"/>
      <c r="SFQ39" s="595"/>
      <c r="SFR39" s="595"/>
      <c r="SFS39" s="595"/>
      <c r="SFT39" s="595"/>
      <c r="SFU39" s="595"/>
      <c r="SFV39" s="595"/>
      <c r="SFW39" s="595"/>
      <c r="SFX39" s="595"/>
      <c r="SFY39" s="595"/>
      <c r="SFZ39" s="595"/>
      <c r="SGA39" s="595"/>
      <c r="SGB39" s="595"/>
      <c r="SGC39" s="595"/>
      <c r="SGD39" s="595"/>
      <c r="SGE39" s="595"/>
      <c r="SGF39" s="595"/>
      <c r="SGG39" s="595"/>
      <c r="SGH39" s="595"/>
      <c r="SGI39" s="595"/>
      <c r="SGJ39" s="595"/>
      <c r="SGK39" s="595"/>
      <c r="SGL39" s="595"/>
      <c r="SGM39" s="595"/>
      <c r="SGN39" s="595"/>
      <c r="SGO39" s="595"/>
      <c r="SGP39" s="595"/>
      <c r="SGQ39" s="595"/>
      <c r="SGR39" s="595"/>
      <c r="SGS39" s="595"/>
      <c r="SGT39" s="595"/>
      <c r="SGU39" s="595"/>
      <c r="SGV39" s="595"/>
      <c r="SGW39" s="595"/>
      <c r="SGX39" s="595"/>
      <c r="SGY39" s="595"/>
      <c r="SGZ39" s="595"/>
      <c r="SHA39" s="595"/>
      <c r="SHB39" s="595"/>
      <c r="SHC39" s="595"/>
      <c r="SHD39" s="595"/>
      <c r="SHE39" s="595"/>
      <c r="SHF39" s="595"/>
      <c r="SHG39" s="595"/>
      <c r="SHH39" s="595"/>
      <c r="SHI39" s="595"/>
      <c r="SHJ39" s="595"/>
      <c r="SHK39" s="595"/>
      <c r="SHL39" s="595"/>
      <c r="SHM39" s="595"/>
      <c r="SHN39" s="595"/>
      <c r="SHO39" s="595"/>
      <c r="SHP39" s="595"/>
      <c r="SHQ39" s="595"/>
      <c r="SHR39" s="595"/>
      <c r="SHS39" s="595"/>
      <c r="SHT39" s="595"/>
      <c r="SHU39" s="595"/>
      <c r="SHV39" s="595"/>
      <c r="SHW39" s="595"/>
      <c r="SHX39" s="595"/>
      <c r="SHY39" s="595"/>
      <c r="SHZ39" s="595"/>
      <c r="SIA39" s="595"/>
      <c r="SIB39" s="595"/>
      <c r="SIC39" s="595"/>
      <c r="SID39" s="595"/>
      <c r="SIE39" s="595"/>
      <c r="SIF39" s="595"/>
      <c r="SIG39" s="595"/>
      <c r="SIH39" s="595"/>
      <c r="SII39" s="595"/>
      <c r="SIJ39" s="595"/>
      <c r="SIK39" s="595"/>
      <c r="SIL39" s="595"/>
      <c r="SIM39" s="595"/>
      <c r="SIN39" s="595"/>
      <c r="SIO39" s="595"/>
      <c r="SIP39" s="595"/>
      <c r="SIQ39" s="595"/>
      <c r="SIR39" s="595"/>
      <c r="SIS39" s="595"/>
      <c r="SIT39" s="595"/>
      <c r="SIU39" s="595"/>
      <c r="SIV39" s="595"/>
      <c r="SIW39" s="595"/>
      <c r="SIX39" s="595"/>
      <c r="SIY39" s="595"/>
      <c r="SIZ39" s="595"/>
      <c r="SJA39" s="595"/>
      <c r="SJB39" s="595"/>
      <c r="SJC39" s="595"/>
      <c r="SJD39" s="595"/>
      <c r="SJE39" s="595"/>
      <c r="SJF39" s="595"/>
      <c r="SJG39" s="595"/>
      <c r="SJH39" s="595"/>
      <c r="SJI39" s="595"/>
      <c r="SJJ39" s="595"/>
      <c r="SJK39" s="595"/>
      <c r="SJL39" s="595"/>
      <c r="SJM39" s="595"/>
      <c r="SJN39" s="595"/>
      <c r="SJO39" s="595"/>
      <c r="SJP39" s="595"/>
      <c r="SJQ39" s="595"/>
      <c r="SJR39" s="595"/>
      <c r="SJS39" s="595"/>
      <c r="SJT39" s="595"/>
      <c r="SJU39" s="595"/>
      <c r="SJV39" s="595"/>
      <c r="SJW39" s="595"/>
      <c r="SJX39" s="595"/>
      <c r="SJY39" s="595"/>
      <c r="SJZ39" s="595"/>
      <c r="SKA39" s="595"/>
      <c r="SKB39" s="595"/>
      <c r="SKC39" s="595"/>
      <c r="SKD39" s="595"/>
      <c r="SKE39" s="595"/>
      <c r="SKF39" s="595"/>
      <c r="SKG39" s="595"/>
      <c r="SKH39" s="595"/>
      <c r="SKI39" s="595"/>
      <c r="SKJ39" s="595"/>
      <c r="SKK39" s="595"/>
      <c r="SKL39" s="595"/>
      <c r="SKM39" s="595"/>
      <c r="SKN39" s="595"/>
      <c r="SKO39" s="595"/>
      <c r="SKP39" s="595"/>
      <c r="SKQ39" s="595"/>
      <c r="SKR39" s="595"/>
      <c r="SKS39" s="595"/>
      <c r="SKT39" s="595"/>
      <c r="SKU39" s="595"/>
      <c r="SKV39" s="595"/>
      <c r="SKW39" s="595"/>
      <c r="SKX39" s="595"/>
      <c r="SKY39" s="595"/>
      <c r="SKZ39" s="595"/>
      <c r="SLA39" s="595"/>
      <c r="SLB39" s="595"/>
      <c r="SLC39" s="595"/>
      <c r="SLD39" s="595"/>
      <c r="SLE39" s="595"/>
      <c r="SLF39" s="595"/>
      <c r="SLG39" s="595"/>
      <c r="SLH39" s="595"/>
      <c r="SLI39" s="595"/>
      <c r="SLJ39" s="595"/>
      <c r="SLK39" s="595"/>
      <c r="SLL39" s="595"/>
      <c r="SLM39" s="595"/>
      <c r="SLN39" s="595"/>
      <c r="SLO39" s="595"/>
      <c r="SLP39" s="595"/>
      <c r="SLQ39" s="595"/>
      <c r="SLR39" s="595"/>
      <c r="SLS39" s="595"/>
      <c r="SLT39" s="595"/>
      <c r="SLU39" s="595"/>
      <c r="SLV39" s="595"/>
      <c r="SLW39" s="595"/>
      <c r="SLX39" s="595"/>
      <c r="SLY39" s="595"/>
      <c r="SLZ39" s="595"/>
      <c r="SMA39" s="595"/>
      <c r="SMB39" s="595"/>
      <c r="SMC39" s="595"/>
      <c r="SMD39" s="595"/>
      <c r="SME39" s="595"/>
      <c r="SMF39" s="595"/>
      <c r="SMG39" s="595"/>
      <c r="SMH39" s="595"/>
      <c r="SMI39" s="595"/>
      <c r="SMJ39" s="595"/>
      <c r="SMK39" s="595"/>
      <c r="SML39" s="595"/>
      <c r="SMM39" s="595"/>
      <c r="SMN39" s="595"/>
      <c r="SMO39" s="595"/>
      <c r="SMP39" s="595"/>
      <c r="SMQ39" s="595"/>
      <c r="SMR39" s="595"/>
      <c r="SMS39" s="595"/>
      <c r="SMT39" s="595"/>
      <c r="SMU39" s="595"/>
      <c r="SMV39" s="595"/>
      <c r="SMW39" s="595"/>
      <c r="SMX39" s="595"/>
      <c r="SMY39" s="595"/>
      <c r="SMZ39" s="595"/>
      <c r="SNA39" s="595"/>
      <c r="SNB39" s="595"/>
      <c r="SNC39" s="595"/>
      <c r="SND39" s="595"/>
      <c r="SNE39" s="595"/>
      <c r="SNF39" s="595"/>
      <c r="SNG39" s="595"/>
      <c r="SNH39" s="595"/>
      <c r="SNI39" s="595"/>
      <c r="SNJ39" s="595"/>
      <c r="SNK39" s="595"/>
      <c r="SNL39" s="595"/>
      <c r="SNM39" s="595"/>
      <c r="SNN39" s="595"/>
      <c r="SNO39" s="595"/>
      <c r="SNP39" s="595"/>
      <c r="SNQ39" s="595"/>
      <c r="SNR39" s="595"/>
      <c r="SNS39" s="595"/>
      <c r="SNT39" s="595"/>
      <c r="SNU39" s="595"/>
      <c r="SNV39" s="595"/>
      <c r="SNW39" s="595"/>
      <c r="SNX39" s="595"/>
      <c r="SNY39" s="595"/>
      <c r="SNZ39" s="595"/>
      <c r="SOA39" s="595"/>
      <c r="SOB39" s="595"/>
      <c r="SOC39" s="595"/>
      <c r="SOD39" s="595"/>
      <c r="SOE39" s="595"/>
      <c r="SOF39" s="595"/>
      <c r="SOG39" s="595"/>
      <c r="SOH39" s="595"/>
      <c r="SOI39" s="595"/>
      <c r="SOJ39" s="595"/>
      <c r="SOK39" s="595"/>
      <c r="SOL39" s="595"/>
      <c r="SOM39" s="595"/>
      <c r="SON39" s="595"/>
      <c r="SOO39" s="595"/>
      <c r="SOP39" s="595"/>
      <c r="SOQ39" s="595"/>
      <c r="SOR39" s="595"/>
      <c r="SOS39" s="595"/>
      <c r="SOT39" s="595"/>
      <c r="SOU39" s="595"/>
      <c r="SOV39" s="595"/>
      <c r="SOW39" s="595"/>
      <c r="SOX39" s="595"/>
      <c r="SOY39" s="595"/>
      <c r="SOZ39" s="595"/>
      <c r="SPA39" s="595"/>
      <c r="SPB39" s="595"/>
      <c r="SPC39" s="595"/>
      <c r="SPD39" s="595"/>
      <c r="SPE39" s="595"/>
      <c r="SPF39" s="595"/>
      <c r="SPG39" s="595"/>
      <c r="SPH39" s="595"/>
      <c r="SPI39" s="595"/>
      <c r="SPJ39" s="595"/>
      <c r="SPK39" s="595"/>
      <c r="SPL39" s="595"/>
      <c r="SPM39" s="595"/>
      <c r="SPN39" s="595"/>
      <c r="SPO39" s="595"/>
      <c r="SPP39" s="595"/>
      <c r="SPQ39" s="595"/>
      <c r="SPR39" s="595"/>
      <c r="SPS39" s="595"/>
      <c r="SPT39" s="595"/>
      <c r="SPU39" s="595"/>
      <c r="SPV39" s="595"/>
      <c r="SPW39" s="595"/>
      <c r="SPX39" s="595"/>
      <c r="SPY39" s="595"/>
      <c r="SPZ39" s="595"/>
      <c r="SQA39" s="595"/>
      <c r="SQB39" s="595"/>
      <c r="SQC39" s="595"/>
      <c r="SQD39" s="595"/>
      <c r="SQE39" s="595"/>
      <c r="SQF39" s="595"/>
      <c r="SQG39" s="595"/>
      <c r="SQH39" s="595"/>
      <c r="SQI39" s="595"/>
      <c r="SQJ39" s="595"/>
      <c r="SQK39" s="595"/>
      <c r="SQL39" s="595"/>
      <c r="SQM39" s="595"/>
      <c r="SQN39" s="595"/>
      <c r="SQO39" s="595"/>
      <c r="SQP39" s="595"/>
      <c r="SQQ39" s="595"/>
      <c r="SQR39" s="595"/>
      <c r="SQS39" s="595"/>
      <c r="SQT39" s="595"/>
      <c r="SQU39" s="595"/>
      <c r="SQV39" s="595"/>
      <c r="SQW39" s="595"/>
      <c r="SQX39" s="595"/>
      <c r="SQY39" s="595"/>
      <c r="SQZ39" s="595"/>
      <c r="SRA39" s="595"/>
      <c r="SRB39" s="595"/>
      <c r="SRC39" s="595"/>
      <c r="SRD39" s="595"/>
      <c r="SRE39" s="595"/>
      <c r="SRF39" s="595"/>
      <c r="SRG39" s="595"/>
      <c r="SRH39" s="595"/>
      <c r="SRI39" s="595"/>
      <c r="SRJ39" s="595"/>
      <c r="SRK39" s="595"/>
      <c r="SRL39" s="595"/>
      <c r="SRM39" s="595"/>
      <c r="SRN39" s="595"/>
      <c r="SRO39" s="595"/>
      <c r="SRP39" s="595"/>
      <c r="SRQ39" s="595"/>
      <c r="SRR39" s="595"/>
      <c r="SRS39" s="595"/>
      <c r="SRT39" s="595"/>
      <c r="SRU39" s="595"/>
      <c r="SRV39" s="595"/>
      <c r="SRW39" s="595"/>
      <c r="SRX39" s="595"/>
      <c r="SRY39" s="595"/>
      <c r="SRZ39" s="595"/>
      <c r="SSA39" s="595"/>
      <c r="SSB39" s="595"/>
      <c r="SSC39" s="595"/>
      <c r="SSD39" s="595"/>
      <c r="SSE39" s="595"/>
      <c r="SSF39" s="595"/>
      <c r="SSG39" s="595"/>
      <c r="SSH39" s="595"/>
      <c r="SSI39" s="595"/>
      <c r="SSJ39" s="595"/>
      <c r="SSK39" s="595"/>
      <c r="SSL39" s="595"/>
      <c r="SSM39" s="595"/>
      <c r="SSN39" s="595"/>
      <c r="SSO39" s="595"/>
      <c r="SSP39" s="595"/>
      <c r="SSQ39" s="595"/>
      <c r="SSR39" s="595"/>
      <c r="SSS39" s="595"/>
      <c r="SST39" s="595"/>
      <c r="SSU39" s="595"/>
      <c r="SSV39" s="595"/>
      <c r="SSW39" s="595"/>
      <c r="SSX39" s="595"/>
      <c r="SSY39" s="595"/>
      <c r="SSZ39" s="595"/>
      <c r="STA39" s="595"/>
      <c r="STB39" s="595"/>
      <c r="STC39" s="595"/>
      <c r="STD39" s="595"/>
      <c r="STE39" s="595"/>
      <c r="STF39" s="595"/>
      <c r="STG39" s="595"/>
      <c r="STH39" s="595"/>
      <c r="STI39" s="595"/>
      <c r="STJ39" s="595"/>
      <c r="STK39" s="595"/>
      <c r="STL39" s="595"/>
      <c r="STM39" s="595"/>
      <c r="STN39" s="595"/>
      <c r="STO39" s="595"/>
      <c r="STP39" s="595"/>
      <c r="STQ39" s="595"/>
      <c r="STR39" s="595"/>
      <c r="STS39" s="595"/>
      <c r="STT39" s="595"/>
      <c r="STU39" s="595"/>
      <c r="STV39" s="595"/>
      <c r="STW39" s="595"/>
      <c r="STX39" s="595"/>
      <c r="STY39" s="595"/>
      <c r="STZ39" s="595"/>
      <c r="SUA39" s="595"/>
      <c r="SUB39" s="595"/>
      <c r="SUC39" s="595"/>
      <c r="SUD39" s="595"/>
      <c r="SUE39" s="595"/>
      <c r="SUF39" s="595"/>
      <c r="SUG39" s="595"/>
      <c r="SUH39" s="595"/>
      <c r="SUI39" s="595"/>
      <c r="SUJ39" s="595"/>
      <c r="SUK39" s="595"/>
      <c r="SUL39" s="595"/>
      <c r="SUM39" s="595"/>
      <c r="SUN39" s="595"/>
      <c r="SUO39" s="595"/>
      <c r="SUP39" s="595"/>
      <c r="SUQ39" s="595"/>
      <c r="SUR39" s="595"/>
      <c r="SUS39" s="595"/>
      <c r="SUT39" s="595"/>
      <c r="SUU39" s="595"/>
      <c r="SUV39" s="595"/>
      <c r="SUW39" s="595"/>
      <c r="SUX39" s="595"/>
      <c r="SUY39" s="595"/>
      <c r="SUZ39" s="595"/>
      <c r="SVA39" s="595"/>
      <c r="SVB39" s="595"/>
      <c r="SVC39" s="595"/>
      <c r="SVD39" s="595"/>
      <c r="SVE39" s="595"/>
      <c r="SVF39" s="595"/>
      <c r="SVG39" s="595"/>
      <c r="SVH39" s="595"/>
      <c r="SVI39" s="595"/>
      <c r="SVJ39" s="595"/>
      <c r="SVK39" s="595"/>
      <c r="SVL39" s="595"/>
      <c r="SVM39" s="595"/>
      <c r="SVN39" s="595"/>
      <c r="SVO39" s="595"/>
      <c r="SVP39" s="595"/>
      <c r="SVQ39" s="595"/>
      <c r="SVR39" s="595"/>
      <c r="SVS39" s="595"/>
      <c r="SVT39" s="595"/>
      <c r="SVU39" s="595"/>
      <c r="SVV39" s="595"/>
      <c r="SVW39" s="595"/>
      <c r="SVX39" s="595"/>
      <c r="SVY39" s="595"/>
      <c r="SVZ39" s="595"/>
      <c r="SWA39" s="595"/>
      <c r="SWB39" s="595"/>
      <c r="SWC39" s="595"/>
      <c r="SWD39" s="595"/>
      <c r="SWE39" s="595"/>
      <c r="SWF39" s="595"/>
      <c r="SWG39" s="595"/>
      <c r="SWH39" s="595"/>
      <c r="SWI39" s="595"/>
      <c r="SWJ39" s="595"/>
      <c r="SWK39" s="595"/>
      <c r="SWL39" s="595"/>
      <c r="SWM39" s="595"/>
      <c r="SWN39" s="595"/>
      <c r="SWO39" s="595"/>
      <c r="SWP39" s="595"/>
      <c r="SWQ39" s="595"/>
      <c r="SWR39" s="595"/>
      <c r="SWS39" s="595"/>
      <c r="SWT39" s="595"/>
      <c r="SWU39" s="595"/>
      <c r="SWV39" s="595"/>
      <c r="SWW39" s="595"/>
      <c r="SWX39" s="595"/>
      <c r="SWY39" s="595"/>
      <c r="SWZ39" s="595"/>
      <c r="SXA39" s="595"/>
      <c r="SXB39" s="595"/>
      <c r="SXC39" s="595"/>
      <c r="SXD39" s="595"/>
      <c r="SXE39" s="595"/>
      <c r="SXF39" s="595"/>
      <c r="SXG39" s="595"/>
      <c r="SXH39" s="595"/>
      <c r="SXI39" s="595"/>
      <c r="SXJ39" s="595"/>
      <c r="SXK39" s="595"/>
      <c r="SXL39" s="595"/>
      <c r="SXM39" s="595"/>
      <c r="SXN39" s="595"/>
      <c r="SXO39" s="595"/>
      <c r="SXP39" s="595"/>
      <c r="SXQ39" s="595"/>
      <c r="SXR39" s="595"/>
      <c r="SXS39" s="595"/>
      <c r="SXT39" s="595"/>
      <c r="SXU39" s="595"/>
      <c r="SXV39" s="595"/>
      <c r="SXW39" s="595"/>
      <c r="SXX39" s="595"/>
      <c r="SXY39" s="595"/>
      <c r="SXZ39" s="595"/>
      <c r="SYA39" s="595"/>
      <c r="SYB39" s="595"/>
      <c r="SYC39" s="595"/>
      <c r="SYD39" s="595"/>
      <c r="SYE39" s="595"/>
      <c r="SYF39" s="595"/>
      <c r="SYG39" s="595"/>
      <c r="SYH39" s="595"/>
      <c r="SYI39" s="595"/>
      <c r="SYJ39" s="595"/>
      <c r="SYK39" s="595"/>
      <c r="SYL39" s="595"/>
      <c r="SYM39" s="595"/>
      <c r="SYN39" s="595"/>
      <c r="SYO39" s="595"/>
      <c r="SYP39" s="595"/>
      <c r="SYQ39" s="595"/>
      <c r="SYR39" s="595"/>
      <c r="SYS39" s="595"/>
      <c r="SYT39" s="595"/>
      <c r="SYU39" s="595"/>
      <c r="SYV39" s="595"/>
      <c r="SYW39" s="595"/>
      <c r="SYX39" s="595"/>
      <c r="SYY39" s="595"/>
      <c r="SYZ39" s="595"/>
      <c r="SZA39" s="595"/>
      <c r="SZB39" s="595"/>
      <c r="SZC39" s="595"/>
      <c r="SZD39" s="595"/>
      <c r="SZE39" s="595"/>
      <c r="SZF39" s="595"/>
      <c r="SZG39" s="595"/>
      <c r="SZH39" s="595"/>
      <c r="SZI39" s="595"/>
      <c r="SZJ39" s="595"/>
      <c r="SZK39" s="595"/>
      <c r="SZL39" s="595"/>
      <c r="SZM39" s="595"/>
      <c r="SZN39" s="595"/>
      <c r="SZO39" s="595"/>
      <c r="SZP39" s="595"/>
      <c r="SZQ39" s="595"/>
      <c r="SZR39" s="595"/>
      <c r="SZS39" s="595"/>
      <c r="SZT39" s="595"/>
      <c r="SZU39" s="595"/>
      <c r="SZV39" s="595"/>
      <c r="SZW39" s="595"/>
      <c r="SZX39" s="595"/>
      <c r="SZY39" s="595"/>
      <c r="SZZ39" s="595"/>
      <c r="TAA39" s="595"/>
      <c r="TAB39" s="595"/>
      <c r="TAC39" s="595"/>
      <c r="TAD39" s="595"/>
      <c r="TAE39" s="595"/>
      <c r="TAF39" s="595"/>
      <c r="TAG39" s="595"/>
      <c r="TAH39" s="595"/>
      <c r="TAI39" s="595"/>
      <c r="TAJ39" s="595"/>
      <c r="TAK39" s="595"/>
      <c r="TAL39" s="595"/>
      <c r="TAM39" s="595"/>
      <c r="TAN39" s="595"/>
      <c r="TAO39" s="595"/>
      <c r="TAP39" s="595"/>
      <c r="TAQ39" s="595"/>
      <c r="TAR39" s="595"/>
      <c r="TAS39" s="595"/>
      <c r="TAT39" s="595"/>
      <c r="TAU39" s="595"/>
      <c r="TAV39" s="595"/>
      <c r="TAW39" s="595"/>
      <c r="TAX39" s="595"/>
      <c r="TAY39" s="595"/>
      <c r="TAZ39" s="595"/>
      <c r="TBA39" s="595"/>
      <c r="TBB39" s="595"/>
      <c r="TBC39" s="595"/>
      <c r="TBD39" s="595"/>
      <c r="TBE39" s="595"/>
      <c r="TBF39" s="595"/>
      <c r="TBG39" s="595"/>
      <c r="TBH39" s="595"/>
      <c r="TBI39" s="595"/>
      <c r="TBJ39" s="595"/>
      <c r="TBK39" s="595"/>
      <c r="TBL39" s="595"/>
      <c r="TBM39" s="595"/>
      <c r="TBN39" s="595"/>
      <c r="TBO39" s="595"/>
      <c r="TBP39" s="595"/>
      <c r="TBQ39" s="595"/>
      <c r="TBR39" s="595"/>
      <c r="TBS39" s="595"/>
      <c r="TBT39" s="595"/>
      <c r="TBU39" s="595"/>
      <c r="TBV39" s="595"/>
      <c r="TBW39" s="595"/>
      <c r="TBX39" s="595"/>
      <c r="TBY39" s="595"/>
      <c r="TBZ39" s="595"/>
      <c r="TCA39" s="595"/>
      <c r="TCB39" s="595"/>
      <c r="TCC39" s="595"/>
      <c r="TCD39" s="595"/>
      <c r="TCE39" s="595"/>
      <c r="TCF39" s="595"/>
      <c r="TCG39" s="595"/>
      <c r="TCH39" s="595"/>
      <c r="TCI39" s="595"/>
      <c r="TCJ39" s="595"/>
      <c r="TCK39" s="595"/>
      <c r="TCL39" s="595"/>
      <c r="TCM39" s="595"/>
      <c r="TCN39" s="595"/>
      <c r="TCO39" s="595"/>
      <c r="TCP39" s="595"/>
      <c r="TCQ39" s="595"/>
      <c r="TCR39" s="595"/>
      <c r="TCS39" s="595"/>
      <c r="TCT39" s="595"/>
      <c r="TCU39" s="595"/>
      <c r="TCV39" s="595"/>
      <c r="TCW39" s="595"/>
      <c r="TCX39" s="595"/>
      <c r="TCY39" s="595"/>
      <c r="TCZ39" s="595"/>
      <c r="TDA39" s="595"/>
      <c r="TDB39" s="595"/>
      <c r="TDC39" s="595"/>
      <c r="TDD39" s="595"/>
      <c r="TDE39" s="595"/>
      <c r="TDF39" s="595"/>
      <c r="TDG39" s="595"/>
      <c r="TDH39" s="595"/>
      <c r="TDI39" s="595"/>
      <c r="TDJ39" s="595"/>
      <c r="TDK39" s="595"/>
      <c r="TDL39" s="595"/>
      <c r="TDM39" s="595"/>
      <c r="TDN39" s="595"/>
      <c r="TDO39" s="595"/>
      <c r="TDP39" s="595"/>
      <c r="TDQ39" s="595"/>
      <c r="TDR39" s="595"/>
      <c r="TDS39" s="595"/>
      <c r="TDT39" s="595"/>
      <c r="TDU39" s="595"/>
      <c r="TDV39" s="595"/>
      <c r="TDW39" s="595"/>
      <c r="TDX39" s="595"/>
      <c r="TDY39" s="595"/>
      <c r="TDZ39" s="595"/>
      <c r="TEA39" s="595"/>
      <c r="TEB39" s="595"/>
      <c r="TEC39" s="595"/>
      <c r="TED39" s="595"/>
      <c r="TEE39" s="595"/>
      <c r="TEF39" s="595"/>
      <c r="TEG39" s="595"/>
      <c r="TEH39" s="595"/>
      <c r="TEI39" s="595"/>
      <c r="TEJ39" s="595"/>
      <c r="TEK39" s="595"/>
      <c r="TEL39" s="595"/>
      <c r="TEM39" s="595"/>
      <c r="TEN39" s="595"/>
      <c r="TEO39" s="595"/>
      <c r="TEP39" s="595"/>
      <c r="TEQ39" s="595"/>
      <c r="TER39" s="595"/>
      <c r="TES39" s="595"/>
      <c r="TET39" s="595"/>
      <c r="TEU39" s="595"/>
      <c r="TEV39" s="595"/>
      <c r="TEW39" s="595"/>
      <c r="TEX39" s="595"/>
      <c r="TEY39" s="595"/>
      <c r="TEZ39" s="595"/>
      <c r="TFA39" s="595"/>
      <c r="TFB39" s="595"/>
      <c r="TFC39" s="595"/>
      <c r="TFD39" s="595"/>
      <c r="TFE39" s="595"/>
      <c r="TFF39" s="595"/>
      <c r="TFG39" s="595"/>
      <c r="TFH39" s="595"/>
      <c r="TFI39" s="595"/>
      <c r="TFJ39" s="595"/>
      <c r="TFK39" s="595"/>
      <c r="TFL39" s="595"/>
      <c r="TFM39" s="595"/>
      <c r="TFN39" s="595"/>
      <c r="TFO39" s="595"/>
      <c r="TFP39" s="595"/>
      <c r="TFQ39" s="595"/>
      <c r="TFR39" s="595"/>
      <c r="TFS39" s="595"/>
      <c r="TFT39" s="595"/>
      <c r="TFU39" s="595"/>
      <c r="TFV39" s="595"/>
      <c r="TFW39" s="595"/>
      <c r="TFX39" s="595"/>
      <c r="TFY39" s="595"/>
      <c r="TFZ39" s="595"/>
      <c r="TGA39" s="595"/>
      <c r="TGB39" s="595"/>
      <c r="TGC39" s="595"/>
      <c r="TGD39" s="595"/>
      <c r="TGE39" s="595"/>
      <c r="TGF39" s="595"/>
      <c r="TGG39" s="595"/>
      <c r="TGH39" s="595"/>
      <c r="TGI39" s="595"/>
      <c r="TGJ39" s="595"/>
      <c r="TGK39" s="595"/>
      <c r="TGL39" s="595"/>
      <c r="TGM39" s="595"/>
      <c r="TGN39" s="595"/>
      <c r="TGO39" s="595"/>
      <c r="TGP39" s="595"/>
      <c r="TGQ39" s="595"/>
      <c r="TGR39" s="595"/>
      <c r="TGS39" s="595"/>
      <c r="TGT39" s="595"/>
      <c r="TGU39" s="595"/>
      <c r="TGV39" s="595"/>
      <c r="TGW39" s="595"/>
      <c r="TGX39" s="595"/>
      <c r="TGY39" s="595"/>
      <c r="TGZ39" s="595"/>
      <c r="THA39" s="595"/>
      <c r="THB39" s="595"/>
      <c r="THC39" s="595"/>
      <c r="THD39" s="595"/>
      <c r="THE39" s="595"/>
      <c r="THF39" s="595"/>
      <c r="THG39" s="595"/>
      <c r="THH39" s="595"/>
      <c r="THI39" s="595"/>
      <c r="THJ39" s="595"/>
      <c r="THK39" s="595"/>
      <c r="THL39" s="595"/>
      <c r="THM39" s="595"/>
      <c r="THN39" s="595"/>
      <c r="THO39" s="595"/>
      <c r="THP39" s="595"/>
      <c r="THQ39" s="595"/>
      <c r="THR39" s="595"/>
      <c r="THS39" s="595"/>
      <c r="THT39" s="595"/>
      <c r="THU39" s="595"/>
      <c r="THV39" s="595"/>
      <c r="THW39" s="595"/>
      <c r="THX39" s="595"/>
      <c r="THY39" s="595"/>
      <c r="THZ39" s="595"/>
      <c r="TIA39" s="595"/>
      <c r="TIB39" s="595"/>
      <c r="TIC39" s="595"/>
      <c r="TID39" s="595"/>
      <c r="TIE39" s="595"/>
      <c r="TIF39" s="595"/>
      <c r="TIG39" s="595"/>
      <c r="TIH39" s="595"/>
      <c r="TII39" s="595"/>
      <c r="TIJ39" s="595"/>
      <c r="TIK39" s="595"/>
      <c r="TIL39" s="595"/>
      <c r="TIM39" s="595"/>
      <c r="TIN39" s="595"/>
      <c r="TIO39" s="595"/>
      <c r="TIP39" s="595"/>
      <c r="TIQ39" s="595"/>
      <c r="TIR39" s="595"/>
      <c r="TIS39" s="595"/>
      <c r="TIT39" s="595"/>
      <c r="TIU39" s="595"/>
      <c r="TIV39" s="595"/>
      <c r="TIW39" s="595"/>
      <c r="TIX39" s="595"/>
      <c r="TIY39" s="595"/>
      <c r="TIZ39" s="595"/>
      <c r="TJA39" s="595"/>
      <c r="TJB39" s="595"/>
      <c r="TJC39" s="595"/>
      <c r="TJD39" s="595"/>
      <c r="TJE39" s="595"/>
      <c r="TJF39" s="595"/>
      <c r="TJG39" s="595"/>
      <c r="TJH39" s="595"/>
      <c r="TJI39" s="595"/>
      <c r="TJJ39" s="595"/>
      <c r="TJK39" s="595"/>
      <c r="TJL39" s="595"/>
      <c r="TJM39" s="595"/>
      <c r="TJN39" s="595"/>
      <c r="TJO39" s="595"/>
      <c r="TJP39" s="595"/>
      <c r="TJQ39" s="595"/>
      <c r="TJR39" s="595"/>
      <c r="TJS39" s="595"/>
      <c r="TJT39" s="595"/>
      <c r="TJU39" s="595"/>
      <c r="TJV39" s="595"/>
      <c r="TJW39" s="595"/>
      <c r="TJX39" s="595"/>
      <c r="TJY39" s="595"/>
      <c r="TJZ39" s="595"/>
      <c r="TKA39" s="595"/>
      <c r="TKB39" s="595"/>
      <c r="TKC39" s="595"/>
      <c r="TKD39" s="595"/>
      <c r="TKE39" s="595"/>
      <c r="TKF39" s="595"/>
      <c r="TKG39" s="595"/>
      <c r="TKH39" s="595"/>
      <c r="TKI39" s="595"/>
      <c r="TKJ39" s="595"/>
      <c r="TKK39" s="595"/>
      <c r="TKL39" s="595"/>
      <c r="TKM39" s="595"/>
      <c r="TKN39" s="595"/>
      <c r="TKO39" s="595"/>
      <c r="TKP39" s="595"/>
      <c r="TKQ39" s="595"/>
      <c r="TKR39" s="595"/>
      <c r="TKS39" s="595"/>
      <c r="TKT39" s="595"/>
      <c r="TKU39" s="595"/>
      <c r="TKV39" s="595"/>
      <c r="TKW39" s="595"/>
      <c r="TKX39" s="595"/>
      <c r="TKY39" s="595"/>
      <c r="TKZ39" s="595"/>
      <c r="TLA39" s="595"/>
      <c r="TLB39" s="595"/>
      <c r="TLC39" s="595"/>
      <c r="TLD39" s="595"/>
      <c r="TLE39" s="595"/>
      <c r="TLF39" s="595"/>
      <c r="TLG39" s="595"/>
      <c r="TLH39" s="595"/>
      <c r="TLI39" s="595"/>
      <c r="TLJ39" s="595"/>
      <c r="TLK39" s="595"/>
      <c r="TLL39" s="595"/>
      <c r="TLM39" s="595"/>
      <c r="TLN39" s="595"/>
      <c r="TLO39" s="595"/>
      <c r="TLP39" s="595"/>
      <c r="TLQ39" s="595"/>
      <c r="TLR39" s="595"/>
      <c r="TLS39" s="595"/>
      <c r="TLT39" s="595"/>
      <c r="TLU39" s="595"/>
      <c r="TLV39" s="595"/>
      <c r="TLW39" s="595"/>
      <c r="TLX39" s="595"/>
      <c r="TLY39" s="595"/>
      <c r="TLZ39" s="595"/>
      <c r="TMA39" s="595"/>
      <c r="TMB39" s="595"/>
      <c r="TMC39" s="595"/>
      <c r="TMD39" s="595"/>
      <c r="TME39" s="595"/>
      <c r="TMF39" s="595"/>
      <c r="TMG39" s="595"/>
      <c r="TMH39" s="595"/>
      <c r="TMI39" s="595"/>
      <c r="TMJ39" s="595"/>
      <c r="TMK39" s="595"/>
      <c r="TML39" s="595"/>
      <c r="TMM39" s="595"/>
      <c r="TMN39" s="595"/>
      <c r="TMO39" s="595"/>
      <c r="TMP39" s="595"/>
      <c r="TMQ39" s="595"/>
      <c r="TMR39" s="595"/>
      <c r="TMS39" s="595"/>
      <c r="TMT39" s="595"/>
      <c r="TMU39" s="595"/>
      <c r="TMV39" s="595"/>
      <c r="TMW39" s="595"/>
      <c r="TMX39" s="595"/>
      <c r="TMY39" s="595"/>
      <c r="TMZ39" s="595"/>
      <c r="TNA39" s="595"/>
      <c r="TNB39" s="595"/>
      <c r="TNC39" s="595"/>
      <c r="TND39" s="595"/>
      <c r="TNE39" s="595"/>
      <c r="TNF39" s="595"/>
      <c r="TNG39" s="595"/>
      <c r="TNH39" s="595"/>
      <c r="TNI39" s="595"/>
      <c r="TNJ39" s="595"/>
      <c r="TNK39" s="595"/>
      <c r="TNL39" s="595"/>
      <c r="TNM39" s="595"/>
      <c r="TNN39" s="595"/>
      <c r="TNO39" s="595"/>
      <c r="TNP39" s="595"/>
      <c r="TNQ39" s="595"/>
      <c r="TNR39" s="595"/>
      <c r="TNS39" s="595"/>
      <c r="TNT39" s="595"/>
      <c r="TNU39" s="595"/>
      <c r="TNV39" s="595"/>
      <c r="TNW39" s="595"/>
      <c r="TNX39" s="595"/>
      <c r="TNY39" s="595"/>
      <c r="TNZ39" s="595"/>
      <c r="TOA39" s="595"/>
      <c r="TOB39" s="595"/>
      <c r="TOC39" s="595"/>
      <c r="TOD39" s="595"/>
      <c r="TOE39" s="595"/>
      <c r="TOF39" s="595"/>
      <c r="TOG39" s="595"/>
      <c r="TOH39" s="595"/>
      <c r="TOI39" s="595"/>
      <c r="TOJ39" s="595"/>
      <c r="TOK39" s="595"/>
      <c r="TOL39" s="595"/>
      <c r="TOM39" s="595"/>
      <c r="TON39" s="595"/>
      <c r="TOO39" s="595"/>
      <c r="TOP39" s="595"/>
      <c r="TOQ39" s="595"/>
      <c r="TOR39" s="595"/>
      <c r="TOS39" s="595"/>
      <c r="TOT39" s="595"/>
      <c r="TOU39" s="595"/>
      <c r="TOV39" s="595"/>
      <c r="TOW39" s="595"/>
      <c r="TOX39" s="595"/>
      <c r="TOY39" s="595"/>
      <c r="TOZ39" s="595"/>
      <c r="TPA39" s="595"/>
      <c r="TPB39" s="595"/>
      <c r="TPC39" s="595"/>
      <c r="TPD39" s="595"/>
      <c r="TPE39" s="595"/>
      <c r="TPF39" s="595"/>
      <c r="TPG39" s="595"/>
      <c r="TPH39" s="595"/>
      <c r="TPI39" s="595"/>
      <c r="TPJ39" s="595"/>
      <c r="TPK39" s="595"/>
      <c r="TPL39" s="595"/>
      <c r="TPM39" s="595"/>
      <c r="TPN39" s="595"/>
      <c r="TPO39" s="595"/>
      <c r="TPP39" s="595"/>
      <c r="TPQ39" s="595"/>
      <c r="TPR39" s="595"/>
      <c r="TPS39" s="595"/>
      <c r="TPT39" s="595"/>
      <c r="TPU39" s="595"/>
      <c r="TPV39" s="595"/>
      <c r="TPW39" s="595"/>
      <c r="TPX39" s="595"/>
      <c r="TPY39" s="595"/>
      <c r="TPZ39" s="595"/>
      <c r="TQA39" s="595"/>
      <c r="TQB39" s="595"/>
      <c r="TQC39" s="595"/>
      <c r="TQD39" s="595"/>
      <c r="TQE39" s="595"/>
      <c r="TQF39" s="595"/>
      <c r="TQG39" s="595"/>
      <c r="TQH39" s="595"/>
      <c r="TQI39" s="595"/>
      <c r="TQJ39" s="595"/>
      <c r="TQK39" s="595"/>
      <c r="TQL39" s="595"/>
      <c r="TQM39" s="595"/>
      <c r="TQN39" s="595"/>
      <c r="TQO39" s="595"/>
      <c r="TQP39" s="595"/>
      <c r="TQQ39" s="595"/>
      <c r="TQR39" s="595"/>
      <c r="TQS39" s="595"/>
      <c r="TQT39" s="595"/>
      <c r="TQU39" s="595"/>
      <c r="TQV39" s="595"/>
      <c r="TQW39" s="595"/>
      <c r="TQX39" s="595"/>
      <c r="TQY39" s="595"/>
      <c r="TQZ39" s="595"/>
      <c r="TRA39" s="595"/>
      <c r="TRB39" s="595"/>
      <c r="TRC39" s="595"/>
      <c r="TRD39" s="595"/>
      <c r="TRE39" s="595"/>
      <c r="TRF39" s="595"/>
      <c r="TRG39" s="595"/>
      <c r="TRH39" s="595"/>
      <c r="TRI39" s="595"/>
      <c r="TRJ39" s="595"/>
      <c r="TRK39" s="595"/>
      <c r="TRL39" s="595"/>
      <c r="TRM39" s="595"/>
      <c r="TRN39" s="595"/>
      <c r="TRO39" s="595"/>
      <c r="TRP39" s="595"/>
      <c r="TRQ39" s="595"/>
      <c r="TRR39" s="595"/>
      <c r="TRS39" s="595"/>
      <c r="TRT39" s="595"/>
      <c r="TRU39" s="595"/>
      <c r="TRV39" s="595"/>
      <c r="TRW39" s="595"/>
      <c r="TRX39" s="595"/>
      <c r="TRY39" s="595"/>
      <c r="TRZ39" s="595"/>
      <c r="TSA39" s="595"/>
      <c r="TSB39" s="595"/>
      <c r="TSC39" s="595"/>
      <c r="TSD39" s="595"/>
      <c r="TSE39" s="595"/>
      <c r="TSF39" s="595"/>
      <c r="TSG39" s="595"/>
      <c r="TSH39" s="595"/>
      <c r="TSI39" s="595"/>
      <c r="TSJ39" s="595"/>
      <c r="TSK39" s="595"/>
      <c r="TSL39" s="595"/>
      <c r="TSM39" s="595"/>
      <c r="TSN39" s="595"/>
      <c r="TSO39" s="595"/>
      <c r="TSP39" s="595"/>
      <c r="TSQ39" s="595"/>
      <c r="TSR39" s="595"/>
      <c r="TSS39" s="595"/>
      <c r="TST39" s="595"/>
      <c r="TSU39" s="595"/>
      <c r="TSV39" s="595"/>
      <c r="TSW39" s="595"/>
      <c r="TSX39" s="595"/>
      <c r="TSY39" s="595"/>
      <c r="TSZ39" s="595"/>
      <c r="TTA39" s="595"/>
      <c r="TTB39" s="595"/>
      <c r="TTC39" s="595"/>
      <c r="TTD39" s="595"/>
      <c r="TTE39" s="595"/>
      <c r="TTF39" s="595"/>
      <c r="TTG39" s="595"/>
      <c r="TTH39" s="595"/>
      <c r="TTI39" s="595"/>
      <c r="TTJ39" s="595"/>
      <c r="TTK39" s="595"/>
      <c r="TTL39" s="595"/>
      <c r="TTM39" s="595"/>
      <c r="TTN39" s="595"/>
      <c r="TTO39" s="595"/>
      <c r="TTP39" s="595"/>
      <c r="TTQ39" s="595"/>
      <c r="TTR39" s="595"/>
      <c r="TTS39" s="595"/>
      <c r="TTT39" s="595"/>
      <c r="TTU39" s="595"/>
      <c r="TTV39" s="595"/>
      <c r="TTW39" s="595"/>
      <c r="TTX39" s="595"/>
      <c r="TTY39" s="595"/>
      <c r="TTZ39" s="595"/>
      <c r="TUA39" s="595"/>
      <c r="TUB39" s="595"/>
      <c r="TUC39" s="595"/>
      <c r="TUD39" s="595"/>
      <c r="TUE39" s="595"/>
      <c r="TUF39" s="595"/>
      <c r="TUG39" s="595"/>
      <c r="TUH39" s="595"/>
      <c r="TUI39" s="595"/>
      <c r="TUJ39" s="595"/>
      <c r="TUK39" s="595"/>
      <c r="TUL39" s="595"/>
      <c r="TUM39" s="595"/>
      <c r="TUN39" s="595"/>
      <c r="TUO39" s="595"/>
      <c r="TUP39" s="595"/>
      <c r="TUQ39" s="595"/>
      <c r="TUR39" s="595"/>
      <c r="TUS39" s="595"/>
      <c r="TUT39" s="595"/>
      <c r="TUU39" s="595"/>
      <c r="TUV39" s="595"/>
      <c r="TUW39" s="595"/>
      <c r="TUX39" s="595"/>
      <c r="TUY39" s="595"/>
      <c r="TUZ39" s="595"/>
      <c r="TVA39" s="595"/>
      <c r="TVB39" s="595"/>
      <c r="TVC39" s="595"/>
      <c r="TVD39" s="595"/>
      <c r="TVE39" s="595"/>
      <c r="TVF39" s="595"/>
      <c r="TVG39" s="595"/>
      <c r="TVH39" s="595"/>
      <c r="TVI39" s="595"/>
      <c r="TVJ39" s="595"/>
      <c r="TVK39" s="595"/>
      <c r="TVL39" s="595"/>
      <c r="TVM39" s="595"/>
      <c r="TVN39" s="595"/>
      <c r="TVO39" s="595"/>
      <c r="TVP39" s="595"/>
      <c r="TVQ39" s="595"/>
      <c r="TVR39" s="595"/>
      <c r="TVS39" s="595"/>
      <c r="TVT39" s="595"/>
      <c r="TVU39" s="595"/>
      <c r="TVV39" s="595"/>
      <c r="TVW39" s="595"/>
      <c r="TVX39" s="595"/>
      <c r="TVY39" s="595"/>
      <c r="TVZ39" s="595"/>
      <c r="TWA39" s="595"/>
      <c r="TWB39" s="595"/>
      <c r="TWC39" s="595"/>
      <c r="TWD39" s="595"/>
      <c r="TWE39" s="595"/>
      <c r="TWF39" s="595"/>
      <c r="TWG39" s="595"/>
      <c r="TWH39" s="595"/>
      <c r="TWI39" s="595"/>
      <c r="TWJ39" s="595"/>
      <c r="TWK39" s="595"/>
      <c r="TWL39" s="595"/>
      <c r="TWM39" s="595"/>
      <c r="TWN39" s="595"/>
      <c r="TWO39" s="595"/>
      <c r="TWP39" s="595"/>
      <c r="TWQ39" s="595"/>
      <c r="TWR39" s="595"/>
      <c r="TWS39" s="595"/>
      <c r="TWT39" s="595"/>
      <c r="TWU39" s="595"/>
      <c r="TWV39" s="595"/>
      <c r="TWW39" s="595"/>
      <c r="TWX39" s="595"/>
      <c r="TWY39" s="595"/>
      <c r="TWZ39" s="595"/>
      <c r="TXA39" s="595"/>
      <c r="TXB39" s="595"/>
      <c r="TXC39" s="595"/>
      <c r="TXD39" s="595"/>
      <c r="TXE39" s="595"/>
      <c r="TXF39" s="595"/>
      <c r="TXG39" s="595"/>
      <c r="TXH39" s="595"/>
      <c r="TXI39" s="595"/>
      <c r="TXJ39" s="595"/>
      <c r="TXK39" s="595"/>
      <c r="TXL39" s="595"/>
      <c r="TXM39" s="595"/>
      <c r="TXN39" s="595"/>
      <c r="TXO39" s="595"/>
      <c r="TXP39" s="595"/>
      <c r="TXQ39" s="595"/>
      <c r="TXR39" s="595"/>
      <c r="TXS39" s="595"/>
      <c r="TXT39" s="595"/>
      <c r="TXU39" s="595"/>
      <c r="TXV39" s="595"/>
      <c r="TXW39" s="595"/>
      <c r="TXX39" s="595"/>
      <c r="TXY39" s="595"/>
      <c r="TXZ39" s="595"/>
      <c r="TYA39" s="595"/>
      <c r="TYB39" s="595"/>
      <c r="TYC39" s="595"/>
      <c r="TYD39" s="595"/>
      <c r="TYE39" s="595"/>
      <c r="TYF39" s="595"/>
      <c r="TYG39" s="595"/>
      <c r="TYH39" s="595"/>
      <c r="TYI39" s="595"/>
      <c r="TYJ39" s="595"/>
      <c r="TYK39" s="595"/>
      <c r="TYL39" s="595"/>
      <c r="TYM39" s="595"/>
      <c r="TYN39" s="595"/>
      <c r="TYO39" s="595"/>
      <c r="TYP39" s="595"/>
      <c r="TYQ39" s="595"/>
      <c r="TYR39" s="595"/>
      <c r="TYS39" s="595"/>
      <c r="TYT39" s="595"/>
      <c r="TYU39" s="595"/>
      <c r="TYV39" s="595"/>
      <c r="TYW39" s="595"/>
      <c r="TYX39" s="595"/>
      <c r="TYY39" s="595"/>
      <c r="TYZ39" s="595"/>
      <c r="TZA39" s="595"/>
      <c r="TZB39" s="595"/>
      <c r="TZC39" s="595"/>
      <c r="TZD39" s="595"/>
      <c r="TZE39" s="595"/>
      <c r="TZF39" s="595"/>
      <c r="TZG39" s="595"/>
      <c r="TZH39" s="595"/>
      <c r="TZI39" s="595"/>
      <c r="TZJ39" s="595"/>
      <c r="TZK39" s="595"/>
      <c r="TZL39" s="595"/>
      <c r="TZM39" s="595"/>
      <c r="TZN39" s="595"/>
      <c r="TZO39" s="595"/>
      <c r="TZP39" s="595"/>
      <c r="TZQ39" s="595"/>
      <c r="TZR39" s="595"/>
      <c r="TZS39" s="595"/>
      <c r="TZT39" s="595"/>
      <c r="TZU39" s="595"/>
      <c r="TZV39" s="595"/>
      <c r="TZW39" s="595"/>
      <c r="TZX39" s="595"/>
      <c r="TZY39" s="595"/>
      <c r="TZZ39" s="595"/>
      <c r="UAA39" s="595"/>
      <c r="UAB39" s="595"/>
      <c r="UAC39" s="595"/>
      <c r="UAD39" s="595"/>
      <c r="UAE39" s="595"/>
      <c r="UAF39" s="595"/>
      <c r="UAG39" s="595"/>
      <c r="UAH39" s="595"/>
      <c r="UAI39" s="595"/>
      <c r="UAJ39" s="595"/>
      <c r="UAK39" s="595"/>
      <c r="UAL39" s="595"/>
      <c r="UAM39" s="595"/>
      <c r="UAN39" s="595"/>
      <c r="UAO39" s="595"/>
      <c r="UAP39" s="595"/>
      <c r="UAQ39" s="595"/>
      <c r="UAR39" s="595"/>
      <c r="UAS39" s="595"/>
      <c r="UAT39" s="595"/>
      <c r="UAU39" s="595"/>
      <c r="UAV39" s="595"/>
      <c r="UAW39" s="595"/>
      <c r="UAX39" s="595"/>
      <c r="UAY39" s="595"/>
      <c r="UAZ39" s="595"/>
      <c r="UBA39" s="595"/>
      <c r="UBB39" s="595"/>
      <c r="UBC39" s="595"/>
      <c r="UBD39" s="595"/>
      <c r="UBE39" s="595"/>
      <c r="UBF39" s="595"/>
      <c r="UBG39" s="595"/>
      <c r="UBH39" s="595"/>
      <c r="UBI39" s="595"/>
      <c r="UBJ39" s="595"/>
      <c r="UBK39" s="595"/>
      <c r="UBL39" s="595"/>
      <c r="UBM39" s="595"/>
      <c r="UBN39" s="595"/>
      <c r="UBO39" s="595"/>
      <c r="UBP39" s="595"/>
      <c r="UBQ39" s="595"/>
      <c r="UBR39" s="595"/>
      <c r="UBS39" s="595"/>
      <c r="UBT39" s="595"/>
      <c r="UBU39" s="595"/>
      <c r="UBV39" s="595"/>
      <c r="UBW39" s="595"/>
      <c r="UBX39" s="595"/>
      <c r="UBY39" s="595"/>
      <c r="UBZ39" s="595"/>
      <c r="UCA39" s="595"/>
      <c r="UCB39" s="595"/>
      <c r="UCC39" s="595"/>
      <c r="UCD39" s="595"/>
      <c r="UCE39" s="595"/>
      <c r="UCF39" s="595"/>
      <c r="UCG39" s="595"/>
      <c r="UCH39" s="595"/>
      <c r="UCI39" s="595"/>
      <c r="UCJ39" s="595"/>
      <c r="UCK39" s="595"/>
      <c r="UCL39" s="595"/>
      <c r="UCM39" s="595"/>
      <c r="UCN39" s="595"/>
      <c r="UCO39" s="595"/>
      <c r="UCP39" s="595"/>
      <c r="UCQ39" s="595"/>
      <c r="UCR39" s="595"/>
      <c r="UCS39" s="595"/>
      <c r="UCT39" s="595"/>
      <c r="UCU39" s="595"/>
      <c r="UCV39" s="595"/>
      <c r="UCW39" s="595"/>
      <c r="UCX39" s="595"/>
      <c r="UCY39" s="595"/>
      <c r="UCZ39" s="595"/>
      <c r="UDA39" s="595"/>
      <c r="UDB39" s="595"/>
      <c r="UDC39" s="595"/>
      <c r="UDD39" s="595"/>
      <c r="UDE39" s="595"/>
      <c r="UDF39" s="595"/>
      <c r="UDG39" s="595"/>
      <c r="UDH39" s="595"/>
      <c r="UDI39" s="595"/>
      <c r="UDJ39" s="595"/>
      <c r="UDK39" s="595"/>
      <c r="UDL39" s="595"/>
      <c r="UDM39" s="595"/>
      <c r="UDN39" s="595"/>
      <c r="UDO39" s="595"/>
      <c r="UDP39" s="595"/>
      <c r="UDQ39" s="595"/>
      <c r="UDR39" s="595"/>
      <c r="UDS39" s="595"/>
      <c r="UDT39" s="595"/>
      <c r="UDU39" s="595"/>
      <c r="UDV39" s="595"/>
      <c r="UDW39" s="595"/>
      <c r="UDX39" s="595"/>
      <c r="UDY39" s="595"/>
      <c r="UDZ39" s="595"/>
      <c r="UEA39" s="595"/>
      <c r="UEB39" s="595"/>
      <c r="UEC39" s="595"/>
      <c r="UED39" s="595"/>
      <c r="UEE39" s="595"/>
      <c r="UEF39" s="595"/>
      <c r="UEG39" s="595"/>
      <c r="UEH39" s="595"/>
      <c r="UEI39" s="595"/>
      <c r="UEJ39" s="595"/>
      <c r="UEK39" s="595"/>
      <c r="UEL39" s="595"/>
      <c r="UEM39" s="595"/>
      <c r="UEN39" s="595"/>
      <c r="UEO39" s="595"/>
      <c r="UEP39" s="595"/>
      <c r="UEQ39" s="595"/>
      <c r="UER39" s="595"/>
      <c r="UES39" s="595"/>
      <c r="UET39" s="595"/>
      <c r="UEU39" s="595"/>
      <c r="UEV39" s="595"/>
      <c r="UEW39" s="595"/>
      <c r="UEX39" s="595"/>
      <c r="UEY39" s="595"/>
      <c r="UEZ39" s="595"/>
      <c r="UFA39" s="595"/>
      <c r="UFB39" s="595"/>
      <c r="UFC39" s="595"/>
      <c r="UFD39" s="595"/>
      <c r="UFE39" s="595"/>
      <c r="UFF39" s="595"/>
      <c r="UFG39" s="595"/>
      <c r="UFH39" s="595"/>
      <c r="UFI39" s="595"/>
      <c r="UFJ39" s="595"/>
      <c r="UFK39" s="595"/>
      <c r="UFL39" s="595"/>
      <c r="UFM39" s="595"/>
      <c r="UFN39" s="595"/>
      <c r="UFO39" s="595"/>
      <c r="UFP39" s="595"/>
      <c r="UFQ39" s="595"/>
      <c r="UFR39" s="595"/>
      <c r="UFS39" s="595"/>
      <c r="UFT39" s="595"/>
      <c r="UFU39" s="595"/>
      <c r="UFV39" s="595"/>
      <c r="UFW39" s="595"/>
      <c r="UFX39" s="595"/>
      <c r="UFY39" s="595"/>
      <c r="UFZ39" s="595"/>
      <c r="UGA39" s="595"/>
      <c r="UGB39" s="595"/>
      <c r="UGC39" s="595"/>
      <c r="UGD39" s="595"/>
      <c r="UGE39" s="595"/>
      <c r="UGF39" s="595"/>
      <c r="UGG39" s="595"/>
      <c r="UGH39" s="595"/>
      <c r="UGI39" s="595"/>
      <c r="UGJ39" s="595"/>
      <c r="UGK39" s="595"/>
      <c r="UGL39" s="595"/>
      <c r="UGM39" s="595"/>
      <c r="UGN39" s="595"/>
      <c r="UGO39" s="595"/>
      <c r="UGP39" s="595"/>
      <c r="UGQ39" s="595"/>
      <c r="UGR39" s="595"/>
      <c r="UGS39" s="595"/>
      <c r="UGT39" s="595"/>
      <c r="UGU39" s="595"/>
      <c r="UGV39" s="595"/>
      <c r="UGW39" s="595"/>
      <c r="UGX39" s="595"/>
      <c r="UGY39" s="595"/>
      <c r="UGZ39" s="595"/>
      <c r="UHA39" s="595"/>
      <c r="UHB39" s="595"/>
      <c r="UHC39" s="595"/>
      <c r="UHD39" s="595"/>
      <c r="UHE39" s="595"/>
      <c r="UHF39" s="595"/>
      <c r="UHG39" s="595"/>
      <c r="UHH39" s="595"/>
      <c r="UHI39" s="595"/>
      <c r="UHJ39" s="595"/>
      <c r="UHK39" s="595"/>
      <c r="UHL39" s="595"/>
      <c r="UHM39" s="595"/>
      <c r="UHN39" s="595"/>
      <c r="UHO39" s="595"/>
      <c r="UHP39" s="595"/>
      <c r="UHQ39" s="595"/>
      <c r="UHR39" s="595"/>
      <c r="UHS39" s="595"/>
      <c r="UHT39" s="595"/>
      <c r="UHU39" s="595"/>
      <c r="UHV39" s="595"/>
      <c r="UHW39" s="595"/>
      <c r="UHX39" s="595"/>
      <c r="UHY39" s="595"/>
      <c r="UHZ39" s="595"/>
      <c r="UIA39" s="595"/>
      <c r="UIB39" s="595"/>
      <c r="UIC39" s="595"/>
      <c r="UID39" s="595"/>
      <c r="UIE39" s="595"/>
      <c r="UIF39" s="595"/>
      <c r="UIG39" s="595"/>
      <c r="UIH39" s="595"/>
      <c r="UII39" s="595"/>
      <c r="UIJ39" s="595"/>
      <c r="UIK39" s="595"/>
      <c r="UIL39" s="595"/>
      <c r="UIM39" s="595"/>
      <c r="UIN39" s="595"/>
      <c r="UIO39" s="595"/>
      <c r="UIP39" s="595"/>
      <c r="UIQ39" s="595"/>
      <c r="UIR39" s="595"/>
      <c r="UIS39" s="595"/>
      <c r="UIT39" s="595"/>
      <c r="UIU39" s="595"/>
      <c r="UIV39" s="595"/>
      <c r="UIW39" s="595"/>
      <c r="UIX39" s="595"/>
      <c r="UIY39" s="595"/>
      <c r="UIZ39" s="595"/>
      <c r="UJA39" s="595"/>
      <c r="UJB39" s="595"/>
      <c r="UJC39" s="595"/>
      <c r="UJD39" s="595"/>
      <c r="UJE39" s="595"/>
      <c r="UJF39" s="595"/>
      <c r="UJG39" s="595"/>
      <c r="UJH39" s="595"/>
      <c r="UJI39" s="595"/>
      <c r="UJJ39" s="595"/>
      <c r="UJK39" s="595"/>
      <c r="UJL39" s="595"/>
      <c r="UJM39" s="595"/>
      <c r="UJN39" s="595"/>
      <c r="UJO39" s="595"/>
      <c r="UJP39" s="595"/>
      <c r="UJQ39" s="595"/>
      <c r="UJR39" s="595"/>
      <c r="UJS39" s="595"/>
      <c r="UJT39" s="595"/>
      <c r="UJU39" s="595"/>
      <c r="UJV39" s="595"/>
      <c r="UJW39" s="595"/>
      <c r="UJX39" s="595"/>
      <c r="UJY39" s="595"/>
      <c r="UJZ39" s="595"/>
      <c r="UKA39" s="595"/>
      <c r="UKB39" s="595"/>
      <c r="UKC39" s="595"/>
      <c r="UKD39" s="595"/>
      <c r="UKE39" s="595"/>
      <c r="UKF39" s="595"/>
      <c r="UKG39" s="595"/>
      <c r="UKH39" s="595"/>
      <c r="UKI39" s="595"/>
      <c r="UKJ39" s="595"/>
      <c r="UKK39" s="595"/>
      <c r="UKL39" s="595"/>
      <c r="UKM39" s="595"/>
      <c r="UKN39" s="595"/>
      <c r="UKO39" s="595"/>
      <c r="UKP39" s="595"/>
      <c r="UKQ39" s="595"/>
      <c r="UKR39" s="595"/>
      <c r="UKS39" s="595"/>
      <c r="UKT39" s="595"/>
      <c r="UKU39" s="595"/>
      <c r="UKV39" s="595"/>
      <c r="UKW39" s="595"/>
      <c r="UKX39" s="595"/>
      <c r="UKY39" s="595"/>
      <c r="UKZ39" s="595"/>
      <c r="ULA39" s="595"/>
      <c r="ULB39" s="595"/>
      <c r="ULC39" s="595"/>
      <c r="ULD39" s="595"/>
      <c r="ULE39" s="595"/>
      <c r="ULF39" s="595"/>
      <c r="ULG39" s="595"/>
      <c r="ULH39" s="595"/>
      <c r="ULI39" s="595"/>
      <c r="ULJ39" s="595"/>
      <c r="ULK39" s="595"/>
      <c r="ULL39" s="595"/>
      <c r="ULM39" s="595"/>
      <c r="ULN39" s="595"/>
      <c r="ULO39" s="595"/>
      <c r="ULP39" s="595"/>
      <c r="ULQ39" s="595"/>
      <c r="ULR39" s="595"/>
      <c r="ULS39" s="595"/>
      <c r="ULT39" s="595"/>
      <c r="ULU39" s="595"/>
      <c r="ULV39" s="595"/>
      <c r="ULW39" s="595"/>
      <c r="ULX39" s="595"/>
      <c r="ULY39" s="595"/>
      <c r="ULZ39" s="595"/>
      <c r="UMA39" s="595"/>
      <c r="UMB39" s="595"/>
      <c r="UMC39" s="595"/>
      <c r="UMD39" s="595"/>
      <c r="UME39" s="595"/>
      <c r="UMF39" s="595"/>
      <c r="UMG39" s="595"/>
      <c r="UMH39" s="595"/>
      <c r="UMI39" s="595"/>
      <c r="UMJ39" s="595"/>
      <c r="UMK39" s="595"/>
      <c r="UML39" s="595"/>
      <c r="UMM39" s="595"/>
      <c r="UMN39" s="595"/>
      <c r="UMO39" s="595"/>
      <c r="UMP39" s="595"/>
      <c r="UMQ39" s="595"/>
      <c r="UMR39" s="595"/>
      <c r="UMS39" s="595"/>
      <c r="UMT39" s="595"/>
      <c r="UMU39" s="595"/>
      <c r="UMV39" s="595"/>
      <c r="UMW39" s="595"/>
      <c r="UMX39" s="595"/>
      <c r="UMY39" s="595"/>
      <c r="UMZ39" s="595"/>
      <c r="UNA39" s="595"/>
      <c r="UNB39" s="595"/>
      <c r="UNC39" s="595"/>
      <c r="UND39" s="595"/>
      <c r="UNE39" s="595"/>
      <c r="UNF39" s="595"/>
      <c r="UNG39" s="595"/>
      <c r="UNH39" s="595"/>
      <c r="UNI39" s="595"/>
      <c r="UNJ39" s="595"/>
      <c r="UNK39" s="595"/>
      <c r="UNL39" s="595"/>
      <c r="UNM39" s="595"/>
      <c r="UNN39" s="595"/>
      <c r="UNO39" s="595"/>
      <c r="UNP39" s="595"/>
      <c r="UNQ39" s="595"/>
      <c r="UNR39" s="595"/>
      <c r="UNS39" s="595"/>
      <c r="UNT39" s="595"/>
      <c r="UNU39" s="595"/>
      <c r="UNV39" s="595"/>
      <c r="UNW39" s="595"/>
      <c r="UNX39" s="595"/>
      <c r="UNY39" s="595"/>
      <c r="UNZ39" s="595"/>
      <c r="UOA39" s="595"/>
      <c r="UOB39" s="595"/>
      <c r="UOC39" s="595"/>
      <c r="UOD39" s="595"/>
      <c r="UOE39" s="595"/>
      <c r="UOF39" s="595"/>
      <c r="UOG39" s="595"/>
      <c r="UOH39" s="595"/>
      <c r="UOI39" s="595"/>
      <c r="UOJ39" s="595"/>
      <c r="UOK39" s="595"/>
      <c r="UOL39" s="595"/>
      <c r="UOM39" s="595"/>
      <c r="UON39" s="595"/>
      <c r="UOO39" s="595"/>
      <c r="UOP39" s="595"/>
      <c r="UOQ39" s="595"/>
      <c r="UOR39" s="595"/>
      <c r="UOS39" s="595"/>
      <c r="UOT39" s="595"/>
      <c r="UOU39" s="595"/>
      <c r="UOV39" s="595"/>
      <c r="UOW39" s="595"/>
      <c r="UOX39" s="595"/>
      <c r="UOY39" s="595"/>
      <c r="UOZ39" s="595"/>
      <c r="UPA39" s="595"/>
      <c r="UPB39" s="595"/>
      <c r="UPC39" s="595"/>
      <c r="UPD39" s="595"/>
      <c r="UPE39" s="595"/>
      <c r="UPF39" s="595"/>
      <c r="UPG39" s="595"/>
      <c r="UPH39" s="595"/>
      <c r="UPI39" s="595"/>
      <c r="UPJ39" s="595"/>
      <c r="UPK39" s="595"/>
      <c r="UPL39" s="595"/>
      <c r="UPM39" s="595"/>
      <c r="UPN39" s="595"/>
      <c r="UPO39" s="595"/>
      <c r="UPP39" s="595"/>
      <c r="UPQ39" s="595"/>
      <c r="UPR39" s="595"/>
      <c r="UPS39" s="595"/>
      <c r="UPT39" s="595"/>
      <c r="UPU39" s="595"/>
      <c r="UPV39" s="595"/>
      <c r="UPW39" s="595"/>
      <c r="UPX39" s="595"/>
      <c r="UPY39" s="595"/>
      <c r="UPZ39" s="595"/>
      <c r="UQA39" s="595"/>
      <c r="UQB39" s="595"/>
      <c r="UQC39" s="595"/>
      <c r="UQD39" s="595"/>
      <c r="UQE39" s="595"/>
      <c r="UQF39" s="595"/>
      <c r="UQG39" s="595"/>
      <c r="UQH39" s="595"/>
      <c r="UQI39" s="595"/>
      <c r="UQJ39" s="595"/>
      <c r="UQK39" s="595"/>
      <c r="UQL39" s="595"/>
      <c r="UQM39" s="595"/>
      <c r="UQN39" s="595"/>
      <c r="UQO39" s="595"/>
      <c r="UQP39" s="595"/>
      <c r="UQQ39" s="595"/>
      <c r="UQR39" s="595"/>
      <c r="UQS39" s="595"/>
      <c r="UQT39" s="595"/>
      <c r="UQU39" s="595"/>
      <c r="UQV39" s="595"/>
      <c r="UQW39" s="595"/>
      <c r="UQX39" s="595"/>
      <c r="UQY39" s="595"/>
      <c r="UQZ39" s="595"/>
      <c r="URA39" s="595"/>
      <c r="URB39" s="595"/>
      <c r="URC39" s="595"/>
      <c r="URD39" s="595"/>
      <c r="URE39" s="595"/>
      <c r="URF39" s="595"/>
      <c r="URG39" s="595"/>
      <c r="URH39" s="595"/>
      <c r="URI39" s="595"/>
      <c r="URJ39" s="595"/>
      <c r="URK39" s="595"/>
      <c r="URL39" s="595"/>
      <c r="URM39" s="595"/>
      <c r="URN39" s="595"/>
      <c r="URO39" s="595"/>
      <c r="URP39" s="595"/>
      <c r="URQ39" s="595"/>
      <c r="URR39" s="595"/>
      <c r="URS39" s="595"/>
      <c r="URT39" s="595"/>
      <c r="URU39" s="595"/>
      <c r="URV39" s="595"/>
      <c r="URW39" s="595"/>
      <c r="URX39" s="595"/>
      <c r="URY39" s="595"/>
      <c r="URZ39" s="595"/>
      <c r="USA39" s="595"/>
      <c r="USB39" s="595"/>
      <c r="USC39" s="595"/>
      <c r="USD39" s="595"/>
      <c r="USE39" s="595"/>
      <c r="USF39" s="595"/>
      <c r="USG39" s="595"/>
      <c r="USH39" s="595"/>
      <c r="USI39" s="595"/>
      <c r="USJ39" s="595"/>
      <c r="USK39" s="595"/>
      <c r="USL39" s="595"/>
      <c r="USM39" s="595"/>
      <c r="USN39" s="595"/>
      <c r="USO39" s="595"/>
      <c r="USP39" s="595"/>
      <c r="USQ39" s="595"/>
      <c r="USR39" s="595"/>
      <c r="USS39" s="595"/>
      <c r="UST39" s="595"/>
      <c r="USU39" s="595"/>
      <c r="USV39" s="595"/>
      <c r="USW39" s="595"/>
      <c r="USX39" s="595"/>
      <c r="USY39" s="595"/>
      <c r="USZ39" s="595"/>
      <c r="UTA39" s="595"/>
      <c r="UTB39" s="595"/>
      <c r="UTC39" s="595"/>
      <c r="UTD39" s="595"/>
      <c r="UTE39" s="595"/>
      <c r="UTF39" s="595"/>
      <c r="UTG39" s="595"/>
      <c r="UTH39" s="595"/>
      <c r="UTI39" s="595"/>
      <c r="UTJ39" s="595"/>
      <c r="UTK39" s="595"/>
      <c r="UTL39" s="595"/>
      <c r="UTM39" s="595"/>
      <c r="UTN39" s="595"/>
      <c r="UTO39" s="595"/>
      <c r="UTP39" s="595"/>
      <c r="UTQ39" s="595"/>
      <c r="UTR39" s="595"/>
      <c r="UTS39" s="595"/>
      <c r="UTT39" s="595"/>
      <c r="UTU39" s="595"/>
      <c r="UTV39" s="595"/>
      <c r="UTW39" s="595"/>
      <c r="UTX39" s="595"/>
      <c r="UTY39" s="595"/>
      <c r="UTZ39" s="595"/>
      <c r="UUA39" s="595"/>
      <c r="UUB39" s="595"/>
      <c r="UUC39" s="595"/>
      <c r="UUD39" s="595"/>
      <c r="UUE39" s="595"/>
      <c r="UUF39" s="595"/>
      <c r="UUG39" s="595"/>
      <c r="UUH39" s="595"/>
      <c r="UUI39" s="595"/>
      <c r="UUJ39" s="595"/>
      <c r="UUK39" s="595"/>
      <c r="UUL39" s="595"/>
      <c r="UUM39" s="595"/>
      <c r="UUN39" s="595"/>
      <c r="UUO39" s="595"/>
      <c r="UUP39" s="595"/>
      <c r="UUQ39" s="595"/>
      <c r="UUR39" s="595"/>
      <c r="UUS39" s="595"/>
      <c r="UUT39" s="595"/>
      <c r="UUU39" s="595"/>
      <c r="UUV39" s="595"/>
      <c r="UUW39" s="595"/>
      <c r="UUX39" s="595"/>
      <c r="UUY39" s="595"/>
      <c r="UUZ39" s="595"/>
      <c r="UVA39" s="595"/>
      <c r="UVB39" s="595"/>
      <c r="UVC39" s="595"/>
      <c r="UVD39" s="595"/>
      <c r="UVE39" s="595"/>
      <c r="UVF39" s="595"/>
      <c r="UVG39" s="595"/>
      <c r="UVH39" s="595"/>
      <c r="UVI39" s="595"/>
      <c r="UVJ39" s="595"/>
      <c r="UVK39" s="595"/>
      <c r="UVL39" s="595"/>
      <c r="UVM39" s="595"/>
      <c r="UVN39" s="595"/>
      <c r="UVO39" s="595"/>
      <c r="UVP39" s="595"/>
      <c r="UVQ39" s="595"/>
      <c r="UVR39" s="595"/>
      <c r="UVS39" s="595"/>
      <c r="UVT39" s="595"/>
      <c r="UVU39" s="595"/>
      <c r="UVV39" s="595"/>
      <c r="UVW39" s="595"/>
      <c r="UVX39" s="595"/>
      <c r="UVY39" s="595"/>
      <c r="UVZ39" s="595"/>
      <c r="UWA39" s="595"/>
      <c r="UWB39" s="595"/>
      <c r="UWC39" s="595"/>
      <c r="UWD39" s="595"/>
      <c r="UWE39" s="595"/>
      <c r="UWF39" s="595"/>
      <c r="UWG39" s="595"/>
      <c r="UWH39" s="595"/>
      <c r="UWI39" s="595"/>
      <c r="UWJ39" s="595"/>
      <c r="UWK39" s="595"/>
      <c r="UWL39" s="595"/>
      <c r="UWM39" s="595"/>
      <c r="UWN39" s="595"/>
      <c r="UWO39" s="595"/>
      <c r="UWP39" s="595"/>
      <c r="UWQ39" s="595"/>
      <c r="UWR39" s="595"/>
      <c r="UWS39" s="595"/>
      <c r="UWT39" s="595"/>
      <c r="UWU39" s="595"/>
      <c r="UWV39" s="595"/>
      <c r="UWW39" s="595"/>
      <c r="UWX39" s="595"/>
      <c r="UWY39" s="595"/>
      <c r="UWZ39" s="595"/>
      <c r="UXA39" s="595"/>
      <c r="UXB39" s="595"/>
      <c r="UXC39" s="595"/>
      <c r="UXD39" s="595"/>
      <c r="UXE39" s="595"/>
      <c r="UXF39" s="595"/>
      <c r="UXG39" s="595"/>
      <c r="UXH39" s="595"/>
      <c r="UXI39" s="595"/>
      <c r="UXJ39" s="595"/>
      <c r="UXK39" s="595"/>
      <c r="UXL39" s="595"/>
      <c r="UXM39" s="595"/>
      <c r="UXN39" s="595"/>
      <c r="UXO39" s="595"/>
      <c r="UXP39" s="595"/>
      <c r="UXQ39" s="595"/>
      <c r="UXR39" s="595"/>
      <c r="UXS39" s="595"/>
      <c r="UXT39" s="595"/>
      <c r="UXU39" s="595"/>
      <c r="UXV39" s="595"/>
      <c r="UXW39" s="595"/>
      <c r="UXX39" s="595"/>
      <c r="UXY39" s="595"/>
      <c r="UXZ39" s="595"/>
      <c r="UYA39" s="595"/>
      <c r="UYB39" s="595"/>
      <c r="UYC39" s="595"/>
      <c r="UYD39" s="595"/>
      <c r="UYE39" s="595"/>
      <c r="UYF39" s="595"/>
      <c r="UYG39" s="595"/>
      <c r="UYH39" s="595"/>
      <c r="UYI39" s="595"/>
      <c r="UYJ39" s="595"/>
      <c r="UYK39" s="595"/>
      <c r="UYL39" s="595"/>
      <c r="UYM39" s="595"/>
      <c r="UYN39" s="595"/>
      <c r="UYO39" s="595"/>
      <c r="UYP39" s="595"/>
      <c r="UYQ39" s="595"/>
      <c r="UYR39" s="595"/>
      <c r="UYS39" s="595"/>
      <c r="UYT39" s="595"/>
      <c r="UYU39" s="595"/>
      <c r="UYV39" s="595"/>
      <c r="UYW39" s="595"/>
      <c r="UYX39" s="595"/>
      <c r="UYY39" s="595"/>
      <c r="UYZ39" s="595"/>
      <c r="UZA39" s="595"/>
      <c r="UZB39" s="595"/>
      <c r="UZC39" s="595"/>
      <c r="UZD39" s="595"/>
      <c r="UZE39" s="595"/>
      <c r="UZF39" s="595"/>
      <c r="UZG39" s="595"/>
      <c r="UZH39" s="595"/>
      <c r="UZI39" s="595"/>
      <c r="UZJ39" s="595"/>
      <c r="UZK39" s="595"/>
      <c r="UZL39" s="595"/>
      <c r="UZM39" s="595"/>
      <c r="UZN39" s="595"/>
      <c r="UZO39" s="595"/>
      <c r="UZP39" s="595"/>
      <c r="UZQ39" s="595"/>
      <c r="UZR39" s="595"/>
      <c r="UZS39" s="595"/>
      <c r="UZT39" s="595"/>
      <c r="UZU39" s="595"/>
      <c r="UZV39" s="595"/>
      <c r="UZW39" s="595"/>
      <c r="UZX39" s="595"/>
      <c r="UZY39" s="595"/>
      <c r="UZZ39" s="595"/>
      <c r="VAA39" s="595"/>
      <c r="VAB39" s="595"/>
      <c r="VAC39" s="595"/>
      <c r="VAD39" s="595"/>
      <c r="VAE39" s="595"/>
      <c r="VAF39" s="595"/>
      <c r="VAG39" s="595"/>
      <c r="VAH39" s="595"/>
      <c r="VAI39" s="595"/>
      <c r="VAJ39" s="595"/>
      <c r="VAK39" s="595"/>
      <c r="VAL39" s="595"/>
      <c r="VAM39" s="595"/>
      <c r="VAN39" s="595"/>
      <c r="VAO39" s="595"/>
      <c r="VAP39" s="595"/>
      <c r="VAQ39" s="595"/>
      <c r="VAR39" s="595"/>
      <c r="VAS39" s="595"/>
      <c r="VAT39" s="595"/>
      <c r="VAU39" s="595"/>
      <c r="VAV39" s="595"/>
      <c r="VAW39" s="595"/>
      <c r="VAX39" s="595"/>
      <c r="VAY39" s="595"/>
      <c r="VAZ39" s="595"/>
      <c r="VBA39" s="595"/>
      <c r="VBB39" s="595"/>
      <c r="VBC39" s="595"/>
      <c r="VBD39" s="595"/>
      <c r="VBE39" s="595"/>
      <c r="VBF39" s="595"/>
      <c r="VBG39" s="595"/>
      <c r="VBH39" s="595"/>
      <c r="VBI39" s="595"/>
      <c r="VBJ39" s="595"/>
      <c r="VBK39" s="595"/>
      <c r="VBL39" s="595"/>
      <c r="VBM39" s="595"/>
      <c r="VBN39" s="595"/>
      <c r="VBO39" s="595"/>
      <c r="VBP39" s="595"/>
      <c r="VBQ39" s="595"/>
      <c r="VBR39" s="595"/>
      <c r="VBS39" s="595"/>
      <c r="VBT39" s="595"/>
      <c r="VBU39" s="595"/>
      <c r="VBV39" s="595"/>
      <c r="VBW39" s="595"/>
      <c r="VBX39" s="595"/>
      <c r="VBY39" s="595"/>
      <c r="VBZ39" s="595"/>
      <c r="VCA39" s="595"/>
      <c r="VCB39" s="595"/>
      <c r="VCC39" s="595"/>
      <c r="VCD39" s="595"/>
      <c r="VCE39" s="595"/>
      <c r="VCF39" s="595"/>
      <c r="VCG39" s="595"/>
      <c r="VCH39" s="595"/>
      <c r="VCI39" s="595"/>
      <c r="VCJ39" s="595"/>
      <c r="VCK39" s="595"/>
      <c r="VCL39" s="595"/>
      <c r="VCM39" s="595"/>
      <c r="VCN39" s="595"/>
      <c r="VCO39" s="595"/>
      <c r="VCP39" s="595"/>
      <c r="VCQ39" s="595"/>
      <c r="VCR39" s="595"/>
      <c r="VCS39" s="595"/>
      <c r="VCT39" s="595"/>
      <c r="VCU39" s="595"/>
      <c r="VCV39" s="595"/>
      <c r="VCW39" s="595"/>
      <c r="VCX39" s="595"/>
      <c r="VCY39" s="595"/>
      <c r="VCZ39" s="595"/>
      <c r="VDA39" s="595"/>
      <c r="VDB39" s="595"/>
      <c r="VDC39" s="595"/>
      <c r="VDD39" s="595"/>
      <c r="VDE39" s="595"/>
      <c r="VDF39" s="595"/>
      <c r="VDG39" s="595"/>
      <c r="VDH39" s="595"/>
      <c r="VDI39" s="595"/>
      <c r="VDJ39" s="595"/>
      <c r="VDK39" s="595"/>
      <c r="VDL39" s="595"/>
      <c r="VDM39" s="595"/>
      <c r="VDN39" s="595"/>
      <c r="VDO39" s="595"/>
      <c r="VDP39" s="595"/>
      <c r="VDQ39" s="595"/>
      <c r="VDR39" s="595"/>
      <c r="VDS39" s="595"/>
      <c r="VDT39" s="595"/>
      <c r="VDU39" s="595"/>
      <c r="VDV39" s="595"/>
      <c r="VDW39" s="595"/>
      <c r="VDX39" s="595"/>
      <c r="VDY39" s="595"/>
      <c r="VDZ39" s="595"/>
      <c r="VEA39" s="595"/>
      <c r="VEB39" s="595"/>
      <c r="VEC39" s="595"/>
      <c r="VED39" s="595"/>
      <c r="VEE39" s="595"/>
      <c r="VEF39" s="595"/>
      <c r="VEG39" s="595"/>
      <c r="VEH39" s="595"/>
      <c r="VEI39" s="595"/>
      <c r="VEJ39" s="595"/>
      <c r="VEK39" s="595"/>
      <c r="VEL39" s="595"/>
      <c r="VEM39" s="595"/>
      <c r="VEN39" s="595"/>
      <c r="VEO39" s="595"/>
      <c r="VEP39" s="595"/>
      <c r="VEQ39" s="595"/>
      <c r="VER39" s="595"/>
      <c r="VES39" s="595"/>
      <c r="VET39" s="595"/>
      <c r="VEU39" s="595"/>
      <c r="VEV39" s="595"/>
      <c r="VEW39" s="595"/>
      <c r="VEX39" s="595"/>
      <c r="VEY39" s="595"/>
      <c r="VEZ39" s="595"/>
      <c r="VFA39" s="595"/>
      <c r="VFB39" s="595"/>
      <c r="VFC39" s="595"/>
      <c r="VFD39" s="595"/>
      <c r="VFE39" s="595"/>
      <c r="VFF39" s="595"/>
      <c r="VFG39" s="595"/>
      <c r="VFH39" s="595"/>
      <c r="VFI39" s="595"/>
      <c r="VFJ39" s="595"/>
      <c r="VFK39" s="595"/>
      <c r="VFL39" s="595"/>
      <c r="VFM39" s="595"/>
      <c r="VFN39" s="595"/>
      <c r="VFO39" s="595"/>
      <c r="VFP39" s="595"/>
      <c r="VFQ39" s="595"/>
      <c r="VFR39" s="595"/>
      <c r="VFS39" s="595"/>
      <c r="VFT39" s="595"/>
      <c r="VFU39" s="595"/>
      <c r="VFV39" s="595"/>
      <c r="VFW39" s="595"/>
      <c r="VFX39" s="595"/>
      <c r="VFY39" s="595"/>
      <c r="VFZ39" s="595"/>
      <c r="VGA39" s="595"/>
      <c r="VGB39" s="595"/>
      <c r="VGC39" s="595"/>
      <c r="VGD39" s="595"/>
      <c r="VGE39" s="595"/>
      <c r="VGF39" s="595"/>
      <c r="VGG39" s="595"/>
      <c r="VGH39" s="595"/>
      <c r="VGI39" s="595"/>
      <c r="VGJ39" s="595"/>
      <c r="VGK39" s="595"/>
      <c r="VGL39" s="595"/>
      <c r="VGM39" s="595"/>
      <c r="VGN39" s="595"/>
      <c r="VGO39" s="595"/>
      <c r="VGP39" s="595"/>
      <c r="VGQ39" s="595"/>
      <c r="VGR39" s="595"/>
      <c r="VGS39" s="595"/>
      <c r="VGT39" s="595"/>
      <c r="VGU39" s="595"/>
      <c r="VGV39" s="595"/>
      <c r="VGW39" s="595"/>
      <c r="VGX39" s="595"/>
      <c r="VGY39" s="595"/>
      <c r="VGZ39" s="595"/>
      <c r="VHA39" s="595"/>
      <c r="VHB39" s="595"/>
      <c r="VHC39" s="595"/>
      <c r="VHD39" s="595"/>
      <c r="VHE39" s="595"/>
      <c r="VHF39" s="595"/>
      <c r="VHG39" s="595"/>
      <c r="VHH39" s="595"/>
      <c r="VHI39" s="595"/>
      <c r="VHJ39" s="595"/>
      <c r="VHK39" s="595"/>
      <c r="VHL39" s="595"/>
      <c r="VHM39" s="595"/>
      <c r="VHN39" s="595"/>
      <c r="VHO39" s="595"/>
      <c r="VHP39" s="595"/>
      <c r="VHQ39" s="595"/>
      <c r="VHR39" s="595"/>
      <c r="VHS39" s="595"/>
      <c r="VHT39" s="595"/>
      <c r="VHU39" s="595"/>
      <c r="VHV39" s="595"/>
      <c r="VHW39" s="595"/>
      <c r="VHX39" s="595"/>
      <c r="VHY39" s="595"/>
      <c r="VHZ39" s="595"/>
      <c r="VIA39" s="595"/>
      <c r="VIB39" s="595"/>
      <c r="VIC39" s="595"/>
      <c r="VID39" s="595"/>
      <c r="VIE39" s="595"/>
      <c r="VIF39" s="595"/>
      <c r="VIG39" s="595"/>
      <c r="VIH39" s="595"/>
      <c r="VII39" s="595"/>
      <c r="VIJ39" s="595"/>
      <c r="VIK39" s="595"/>
      <c r="VIL39" s="595"/>
      <c r="VIM39" s="595"/>
      <c r="VIN39" s="595"/>
      <c r="VIO39" s="595"/>
      <c r="VIP39" s="595"/>
      <c r="VIQ39" s="595"/>
      <c r="VIR39" s="595"/>
      <c r="VIS39" s="595"/>
      <c r="VIT39" s="595"/>
      <c r="VIU39" s="595"/>
      <c r="VIV39" s="595"/>
      <c r="VIW39" s="595"/>
      <c r="VIX39" s="595"/>
      <c r="VIY39" s="595"/>
      <c r="VIZ39" s="595"/>
      <c r="VJA39" s="595"/>
      <c r="VJB39" s="595"/>
      <c r="VJC39" s="595"/>
      <c r="VJD39" s="595"/>
      <c r="VJE39" s="595"/>
      <c r="VJF39" s="595"/>
      <c r="VJG39" s="595"/>
      <c r="VJH39" s="595"/>
      <c r="VJI39" s="595"/>
      <c r="VJJ39" s="595"/>
      <c r="VJK39" s="595"/>
      <c r="VJL39" s="595"/>
      <c r="VJM39" s="595"/>
      <c r="VJN39" s="595"/>
      <c r="VJO39" s="595"/>
      <c r="VJP39" s="595"/>
      <c r="VJQ39" s="595"/>
      <c r="VJR39" s="595"/>
      <c r="VJS39" s="595"/>
      <c r="VJT39" s="595"/>
      <c r="VJU39" s="595"/>
      <c r="VJV39" s="595"/>
      <c r="VJW39" s="595"/>
      <c r="VJX39" s="595"/>
      <c r="VJY39" s="595"/>
      <c r="VJZ39" s="595"/>
      <c r="VKA39" s="595"/>
      <c r="VKB39" s="595"/>
      <c r="VKC39" s="595"/>
      <c r="VKD39" s="595"/>
      <c r="VKE39" s="595"/>
      <c r="VKF39" s="595"/>
      <c r="VKG39" s="595"/>
      <c r="VKH39" s="595"/>
      <c r="VKI39" s="595"/>
      <c r="VKJ39" s="595"/>
      <c r="VKK39" s="595"/>
      <c r="VKL39" s="595"/>
      <c r="VKM39" s="595"/>
      <c r="VKN39" s="595"/>
      <c r="VKO39" s="595"/>
      <c r="VKP39" s="595"/>
      <c r="VKQ39" s="595"/>
      <c r="VKR39" s="595"/>
      <c r="VKS39" s="595"/>
      <c r="VKT39" s="595"/>
      <c r="VKU39" s="595"/>
      <c r="VKV39" s="595"/>
      <c r="VKW39" s="595"/>
      <c r="VKX39" s="595"/>
      <c r="VKY39" s="595"/>
      <c r="VKZ39" s="595"/>
      <c r="VLA39" s="595"/>
      <c r="VLB39" s="595"/>
      <c r="VLC39" s="595"/>
      <c r="VLD39" s="595"/>
      <c r="VLE39" s="595"/>
      <c r="VLF39" s="595"/>
      <c r="VLG39" s="595"/>
      <c r="VLH39" s="595"/>
      <c r="VLI39" s="595"/>
      <c r="VLJ39" s="595"/>
      <c r="VLK39" s="595"/>
      <c r="VLL39" s="595"/>
      <c r="VLM39" s="595"/>
      <c r="VLN39" s="595"/>
      <c r="VLO39" s="595"/>
      <c r="VLP39" s="595"/>
      <c r="VLQ39" s="595"/>
      <c r="VLR39" s="595"/>
      <c r="VLS39" s="595"/>
      <c r="VLT39" s="595"/>
      <c r="VLU39" s="595"/>
      <c r="VLV39" s="595"/>
      <c r="VLW39" s="595"/>
      <c r="VLX39" s="595"/>
      <c r="VLY39" s="595"/>
      <c r="VLZ39" s="595"/>
      <c r="VMA39" s="595"/>
      <c r="VMB39" s="595"/>
      <c r="VMC39" s="595"/>
      <c r="VMD39" s="595"/>
      <c r="VME39" s="595"/>
      <c r="VMF39" s="595"/>
      <c r="VMG39" s="595"/>
      <c r="VMH39" s="595"/>
      <c r="VMI39" s="595"/>
      <c r="VMJ39" s="595"/>
      <c r="VMK39" s="595"/>
      <c r="VML39" s="595"/>
      <c r="VMM39" s="595"/>
      <c r="VMN39" s="595"/>
      <c r="VMO39" s="595"/>
      <c r="VMP39" s="595"/>
      <c r="VMQ39" s="595"/>
      <c r="VMR39" s="595"/>
      <c r="VMS39" s="595"/>
      <c r="VMT39" s="595"/>
      <c r="VMU39" s="595"/>
      <c r="VMV39" s="595"/>
      <c r="VMW39" s="595"/>
      <c r="VMX39" s="595"/>
      <c r="VMY39" s="595"/>
      <c r="VMZ39" s="595"/>
      <c r="VNA39" s="595"/>
      <c r="VNB39" s="595"/>
      <c r="VNC39" s="595"/>
      <c r="VND39" s="595"/>
      <c r="VNE39" s="595"/>
      <c r="VNF39" s="595"/>
      <c r="VNG39" s="595"/>
      <c r="VNH39" s="595"/>
      <c r="VNI39" s="595"/>
      <c r="VNJ39" s="595"/>
      <c r="VNK39" s="595"/>
      <c r="VNL39" s="595"/>
      <c r="VNM39" s="595"/>
      <c r="VNN39" s="595"/>
      <c r="VNO39" s="595"/>
      <c r="VNP39" s="595"/>
      <c r="VNQ39" s="595"/>
      <c r="VNR39" s="595"/>
      <c r="VNS39" s="595"/>
      <c r="VNT39" s="595"/>
      <c r="VNU39" s="595"/>
      <c r="VNV39" s="595"/>
      <c r="VNW39" s="595"/>
      <c r="VNX39" s="595"/>
      <c r="VNY39" s="595"/>
      <c r="VNZ39" s="595"/>
      <c r="VOA39" s="595"/>
      <c r="VOB39" s="595"/>
      <c r="VOC39" s="595"/>
      <c r="VOD39" s="595"/>
      <c r="VOE39" s="595"/>
      <c r="VOF39" s="595"/>
      <c r="VOG39" s="595"/>
      <c r="VOH39" s="595"/>
      <c r="VOI39" s="595"/>
      <c r="VOJ39" s="595"/>
      <c r="VOK39" s="595"/>
      <c r="VOL39" s="595"/>
      <c r="VOM39" s="595"/>
      <c r="VON39" s="595"/>
      <c r="VOO39" s="595"/>
      <c r="VOP39" s="595"/>
      <c r="VOQ39" s="595"/>
      <c r="VOR39" s="595"/>
      <c r="VOS39" s="595"/>
      <c r="VOT39" s="595"/>
      <c r="VOU39" s="595"/>
      <c r="VOV39" s="595"/>
      <c r="VOW39" s="595"/>
      <c r="VOX39" s="595"/>
      <c r="VOY39" s="595"/>
      <c r="VOZ39" s="595"/>
      <c r="VPA39" s="595"/>
      <c r="VPB39" s="595"/>
      <c r="VPC39" s="595"/>
      <c r="VPD39" s="595"/>
      <c r="VPE39" s="595"/>
      <c r="VPF39" s="595"/>
      <c r="VPG39" s="595"/>
      <c r="VPH39" s="595"/>
      <c r="VPI39" s="595"/>
      <c r="VPJ39" s="595"/>
      <c r="VPK39" s="595"/>
      <c r="VPL39" s="595"/>
      <c r="VPM39" s="595"/>
      <c r="VPN39" s="595"/>
      <c r="VPO39" s="595"/>
      <c r="VPP39" s="595"/>
      <c r="VPQ39" s="595"/>
      <c r="VPR39" s="595"/>
      <c r="VPS39" s="595"/>
      <c r="VPT39" s="595"/>
      <c r="VPU39" s="595"/>
      <c r="VPV39" s="595"/>
      <c r="VPW39" s="595"/>
      <c r="VPX39" s="595"/>
      <c r="VPY39" s="595"/>
      <c r="VPZ39" s="595"/>
      <c r="VQA39" s="595"/>
      <c r="VQB39" s="595"/>
      <c r="VQC39" s="595"/>
      <c r="VQD39" s="595"/>
      <c r="VQE39" s="595"/>
      <c r="VQF39" s="595"/>
      <c r="VQG39" s="595"/>
      <c r="VQH39" s="595"/>
      <c r="VQI39" s="595"/>
      <c r="VQJ39" s="595"/>
      <c r="VQK39" s="595"/>
      <c r="VQL39" s="595"/>
      <c r="VQM39" s="595"/>
      <c r="VQN39" s="595"/>
      <c r="VQO39" s="595"/>
      <c r="VQP39" s="595"/>
      <c r="VQQ39" s="595"/>
      <c r="VQR39" s="595"/>
      <c r="VQS39" s="595"/>
      <c r="VQT39" s="595"/>
      <c r="VQU39" s="595"/>
      <c r="VQV39" s="595"/>
      <c r="VQW39" s="595"/>
      <c r="VQX39" s="595"/>
      <c r="VQY39" s="595"/>
      <c r="VQZ39" s="595"/>
      <c r="VRA39" s="595"/>
      <c r="VRB39" s="595"/>
      <c r="VRC39" s="595"/>
      <c r="VRD39" s="595"/>
      <c r="VRE39" s="595"/>
      <c r="VRF39" s="595"/>
      <c r="VRG39" s="595"/>
      <c r="VRH39" s="595"/>
      <c r="VRI39" s="595"/>
      <c r="VRJ39" s="595"/>
      <c r="VRK39" s="595"/>
      <c r="VRL39" s="595"/>
      <c r="VRM39" s="595"/>
      <c r="VRN39" s="595"/>
      <c r="VRO39" s="595"/>
      <c r="VRP39" s="595"/>
      <c r="VRQ39" s="595"/>
      <c r="VRR39" s="595"/>
      <c r="VRS39" s="595"/>
      <c r="VRT39" s="595"/>
      <c r="VRU39" s="595"/>
      <c r="VRV39" s="595"/>
      <c r="VRW39" s="595"/>
      <c r="VRX39" s="595"/>
      <c r="VRY39" s="595"/>
      <c r="VRZ39" s="595"/>
      <c r="VSA39" s="595"/>
      <c r="VSB39" s="595"/>
      <c r="VSC39" s="595"/>
      <c r="VSD39" s="595"/>
      <c r="VSE39" s="595"/>
      <c r="VSF39" s="595"/>
      <c r="VSG39" s="595"/>
      <c r="VSH39" s="595"/>
      <c r="VSI39" s="595"/>
      <c r="VSJ39" s="595"/>
      <c r="VSK39" s="595"/>
      <c r="VSL39" s="595"/>
      <c r="VSM39" s="595"/>
      <c r="VSN39" s="595"/>
      <c r="VSO39" s="595"/>
      <c r="VSP39" s="595"/>
      <c r="VSQ39" s="595"/>
      <c r="VSR39" s="595"/>
      <c r="VSS39" s="595"/>
      <c r="VST39" s="595"/>
      <c r="VSU39" s="595"/>
      <c r="VSV39" s="595"/>
      <c r="VSW39" s="595"/>
      <c r="VSX39" s="595"/>
      <c r="VSY39" s="595"/>
      <c r="VSZ39" s="595"/>
      <c r="VTA39" s="595"/>
      <c r="VTB39" s="595"/>
      <c r="VTC39" s="595"/>
      <c r="VTD39" s="595"/>
      <c r="VTE39" s="595"/>
      <c r="VTF39" s="595"/>
      <c r="VTG39" s="595"/>
      <c r="VTH39" s="595"/>
      <c r="VTI39" s="595"/>
      <c r="VTJ39" s="595"/>
      <c r="VTK39" s="595"/>
      <c r="VTL39" s="595"/>
      <c r="VTM39" s="595"/>
      <c r="VTN39" s="595"/>
      <c r="VTO39" s="595"/>
      <c r="VTP39" s="595"/>
      <c r="VTQ39" s="595"/>
      <c r="VTR39" s="595"/>
      <c r="VTS39" s="595"/>
      <c r="VTT39" s="595"/>
      <c r="VTU39" s="595"/>
      <c r="VTV39" s="595"/>
      <c r="VTW39" s="595"/>
      <c r="VTX39" s="595"/>
      <c r="VTY39" s="595"/>
      <c r="VTZ39" s="595"/>
      <c r="VUA39" s="595"/>
      <c r="VUB39" s="595"/>
      <c r="VUC39" s="595"/>
      <c r="VUD39" s="595"/>
      <c r="VUE39" s="595"/>
      <c r="VUF39" s="595"/>
      <c r="VUG39" s="595"/>
      <c r="VUH39" s="595"/>
      <c r="VUI39" s="595"/>
      <c r="VUJ39" s="595"/>
      <c r="VUK39" s="595"/>
      <c r="VUL39" s="595"/>
      <c r="VUM39" s="595"/>
      <c r="VUN39" s="595"/>
      <c r="VUO39" s="595"/>
      <c r="VUP39" s="595"/>
      <c r="VUQ39" s="595"/>
      <c r="VUR39" s="595"/>
      <c r="VUS39" s="595"/>
      <c r="VUT39" s="595"/>
      <c r="VUU39" s="595"/>
      <c r="VUV39" s="595"/>
      <c r="VUW39" s="595"/>
      <c r="VUX39" s="595"/>
      <c r="VUY39" s="595"/>
      <c r="VUZ39" s="595"/>
      <c r="VVA39" s="595"/>
      <c r="VVB39" s="595"/>
      <c r="VVC39" s="595"/>
      <c r="VVD39" s="595"/>
      <c r="VVE39" s="595"/>
      <c r="VVF39" s="595"/>
      <c r="VVG39" s="595"/>
      <c r="VVH39" s="595"/>
      <c r="VVI39" s="595"/>
      <c r="VVJ39" s="595"/>
      <c r="VVK39" s="595"/>
      <c r="VVL39" s="595"/>
      <c r="VVM39" s="595"/>
      <c r="VVN39" s="595"/>
      <c r="VVO39" s="595"/>
      <c r="VVP39" s="595"/>
      <c r="VVQ39" s="595"/>
      <c r="VVR39" s="595"/>
      <c r="VVS39" s="595"/>
      <c r="VVT39" s="595"/>
      <c r="VVU39" s="595"/>
      <c r="VVV39" s="595"/>
      <c r="VVW39" s="595"/>
      <c r="VVX39" s="595"/>
      <c r="VVY39" s="595"/>
      <c r="VVZ39" s="595"/>
      <c r="VWA39" s="595"/>
      <c r="VWB39" s="595"/>
      <c r="VWC39" s="595"/>
      <c r="VWD39" s="595"/>
      <c r="VWE39" s="595"/>
      <c r="VWF39" s="595"/>
      <c r="VWG39" s="595"/>
      <c r="VWH39" s="595"/>
      <c r="VWI39" s="595"/>
      <c r="VWJ39" s="595"/>
      <c r="VWK39" s="595"/>
      <c r="VWL39" s="595"/>
      <c r="VWM39" s="595"/>
      <c r="VWN39" s="595"/>
      <c r="VWO39" s="595"/>
      <c r="VWP39" s="595"/>
      <c r="VWQ39" s="595"/>
      <c r="VWR39" s="595"/>
      <c r="VWS39" s="595"/>
      <c r="VWT39" s="595"/>
      <c r="VWU39" s="595"/>
      <c r="VWV39" s="595"/>
      <c r="VWW39" s="595"/>
      <c r="VWX39" s="595"/>
      <c r="VWY39" s="595"/>
      <c r="VWZ39" s="595"/>
      <c r="VXA39" s="595"/>
      <c r="VXB39" s="595"/>
      <c r="VXC39" s="595"/>
      <c r="VXD39" s="595"/>
      <c r="VXE39" s="595"/>
      <c r="VXF39" s="595"/>
      <c r="VXG39" s="595"/>
      <c r="VXH39" s="595"/>
      <c r="VXI39" s="595"/>
      <c r="VXJ39" s="595"/>
      <c r="VXK39" s="595"/>
      <c r="VXL39" s="595"/>
      <c r="VXM39" s="595"/>
      <c r="VXN39" s="595"/>
      <c r="VXO39" s="595"/>
      <c r="VXP39" s="595"/>
      <c r="VXQ39" s="595"/>
      <c r="VXR39" s="595"/>
      <c r="VXS39" s="595"/>
      <c r="VXT39" s="595"/>
      <c r="VXU39" s="595"/>
      <c r="VXV39" s="595"/>
      <c r="VXW39" s="595"/>
      <c r="VXX39" s="595"/>
      <c r="VXY39" s="595"/>
      <c r="VXZ39" s="595"/>
      <c r="VYA39" s="595"/>
      <c r="VYB39" s="595"/>
      <c r="VYC39" s="595"/>
      <c r="VYD39" s="595"/>
      <c r="VYE39" s="595"/>
      <c r="VYF39" s="595"/>
      <c r="VYG39" s="595"/>
      <c r="VYH39" s="595"/>
      <c r="VYI39" s="595"/>
      <c r="VYJ39" s="595"/>
      <c r="VYK39" s="595"/>
      <c r="VYL39" s="595"/>
      <c r="VYM39" s="595"/>
      <c r="VYN39" s="595"/>
      <c r="VYO39" s="595"/>
      <c r="VYP39" s="595"/>
      <c r="VYQ39" s="595"/>
      <c r="VYR39" s="595"/>
      <c r="VYS39" s="595"/>
      <c r="VYT39" s="595"/>
      <c r="VYU39" s="595"/>
      <c r="VYV39" s="595"/>
      <c r="VYW39" s="595"/>
      <c r="VYX39" s="595"/>
      <c r="VYY39" s="595"/>
      <c r="VYZ39" s="595"/>
      <c r="VZA39" s="595"/>
      <c r="VZB39" s="595"/>
      <c r="VZC39" s="595"/>
      <c r="VZD39" s="595"/>
      <c r="VZE39" s="595"/>
      <c r="VZF39" s="595"/>
      <c r="VZG39" s="595"/>
      <c r="VZH39" s="595"/>
      <c r="VZI39" s="595"/>
      <c r="VZJ39" s="595"/>
      <c r="VZK39" s="595"/>
      <c r="VZL39" s="595"/>
      <c r="VZM39" s="595"/>
      <c r="VZN39" s="595"/>
      <c r="VZO39" s="595"/>
      <c r="VZP39" s="595"/>
      <c r="VZQ39" s="595"/>
      <c r="VZR39" s="595"/>
      <c r="VZS39" s="595"/>
      <c r="VZT39" s="595"/>
      <c r="VZU39" s="595"/>
      <c r="VZV39" s="595"/>
      <c r="VZW39" s="595"/>
      <c r="VZX39" s="595"/>
      <c r="VZY39" s="595"/>
      <c r="VZZ39" s="595"/>
      <c r="WAA39" s="595"/>
      <c r="WAB39" s="595"/>
      <c r="WAC39" s="595"/>
      <c r="WAD39" s="595"/>
      <c r="WAE39" s="595"/>
      <c r="WAF39" s="595"/>
      <c r="WAG39" s="595"/>
      <c r="WAH39" s="595"/>
      <c r="WAI39" s="595"/>
      <c r="WAJ39" s="595"/>
      <c r="WAK39" s="595"/>
      <c r="WAL39" s="595"/>
      <c r="WAM39" s="595"/>
      <c r="WAN39" s="595"/>
      <c r="WAO39" s="595"/>
      <c r="WAP39" s="595"/>
      <c r="WAQ39" s="595"/>
      <c r="WAR39" s="595"/>
      <c r="WAS39" s="595"/>
      <c r="WAT39" s="595"/>
      <c r="WAU39" s="595"/>
      <c r="WAV39" s="595"/>
      <c r="WAW39" s="595"/>
      <c r="WAX39" s="595"/>
      <c r="WAY39" s="595"/>
      <c r="WAZ39" s="595"/>
      <c r="WBA39" s="595"/>
      <c r="WBB39" s="595"/>
      <c r="WBC39" s="595"/>
      <c r="WBD39" s="595"/>
      <c r="WBE39" s="595"/>
      <c r="WBF39" s="595"/>
      <c r="WBG39" s="595"/>
      <c r="WBH39" s="595"/>
      <c r="WBI39" s="595"/>
      <c r="WBJ39" s="595"/>
      <c r="WBK39" s="595"/>
      <c r="WBL39" s="595"/>
      <c r="WBM39" s="595"/>
      <c r="WBN39" s="595"/>
      <c r="WBO39" s="595"/>
      <c r="WBP39" s="595"/>
      <c r="WBQ39" s="595"/>
      <c r="WBR39" s="595"/>
      <c r="WBS39" s="595"/>
      <c r="WBT39" s="595"/>
      <c r="WBU39" s="595"/>
      <c r="WBV39" s="595"/>
      <c r="WBW39" s="595"/>
      <c r="WBX39" s="595"/>
      <c r="WBY39" s="595"/>
      <c r="WBZ39" s="595"/>
      <c r="WCA39" s="595"/>
      <c r="WCB39" s="595"/>
      <c r="WCC39" s="595"/>
      <c r="WCD39" s="595"/>
      <c r="WCE39" s="595"/>
      <c r="WCF39" s="595"/>
      <c r="WCG39" s="595"/>
      <c r="WCH39" s="595"/>
      <c r="WCI39" s="595"/>
      <c r="WCJ39" s="595"/>
      <c r="WCK39" s="595"/>
      <c r="WCL39" s="595"/>
      <c r="WCM39" s="595"/>
      <c r="WCN39" s="595"/>
      <c r="WCO39" s="595"/>
      <c r="WCP39" s="595"/>
      <c r="WCQ39" s="595"/>
      <c r="WCR39" s="595"/>
      <c r="WCS39" s="595"/>
      <c r="WCT39" s="595"/>
      <c r="WCU39" s="595"/>
      <c r="WCV39" s="595"/>
      <c r="WCW39" s="595"/>
      <c r="WCX39" s="595"/>
      <c r="WCY39" s="595"/>
      <c r="WCZ39" s="595"/>
      <c r="WDA39" s="595"/>
      <c r="WDB39" s="595"/>
      <c r="WDC39" s="595"/>
      <c r="WDD39" s="595"/>
      <c r="WDE39" s="595"/>
      <c r="WDF39" s="595"/>
      <c r="WDG39" s="595"/>
      <c r="WDH39" s="595"/>
      <c r="WDI39" s="595"/>
      <c r="WDJ39" s="595"/>
      <c r="WDK39" s="595"/>
      <c r="WDL39" s="595"/>
      <c r="WDM39" s="595"/>
      <c r="WDN39" s="595"/>
      <c r="WDO39" s="595"/>
      <c r="WDP39" s="595"/>
      <c r="WDQ39" s="595"/>
      <c r="WDR39" s="595"/>
      <c r="WDS39" s="595"/>
      <c r="WDT39" s="595"/>
      <c r="WDU39" s="595"/>
      <c r="WDV39" s="595"/>
      <c r="WDW39" s="595"/>
      <c r="WDX39" s="595"/>
      <c r="WDY39" s="595"/>
      <c r="WDZ39" s="595"/>
      <c r="WEA39" s="595"/>
      <c r="WEB39" s="595"/>
      <c r="WEC39" s="595"/>
      <c r="WED39" s="595"/>
      <c r="WEE39" s="595"/>
      <c r="WEF39" s="595"/>
      <c r="WEG39" s="595"/>
      <c r="WEH39" s="595"/>
      <c r="WEI39" s="595"/>
      <c r="WEJ39" s="595"/>
      <c r="WEK39" s="595"/>
      <c r="WEL39" s="595"/>
      <c r="WEM39" s="595"/>
      <c r="WEN39" s="595"/>
      <c r="WEO39" s="595"/>
      <c r="WEP39" s="595"/>
      <c r="WEQ39" s="595"/>
      <c r="WER39" s="595"/>
      <c r="WES39" s="595"/>
      <c r="WET39" s="595"/>
      <c r="WEU39" s="595"/>
      <c r="WEV39" s="595"/>
      <c r="WEW39" s="595"/>
      <c r="WEX39" s="595"/>
      <c r="WEY39" s="595"/>
      <c r="WEZ39" s="595"/>
      <c r="WFA39" s="595"/>
      <c r="WFB39" s="595"/>
      <c r="WFC39" s="595"/>
      <c r="WFD39" s="595"/>
      <c r="WFE39" s="595"/>
      <c r="WFF39" s="595"/>
      <c r="WFG39" s="595"/>
      <c r="WFH39" s="595"/>
      <c r="WFI39" s="595"/>
      <c r="WFJ39" s="595"/>
      <c r="WFK39" s="595"/>
      <c r="WFL39" s="595"/>
      <c r="WFM39" s="595"/>
      <c r="WFN39" s="595"/>
      <c r="WFO39" s="595"/>
      <c r="WFP39" s="595"/>
      <c r="WFQ39" s="595"/>
      <c r="WFR39" s="595"/>
      <c r="WFS39" s="595"/>
      <c r="WFT39" s="595"/>
      <c r="WFU39" s="595"/>
      <c r="WFV39" s="595"/>
      <c r="WFW39" s="595"/>
      <c r="WFX39" s="595"/>
      <c r="WFY39" s="595"/>
      <c r="WFZ39" s="595"/>
      <c r="WGA39" s="595"/>
      <c r="WGB39" s="595"/>
      <c r="WGC39" s="595"/>
      <c r="WGD39" s="595"/>
      <c r="WGE39" s="595"/>
      <c r="WGF39" s="595"/>
      <c r="WGG39" s="595"/>
      <c r="WGH39" s="595"/>
      <c r="WGI39" s="595"/>
      <c r="WGJ39" s="595"/>
      <c r="WGK39" s="595"/>
      <c r="WGL39" s="595"/>
      <c r="WGM39" s="595"/>
      <c r="WGN39" s="595"/>
      <c r="WGO39" s="595"/>
      <c r="WGP39" s="595"/>
      <c r="WGQ39" s="595"/>
      <c r="WGR39" s="595"/>
      <c r="WGS39" s="595"/>
      <c r="WGT39" s="595"/>
      <c r="WGU39" s="595"/>
      <c r="WGV39" s="595"/>
      <c r="WGW39" s="595"/>
      <c r="WGX39" s="595"/>
      <c r="WGY39" s="595"/>
      <c r="WGZ39" s="595"/>
      <c r="WHA39" s="595"/>
      <c r="WHB39" s="595"/>
      <c r="WHC39" s="595"/>
      <c r="WHD39" s="595"/>
      <c r="WHE39" s="595"/>
      <c r="WHF39" s="595"/>
      <c r="WHG39" s="595"/>
      <c r="WHH39" s="595"/>
      <c r="WHI39" s="595"/>
      <c r="WHJ39" s="595"/>
      <c r="WHK39" s="595"/>
      <c r="WHL39" s="595"/>
      <c r="WHM39" s="595"/>
      <c r="WHN39" s="595"/>
      <c r="WHO39" s="595"/>
      <c r="WHP39" s="595"/>
      <c r="WHQ39" s="595"/>
      <c r="WHR39" s="595"/>
      <c r="WHS39" s="595"/>
      <c r="WHT39" s="595"/>
      <c r="WHU39" s="595"/>
      <c r="WHV39" s="595"/>
      <c r="WHW39" s="595"/>
      <c r="WHX39" s="595"/>
      <c r="WHY39" s="595"/>
      <c r="WHZ39" s="595"/>
      <c r="WIA39" s="595"/>
      <c r="WIB39" s="595"/>
      <c r="WIC39" s="595"/>
      <c r="WID39" s="595"/>
      <c r="WIE39" s="595"/>
      <c r="WIF39" s="595"/>
      <c r="WIG39" s="595"/>
      <c r="WIH39" s="595"/>
      <c r="WII39" s="595"/>
      <c r="WIJ39" s="595"/>
      <c r="WIK39" s="595"/>
      <c r="WIL39" s="595"/>
      <c r="WIM39" s="595"/>
      <c r="WIN39" s="595"/>
      <c r="WIO39" s="595"/>
      <c r="WIP39" s="595"/>
      <c r="WIQ39" s="595"/>
      <c r="WIR39" s="595"/>
      <c r="WIS39" s="595"/>
      <c r="WIT39" s="595"/>
      <c r="WIU39" s="595"/>
      <c r="WIV39" s="595"/>
      <c r="WIW39" s="595"/>
      <c r="WIX39" s="595"/>
      <c r="WIY39" s="595"/>
      <c r="WIZ39" s="595"/>
      <c r="WJA39" s="595"/>
      <c r="WJB39" s="595"/>
      <c r="WJC39" s="595"/>
      <c r="WJD39" s="595"/>
      <c r="WJE39" s="595"/>
      <c r="WJF39" s="595"/>
      <c r="WJG39" s="595"/>
      <c r="WJH39" s="595"/>
      <c r="WJI39" s="595"/>
      <c r="WJJ39" s="595"/>
      <c r="WJK39" s="595"/>
      <c r="WJL39" s="595"/>
      <c r="WJM39" s="595"/>
      <c r="WJN39" s="595"/>
      <c r="WJO39" s="595"/>
      <c r="WJP39" s="595"/>
      <c r="WJQ39" s="595"/>
      <c r="WJR39" s="595"/>
      <c r="WJS39" s="595"/>
      <c r="WJT39" s="595"/>
      <c r="WJU39" s="595"/>
      <c r="WJV39" s="595"/>
      <c r="WJW39" s="595"/>
      <c r="WJX39" s="595"/>
      <c r="WJY39" s="595"/>
      <c r="WJZ39" s="595"/>
      <c r="WKA39" s="595"/>
      <c r="WKB39" s="595"/>
      <c r="WKC39" s="595"/>
      <c r="WKD39" s="595"/>
      <c r="WKE39" s="595"/>
      <c r="WKF39" s="595"/>
      <c r="WKG39" s="595"/>
      <c r="WKH39" s="595"/>
      <c r="WKI39" s="595"/>
      <c r="WKJ39" s="595"/>
      <c r="WKK39" s="595"/>
      <c r="WKL39" s="595"/>
      <c r="WKM39" s="595"/>
      <c r="WKN39" s="595"/>
      <c r="WKO39" s="595"/>
      <c r="WKP39" s="595"/>
      <c r="WKQ39" s="595"/>
      <c r="WKR39" s="595"/>
      <c r="WKS39" s="595"/>
      <c r="WKT39" s="595"/>
      <c r="WKU39" s="595"/>
      <c r="WKV39" s="595"/>
      <c r="WKW39" s="595"/>
      <c r="WKX39" s="595"/>
      <c r="WKY39" s="595"/>
      <c r="WKZ39" s="595"/>
      <c r="WLA39" s="595"/>
      <c r="WLB39" s="595"/>
      <c r="WLC39" s="595"/>
      <c r="WLD39" s="595"/>
      <c r="WLE39" s="595"/>
      <c r="WLF39" s="595"/>
      <c r="WLG39" s="595"/>
      <c r="WLH39" s="595"/>
      <c r="WLI39" s="595"/>
      <c r="WLJ39" s="595"/>
      <c r="WLK39" s="595"/>
      <c r="WLL39" s="595"/>
      <c r="WLM39" s="595"/>
      <c r="WLN39" s="595"/>
      <c r="WLO39" s="595"/>
      <c r="WLP39" s="595"/>
      <c r="WLQ39" s="595"/>
      <c r="WLR39" s="595"/>
      <c r="WLS39" s="595"/>
      <c r="WLT39" s="595"/>
      <c r="WLU39" s="595"/>
      <c r="WLV39" s="595"/>
      <c r="WLW39" s="595"/>
      <c r="WLX39" s="595"/>
      <c r="WLY39" s="595"/>
      <c r="WLZ39" s="595"/>
      <c r="WMA39" s="595"/>
      <c r="WMB39" s="595"/>
      <c r="WMC39" s="595"/>
      <c r="WMD39" s="595"/>
      <c r="WME39" s="595"/>
      <c r="WMF39" s="595"/>
      <c r="WMG39" s="595"/>
      <c r="WMH39" s="595"/>
      <c r="WMI39" s="595"/>
      <c r="WMJ39" s="595"/>
      <c r="WMK39" s="595"/>
      <c r="WML39" s="595"/>
      <c r="WMM39" s="595"/>
      <c r="WMN39" s="595"/>
      <c r="WMO39" s="595"/>
      <c r="WMP39" s="595"/>
      <c r="WMQ39" s="595"/>
      <c r="WMR39" s="595"/>
      <c r="WMS39" s="595"/>
      <c r="WMT39" s="595"/>
      <c r="WMU39" s="595"/>
      <c r="WMV39" s="595"/>
      <c r="WMW39" s="595"/>
      <c r="WMX39" s="595"/>
      <c r="WMY39" s="595"/>
      <c r="WMZ39" s="595"/>
      <c r="WNA39" s="595"/>
      <c r="WNB39" s="595"/>
      <c r="WNC39" s="595"/>
      <c r="WND39" s="595"/>
      <c r="WNE39" s="595"/>
      <c r="WNF39" s="595"/>
      <c r="WNG39" s="595"/>
      <c r="WNH39" s="595"/>
      <c r="WNI39" s="595"/>
      <c r="WNJ39" s="595"/>
      <c r="WNK39" s="595"/>
      <c r="WNL39" s="595"/>
      <c r="WNM39" s="595"/>
      <c r="WNN39" s="595"/>
      <c r="WNO39" s="595"/>
      <c r="WNP39" s="595"/>
      <c r="WNQ39" s="595"/>
      <c r="WNR39" s="595"/>
      <c r="WNS39" s="595"/>
      <c r="WNT39" s="595"/>
      <c r="WNU39" s="595"/>
      <c r="WNV39" s="595"/>
      <c r="WNW39" s="595"/>
      <c r="WNX39" s="595"/>
      <c r="WNY39" s="595"/>
      <c r="WNZ39" s="595"/>
      <c r="WOA39" s="595"/>
      <c r="WOB39" s="595"/>
      <c r="WOC39" s="595"/>
      <c r="WOD39" s="595"/>
      <c r="WOE39" s="595"/>
      <c r="WOF39" s="595"/>
      <c r="WOG39" s="595"/>
      <c r="WOH39" s="595"/>
      <c r="WOI39" s="595"/>
      <c r="WOJ39" s="595"/>
      <c r="WOK39" s="595"/>
      <c r="WOL39" s="595"/>
      <c r="WOM39" s="595"/>
      <c r="WON39" s="595"/>
      <c r="WOO39" s="595"/>
      <c r="WOP39" s="595"/>
      <c r="WOQ39" s="595"/>
      <c r="WOR39" s="595"/>
      <c r="WOS39" s="595"/>
      <c r="WOT39" s="595"/>
      <c r="WOU39" s="595"/>
      <c r="WOV39" s="595"/>
      <c r="WOW39" s="595"/>
      <c r="WOX39" s="595"/>
      <c r="WOY39" s="595"/>
      <c r="WOZ39" s="595"/>
      <c r="WPA39" s="595"/>
      <c r="WPB39" s="595"/>
      <c r="WPC39" s="595"/>
      <c r="WPD39" s="595"/>
      <c r="WPE39" s="595"/>
      <c r="WPF39" s="595"/>
      <c r="WPG39" s="595"/>
      <c r="WPH39" s="595"/>
      <c r="WPI39" s="595"/>
      <c r="WPJ39" s="595"/>
      <c r="WPK39" s="595"/>
      <c r="WPL39" s="595"/>
      <c r="WPM39" s="595"/>
      <c r="WPN39" s="595"/>
      <c r="WPO39" s="595"/>
      <c r="WPP39" s="595"/>
      <c r="WPQ39" s="595"/>
      <c r="WPR39" s="595"/>
      <c r="WPS39" s="595"/>
      <c r="WPT39" s="595"/>
      <c r="WPU39" s="595"/>
      <c r="WPV39" s="595"/>
      <c r="WPW39" s="595"/>
      <c r="WPX39" s="595"/>
      <c r="WPY39" s="595"/>
      <c r="WPZ39" s="595"/>
      <c r="WQA39" s="595"/>
      <c r="WQB39" s="595"/>
      <c r="WQC39" s="595"/>
      <c r="WQD39" s="595"/>
      <c r="WQE39" s="595"/>
      <c r="WQF39" s="595"/>
      <c r="WQG39" s="595"/>
      <c r="WQH39" s="595"/>
      <c r="WQI39" s="595"/>
      <c r="WQJ39" s="595"/>
      <c r="WQK39" s="595"/>
      <c r="WQL39" s="595"/>
      <c r="WQM39" s="595"/>
      <c r="WQN39" s="595"/>
      <c r="WQO39" s="595"/>
      <c r="WQP39" s="595"/>
      <c r="WQQ39" s="595"/>
      <c r="WQR39" s="595"/>
      <c r="WQS39" s="595"/>
      <c r="WQT39" s="595"/>
      <c r="WQU39" s="595"/>
      <c r="WQV39" s="595"/>
      <c r="WQW39" s="595"/>
      <c r="WQX39" s="595"/>
      <c r="WQY39" s="595"/>
      <c r="WQZ39" s="595"/>
      <c r="WRA39" s="595"/>
      <c r="WRB39" s="595"/>
      <c r="WRC39" s="595"/>
      <c r="WRD39" s="595"/>
      <c r="WRE39" s="595"/>
      <c r="WRF39" s="595"/>
      <c r="WRG39" s="595"/>
      <c r="WRH39" s="595"/>
      <c r="WRI39" s="595"/>
      <c r="WRJ39" s="595"/>
      <c r="WRK39" s="595"/>
      <c r="WRL39" s="595"/>
      <c r="WRM39" s="595"/>
      <c r="WRN39" s="595"/>
      <c r="WRO39" s="595"/>
      <c r="WRP39" s="595"/>
      <c r="WRQ39" s="595"/>
      <c r="WRR39" s="595"/>
      <c r="WRS39" s="595"/>
      <c r="WRT39" s="595"/>
      <c r="WRU39" s="595"/>
      <c r="WRV39" s="595"/>
      <c r="WRW39" s="595"/>
      <c r="WRX39" s="595"/>
      <c r="WRY39" s="595"/>
      <c r="WRZ39" s="595"/>
      <c r="WSA39" s="595"/>
      <c r="WSB39" s="595"/>
      <c r="WSC39" s="595"/>
      <c r="WSD39" s="595"/>
      <c r="WSE39" s="595"/>
      <c r="WSF39" s="595"/>
      <c r="WSG39" s="595"/>
      <c r="WSH39" s="595"/>
      <c r="WSI39" s="595"/>
      <c r="WSJ39" s="595"/>
      <c r="WSK39" s="595"/>
      <c r="WSL39" s="595"/>
      <c r="WSM39" s="595"/>
      <c r="WSN39" s="595"/>
      <c r="WSO39" s="595"/>
      <c r="WSP39" s="595"/>
      <c r="WSQ39" s="595"/>
      <c r="WSR39" s="595"/>
      <c r="WSS39" s="595"/>
      <c r="WST39" s="595"/>
      <c r="WSU39" s="595"/>
      <c r="WSV39" s="595"/>
      <c r="WSW39" s="595"/>
      <c r="WSX39" s="595"/>
      <c r="WSY39" s="595"/>
      <c r="WSZ39" s="595"/>
      <c r="WTA39" s="595"/>
      <c r="WTB39" s="595"/>
      <c r="WTC39" s="595"/>
      <c r="WTD39" s="595"/>
      <c r="WTE39" s="595"/>
      <c r="WTF39" s="595"/>
      <c r="WTG39" s="595"/>
      <c r="WTH39" s="595"/>
      <c r="WTI39" s="595"/>
      <c r="WTJ39" s="595"/>
      <c r="WTK39" s="595"/>
      <c r="WTL39" s="595"/>
      <c r="WTM39" s="595"/>
      <c r="WTN39" s="595"/>
      <c r="WTO39" s="595"/>
      <c r="WTP39" s="595"/>
      <c r="WTQ39" s="595"/>
      <c r="WTR39" s="595"/>
      <c r="WTS39" s="595"/>
      <c r="WTT39" s="595"/>
      <c r="WTU39" s="595"/>
      <c r="WTV39" s="595"/>
      <c r="WTW39" s="595"/>
      <c r="WTX39" s="595"/>
      <c r="WTY39" s="595"/>
      <c r="WTZ39" s="595"/>
      <c r="WUA39" s="595"/>
      <c r="WUB39" s="595"/>
      <c r="WUC39" s="595"/>
      <c r="WUD39" s="595"/>
      <c r="WUE39" s="595"/>
      <c r="WUF39" s="595"/>
      <c r="WUG39" s="595"/>
      <c r="WUH39" s="595"/>
      <c r="WUI39" s="595"/>
      <c r="WUJ39" s="595"/>
      <c r="WUK39" s="595"/>
      <c r="WUL39" s="595"/>
      <c r="WUM39" s="595"/>
      <c r="WUN39" s="595"/>
      <c r="WUO39" s="595"/>
      <c r="WUP39" s="595"/>
      <c r="WUQ39" s="595"/>
      <c r="WUR39" s="595"/>
      <c r="WUS39" s="595"/>
      <c r="WUT39" s="595"/>
      <c r="WUU39" s="595"/>
      <c r="WUV39" s="595"/>
      <c r="WUW39" s="595"/>
      <c r="WUX39" s="595"/>
      <c r="WUY39" s="595"/>
      <c r="WUZ39" s="595"/>
      <c r="WVA39" s="595"/>
      <c r="WVB39" s="595"/>
      <c r="WVC39" s="595"/>
      <c r="WVD39" s="595"/>
      <c r="WVE39" s="595"/>
      <c r="WVF39" s="595"/>
      <c r="WVG39" s="595"/>
      <c r="WVH39" s="595"/>
      <c r="WVI39" s="595"/>
      <c r="WVJ39" s="595"/>
      <c r="WVK39" s="595"/>
      <c r="WVL39" s="595"/>
      <c r="WVM39" s="595"/>
      <c r="WVN39" s="595"/>
      <c r="WVO39" s="595"/>
      <c r="WVP39" s="595"/>
      <c r="WVQ39" s="595"/>
    </row>
    <row r="40" spans="1:16137" s="601" customFormat="1" ht="17.25" customHeight="1">
      <c r="A40" s="952"/>
      <c r="B40" s="962"/>
      <c r="C40" s="962"/>
      <c r="D40" s="595"/>
      <c r="E40" s="595"/>
      <c r="F40" s="954"/>
      <c r="G40" s="954"/>
      <c r="H40" s="595"/>
      <c r="I40" s="595"/>
      <c r="J40" s="595"/>
      <c r="CF40" s="595"/>
      <c r="CG40" s="595"/>
      <c r="CH40" s="595"/>
      <c r="CI40" s="595"/>
      <c r="CJ40" s="595"/>
      <c r="CK40" s="595"/>
      <c r="CL40" s="595"/>
      <c r="CM40" s="595"/>
      <c r="CN40" s="595"/>
      <c r="CO40" s="595"/>
      <c r="CP40" s="595"/>
      <c r="CQ40" s="595"/>
      <c r="CR40" s="595"/>
      <c r="CS40" s="595"/>
      <c r="CT40" s="595"/>
      <c r="CU40" s="595"/>
      <c r="CV40" s="595"/>
      <c r="CW40" s="595"/>
      <c r="CX40" s="595"/>
      <c r="CY40" s="595"/>
      <c r="CZ40" s="595"/>
      <c r="DA40" s="595"/>
      <c r="DB40" s="595"/>
      <c r="DC40" s="595"/>
      <c r="DD40" s="595"/>
      <c r="DE40" s="595"/>
      <c r="DF40" s="595"/>
      <c r="DG40" s="595"/>
      <c r="DH40" s="595"/>
      <c r="DI40" s="595"/>
      <c r="DJ40" s="595"/>
      <c r="DK40" s="595"/>
      <c r="DL40" s="595"/>
      <c r="DM40" s="595"/>
      <c r="DN40" s="595"/>
      <c r="DO40" s="595"/>
      <c r="DP40" s="595"/>
      <c r="DQ40" s="595"/>
      <c r="DR40" s="595"/>
      <c r="DS40" s="595"/>
      <c r="DT40" s="595"/>
      <c r="DU40" s="595"/>
      <c r="DV40" s="595"/>
      <c r="DW40" s="595"/>
      <c r="DX40" s="595"/>
      <c r="DY40" s="595"/>
      <c r="DZ40" s="595"/>
      <c r="EA40" s="595"/>
      <c r="EB40" s="595"/>
      <c r="EC40" s="595"/>
      <c r="ED40" s="595"/>
      <c r="EE40" s="595"/>
      <c r="EF40" s="595"/>
      <c r="EG40" s="595"/>
      <c r="EH40" s="595"/>
      <c r="EI40" s="595"/>
      <c r="EJ40" s="595"/>
      <c r="EK40" s="595"/>
      <c r="EL40" s="595"/>
      <c r="EM40" s="595"/>
      <c r="EN40" s="595"/>
      <c r="EO40" s="595"/>
      <c r="EP40" s="595"/>
      <c r="EQ40" s="595"/>
      <c r="ER40" s="595"/>
      <c r="ES40" s="595"/>
      <c r="ET40" s="595"/>
      <c r="EU40" s="595"/>
      <c r="EV40" s="595"/>
      <c r="EW40" s="595"/>
      <c r="EX40" s="595"/>
      <c r="EY40" s="595"/>
      <c r="EZ40" s="595"/>
      <c r="FA40" s="595"/>
      <c r="FB40" s="595"/>
      <c r="FC40" s="595"/>
      <c r="FD40" s="595"/>
      <c r="FE40" s="595"/>
      <c r="FF40" s="595"/>
      <c r="FG40" s="595"/>
      <c r="FH40" s="595"/>
      <c r="FI40" s="595"/>
      <c r="FJ40" s="595"/>
      <c r="FK40" s="595"/>
      <c r="FL40" s="595"/>
      <c r="FM40" s="595"/>
      <c r="FN40" s="595"/>
      <c r="FO40" s="595"/>
      <c r="FP40" s="595"/>
      <c r="FQ40" s="595"/>
      <c r="FR40" s="595"/>
      <c r="FS40" s="595"/>
      <c r="FT40" s="595"/>
      <c r="FU40" s="595"/>
      <c r="FV40" s="595"/>
      <c r="FW40" s="595"/>
      <c r="FX40" s="595"/>
      <c r="FY40" s="595"/>
      <c r="FZ40" s="595"/>
      <c r="GA40" s="595"/>
      <c r="GB40" s="595"/>
      <c r="GC40" s="595"/>
      <c r="GD40" s="595"/>
      <c r="GE40" s="595"/>
      <c r="GF40" s="595"/>
      <c r="GG40" s="595"/>
      <c r="GH40" s="595"/>
      <c r="GI40" s="595"/>
      <c r="GJ40" s="595"/>
      <c r="GK40" s="595"/>
      <c r="GL40" s="595"/>
      <c r="GM40" s="595"/>
      <c r="GN40" s="595"/>
      <c r="GO40" s="595"/>
      <c r="GP40" s="595"/>
      <c r="GQ40" s="595"/>
      <c r="GR40" s="595"/>
      <c r="GS40" s="595"/>
      <c r="GT40" s="595"/>
      <c r="GU40" s="595"/>
      <c r="GV40" s="595"/>
      <c r="GW40" s="595"/>
      <c r="GX40" s="595"/>
      <c r="GY40" s="595"/>
      <c r="GZ40" s="595"/>
      <c r="HA40" s="595"/>
      <c r="HB40" s="595"/>
      <c r="HC40" s="595"/>
      <c r="HD40" s="595"/>
      <c r="HE40" s="595"/>
      <c r="HF40" s="595"/>
      <c r="HG40" s="595"/>
      <c r="HH40" s="595"/>
      <c r="HI40" s="595"/>
      <c r="HJ40" s="595"/>
      <c r="HK40" s="595"/>
      <c r="HL40" s="595"/>
      <c r="HM40" s="595"/>
      <c r="HN40" s="595"/>
      <c r="HO40" s="595"/>
      <c r="HP40" s="595"/>
      <c r="HQ40" s="595"/>
      <c r="HR40" s="595"/>
      <c r="HS40" s="595"/>
      <c r="HT40" s="595"/>
      <c r="HU40" s="595"/>
      <c r="HV40" s="595"/>
      <c r="HW40" s="595"/>
      <c r="HX40" s="595"/>
      <c r="HY40" s="595"/>
      <c r="HZ40" s="595"/>
      <c r="IA40" s="595"/>
      <c r="IB40" s="595"/>
      <c r="IC40" s="595"/>
      <c r="ID40" s="595"/>
      <c r="IE40" s="595"/>
      <c r="IF40" s="595"/>
      <c r="IG40" s="595"/>
      <c r="IH40" s="595"/>
      <c r="II40" s="595"/>
      <c r="IJ40" s="595"/>
      <c r="IK40" s="595"/>
      <c r="IL40" s="595"/>
      <c r="IM40" s="595"/>
      <c r="IN40" s="595"/>
      <c r="IO40" s="595"/>
      <c r="IP40" s="595"/>
      <c r="IQ40" s="595"/>
      <c r="IR40" s="595"/>
      <c r="IS40" s="595"/>
      <c r="IT40" s="595"/>
      <c r="IU40" s="595"/>
      <c r="IV40" s="595"/>
      <c r="IW40" s="595"/>
      <c r="IX40" s="595"/>
      <c r="IY40" s="595"/>
      <c r="IZ40" s="595"/>
      <c r="JA40" s="595"/>
      <c r="JB40" s="595"/>
      <c r="JC40" s="595"/>
      <c r="JD40" s="595"/>
      <c r="JE40" s="595"/>
      <c r="JF40" s="595"/>
      <c r="JG40" s="595"/>
      <c r="JH40" s="595"/>
      <c r="JI40" s="595"/>
      <c r="JJ40" s="595"/>
      <c r="JK40" s="595"/>
      <c r="JL40" s="595"/>
      <c r="JM40" s="595"/>
      <c r="JN40" s="595"/>
      <c r="JO40" s="595"/>
      <c r="JP40" s="595"/>
      <c r="JQ40" s="595"/>
      <c r="JR40" s="595"/>
      <c r="JS40" s="595"/>
      <c r="JT40" s="595"/>
      <c r="JU40" s="595"/>
      <c r="JV40" s="595"/>
      <c r="JW40" s="595"/>
      <c r="JX40" s="595"/>
      <c r="JY40" s="595"/>
      <c r="JZ40" s="595"/>
      <c r="KA40" s="595"/>
      <c r="KB40" s="595"/>
      <c r="KC40" s="595"/>
      <c r="KD40" s="595"/>
      <c r="KE40" s="595"/>
      <c r="KF40" s="595"/>
      <c r="KG40" s="595"/>
      <c r="KH40" s="595"/>
      <c r="KI40" s="595"/>
      <c r="KJ40" s="595"/>
      <c r="KK40" s="595"/>
      <c r="KL40" s="595"/>
      <c r="KM40" s="595"/>
      <c r="KN40" s="595"/>
      <c r="KO40" s="595"/>
      <c r="KP40" s="595"/>
      <c r="KQ40" s="595"/>
      <c r="KR40" s="595"/>
      <c r="KS40" s="595"/>
      <c r="KT40" s="595"/>
      <c r="KU40" s="595"/>
      <c r="KV40" s="595"/>
      <c r="KW40" s="595"/>
      <c r="KX40" s="595"/>
      <c r="KY40" s="595"/>
      <c r="KZ40" s="595"/>
      <c r="LA40" s="595"/>
      <c r="LB40" s="595"/>
      <c r="LC40" s="595"/>
      <c r="LD40" s="595"/>
      <c r="LE40" s="595"/>
      <c r="LF40" s="595"/>
      <c r="LG40" s="595"/>
      <c r="LH40" s="595"/>
      <c r="LI40" s="595"/>
      <c r="LJ40" s="595"/>
      <c r="LK40" s="595"/>
      <c r="LL40" s="595"/>
      <c r="LM40" s="595"/>
      <c r="LN40" s="595"/>
      <c r="LO40" s="595"/>
      <c r="LP40" s="595"/>
      <c r="LQ40" s="595"/>
      <c r="LR40" s="595"/>
      <c r="LS40" s="595"/>
      <c r="LT40" s="595"/>
      <c r="LU40" s="595"/>
      <c r="LV40" s="595"/>
      <c r="LW40" s="595"/>
      <c r="LX40" s="595"/>
      <c r="LY40" s="595"/>
      <c r="LZ40" s="595"/>
      <c r="MA40" s="595"/>
      <c r="MB40" s="595"/>
      <c r="MC40" s="595"/>
      <c r="MD40" s="595"/>
      <c r="ME40" s="595"/>
      <c r="MF40" s="595"/>
      <c r="MG40" s="595"/>
      <c r="MH40" s="595"/>
      <c r="MI40" s="595"/>
      <c r="MJ40" s="595"/>
      <c r="MK40" s="595"/>
      <c r="ML40" s="595"/>
      <c r="MM40" s="595"/>
      <c r="MN40" s="595"/>
      <c r="MO40" s="595"/>
      <c r="MP40" s="595"/>
      <c r="MQ40" s="595"/>
      <c r="MR40" s="595"/>
      <c r="MS40" s="595"/>
      <c r="MT40" s="595"/>
      <c r="MU40" s="595"/>
      <c r="MV40" s="595"/>
      <c r="MW40" s="595"/>
      <c r="MX40" s="595"/>
      <c r="MY40" s="595"/>
      <c r="MZ40" s="595"/>
      <c r="NA40" s="595"/>
      <c r="NB40" s="595"/>
      <c r="NC40" s="595"/>
      <c r="ND40" s="595"/>
      <c r="NE40" s="595"/>
      <c r="NF40" s="595"/>
      <c r="NG40" s="595"/>
      <c r="NH40" s="595"/>
      <c r="NI40" s="595"/>
      <c r="NJ40" s="595"/>
      <c r="NK40" s="595"/>
      <c r="NL40" s="595"/>
      <c r="NM40" s="595"/>
      <c r="NN40" s="595"/>
      <c r="NO40" s="595"/>
      <c r="NP40" s="595"/>
      <c r="NQ40" s="595"/>
      <c r="NR40" s="595"/>
      <c r="NS40" s="595"/>
      <c r="NT40" s="595"/>
      <c r="NU40" s="595"/>
      <c r="NV40" s="595"/>
      <c r="NW40" s="595"/>
      <c r="NX40" s="595"/>
      <c r="NY40" s="595"/>
      <c r="NZ40" s="595"/>
      <c r="OA40" s="595"/>
      <c r="OB40" s="595"/>
      <c r="OC40" s="595"/>
      <c r="OD40" s="595"/>
      <c r="OE40" s="595"/>
      <c r="OF40" s="595"/>
      <c r="OG40" s="595"/>
      <c r="OH40" s="595"/>
      <c r="OI40" s="595"/>
      <c r="OJ40" s="595"/>
      <c r="OK40" s="595"/>
      <c r="OL40" s="595"/>
      <c r="OM40" s="595"/>
      <c r="ON40" s="595"/>
      <c r="OO40" s="595"/>
      <c r="OP40" s="595"/>
      <c r="OQ40" s="595"/>
      <c r="OR40" s="595"/>
      <c r="OS40" s="595"/>
      <c r="OT40" s="595"/>
      <c r="OU40" s="595"/>
      <c r="OV40" s="595"/>
      <c r="OW40" s="595"/>
      <c r="OX40" s="595"/>
      <c r="OY40" s="595"/>
      <c r="OZ40" s="595"/>
      <c r="PA40" s="595"/>
      <c r="PB40" s="595"/>
      <c r="PC40" s="595"/>
      <c r="PD40" s="595"/>
      <c r="PE40" s="595"/>
      <c r="PF40" s="595"/>
      <c r="PG40" s="595"/>
      <c r="PH40" s="595"/>
      <c r="PI40" s="595"/>
      <c r="PJ40" s="595"/>
      <c r="PK40" s="595"/>
      <c r="PL40" s="595"/>
      <c r="PM40" s="595"/>
      <c r="PN40" s="595"/>
      <c r="PO40" s="595"/>
      <c r="PP40" s="595"/>
      <c r="PQ40" s="595"/>
      <c r="PR40" s="595"/>
      <c r="PS40" s="595"/>
      <c r="PT40" s="595"/>
      <c r="PU40" s="595"/>
      <c r="PV40" s="595"/>
      <c r="PW40" s="595"/>
      <c r="PX40" s="595"/>
      <c r="PY40" s="595"/>
      <c r="PZ40" s="595"/>
      <c r="QA40" s="595"/>
      <c r="QB40" s="595"/>
      <c r="QC40" s="595"/>
      <c r="QD40" s="595"/>
      <c r="QE40" s="595"/>
      <c r="QF40" s="595"/>
      <c r="QG40" s="595"/>
      <c r="QH40" s="595"/>
      <c r="QI40" s="595"/>
      <c r="QJ40" s="595"/>
      <c r="QK40" s="595"/>
      <c r="QL40" s="595"/>
      <c r="QM40" s="595"/>
      <c r="QN40" s="595"/>
      <c r="QO40" s="595"/>
      <c r="QP40" s="595"/>
      <c r="QQ40" s="595"/>
      <c r="QR40" s="595"/>
      <c r="QS40" s="595"/>
      <c r="QT40" s="595"/>
      <c r="QU40" s="595"/>
      <c r="QV40" s="595"/>
      <c r="QW40" s="595"/>
      <c r="QX40" s="595"/>
      <c r="QY40" s="595"/>
      <c r="QZ40" s="595"/>
      <c r="RA40" s="595"/>
      <c r="RB40" s="595"/>
      <c r="RC40" s="595"/>
      <c r="RD40" s="595"/>
      <c r="RE40" s="595"/>
      <c r="RF40" s="595"/>
      <c r="RG40" s="595"/>
      <c r="RH40" s="595"/>
      <c r="RI40" s="595"/>
      <c r="RJ40" s="595"/>
      <c r="RK40" s="595"/>
      <c r="RL40" s="595"/>
      <c r="RM40" s="595"/>
      <c r="RN40" s="595"/>
      <c r="RO40" s="595"/>
      <c r="RP40" s="595"/>
      <c r="RQ40" s="595"/>
      <c r="RR40" s="595"/>
      <c r="RS40" s="595"/>
      <c r="RT40" s="595"/>
      <c r="RU40" s="595"/>
      <c r="RV40" s="595"/>
      <c r="RW40" s="595"/>
      <c r="RX40" s="595"/>
      <c r="RY40" s="595"/>
      <c r="RZ40" s="595"/>
      <c r="SA40" s="595"/>
      <c r="SB40" s="595"/>
      <c r="SC40" s="595"/>
      <c r="SD40" s="595"/>
      <c r="SE40" s="595"/>
      <c r="SF40" s="595"/>
      <c r="SG40" s="595"/>
      <c r="SH40" s="595"/>
      <c r="SI40" s="595"/>
      <c r="SJ40" s="595"/>
      <c r="SK40" s="595"/>
      <c r="SL40" s="595"/>
      <c r="SM40" s="595"/>
      <c r="SN40" s="595"/>
      <c r="SO40" s="595"/>
      <c r="SP40" s="595"/>
      <c r="SQ40" s="595"/>
      <c r="SR40" s="595"/>
      <c r="SS40" s="595"/>
      <c r="ST40" s="595"/>
      <c r="SU40" s="595"/>
      <c r="SV40" s="595"/>
      <c r="SW40" s="595"/>
      <c r="SX40" s="595"/>
      <c r="SY40" s="595"/>
      <c r="SZ40" s="595"/>
      <c r="TA40" s="595"/>
      <c r="TB40" s="595"/>
      <c r="TC40" s="595"/>
      <c r="TD40" s="595"/>
      <c r="TE40" s="595"/>
      <c r="TF40" s="595"/>
      <c r="TG40" s="595"/>
      <c r="TH40" s="595"/>
      <c r="TI40" s="595"/>
      <c r="TJ40" s="595"/>
      <c r="TK40" s="595"/>
      <c r="TL40" s="595"/>
      <c r="TM40" s="595"/>
      <c r="TN40" s="595"/>
      <c r="TO40" s="595"/>
      <c r="TP40" s="595"/>
      <c r="TQ40" s="595"/>
      <c r="TR40" s="595"/>
      <c r="TS40" s="595"/>
      <c r="TT40" s="595"/>
      <c r="TU40" s="595"/>
      <c r="TV40" s="595"/>
      <c r="TW40" s="595"/>
      <c r="TX40" s="595"/>
      <c r="TY40" s="595"/>
      <c r="TZ40" s="595"/>
      <c r="UA40" s="595"/>
      <c r="UB40" s="595"/>
      <c r="UC40" s="595"/>
      <c r="UD40" s="595"/>
      <c r="UE40" s="595"/>
      <c r="UF40" s="595"/>
      <c r="UG40" s="595"/>
      <c r="UH40" s="595"/>
      <c r="UI40" s="595"/>
      <c r="UJ40" s="595"/>
      <c r="UK40" s="595"/>
      <c r="UL40" s="595"/>
      <c r="UM40" s="595"/>
      <c r="UN40" s="595"/>
      <c r="UO40" s="595"/>
      <c r="UP40" s="595"/>
      <c r="UQ40" s="595"/>
      <c r="UR40" s="595"/>
      <c r="US40" s="595"/>
      <c r="UT40" s="595"/>
      <c r="UU40" s="595"/>
      <c r="UV40" s="595"/>
      <c r="UW40" s="595"/>
      <c r="UX40" s="595"/>
      <c r="UY40" s="595"/>
      <c r="UZ40" s="595"/>
      <c r="VA40" s="595"/>
      <c r="VB40" s="595"/>
      <c r="VC40" s="595"/>
      <c r="VD40" s="595"/>
      <c r="VE40" s="595"/>
      <c r="VF40" s="595"/>
      <c r="VG40" s="595"/>
      <c r="VH40" s="595"/>
      <c r="VI40" s="595"/>
      <c r="VJ40" s="595"/>
      <c r="VK40" s="595"/>
      <c r="VL40" s="595"/>
      <c r="VM40" s="595"/>
      <c r="VN40" s="595"/>
      <c r="VO40" s="595"/>
      <c r="VP40" s="595"/>
      <c r="VQ40" s="595"/>
      <c r="VR40" s="595"/>
      <c r="VS40" s="595"/>
      <c r="VT40" s="595"/>
      <c r="VU40" s="595"/>
      <c r="VV40" s="595"/>
      <c r="VW40" s="595"/>
      <c r="VX40" s="595"/>
      <c r="VY40" s="595"/>
      <c r="VZ40" s="595"/>
      <c r="WA40" s="595"/>
      <c r="WB40" s="595"/>
      <c r="WC40" s="595"/>
      <c r="WD40" s="595"/>
      <c r="WE40" s="595"/>
      <c r="WF40" s="595"/>
      <c r="WG40" s="595"/>
      <c r="WH40" s="595"/>
      <c r="WI40" s="595"/>
      <c r="WJ40" s="595"/>
      <c r="WK40" s="595"/>
      <c r="WL40" s="595"/>
      <c r="WM40" s="595"/>
      <c r="WN40" s="595"/>
      <c r="WO40" s="595"/>
      <c r="WP40" s="595"/>
      <c r="WQ40" s="595"/>
      <c r="WR40" s="595"/>
      <c r="WS40" s="595"/>
      <c r="WT40" s="595"/>
      <c r="WU40" s="595"/>
      <c r="WV40" s="595"/>
      <c r="WW40" s="595"/>
      <c r="WX40" s="595"/>
      <c r="WY40" s="595"/>
      <c r="WZ40" s="595"/>
      <c r="XA40" s="595"/>
      <c r="XB40" s="595"/>
      <c r="XC40" s="595"/>
      <c r="XD40" s="595"/>
      <c r="XE40" s="595"/>
      <c r="XF40" s="595"/>
      <c r="XG40" s="595"/>
      <c r="XH40" s="595"/>
      <c r="XI40" s="595"/>
      <c r="XJ40" s="595"/>
      <c r="XK40" s="595"/>
      <c r="XL40" s="595"/>
      <c r="XM40" s="595"/>
      <c r="XN40" s="595"/>
      <c r="XO40" s="595"/>
      <c r="XP40" s="595"/>
      <c r="XQ40" s="595"/>
      <c r="XR40" s="595"/>
      <c r="XS40" s="595"/>
      <c r="XT40" s="595"/>
      <c r="XU40" s="595"/>
      <c r="XV40" s="595"/>
      <c r="XW40" s="595"/>
      <c r="XX40" s="595"/>
      <c r="XY40" s="595"/>
      <c r="XZ40" s="595"/>
      <c r="YA40" s="595"/>
      <c r="YB40" s="595"/>
      <c r="YC40" s="595"/>
      <c r="YD40" s="595"/>
      <c r="YE40" s="595"/>
      <c r="YF40" s="595"/>
      <c r="YG40" s="595"/>
      <c r="YH40" s="595"/>
      <c r="YI40" s="595"/>
      <c r="YJ40" s="595"/>
      <c r="YK40" s="595"/>
      <c r="YL40" s="595"/>
      <c r="YM40" s="595"/>
      <c r="YN40" s="595"/>
      <c r="YO40" s="595"/>
      <c r="YP40" s="595"/>
      <c r="YQ40" s="595"/>
      <c r="YR40" s="595"/>
      <c r="YS40" s="595"/>
      <c r="YT40" s="595"/>
      <c r="YU40" s="595"/>
      <c r="YV40" s="595"/>
      <c r="YW40" s="595"/>
      <c r="YX40" s="595"/>
      <c r="YY40" s="595"/>
      <c r="YZ40" s="595"/>
      <c r="ZA40" s="595"/>
      <c r="ZB40" s="595"/>
      <c r="ZC40" s="595"/>
      <c r="ZD40" s="595"/>
      <c r="ZE40" s="595"/>
      <c r="ZF40" s="595"/>
      <c r="ZG40" s="595"/>
      <c r="ZH40" s="595"/>
      <c r="ZI40" s="595"/>
      <c r="ZJ40" s="595"/>
      <c r="ZK40" s="595"/>
      <c r="ZL40" s="595"/>
      <c r="ZM40" s="595"/>
      <c r="ZN40" s="595"/>
      <c r="ZO40" s="595"/>
      <c r="ZP40" s="595"/>
      <c r="ZQ40" s="595"/>
      <c r="ZR40" s="595"/>
      <c r="ZS40" s="595"/>
      <c r="ZT40" s="595"/>
      <c r="ZU40" s="595"/>
      <c r="ZV40" s="595"/>
      <c r="ZW40" s="595"/>
      <c r="ZX40" s="595"/>
      <c r="ZY40" s="595"/>
      <c r="ZZ40" s="595"/>
      <c r="AAA40" s="595"/>
      <c r="AAB40" s="595"/>
      <c r="AAC40" s="595"/>
      <c r="AAD40" s="595"/>
      <c r="AAE40" s="595"/>
      <c r="AAF40" s="595"/>
      <c r="AAG40" s="595"/>
      <c r="AAH40" s="595"/>
      <c r="AAI40" s="595"/>
      <c r="AAJ40" s="595"/>
      <c r="AAK40" s="595"/>
      <c r="AAL40" s="595"/>
      <c r="AAM40" s="595"/>
      <c r="AAN40" s="595"/>
      <c r="AAO40" s="595"/>
      <c r="AAP40" s="595"/>
      <c r="AAQ40" s="595"/>
      <c r="AAR40" s="595"/>
      <c r="AAS40" s="595"/>
      <c r="AAT40" s="595"/>
      <c r="AAU40" s="595"/>
      <c r="AAV40" s="595"/>
      <c r="AAW40" s="595"/>
      <c r="AAX40" s="595"/>
      <c r="AAY40" s="595"/>
      <c r="AAZ40" s="595"/>
      <c r="ABA40" s="595"/>
      <c r="ABB40" s="595"/>
      <c r="ABC40" s="595"/>
      <c r="ABD40" s="595"/>
      <c r="ABE40" s="595"/>
      <c r="ABF40" s="595"/>
      <c r="ABG40" s="595"/>
      <c r="ABH40" s="595"/>
      <c r="ABI40" s="595"/>
      <c r="ABJ40" s="595"/>
      <c r="ABK40" s="595"/>
      <c r="ABL40" s="595"/>
      <c r="ABM40" s="595"/>
      <c r="ABN40" s="595"/>
      <c r="ABO40" s="595"/>
      <c r="ABP40" s="595"/>
      <c r="ABQ40" s="595"/>
      <c r="ABR40" s="595"/>
      <c r="ABS40" s="595"/>
      <c r="ABT40" s="595"/>
      <c r="ABU40" s="595"/>
      <c r="ABV40" s="595"/>
      <c r="ABW40" s="595"/>
      <c r="ABX40" s="595"/>
      <c r="ABY40" s="595"/>
      <c r="ABZ40" s="595"/>
      <c r="ACA40" s="595"/>
      <c r="ACB40" s="595"/>
      <c r="ACC40" s="595"/>
      <c r="ACD40" s="595"/>
      <c r="ACE40" s="595"/>
      <c r="ACF40" s="595"/>
      <c r="ACG40" s="595"/>
      <c r="ACH40" s="595"/>
      <c r="ACI40" s="595"/>
      <c r="ACJ40" s="595"/>
      <c r="ACK40" s="595"/>
      <c r="ACL40" s="595"/>
      <c r="ACM40" s="595"/>
      <c r="ACN40" s="595"/>
      <c r="ACO40" s="595"/>
      <c r="ACP40" s="595"/>
      <c r="ACQ40" s="595"/>
      <c r="ACR40" s="595"/>
      <c r="ACS40" s="595"/>
      <c r="ACT40" s="595"/>
      <c r="ACU40" s="595"/>
      <c r="ACV40" s="595"/>
      <c r="ACW40" s="595"/>
      <c r="ACX40" s="595"/>
      <c r="ACY40" s="595"/>
      <c r="ACZ40" s="595"/>
      <c r="ADA40" s="595"/>
      <c r="ADB40" s="595"/>
      <c r="ADC40" s="595"/>
      <c r="ADD40" s="595"/>
      <c r="ADE40" s="595"/>
      <c r="ADF40" s="595"/>
      <c r="ADG40" s="595"/>
      <c r="ADH40" s="595"/>
      <c r="ADI40" s="595"/>
      <c r="ADJ40" s="595"/>
      <c r="ADK40" s="595"/>
      <c r="ADL40" s="595"/>
      <c r="ADM40" s="595"/>
      <c r="ADN40" s="595"/>
      <c r="ADO40" s="595"/>
      <c r="ADP40" s="595"/>
      <c r="ADQ40" s="595"/>
      <c r="ADR40" s="595"/>
      <c r="ADS40" s="595"/>
      <c r="ADT40" s="595"/>
      <c r="ADU40" s="595"/>
      <c r="ADV40" s="595"/>
      <c r="ADW40" s="595"/>
      <c r="ADX40" s="595"/>
      <c r="ADY40" s="595"/>
      <c r="ADZ40" s="595"/>
      <c r="AEA40" s="595"/>
      <c r="AEB40" s="595"/>
      <c r="AEC40" s="595"/>
      <c r="AED40" s="595"/>
      <c r="AEE40" s="595"/>
      <c r="AEF40" s="595"/>
      <c r="AEG40" s="595"/>
      <c r="AEH40" s="595"/>
      <c r="AEI40" s="595"/>
      <c r="AEJ40" s="595"/>
      <c r="AEK40" s="595"/>
      <c r="AEL40" s="595"/>
      <c r="AEM40" s="595"/>
      <c r="AEN40" s="595"/>
      <c r="AEO40" s="595"/>
      <c r="AEP40" s="595"/>
      <c r="AEQ40" s="595"/>
      <c r="AER40" s="595"/>
      <c r="AES40" s="595"/>
      <c r="AET40" s="595"/>
      <c r="AEU40" s="595"/>
      <c r="AEV40" s="595"/>
      <c r="AEW40" s="595"/>
      <c r="AEX40" s="595"/>
      <c r="AEY40" s="595"/>
      <c r="AEZ40" s="595"/>
      <c r="AFA40" s="595"/>
      <c r="AFB40" s="595"/>
      <c r="AFC40" s="595"/>
      <c r="AFD40" s="595"/>
      <c r="AFE40" s="595"/>
      <c r="AFF40" s="595"/>
      <c r="AFG40" s="595"/>
      <c r="AFH40" s="595"/>
      <c r="AFI40" s="595"/>
      <c r="AFJ40" s="595"/>
      <c r="AFK40" s="595"/>
      <c r="AFL40" s="595"/>
      <c r="AFM40" s="595"/>
      <c r="AFN40" s="595"/>
      <c r="AFO40" s="595"/>
      <c r="AFP40" s="595"/>
      <c r="AFQ40" s="595"/>
      <c r="AFR40" s="595"/>
      <c r="AFS40" s="595"/>
      <c r="AFT40" s="595"/>
      <c r="AFU40" s="595"/>
      <c r="AFV40" s="595"/>
      <c r="AFW40" s="595"/>
      <c r="AFX40" s="595"/>
      <c r="AFY40" s="595"/>
      <c r="AFZ40" s="595"/>
      <c r="AGA40" s="595"/>
      <c r="AGB40" s="595"/>
      <c r="AGC40" s="595"/>
      <c r="AGD40" s="595"/>
      <c r="AGE40" s="595"/>
      <c r="AGF40" s="595"/>
      <c r="AGG40" s="595"/>
      <c r="AGH40" s="595"/>
      <c r="AGI40" s="595"/>
      <c r="AGJ40" s="595"/>
      <c r="AGK40" s="595"/>
      <c r="AGL40" s="595"/>
      <c r="AGM40" s="595"/>
      <c r="AGN40" s="595"/>
      <c r="AGO40" s="595"/>
      <c r="AGP40" s="595"/>
      <c r="AGQ40" s="595"/>
      <c r="AGR40" s="595"/>
      <c r="AGS40" s="595"/>
      <c r="AGT40" s="595"/>
      <c r="AGU40" s="595"/>
      <c r="AGV40" s="595"/>
      <c r="AGW40" s="595"/>
      <c r="AGX40" s="595"/>
      <c r="AGY40" s="595"/>
      <c r="AGZ40" s="595"/>
      <c r="AHA40" s="595"/>
      <c r="AHB40" s="595"/>
      <c r="AHC40" s="595"/>
      <c r="AHD40" s="595"/>
      <c r="AHE40" s="595"/>
      <c r="AHF40" s="595"/>
      <c r="AHG40" s="595"/>
      <c r="AHH40" s="595"/>
      <c r="AHI40" s="595"/>
      <c r="AHJ40" s="595"/>
      <c r="AHK40" s="595"/>
      <c r="AHL40" s="595"/>
      <c r="AHM40" s="595"/>
      <c r="AHN40" s="595"/>
      <c r="AHO40" s="595"/>
      <c r="AHP40" s="595"/>
      <c r="AHQ40" s="595"/>
      <c r="AHR40" s="595"/>
      <c r="AHS40" s="595"/>
      <c r="AHT40" s="595"/>
      <c r="AHU40" s="595"/>
      <c r="AHV40" s="595"/>
      <c r="AHW40" s="595"/>
      <c r="AHX40" s="595"/>
      <c r="AHY40" s="595"/>
      <c r="AHZ40" s="595"/>
      <c r="AIA40" s="595"/>
      <c r="AIB40" s="595"/>
      <c r="AIC40" s="595"/>
      <c r="AID40" s="595"/>
      <c r="AIE40" s="595"/>
      <c r="AIF40" s="595"/>
      <c r="AIG40" s="595"/>
      <c r="AIH40" s="595"/>
      <c r="AII40" s="595"/>
      <c r="AIJ40" s="595"/>
      <c r="AIK40" s="595"/>
      <c r="AIL40" s="595"/>
      <c r="AIM40" s="595"/>
      <c r="AIN40" s="595"/>
      <c r="AIO40" s="595"/>
      <c r="AIP40" s="595"/>
      <c r="AIQ40" s="595"/>
      <c r="AIR40" s="595"/>
      <c r="AIS40" s="595"/>
      <c r="AIT40" s="595"/>
      <c r="AIU40" s="595"/>
      <c r="AIV40" s="595"/>
      <c r="AIW40" s="595"/>
      <c r="AIX40" s="595"/>
      <c r="AIY40" s="595"/>
      <c r="AIZ40" s="595"/>
      <c r="AJA40" s="595"/>
      <c r="AJB40" s="595"/>
      <c r="AJC40" s="595"/>
      <c r="AJD40" s="595"/>
      <c r="AJE40" s="595"/>
      <c r="AJF40" s="595"/>
      <c r="AJG40" s="595"/>
      <c r="AJH40" s="595"/>
      <c r="AJI40" s="595"/>
      <c r="AJJ40" s="595"/>
      <c r="AJK40" s="595"/>
      <c r="AJL40" s="595"/>
      <c r="AJM40" s="595"/>
      <c r="AJN40" s="595"/>
      <c r="AJO40" s="595"/>
      <c r="AJP40" s="595"/>
      <c r="AJQ40" s="595"/>
      <c r="AJR40" s="595"/>
      <c r="AJS40" s="595"/>
      <c r="AJT40" s="595"/>
      <c r="AJU40" s="595"/>
      <c r="AJV40" s="595"/>
      <c r="AJW40" s="595"/>
      <c r="AJX40" s="595"/>
      <c r="AJY40" s="595"/>
      <c r="AJZ40" s="595"/>
      <c r="AKA40" s="595"/>
      <c r="AKB40" s="595"/>
      <c r="AKC40" s="595"/>
      <c r="AKD40" s="595"/>
      <c r="AKE40" s="595"/>
      <c r="AKF40" s="595"/>
      <c r="AKG40" s="595"/>
      <c r="AKH40" s="595"/>
      <c r="AKI40" s="595"/>
      <c r="AKJ40" s="595"/>
      <c r="AKK40" s="595"/>
      <c r="AKL40" s="595"/>
      <c r="AKM40" s="595"/>
      <c r="AKN40" s="595"/>
      <c r="AKO40" s="595"/>
      <c r="AKP40" s="595"/>
      <c r="AKQ40" s="595"/>
      <c r="AKR40" s="595"/>
      <c r="AKS40" s="595"/>
      <c r="AKT40" s="595"/>
      <c r="AKU40" s="595"/>
      <c r="AKV40" s="595"/>
      <c r="AKW40" s="595"/>
      <c r="AKX40" s="595"/>
      <c r="AKY40" s="595"/>
      <c r="AKZ40" s="595"/>
      <c r="ALA40" s="595"/>
      <c r="ALB40" s="595"/>
      <c r="ALC40" s="595"/>
      <c r="ALD40" s="595"/>
      <c r="ALE40" s="595"/>
      <c r="ALF40" s="595"/>
      <c r="ALG40" s="595"/>
      <c r="ALH40" s="595"/>
      <c r="ALI40" s="595"/>
      <c r="ALJ40" s="595"/>
      <c r="ALK40" s="595"/>
      <c r="ALL40" s="595"/>
      <c r="ALM40" s="595"/>
      <c r="ALN40" s="595"/>
      <c r="ALO40" s="595"/>
      <c r="ALP40" s="595"/>
      <c r="ALQ40" s="595"/>
      <c r="ALR40" s="595"/>
      <c r="ALS40" s="595"/>
      <c r="ALT40" s="595"/>
      <c r="ALU40" s="595"/>
      <c r="ALV40" s="595"/>
      <c r="ALW40" s="595"/>
      <c r="ALX40" s="595"/>
      <c r="ALY40" s="595"/>
      <c r="ALZ40" s="595"/>
      <c r="AMA40" s="595"/>
      <c r="AMB40" s="595"/>
      <c r="AMC40" s="595"/>
      <c r="AMD40" s="595"/>
      <c r="AME40" s="595"/>
      <c r="AMF40" s="595"/>
      <c r="AMG40" s="595"/>
      <c r="AMH40" s="595"/>
      <c r="AMI40" s="595"/>
      <c r="AMJ40" s="595"/>
      <c r="AMK40" s="595"/>
      <c r="AML40" s="595"/>
      <c r="AMM40" s="595"/>
      <c r="AMN40" s="595"/>
      <c r="AMO40" s="595"/>
      <c r="AMP40" s="595"/>
      <c r="AMQ40" s="595"/>
      <c r="AMR40" s="595"/>
      <c r="AMS40" s="595"/>
      <c r="AMT40" s="595"/>
      <c r="AMU40" s="595"/>
      <c r="AMV40" s="595"/>
      <c r="AMW40" s="595"/>
      <c r="AMX40" s="595"/>
      <c r="AMY40" s="595"/>
      <c r="AMZ40" s="595"/>
      <c r="ANA40" s="595"/>
      <c r="ANB40" s="595"/>
      <c r="ANC40" s="595"/>
      <c r="AND40" s="595"/>
      <c r="ANE40" s="595"/>
      <c r="ANF40" s="595"/>
      <c r="ANG40" s="595"/>
      <c r="ANH40" s="595"/>
      <c r="ANI40" s="595"/>
      <c r="ANJ40" s="595"/>
      <c r="ANK40" s="595"/>
      <c r="ANL40" s="595"/>
      <c r="ANM40" s="595"/>
      <c r="ANN40" s="595"/>
      <c r="ANO40" s="595"/>
      <c r="ANP40" s="595"/>
      <c r="ANQ40" s="595"/>
      <c r="ANR40" s="595"/>
      <c r="ANS40" s="595"/>
      <c r="ANT40" s="595"/>
      <c r="ANU40" s="595"/>
      <c r="ANV40" s="595"/>
      <c r="ANW40" s="595"/>
      <c r="ANX40" s="595"/>
      <c r="ANY40" s="595"/>
      <c r="ANZ40" s="595"/>
      <c r="AOA40" s="595"/>
      <c r="AOB40" s="595"/>
      <c r="AOC40" s="595"/>
      <c r="AOD40" s="595"/>
      <c r="AOE40" s="595"/>
      <c r="AOF40" s="595"/>
      <c r="AOG40" s="595"/>
      <c r="AOH40" s="595"/>
      <c r="AOI40" s="595"/>
      <c r="AOJ40" s="595"/>
      <c r="AOK40" s="595"/>
      <c r="AOL40" s="595"/>
      <c r="AOM40" s="595"/>
      <c r="AON40" s="595"/>
      <c r="AOO40" s="595"/>
      <c r="AOP40" s="595"/>
      <c r="AOQ40" s="595"/>
      <c r="AOR40" s="595"/>
      <c r="AOS40" s="595"/>
      <c r="AOT40" s="595"/>
      <c r="AOU40" s="595"/>
      <c r="AOV40" s="595"/>
      <c r="AOW40" s="595"/>
      <c r="AOX40" s="595"/>
      <c r="AOY40" s="595"/>
      <c r="AOZ40" s="595"/>
      <c r="APA40" s="595"/>
      <c r="APB40" s="595"/>
      <c r="APC40" s="595"/>
      <c r="APD40" s="595"/>
      <c r="APE40" s="595"/>
      <c r="APF40" s="595"/>
      <c r="APG40" s="595"/>
      <c r="APH40" s="595"/>
      <c r="API40" s="595"/>
      <c r="APJ40" s="595"/>
      <c r="APK40" s="595"/>
      <c r="APL40" s="595"/>
      <c r="APM40" s="595"/>
      <c r="APN40" s="595"/>
      <c r="APO40" s="595"/>
      <c r="APP40" s="595"/>
      <c r="APQ40" s="595"/>
      <c r="APR40" s="595"/>
      <c r="APS40" s="595"/>
      <c r="APT40" s="595"/>
      <c r="APU40" s="595"/>
      <c r="APV40" s="595"/>
      <c r="APW40" s="595"/>
      <c r="APX40" s="595"/>
      <c r="APY40" s="595"/>
      <c r="APZ40" s="595"/>
      <c r="AQA40" s="595"/>
      <c r="AQB40" s="595"/>
      <c r="AQC40" s="595"/>
      <c r="AQD40" s="595"/>
      <c r="AQE40" s="595"/>
      <c r="AQF40" s="595"/>
      <c r="AQG40" s="595"/>
      <c r="AQH40" s="595"/>
      <c r="AQI40" s="595"/>
      <c r="AQJ40" s="595"/>
      <c r="AQK40" s="595"/>
      <c r="AQL40" s="595"/>
      <c r="AQM40" s="595"/>
      <c r="AQN40" s="595"/>
      <c r="AQO40" s="595"/>
      <c r="AQP40" s="595"/>
      <c r="AQQ40" s="595"/>
      <c r="AQR40" s="595"/>
      <c r="AQS40" s="595"/>
      <c r="AQT40" s="595"/>
      <c r="AQU40" s="595"/>
      <c r="AQV40" s="595"/>
      <c r="AQW40" s="595"/>
      <c r="AQX40" s="595"/>
      <c r="AQY40" s="595"/>
      <c r="AQZ40" s="595"/>
      <c r="ARA40" s="595"/>
      <c r="ARB40" s="595"/>
      <c r="ARC40" s="595"/>
      <c r="ARD40" s="595"/>
      <c r="ARE40" s="595"/>
      <c r="ARF40" s="595"/>
      <c r="ARG40" s="595"/>
      <c r="ARH40" s="595"/>
      <c r="ARI40" s="595"/>
      <c r="ARJ40" s="595"/>
      <c r="ARK40" s="595"/>
      <c r="ARL40" s="595"/>
      <c r="ARM40" s="595"/>
      <c r="ARN40" s="595"/>
      <c r="ARO40" s="595"/>
      <c r="ARP40" s="595"/>
      <c r="ARQ40" s="595"/>
      <c r="ARR40" s="595"/>
      <c r="ARS40" s="595"/>
      <c r="ART40" s="595"/>
      <c r="ARU40" s="595"/>
      <c r="ARV40" s="595"/>
      <c r="ARW40" s="595"/>
      <c r="ARX40" s="595"/>
      <c r="ARY40" s="595"/>
      <c r="ARZ40" s="595"/>
      <c r="ASA40" s="595"/>
      <c r="ASB40" s="595"/>
      <c r="ASC40" s="595"/>
      <c r="ASD40" s="595"/>
      <c r="ASE40" s="595"/>
      <c r="ASF40" s="595"/>
      <c r="ASG40" s="595"/>
      <c r="ASH40" s="595"/>
      <c r="ASI40" s="595"/>
      <c r="ASJ40" s="595"/>
      <c r="ASK40" s="595"/>
      <c r="ASL40" s="595"/>
      <c r="ASM40" s="595"/>
      <c r="ASN40" s="595"/>
      <c r="ASO40" s="595"/>
      <c r="ASP40" s="595"/>
      <c r="ASQ40" s="595"/>
      <c r="ASR40" s="595"/>
      <c r="ASS40" s="595"/>
      <c r="AST40" s="595"/>
      <c r="ASU40" s="595"/>
      <c r="ASV40" s="595"/>
      <c r="ASW40" s="595"/>
      <c r="ASX40" s="595"/>
      <c r="ASY40" s="595"/>
      <c r="ASZ40" s="595"/>
      <c r="ATA40" s="595"/>
      <c r="ATB40" s="595"/>
      <c r="ATC40" s="595"/>
      <c r="ATD40" s="595"/>
      <c r="ATE40" s="595"/>
      <c r="ATF40" s="595"/>
      <c r="ATG40" s="595"/>
      <c r="ATH40" s="595"/>
      <c r="ATI40" s="595"/>
      <c r="ATJ40" s="595"/>
      <c r="ATK40" s="595"/>
      <c r="ATL40" s="595"/>
      <c r="ATM40" s="595"/>
      <c r="ATN40" s="595"/>
      <c r="ATO40" s="595"/>
      <c r="ATP40" s="595"/>
      <c r="ATQ40" s="595"/>
      <c r="ATR40" s="595"/>
      <c r="ATS40" s="595"/>
      <c r="ATT40" s="595"/>
      <c r="ATU40" s="595"/>
      <c r="ATV40" s="595"/>
      <c r="ATW40" s="595"/>
      <c r="ATX40" s="595"/>
      <c r="ATY40" s="595"/>
      <c r="ATZ40" s="595"/>
      <c r="AUA40" s="595"/>
      <c r="AUB40" s="595"/>
      <c r="AUC40" s="595"/>
      <c r="AUD40" s="595"/>
      <c r="AUE40" s="595"/>
      <c r="AUF40" s="595"/>
      <c r="AUG40" s="595"/>
      <c r="AUH40" s="595"/>
      <c r="AUI40" s="595"/>
      <c r="AUJ40" s="595"/>
      <c r="AUK40" s="595"/>
      <c r="AUL40" s="595"/>
      <c r="AUM40" s="595"/>
      <c r="AUN40" s="595"/>
      <c r="AUO40" s="595"/>
      <c r="AUP40" s="595"/>
      <c r="AUQ40" s="595"/>
      <c r="AUR40" s="595"/>
      <c r="AUS40" s="595"/>
      <c r="AUT40" s="595"/>
      <c r="AUU40" s="595"/>
      <c r="AUV40" s="595"/>
      <c r="AUW40" s="595"/>
      <c r="AUX40" s="595"/>
      <c r="AUY40" s="595"/>
      <c r="AUZ40" s="595"/>
      <c r="AVA40" s="595"/>
      <c r="AVB40" s="595"/>
      <c r="AVC40" s="595"/>
      <c r="AVD40" s="595"/>
      <c r="AVE40" s="595"/>
      <c r="AVF40" s="595"/>
      <c r="AVG40" s="595"/>
      <c r="AVH40" s="595"/>
      <c r="AVI40" s="595"/>
      <c r="AVJ40" s="595"/>
      <c r="AVK40" s="595"/>
      <c r="AVL40" s="595"/>
      <c r="AVM40" s="595"/>
      <c r="AVN40" s="595"/>
      <c r="AVO40" s="595"/>
      <c r="AVP40" s="595"/>
      <c r="AVQ40" s="595"/>
      <c r="AVR40" s="595"/>
      <c r="AVS40" s="595"/>
      <c r="AVT40" s="595"/>
      <c r="AVU40" s="595"/>
      <c r="AVV40" s="595"/>
      <c r="AVW40" s="595"/>
      <c r="AVX40" s="595"/>
      <c r="AVY40" s="595"/>
      <c r="AVZ40" s="595"/>
      <c r="AWA40" s="595"/>
      <c r="AWB40" s="595"/>
      <c r="AWC40" s="595"/>
      <c r="AWD40" s="595"/>
      <c r="AWE40" s="595"/>
      <c r="AWF40" s="595"/>
      <c r="AWG40" s="595"/>
      <c r="AWH40" s="595"/>
      <c r="AWI40" s="595"/>
      <c r="AWJ40" s="595"/>
      <c r="AWK40" s="595"/>
      <c r="AWL40" s="595"/>
      <c r="AWM40" s="595"/>
      <c r="AWN40" s="595"/>
      <c r="AWO40" s="595"/>
      <c r="AWP40" s="595"/>
      <c r="AWQ40" s="595"/>
      <c r="AWR40" s="595"/>
      <c r="AWS40" s="595"/>
      <c r="AWT40" s="595"/>
      <c r="AWU40" s="595"/>
      <c r="AWV40" s="595"/>
      <c r="AWW40" s="595"/>
      <c r="AWX40" s="595"/>
      <c r="AWY40" s="595"/>
      <c r="AWZ40" s="595"/>
      <c r="AXA40" s="595"/>
      <c r="AXB40" s="595"/>
      <c r="AXC40" s="595"/>
      <c r="AXD40" s="595"/>
      <c r="AXE40" s="595"/>
      <c r="AXF40" s="595"/>
      <c r="AXG40" s="595"/>
      <c r="AXH40" s="595"/>
      <c r="AXI40" s="595"/>
      <c r="AXJ40" s="595"/>
      <c r="AXK40" s="595"/>
      <c r="AXL40" s="595"/>
      <c r="AXM40" s="595"/>
      <c r="AXN40" s="595"/>
      <c r="AXO40" s="595"/>
      <c r="AXP40" s="595"/>
      <c r="AXQ40" s="595"/>
      <c r="AXR40" s="595"/>
      <c r="AXS40" s="595"/>
      <c r="AXT40" s="595"/>
      <c r="AXU40" s="595"/>
      <c r="AXV40" s="595"/>
      <c r="AXW40" s="595"/>
      <c r="AXX40" s="595"/>
      <c r="AXY40" s="595"/>
      <c r="AXZ40" s="595"/>
      <c r="AYA40" s="595"/>
      <c r="AYB40" s="595"/>
      <c r="AYC40" s="595"/>
      <c r="AYD40" s="595"/>
      <c r="AYE40" s="595"/>
      <c r="AYF40" s="595"/>
      <c r="AYG40" s="595"/>
      <c r="AYH40" s="595"/>
      <c r="AYI40" s="595"/>
      <c r="AYJ40" s="595"/>
      <c r="AYK40" s="595"/>
      <c r="AYL40" s="595"/>
      <c r="AYM40" s="595"/>
      <c r="AYN40" s="595"/>
      <c r="AYO40" s="595"/>
      <c r="AYP40" s="595"/>
      <c r="AYQ40" s="595"/>
      <c r="AYR40" s="595"/>
      <c r="AYS40" s="595"/>
      <c r="AYT40" s="595"/>
      <c r="AYU40" s="595"/>
      <c r="AYV40" s="595"/>
      <c r="AYW40" s="595"/>
      <c r="AYX40" s="595"/>
      <c r="AYY40" s="595"/>
      <c r="AYZ40" s="595"/>
      <c r="AZA40" s="595"/>
      <c r="AZB40" s="595"/>
      <c r="AZC40" s="595"/>
      <c r="AZD40" s="595"/>
      <c r="AZE40" s="595"/>
      <c r="AZF40" s="595"/>
      <c r="AZG40" s="595"/>
      <c r="AZH40" s="595"/>
      <c r="AZI40" s="595"/>
      <c r="AZJ40" s="595"/>
      <c r="AZK40" s="595"/>
      <c r="AZL40" s="595"/>
      <c r="AZM40" s="595"/>
      <c r="AZN40" s="595"/>
      <c r="AZO40" s="595"/>
      <c r="AZP40" s="595"/>
      <c r="AZQ40" s="595"/>
      <c r="AZR40" s="595"/>
      <c r="AZS40" s="595"/>
      <c r="AZT40" s="595"/>
      <c r="AZU40" s="595"/>
      <c r="AZV40" s="595"/>
      <c r="AZW40" s="595"/>
      <c r="AZX40" s="595"/>
      <c r="AZY40" s="595"/>
      <c r="AZZ40" s="595"/>
      <c r="BAA40" s="595"/>
      <c r="BAB40" s="595"/>
      <c r="BAC40" s="595"/>
      <c r="BAD40" s="595"/>
      <c r="BAE40" s="595"/>
      <c r="BAF40" s="595"/>
      <c r="BAG40" s="595"/>
      <c r="BAH40" s="595"/>
      <c r="BAI40" s="595"/>
      <c r="BAJ40" s="595"/>
      <c r="BAK40" s="595"/>
      <c r="BAL40" s="595"/>
      <c r="BAM40" s="595"/>
      <c r="BAN40" s="595"/>
      <c r="BAO40" s="595"/>
      <c r="BAP40" s="595"/>
      <c r="BAQ40" s="595"/>
      <c r="BAR40" s="595"/>
      <c r="BAS40" s="595"/>
      <c r="BAT40" s="595"/>
      <c r="BAU40" s="595"/>
      <c r="BAV40" s="595"/>
      <c r="BAW40" s="595"/>
      <c r="BAX40" s="595"/>
      <c r="BAY40" s="595"/>
      <c r="BAZ40" s="595"/>
      <c r="BBA40" s="595"/>
      <c r="BBB40" s="595"/>
      <c r="BBC40" s="595"/>
      <c r="BBD40" s="595"/>
      <c r="BBE40" s="595"/>
      <c r="BBF40" s="595"/>
      <c r="BBG40" s="595"/>
      <c r="BBH40" s="595"/>
      <c r="BBI40" s="595"/>
      <c r="BBJ40" s="595"/>
      <c r="BBK40" s="595"/>
      <c r="BBL40" s="595"/>
      <c r="BBM40" s="595"/>
      <c r="BBN40" s="595"/>
      <c r="BBO40" s="595"/>
      <c r="BBP40" s="595"/>
      <c r="BBQ40" s="595"/>
      <c r="BBR40" s="595"/>
      <c r="BBS40" s="595"/>
      <c r="BBT40" s="595"/>
      <c r="BBU40" s="595"/>
      <c r="BBV40" s="595"/>
      <c r="BBW40" s="595"/>
      <c r="BBX40" s="595"/>
      <c r="BBY40" s="595"/>
      <c r="BBZ40" s="595"/>
      <c r="BCA40" s="595"/>
      <c r="BCB40" s="595"/>
      <c r="BCC40" s="595"/>
      <c r="BCD40" s="595"/>
      <c r="BCE40" s="595"/>
      <c r="BCF40" s="595"/>
      <c r="BCG40" s="595"/>
      <c r="BCH40" s="595"/>
      <c r="BCI40" s="595"/>
      <c r="BCJ40" s="595"/>
      <c r="BCK40" s="595"/>
      <c r="BCL40" s="595"/>
      <c r="BCM40" s="595"/>
      <c r="BCN40" s="595"/>
      <c r="BCO40" s="595"/>
      <c r="BCP40" s="595"/>
      <c r="BCQ40" s="595"/>
      <c r="BCR40" s="595"/>
      <c r="BCS40" s="595"/>
      <c r="BCT40" s="595"/>
      <c r="BCU40" s="595"/>
      <c r="BCV40" s="595"/>
      <c r="BCW40" s="595"/>
      <c r="BCX40" s="595"/>
      <c r="BCY40" s="595"/>
      <c r="BCZ40" s="595"/>
      <c r="BDA40" s="595"/>
      <c r="BDB40" s="595"/>
      <c r="BDC40" s="595"/>
      <c r="BDD40" s="595"/>
      <c r="BDE40" s="595"/>
      <c r="BDF40" s="595"/>
      <c r="BDG40" s="595"/>
      <c r="BDH40" s="595"/>
      <c r="BDI40" s="595"/>
      <c r="BDJ40" s="595"/>
      <c r="BDK40" s="595"/>
      <c r="BDL40" s="595"/>
      <c r="BDM40" s="595"/>
      <c r="BDN40" s="595"/>
      <c r="BDO40" s="595"/>
      <c r="BDP40" s="595"/>
      <c r="BDQ40" s="595"/>
      <c r="BDR40" s="595"/>
      <c r="BDS40" s="595"/>
      <c r="BDT40" s="595"/>
      <c r="BDU40" s="595"/>
      <c r="BDV40" s="595"/>
      <c r="BDW40" s="595"/>
      <c r="BDX40" s="595"/>
      <c r="BDY40" s="595"/>
      <c r="BDZ40" s="595"/>
      <c r="BEA40" s="595"/>
      <c r="BEB40" s="595"/>
      <c r="BEC40" s="595"/>
      <c r="BED40" s="595"/>
      <c r="BEE40" s="595"/>
      <c r="BEF40" s="595"/>
      <c r="BEG40" s="595"/>
      <c r="BEH40" s="595"/>
      <c r="BEI40" s="595"/>
      <c r="BEJ40" s="595"/>
      <c r="BEK40" s="595"/>
      <c r="BEL40" s="595"/>
      <c r="BEM40" s="595"/>
      <c r="BEN40" s="595"/>
      <c r="BEO40" s="595"/>
      <c r="BEP40" s="595"/>
      <c r="BEQ40" s="595"/>
      <c r="BER40" s="595"/>
      <c r="BES40" s="595"/>
      <c r="BET40" s="595"/>
      <c r="BEU40" s="595"/>
      <c r="BEV40" s="595"/>
      <c r="BEW40" s="595"/>
      <c r="BEX40" s="595"/>
      <c r="BEY40" s="595"/>
      <c r="BEZ40" s="595"/>
      <c r="BFA40" s="595"/>
      <c r="BFB40" s="595"/>
      <c r="BFC40" s="595"/>
      <c r="BFD40" s="595"/>
      <c r="BFE40" s="595"/>
      <c r="BFF40" s="595"/>
      <c r="BFG40" s="595"/>
      <c r="BFH40" s="595"/>
      <c r="BFI40" s="595"/>
      <c r="BFJ40" s="595"/>
      <c r="BFK40" s="595"/>
      <c r="BFL40" s="595"/>
      <c r="BFM40" s="595"/>
      <c r="BFN40" s="595"/>
      <c r="BFO40" s="595"/>
      <c r="BFP40" s="595"/>
      <c r="BFQ40" s="595"/>
      <c r="BFR40" s="595"/>
      <c r="BFS40" s="595"/>
      <c r="BFT40" s="595"/>
      <c r="BFU40" s="595"/>
      <c r="BFV40" s="595"/>
      <c r="BFW40" s="595"/>
      <c r="BFX40" s="595"/>
      <c r="BFY40" s="595"/>
      <c r="BFZ40" s="595"/>
      <c r="BGA40" s="595"/>
      <c r="BGB40" s="595"/>
      <c r="BGC40" s="595"/>
      <c r="BGD40" s="595"/>
      <c r="BGE40" s="595"/>
      <c r="BGF40" s="595"/>
      <c r="BGG40" s="595"/>
      <c r="BGH40" s="595"/>
      <c r="BGI40" s="595"/>
      <c r="BGJ40" s="595"/>
      <c r="BGK40" s="595"/>
      <c r="BGL40" s="595"/>
      <c r="BGM40" s="595"/>
      <c r="BGN40" s="595"/>
      <c r="BGO40" s="595"/>
      <c r="BGP40" s="595"/>
      <c r="BGQ40" s="595"/>
      <c r="BGR40" s="595"/>
      <c r="BGS40" s="595"/>
      <c r="BGT40" s="595"/>
      <c r="BGU40" s="595"/>
      <c r="BGV40" s="595"/>
      <c r="BGW40" s="595"/>
      <c r="BGX40" s="595"/>
      <c r="BGY40" s="595"/>
      <c r="BGZ40" s="595"/>
      <c r="BHA40" s="595"/>
      <c r="BHB40" s="595"/>
      <c r="BHC40" s="595"/>
      <c r="BHD40" s="595"/>
      <c r="BHE40" s="595"/>
      <c r="BHF40" s="595"/>
      <c r="BHG40" s="595"/>
      <c r="BHH40" s="595"/>
      <c r="BHI40" s="595"/>
      <c r="BHJ40" s="595"/>
      <c r="BHK40" s="595"/>
      <c r="BHL40" s="595"/>
      <c r="BHM40" s="595"/>
      <c r="BHN40" s="595"/>
      <c r="BHO40" s="595"/>
      <c r="BHP40" s="595"/>
      <c r="BHQ40" s="595"/>
      <c r="BHR40" s="595"/>
      <c r="BHS40" s="595"/>
      <c r="BHT40" s="595"/>
      <c r="BHU40" s="595"/>
      <c r="BHV40" s="595"/>
      <c r="BHW40" s="595"/>
      <c r="BHX40" s="595"/>
      <c r="BHY40" s="595"/>
      <c r="BHZ40" s="595"/>
      <c r="BIA40" s="595"/>
      <c r="BIB40" s="595"/>
      <c r="BIC40" s="595"/>
      <c r="BID40" s="595"/>
      <c r="BIE40" s="595"/>
      <c r="BIF40" s="595"/>
      <c r="BIG40" s="595"/>
      <c r="BIH40" s="595"/>
      <c r="BII40" s="595"/>
      <c r="BIJ40" s="595"/>
      <c r="BIK40" s="595"/>
      <c r="BIL40" s="595"/>
      <c r="BIM40" s="595"/>
      <c r="BIN40" s="595"/>
      <c r="BIO40" s="595"/>
      <c r="BIP40" s="595"/>
      <c r="BIQ40" s="595"/>
      <c r="BIR40" s="595"/>
      <c r="BIS40" s="595"/>
      <c r="BIT40" s="595"/>
      <c r="BIU40" s="595"/>
      <c r="BIV40" s="595"/>
      <c r="BIW40" s="595"/>
      <c r="BIX40" s="595"/>
      <c r="BIY40" s="595"/>
      <c r="BIZ40" s="595"/>
      <c r="BJA40" s="595"/>
      <c r="BJB40" s="595"/>
      <c r="BJC40" s="595"/>
      <c r="BJD40" s="595"/>
      <c r="BJE40" s="595"/>
      <c r="BJF40" s="595"/>
      <c r="BJG40" s="595"/>
      <c r="BJH40" s="595"/>
      <c r="BJI40" s="595"/>
      <c r="BJJ40" s="595"/>
      <c r="BJK40" s="595"/>
      <c r="BJL40" s="595"/>
      <c r="BJM40" s="595"/>
      <c r="BJN40" s="595"/>
      <c r="BJO40" s="595"/>
      <c r="BJP40" s="595"/>
      <c r="BJQ40" s="595"/>
      <c r="BJR40" s="595"/>
      <c r="BJS40" s="595"/>
      <c r="BJT40" s="595"/>
      <c r="BJU40" s="595"/>
      <c r="BJV40" s="595"/>
      <c r="BJW40" s="595"/>
      <c r="BJX40" s="595"/>
      <c r="BJY40" s="595"/>
      <c r="BJZ40" s="595"/>
      <c r="BKA40" s="595"/>
      <c r="BKB40" s="595"/>
      <c r="BKC40" s="595"/>
      <c r="BKD40" s="595"/>
      <c r="BKE40" s="595"/>
      <c r="BKF40" s="595"/>
      <c r="BKG40" s="595"/>
      <c r="BKH40" s="595"/>
      <c r="BKI40" s="595"/>
      <c r="BKJ40" s="595"/>
      <c r="BKK40" s="595"/>
      <c r="BKL40" s="595"/>
      <c r="BKM40" s="595"/>
      <c r="BKN40" s="595"/>
      <c r="BKO40" s="595"/>
      <c r="BKP40" s="595"/>
      <c r="BKQ40" s="595"/>
      <c r="BKR40" s="595"/>
      <c r="BKS40" s="595"/>
      <c r="BKT40" s="595"/>
      <c r="BKU40" s="595"/>
      <c r="BKV40" s="595"/>
      <c r="BKW40" s="595"/>
      <c r="BKX40" s="595"/>
      <c r="BKY40" s="595"/>
      <c r="BKZ40" s="595"/>
      <c r="BLA40" s="595"/>
      <c r="BLB40" s="595"/>
      <c r="BLC40" s="595"/>
      <c r="BLD40" s="595"/>
      <c r="BLE40" s="595"/>
      <c r="BLF40" s="595"/>
      <c r="BLG40" s="595"/>
      <c r="BLH40" s="595"/>
      <c r="BLI40" s="595"/>
      <c r="BLJ40" s="595"/>
      <c r="BLK40" s="595"/>
      <c r="BLL40" s="595"/>
      <c r="BLM40" s="595"/>
      <c r="BLN40" s="595"/>
      <c r="BLO40" s="595"/>
      <c r="BLP40" s="595"/>
      <c r="BLQ40" s="595"/>
      <c r="BLR40" s="595"/>
      <c r="BLS40" s="595"/>
      <c r="BLT40" s="595"/>
      <c r="BLU40" s="595"/>
      <c r="BLV40" s="595"/>
      <c r="BLW40" s="595"/>
      <c r="BLX40" s="595"/>
      <c r="BLY40" s="595"/>
      <c r="BLZ40" s="595"/>
      <c r="BMA40" s="595"/>
      <c r="BMB40" s="595"/>
      <c r="BMC40" s="595"/>
      <c r="BMD40" s="595"/>
      <c r="BME40" s="595"/>
      <c r="BMF40" s="595"/>
      <c r="BMG40" s="595"/>
      <c r="BMH40" s="595"/>
      <c r="BMI40" s="595"/>
      <c r="BMJ40" s="595"/>
      <c r="BMK40" s="595"/>
      <c r="BML40" s="595"/>
      <c r="BMM40" s="595"/>
      <c r="BMN40" s="595"/>
      <c r="BMO40" s="595"/>
      <c r="BMP40" s="595"/>
      <c r="BMQ40" s="595"/>
      <c r="BMR40" s="595"/>
      <c r="BMS40" s="595"/>
      <c r="BMT40" s="595"/>
      <c r="BMU40" s="595"/>
      <c r="BMV40" s="595"/>
      <c r="BMW40" s="595"/>
      <c r="BMX40" s="595"/>
      <c r="BMY40" s="595"/>
      <c r="BMZ40" s="595"/>
      <c r="BNA40" s="595"/>
      <c r="BNB40" s="595"/>
      <c r="BNC40" s="595"/>
      <c r="BND40" s="595"/>
      <c r="BNE40" s="595"/>
      <c r="BNF40" s="595"/>
      <c r="BNG40" s="595"/>
      <c r="BNH40" s="595"/>
      <c r="BNI40" s="595"/>
      <c r="BNJ40" s="595"/>
      <c r="BNK40" s="595"/>
      <c r="BNL40" s="595"/>
      <c r="BNM40" s="595"/>
      <c r="BNN40" s="595"/>
      <c r="BNO40" s="595"/>
      <c r="BNP40" s="595"/>
      <c r="BNQ40" s="595"/>
      <c r="BNR40" s="595"/>
      <c r="BNS40" s="595"/>
      <c r="BNT40" s="595"/>
      <c r="BNU40" s="595"/>
      <c r="BNV40" s="595"/>
      <c r="BNW40" s="595"/>
      <c r="BNX40" s="595"/>
      <c r="BNY40" s="595"/>
      <c r="BNZ40" s="595"/>
      <c r="BOA40" s="595"/>
      <c r="BOB40" s="595"/>
      <c r="BOC40" s="595"/>
      <c r="BOD40" s="595"/>
      <c r="BOE40" s="595"/>
      <c r="BOF40" s="595"/>
      <c r="BOG40" s="595"/>
      <c r="BOH40" s="595"/>
      <c r="BOI40" s="595"/>
      <c r="BOJ40" s="595"/>
      <c r="BOK40" s="595"/>
      <c r="BOL40" s="595"/>
      <c r="BOM40" s="595"/>
      <c r="BON40" s="595"/>
      <c r="BOO40" s="595"/>
      <c r="BOP40" s="595"/>
      <c r="BOQ40" s="595"/>
      <c r="BOR40" s="595"/>
      <c r="BOS40" s="595"/>
      <c r="BOT40" s="595"/>
      <c r="BOU40" s="595"/>
      <c r="BOV40" s="595"/>
      <c r="BOW40" s="595"/>
      <c r="BOX40" s="595"/>
      <c r="BOY40" s="595"/>
      <c r="BOZ40" s="595"/>
      <c r="BPA40" s="595"/>
      <c r="BPB40" s="595"/>
      <c r="BPC40" s="595"/>
      <c r="BPD40" s="595"/>
      <c r="BPE40" s="595"/>
      <c r="BPF40" s="595"/>
      <c r="BPG40" s="595"/>
      <c r="BPH40" s="595"/>
      <c r="BPI40" s="595"/>
      <c r="BPJ40" s="595"/>
      <c r="BPK40" s="595"/>
      <c r="BPL40" s="595"/>
      <c r="BPM40" s="595"/>
      <c r="BPN40" s="595"/>
      <c r="BPO40" s="595"/>
      <c r="BPP40" s="595"/>
      <c r="BPQ40" s="595"/>
      <c r="BPR40" s="595"/>
      <c r="BPS40" s="595"/>
      <c r="BPT40" s="595"/>
      <c r="BPU40" s="595"/>
      <c r="BPV40" s="595"/>
      <c r="BPW40" s="595"/>
      <c r="BPX40" s="595"/>
      <c r="BPY40" s="595"/>
      <c r="BPZ40" s="595"/>
      <c r="BQA40" s="595"/>
      <c r="BQB40" s="595"/>
      <c r="BQC40" s="595"/>
      <c r="BQD40" s="595"/>
      <c r="BQE40" s="595"/>
      <c r="BQF40" s="595"/>
      <c r="BQG40" s="595"/>
      <c r="BQH40" s="595"/>
      <c r="BQI40" s="595"/>
      <c r="BQJ40" s="595"/>
      <c r="BQK40" s="595"/>
      <c r="BQL40" s="595"/>
      <c r="BQM40" s="595"/>
      <c r="BQN40" s="595"/>
      <c r="BQO40" s="595"/>
      <c r="BQP40" s="595"/>
      <c r="BQQ40" s="595"/>
      <c r="BQR40" s="595"/>
      <c r="BQS40" s="595"/>
      <c r="BQT40" s="595"/>
      <c r="BQU40" s="595"/>
      <c r="BQV40" s="595"/>
      <c r="BQW40" s="595"/>
      <c r="BQX40" s="595"/>
      <c r="BQY40" s="595"/>
      <c r="BQZ40" s="595"/>
      <c r="BRA40" s="595"/>
      <c r="BRB40" s="595"/>
      <c r="BRC40" s="595"/>
      <c r="BRD40" s="595"/>
      <c r="BRE40" s="595"/>
      <c r="BRF40" s="595"/>
      <c r="BRG40" s="595"/>
      <c r="BRH40" s="595"/>
      <c r="BRI40" s="595"/>
      <c r="BRJ40" s="595"/>
      <c r="BRK40" s="595"/>
      <c r="BRL40" s="595"/>
      <c r="BRM40" s="595"/>
      <c r="BRN40" s="595"/>
      <c r="BRO40" s="595"/>
      <c r="BRP40" s="595"/>
      <c r="BRQ40" s="595"/>
      <c r="BRR40" s="595"/>
      <c r="BRS40" s="595"/>
      <c r="BRT40" s="595"/>
      <c r="BRU40" s="595"/>
      <c r="BRV40" s="595"/>
      <c r="BRW40" s="595"/>
      <c r="BRX40" s="595"/>
      <c r="BRY40" s="595"/>
      <c r="BRZ40" s="595"/>
      <c r="BSA40" s="595"/>
      <c r="BSB40" s="595"/>
      <c r="BSC40" s="595"/>
      <c r="BSD40" s="595"/>
      <c r="BSE40" s="595"/>
      <c r="BSF40" s="595"/>
      <c r="BSG40" s="595"/>
      <c r="BSH40" s="595"/>
      <c r="BSI40" s="595"/>
      <c r="BSJ40" s="595"/>
      <c r="BSK40" s="595"/>
      <c r="BSL40" s="595"/>
      <c r="BSM40" s="595"/>
      <c r="BSN40" s="595"/>
      <c r="BSO40" s="595"/>
      <c r="BSP40" s="595"/>
      <c r="BSQ40" s="595"/>
      <c r="BSR40" s="595"/>
      <c r="BSS40" s="595"/>
      <c r="BST40" s="595"/>
      <c r="BSU40" s="595"/>
      <c r="BSV40" s="595"/>
      <c r="BSW40" s="595"/>
      <c r="BSX40" s="595"/>
      <c r="BSY40" s="595"/>
      <c r="BSZ40" s="595"/>
      <c r="BTA40" s="595"/>
      <c r="BTB40" s="595"/>
      <c r="BTC40" s="595"/>
      <c r="BTD40" s="595"/>
      <c r="BTE40" s="595"/>
      <c r="BTF40" s="595"/>
      <c r="BTG40" s="595"/>
      <c r="BTH40" s="595"/>
      <c r="BTI40" s="595"/>
      <c r="BTJ40" s="595"/>
      <c r="BTK40" s="595"/>
      <c r="BTL40" s="595"/>
      <c r="BTM40" s="595"/>
      <c r="BTN40" s="595"/>
      <c r="BTO40" s="595"/>
      <c r="BTP40" s="595"/>
      <c r="BTQ40" s="595"/>
      <c r="BTR40" s="595"/>
      <c r="BTS40" s="595"/>
      <c r="BTT40" s="595"/>
      <c r="BTU40" s="595"/>
      <c r="BTV40" s="595"/>
      <c r="BTW40" s="595"/>
      <c r="BTX40" s="595"/>
      <c r="BTY40" s="595"/>
      <c r="BTZ40" s="595"/>
      <c r="BUA40" s="595"/>
      <c r="BUB40" s="595"/>
      <c r="BUC40" s="595"/>
      <c r="BUD40" s="595"/>
      <c r="BUE40" s="595"/>
      <c r="BUF40" s="595"/>
      <c r="BUG40" s="595"/>
      <c r="BUH40" s="595"/>
      <c r="BUI40" s="595"/>
      <c r="BUJ40" s="595"/>
      <c r="BUK40" s="595"/>
      <c r="BUL40" s="595"/>
      <c r="BUM40" s="595"/>
      <c r="BUN40" s="595"/>
      <c r="BUO40" s="595"/>
      <c r="BUP40" s="595"/>
      <c r="BUQ40" s="595"/>
      <c r="BUR40" s="595"/>
      <c r="BUS40" s="595"/>
      <c r="BUT40" s="595"/>
      <c r="BUU40" s="595"/>
      <c r="BUV40" s="595"/>
      <c r="BUW40" s="595"/>
      <c r="BUX40" s="595"/>
      <c r="BUY40" s="595"/>
      <c r="BUZ40" s="595"/>
      <c r="BVA40" s="595"/>
      <c r="BVB40" s="595"/>
      <c r="BVC40" s="595"/>
      <c r="BVD40" s="595"/>
      <c r="BVE40" s="595"/>
      <c r="BVF40" s="595"/>
      <c r="BVG40" s="595"/>
      <c r="BVH40" s="595"/>
      <c r="BVI40" s="595"/>
      <c r="BVJ40" s="595"/>
      <c r="BVK40" s="595"/>
      <c r="BVL40" s="595"/>
      <c r="BVM40" s="595"/>
      <c r="BVN40" s="595"/>
      <c r="BVO40" s="595"/>
      <c r="BVP40" s="595"/>
      <c r="BVQ40" s="595"/>
      <c r="BVR40" s="595"/>
      <c r="BVS40" s="595"/>
      <c r="BVT40" s="595"/>
      <c r="BVU40" s="595"/>
      <c r="BVV40" s="595"/>
      <c r="BVW40" s="595"/>
      <c r="BVX40" s="595"/>
      <c r="BVY40" s="595"/>
      <c r="BVZ40" s="595"/>
      <c r="BWA40" s="595"/>
      <c r="BWB40" s="595"/>
      <c r="BWC40" s="595"/>
      <c r="BWD40" s="595"/>
      <c r="BWE40" s="595"/>
      <c r="BWF40" s="595"/>
      <c r="BWG40" s="595"/>
      <c r="BWH40" s="595"/>
      <c r="BWI40" s="595"/>
      <c r="BWJ40" s="595"/>
      <c r="BWK40" s="595"/>
      <c r="BWL40" s="595"/>
      <c r="BWM40" s="595"/>
      <c r="BWN40" s="595"/>
      <c r="BWO40" s="595"/>
      <c r="BWP40" s="595"/>
      <c r="BWQ40" s="595"/>
      <c r="BWR40" s="595"/>
      <c r="BWS40" s="595"/>
      <c r="BWT40" s="595"/>
      <c r="BWU40" s="595"/>
      <c r="BWV40" s="595"/>
      <c r="BWW40" s="595"/>
      <c r="BWX40" s="595"/>
      <c r="BWY40" s="595"/>
      <c r="BWZ40" s="595"/>
      <c r="BXA40" s="595"/>
      <c r="BXB40" s="595"/>
      <c r="BXC40" s="595"/>
      <c r="BXD40" s="595"/>
      <c r="BXE40" s="595"/>
      <c r="BXF40" s="595"/>
      <c r="BXG40" s="595"/>
      <c r="BXH40" s="595"/>
      <c r="BXI40" s="595"/>
      <c r="BXJ40" s="595"/>
      <c r="BXK40" s="595"/>
      <c r="BXL40" s="595"/>
      <c r="BXM40" s="595"/>
      <c r="BXN40" s="595"/>
      <c r="BXO40" s="595"/>
      <c r="BXP40" s="595"/>
      <c r="BXQ40" s="595"/>
      <c r="BXR40" s="595"/>
      <c r="BXS40" s="595"/>
      <c r="BXT40" s="595"/>
      <c r="BXU40" s="595"/>
      <c r="BXV40" s="595"/>
      <c r="BXW40" s="595"/>
      <c r="BXX40" s="595"/>
      <c r="BXY40" s="595"/>
      <c r="BXZ40" s="595"/>
      <c r="BYA40" s="595"/>
      <c r="BYB40" s="595"/>
      <c r="BYC40" s="595"/>
      <c r="BYD40" s="595"/>
      <c r="BYE40" s="595"/>
      <c r="BYF40" s="595"/>
      <c r="BYG40" s="595"/>
      <c r="BYH40" s="595"/>
      <c r="BYI40" s="595"/>
      <c r="BYJ40" s="595"/>
      <c r="BYK40" s="595"/>
      <c r="BYL40" s="595"/>
      <c r="BYM40" s="595"/>
      <c r="BYN40" s="595"/>
      <c r="BYO40" s="595"/>
      <c r="BYP40" s="595"/>
      <c r="BYQ40" s="595"/>
      <c r="BYR40" s="595"/>
      <c r="BYS40" s="595"/>
      <c r="BYT40" s="595"/>
      <c r="BYU40" s="595"/>
      <c r="BYV40" s="595"/>
      <c r="BYW40" s="595"/>
      <c r="BYX40" s="595"/>
      <c r="BYY40" s="595"/>
      <c r="BYZ40" s="595"/>
      <c r="BZA40" s="595"/>
      <c r="BZB40" s="595"/>
      <c r="BZC40" s="595"/>
      <c r="BZD40" s="595"/>
      <c r="BZE40" s="595"/>
      <c r="BZF40" s="595"/>
      <c r="BZG40" s="595"/>
      <c r="BZH40" s="595"/>
      <c r="BZI40" s="595"/>
      <c r="BZJ40" s="595"/>
      <c r="BZK40" s="595"/>
      <c r="BZL40" s="595"/>
      <c r="BZM40" s="595"/>
      <c r="BZN40" s="595"/>
      <c r="BZO40" s="595"/>
      <c r="BZP40" s="595"/>
      <c r="BZQ40" s="595"/>
      <c r="BZR40" s="595"/>
      <c r="BZS40" s="595"/>
      <c r="BZT40" s="595"/>
      <c r="BZU40" s="595"/>
      <c r="BZV40" s="595"/>
      <c r="BZW40" s="595"/>
      <c r="BZX40" s="595"/>
      <c r="BZY40" s="595"/>
      <c r="BZZ40" s="595"/>
      <c r="CAA40" s="595"/>
      <c r="CAB40" s="595"/>
      <c r="CAC40" s="595"/>
      <c r="CAD40" s="595"/>
      <c r="CAE40" s="595"/>
      <c r="CAF40" s="595"/>
      <c r="CAG40" s="595"/>
      <c r="CAH40" s="595"/>
      <c r="CAI40" s="595"/>
      <c r="CAJ40" s="595"/>
      <c r="CAK40" s="595"/>
      <c r="CAL40" s="595"/>
      <c r="CAM40" s="595"/>
      <c r="CAN40" s="595"/>
      <c r="CAO40" s="595"/>
      <c r="CAP40" s="595"/>
      <c r="CAQ40" s="595"/>
      <c r="CAR40" s="595"/>
      <c r="CAS40" s="595"/>
      <c r="CAT40" s="595"/>
      <c r="CAU40" s="595"/>
      <c r="CAV40" s="595"/>
      <c r="CAW40" s="595"/>
      <c r="CAX40" s="595"/>
      <c r="CAY40" s="595"/>
      <c r="CAZ40" s="595"/>
      <c r="CBA40" s="595"/>
      <c r="CBB40" s="595"/>
      <c r="CBC40" s="595"/>
      <c r="CBD40" s="595"/>
      <c r="CBE40" s="595"/>
      <c r="CBF40" s="595"/>
      <c r="CBG40" s="595"/>
      <c r="CBH40" s="595"/>
      <c r="CBI40" s="595"/>
      <c r="CBJ40" s="595"/>
      <c r="CBK40" s="595"/>
      <c r="CBL40" s="595"/>
      <c r="CBM40" s="595"/>
      <c r="CBN40" s="595"/>
      <c r="CBO40" s="595"/>
      <c r="CBP40" s="595"/>
      <c r="CBQ40" s="595"/>
      <c r="CBR40" s="595"/>
      <c r="CBS40" s="595"/>
      <c r="CBT40" s="595"/>
      <c r="CBU40" s="595"/>
      <c r="CBV40" s="595"/>
      <c r="CBW40" s="595"/>
      <c r="CBX40" s="595"/>
      <c r="CBY40" s="595"/>
      <c r="CBZ40" s="595"/>
      <c r="CCA40" s="595"/>
      <c r="CCB40" s="595"/>
      <c r="CCC40" s="595"/>
      <c r="CCD40" s="595"/>
      <c r="CCE40" s="595"/>
      <c r="CCF40" s="595"/>
      <c r="CCG40" s="595"/>
      <c r="CCH40" s="595"/>
      <c r="CCI40" s="595"/>
      <c r="CCJ40" s="595"/>
      <c r="CCK40" s="595"/>
      <c r="CCL40" s="595"/>
      <c r="CCM40" s="595"/>
      <c r="CCN40" s="595"/>
      <c r="CCO40" s="595"/>
      <c r="CCP40" s="595"/>
      <c r="CCQ40" s="595"/>
      <c r="CCR40" s="595"/>
      <c r="CCS40" s="595"/>
      <c r="CCT40" s="595"/>
      <c r="CCU40" s="595"/>
      <c r="CCV40" s="595"/>
      <c r="CCW40" s="595"/>
      <c r="CCX40" s="595"/>
      <c r="CCY40" s="595"/>
      <c r="CCZ40" s="595"/>
      <c r="CDA40" s="595"/>
      <c r="CDB40" s="595"/>
      <c r="CDC40" s="595"/>
      <c r="CDD40" s="595"/>
      <c r="CDE40" s="595"/>
      <c r="CDF40" s="595"/>
      <c r="CDG40" s="595"/>
      <c r="CDH40" s="595"/>
      <c r="CDI40" s="595"/>
      <c r="CDJ40" s="595"/>
      <c r="CDK40" s="595"/>
      <c r="CDL40" s="595"/>
      <c r="CDM40" s="595"/>
      <c r="CDN40" s="595"/>
      <c r="CDO40" s="595"/>
      <c r="CDP40" s="595"/>
      <c r="CDQ40" s="595"/>
      <c r="CDR40" s="595"/>
      <c r="CDS40" s="595"/>
      <c r="CDT40" s="595"/>
      <c r="CDU40" s="595"/>
      <c r="CDV40" s="595"/>
      <c r="CDW40" s="595"/>
      <c r="CDX40" s="595"/>
      <c r="CDY40" s="595"/>
      <c r="CDZ40" s="595"/>
      <c r="CEA40" s="595"/>
      <c r="CEB40" s="595"/>
      <c r="CEC40" s="595"/>
      <c r="CED40" s="595"/>
      <c r="CEE40" s="595"/>
      <c r="CEF40" s="595"/>
      <c r="CEG40" s="595"/>
      <c r="CEH40" s="595"/>
      <c r="CEI40" s="595"/>
      <c r="CEJ40" s="595"/>
      <c r="CEK40" s="595"/>
      <c r="CEL40" s="595"/>
      <c r="CEM40" s="595"/>
      <c r="CEN40" s="595"/>
      <c r="CEO40" s="595"/>
      <c r="CEP40" s="595"/>
      <c r="CEQ40" s="595"/>
      <c r="CER40" s="595"/>
      <c r="CES40" s="595"/>
      <c r="CET40" s="595"/>
      <c r="CEU40" s="595"/>
      <c r="CEV40" s="595"/>
      <c r="CEW40" s="595"/>
      <c r="CEX40" s="595"/>
      <c r="CEY40" s="595"/>
      <c r="CEZ40" s="595"/>
      <c r="CFA40" s="595"/>
      <c r="CFB40" s="595"/>
      <c r="CFC40" s="595"/>
      <c r="CFD40" s="595"/>
      <c r="CFE40" s="595"/>
      <c r="CFF40" s="595"/>
      <c r="CFG40" s="595"/>
      <c r="CFH40" s="595"/>
      <c r="CFI40" s="595"/>
      <c r="CFJ40" s="595"/>
      <c r="CFK40" s="595"/>
      <c r="CFL40" s="595"/>
      <c r="CFM40" s="595"/>
      <c r="CFN40" s="595"/>
      <c r="CFO40" s="595"/>
      <c r="CFP40" s="595"/>
      <c r="CFQ40" s="595"/>
      <c r="CFR40" s="595"/>
      <c r="CFS40" s="595"/>
      <c r="CFT40" s="595"/>
      <c r="CFU40" s="595"/>
      <c r="CFV40" s="595"/>
      <c r="CFW40" s="595"/>
      <c r="CFX40" s="595"/>
      <c r="CFY40" s="595"/>
      <c r="CFZ40" s="595"/>
      <c r="CGA40" s="595"/>
      <c r="CGB40" s="595"/>
      <c r="CGC40" s="595"/>
      <c r="CGD40" s="595"/>
      <c r="CGE40" s="595"/>
      <c r="CGF40" s="595"/>
      <c r="CGG40" s="595"/>
      <c r="CGH40" s="595"/>
      <c r="CGI40" s="595"/>
      <c r="CGJ40" s="595"/>
      <c r="CGK40" s="595"/>
      <c r="CGL40" s="595"/>
      <c r="CGM40" s="595"/>
      <c r="CGN40" s="595"/>
      <c r="CGO40" s="595"/>
      <c r="CGP40" s="595"/>
      <c r="CGQ40" s="595"/>
      <c r="CGR40" s="595"/>
      <c r="CGS40" s="595"/>
      <c r="CGT40" s="595"/>
      <c r="CGU40" s="595"/>
      <c r="CGV40" s="595"/>
      <c r="CGW40" s="595"/>
      <c r="CGX40" s="595"/>
      <c r="CGY40" s="595"/>
      <c r="CGZ40" s="595"/>
      <c r="CHA40" s="595"/>
      <c r="CHB40" s="595"/>
      <c r="CHC40" s="595"/>
      <c r="CHD40" s="595"/>
      <c r="CHE40" s="595"/>
      <c r="CHF40" s="595"/>
      <c r="CHG40" s="595"/>
      <c r="CHH40" s="595"/>
      <c r="CHI40" s="595"/>
      <c r="CHJ40" s="595"/>
      <c r="CHK40" s="595"/>
      <c r="CHL40" s="595"/>
      <c r="CHM40" s="595"/>
      <c r="CHN40" s="595"/>
      <c r="CHO40" s="595"/>
      <c r="CHP40" s="595"/>
      <c r="CHQ40" s="595"/>
      <c r="CHR40" s="595"/>
      <c r="CHS40" s="595"/>
      <c r="CHT40" s="595"/>
      <c r="CHU40" s="595"/>
      <c r="CHV40" s="595"/>
      <c r="CHW40" s="595"/>
      <c r="CHX40" s="595"/>
      <c r="CHY40" s="595"/>
      <c r="CHZ40" s="595"/>
      <c r="CIA40" s="595"/>
      <c r="CIB40" s="595"/>
      <c r="CIC40" s="595"/>
      <c r="CID40" s="595"/>
      <c r="CIE40" s="595"/>
      <c r="CIF40" s="595"/>
      <c r="CIG40" s="595"/>
      <c r="CIH40" s="595"/>
      <c r="CII40" s="595"/>
      <c r="CIJ40" s="595"/>
      <c r="CIK40" s="595"/>
      <c r="CIL40" s="595"/>
      <c r="CIM40" s="595"/>
      <c r="CIN40" s="595"/>
      <c r="CIO40" s="595"/>
      <c r="CIP40" s="595"/>
      <c r="CIQ40" s="595"/>
      <c r="CIR40" s="595"/>
      <c r="CIS40" s="595"/>
      <c r="CIT40" s="595"/>
      <c r="CIU40" s="595"/>
      <c r="CIV40" s="595"/>
      <c r="CIW40" s="595"/>
      <c r="CIX40" s="595"/>
      <c r="CIY40" s="595"/>
      <c r="CIZ40" s="595"/>
      <c r="CJA40" s="595"/>
      <c r="CJB40" s="595"/>
      <c r="CJC40" s="595"/>
      <c r="CJD40" s="595"/>
      <c r="CJE40" s="595"/>
      <c r="CJF40" s="595"/>
      <c r="CJG40" s="595"/>
      <c r="CJH40" s="595"/>
      <c r="CJI40" s="595"/>
      <c r="CJJ40" s="595"/>
      <c r="CJK40" s="595"/>
      <c r="CJL40" s="595"/>
      <c r="CJM40" s="595"/>
      <c r="CJN40" s="595"/>
      <c r="CJO40" s="595"/>
      <c r="CJP40" s="595"/>
      <c r="CJQ40" s="595"/>
      <c r="CJR40" s="595"/>
      <c r="CJS40" s="595"/>
      <c r="CJT40" s="595"/>
      <c r="CJU40" s="595"/>
      <c r="CJV40" s="595"/>
      <c r="CJW40" s="595"/>
      <c r="CJX40" s="595"/>
      <c r="CJY40" s="595"/>
      <c r="CJZ40" s="595"/>
      <c r="CKA40" s="595"/>
      <c r="CKB40" s="595"/>
      <c r="CKC40" s="595"/>
      <c r="CKD40" s="595"/>
      <c r="CKE40" s="595"/>
      <c r="CKF40" s="595"/>
      <c r="CKG40" s="595"/>
      <c r="CKH40" s="595"/>
      <c r="CKI40" s="595"/>
      <c r="CKJ40" s="595"/>
      <c r="CKK40" s="595"/>
      <c r="CKL40" s="595"/>
      <c r="CKM40" s="595"/>
      <c r="CKN40" s="595"/>
      <c r="CKO40" s="595"/>
      <c r="CKP40" s="595"/>
      <c r="CKQ40" s="595"/>
      <c r="CKR40" s="595"/>
      <c r="CKS40" s="595"/>
      <c r="CKT40" s="595"/>
      <c r="CKU40" s="595"/>
      <c r="CKV40" s="595"/>
      <c r="CKW40" s="595"/>
      <c r="CKX40" s="595"/>
      <c r="CKY40" s="595"/>
      <c r="CKZ40" s="595"/>
      <c r="CLA40" s="595"/>
      <c r="CLB40" s="595"/>
      <c r="CLC40" s="595"/>
      <c r="CLD40" s="595"/>
      <c r="CLE40" s="595"/>
      <c r="CLF40" s="595"/>
      <c r="CLG40" s="595"/>
      <c r="CLH40" s="595"/>
      <c r="CLI40" s="595"/>
      <c r="CLJ40" s="595"/>
      <c r="CLK40" s="595"/>
      <c r="CLL40" s="595"/>
      <c r="CLM40" s="595"/>
      <c r="CLN40" s="595"/>
      <c r="CLO40" s="595"/>
      <c r="CLP40" s="595"/>
      <c r="CLQ40" s="595"/>
      <c r="CLR40" s="595"/>
      <c r="CLS40" s="595"/>
      <c r="CLT40" s="595"/>
      <c r="CLU40" s="595"/>
      <c r="CLV40" s="595"/>
      <c r="CLW40" s="595"/>
      <c r="CLX40" s="595"/>
      <c r="CLY40" s="595"/>
      <c r="CLZ40" s="595"/>
      <c r="CMA40" s="595"/>
      <c r="CMB40" s="595"/>
      <c r="CMC40" s="595"/>
      <c r="CMD40" s="595"/>
      <c r="CME40" s="595"/>
      <c r="CMF40" s="595"/>
      <c r="CMG40" s="595"/>
      <c r="CMH40" s="595"/>
      <c r="CMI40" s="595"/>
      <c r="CMJ40" s="595"/>
      <c r="CMK40" s="595"/>
      <c r="CML40" s="595"/>
      <c r="CMM40" s="595"/>
      <c r="CMN40" s="595"/>
      <c r="CMO40" s="595"/>
      <c r="CMP40" s="595"/>
      <c r="CMQ40" s="595"/>
      <c r="CMR40" s="595"/>
      <c r="CMS40" s="595"/>
      <c r="CMT40" s="595"/>
      <c r="CMU40" s="595"/>
      <c r="CMV40" s="595"/>
      <c r="CMW40" s="595"/>
      <c r="CMX40" s="595"/>
      <c r="CMY40" s="595"/>
      <c r="CMZ40" s="595"/>
      <c r="CNA40" s="595"/>
      <c r="CNB40" s="595"/>
      <c r="CNC40" s="595"/>
      <c r="CND40" s="595"/>
      <c r="CNE40" s="595"/>
      <c r="CNF40" s="595"/>
      <c r="CNG40" s="595"/>
      <c r="CNH40" s="595"/>
      <c r="CNI40" s="595"/>
      <c r="CNJ40" s="595"/>
      <c r="CNK40" s="595"/>
      <c r="CNL40" s="595"/>
      <c r="CNM40" s="595"/>
      <c r="CNN40" s="595"/>
      <c r="CNO40" s="595"/>
      <c r="CNP40" s="595"/>
      <c r="CNQ40" s="595"/>
      <c r="CNR40" s="595"/>
      <c r="CNS40" s="595"/>
      <c r="CNT40" s="595"/>
      <c r="CNU40" s="595"/>
      <c r="CNV40" s="595"/>
      <c r="CNW40" s="595"/>
      <c r="CNX40" s="595"/>
      <c r="CNY40" s="595"/>
      <c r="CNZ40" s="595"/>
      <c r="COA40" s="595"/>
      <c r="COB40" s="595"/>
      <c r="COC40" s="595"/>
      <c r="COD40" s="595"/>
      <c r="COE40" s="595"/>
      <c r="COF40" s="595"/>
      <c r="COG40" s="595"/>
      <c r="COH40" s="595"/>
      <c r="COI40" s="595"/>
      <c r="COJ40" s="595"/>
      <c r="COK40" s="595"/>
      <c r="COL40" s="595"/>
      <c r="COM40" s="595"/>
      <c r="CON40" s="595"/>
      <c r="COO40" s="595"/>
      <c r="COP40" s="595"/>
      <c r="COQ40" s="595"/>
      <c r="COR40" s="595"/>
      <c r="COS40" s="595"/>
      <c r="COT40" s="595"/>
      <c r="COU40" s="595"/>
      <c r="COV40" s="595"/>
      <c r="COW40" s="595"/>
      <c r="COX40" s="595"/>
      <c r="COY40" s="595"/>
      <c r="COZ40" s="595"/>
      <c r="CPA40" s="595"/>
      <c r="CPB40" s="595"/>
      <c r="CPC40" s="595"/>
      <c r="CPD40" s="595"/>
      <c r="CPE40" s="595"/>
      <c r="CPF40" s="595"/>
      <c r="CPG40" s="595"/>
      <c r="CPH40" s="595"/>
      <c r="CPI40" s="595"/>
      <c r="CPJ40" s="595"/>
      <c r="CPK40" s="595"/>
      <c r="CPL40" s="595"/>
      <c r="CPM40" s="595"/>
      <c r="CPN40" s="595"/>
      <c r="CPO40" s="595"/>
      <c r="CPP40" s="595"/>
      <c r="CPQ40" s="595"/>
      <c r="CPR40" s="595"/>
      <c r="CPS40" s="595"/>
      <c r="CPT40" s="595"/>
      <c r="CPU40" s="595"/>
      <c r="CPV40" s="595"/>
      <c r="CPW40" s="595"/>
      <c r="CPX40" s="595"/>
      <c r="CPY40" s="595"/>
      <c r="CPZ40" s="595"/>
      <c r="CQA40" s="595"/>
      <c r="CQB40" s="595"/>
      <c r="CQC40" s="595"/>
      <c r="CQD40" s="595"/>
      <c r="CQE40" s="595"/>
      <c r="CQF40" s="595"/>
      <c r="CQG40" s="595"/>
      <c r="CQH40" s="595"/>
      <c r="CQI40" s="595"/>
      <c r="CQJ40" s="595"/>
      <c r="CQK40" s="595"/>
      <c r="CQL40" s="595"/>
      <c r="CQM40" s="595"/>
      <c r="CQN40" s="595"/>
      <c r="CQO40" s="595"/>
      <c r="CQP40" s="595"/>
      <c r="CQQ40" s="595"/>
      <c r="CQR40" s="595"/>
      <c r="CQS40" s="595"/>
      <c r="CQT40" s="595"/>
      <c r="CQU40" s="595"/>
      <c r="CQV40" s="595"/>
      <c r="CQW40" s="595"/>
      <c r="CQX40" s="595"/>
      <c r="CQY40" s="595"/>
      <c r="CQZ40" s="595"/>
      <c r="CRA40" s="595"/>
      <c r="CRB40" s="595"/>
      <c r="CRC40" s="595"/>
      <c r="CRD40" s="595"/>
      <c r="CRE40" s="595"/>
      <c r="CRF40" s="595"/>
      <c r="CRG40" s="595"/>
      <c r="CRH40" s="595"/>
      <c r="CRI40" s="595"/>
      <c r="CRJ40" s="595"/>
      <c r="CRK40" s="595"/>
      <c r="CRL40" s="595"/>
      <c r="CRM40" s="595"/>
      <c r="CRN40" s="595"/>
      <c r="CRO40" s="595"/>
      <c r="CRP40" s="595"/>
      <c r="CRQ40" s="595"/>
      <c r="CRR40" s="595"/>
      <c r="CRS40" s="595"/>
      <c r="CRT40" s="595"/>
      <c r="CRU40" s="595"/>
      <c r="CRV40" s="595"/>
      <c r="CRW40" s="595"/>
      <c r="CRX40" s="595"/>
      <c r="CRY40" s="595"/>
      <c r="CRZ40" s="595"/>
      <c r="CSA40" s="595"/>
      <c r="CSB40" s="595"/>
      <c r="CSC40" s="595"/>
      <c r="CSD40" s="595"/>
      <c r="CSE40" s="595"/>
      <c r="CSF40" s="595"/>
      <c r="CSG40" s="595"/>
      <c r="CSH40" s="595"/>
      <c r="CSI40" s="595"/>
      <c r="CSJ40" s="595"/>
      <c r="CSK40" s="595"/>
      <c r="CSL40" s="595"/>
      <c r="CSM40" s="595"/>
      <c r="CSN40" s="595"/>
      <c r="CSO40" s="595"/>
      <c r="CSP40" s="595"/>
      <c r="CSQ40" s="595"/>
      <c r="CSR40" s="595"/>
      <c r="CSS40" s="595"/>
      <c r="CST40" s="595"/>
      <c r="CSU40" s="595"/>
      <c r="CSV40" s="595"/>
      <c r="CSW40" s="595"/>
      <c r="CSX40" s="595"/>
      <c r="CSY40" s="595"/>
      <c r="CSZ40" s="595"/>
      <c r="CTA40" s="595"/>
      <c r="CTB40" s="595"/>
      <c r="CTC40" s="595"/>
      <c r="CTD40" s="595"/>
      <c r="CTE40" s="595"/>
      <c r="CTF40" s="595"/>
      <c r="CTG40" s="595"/>
      <c r="CTH40" s="595"/>
      <c r="CTI40" s="595"/>
      <c r="CTJ40" s="595"/>
      <c r="CTK40" s="595"/>
      <c r="CTL40" s="595"/>
      <c r="CTM40" s="595"/>
      <c r="CTN40" s="595"/>
      <c r="CTO40" s="595"/>
      <c r="CTP40" s="595"/>
      <c r="CTQ40" s="595"/>
      <c r="CTR40" s="595"/>
      <c r="CTS40" s="595"/>
      <c r="CTT40" s="595"/>
      <c r="CTU40" s="595"/>
      <c r="CTV40" s="595"/>
      <c r="CTW40" s="595"/>
      <c r="CTX40" s="595"/>
      <c r="CTY40" s="595"/>
      <c r="CTZ40" s="595"/>
      <c r="CUA40" s="595"/>
      <c r="CUB40" s="595"/>
      <c r="CUC40" s="595"/>
      <c r="CUD40" s="595"/>
      <c r="CUE40" s="595"/>
      <c r="CUF40" s="595"/>
      <c r="CUG40" s="595"/>
      <c r="CUH40" s="595"/>
      <c r="CUI40" s="595"/>
      <c r="CUJ40" s="595"/>
      <c r="CUK40" s="595"/>
      <c r="CUL40" s="595"/>
      <c r="CUM40" s="595"/>
      <c r="CUN40" s="595"/>
      <c r="CUO40" s="595"/>
      <c r="CUP40" s="595"/>
      <c r="CUQ40" s="595"/>
      <c r="CUR40" s="595"/>
      <c r="CUS40" s="595"/>
      <c r="CUT40" s="595"/>
      <c r="CUU40" s="595"/>
      <c r="CUV40" s="595"/>
      <c r="CUW40" s="595"/>
      <c r="CUX40" s="595"/>
      <c r="CUY40" s="595"/>
      <c r="CUZ40" s="595"/>
      <c r="CVA40" s="595"/>
      <c r="CVB40" s="595"/>
      <c r="CVC40" s="595"/>
      <c r="CVD40" s="595"/>
      <c r="CVE40" s="595"/>
      <c r="CVF40" s="595"/>
      <c r="CVG40" s="595"/>
      <c r="CVH40" s="595"/>
      <c r="CVI40" s="595"/>
      <c r="CVJ40" s="595"/>
      <c r="CVK40" s="595"/>
      <c r="CVL40" s="595"/>
      <c r="CVM40" s="595"/>
      <c r="CVN40" s="595"/>
      <c r="CVO40" s="595"/>
      <c r="CVP40" s="595"/>
      <c r="CVQ40" s="595"/>
      <c r="CVR40" s="595"/>
      <c r="CVS40" s="595"/>
      <c r="CVT40" s="595"/>
      <c r="CVU40" s="595"/>
      <c r="CVV40" s="595"/>
      <c r="CVW40" s="595"/>
      <c r="CVX40" s="595"/>
      <c r="CVY40" s="595"/>
      <c r="CVZ40" s="595"/>
      <c r="CWA40" s="595"/>
      <c r="CWB40" s="595"/>
      <c r="CWC40" s="595"/>
      <c r="CWD40" s="595"/>
      <c r="CWE40" s="595"/>
      <c r="CWF40" s="595"/>
      <c r="CWG40" s="595"/>
      <c r="CWH40" s="595"/>
      <c r="CWI40" s="595"/>
      <c r="CWJ40" s="595"/>
      <c r="CWK40" s="595"/>
      <c r="CWL40" s="595"/>
      <c r="CWM40" s="595"/>
      <c r="CWN40" s="595"/>
      <c r="CWO40" s="595"/>
      <c r="CWP40" s="595"/>
      <c r="CWQ40" s="595"/>
      <c r="CWR40" s="595"/>
      <c r="CWS40" s="595"/>
      <c r="CWT40" s="595"/>
      <c r="CWU40" s="595"/>
      <c r="CWV40" s="595"/>
      <c r="CWW40" s="595"/>
      <c r="CWX40" s="595"/>
      <c r="CWY40" s="595"/>
      <c r="CWZ40" s="595"/>
      <c r="CXA40" s="595"/>
      <c r="CXB40" s="595"/>
      <c r="CXC40" s="595"/>
      <c r="CXD40" s="595"/>
      <c r="CXE40" s="595"/>
      <c r="CXF40" s="595"/>
      <c r="CXG40" s="595"/>
      <c r="CXH40" s="595"/>
      <c r="CXI40" s="595"/>
      <c r="CXJ40" s="595"/>
      <c r="CXK40" s="595"/>
      <c r="CXL40" s="595"/>
      <c r="CXM40" s="595"/>
      <c r="CXN40" s="595"/>
      <c r="CXO40" s="595"/>
      <c r="CXP40" s="595"/>
      <c r="CXQ40" s="595"/>
      <c r="CXR40" s="595"/>
      <c r="CXS40" s="595"/>
      <c r="CXT40" s="595"/>
      <c r="CXU40" s="595"/>
      <c r="CXV40" s="595"/>
      <c r="CXW40" s="595"/>
      <c r="CXX40" s="595"/>
      <c r="CXY40" s="595"/>
      <c r="CXZ40" s="595"/>
      <c r="CYA40" s="595"/>
      <c r="CYB40" s="595"/>
      <c r="CYC40" s="595"/>
      <c r="CYD40" s="595"/>
      <c r="CYE40" s="595"/>
      <c r="CYF40" s="595"/>
      <c r="CYG40" s="595"/>
      <c r="CYH40" s="595"/>
      <c r="CYI40" s="595"/>
      <c r="CYJ40" s="595"/>
      <c r="CYK40" s="595"/>
      <c r="CYL40" s="595"/>
      <c r="CYM40" s="595"/>
      <c r="CYN40" s="595"/>
      <c r="CYO40" s="595"/>
      <c r="CYP40" s="595"/>
      <c r="CYQ40" s="595"/>
      <c r="CYR40" s="595"/>
      <c r="CYS40" s="595"/>
      <c r="CYT40" s="595"/>
      <c r="CYU40" s="595"/>
      <c r="CYV40" s="595"/>
      <c r="CYW40" s="595"/>
      <c r="CYX40" s="595"/>
      <c r="CYY40" s="595"/>
      <c r="CYZ40" s="595"/>
      <c r="CZA40" s="595"/>
      <c r="CZB40" s="595"/>
      <c r="CZC40" s="595"/>
      <c r="CZD40" s="595"/>
      <c r="CZE40" s="595"/>
      <c r="CZF40" s="595"/>
      <c r="CZG40" s="595"/>
      <c r="CZH40" s="595"/>
      <c r="CZI40" s="595"/>
      <c r="CZJ40" s="595"/>
      <c r="CZK40" s="595"/>
      <c r="CZL40" s="595"/>
      <c r="CZM40" s="595"/>
      <c r="CZN40" s="595"/>
      <c r="CZO40" s="595"/>
      <c r="CZP40" s="595"/>
      <c r="CZQ40" s="595"/>
      <c r="CZR40" s="595"/>
      <c r="CZS40" s="595"/>
      <c r="CZT40" s="595"/>
      <c r="CZU40" s="595"/>
      <c r="CZV40" s="595"/>
      <c r="CZW40" s="595"/>
      <c r="CZX40" s="595"/>
      <c r="CZY40" s="595"/>
      <c r="CZZ40" s="595"/>
      <c r="DAA40" s="595"/>
      <c r="DAB40" s="595"/>
      <c r="DAC40" s="595"/>
      <c r="DAD40" s="595"/>
      <c r="DAE40" s="595"/>
      <c r="DAF40" s="595"/>
      <c r="DAG40" s="595"/>
      <c r="DAH40" s="595"/>
      <c r="DAI40" s="595"/>
      <c r="DAJ40" s="595"/>
      <c r="DAK40" s="595"/>
      <c r="DAL40" s="595"/>
      <c r="DAM40" s="595"/>
      <c r="DAN40" s="595"/>
      <c r="DAO40" s="595"/>
      <c r="DAP40" s="595"/>
      <c r="DAQ40" s="595"/>
      <c r="DAR40" s="595"/>
      <c r="DAS40" s="595"/>
      <c r="DAT40" s="595"/>
      <c r="DAU40" s="595"/>
      <c r="DAV40" s="595"/>
      <c r="DAW40" s="595"/>
      <c r="DAX40" s="595"/>
      <c r="DAY40" s="595"/>
      <c r="DAZ40" s="595"/>
      <c r="DBA40" s="595"/>
      <c r="DBB40" s="595"/>
      <c r="DBC40" s="595"/>
      <c r="DBD40" s="595"/>
      <c r="DBE40" s="595"/>
      <c r="DBF40" s="595"/>
      <c r="DBG40" s="595"/>
      <c r="DBH40" s="595"/>
      <c r="DBI40" s="595"/>
      <c r="DBJ40" s="595"/>
      <c r="DBK40" s="595"/>
      <c r="DBL40" s="595"/>
      <c r="DBM40" s="595"/>
      <c r="DBN40" s="595"/>
      <c r="DBO40" s="595"/>
      <c r="DBP40" s="595"/>
      <c r="DBQ40" s="595"/>
      <c r="DBR40" s="595"/>
      <c r="DBS40" s="595"/>
      <c r="DBT40" s="595"/>
      <c r="DBU40" s="595"/>
      <c r="DBV40" s="595"/>
      <c r="DBW40" s="595"/>
      <c r="DBX40" s="595"/>
      <c r="DBY40" s="595"/>
      <c r="DBZ40" s="595"/>
      <c r="DCA40" s="595"/>
      <c r="DCB40" s="595"/>
      <c r="DCC40" s="595"/>
      <c r="DCD40" s="595"/>
      <c r="DCE40" s="595"/>
      <c r="DCF40" s="595"/>
      <c r="DCG40" s="595"/>
      <c r="DCH40" s="595"/>
      <c r="DCI40" s="595"/>
      <c r="DCJ40" s="595"/>
      <c r="DCK40" s="595"/>
      <c r="DCL40" s="595"/>
      <c r="DCM40" s="595"/>
      <c r="DCN40" s="595"/>
      <c r="DCO40" s="595"/>
      <c r="DCP40" s="595"/>
      <c r="DCQ40" s="595"/>
      <c r="DCR40" s="595"/>
      <c r="DCS40" s="595"/>
      <c r="DCT40" s="595"/>
      <c r="DCU40" s="595"/>
      <c r="DCV40" s="595"/>
      <c r="DCW40" s="595"/>
      <c r="DCX40" s="595"/>
      <c r="DCY40" s="595"/>
      <c r="DCZ40" s="595"/>
      <c r="DDA40" s="595"/>
      <c r="DDB40" s="595"/>
      <c r="DDC40" s="595"/>
      <c r="DDD40" s="595"/>
      <c r="DDE40" s="595"/>
      <c r="DDF40" s="595"/>
      <c r="DDG40" s="595"/>
      <c r="DDH40" s="595"/>
      <c r="DDI40" s="595"/>
      <c r="DDJ40" s="595"/>
      <c r="DDK40" s="595"/>
      <c r="DDL40" s="595"/>
      <c r="DDM40" s="595"/>
      <c r="DDN40" s="595"/>
      <c r="DDO40" s="595"/>
      <c r="DDP40" s="595"/>
      <c r="DDQ40" s="595"/>
      <c r="DDR40" s="595"/>
      <c r="DDS40" s="595"/>
      <c r="DDT40" s="595"/>
      <c r="DDU40" s="595"/>
      <c r="DDV40" s="595"/>
      <c r="DDW40" s="595"/>
      <c r="DDX40" s="595"/>
      <c r="DDY40" s="595"/>
      <c r="DDZ40" s="595"/>
      <c r="DEA40" s="595"/>
      <c r="DEB40" s="595"/>
      <c r="DEC40" s="595"/>
      <c r="DED40" s="595"/>
      <c r="DEE40" s="595"/>
      <c r="DEF40" s="595"/>
      <c r="DEG40" s="595"/>
      <c r="DEH40" s="595"/>
      <c r="DEI40" s="595"/>
      <c r="DEJ40" s="595"/>
      <c r="DEK40" s="595"/>
      <c r="DEL40" s="595"/>
      <c r="DEM40" s="595"/>
      <c r="DEN40" s="595"/>
      <c r="DEO40" s="595"/>
      <c r="DEP40" s="595"/>
      <c r="DEQ40" s="595"/>
      <c r="DER40" s="595"/>
      <c r="DES40" s="595"/>
      <c r="DET40" s="595"/>
      <c r="DEU40" s="595"/>
      <c r="DEV40" s="595"/>
      <c r="DEW40" s="595"/>
      <c r="DEX40" s="595"/>
      <c r="DEY40" s="595"/>
      <c r="DEZ40" s="595"/>
      <c r="DFA40" s="595"/>
      <c r="DFB40" s="595"/>
      <c r="DFC40" s="595"/>
      <c r="DFD40" s="595"/>
      <c r="DFE40" s="595"/>
      <c r="DFF40" s="595"/>
      <c r="DFG40" s="595"/>
      <c r="DFH40" s="595"/>
      <c r="DFI40" s="595"/>
      <c r="DFJ40" s="595"/>
      <c r="DFK40" s="595"/>
      <c r="DFL40" s="595"/>
      <c r="DFM40" s="595"/>
      <c r="DFN40" s="595"/>
      <c r="DFO40" s="595"/>
      <c r="DFP40" s="595"/>
      <c r="DFQ40" s="595"/>
      <c r="DFR40" s="595"/>
      <c r="DFS40" s="595"/>
      <c r="DFT40" s="595"/>
      <c r="DFU40" s="595"/>
      <c r="DFV40" s="595"/>
      <c r="DFW40" s="595"/>
      <c r="DFX40" s="595"/>
      <c r="DFY40" s="595"/>
      <c r="DFZ40" s="595"/>
      <c r="DGA40" s="595"/>
      <c r="DGB40" s="595"/>
      <c r="DGC40" s="595"/>
      <c r="DGD40" s="595"/>
      <c r="DGE40" s="595"/>
      <c r="DGF40" s="595"/>
      <c r="DGG40" s="595"/>
      <c r="DGH40" s="595"/>
      <c r="DGI40" s="595"/>
      <c r="DGJ40" s="595"/>
      <c r="DGK40" s="595"/>
      <c r="DGL40" s="595"/>
      <c r="DGM40" s="595"/>
      <c r="DGN40" s="595"/>
      <c r="DGO40" s="595"/>
      <c r="DGP40" s="595"/>
      <c r="DGQ40" s="595"/>
      <c r="DGR40" s="595"/>
      <c r="DGS40" s="595"/>
      <c r="DGT40" s="595"/>
      <c r="DGU40" s="595"/>
      <c r="DGV40" s="595"/>
      <c r="DGW40" s="595"/>
      <c r="DGX40" s="595"/>
      <c r="DGY40" s="595"/>
      <c r="DGZ40" s="595"/>
      <c r="DHA40" s="595"/>
      <c r="DHB40" s="595"/>
      <c r="DHC40" s="595"/>
      <c r="DHD40" s="595"/>
      <c r="DHE40" s="595"/>
      <c r="DHF40" s="595"/>
      <c r="DHG40" s="595"/>
      <c r="DHH40" s="595"/>
      <c r="DHI40" s="595"/>
      <c r="DHJ40" s="595"/>
      <c r="DHK40" s="595"/>
      <c r="DHL40" s="595"/>
      <c r="DHM40" s="595"/>
      <c r="DHN40" s="595"/>
      <c r="DHO40" s="595"/>
      <c r="DHP40" s="595"/>
      <c r="DHQ40" s="595"/>
      <c r="DHR40" s="595"/>
      <c r="DHS40" s="595"/>
      <c r="DHT40" s="595"/>
      <c r="DHU40" s="595"/>
      <c r="DHV40" s="595"/>
      <c r="DHW40" s="595"/>
      <c r="DHX40" s="595"/>
      <c r="DHY40" s="595"/>
      <c r="DHZ40" s="595"/>
      <c r="DIA40" s="595"/>
      <c r="DIB40" s="595"/>
      <c r="DIC40" s="595"/>
      <c r="DID40" s="595"/>
      <c r="DIE40" s="595"/>
      <c r="DIF40" s="595"/>
      <c r="DIG40" s="595"/>
      <c r="DIH40" s="595"/>
      <c r="DII40" s="595"/>
      <c r="DIJ40" s="595"/>
      <c r="DIK40" s="595"/>
      <c r="DIL40" s="595"/>
      <c r="DIM40" s="595"/>
      <c r="DIN40" s="595"/>
      <c r="DIO40" s="595"/>
      <c r="DIP40" s="595"/>
      <c r="DIQ40" s="595"/>
      <c r="DIR40" s="595"/>
      <c r="DIS40" s="595"/>
      <c r="DIT40" s="595"/>
      <c r="DIU40" s="595"/>
      <c r="DIV40" s="595"/>
      <c r="DIW40" s="595"/>
      <c r="DIX40" s="595"/>
      <c r="DIY40" s="595"/>
      <c r="DIZ40" s="595"/>
      <c r="DJA40" s="595"/>
      <c r="DJB40" s="595"/>
      <c r="DJC40" s="595"/>
      <c r="DJD40" s="595"/>
      <c r="DJE40" s="595"/>
      <c r="DJF40" s="595"/>
      <c r="DJG40" s="595"/>
      <c r="DJH40" s="595"/>
      <c r="DJI40" s="595"/>
      <c r="DJJ40" s="595"/>
      <c r="DJK40" s="595"/>
      <c r="DJL40" s="595"/>
      <c r="DJM40" s="595"/>
      <c r="DJN40" s="595"/>
      <c r="DJO40" s="595"/>
      <c r="DJP40" s="595"/>
      <c r="DJQ40" s="595"/>
      <c r="DJR40" s="595"/>
      <c r="DJS40" s="595"/>
      <c r="DJT40" s="595"/>
      <c r="DJU40" s="595"/>
      <c r="DJV40" s="595"/>
      <c r="DJW40" s="595"/>
      <c r="DJX40" s="595"/>
      <c r="DJY40" s="595"/>
      <c r="DJZ40" s="595"/>
      <c r="DKA40" s="595"/>
      <c r="DKB40" s="595"/>
      <c r="DKC40" s="595"/>
      <c r="DKD40" s="595"/>
      <c r="DKE40" s="595"/>
      <c r="DKF40" s="595"/>
      <c r="DKG40" s="595"/>
      <c r="DKH40" s="595"/>
      <c r="DKI40" s="595"/>
      <c r="DKJ40" s="595"/>
      <c r="DKK40" s="595"/>
      <c r="DKL40" s="595"/>
      <c r="DKM40" s="595"/>
      <c r="DKN40" s="595"/>
      <c r="DKO40" s="595"/>
      <c r="DKP40" s="595"/>
      <c r="DKQ40" s="595"/>
      <c r="DKR40" s="595"/>
      <c r="DKS40" s="595"/>
      <c r="DKT40" s="595"/>
      <c r="DKU40" s="595"/>
      <c r="DKV40" s="595"/>
      <c r="DKW40" s="595"/>
      <c r="DKX40" s="595"/>
      <c r="DKY40" s="595"/>
      <c r="DKZ40" s="595"/>
      <c r="DLA40" s="595"/>
      <c r="DLB40" s="595"/>
      <c r="DLC40" s="595"/>
      <c r="DLD40" s="595"/>
      <c r="DLE40" s="595"/>
      <c r="DLF40" s="595"/>
      <c r="DLG40" s="595"/>
      <c r="DLH40" s="595"/>
      <c r="DLI40" s="595"/>
      <c r="DLJ40" s="595"/>
      <c r="DLK40" s="595"/>
      <c r="DLL40" s="595"/>
      <c r="DLM40" s="595"/>
      <c r="DLN40" s="595"/>
      <c r="DLO40" s="595"/>
      <c r="DLP40" s="595"/>
      <c r="DLQ40" s="595"/>
      <c r="DLR40" s="595"/>
      <c r="DLS40" s="595"/>
      <c r="DLT40" s="595"/>
      <c r="DLU40" s="595"/>
      <c r="DLV40" s="595"/>
      <c r="DLW40" s="595"/>
      <c r="DLX40" s="595"/>
      <c r="DLY40" s="595"/>
      <c r="DLZ40" s="595"/>
      <c r="DMA40" s="595"/>
      <c r="DMB40" s="595"/>
      <c r="DMC40" s="595"/>
      <c r="DMD40" s="595"/>
      <c r="DME40" s="595"/>
      <c r="DMF40" s="595"/>
      <c r="DMG40" s="595"/>
      <c r="DMH40" s="595"/>
      <c r="DMI40" s="595"/>
      <c r="DMJ40" s="595"/>
      <c r="DMK40" s="595"/>
      <c r="DML40" s="595"/>
      <c r="DMM40" s="595"/>
      <c r="DMN40" s="595"/>
      <c r="DMO40" s="595"/>
      <c r="DMP40" s="595"/>
      <c r="DMQ40" s="595"/>
      <c r="DMR40" s="595"/>
      <c r="DMS40" s="595"/>
      <c r="DMT40" s="595"/>
      <c r="DMU40" s="595"/>
      <c r="DMV40" s="595"/>
      <c r="DMW40" s="595"/>
      <c r="DMX40" s="595"/>
      <c r="DMY40" s="595"/>
      <c r="DMZ40" s="595"/>
      <c r="DNA40" s="595"/>
      <c r="DNB40" s="595"/>
      <c r="DNC40" s="595"/>
      <c r="DND40" s="595"/>
      <c r="DNE40" s="595"/>
      <c r="DNF40" s="595"/>
      <c r="DNG40" s="595"/>
      <c r="DNH40" s="595"/>
      <c r="DNI40" s="595"/>
      <c r="DNJ40" s="595"/>
      <c r="DNK40" s="595"/>
      <c r="DNL40" s="595"/>
      <c r="DNM40" s="595"/>
      <c r="DNN40" s="595"/>
      <c r="DNO40" s="595"/>
      <c r="DNP40" s="595"/>
      <c r="DNQ40" s="595"/>
      <c r="DNR40" s="595"/>
      <c r="DNS40" s="595"/>
      <c r="DNT40" s="595"/>
      <c r="DNU40" s="595"/>
      <c r="DNV40" s="595"/>
      <c r="DNW40" s="595"/>
      <c r="DNX40" s="595"/>
      <c r="DNY40" s="595"/>
      <c r="DNZ40" s="595"/>
      <c r="DOA40" s="595"/>
      <c r="DOB40" s="595"/>
      <c r="DOC40" s="595"/>
      <c r="DOD40" s="595"/>
      <c r="DOE40" s="595"/>
      <c r="DOF40" s="595"/>
      <c r="DOG40" s="595"/>
      <c r="DOH40" s="595"/>
      <c r="DOI40" s="595"/>
      <c r="DOJ40" s="595"/>
      <c r="DOK40" s="595"/>
      <c r="DOL40" s="595"/>
      <c r="DOM40" s="595"/>
      <c r="DON40" s="595"/>
      <c r="DOO40" s="595"/>
      <c r="DOP40" s="595"/>
      <c r="DOQ40" s="595"/>
      <c r="DOR40" s="595"/>
      <c r="DOS40" s="595"/>
      <c r="DOT40" s="595"/>
      <c r="DOU40" s="595"/>
      <c r="DOV40" s="595"/>
      <c r="DOW40" s="595"/>
      <c r="DOX40" s="595"/>
      <c r="DOY40" s="595"/>
      <c r="DOZ40" s="595"/>
      <c r="DPA40" s="595"/>
      <c r="DPB40" s="595"/>
      <c r="DPC40" s="595"/>
      <c r="DPD40" s="595"/>
      <c r="DPE40" s="595"/>
      <c r="DPF40" s="595"/>
      <c r="DPG40" s="595"/>
      <c r="DPH40" s="595"/>
      <c r="DPI40" s="595"/>
      <c r="DPJ40" s="595"/>
      <c r="DPK40" s="595"/>
      <c r="DPL40" s="595"/>
      <c r="DPM40" s="595"/>
      <c r="DPN40" s="595"/>
      <c r="DPO40" s="595"/>
      <c r="DPP40" s="595"/>
      <c r="DPQ40" s="595"/>
      <c r="DPR40" s="595"/>
      <c r="DPS40" s="595"/>
      <c r="DPT40" s="595"/>
      <c r="DPU40" s="595"/>
      <c r="DPV40" s="595"/>
      <c r="DPW40" s="595"/>
      <c r="DPX40" s="595"/>
      <c r="DPY40" s="595"/>
      <c r="DPZ40" s="595"/>
      <c r="DQA40" s="595"/>
      <c r="DQB40" s="595"/>
      <c r="DQC40" s="595"/>
      <c r="DQD40" s="595"/>
      <c r="DQE40" s="595"/>
      <c r="DQF40" s="595"/>
      <c r="DQG40" s="595"/>
      <c r="DQH40" s="595"/>
      <c r="DQI40" s="595"/>
      <c r="DQJ40" s="595"/>
      <c r="DQK40" s="595"/>
      <c r="DQL40" s="595"/>
      <c r="DQM40" s="595"/>
      <c r="DQN40" s="595"/>
      <c r="DQO40" s="595"/>
      <c r="DQP40" s="595"/>
      <c r="DQQ40" s="595"/>
      <c r="DQR40" s="595"/>
      <c r="DQS40" s="595"/>
      <c r="DQT40" s="595"/>
      <c r="DQU40" s="595"/>
      <c r="DQV40" s="595"/>
      <c r="DQW40" s="595"/>
      <c r="DQX40" s="595"/>
      <c r="DQY40" s="595"/>
      <c r="DQZ40" s="595"/>
      <c r="DRA40" s="595"/>
      <c r="DRB40" s="595"/>
      <c r="DRC40" s="595"/>
      <c r="DRD40" s="595"/>
      <c r="DRE40" s="595"/>
      <c r="DRF40" s="595"/>
      <c r="DRG40" s="595"/>
      <c r="DRH40" s="595"/>
      <c r="DRI40" s="595"/>
      <c r="DRJ40" s="595"/>
      <c r="DRK40" s="595"/>
      <c r="DRL40" s="595"/>
      <c r="DRM40" s="595"/>
      <c r="DRN40" s="595"/>
      <c r="DRO40" s="595"/>
      <c r="DRP40" s="595"/>
      <c r="DRQ40" s="595"/>
      <c r="DRR40" s="595"/>
      <c r="DRS40" s="595"/>
      <c r="DRT40" s="595"/>
      <c r="DRU40" s="595"/>
      <c r="DRV40" s="595"/>
      <c r="DRW40" s="595"/>
      <c r="DRX40" s="595"/>
      <c r="DRY40" s="595"/>
      <c r="DRZ40" s="595"/>
      <c r="DSA40" s="595"/>
      <c r="DSB40" s="595"/>
      <c r="DSC40" s="595"/>
      <c r="DSD40" s="595"/>
      <c r="DSE40" s="595"/>
      <c r="DSF40" s="595"/>
      <c r="DSG40" s="595"/>
      <c r="DSH40" s="595"/>
      <c r="DSI40" s="595"/>
      <c r="DSJ40" s="595"/>
      <c r="DSK40" s="595"/>
      <c r="DSL40" s="595"/>
      <c r="DSM40" s="595"/>
      <c r="DSN40" s="595"/>
      <c r="DSO40" s="595"/>
      <c r="DSP40" s="595"/>
      <c r="DSQ40" s="595"/>
      <c r="DSR40" s="595"/>
      <c r="DSS40" s="595"/>
      <c r="DST40" s="595"/>
      <c r="DSU40" s="595"/>
      <c r="DSV40" s="595"/>
      <c r="DSW40" s="595"/>
      <c r="DSX40" s="595"/>
      <c r="DSY40" s="595"/>
      <c r="DSZ40" s="595"/>
      <c r="DTA40" s="595"/>
      <c r="DTB40" s="595"/>
      <c r="DTC40" s="595"/>
      <c r="DTD40" s="595"/>
      <c r="DTE40" s="595"/>
      <c r="DTF40" s="595"/>
      <c r="DTG40" s="595"/>
      <c r="DTH40" s="595"/>
      <c r="DTI40" s="595"/>
      <c r="DTJ40" s="595"/>
      <c r="DTK40" s="595"/>
      <c r="DTL40" s="595"/>
      <c r="DTM40" s="595"/>
      <c r="DTN40" s="595"/>
      <c r="DTO40" s="595"/>
      <c r="DTP40" s="595"/>
      <c r="DTQ40" s="595"/>
      <c r="DTR40" s="595"/>
      <c r="DTS40" s="595"/>
      <c r="DTT40" s="595"/>
      <c r="DTU40" s="595"/>
      <c r="DTV40" s="595"/>
      <c r="DTW40" s="595"/>
      <c r="DTX40" s="595"/>
      <c r="DTY40" s="595"/>
      <c r="DTZ40" s="595"/>
      <c r="DUA40" s="595"/>
      <c r="DUB40" s="595"/>
      <c r="DUC40" s="595"/>
      <c r="DUD40" s="595"/>
      <c r="DUE40" s="595"/>
      <c r="DUF40" s="595"/>
      <c r="DUG40" s="595"/>
      <c r="DUH40" s="595"/>
      <c r="DUI40" s="595"/>
      <c r="DUJ40" s="595"/>
      <c r="DUK40" s="595"/>
      <c r="DUL40" s="595"/>
      <c r="DUM40" s="595"/>
      <c r="DUN40" s="595"/>
      <c r="DUO40" s="595"/>
      <c r="DUP40" s="595"/>
      <c r="DUQ40" s="595"/>
      <c r="DUR40" s="595"/>
      <c r="DUS40" s="595"/>
      <c r="DUT40" s="595"/>
      <c r="DUU40" s="595"/>
      <c r="DUV40" s="595"/>
      <c r="DUW40" s="595"/>
      <c r="DUX40" s="595"/>
      <c r="DUY40" s="595"/>
      <c r="DUZ40" s="595"/>
      <c r="DVA40" s="595"/>
      <c r="DVB40" s="595"/>
      <c r="DVC40" s="595"/>
      <c r="DVD40" s="595"/>
      <c r="DVE40" s="595"/>
      <c r="DVF40" s="595"/>
      <c r="DVG40" s="595"/>
      <c r="DVH40" s="595"/>
      <c r="DVI40" s="595"/>
      <c r="DVJ40" s="595"/>
      <c r="DVK40" s="595"/>
      <c r="DVL40" s="595"/>
      <c r="DVM40" s="595"/>
      <c r="DVN40" s="595"/>
      <c r="DVO40" s="595"/>
      <c r="DVP40" s="595"/>
      <c r="DVQ40" s="595"/>
      <c r="DVR40" s="595"/>
      <c r="DVS40" s="595"/>
      <c r="DVT40" s="595"/>
      <c r="DVU40" s="595"/>
      <c r="DVV40" s="595"/>
      <c r="DVW40" s="595"/>
      <c r="DVX40" s="595"/>
      <c r="DVY40" s="595"/>
      <c r="DVZ40" s="595"/>
      <c r="DWA40" s="595"/>
      <c r="DWB40" s="595"/>
      <c r="DWC40" s="595"/>
      <c r="DWD40" s="595"/>
      <c r="DWE40" s="595"/>
      <c r="DWF40" s="595"/>
      <c r="DWG40" s="595"/>
      <c r="DWH40" s="595"/>
      <c r="DWI40" s="595"/>
      <c r="DWJ40" s="595"/>
      <c r="DWK40" s="595"/>
      <c r="DWL40" s="595"/>
      <c r="DWM40" s="595"/>
      <c r="DWN40" s="595"/>
      <c r="DWO40" s="595"/>
      <c r="DWP40" s="595"/>
      <c r="DWQ40" s="595"/>
      <c r="DWR40" s="595"/>
      <c r="DWS40" s="595"/>
      <c r="DWT40" s="595"/>
      <c r="DWU40" s="595"/>
      <c r="DWV40" s="595"/>
      <c r="DWW40" s="595"/>
      <c r="DWX40" s="595"/>
      <c r="DWY40" s="595"/>
      <c r="DWZ40" s="595"/>
      <c r="DXA40" s="595"/>
      <c r="DXB40" s="595"/>
      <c r="DXC40" s="595"/>
      <c r="DXD40" s="595"/>
      <c r="DXE40" s="595"/>
      <c r="DXF40" s="595"/>
      <c r="DXG40" s="595"/>
      <c r="DXH40" s="595"/>
      <c r="DXI40" s="595"/>
      <c r="DXJ40" s="595"/>
      <c r="DXK40" s="595"/>
      <c r="DXL40" s="595"/>
      <c r="DXM40" s="595"/>
      <c r="DXN40" s="595"/>
      <c r="DXO40" s="595"/>
      <c r="DXP40" s="595"/>
      <c r="DXQ40" s="595"/>
      <c r="DXR40" s="595"/>
      <c r="DXS40" s="595"/>
      <c r="DXT40" s="595"/>
      <c r="DXU40" s="595"/>
      <c r="DXV40" s="595"/>
      <c r="DXW40" s="595"/>
      <c r="DXX40" s="595"/>
      <c r="DXY40" s="595"/>
      <c r="DXZ40" s="595"/>
      <c r="DYA40" s="595"/>
      <c r="DYB40" s="595"/>
      <c r="DYC40" s="595"/>
      <c r="DYD40" s="595"/>
      <c r="DYE40" s="595"/>
      <c r="DYF40" s="595"/>
      <c r="DYG40" s="595"/>
      <c r="DYH40" s="595"/>
      <c r="DYI40" s="595"/>
      <c r="DYJ40" s="595"/>
      <c r="DYK40" s="595"/>
      <c r="DYL40" s="595"/>
      <c r="DYM40" s="595"/>
      <c r="DYN40" s="595"/>
      <c r="DYO40" s="595"/>
      <c r="DYP40" s="595"/>
      <c r="DYQ40" s="595"/>
      <c r="DYR40" s="595"/>
      <c r="DYS40" s="595"/>
      <c r="DYT40" s="595"/>
      <c r="DYU40" s="595"/>
      <c r="DYV40" s="595"/>
      <c r="DYW40" s="595"/>
      <c r="DYX40" s="595"/>
      <c r="DYY40" s="595"/>
      <c r="DYZ40" s="595"/>
      <c r="DZA40" s="595"/>
      <c r="DZB40" s="595"/>
      <c r="DZC40" s="595"/>
      <c r="DZD40" s="595"/>
      <c r="DZE40" s="595"/>
      <c r="DZF40" s="595"/>
      <c r="DZG40" s="595"/>
      <c r="DZH40" s="595"/>
      <c r="DZI40" s="595"/>
      <c r="DZJ40" s="595"/>
      <c r="DZK40" s="595"/>
      <c r="DZL40" s="595"/>
      <c r="DZM40" s="595"/>
      <c r="DZN40" s="595"/>
      <c r="DZO40" s="595"/>
      <c r="DZP40" s="595"/>
      <c r="DZQ40" s="595"/>
      <c r="DZR40" s="595"/>
      <c r="DZS40" s="595"/>
      <c r="DZT40" s="595"/>
      <c r="DZU40" s="595"/>
      <c r="DZV40" s="595"/>
      <c r="DZW40" s="595"/>
      <c r="DZX40" s="595"/>
      <c r="DZY40" s="595"/>
      <c r="DZZ40" s="595"/>
      <c r="EAA40" s="595"/>
      <c r="EAB40" s="595"/>
      <c r="EAC40" s="595"/>
      <c r="EAD40" s="595"/>
      <c r="EAE40" s="595"/>
      <c r="EAF40" s="595"/>
      <c r="EAG40" s="595"/>
      <c r="EAH40" s="595"/>
      <c r="EAI40" s="595"/>
      <c r="EAJ40" s="595"/>
      <c r="EAK40" s="595"/>
      <c r="EAL40" s="595"/>
      <c r="EAM40" s="595"/>
      <c r="EAN40" s="595"/>
      <c r="EAO40" s="595"/>
      <c r="EAP40" s="595"/>
      <c r="EAQ40" s="595"/>
      <c r="EAR40" s="595"/>
      <c r="EAS40" s="595"/>
      <c r="EAT40" s="595"/>
      <c r="EAU40" s="595"/>
      <c r="EAV40" s="595"/>
      <c r="EAW40" s="595"/>
      <c r="EAX40" s="595"/>
      <c r="EAY40" s="595"/>
      <c r="EAZ40" s="595"/>
      <c r="EBA40" s="595"/>
      <c r="EBB40" s="595"/>
      <c r="EBC40" s="595"/>
      <c r="EBD40" s="595"/>
      <c r="EBE40" s="595"/>
      <c r="EBF40" s="595"/>
      <c r="EBG40" s="595"/>
      <c r="EBH40" s="595"/>
      <c r="EBI40" s="595"/>
      <c r="EBJ40" s="595"/>
      <c r="EBK40" s="595"/>
      <c r="EBL40" s="595"/>
      <c r="EBM40" s="595"/>
      <c r="EBN40" s="595"/>
      <c r="EBO40" s="595"/>
      <c r="EBP40" s="595"/>
      <c r="EBQ40" s="595"/>
      <c r="EBR40" s="595"/>
      <c r="EBS40" s="595"/>
      <c r="EBT40" s="595"/>
      <c r="EBU40" s="595"/>
      <c r="EBV40" s="595"/>
      <c r="EBW40" s="595"/>
      <c r="EBX40" s="595"/>
      <c r="EBY40" s="595"/>
      <c r="EBZ40" s="595"/>
      <c r="ECA40" s="595"/>
      <c r="ECB40" s="595"/>
      <c r="ECC40" s="595"/>
      <c r="ECD40" s="595"/>
      <c r="ECE40" s="595"/>
      <c r="ECF40" s="595"/>
      <c r="ECG40" s="595"/>
      <c r="ECH40" s="595"/>
      <c r="ECI40" s="595"/>
      <c r="ECJ40" s="595"/>
      <c r="ECK40" s="595"/>
      <c r="ECL40" s="595"/>
      <c r="ECM40" s="595"/>
      <c r="ECN40" s="595"/>
      <c r="ECO40" s="595"/>
      <c r="ECP40" s="595"/>
      <c r="ECQ40" s="595"/>
      <c r="ECR40" s="595"/>
      <c r="ECS40" s="595"/>
      <c r="ECT40" s="595"/>
      <c r="ECU40" s="595"/>
      <c r="ECV40" s="595"/>
      <c r="ECW40" s="595"/>
      <c r="ECX40" s="595"/>
      <c r="ECY40" s="595"/>
      <c r="ECZ40" s="595"/>
      <c r="EDA40" s="595"/>
      <c r="EDB40" s="595"/>
      <c r="EDC40" s="595"/>
      <c r="EDD40" s="595"/>
      <c r="EDE40" s="595"/>
      <c r="EDF40" s="595"/>
      <c r="EDG40" s="595"/>
      <c r="EDH40" s="595"/>
      <c r="EDI40" s="595"/>
      <c r="EDJ40" s="595"/>
      <c r="EDK40" s="595"/>
      <c r="EDL40" s="595"/>
      <c r="EDM40" s="595"/>
      <c r="EDN40" s="595"/>
      <c r="EDO40" s="595"/>
      <c r="EDP40" s="595"/>
      <c r="EDQ40" s="595"/>
      <c r="EDR40" s="595"/>
      <c r="EDS40" s="595"/>
      <c r="EDT40" s="595"/>
      <c r="EDU40" s="595"/>
      <c r="EDV40" s="595"/>
      <c r="EDW40" s="595"/>
      <c r="EDX40" s="595"/>
      <c r="EDY40" s="595"/>
      <c r="EDZ40" s="595"/>
      <c r="EEA40" s="595"/>
      <c r="EEB40" s="595"/>
      <c r="EEC40" s="595"/>
      <c r="EED40" s="595"/>
      <c r="EEE40" s="595"/>
      <c r="EEF40" s="595"/>
      <c r="EEG40" s="595"/>
      <c r="EEH40" s="595"/>
      <c r="EEI40" s="595"/>
      <c r="EEJ40" s="595"/>
      <c r="EEK40" s="595"/>
      <c r="EEL40" s="595"/>
      <c r="EEM40" s="595"/>
      <c r="EEN40" s="595"/>
      <c r="EEO40" s="595"/>
      <c r="EEP40" s="595"/>
      <c r="EEQ40" s="595"/>
      <c r="EER40" s="595"/>
      <c r="EES40" s="595"/>
      <c r="EET40" s="595"/>
      <c r="EEU40" s="595"/>
      <c r="EEV40" s="595"/>
      <c r="EEW40" s="595"/>
      <c r="EEX40" s="595"/>
      <c r="EEY40" s="595"/>
      <c r="EEZ40" s="595"/>
      <c r="EFA40" s="595"/>
      <c r="EFB40" s="595"/>
      <c r="EFC40" s="595"/>
      <c r="EFD40" s="595"/>
      <c r="EFE40" s="595"/>
      <c r="EFF40" s="595"/>
      <c r="EFG40" s="595"/>
      <c r="EFH40" s="595"/>
      <c r="EFI40" s="595"/>
      <c r="EFJ40" s="595"/>
      <c r="EFK40" s="595"/>
      <c r="EFL40" s="595"/>
      <c r="EFM40" s="595"/>
      <c r="EFN40" s="595"/>
      <c r="EFO40" s="595"/>
      <c r="EFP40" s="595"/>
      <c r="EFQ40" s="595"/>
      <c r="EFR40" s="595"/>
      <c r="EFS40" s="595"/>
      <c r="EFT40" s="595"/>
      <c r="EFU40" s="595"/>
      <c r="EFV40" s="595"/>
      <c r="EFW40" s="595"/>
      <c r="EFX40" s="595"/>
      <c r="EFY40" s="595"/>
      <c r="EFZ40" s="595"/>
      <c r="EGA40" s="595"/>
      <c r="EGB40" s="595"/>
      <c r="EGC40" s="595"/>
      <c r="EGD40" s="595"/>
      <c r="EGE40" s="595"/>
      <c r="EGF40" s="595"/>
      <c r="EGG40" s="595"/>
      <c r="EGH40" s="595"/>
      <c r="EGI40" s="595"/>
      <c r="EGJ40" s="595"/>
      <c r="EGK40" s="595"/>
      <c r="EGL40" s="595"/>
      <c r="EGM40" s="595"/>
      <c r="EGN40" s="595"/>
      <c r="EGO40" s="595"/>
      <c r="EGP40" s="595"/>
      <c r="EGQ40" s="595"/>
      <c r="EGR40" s="595"/>
      <c r="EGS40" s="595"/>
      <c r="EGT40" s="595"/>
      <c r="EGU40" s="595"/>
      <c r="EGV40" s="595"/>
      <c r="EGW40" s="595"/>
      <c r="EGX40" s="595"/>
      <c r="EGY40" s="595"/>
      <c r="EGZ40" s="595"/>
      <c r="EHA40" s="595"/>
      <c r="EHB40" s="595"/>
      <c r="EHC40" s="595"/>
      <c r="EHD40" s="595"/>
      <c r="EHE40" s="595"/>
      <c r="EHF40" s="595"/>
      <c r="EHG40" s="595"/>
      <c r="EHH40" s="595"/>
      <c r="EHI40" s="595"/>
      <c r="EHJ40" s="595"/>
      <c r="EHK40" s="595"/>
      <c r="EHL40" s="595"/>
      <c r="EHM40" s="595"/>
      <c r="EHN40" s="595"/>
      <c r="EHO40" s="595"/>
      <c r="EHP40" s="595"/>
      <c r="EHQ40" s="595"/>
      <c r="EHR40" s="595"/>
      <c r="EHS40" s="595"/>
      <c r="EHT40" s="595"/>
      <c r="EHU40" s="595"/>
      <c r="EHV40" s="595"/>
      <c r="EHW40" s="595"/>
      <c r="EHX40" s="595"/>
      <c r="EHY40" s="595"/>
      <c r="EHZ40" s="595"/>
      <c r="EIA40" s="595"/>
      <c r="EIB40" s="595"/>
      <c r="EIC40" s="595"/>
      <c r="EID40" s="595"/>
      <c r="EIE40" s="595"/>
      <c r="EIF40" s="595"/>
      <c r="EIG40" s="595"/>
      <c r="EIH40" s="595"/>
      <c r="EII40" s="595"/>
      <c r="EIJ40" s="595"/>
      <c r="EIK40" s="595"/>
      <c r="EIL40" s="595"/>
      <c r="EIM40" s="595"/>
      <c r="EIN40" s="595"/>
      <c r="EIO40" s="595"/>
      <c r="EIP40" s="595"/>
      <c r="EIQ40" s="595"/>
      <c r="EIR40" s="595"/>
      <c r="EIS40" s="595"/>
      <c r="EIT40" s="595"/>
      <c r="EIU40" s="595"/>
      <c r="EIV40" s="595"/>
      <c r="EIW40" s="595"/>
      <c r="EIX40" s="595"/>
      <c r="EIY40" s="595"/>
      <c r="EIZ40" s="595"/>
      <c r="EJA40" s="595"/>
      <c r="EJB40" s="595"/>
      <c r="EJC40" s="595"/>
      <c r="EJD40" s="595"/>
      <c r="EJE40" s="595"/>
      <c r="EJF40" s="595"/>
      <c r="EJG40" s="595"/>
      <c r="EJH40" s="595"/>
      <c r="EJI40" s="595"/>
      <c r="EJJ40" s="595"/>
      <c r="EJK40" s="595"/>
      <c r="EJL40" s="595"/>
      <c r="EJM40" s="595"/>
      <c r="EJN40" s="595"/>
      <c r="EJO40" s="595"/>
      <c r="EJP40" s="595"/>
      <c r="EJQ40" s="595"/>
      <c r="EJR40" s="595"/>
      <c r="EJS40" s="595"/>
      <c r="EJT40" s="595"/>
      <c r="EJU40" s="595"/>
      <c r="EJV40" s="595"/>
      <c r="EJW40" s="595"/>
      <c r="EJX40" s="595"/>
      <c r="EJY40" s="595"/>
      <c r="EJZ40" s="595"/>
      <c r="EKA40" s="595"/>
      <c r="EKB40" s="595"/>
      <c r="EKC40" s="595"/>
      <c r="EKD40" s="595"/>
      <c r="EKE40" s="595"/>
      <c r="EKF40" s="595"/>
      <c r="EKG40" s="595"/>
      <c r="EKH40" s="595"/>
      <c r="EKI40" s="595"/>
      <c r="EKJ40" s="595"/>
      <c r="EKK40" s="595"/>
      <c r="EKL40" s="595"/>
      <c r="EKM40" s="595"/>
      <c r="EKN40" s="595"/>
      <c r="EKO40" s="595"/>
      <c r="EKP40" s="595"/>
      <c r="EKQ40" s="595"/>
      <c r="EKR40" s="595"/>
      <c r="EKS40" s="595"/>
      <c r="EKT40" s="595"/>
      <c r="EKU40" s="595"/>
      <c r="EKV40" s="595"/>
      <c r="EKW40" s="595"/>
      <c r="EKX40" s="595"/>
      <c r="EKY40" s="595"/>
      <c r="EKZ40" s="595"/>
      <c r="ELA40" s="595"/>
      <c r="ELB40" s="595"/>
      <c r="ELC40" s="595"/>
      <c r="ELD40" s="595"/>
      <c r="ELE40" s="595"/>
      <c r="ELF40" s="595"/>
      <c r="ELG40" s="595"/>
      <c r="ELH40" s="595"/>
      <c r="ELI40" s="595"/>
      <c r="ELJ40" s="595"/>
      <c r="ELK40" s="595"/>
      <c r="ELL40" s="595"/>
      <c r="ELM40" s="595"/>
      <c r="ELN40" s="595"/>
      <c r="ELO40" s="595"/>
      <c r="ELP40" s="595"/>
      <c r="ELQ40" s="595"/>
      <c r="ELR40" s="595"/>
      <c r="ELS40" s="595"/>
      <c r="ELT40" s="595"/>
      <c r="ELU40" s="595"/>
      <c r="ELV40" s="595"/>
      <c r="ELW40" s="595"/>
      <c r="ELX40" s="595"/>
      <c r="ELY40" s="595"/>
      <c r="ELZ40" s="595"/>
      <c r="EMA40" s="595"/>
      <c r="EMB40" s="595"/>
      <c r="EMC40" s="595"/>
      <c r="EMD40" s="595"/>
      <c r="EME40" s="595"/>
      <c r="EMF40" s="595"/>
      <c r="EMG40" s="595"/>
      <c r="EMH40" s="595"/>
      <c r="EMI40" s="595"/>
      <c r="EMJ40" s="595"/>
      <c r="EMK40" s="595"/>
      <c r="EML40" s="595"/>
      <c r="EMM40" s="595"/>
      <c r="EMN40" s="595"/>
      <c r="EMO40" s="595"/>
      <c r="EMP40" s="595"/>
      <c r="EMQ40" s="595"/>
      <c r="EMR40" s="595"/>
      <c r="EMS40" s="595"/>
      <c r="EMT40" s="595"/>
      <c r="EMU40" s="595"/>
      <c r="EMV40" s="595"/>
      <c r="EMW40" s="595"/>
      <c r="EMX40" s="595"/>
      <c r="EMY40" s="595"/>
      <c r="EMZ40" s="595"/>
      <c r="ENA40" s="595"/>
      <c r="ENB40" s="595"/>
      <c r="ENC40" s="595"/>
      <c r="END40" s="595"/>
      <c r="ENE40" s="595"/>
      <c r="ENF40" s="595"/>
      <c r="ENG40" s="595"/>
      <c r="ENH40" s="595"/>
      <c r="ENI40" s="595"/>
      <c r="ENJ40" s="595"/>
      <c r="ENK40" s="595"/>
      <c r="ENL40" s="595"/>
      <c r="ENM40" s="595"/>
      <c r="ENN40" s="595"/>
      <c r="ENO40" s="595"/>
      <c r="ENP40" s="595"/>
      <c r="ENQ40" s="595"/>
      <c r="ENR40" s="595"/>
      <c r="ENS40" s="595"/>
      <c r="ENT40" s="595"/>
      <c r="ENU40" s="595"/>
      <c r="ENV40" s="595"/>
      <c r="ENW40" s="595"/>
      <c r="ENX40" s="595"/>
      <c r="ENY40" s="595"/>
      <c r="ENZ40" s="595"/>
      <c r="EOA40" s="595"/>
      <c r="EOB40" s="595"/>
      <c r="EOC40" s="595"/>
      <c r="EOD40" s="595"/>
      <c r="EOE40" s="595"/>
      <c r="EOF40" s="595"/>
      <c r="EOG40" s="595"/>
      <c r="EOH40" s="595"/>
      <c r="EOI40" s="595"/>
      <c r="EOJ40" s="595"/>
      <c r="EOK40" s="595"/>
      <c r="EOL40" s="595"/>
      <c r="EOM40" s="595"/>
      <c r="EON40" s="595"/>
      <c r="EOO40" s="595"/>
      <c r="EOP40" s="595"/>
      <c r="EOQ40" s="595"/>
      <c r="EOR40" s="595"/>
      <c r="EOS40" s="595"/>
      <c r="EOT40" s="595"/>
      <c r="EOU40" s="595"/>
      <c r="EOV40" s="595"/>
      <c r="EOW40" s="595"/>
      <c r="EOX40" s="595"/>
      <c r="EOY40" s="595"/>
      <c r="EOZ40" s="595"/>
      <c r="EPA40" s="595"/>
      <c r="EPB40" s="595"/>
      <c r="EPC40" s="595"/>
      <c r="EPD40" s="595"/>
      <c r="EPE40" s="595"/>
      <c r="EPF40" s="595"/>
      <c r="EPG40" s="595"/>
      <c r="EPH40" s="595"/>
      <c r="EPI40" s="595"/>
      <c r="EPJ40" s="595"/>
      <c r="EPK40" s="595"/>
      <c r="EPL40" s="595"/>
      <c r="EPM40" s="595"/>
      <c r="EPN40" s="595"/>
      <c r="EPO40" s="595"/>
      <c r="EPP40" s="595"/>
      <c r="EPQ40" s="595"/>
      <c r="EPR40" s="595"/>
      <c r="EPS40" s="595"/>
      <c r="EPT40" s="595"/>
      <c r="EPU40" s="595"/>
      <c r="EPV40" s="595"/>
      <c r="EPW40" s="595"/>
      <c r="EPX40" s="595"/>
      <c r="EPY40" s="595"/>
      <c r="EPZ40" s="595"/>
      <c r="EQA40" s="595"/>
      <c r="EQB40" s="595"/>
      <c r="EQC40" s="595"/>
      <c r="EQD40" s="595"/>
      <c r="EQE40" s="595"/>
      <c r="EQF40" s="595"/>
      <c r="EQG40" s="595"/>
      <c r="EQH40" s="595"/>
      <c r="EQI40" s="595"/>
      <c r="EQJ40" s="595"/>
      <c r="EQK40" s="595"/>
      <c r="EQL40" s="595"/>
      <c r="EQM40" s="595"/>
      <c r="EQN40" s="595"/>
      <c r="EQO40" s="595"/>
      <c r="EQP40" s="595"/>
      <c r="EQQ40" s="595"/>
      <c r="EQR40" s="595"/>
      <c r="EQS40" s="595"/>
      <c r="EQT40" s="595"/>
      <c r="EQU40" s="595"/>
      <c r="EQV40" s="595"/>
      <c r="EQW40" s="595"/>
      <c r="EQX40" s="595"/>
      <c r="EQY40" s="595"/>
      <c r="EQZ40" s="595"/>
      <c r="ERA40" s="595"/>
      <c r="ERB40" s="595"/>
      <c r="ERC40" s="595"/>
      <c r="ERD40" s="595"/>
      <c r="ERE40" s="595"/>
      <c r="ERF40" s="595"/>
      <c r="ERG40" s="595"/>
      <c r="ERH40" s="595"/>
      <c r="ERI40" s="595"/>
      <c r="ERJ40" s="595"/>
      <c r="ERK40" s="595"/>
      <c r="ERL40" s="595"/>
      <c r="ERM40" s="595"/>
      <c r="ERN40" s="595"/>
      <c r="ERO40" s="595"/>
      <c r="ERP40" s="595"/>
      <c r="ERQ40" s="595"/>
      <c r="ERR40" s="595"/>
      <c r="ERS40" s="595"/>
      <c r="ERT40" s="595"/>
      <c r="ERU40" s="595"/>
      <c r="ERV40" s="595"/>
      <c r="ERW40" s="595"/>
      <c r="ERX40" s="595"/>
      <c r="ERY40" s="595"/>
      <c r="ERZ40" s="595"/>
      <c r="ESA40" s="595"/>
      <c r="ESB40" s="595"/>
      <c r="ESC40" s="595"/>
      <c r="ESD40" s="595"/>
      <c r="ESE40" s="595"/>
      <c r="ESF40" s="595"/>
      <c r="ESG40" s="595"/>
      <c r="ESH40" s="595"/>
      <c r="ESI40" s="595"/>
      <c r="ESJ40" s="595"/>
      <c r="ESK40" s="595"/>
      <c r="ESL40" s="595"/>
      <c r="ESM40" s="595"/>
      <c r="ESN40" s="595"/>
      <c r="ESO40" s="595"/>
      <c r="ESP40" s="595"/>
      <c r="ESQ40" s="595"/>
      <c r="ESR40" s="595"/>
      <c r="ESS40" s="595"/>
      <c r="EST40" s="595"/>
      <c r="ESU40" s="595"/>
      <c r="ESV40" s="595"/>
      <c r="ESW40" s="595"/>
      <c r="ESX40" s="595"/>
      <c r="ESY40" s="595"/>
      <c r="ESZ40" s="595"/>
      <c r="ETA40" s="595"/>
      <c r="ETB40" s="595"/>
      <c r="ETC40" s="595"/>
      <c r="ETD40" s="595"/>
      <c r="ETE40" s="595"/>
      <c r="ETF40" s="595"/>
      <c r="ETG40" s="595"/>
      <c r="ETH40" s="595"/>
      <c r="ETI40" s="595"/>
      <c r="ETJ40" s="595"/>
      <c r="ETK40" s="595"/>
      <c r="ETL40" s="595"/>
      <c r="ETM40" s="595"/>
      <c r="ETN40" s="595"/>
      <c r="ETO40" s="595"/>
      <c r="ETP40" s="595"/>
      <c r="ETQ40" s="595"/>
      <c r="ETR40" s="595"/>
      <c r="ETS40" s="595"/>
      <c r="ETT40" s="595"/>
      <c r="ETU40" s="595"/>
      <c r="ETV40" s="595"/>
      <c r="ETW40" s="595"/>
      <c r="ETX40" s="595"/>
      <c r="ETY40" s="595"/>
      <c r="ETZ40" s="595"/>
      <c r="EUA40" s="595"/>
      <c r="EUB40" s="595"/>
      <c r="EUC40" s="595"/>
      <c r="EUD40" s="595"/>
      <c r="EUE40" s="595"/>
      <c r="EUF40" s="595"/>
      <c r="EUG40" s="595"/>
      <c r="EUH40" s="595"/>
      <c r="EUI40" s="595"/>
      <c r="EUJ40" s="595"/>
      <c r="EUK40" s="595"/>
      <c r="EUL40" s="595"/>
      <c r="EUM40" s="595"/>
      <c r="EUN40" s="595"/>
      <c r="EUO40" s="595"/>
      <c r="EUP40" s="595"/>
      <c r="EUQ40" s="595"/>
      <c r="EUR40" s="595"/>
      <c r="EUS40" s="595"/>
      <c r="EUT40" s="595"/>
      <c r="EUU40" s="595"/>
      <c r="EUV40" s="595"/>
      <c r="EUW40" s="595"/>
      <c r="EUX40" s="595"/>
      <c r="EUY40" s="595"/>
      <c r="EUZ40" s="595"/>
      <c r="EVA40" s="595"/>
      <c r="EVB40" s="595"/>
      <c r="EVC40" s="595"/>
      <c r="EVD40" s="595"/>
      <c r="EVE40" s="595"/>
      <c r="EVF40" s="595"/>
      <c r="EVG40" s="595"/>
      <c r="EVH40" s="595"/>
      <c r="EVI40" s="595"/>
      <c r="EVJ40" s="595"/>
      <c r="EVK40" s="595"/>
      <c r="EVL40" s="595"/>
      <c r="EVM40" s="595"/>
      <c r="EVN40" s="595"/>
      <c r="EVO40" s="595"/>
      <c r="EVP40" s="595"/>
      <c r="EVQ40" s="595"/>
      <c r="EVR40" s="595"/>
      <c r="EVS40" s="595"/>
      <c r="EVT40" s="595"/>
      <c r="EVU40" s="595"/>
      <c r="EVV40" s="595"/>
      <c r="EVW40" s="595"/>
      <c r="EVX40" s="595"/>
      <c r="EVY40" s="595"/>
      <c r="EVZ40" s="595"/>
      <c r="EWA40" s="595"/>
      <c r="EWB40" s="595"/>
      <c r="EWC40" s="595"/>
      <c r="EWD40" s="595"/>
      <c r="EWE40" s="595"/>
      <c r="EWF40" s="595"/>
      <c r="EWG40" s="595"/>
      <c r="EWH40" s="595"/>
      <c r="EWI40" s="595"/>
      <c r="EWJ40" s="595"/>
      <c r="EWK40" s="595"/>
      <c r="EWL40" s="595"/>
      <c r="EWM40" s="595"/>
      <c r="EWN40" s="595"/>
      <c r="EWO40" s="595"/>
      <c r="EWP40" s="595"/>
      <c r="EWQ40" s="595"/>
      <c r="EWR40" s="595"/>
      <c r="EWS40" s="595"/>
      <c r="EWT40" s="595"/>
      <c r="EWU40" s="595"/>
      <c r="EWV40" s="595"/>
      <c r="EWW40" s="595"/>
      <c r="EWX40" s="595"/>
      <c r="EWY40" s="595"/>
      <c r="EWZ40" s="595"/>
      <c r="EXA40" s="595"/>
      <c r="EXB40" s="595"/>
      <c r="EXC40" s="595"/>
      <c r="EXD40" s="595"/>
      <c r="EXE40" s="595"/>
      <c r="EXF40" s="595"/>
      <c r="EXG40" s="595"/>
      <c r="EXH40" s="595"/>
      <c r="EXI40" s="595"/>
      <c r="EXJ40" s="595"/>
      <c r="EXK40" s="595"/>
      <c r="EXL40" s="595"/>
      <c r="EXM40" s="595"/>
      <c r="EXN40" s="595"/>
      <c r="EXO40" s="595"/>
      <c r="EXP40" s="595"/>
      <c r="EXQ40" s="595"/>
      <c r="EXR40" s="595"/>
      <c r="EXS40" s="595"/>
      <c r="EXT40" s="595"/>
      <c r="EXU40" s="595"/>
      <c r="EXV40" s="595"/>
      <c r="EXW40" s="595"/>
      <c r="EXX40" s="595"/>
      <c r="EXY40" s="595"/>
      <c r="EXZ40" s="595"/>
      <c r="EYA40" s="595"/>
      <c r="EYB40" s="595"/>
      <c r="EYC40" s="595"/>
      <c r="EYD40" s="595"/>
      <c r="EYE40" s="595"/>
      <c r="EYF40" s="595"/>
      <c r="EYG40" s="595"/>
      <c r="EYH40" s="595"/>
      <c r="EYI40" s="595"/>
      <c r="EYJ40" s="595"/>
      <c r="EYK40" s="595"/>
      <c r="EYL40" s="595"/>
      <c r="EYM40" s="595"/>
      <c r="EYN40" s="595"/>
      <c r="EYO40" s="595"/>
      <c r="EYP40" s="595"/>
      <c r="EYQ40" s="595"/>
      <c r="EYR40" s="595"/>
      <c r="EYS40" s="595"/>
      <c r="EYT40" s="595"/>
      <c r="EYU40" s="595"/>
      <c r="EYV40" s="595"/>
      <c r="EYW40" s="595"/>
      <c r="EYX40" s="595"/>
      <c r="EYY40" s="595"/>
      <c r="EYZ40" s="595"/>
      <c r="EZA40" s="595"/>
      <c r="EZB40" s="595"/>
      <c r="EZC40" s="595"/>
      <c r="EZD40" s="595"/>
      <c r="EZE40" s="595"/>
      <c r="EZF40" s="595"/>
      <c r="EZG40" s="595"/>
      <c r="EZH40" s="595"/>
      <c r="EZI40" s="595"/>
      <c r="EZJ40" s="595"/>
      <c r="EZK40" s="595"/>
      <c r="EZL40" s="595"/>
      <c r="EZM40" s="595"/>
      <c r="EZN40" s="595"/>
      <c r="EZO40" s="595"/>
      <c r="EZP40" s="595"/>
      <c r="EZQ40" s="595"/>
      <c r="EZR40" s="595"/>
      <c r="EZS40" s="595"/>
      <c r="EZT40" s="595"/>
      <c r="EZU40" s="595"/>
      <c r="EZV40" s="595"/>
      <c r="EZW40" s="595"/>
      <c r="EZX40" s="595"/>
      <c r="EZY40" s="595"/>
      <c r="EZZ40" s="595"/>
      <c r="FAA40" s="595"/>
      <c r="FAB40" s="595"/>
      <c r="FAC40" s="595"/>
      <c r="FAD40" s="595"/>
      <c r="FAE40" s="595"/>
      <c r="FAF40" s="595"/>
      <c r="FAG40" s="595"/>
      <c r="FAH40" s="595"/>
      <c r="FAI40" s="595"/>
      <c r="FAJ40" s="595"/>
      <c r="FAK40" s="595"/>
      <c r="FAL40" s="595"/>
      <c r="FAM40" s="595"/>
      <c r="FAN40" s="595"/>
      <c r="FAO40" s="595"/>
      <c r="FAP40" s="595"/>
      <c r="FAQ40" s="595"/>
      <c r="FAR40" s="595"/>
      <c r="FAS40" s="595"/>
      <c r="FAT40" s="595"/>
      <c r="FAU40" s="595"/>
      <c r="FAV40" s="595"/>
      <c r="FAW40" s="595"/>
      <c r="FAX40" s="595"/>
      <c r="FAY40" s="595"/>
      <c r="FAZ40" s="595"/>
      <c r="FBA40" s="595"/>
      <c r="FBB40" s="595"/>
      <c r="FBC40" s="595"/>
      <c r="FBD40" s="595"/>
      <c r="FBE40" s="595"/>
      <c r="FBF40" s="595"/>
      <c r="FBG40" s="595"/>
      <c r="FBH40" s="595"/>
      <c r="FBI40" s="595"/>
      <c r="FBJ40" s="595"/>
      <c r="FBK40" s="595"/>
      <c r="FBL40" s="595"/>
      <c r="FBM40" s="595"/>
      <c r="FBN40" s="595"/>
      <c r="FBO40" s="595"/>
      <c r="FBP40" s="595"/>
      <c r="FBQ40" s="595"/>
      <c r="FBR40" s="595"/>
      <c r="FBS40" s="595"/>
      <c r="FBT40" s="595"/>
      <c r="FBU40" s="595"/>
      <c r="FBV40" s="595"/>
      <c r="FBW40" s="595"/>
      <c r="FBX40" s="595"/>
      <c r="FBY40" s="595"/>
      <c r="FBZ40" s="595"/>
      <c r="FCA40" s="595"/>
      <c r="FCB40" s="595"/>
      <c r="FCC40" s="595"/>
      <c r="FCD40" s="595"/>
      <c r="FCE40" s="595"/>
      <c r="FCF40" s="595"/>
      <c r="FCG40" s="595"/>
      <c r="FCH40" s="595"/>
      <c r="FCI40" s="595"/>
      <c r="FCJ40" s="595"/>
      <c r="FCK40" s="595"/>
      <c r="FCL40" s="595"/>
      <c r="FCM40" s="595"/>
      <c r="FCN40" s="595"/>
      <c r="FCO40" s="595"/>
      <c r="FCP40" s="595"/>
      <c r="FCQ40" s="595"/>
      <c r="FCR40" s="595"/>
      <c r="FCS40" s="595"/>
      <c r="FCT40" s="595"/>
      <c r="FCU40" s="595"/>
      <c r="FCV40" s="595"/>
      <c r="FCW40" s="595"/>
      <c r="FCX40" s="595"/>
      <c r="FCY40" s="595"/>
      <c r="FCZ40" s="595"/>
      <c r="FDA40" s="595"/>
      <c r="FDB40" s="595"/>
      <c r="FDC40" s="595"/>
      <c r="FDD40" s="595"/>
      <c r="FDE40" s="595"/>
      <c r="FDF40" s="595"/>
      <c r="FDG40" s="595"/>
      <c r="FDH40" s="595"/>
      <c r="FDI40" s="595"/>
      <c r="FDJ40" s="595"/>
      <c r="FDK40" s="595"/>
      <c r="FDL40" s="595"/>
      <c r="FDM40" s="595"/>
      <c r="FDN40" s="595"/>
      <c r="FDO40" s="595"/>
      <c r="FDP40" s="595"/>
      <c r="FDQ40" s="595"/>
      <c r="FDR40" s="595"/>
      <c r="FDS40" s="595"/>
      <c r="FDT40" s="595"/>
      <c r="FDU40" s="595"/>
      <c r="FDV40" s="595"/>
      <c r="FDW40" s="595"/>
      <c r="FDX40" s="595"/>
      <c r="FDY40" s="595"/>
      <c r="FDZ40" s="595"/>
      <c r="FEA40" s="595"/>
      <c r="FEB40" s="595"/>
      <c r="FEC40" s="595"/>
      <c r="FED40" s="595"/>
      <c r="FEE40" s="595"/>
      <c r="FEF40" s="595"/>
      <c r="FEG40" s="595"/>
      <c r="FEH40" s="595"/>
      <c r="FEI40" s="595"/>
      <c r="FEJ40" s="595"/>
      <c r="FEK40" s="595"/>
      <c r="FEL40" s="595"/>
      <c r="FEM40" s="595"/>
      <c r="FEN40" s="595"/>
      <c r="FEO40" s="595"/>
      <c r="FEP40" s="595"/>
      <c r="FEQ40" s="595"/>
      <c r="FER40" s="595"/>
      <c r="FES40" s="595"/>
      <c r="FET40" s="595"/>
      <c r="FEU40" s="595"/>
      <c r="FEV40" s="595"/>
      <c r="FEW40" s="595"/>
      <c r="FEX40" s="595"/>
      <c r="FEY40" s="595"/>
      <c r="FEZ40" s="595"/>
      <c r="FFA40" s="595"/>
      <c r="FFB40" s="595"/>
      <c r="FFC40" s="595"/>
      <c r="FFD40" s="595"/>
      <c r="FFE40" s="595"/>
      <c r="FFF40" s="595"/>
      <c r="FFG40" s="595"/>
      <c r="FFH40" s="595"/>
      <c r="FFI40" s="595"/>
      <c r="FFJ40" s="595"/>
      <c r="FFK40" s="595"/>
      <c r="FFL40" s="595"/>
      <c r="FFM40" s="595"/>
      <c r="FFN40" s="595"/>
      <c r="FFO40" s="595"/>
      <c r="FFP40" s="595"/>
      <c r="FFQ40" s="595"/>
      <c r="FFR40" s="595"/>
      <c r="FFS40" s="595"/>
      <c r="FFT40" s="595"/>
      <c r="FFU40" s="595"/>
      <c r="FFV40" s="595"/>
      <c r="FFW40" s="595"/>
      <c r="FFX40" s="595"/>
      <c r="FFY40" s="595"/>
      <c r="FFZ40" s="595"/>
      <c r="FGA40" s="595"/>
      <c r="FGB40" s="595"/>
      <c r="FGC40" s="595"/>
      <c r="FGD40" s="595"/>
      <c r="FGE40" s="595"/>
      <c r="FGF40" s="595"/>
      <c r="FGG40" s="595"/>
      <c r="FGH40" s="595"/>
      <c r="FGI40" s="595"/>
      <c r="FGJ40" s="595"/>
      <c r="FGK40" s="595"/>
      <c r="FGL40" s="595"/>
      <c r="FGM40" s="595"/>
      <c r="FGN40" s="595"/>
      <c r="FGO40" s="595"/>
      <c r="FGP40" s="595"/>
      <c r="FGQ40" s="595"/>
      <c r="FGR40" s="595"/>
      <c r="FGS40" s="595"/>
      <c r="FGT40" s="595"/>
      <c r="FGU40" s="595"/>
      <c r="FGV40" s="595"/>
      <c r="FGW40" s="595"/>
      <c r="FGX40" s="595"/>
      <c r="FGY40" s="595"/>
      <c r="FGZ40" s="595"/>
      <c r="FHA40" s="595"/>
      <c r="FHB40" s="595"/>
      <c r="FHC40" s="595"/>
      <c r="FHD40" s="595"/>
      <c r="FHE40" s="595"/>
      <c r="FHF40" s="595"/>
      <c r="FHG40" s="595"/>
      <c r="FHH40" s="595"/>
      <c r="FHI40" s="595"/>
      <c r="FHJ40" s="595"/>
      <c r="FHK40" s="595"/>
      <c r="FHL40" s="595"/>
      <c r="FHM40" s="595"/>
      <c r="FHN40" s="595"/>
      <c r="FHO40" s="595"/>
      <c r="FHP40" s="595"/>
      <c r="FHQ40" s="595"/>
      <c r="FHR40" s="595"/>
      <c r="FHS40" s="595"/>
      <c r="FHT40" s="595"/>
      <c r="FHU40" s="595"/>
      <c r="FHV40" s="595"/>
      <c r="FHW40" s="595"/>
      <c r="FHX40" s="595"/>
      <c r="FHY40" s="595"/>
      <c r="FHZ40" s="595"/>
      <c r="FIA40" s="595"/>
      <c r="FIB40" s="595"/>
      <c r="FIC40" s="595"/>
      <c r="FID40" s="595"/>
      <c r="FIE40" s="595"/>
      <c r="FIF40" s="595"/>
      <c r="FIG40" s="595"/>
      <c r="FIH40" s="595"/>
      <c r="FII40" s="595"/>
      <c r="FIJ40" s="595"/>
      <c r="FIK40" s="595"/>
      <c r="FIL40" s="595"/>
      <c r="FIM40" s="595"/>
      <c r="FIN40" s="595"/>
      <c r="FIO40" s="595"/>
      <c r="FIP40" s="595"/>
      <c r="FIQ40" s="595"/>
      <c r="FIR40" s="595"/>
      <c r="FIS40" s="595"/>
      <c r="FIT40" s="595"/>
      <c r="FIU40" s="595"/>
      <c r="FIV40" s="595"/>
      <c r="FIW40" s="595"/>
      <c r="FIX40" s="595"/>
      <c r="FIY40" s="595"/>
      <c r="FIZ40" s="595"/>
      <c r="FJA40" s="595"/>
      <c r="FJB40" s="595"/>
      <c r="FJC40" s="595"/>
      <c r="FJD40" s="595"/>
      <c r="FJE40" s="595"/>
      <c r="FJF40" s="595"/>
      <c r="FJG40" s="595"/>
      <c r="FJH40" s="595"/>
      <c r="FJI40" s="595"/>
      <c r="FJJ40" s="595"/>
      <c r="FJK40" s="595"/>
      <c r="FJL40" s="595"/>
      <c r="FJM40" s="595"/>
      <c r="FJN40" s="595"/>
      <c r="FJO40" s="595"/>
      <c r="FJP40" s="595"/>
      <c r="FJQ40" s="595"/>
      <c r="FJR40" s="595"/>
      <c r="FJS40" s="595"/>
      <c r="FJT40" s="595"/>
      <c r="FJU40" s="595"/>
      <c r="FJV40" s="595"/>
      <c r="FJW40" s="595"/>
      <c r="FJX40" s="595"/>
      <c r="FJY40" s="595"/>
      <c r="FJZ40" s="595"/>
      <c r="FKA40" s="595"/>
      <c r="FKB40" s="595"/>
      <c r="FKC40" s="595"/>
      <c r="FKD40" s="595"/>
      <c r="FKE40" s="595"/>
      <c r="FKF40" s="595"/>
      <c r="FKG40" s="595"/>
      <c r="FKH40" s="595"/>
      <c r="FKI40" s="595"/>
      <c r="FKJ40" s="595"/>
      <c r="FKK40" s="595"/>
      <c r="FKL40" s="595"/>
      <c r="FKM40" s="595"/>
      <c r="FKN40" s="595"/>
      <c r="FKO40" s="595"/>
      <c r="FKP40" s="595"/>
      <c r="FKQ40" s="595"/>
      <c r="FKR40" s="595"/>
      <c r="FKS40" s="595"/>
      <c r="FKT40" s="595"/>
      <c r="FKU40" s="595"/>
      <c r="FKV40" s="595"/>
      <c r="FKW40" s="595"/>
      <c r="FKX40" s="595"/>
      <c r="FKY40" s="595"/>
      <c r="FKZ40" s="595"/>
      <c r="FLA40" s="595"/>
      <c r="FLB40" s="595"/>
      <c r="FLC40" s="595"/>
      <c r="FLD40" s="595"/>
      <c r="FLE40" s="595"/>
      <c r="FLF40" s="595"/>
      <c r="FLG40" s="595"/>
      <c r="FLH40" s="595"/>
      <c r="FLI40" s="595"/>
      <c r="FLJ40" s="595"/>
      <c r="FLK40" s="595"/>
      <c r="FLL40" s="595"/>
      <c r="FLM40" s="595"/>
      <c r="FLN40" s="595"/>
      <c r="FLO40" s="595"/>
      <c r="FLP40" s="595"/>
      <c r="FLQ40" s="595"/>
      <c r="FLR40" s="595"/>
      <c r="FLS40" s="595"/>
      <c r="FLT40" s="595"/>
      <c r="FLU40" s="595"/>
      <c r="FLV40" s="595"/>
      <c r="FLW40" s="595"/>
      <c r="FLX40" s="595"/>
      <c r="FLY40" s="595"/>
      <c r="FLZ40" s="595"/>
      <c r="FMA40" s="595"/>
      <c r="FMB40" s="595"/>
      <c r="FMC40" s="595"/>
      <c r="FMD40" s="595"/>
      <c r="FME40" s="595"/>
      <c r="FMF40" s="595"/>
      <c r="FMG40" s="595"/>
      <c r="FMH40" s="595"/>
      <c r="FMI40" s="595"/>
      <c r="FMJ40" s="595"/>
      <c r="FMK40" s="595"/>
      <c r="FML40" s="595"/>
      <c r="FMM40" s="595"/>
      <c r="FMN40" s="595"/>
      <c r="FMO40" s="595"/>
      <c r="FMP40" s="595"/>
      <c r="FMQ40" s="595"/>
      <c r="FMR40" s="595"/>
      <c r="FMS40" s="595"/>
      <c r="FMT40" s="595"/>
      <c r="FMU40" s="595"/>
      <c r="FMV40" s="595"/>
      <c r="FMW40" s="595"/>
      <c r="FMX40" s="595"/>
      <c r="FMY40" s="595"/>
      <c r="FMZ40" s="595"/>
      <c r="FNA40" s="595"/>
      <c r="FNB40" s="595"/>
      <c r="FNC40" s="595"/>
      <c r="FND40" s="595"/>
      <c r="FNE40" s="595"/>
      <c r="FNF40" s="595"/>
      <c r="FNG40" s="595"/>
      <c r="FNH40" s="595"/>
      <c r="FNI40" s="595"/>
      <c r="FNJ40" s="595"/>
      <c r="FNK40" s="595"/>
      <c r="FNL40" s="595"/>
      <c r="FNM40" s="595"/>
      <c r="FNN40" s="595"/>
      <c r="FNO40" s="595"/>
      <c r="FNP40" s="595"/>
      <c r="FNQ40" s="595"/>
      <c r="FNR40" s="595"/>
      <c r="FNS40" s="595"/>
      <c r="FNT40" s="595"/>
      <c r="FNU40" s="595"/>
      <c r="FNV40" s="595"/>
      <c r="FNW40" s="595"/>
      <c r="FNX40" s="595"/>
      <c r="FNY40" s="595"/>
      <c r="FNZ40" s="595"/>
      <c r="FOA40" s="595"/>
      <c r="FOB40" s="595"/>
      <c r="FOC40" s="595"/>
      <c r="FOD40" s="595"/>
      <c r="FOE40" s="595"/>
      <c r="FOF40" s="595"/>
      <c r="FOG40" s="595"/>
      <c r="FOH40" s="595"/>
      <c r="FOI40" s="595"/>
      <c r="FOJ40" s="595"/>
      <c r="FOK40" s="595"/>
      <c r="FOL40" s="595"/>
      <c r="FOM40" s="595"/>
      <c r="FON40" s="595"/>
      <c r="FOO40" s="595"/>
      <c r="FOP40" s="595"/>
      <c r="FOQ40" s="595"/>
      <c r="FOR40" s="595"/>
      <c r="FOS40" s="595"/>
      <c r="FOT40" s="595"/>
      <c r="FOU40" s="595"/>
      <c r="FOV40" s="595"/>
      <c r="FOW40" s="595"/>
      <c r="FOX40" s="595"/>
      <c r="FOY40" s="595"/>
      <c r="FOZ40" s="595"/>
      <c r="FPA40" s="595"/>
      <c r="FPB40" s="595"/>
      <c r="FPC40" s="595"/>
      <c r="FPD40" s="595"/>
      <c r="FPE40" s="595"/>
      <c r="FPF40" s="595"/>
      <c r="FPG40" s="595"/>
      <c r="FPH40" s="595"/>
      <c r="FPI40" s="595"/>
      <c r="FPJ40" s="595"/>
      <c r="FPK40" s="595"/>
      <c r="FPL40" s="595"/>
      <c r="FPM40" s="595"/>
      <c r="FPN40" s="595"/>
      <c r="FPO40" s="595"/>
      <c r="FPP40" s="595"/>
      <c r="FPQ40" s="595"/>
      <c r="FPR40" s="595"/>
      <c r="FPS40" s="595"/>
      <c r="FPT40" s="595"/>
      <c r="FPU40" s="595"/>
      <c r="FPV40" s="595"/>
      <c r="FPW40" s="595"/>
      <c r="FPX40" s="595"/>
      <c r="FPY40" s="595"/>
      <c r="FPZ40" s="595"/>
      <c r="FQA40" s="595"/>
      <c r="FQB40" s="595"/>
      <c r="FQC40" s="595"/>
      <c r="FQD40" s="595"/>
      <c r="FQE40" s="595"/>
      <c r="FQF40" s="595"/>
      <c r="FQG40" s="595"/>
      <c r="FQH40" s="595"/>
      <c r="FQI40" s="595"/>
      <c r="FQJ40" s="595"/>
      <c r="FQK40" s="595"/>
      <c r="FQL40" s="595"/>
      <c r="FQM40" s="595"/>
      <c r="FQN40" s="595"/>
      <c r="FQO40" s="595"/>
      <c r="FQP40" s="595"/>
      <c r="FQQ40" s="595"/>
      <c r="FQR40" s="595"/>
      <c r="FQS40" s="595"/>
      <c r="FQT40" s="595"/>
      <c r="FQU40" s="595"/>
      <c r="FQV40" s="595"/>
      <c r="FQW40" s="595"/>
      <c r="FQX40" s="595"/>
      <c r="FQY40" s="595"/>
      <c r="FQZ40" s="595"/>
      <c r="FRA40" s="595"/>
      <c r="FRB40" s="595"/>
      <c r="FRC40" s="595"/>
      <c r="FRD40" s="595"/>
      <c r="FRE40" s="595"/>
      <c r="FRF40" s="595"/>
      <c r="FRG40" s="595"/>
      <c r="FRH40" s="595"/>
      <c r="FRI40" s="595"/>
      <c r="FRJ40" s="595"/>
      <c r="FRK40" s="595"/>
      <c r="FRL40" s="595"/>
      <c r="FRM40" s="595"/>
      <c r="FRN40" s="595"/>
      <c r="FRO40" s="595"/>
      <c r="FRP40" s="595"/>
      <c r="FRQ40" s="595"/>
      <c r="FRR40" s="595"/>
      <c r="FRS40" s="595"/>
      <c r="FRT40" s="595"/>
      <c r="FRU40" s="595"/>
      <c r="FRV40" s="595"/>
      <c r="FRW40" s="595"/>
      <c r="FRX40" s="595"/>
      <c r="FRY40" s="595"/>
      <c r="FRZ40" s="595"/>
      <c r="FSA40" s="595"/>
      <c r="FSB40" s="595"/>
      <c r="FSC40" s="595"/>
      <c r="FSD40" s="595"/>
      <c r="FSE40" s="595"/>
      <c r="FSF40" s="595"/>
      <c r="FSG40" s="595"/>
      <c r="FSH40" s="595"/>
      <c r="FSI40" s="595"/>
      <c r="FSJ40" s="595"/>
      <c r="FSK40" s="595"/>
      <c r="FSL40" s="595"/>
      <c r="FSM40" s="595"/>
      <c r="FSN40" s="595"/>
      <c r="FSO40" s="595"/>
      <c r="FSP40" s="595"/>
      <c r="FSQ40" s="595"/>
      <c r="FSR40" s="595"/>
      <c r="FSS40" s="595"/>
      <c r="FST40" s="595"/>
      <c r="FSU40" s="595"/>
      <c r="FSV40" s="595"/>
      <c r="FSW40" s="595"/>
      <c r="FSX40" s="595"/>
      <c r="FSY40" s="595"/>
      <c r="FSZ40" s="595"/>
      <c r="FTA40" s="595"/>
      <c r="FTB40" s="595"/>
      <c r="FTC40" s="595"/>
      <c r="FTD40" s="595"/>
      <c r="FTE40" s="595"/>
      <c r="FTF40" s="595"/>
      <c r="FTG40" s="595"/>
      <c r="FTH40" s="595"/>
      <c r="FTI40" s="595"/>
      <c r="FTJ40" s="595"/>
      <c r="FTK40" s="595"/>
      <c r="FTL40" s="595"/>
      <c r="FTM40" s="595"/>
      <c r="FTN40" s="595"/>
      <c r="FTO40" s="595"/>
      <c r="FTP40" s="595"/>
      <c r="FTQ40" s="595"/>
      <c r="FTR40" s="595"/>
      <c r="FTS40" s="595"/>
      <c r="FTT40" s="595"/>
      <c r="FTU40" s="595"/>
      <c r="FTV40" s="595"/>
      <c r="FTW40" s="595"/>
      <c r="FTX40" s="595"/>
      <c r="FTY40" s="595"/>
      <c r="FTZ40" s="595"/>
      <c r="FUA40" s="595"/>
      <c r="FUB40" s="595"/>
      <c r="FUC40" s="595"/>
      <c r="FUD40" s="595"/>
      <c r="FUE40" s="595"/>
      <c r="FUF40" s="595"/>
      <c r="FUG40" s="595"/>
      <c r="FUH40" s="595"/>
      <c r="FUI40" s="595"/>
      <c r="FUJ40" s="595"/>
      <c r="FUK40" s="595"/>
      <c r="FUL40" s="595"/>
      <c r="FUM40" s="595"/>
      <c r="FUN40" s="595"/>
      <c r="FUO40" s="595"/>
      <c r="FUP40" s="595"/>
      <c r="FUQ40" s="595"/>
      <c r="FUR40" s="595"/>
      <c r="FUS40" s="595"/>
      <c r="FUT40" s="595"/>
      <c r="FUU40" s="595"/>
      <c r="FUV40" s="595"/>
      <c r="FUW40" s="595"/>
      <c r="FUX40" s="595"/>
      <c r="FUY40" s="595"/>
      <c r="FUZ40" s="595"/>
      <c r="FVA40" s="595"/>
      <c r="FVB40" s="595"/>
      <c r="FVC40" s="595"/>
      <c r="FVD40" s="595"/>
      <c r="FVE40" s="595"/>
      <c r="FVF40" s="595"/>
      <c r="FVG40" s="595"/>
      <c r="FVH40" s="595"/>
      <c r="FVI40" s="595"/>
      <c r="FVJ40" s="595"/>
      <c r="FVK40" s="595"/>
      <c r="FVL40" s="595"/>
      <c r="FVM40" s="595"/>
      <c r="FVN40" s="595"/>
      <c r="FVO40" s="595"/>
      <c r="FVP40" s="595"/>
      <c r="FVQ40" s="595"/>
      <c r="FVR40" s="595"/>
      <c r="FVS40" s="595"/>
      <c r="FVT40" s="595"/>
      <c r="FVU40" s="595"/>
      <c r="FVV40" s="595"/>
      <c r="FVW40" s="595"/>
      <c r="FVX40" s="595"/>
      <c r="FVY40" s="595"/>
      <c r="FVZ40" s="595"/>
      <c r="FWA40" s="595"/>
      <c r="FWB40" s="595"/>
      <c r="FWC40" s="595"/>
      <c r="FWD40" s="595"/>
      <c r="FWE40" s="595"/>
      <c r="FWF40" s="595"/>
      <c r="FWG40" s="595"/>
      <c r="FWH40" s="595"/>
      <c r="FWI40" s="595"/>
      <c r="FWJ40" s="595"/>
      <c r="FWK40" s="595"/>
      <c r="FWL40" s="595"/>
      <c r="FWM40" s="595"/>
      <c r="FWN40" s="595"/>
      <c r="FWO40" s="595"/>
      <c r="FWP40" s="595"/>
      <c r="FWQ40" s="595"/>
      <c r="FWR40" s="595"/>
      <c r="FWS40" s="595"/>
      <c r="FWT40" s="595"/>
      <c r="FWU40" s="595"/>
      <c r="FWV40" s="595"/>
      <c r="FWW40" s="595"/>
      <c r="FWX40" s="595"/>
      <c r="FWY40" s="595"/>
      <c r="FWZ40" s="595"/>
      <c r="FXA40" s="595"/>
      <c r="FXB40" s="595"/>
      <c r="FXC40" s="595"/>
      <c r="FXD40" s="595"/>
      <c r="FXE40" s="595"/>
      <c r="FXF40" s="595"/>
      <c r="FXG40" s="595"/>
      <c r="FXH40" s="595"/>
      <c r="FXI40" s="595"/>
      <c r="FXJ40" s="595"/>
      <c r="FXK40" s="595"/>
      <c r="FXL40" s="595"/>
      <c r="FXM40" s="595"/>
      <c r="FXN40" s="595"/>
      <c r="FXO40" s="595"/>
      <c r="FXP40" s="595"/>
      <c r="FXQ40" s="595"/>
      <c r="FXR40" s="595"/>
      <c r="FXS40" s="595"/>
      <c r="FXT40" s="595"/>
      <c r="FXU40" s="595"/>
      <c r="FXV40" s="595"/>
      <c r="FXW40" s="595"/>
      <c r="FXX40" s="595"/>
      <c r="FXY40" s="595"/>
      <c r="FXZ40" s="595"/>
      <c r="FYA40" s="595"/>
      <c r="FYB40" s="595"/>
      <c r="FYC40" s="595"/>
      <c r="FYD40" s="595"/>
      <c r="FYE40" s="595"/>
      <c r="FYF40" s="595"/>
      <c r="FYG40" s="595"/>
      <c r="FYH40" s="595"/>
      <c r="FYI40" s="595"/>
      <c r="FYJ40" s="595"/>
      <c r="FYK40" s="595"/>
      <c r="FYL40" s="595"/>
      <c r="FYM40" s="595"/>
      <c r="FYN40" s="595"/>
      <c r="FYO40" s="595"/>
      <c r="FYP40" s="595"/>
      <c r="FYQ40" s="595"/>
      <c r="FYR40" s="595"/>
      <c r="FYS40" s="595"/>
      <c r="FYT40" s="595"/>
      <c r="FYU40" s="595"/>
      <c r="FYV40" s="595"/>
      <c r="FYW40" s="595"/>
      <c r="FYX40" s="595"/>
      <c r="FYY40" s="595"/>
      <c r="FYZ40" s="595"/>
      <c r="FZA40" s="595"/>
      <c r="FZB40" s="595"/>
      <c r="FZC40" s="595"/>
      <c r="FZD40" s="595"/>
      <c r="FZE40" s="595"/>
      <c r="FZF40" s="595"/>
      <c r="FZG40" s="595"/>
      <c r="FZH40" s="595"/>
      <c r="FZI40" s="595"/>
      <c r="FZJ40" s="595"/>
      <c r="FZK40" s="595"/>
      <c r="FZL40" s="595"/>
      <c r="FZM40" s="595"/>
      <c r="FZN40" s="595"/>
      <c r="FZO40" s="595"/>
      <c r="FZP40" s="595"/>
      <c r="FZQ40" s="595"/>
      <c r="FZR40" s="595"/>
      <c r="FZS40" s="595"/>
      <c r="FZT40" s="595"/>
      <c r="FZU40" s="595"/>
      <c r="FZV40" s="595"/>
      <c r="FZW40" s="595"/>
      <c r="FZX40" s="595"/>
      <c r="FZY40" s="595"/>
      <c r="FZZ40" s="595"/>
      <c r="GAA40" s="595"/>
      <c r="GAB40" s="595"/>
      <c r="GAC40" s="595"/>
      <c r="GAD40" s="595"/>
      <c r="GAE40" s="595"/>
      <c r="GAF40" s="595"/>
      <c r="GAG40" s="595"/>
      <c r="GAH40" s="595"/>
      <c r="GAI40" s="595"/>
      <c r="GAJ40" s="595"/>
      <c r="GAK40" s="595"/>
      <c r="GAL40" s="595"/>
      <c r="GAM40" s="595"/>
      <c r="GAN40" s="595"/>
      <c r="GAO40" s="595"/>
      <c r="GAP40" s="595"/>
      <c r="GAQ40" s="595"/>
      <c r="GAR40" s="595"/>
      <c r="GAS40" s="595"/>
      <c r="GAT40" s="595"/>
      <c r="GAU40" s="595"/>
      <c r="GAV40" s="595"/>
      <c r="GAW40" s="595"/>
      <c r="GAX40" s="595"/>
      <c r="GAY40" s="595"/>
      <c r="GAZ40" s="595"/>
      <c r="GBA40" s="595"/>
      <c r="GBB40" s="595"/>
      <c r="GBC40" s="595"/>
      <c r="GBD40" s="595"/>
      <c r="GBE40" s="595"/>
      <c r="GBF40" s="595"/>
      <c r="GBG40" s="595"/>
      <c r="GBH40" s="595"/>
      <c r="GBI40" s="595"/>
      <c r="GBJ40" s="595"/>
      <c r="GBK40" s="595"/>
      <c r="GBL40" s="595"/>
      <c r="GBM40" s="595"/>
      <c r="GBN40" s="595"/>
      <c r="GBO40" s="595"/>
      <c r="GBP40" s="595"/>
      <c r="GBQ40" s="595"/>
      <c r="GBR40" s="595"/>
      <c r="GBS40" s="595"/>
      <c r="GBT40" s="595"/>
      <c r="GBU40" s="595"/>
      <c r="GBV40" s="595"/>
      <c r="GBW40" s="595"/>
      <c r="GBX40" s="595"/>
      <c r="GBY40" s="595"/>
      <c r="GBZ40" s="595"/>
      <c r="GCA40" s="595"/>
      <c r="GCB40" s="595"/>
      <c r="GCC40" s="595"/>
      <c r="GCD40" s="595"/>
      <c r="GCE40" s="595"/>
      <c r="GCF40" s="595"/>
      <c r="GCG40" s="595"/>
      <c r="GCH40" s="595"/>
      <c r="GCI40" s="595"/>
      <c r="GCJ40" s="595"/>
      <c r="GCK40" s="595"/>
      <c r="GCL40" s="595"/>
      <c r="GCM40" s="595"/>
      <c r="GCN40" s="595"/>
      <c r="GCO40" s="595"/>
      <c r="GCP40" s="595"/>
      <c r="GCQ40" s="595"/>
      <c r="GCR40" s="595"/>
      <c r="GCS40" s="595"/>
      <c r="GCT40" s="595"/>
      <c r="GCU40" s="595"/>
      <c r="GCV40" s="595"/>
      <c r="GCW40" s="595"/>
      <c r="GCX40" s="595"/>
      <c r="GCY40" s="595"/>
      <c r="GCZ40" s="595"/>
      <c r="GDA40" s="595"/>
      <c r="GDB40" s="595"/>
      <c r="GDC40" s="595"/>
      <c r="GDD40" s="595"/>
      <c r="GDE40" s="595"/>
      <c r="GDF40" s="595"/>
      <c r="GDG40" s="595"/>
      <c r="GDH40" s="595"/>
      <c r="GDI40" s="595"/>
      <c r="GDJ40" s="595"/>
      <c r="GDK40" s="595"/>
      <c r="GDL40" s="595"/>
      <c r="GDM40" s="595"/>
      <c r="GDN40" s="595"/>
      <c r="GDO40" s="595"/>
      <c r="GDP40" s="595"/>
      <c r="GDQ40" s="595"/>
      <c r="GDR40" s="595"/>
      <c r="GDS40" s="595"/>
      <c r="GDT40" s="595"/>
      <c r="GDU40" s="595"/>
      <c r="GDV40" s="595"/>
      <c r="GDW40" s="595"/>
      <c r="GDX40" s="595"/>
      <c r="GDY40" s="595"/>
      <c r="GDZ40" s="595"/>
      <c r="GEA40" s="595"/>
      <c r="GEB40" s="595"/>
      <c r="GEC40" s="595"/>
      <c r="GED40" s="595"/>
      <c r="GEE40" s="595"/>
      <c r="GEF40" s="595"/>
      <c r="GEG40" s="595"/>
      <c r="GEH40" s="595"/>
      <c r="GEI40" s="595"/>
      <c r="GEJ40" s="595"/>
      <c r="GEK40" s="595"/>
      <c r="GEL40" s="595"/>
      <c r="GEM40" s="595"/>
      <c r="GEN40" s="595"/>
      <c r="GEO40" s="595"/>
      <c r="GEP40" s="595"/>
      <c r="GEQ40" s="595"/>
      <c r="GER40" s="595"/>
      <c r="GES40" s="595"/>
      <c r="GET40" s="595"/>
      <c r="GEU40" s="595"/>
      <c r="GEV40" s="595"/>
      <c r="GEW40" s="595"/>
      <c r="GEX40" s="595"/>
      <c r="GEY40" s="595"/>
      <c r="GEZ40" s="595"/>
      <c r="GFA40" s="595"/>
      <c r="GFB40" s="595"/>
      <c r="GFC40" s="595"/>
      <c r="GFD40" s="595"/>
      <c r="GFE40" s="595"/>
      <c r="GFF40" s="595"/>
      <c r="GFG40" s="595"/>
      <c r="GFH40" s="595"/>
      <c r="GFI40" s="595"/>
      <c r="GFJ40" s="595"/>
      <c r="GFK40" s="595"/>
      <c r="GFL40" s="595"/>
      <c r="GFM40" s="595"/>
      <c r="GFN40" s="595"/>
      <c r="GFO40" s="595"/>
      <c r="GFP40" s="595"/>
      <c r="GFQ40" s="595"/>
      <c r="GFR40" s="595"/>
      <c r="GFS40" s="595"/>
      <c r="GFT40" s="595"/>
      <c r="GFU40" s="595"/>
      <c r="GFV40" s="595"/>
      <c r="GFW40" s="595"/>
      <c r="GFX40" s="595"/>
      <c r="GFY40" s="595"/>
      <c r="GFZ40" s="595"/>
      <c r="GGA40" s="595"/>
      <c r="GGB40" s="595"/>
      <c r="GGC40" s="595"/>
      <c r="GGD40" s="595"/>
      <c r="GGE40" s="595"/>
      <c r="GGF40" s="595"/>
      <c r="GGG40" s="595"/>
      <c r="GGH40" s="595"/>
      <c r="GGI40" s="595"/>
      <c r="GGJ40" s="595"/>
      <c r="GGK40" s="595"/>
      <c r="GGL40" s="595"/>
      <c r="GGM40" s="595"/>
      <c r="GGN40" s="595"/>
      <c r="GGO40" s="595"/>
      <c r="GGP40" s="595"/>
      <c r="GGQ40" s="595"/>
      <c r="GGR40" s="595"/>
      <c r="GGS40" s="595"/>
      <c r="GGT40" s="595"/>
      <c r="GGU40" s="595"/>
      <c r="GGV40" s="595"/>
      <c r="GGW40" s="595"/>
      <c r="GGX40" s="595"/>
      <c r="GGY40" s="595"/>
      <c r="GGZ40" s="595"/>
      <c r="GHA40" s="595"/>
      <c r="GHB40" s="595"/>
      <c r="GHC40" s="595"/>
      <c r="GHD40" s="595"/>
      <c r="GHE40" s="595"/>
      <c r="GHF40" s="595"/>
      <c r="GHG40" s="595"/>
      <c r="GHH40" s="595"/>
      <c r="GHI40" s="595"/>
      <c r="GHJ40" s="595"/>
      <c r="GHK40" s="595"/>
      <c r="GHL40" s="595"/>
      <c r="GHM40" s="595"/>
      <c r="GHN40" s="595"/>
      <c r="GHO40" s="595"/>
      <c r="GHP40" s="595"/>
      <c r="GHQ40" s="595"/>
      <c r="GHR40" s="595"/>
      <c r="GHS40" s="595"/>
      <c r="GHT40" s="595"/>
      <c r="GHU40" s="595"/>
      <c r="GHV40" s="595"/>
      <c r="GHW40" s="595"/>
      <c r="GHX40" s="595"/>
      <c r="GHY40" s="595"/>
      <c r="GHZ40" s="595"/>
      <c r="GIA40" s="595"/>
      <c r="GIB40" s="595"/>
      <c r="GIC40" s="595"/>
      <c r="GID40" s="595"/>
      <c r="GIE40" s="595"/>
      <c r="GIF40" s="595"/>
      <c r="GIG40" s="595"/>
      <c r="GIH40" s="595"/>
      <c r="GII40" s="595"/>
      <c r="GIJ40" s="595"/>
      <c r="GIK40" s="595"/>
      <c r="GIL40" s="595"/>
      <c r="GIM40" s="595"/>
      <c r="GIN40" s="595"/>
      <c r="GIO40" s="595"/>
      <c r="GIP40" s="595"/>
      <c r="GIQ40" s="595"/>
      <c r="GIR40" s="595"/>
      <c r="GIS40" s="595"/>
      <c r="GIT40" s="595"/>
      <c r="GIU40" s="595"/>
      <c r="GIV40" s="595"/>
      <c r="GIW40" s="595"/>
      <c r="GIX40" s="595"/>
      <c r="GIY40" s="595"/>
      <c r="GIZ40" s="595"/>
      <c r="GJA40" s="595"/>
      <c r="GJB40" s="595"/>
      <c r="GJC40" s="595"/>
      <c r="GJD40" s="595"/>
      <c r="GJE40" s="595"/>
      <c r="GJF40" s="595"/>
      <c r="GJG40" s="595"/>
      <c r="GJH40" s="595"/>
      <c r="GJI40" s="595"/>
      <c r="GJJ40" s="595"/>
      <c r="GJK40" s="595"/>
      <c r="GJL40" s="595"/>
      <c r="GJM40" s="595"/>
      <c r="GJN40" s="595"/>
      <c r="GJO40" s="595"/>
      <c r="GJP40" s="595"/>
      <c r="GJQ40" s="595"/>
      <c r="GJR40" s="595"/>
      <c r="GJS40" s="595"/>
      <c r="GJT40" s="595"/>
      <c r="GJU40" s="595"/>
      <c r="GJV40" s="595"/>
      <c r="GJW40" s="595"/>
      <c r="GJX40" s="595"/>
      <c r="GJY40" s="595"/>
      <c r="GJZ40" s="595"/>
      <c r="GKA40" s="595"/>
      <c r="GKB40" s="595"/>
      <c r="GKC40" s="595"/>
      <c r="GKD40" s="595"/>
      <c r="GKE40" s="595"/>
      <c r="GKF40" s="595"/>
      <c r="GKG40" s="595"/>
      <c r="GKH40" s="595"/>
      <c r="GKI40" s="595"/>
      <c r="GKJ40" s="595"/>
      <c r="GKK40" s="595"/>
      <c r="GKL40" s="595"/>
      <c r="GKM40" s="595"/>
      <c r="GKN40" s="595"/>
      <c r="GKO40" s="595"/>
      <c r="GKP40" s="595"/>
      <c r="GKQ40" s="595"/>
      <c r="GKR40" s="595"/>
      <c r="GKS40" s="595"/>
      <c r="GKT40" s="595"/>
      <c r="GKU40" s="595"/>
      <c r="GKV40" s="595"/>
      <c r="GKW40" s="595"/>
      <c r="GKX40" s="595"/>
      <c r="GKY40" s="595"/>
      <c r="GKZ40" s="595"/>
      <c r="GLA40" s="595"/>
      <c r="GLB40" s="595"/>
      <c r="GLC40" s="595"/>
      <c r="GLD40" s="595"/>
      <c r="GLE40" s="595"/>
      <c r="GLF40" s="595"/>
      <c r="GLG40" s="595"/>
      <c r="GLH40" s="595"/>
      <c r="GLI40" s="595"/>
      <c r="GLJ40" s="595"/>
      <c r="GLK40" s="595"/>
      <c r="GLL40" s="595"/>
      <c r="GLM40" s="595"/>
      <c r="GLN40" s="595"/>
      <c r="GLO40" s="595"/>
      <c r="GLP40" s="595"/>
      <c r="GLQ40" s="595"/>
      <c r="GLR40" s="595"/>
      <c r="GLS40" s="595"/>
      <c r="GLT40" s="595"/>
      <c r="GLU40" s="595"/>
      <c r="GLV40" s="595"/>
      <c r="GLW40" s="595"/>
      <c r="GLX40" s="595"/>
      <c r="GLY40" s="595"/>
      <c r="GLZ40" s="595"/>
      <c r="GMA40" s="595"/>
      <c r="GMB40" s="595"/>
      <c r="GMC40" s="595"/>
      <c r="GMD40" s="595"/>
      <c r="GME40" s="595"/>
      <c r="GMF40" s="595"/>
      <c r="GMG40" s="595"/>
      <c r="GMH40" s="595"/>
      <c r="GMI40" s="595"/>
      <c r="GMJ40" s="595"/>
      <c r="GMK40" s="595"/>
      <c r="GML40" s="595"/>
      <c r="GMM40" s="595"/>
      <c r="GMN40" s="595"/>
      <c r="GMO40" s="595"/>
      <c r="GMP40" s="595"/>
      <c r="GMQ40" s="595"/>
      <c r="GMR40" s="595"/>
      <c r="GMS40" s="595"/>
      <c r="GMT40" s="595"/>
      <c r="GMU40" s="595"/>
      <c r="GMV40" s="595"/>
      <c r="GMW40" s="595"/>
      <c r="GMX40" s="595"/>
      <c r="GMY40" s="595"/>
      <c r="GMZ40" s="595"/>
      <c r="GNA40" s="595"/>
      <c r="GNB40" s="595"/>
      <c r="GNC40" s="595"/>
      <c r="GND40" s="595"/>
      <c r="GNE40" s="595"/>
      <c r="GNF40" s="595"/>
      <c r="GNG40" s="595"/>
      <c r="GNH40" s="595"/>
      <c r="GNI40" s="595"/>
      <c r="GNJ40" s="595"/>
      <c r="GNK40" s="595"/>
      <c r="GNL40" s="595"/>
      <c r="GNM40" s="595"/>
      <c r="GNN40" s="595"/>
      <c r="GNO40" s="595"/>
      <c r="GNP40" s="595"/>
      <c r="GNQ40" s="595"/>
      <c r="GNR40" s="595"/>
      <c r="GNS40" s="595"/>
      <c r="GNT40" s="595"/>
      <c r="GNU40" s="595"/>
      <c r="GNV40" s="595"/>
      <c r="GNW40" s="595"/>
      <c r="GNX40" s="595"/>
      <c r="GNY40" s="595"/>
      <c r="GNZ40" s="595"/>
      <c r="GOA40" s="595"/>
      <c r="GOB40" s="595"/>
      <c r="GOC40" s="595"/>
      <c r="GOD40" s="595"/>
      <c r="GOE40" s="595"/>
      <c r="GOF40" s="595"/>
      <c r="GOG40" s="595"/>
      <c r="GOH40" s="595"/>
      <c r="GOI40" s="595"/>
      <c r="GOJ40" s="595"/>
      <c r="GOK40" s="595"/>
      <c r="GOL40" s="595"/>
      <c r="GOM40" s="595"/>
      <c r="GON40" s="595"/>
      <c r="GOO40" s="595"/>
      <c r="GOP40" s="595"/>
      <c r="GOQ40" s="595"/>
      <c r="GOR40" s="595"/>
      <c r="GOS40" s="595"/>
      <c r="GOT40" s="595"/>
      <c r="GOU40" s="595"/>
      <c r="GOV40" s="595"/>
      <c r="GOW40" s="595"/>
      <c r="GOX40" s="595"/>
      <c r="GOY40" s="595"/>
      <c r="GOZ40" s="595"/>
      <c r="GPA40" s="595"/>
      <c r="GPB40" s="595"/>
      <c r="GPC40" s="595"/>
      <c r="GPD40" s="595"/>
      <c r="GPE40" s="595"/>
      <c r="GPF40" s="595"/>
      <c r="GPG40" s="595"/>
      <c r="GPH40" s="595"/>
      <c r="GPI40" s="595"/>
      <c r="GPJ40" s="595"/>
      <c r="GPK40" s="595"/>
      <c r="GPL40" s="595"/>
      <c r="GPM40" s="595"/>
      <c r="GPN40" s="595"/>
      <c r="GPO40" s="595"/>
      <c r="GPP40" s="595"/>
      <c r="GPQ40" s="595"/>
      <c r="GPR40" s="595"/>
      <c r="GPS40" s="595"/>
      <c r="GPT40" s="595"/>
      <c r="GPU40" s="595"/>
      <c r="GPV40" s="595"/>
      <c r="GPW40" s="595"/>
      <c r="GPX40" s="595"/>
      <c r="GPY40" s="595"/>
      <c r="GPZ40" s="595"/>
      <c r="GQA40" s="595"/>
      <c r="GQB40" s="595"/>
      <c r="GQC40" s="595"/>
      <c r="GQD40" s="595"/>
      <c r="GQE40" s="595"/>
      <c r="GQF40" s="595"/>
      <c r="GQG40" s="595"/>
      <c r="GQH40" s="595"/>
      <c r="GQI40" s="595"/>
      <c r="GQJ40" s="595"/>
      <c r="GQK40" s="595"/>
      <c r="GQL40" s="595"/>
      <c r="GQM40" s="595"/>
      <c r="GQN40" s="595"/>
      <c r="GQO40" s="595"/>
      <c r="GQP40" s="595"/>
      <c r="GQQ40" s="595"/>
      <c r="GQR40" s="595"/>
      <c r="GQS40" s="595"/>
      <c r="GQT40" s="595"/>
      <c r="GQU40" s="595"/>
      <c r="GQV40" s="595"/>
      <c r="GQW40" s="595"/>
      <c r="GQX40" s="595"/>
      <c r="GQY40" s="595"/>
      <c r="GQZ40" s="595"/>
      <c r="GRA40" s="595"/>
      <c r="GRB40" s="595"/>
      <c r="GRC40" s="595"/>
      <c r="GRD40" s="595"/>
      <c r="GRE40" s="595"/>
      <c r="GRF40" s="595"/>
      <c r="GRG40" s="595"/>
      <c r="GRH40" s="595"/>
      <c r="GRI40" s="595"/>
      <c r="GRJ40" s="595"/>
      <c r="GRK40" s="595"/>
      <c r="GRL40" s="595"/>
      <c r="GRM40" s="595"/>
      <c r="GRN40" s="595"/>
      <c r="GRO40" s="595"/>
      <c r="GRP40" s="595"/>
      <c r="GRQ40" s="595"/>
      <c r="GRR40" s="595"/>
      <c r="GRS40" s="595"/>
      <c r="GRT40" s="595"/>
      <c r="GRU40" s="595"/>
      <c r="GRV40" s="595"/>
      <c r="GRW40" s="595"/>
      <c r="GRX40" s="595"/>
      <c r="GRY40" s="595"/>
      <c r="GRZ40" s="595"/>
      <c r="GSA40" s="595"/>
      <c r="GSB40" s="595"/>
      <c r="GSC40" s="595"/>
      <c r="GSD40" s="595"/>
      <c r="GSE40" s="595"/>
      <c r="GSF40" s="595"/>
      <c r="GSG40" s="595"/>
      <c r="GSH40" s="595"/>
      <c r="GSI40" s="595"/>
      <c r="GSJ40" s="595"/>
      <c r="GSK40" s="595"/>
      <c r="GSL40" s="595"/>
      <c r="GSM40" s="595"/>
      <c r="GSN40" s="595"/>
      <c r="GSO40" s="595"/>
      <c r="GSP40" s="595"/>
      <c r="GSQ40" s="595"/>
      <c r="GSR40" s="595"/>
      <c r="GSS40" s="595"/>
      <c r="GST40" s="595"/>
      <c r="GSU40" s="595"/>
      <c r="GSV40" s="595"/>
      <c r="GSW40" s="595"/>
      <c r="GSX40" s="595"/>
      <c r="GSY40" s="595"/>
      <c r="GSZ40" s="595"/>
      <c r="GTA40" s="595"/>
      <c r="GTB40" s="595"/>
      <c r="GTC40" s="595"/>
      <c r="GTD40" s="595"/>
      <c r="GTE40" s="595"/>
      <c r="GTF40" s="595"/>
      <c r="GTG40" s="595"/>
      <c r="GTH40" s="595"/>
      <c r="GTI40" s="595"/>
      <c r="GTJ40" s="595"/>
      <c r="GTK40" s="595"/>
      <c r="GTL40" s="595"/>
      <c r="GTM40" s="595"/>
      <c r="GTN40" s="595"/>
      <c r="GTO40" s="595"/>
      <c r="GTP40" s="595"/>
      <c r="GTQ40" s="595"/>
      <c r="GTR40" s="595"/>
      <c r="GTS40" s="595"/>
      <c r="GTT40" s="595"/>
      <c r="GTU40" s="595"/>
      <c r="GTV40" s="595"/>
      <c r="GTW40" s="595"/>
      <c r="GTX40" s="595"/>
      <c r="GTY40" s="595"/>
      <c r="GTZ40" s="595"/>
      <c r="GUA40" s="595"/>
      <c r="GUB40" s="595"/>
      <c r="GUC40" s="595"/>
      <c r="GUD40" s="595"/>
      <c r="GUE40" s="595"/>
      <c r="GUF40" s="595"/>
      <c r="GUG40" s="595"/>
      <c r="GUH40" s="595"/>
      <c r="GUI40" s="595"/>
      <c r="GUJ40" s="595"/>
      <c r="GUK40" s="595"/>
      <c r="GUL40" s="595"/>
      <c r="GUM40" s="595"/>
      <c r="GUN40" s="595"/>
      <c r="GUO40" s="595"/>
      <c r="GUP40" s="595"/>
      <c r="GUQ40" s="595"/>
      <c r="GUR40" s="595"/>
      <c r="GUS40" s="595"/>
      <c r="GUT40" s="595"/>
      <c r="GUU40" s="595"/>
      <c r="GUV40" s="595"/>
      <c r="GUW40" s="595"/>
      <c r="GUX40" s="595"/>
      <c r="GUY40" s="595"/>
      <c r="GUZ40" s="595"/>
      <c r="GVA40" s="595"/>
      <c r="GVB40" s="595"/>
      <c r="GVC40" s="595"/>
      <c r="GVD40" s="595"/>
      <c r="GVE40" s="595"/>
      <c r="GVF40" s="595"/>
      <c r="GVG40" s="595"/>
      <c r="GVH40" s="595"/>
      <c r="GVI40" s="595"/>
      <c r="GVJ40" s="595"/>
      <c r="GVK40" s="595"/>
      <c r="GVL40" s="595"/>
      <c r="GVM40" s="595"/>
      <c r="GVN40" s="595"/>
      <c r="GVO40" s="595"/>
      <c r="GVP40" s="595"/>
      <c r="GVQ40" s="595"/>
      <c r="GVR40" s="595"/>
      <c r="GVS40" s="595"/>
      <c r="GVT40" s="595"/>
      <c r="GVU40" s="595"/>
      <c r="GVV40" s="595"/>
      <c r="GVW40" s="595"/>
      <c r="GVX40" s="595"/>
      <c r="GVY40" s="595"/>
      <c r="GVZ40" s="595"/>
      <c r="GWA40" s="595"/>
      <c r="GWB40" s="595"/>
      <c r="GWC40" s="595"/>
      <c r="GWD40" s="595"/>
      <c r="GWE40" s="595"/>
      <c r="GWF40" s="595"/>
      <c r="GWG40" s="595"/>
      <c r="GWH40" s="595"/>
      <c r="GWI40" s="595"/>
      <c r="GWJ40" s="595"/>
      <c r="GWK40" s="595"/>
      <c r="GWL40" s="595"/>
      <c r="GWM40" s="595"/>
      <c r="GWN40" s="595"/>
      <c r="GWO40" s="595"/>
      <c r="GWP40" s="595"/>
      <c r="GWQ40" s="595"/>
      <c r="GWR40" s="595"/>
      <c r="GWS40" s="595"/>
      <c r="GWT40" s="595"/>
      <c r="GWU40" s="595"/>
      <c r="GWV40" s="595"/>
      <c r="GWW40" s="595"/>
      <c r="GWX40" s="595"/>
      <c r="GWY40" s="595"/>
      <c r="GWZ40" s="595"/>
      <c r="GXA40" s="595"/>
      <c r="GXB40" s="595"/>
      <c r="GXC40" s="595"/>
      <c r="GXD40" s="595"/>
      <c r="GXE40" s="595"/>
      <c r="GXF40" s="595"/>
      <c r="GXG40" s="595"/>
      <c r="GXH40" s="595"/>
      <c r="GXI40" s="595"/>
      <c r="GXJ40" s="595"/>
      <c r="GXK40" s="595"/>
      <c r="GXL40" s="595"/>
      <c r="GXM40" s="595"/>
      <c r="GXN40" s="595"/>
      <c r="GXO40" s="595"/>
      <c r="GXP40" s="595"/>
      <c r="GXQ40" s="595"/>
      <c r="GXR40" s="595"/>
      <c r="GXS40" s="595"/>
      <c r="GXT40" s="595"/>
      <c r="GXU40" s="595"/>
      <c r="GXV40" s="595"/>
      <c r="GXW40" s="595"/>
      <c r="GXX40" s="595"/>
      <c r="GXY40" s="595"/>
      <c r="GXZ40" s="595"/>
      <c r="GYA40" s="595"/>
      <c r="GYB40" s="595"/>
      <c r="GYC40" s="595"/>
      <c r="GYD40" s="595"/>
      <c r="GYE40" s="595"/>
      <c r="GYF40" s="595"/>
      <c r="GYG40" s="595"/>
      <c r="GYH40" s="595"/>
      <c r="GYI40" s="595"/>
      <c r="GYJ40" s="595"/>
      <c r="GYK40" s="595"/>
      <c r="GYL40" s="595"/>
      <c r="GYM40" s="595"/>
      <c r="GYN40" s="595"/>
      <c r="GYO40" s="595"/>
      <c r="GYP40" s="595"/>
      <c r="GYQ40" s="595"/>
      <c r="GYR40" s="595"/>
      <c r="GYS40" s="595"/>
      <c r="GYT40" s="595"/>
      <c r="GYU40" s="595"/>
      <c r="GYV40" s="595"/>
      <c r="GYW40" s="595"/>
      <c r="GYX40" s="595"/>
      <c r="GYY40" s="595"/>
      <c r="GYZ40" s="595"/>
      <c r="GZA40" s="595"/>
      <c r="GZB40" s="595"/>
      <c r="GZC40" s="595"/>
      <c r="GZD40" s="595"/>
      <c r="GZE40" s="595"/>
      <c r="GZF40" s="595"/>
      <c r="GZG40" s="595"/>
      <c r="GZH40" s="595"/>
      <c r="GZI40" s="595"/>
      <c r="GZJ40" s="595"/>
      <c r="GZK40" s="595"/>
      <c r="GZL40" s="595"/>
      <c r="GZM40" s="595"/>
      <c r="GZN40" s="595"/>
      <c r="GZO40" s="595"/>
      <c r="GZP40" s="595"/>
      <c r="GZQ40" s="595"/>
      <c r="GZR40" s="595"/>
      <c r="GZS40" s="595"/>
      <c r="GZT40" s="595"/>
      <c r="GZU40" s="595"/>
      <c r="GZV40" s="595"/>
      <c r="GZW40" s="595"/>
      <c r="GZX40" s="595"/>
      <c r="GZY40" s="595"/>
      <c r="GZZ40" s="595"/>
      <c r="HAA40" s="595"/>
      <c r="HAB40" s="595"/>
      <c r="HAC40" s="595"/>
      <c r="HAD40" s="595"/>
      <c r="HAE40" s="595"/>
      <c r="HAF40" s="595"/>
      <c r="HAG40" s="595"/>
      <c r="HAH40" s="595"/>
      <c r="HAI40" s="595"/>
      <c r="HAJ40" s="595"/>
      <c r="HAK40" s="595"/>
      <c r="HAL40" s="595"/>
      <c r="HAM40" s="595"/>
      <c r="HAN40" s="595"/>
      <c r="HAO40" s="595"/>
      <c r="HAP40" s="595"/>
      <c r="HAQ40" s="595"/>
      <c r="HAR40" s="595"/>
      <c r="HAS40" s="595"/>
      <c r="HAT40" s="595"/>
      <c r="HAU40" s="595"/>
      <c r="HAV40" s="595"/>
      <c r="HAW40" s="595"/>
      <c r="HAX40" s="595"/>
      <c r="HAY40" s="595"/>
      <c r="HAZ40" s="595"/>
      <c r="HBA40" s="595"/>
      <c r="HBB40" s="595"/>
      <c r="HBC40" s="595"/>
      <c r="HBD40" s="595"/>
      <c r="HBE40" s="595"/>
      <c r="HBF40" s="595"/>
      <c r="HBG40" s="595"/>
      <c r="HBH40" s="595"/>
      <c r="HBI40" s="595"/>
      <c r="HBJ40" s="595"/>
      <c r="HBK40" s="595"/>
      <c r="HBL40" s="595"/>
      <c r="HBM40" s="595"/>
      <c r="HBN40" s="595"/>
      <c r="HBO40" s="595"/>
      <c r="HBP40" s="595"/>
      <c r="HBQ40" s="595"/>
      <c r="HBR40" s="595"/>
      <c r="HBS40" s="595"/>
      <c r="HBT40" s="595"/>
      <c r="HBU40" s="595"/>
      <c r="HBV40" s="595"/>
      <c r="HBW40" s="595"/>
      <c r="HBX40" s="595"/>
      <c r="HBY40" s="595"/>
      <c r="HBZ40" s="595"/>
      <c r="HCA40" s="595"/>
      <c r="HCB40" s="595"/>
      <c r="HCC40" s="595"/>
      <c r="HCD40" s="595"/>
      <c r="HCE40" s="595"/>
      <c r="HCF40" s="595"/>
      <c r="HCG40" s="595"/>
      <c r="HCH40" s="595"/>
      <c r="HCI40" s="595"/>
      <c r="HCJ40" s="595"/>
      <c r="HCK40" s="595"/>
      <c r="HCL40" s="595"/>
      <c r="HCM40" s="595"/>
      <c r="HCN40" s="595"/>
      <c r="HCO40" s="595"/>
      <c r="HCP40" s="595"/>
      <c r="HCQ40" s="595"/>
      <c r="HCR40" s="595"/>
      <c r="HCS40" s="595"/>
      <c r="HCT40" s="595"/>
      <c r="HCU40" s="595"/>
      <c r="HCV40" s="595"/>
      <c r="HCW40" s="595"/>
      <c r="HCX40" s="595"/>
      <c r="HCY40" s="595"/>
      <c r="HCZ40" s="595"/>
      <c r="HDA40" s="595"/>
      <c r="HDB40" s="595"/>
      <c r="HDC40" s="595"/>
      <c r="HDD40" s="595"/>
      <c r="HDE40" s="595"/>
      <c r="HDF40" s="595"/>
      <c r="HDG40" s="595"/>
      <c r="HDH40" s="595"/>
      <c r="HDI40" s="595"/>
      <c r="HDJ40" s="595"/>
      <c r="HDK40" s="595"/>
      <c r="HDL40" s="595"/>
      <c r="HDM40" s="595"/>
      <c r="HDN40" s="595"/>
      <c r="HDO40" s="595"/>
      <c r="HDP40" s="595"/>
      <c r="HDQ40" s="595"/>
      <c r="HDR40" s="595"/>
      <c r="HDS40" s="595"/>
      <c r="HDT40" s="595"/>
      <c r="HDU40" s="595"/>
      <c r="HDV40" s="595"/>
      <c r="HDW40" s="595"/>
      <c r="HDX40" s="595"/>
      <c r="HDY40" s="595"/>
      <c r="HDZ40" s="595"/>
      <c r="HEA40" s="595"/>
      <c r="HEB40" s="595"/>
      <c r="HEC40" s="595"/>
      <c r="HED40" s="595"/>
      <c r="HEE40" s="595"/>
      <c r="HEF40" s="595"/>
      <c r="HEG40" s="595"/>
      <c r="HEH40" s="595"/>
      <c r="HEI40" s="595"/>
      <c r="HEJ40" s="595"/>
      <c r="HEK40" s="595"/>
      <c r="HEL40" s="595"/>
      <c r="HEM40" s="595"/>
      <c r="HEN40" s="595"/>
      <c r="HEO40" s="595"/>
      <c r="HEP40" s="595"/>
      <c r="HEQ40" s="595"/>
      <c r="HER40" s="595"/>
      <c r="HES40" s="595"/>
      <c r="HET40" s="595"/>
      <c r="HEU40" s="595"/>
      <c r="HEV40" s="595"/>
      <c r="HEW40" s="595"/>
      <c r="HEX40" s="595"/>
      <c r="HEY40" s="595"/>
      <c r="HEZ40" s="595"/>
      <c r="HFA40" s="595"/>
      <c r="HFB40" s="595"/>
      <c r="HFC40" s="595"/>
      <c r="HFD40" s="595"/>
      <c r="HFE40" s="595"/>
      <c r="HFF40" s="595"/>
      <c r="HFG40" s="595"/>
      <c r="HFH40" s="595"/>
      <c r="HFI40" s="595"/>
      <c r="HFJ40" s="595"/>
      <c r="HFK40" s="595"/>
      <c r="HFL40" s="595"/>
      <c r="HFM40" s="595"/>
      <c r="HFN40" s="595"/>
      <c r="HFO40" s="595"/>
      <c r="HFP40" s="595"/>
      <c r="HFQ40" s="595"/>
      <c r="HFR40" s="595"/>
      <c r="HFS40" s="595"/>
      <c r="HFT40" s="595"/>
      <c r="HFU40" s="595"/>
      <c r="HFV40" s="595"/>
      <c r="HFW40" s="595"/>
      <c r="HFX40" s="595"/>
      <c r="HFY40" s="595"/>
      <c r="HFZ40" s="595"/>
      <c r="HGA40" s="595"/>
      <c r="HGB40" s="595"/>
      <c r="HGC40" s="595"/>
      <c r="HGD40" s="595"/>
      <c r="HGE40" s="595"/>
      <c r="HGF40" s="595"/>
      <c r="HGG40" s="595"/>
      <c r="HGH40" s="595"/>
      <c r="HGI40" s="595"/>
      <c r="HGJ40" s="595"/>
      <c r="HGK40" s="595"/>
      <c r="HGL40" s="595"/>
      <c r="HGM40" s="595"/>
      <c r="HGN40" s="595"/>
      <c r="HGO40" s="595"/>
      <c r="HGP40" s="595"/>
      <c r="HGQ40" s="595"/>
      <c r="HGR40" s="595"/>
      <c r="HGS40" s="595"/>
      <c r="HGT40" s="595"/>
      <c r="HGU40" s="595"/>
      <c r="HGV40" s="595"/>
      <c r="HGW40" s="595"/>
      <c r="HGX40" s="595"/>
      <c r="HGY40" s="595"/>
      <c r="HGZ40" s="595"/>
      <c r="HHA40" s="595"/>
      <c r="HHB40" s="595"/>
      <c r="HHC40" s="595"/>
      <c r="HHD40" s="595"/>
      <c r="HHE40" s="595"/>
      <c r="HHF40" s="595"/>
      <c r="HHG40" s="595"/>
      <c r="HHH40" s="595"/>
      <c r="HHI40" s="595"/>
      <c r="HHJ40" s="595"/>
      <c r="HHK40" s="595"/>
      <c r="HHL40" s="595"/>
      <c r="HHM40" s="595"/>
      <c r="HHN40" s="595"/>
      <c r="HHO40" s="595"/>
      <c r="HHP40" s="595"/>
      <c r="HHQ40" s="595"/>
      <c r="HHR40" s="595"/>
      <c r="HHS40" s="595"/>
      <c r="HHT40" s="595"/>
      <c r="HHU40" s="595"/>
      <c r="HHV40" s="595"/>
      <c r="HHW40" s="595"/>
      <c r="HHX40" s="595"/>
      <c r="HHY40" s="595"/>
      <c r="HHZ40" s="595"/>
      <c r="HIA40" s="595"/>
      <c r="HIB40" s="595"/>
      <c r="HIC40" s="595"/>
      <c r="HID40" s="595"/>
      <c r="HIE40" s="595"/>
      <c r="HIF40" s="595"/>
      <c r="HIG40" s="595"/>
      <c r="HIH40" s="595"/>
      <c r="HII40" s="595"/>
      <c r="HIJ40" s="595"/>
      <c r="HIK40" s="595"/>
      <c r="HIL40" s="595"/>
      <c r="HIM40" s="595"/>
      <c r="HIN40" s="595"/>
      <c r="HIO40" s="595"/>
      <c r="HIP40" s="595"/>
      <c r="HIQ40" s="595"/>
      <c r="HIR40" s="595"/>
      <c r="HIS40" s="595"/>
      <c r="HIT40" s="595"/>
      <c r="HIU40" s="595"/>
      <c r="HIV40" s="595"/>
      <c r="HIW40" s="595"/>
      <c r="HIX40" s="595"/>
      <c r="HIY40" s="595"/>
      <c r="HIZ40" s="595"/>
      <c r="HJA40" s="595"/>
      <c r="HJB40" s="595"/>
      <c r="HJC40" s="595"/>
      <c r="HJD40" s="595"/>
      <c r="HJE40" s="595"/>
      <c r="HJF40" s="595"/>
      <c r="HJG40" s="595"/>
      <c r="HJH40" s="595"/>
      <c r="HJI40" s="595"/>
      <c r="HJJ40" s="595"/>
      <c r="HJK40" s="595"/>
      <c r="HJL40" s="595"/>
      <c r="HJM40" s="595"/>
      <c r="HJN40" s="595"/>
      <c r="HJO40" s="595"/>
      <c r="HJP40" s="595"/>
      <c r="HJQ40" s="595"/>
      <c r="HJR40" s="595"/>
      <c r="HJS40" s="595"/>
      <c r="HJT40" s="595"/>
      <c r="HJU40" s="595"/>
      <c r="HJV40" s="595"/>
      <c r="HJW40" s="595"/>
      <c r="HJX40" s="595"/>
      <c r="HJY40" s="595"/>
      <c r="HJZ40" s="595"/>
      <c r="HKA40" s="595"/>
      <c r="HKB40" s="595"/>
      <c r="HKC40" s="595"/>
      <c r="HKD40" s="595"/>
      <c r="HKE40" s="595"/>
      <c r="HKF40" s="595"/>
      <c r="HKG40" s="595"/>
      <c r="HKH40" s="595"/>
      <c r="HKI40" s="595"/>
      <c r="HKJ40" s="595"/>
      <c r="HKK40" s="595"/>
      <c r="HKL40" s="595"/>
      <c r="HKM40" s="595"/>
      <c r="HKN40" s="595"/>
      <c r="HKO40" s="595"/>
      <c r="HKP40" s="595"/>
      <c r="HKQ40" s="595"/>
      <c r="HKR40" s="595"/>
      <c r="HKS40" s="595"/>
      <c r="HKT40" s="595"/>
      <c r="HKU40" s="595"/>
      <c r="HKV40" s="595"/>
      <c r="HKW40" s="595"/>
      <c r="HKX40" s="595"/>
      <c r="HKY40" s="595"/>
      <c r="HKZ40" s="595"/>
      <c r="HLA40" s="595"/>
      <c r="HLB40" s="595"/>
      <c r="HLC40" s="595"/>
      <c r="HLD40" s="595"/>
      <c r="HLE40" s="595"/>
      <c r="HLF40" s="595"/>
      <c r="HLG40" s="595"/>
      <c r="HLH40" s="595"/>
      <c r="HLI40" s="595"/>
      <c r="HLJ40" s="595"/>
      <c r="HLK40" s="595"/>
      <c r="HLL40" s="595"/>
      <c r="HLM40" s="595"/>
      <c r="HLN40" s="595"/>
      <c r="HLO40" s="595"/>
      <c r="HLP40" s="595"/>
      <c r="HLQ40" s="595"/>
      <c r="HLR40" s="595"/>
      <c r="HLS40" s="595"/>
      <c r="HLT40" s="595"/>
      <c r="HLU40" s="595"/>
      <c r="HLV40" s="595"/>
      <c r="HLW40" s="595"/>
      <c r="HLX40" s="595"/>
      <c r="HLY40" s="595"/>
      <c r="HLZ40" s="595"/>
      <c r="HMA40" s="595"/>
      <c r="HMB40" s="595"/>
      <c r="HMC40" s="595"/>
      <c r="HMD40" s="595"/>
      <c r="HME40" s="595"/>
      <c r="HMF40" s="595"/>
      <c r="HMG40" s="595"/>
      <c r="HMH40" s="595"/>
      <c r="HMI40" s="595"/>
      <c r="HMJ40" s="595"/>
      <c r="HMK40" s="595"/>
      <c r="HML40" s="595"/>
      <c r="HMM40" s="595"/>
      <c r="HMN40" s="595"/>
      <c r="HMO40" s="595"/>
      <c r="HMP40" s="595"/>
      <c r="HMQ40" s="595"/>
      <c r="HMR40" s="595"/>
      <c r="HMS40" s="595"/>
      <c r="HMT40" s="595"/>
      <c r="HMU40" s="595"/>
      <c r="HMV40" s="595"/>
      <c r="HMW40" s="595"/>
      <c r="HMX40" s="595"/>
      <c r="HMY40" s="595"/>
      <c r="HMZ40" s="595"/>
      <c r="HNA40" s="595"/>
      <c r="HNB40" s="595"/>
      <c r="HNC40" s="595"/>
      <c r="HND40" s="595"/>
      <c r="HNE40" s="595"/>
      <c r="HNF40" s="595"/>
      <c r="HNG40" s="595"/>
      <c r="HNH40" s="595"/>
      <c r="HNI40" s="595"/>
      <c r="HNJ40" s="595"/>
      <c r="HNK40" s="595"/>
      <c r="HNL40" s="595"/>
      <c r="HNM40" s="595"/>
      <c r="HNN40" s="595"/>
      <c r="HNO40" s="595"/>
      <c r="HNP40" s="595"/>
      <c r="HNQ40" s="595"/>
      <c r="HNR40" s="595"/>
      <c r="HNS40" s="595"/>
      <c r="HNT40" s="595"/>
      <c r="HNU40" s="595"/>
      <c r="HNV40" s="595"/>
      <c r="HNW40" s="595"/>
      <c r="HNX40" s="595"/>
      <c r="HNY40" s="595"/>
      <c r="HNZ40" s="595"/>
      <c r="HOA40" s="595"/>
      <c r="HOB40" s="595"/>
      <c r="HOC40" s="595"/>
      <c r="HOD40" s="595"/>
      <c r="HOE40" s="595"/>
      <c r="HOF40" s="595"/>
      <c r="HOG40" s="595"/>
      <c r="HOH40" s="595"/>
      <c r="HOI40" s="595"/>
      <c r="HOJ40" s="595"/>
      <c r="HOK40" s="595"/>
      <c r="HOL40" s="595"/>
      <c r="HOM40" s="595"/>
      <c r="HON40" s="595"/>
      <c r="HOO40" s="595"/>
      <c r="HOP40" s="595"/>
      <c r="HOQ40" s="595"/>
      <c r="HOR40" s="595"/>
      <c r="HOS40" s="595"/>
      <c r="HOT40" s="595"/>
      <c r="HOU40" s="595"/>
      <c r="HOV40" s="595"/>
      <c r="HOW40" s="595"/>
      <c r="HOX40" s="595"/>
      <c r="HOY40" s="595"/>
      <c r="HOZ40" s="595"/>
      <c r="HPA40" s="595"/>
      <c r="HPB40" s="595"/>
      <c r="HPC40" s="595"/>
      <c r="HPD40" s="595"/>
      <c r="HPE40" s="595"/>
      <c r="HPF40" s="595"/>
      <c r="HPG40" s="595"/>
      <c r="HPH40" s="595"/>
      <c r="HPI40" s="595"/>
      <c r="HPJ40" s="595"/>
      <c r="HPK40" s="595"/>
      <c r="HPL40" s="595"/>
      <c r="HPM40" s="595"/>
      <c r="HPN40" s="595"/>
      <c r="HPO40" s="595"/>
      <c r="HPP40" s="595"/>
      <c r="HPQ40" s="595"/>
      <c r="HPR40" s="595"/>
      <c r="HPS40" s="595"/>
      <c r="HPT40" s="595"/>
      <c r="HPU40" s="595"/>
      <c r="HPV40" s="595"/>
      <c r="HPW40" s="595"/>
      <c r="HPX40" s="595"/>
      <c r="HPY40" s="595"/>
      <c r="HPZ40" s="595"/>
      <c r="HQA40" s="595"/>
      <c r="HQB40" s="595"/>
      <c r="HQC40" s="595"/>
      <c r="HQD40" s="595"/>
      <c r="HQE40" s="595"/>
      <c r="HQF40" s="595"/>
      <c r="HQG40" s="595"/>
      <c r="HQH40" s="595"/>
      <c r="HQI40" s="595"/>
      <c r="HQJ40" s="595"/>
      <c r="HQK40" s="595"/>
      <c r="HQL40" s="595"/>
      <c r="HQM40" s="595"/>
      <c r="HQN40" s="595"/>
      <c r="HQO40" s="595"/>
      <c r="HQP40" s="595"/>
      <c r="HQQ40" s="595"/>
      <c r="HQR40" s="595"/>
      <c r="HQS40" s="595"/>
      <c r="HQT40" s="595"/>
      <c r="HQU40" s="595"/>
      <c r="HQV40" s="595"/>
      <c r="HQW40" s="595"/>
      <c r="HQX40" s="595"/>
      <c r="HQY40" s="595"/>
      <c r="HQZ40" s="595"/>
      <c r="HRA40" s="595"/>
      <c r="HRB40" s="595"/>
      <c r="HRC40" s="595"/>
      <c r="HRD40" s="595"/>
      <c r="HRE40" s="595"/>
      <c r="HRF40" s="595"/>
      <c r="HRG40" s="595"/>
      <c r="HRH40" s="595"/>
      <c r="HRI40" s="595"/>
      <c r="HRJ40" s="595"/>
      <c r="HRK40" s="595"/>
      <c r="HRL40" s="595"/>
      <c r="HRM40" s="595"/>
      <c r="HRN40" s="595"/>
      <c r="HRO40" s="595"/>
      <c r="HRP40" s="595"/>
      <c r="HRQ40" s="595"/>
      <c r="HRR40" s="595"/>
      <c r="HRS40" s="595"/>
      <c r="HRT40" s="595"/>
      <c r="HRU40" s="595"/>
      <c r="HRV40" s="595"/>
      <c r="HRW40" s="595"/>
      <c r="HRX40" s="595"/>
      <c r="HRY40" s="595"/>
      <c r="HRZ40" s="595"/>
      <c r="HSA40" s="595"/>
      <c r="HSB40" s="595"/>
      <c r="HSC40" s="595"/>
      <c r="HSD40" s="595"/>
      <c r="HSE40" s="595"/>
      <c r="HSF40" s="595"/>
      <c r="HSG40" s="595"/>
      <c r="HSH40" s="595"/>
      <c r="HSI40" s="595"/>
      <c r="HSJ40" s="595"/>
      <c r="HSK40" s="595"/>
      <c r="HSL40" s="595"/>
      <c r="HSM40" s="595"/>
      <c r="HSN40" s="595"/>
      <c r="HSO40" s="595"/>
      <c r="HSP40" s="595"/>
      <c r="HSQ40" s="595"/>
      <c r="HSR40" s="595"/>
      <c r="HSS40" s="595"/>
      <c r="HST40" s="595"/>
      <c r="HSU40" s="595"/>
      <c r="HSV40" s="595"/>
      <c r="HSW40" s="595"/>
      <c r="HSX40" s="595"/>
      <c r="HSY40" s="595"/>
      <c r="HSZ40" s="595"/>
      <c r="HTA40" s="595"/>
      <c r="HTB40" s="595"/>
      <c r="HTC40" s="595"/>
      <c r="HTD40" s="595"/>
      <c r="HTE40" s="595"/>
      <c r="HTF40" s="595"/>
      <c r="HTG40" s="595"/>
      <c r="HTH40" s="595"/>
      <c r="HTI40" s="595"/>
      <c r="HTJ40" s="595"/>
      <c r="HTK40" s="595"/>
      <c r="HTL40" s="595"/>
      <c r="HTM40" s="595"/>
      <c r="HTN40" s="595"/>
      <c r="HTO40" s="595"/>
      <c r="HTP40" s="595"/>
      <c r="HTQ40" s="595"/>
      <c r="HTR40" s="595"/>
      <c r="HTS40" s="595"/>
      <c r="HTT40" s="595"/>
      <c r="HTU40" s="595"/>
      <c r="HTV40" s="595"/>
      <c r="HTW40" s="595"/>
      <c r="HTX40" s="595"/>
      <c r="HTY40" s="595"/>
      <c r="HTZ40" s="595"/>
      <c r="HUA40" s="595"/>
      <c r="HUB40" s="595"/>
      <c r="HUC40" s="595"/>
      <c r="HUD40" s="595"/>
      <c r="HUE40" s="595"/>
      <c r="HUF40" s="595"/>
      <c r="HUG40" s="595"/>
      <c r="HUH40" s="595"/>
      <c r="HUI40" s="595"/>
      <c r="HUJ40" s="595"/>
      <c r="HUK40" s="595"/>
      <c r="HUL40" s="595"/>
      <c r="HUM40" s="595"/>
      <c r="HUN40" s="595"/>
      <c r="HUO40" s="595"/>
      <c r="HUP40" s="595"/>
      <c r="HUQ40" s="595"/>
      <c r="HUR40" s="595"/>
      <c r="HUS40" s="595"/>
      <c r="HUT40" s="595"/>
      <c r="HUU40" s="595"/>
      <c r="HUV40" s="595"/>
      <c r="HUW40" s="595"/>
      <c r="HUX40" s="595"/>
      <c r="HUY40" s="595"/>
      <c r="HUZ40" s="595"/>
      <c r="HVA40" s="595"/>
      <c r="HVB40" s="595"/>
      <c r="HVC40" s="595"/>
      <c r="HVD40" s="595"/>
      <c r="HVE40" s="595"/>
      <c r="HVF40" s="595"/>
      <c r="HVG40" s="595"/>
      <c r="HVH40" s="595"/>
      <c r="HVI40" s="595"/>
      <c r="HVJ40" s="595"/>
      <c r="HVK40" s="595"/>
      <c r="HVL40" s="595"/>
      <c r="HVM40" s="595"/>
      <c r="HVN40" s="595"/>
      <c r="HVO40" s="595"/>
      <c r="HVP40" s="595"/>
      <c r="HVQ40" s="595"/>
      <c r="HVR40" s="595"/>
      <c r="HVS40" s="595"/>
      <c r="HVT40" s="595"/>
      <c r="HVU40" s="595"/>
      <c r="HVV40" s="595"/>
      <c r="HVW40" s="595"/>
      <c r="HVX40" s="595"/>
      <c r="HVY40" s="595"/>
      <c r="HVZ40" s="595"/>
      <c r="HWA40" s="595"/>
      <c r="HWB40" s="595"/>
      <c r="HWC40" s="595"/>
      <c r="HWD40" s="595"/>
      <c r="HWE40" s="595"/>
      <c r="HWF40" s="595"/>
      <c r="HWG40" s="595"/>
      <c r="HWH40" s="595"/>
      <c r="HWI40" s="595"/>
      <c r="HWJ40" s="595"/>
      <c r="HWK40" s="595"/>
      <c r="HWL40" s="595"/>
      <c r="HWM40" s="595"/>
      <c r="HWN40" s="595"/>
      <c r="HWO40" s="595"/>
      <c r="HWP40" s="595"/>
      <c r="HWQ40" s="595"/>
      <c r="HWR40" s="595"/>
      <c r="HWS40" s="595"/>
      <c r="HWT40" s="595"/>
      <c r="HWU40" s="595"/>
      <c r="HWV40" s="595"/>
      <c r="HWW40" s="595"/>
      <c r="HWX40" s="595"/>
      <c r="HWY40" s="595"/>
      <c r="HWZ40" s="595"/>
      <c r="HXA40" s="595"/>
      <c r="HXB40" s="595"/>
      <c r="HXC40" s="595"/>
      <c r="HXD40" s="595"/>
      <c r="HXE40" s="595"/>
      <c r="HXF40" s="595"/>
      <c r="HXG40" s="595"/>
      <c r="HXH40" s="595"/>
      <c r="HXI40" s="595"/>
      <c r="HXJ40" s="595"/>
      <c r="HXK40" s="595"/>
      <c r="HXL40" s="595"/>
      <c r="HXM40" s="595"/>
      <c r="HXN40" s="595"/>
      <c r="HXO40" s="595"/>
      <c r="HXP40" s="595"/>
      <c r="HXQ40" s="595"/>
      <c r="HXR40" s="595"/>
      <c r="HXS40" s="595"/>
      <c r="HXT40" s="595"/>
      <c r="HXU40" s="595"/>
      <c r="HXV40" s="595"/>
      <c r="HXW40" s="595"/>
      <c r="HXX40" s="595"/>
      <c r="HXY40" s="595"/>
      <c r="HXZ40" s="595"/>
      <c r="HYA40" s="595"/>
      <c r="HYB40" s="595"/>
      <c r="HYC40" s="595"/>
      <c r="HYD40" s="595"/>
      <c r="HYE40" s="595"/>
      <c r="HYF40" s="595"/>
      <c r="HYG40" s="595"/>
      <c r="HYH40" s="595"/>
      <c r="HYI40" s="595"/>
      <c r="HYJ40" s="595"/>
      <c r="HYK40" s="595"/>
      <c r="HYL40" s="595"/>
      <c r="HYM40" s="595"/>
      <c r="HYN40" s="595"/>
      <c r="HYO40" s="595"/>
      <c r="HYP40" s="595"/>
      <c r="HYQ40" s="595"/>
      <c r="HYR40" s="595"/>
      <c r="HYS40" s="595"/>
      <c r="HYT40" s="595"/>
      <c r="HYU40" s="595"/>
      <c r="HYV40" s="595"/>
      <c r="HYW40" s="595"/>
      <c r="HYX40" s="595"/>
      <c r="HYY40" s="595"/>
      <c r="HYZ40" s="595"/>
      <c r="HZA40" s="595"/>
      <c r="HZB40" s="595"/>
      <c r="HZC40" s="595"/>
      <c r="HZD40" s="595"/>
      <c r="HZE40" s="595"/>
      <c r="HZF40" s="595"/>
      <c r="HZG40" s="595"/>
      <c r="HZH40" s="595"/>
      <c r="HZI40" s="595"/>
      <c r="HZJ40" s="595"/>
      <c r="HZK40" s="595"/>
      <c r="HZL40" s="595"/>
      <c r="HZM40" s="595"/>
      <c r="HZN40" s="595"/>
      <c r="HZO40" s="595"/>
      <c r="HZP40" s="595"/>
      <c r="HZQ40" s="595"/>
      <c r="HZR40" s="595"/>
      <c r="HZS40" s="595"/>
      <c r="HZT40" s="595"/>
      <c r="HZU40" s="595"/>
      <c r="HZV40" s="595"/>
      <c r="HZW40" s="595"/>
      <c r="HZX40" s="595"/>
      <c r="HZY40" s="595"/>
      <c r="HZZ40" s="595"/>
      <c r="IAA40" s="595"/>
      <c r="IAB40" s="595"/>
      <c r="IAC40" s="595"/>
      <c r="IAD40" s="595"/>
      <c r="IAE40" s="595"/>
      <c r="IAF40" s="595"/>
      <c r="IAG40" s="595"/>
      <c r="IAH40" s="595"/>
      <c r="IAI40" s="595"/>
      <c r="IAJ40" s="595"/>
      <c r="IAK40" s="595"/>
      <c r="IAL40" s="595"/>
      <c r="IAM40" s="595"/>
      <c r="IAN40" s="595"/>
      <c r="IAO40" s="595"/>
      <c r="IAP40" s="595"/>
      <c r="IAQ40" s="595"/>
      <c r="IAR40" s="595"/>
      <c r="IAS40" s="595"/>
      <c r="IAT40" s="595"/>
      <c r="IAU40" s="595"/>
      <c r="IAV40" s="595"/>
      <c r="IAW40" s="595"/>
      <c r="IAX40" s="595"/>
      <c r="IAY40" s="595"/>
      <c r="IAZ40" s="595"/>
      <c r="IBA40" s="595"/>
      <c r="IBB40" s="595"/>
      <c r="IBC40" s="595"/>
      <c r="IBD40" s="595"/>
      <c r="IBE40" s="595"/>
      <c r="IBF40" s="595"/>
      <c r="IBG40" s="595"/>
      <c r="IBH40" s="595"/>
      <c r="IBI40" s="595"/>
      <c r="IBJ40" s="595"/>
      <c r="IBK40" s="595"/>
      <c r="IBL40" s="595"/>
      <c r="IBM40" s="595"/>
      <c r="IBN40" s="595"/>
      <c r="IBO40" s="595"/>
      <c r="IBP40" s="595"/>
      <c r="IBQ40" s="595"/>
      <c r="IBR40" s="595"/>
      <c r="IBS40" s="595"/>
      <c r="IBT40" s="595"/>
      <c r="IBU40" s="595"/>
      <c r="IBV40" s="595"/>
      <c r="IBW40" s="595"/>
      <c r="IBX40" s="595"/>
      <c r="IBY40" s="595"/>
      <c r="IBZ40" s="595"/>
      <c r="ICA40" s="595"/>
      <c r="ICB40" s="595"/>
      <c r="ICC40" s="595"/>
      <c r="ICD40" s="595"/>
      <c r="ICE40" s="595"/>
      <c r="ICF40" s="595"/>
      <c r="ICG40" s="595"/>
      <c r="ICH40" s="595"/>
      <c r="ICI40" s="595"/>
      <c r="ICJ40" s="595"/>
      <c r="ICK40" s="595"/>
      <c r="ICL40" s="595"/>
      <c r="ICM40" s="595"/>
      <c r="ICN40" s="595"/>
      <c r="ICO40" s="595"/>
      <c r="ICP40" s="595"/>
      <c r="ICQ40" s="595"/>
      <c r="ICR40" s="595"/>
      <c r="ICS40" s="595"/>
      <c r="ICT40" s="595"/>
      <c r="ICU40" s="595"/>
      <c r="ICV40" s="595"/>
      <c r="ICW40" s="595"/>
      <c r="ICX40" s="595"/>
      <c r="ICY40" s="595"/>
      <c r="ICZ40" s="595"/>
      <c r="IDA40" s="595"/>
      <c r="IDB40" s="595"/>
      <c r="IDC40" s="595"/>
      <c r="IDD40" s="595"/>
      <c r="IDE40" s="595"/>
      <c r="IDF40" s="595"/>
      <c r="IDG40" s="595"/>
      <c r="IDH40" s="595"/>
      <c r="IDI40" s="595"/>
      <c r="IDJ40" s="595"/>
      <c r="IDK40" s="595"/>
      <c r="IDL40" s="595"/>
      <c r="IDM40" s="595"/>
      <c r="IDN40" s="595"/>
      <c r="IDO40" s="595"/>
      <c r="IDP40" s="595"/>
      <c r="IDQ40" s="595"/>
      <c r="IDR40" s="595"/>
      <c r="IDS40" s="595"/>
      <c r="IDT40" s="595"/>
      <c r="IDU40" s="595"/>
      <c r="IDV40" s="595"/>
      <c r="IDW40" s="595"/>
      <c r="IDX40" s="595"/>
      <c r="IDY40" s="595"/>
      <c r="IDZ40" s="595"/>
      <c r="IEA40" s="595"/>
      <c r="IEB40" s="595"/>
      <c r="IEC40" s="595"/>
      <c r="IED40" s="595"/>
      <c r="IEE40" s="595"/>
      <c r="IEF40" s="595"/>
      <c r="IEG40" s="595"/>
      <c r="IEH40" s="595"/>
      <c r="IEI40" s="595"/>
      <c r="IEJ40" s="595"/>
      <c r="IEK40" s="595"/>
      <c r="IEL40" s="595"/>
      <c r="IEM40" s="595"/>
      <c r="IEN40" s="595"/>
      <c r="IEO40" s="595"/>
      <c r="IEP40" s="595"/>
      <c r="IEQ40" s="595"/>
      <c r="IER40" s="595"/>
      <c r="IES40" s="595"/>
      <c r="IET40" s="595"/>
      <c r="IEU40" s="595"/>
      <c r="IEV40" s="595"/>
      <c r="IEW40" s="595"/>
      <c r="IEX40" s="595"/>
      <c r="IEY40" s="595"/>
      <c r="IEZ40" s="595"/>
      <c r="IFA40" s="595"/>
      <c r="IFB40" s="595"/>
      <c r="IFC40" s="595"/>
      <c r="IFD40" s="595"/>
      <c r="IFE40" s="595"/>
      <c r="IFF40" s="595"/>
      <c r="IFG40" s="595"/>
      <c r="IFH40" s="595"/>
      <c r="IFI40" s="595"/>
      <c r="IFJ40" s="595"/>
      <c r="IFK40" s="595"/>
      <c r="IFL40" s="595"/>
      <c r="IFM40" s="595"/>
      <c r="IFN40" s="595"/>
      <c r="IFO40" s="595"/>
      <c r="IFP40" s="595"/>
      <c r="IFQ40" s="595"/>
      <c r="IFR40" s="595"/>
      <c r="IFS40" s="595"/>
      <c r="IFT40" s="595"/>
      <c r="IFU40" s="595"/>
      <c r="IFV40" s="595"/>
      <c r="IFW40" s="595"/>
      <c r="IFX40" s="595"/>
      <c r="IFY40" s="595"/>
      <c r="IFZ40" s="595"/>
      <c r="IGA40" s="595"/>
      <c r="IGB40" s="595"/>
      <c r="IGC40" s="595"/>
      <c r="IGD40" s="595"/>
      <c r="IGE40" s="595"/>
      <c r="IGF40" s="595"/>
      <c r="IGG40" s="595"/>
      <c r="IGH40" s="595"/>
      <c r="IGI40" s="595"/>
      <c r="IGJ40" s="595"/>
      <c r="IGK40" s="595"/>
      <c r="IGL40" s="595"/>
      <c r="IGM40" s="595"/>
      <c r="IGN40" s="595"/>
      <c r="IGO40" s="595"/>
      <c r="IGP40" s="595"/>
      <c r="IGQ40" s="595"/>
      <c r="IGR40" s="595"/>
      <c r="IGS40" s="595"/>
      <c r="IGT40" s="595"/>
      <c r="IGU40" s="595"/>
      <c r="IGV40" s="595"/>
      <c r="IGW40" s="595"/>
      <c r="IGX40" s="595"/>
      <c r="IGY40" s="595"/>
      <c r="IGZ40" s="595"/>
      <c r="IHA40" s="595"/>
      <c r="IHB40" s="595"/>
      <c r="IHC40" s="595"/>
      <c r="IHD40" s="595"/>
      <c r="IHE40" s="595"/>
      <c r="IHF40" s="595"/>
      <c r="IHG40" s="595"/>
      <c r="IHH40" s="595"/>
      <c r="IHI40" s="595"/>
      <c r="IHJ40" s="595"/>
      <c r="IHK40" s="595"/>
      <c r="IHL40" s="595"/>
      <c r="IHM40" s="595"/>
      <c r="IHN40" s="595"/>
      <c r="IHO40" s="595"/>
      <c r="IHP40" s="595"/>
      <c r="IHQ40" s="595"/>
      <c r="IHR40" s="595"/>
      <c r="IHS40" s="595"/>
      <c r="IHT40" s="595"/>
      <c r="IHU40" s="595"/>
      <c r="IHV40" s="595"/>
      <c r="IHW40" s="595"/>
      <c r="IHX40" s="595"/>
      <c r="IHY40" s="595"/>
      <c r="IHZ40" s="595"/>
      <c r="IIA40" s="595"/>
      <c r="IIB40" s="595"/>
      <c r="IIC40" s="595"/>
      <c r="IID40" s="595"/>
      <c r="IIE40" s="595"/>
      <c r="IIF40" s="595"/>
      <c r="IIG40" s="595"/>
      <c r="IIH40" s="595"/>
      <c r="III40" s="595"/>
      <c r="IIJ40" s="595"/>
      <c r="IIK40" s="595"/>
      <c r="IIL40" s="595"/>
      <c r="IIM40" s="595"/>
      <c r="IIN40" s="595"/>
      <c r="IIO40" s="595"/>
      <c r="IIP40" s="595"/>
      <c r="IIQ40" s="595"/>
      <c r="IIR40" s="595"/>
      <c r="IIS40" s="595"/>
      <c r="IIT40" s="595"/>
      <c r="IIU40" s="595"/>
      <c r="IIV40" s="595"/>
      <c r="IIW40" s="595"/>
      <c r="IIX40" s="595"/>
      <c r="IIY40" s="595"/>
      <c r="IIZ40" s="595"/>
      <c r="IJA40" s="595"/>
      <c r="IJB40" s="595"/>
      <c r="IJC40" s="595"/>
      <c r="IJD40" s="595"/>
      <c r="IJE40" s="595"/>
      <c r="IJF40" s="595"/>
      <c r="IJG40" s="595"/>
      <c r="IJH40" s="595"/>
      <c r="IJI40" s="595"/>
      <c r="IJJ40" s="595"/>
      <c r="IJK40" s="595"/>
      <c r="IJL40" s="595"/>
      <c r="IJM40" s="595"/>
      <c r="IJN40" s="595"/>
      <c r="IJO40" s="595"/>
      <c r="IJP40" s="595"/>
      <c r="IJQ40" s="595"/>
      <c r="IJR40" s="595"/>
      <c r="IJS40" s="595"/>
      <c r="IJT40" s="595"/>
      <c r="IJU40" s="595"/>
      <c r="IJV40" s="595"/>
      <c r="IJW40" s="595"/>
      <c r="IJX40" s="595"/>
      <c r="IJY40" s="595"/>
      <c r="IJZ40" s="595"/>
      <c r="IKA40" s="595"/>
      <c r="IKB40" s="595"/>
      <c r="IKC40" s="595"/>
      <c r="IKD40" s="595"/>
      <c r="IKE40" s="595"/>
      <c r="IKF40" s="595"/>
      <c r="IKG40" s="595"/>
      <c r="IKH40" s="595"/>
      <c r="IKI40" s="595"/>
      <c r="IKJ40" s="595"/>
      <c r="IKK40" s="595"/>
      <c r="IKL40" s="595"/>
      <c r="IKM40" s="595"/>
      <c r="IKN40" s="595"/>
      <c r="IKO40" s="595"/>
      <c r="IKP40" s="595"/>
      <c r="IKQ40" s="595"/>
      <c r="IKR40" s="595"/>
      <c r="IKS40" s="595"/>
      <c r="IKT40" s="595"/>
      <c r="IKU40" s="595"/>
      <c r="IKV40" s="595"/>
      <c r="IKW40" s="595"/>
      <c r="IKX40" s="595"/>
      <c r="IKY40" s="595"/>
      <c r="IKZ40" s="595"/>
      <c r="ILA40" s="595"/>
      <c r="ILB40" s="595"/>
      <c r="ILC40" s="595"/>
      <c r="ILD40" s="595"/>
      <c r="ILE40" s="595"/>
      <c r="ILF40" s="595"/>
      <c r="ILG40" s="595"/>
      <c r="ILH40" s="595"/>
      <c r="ILI40" s="595"/>
      <c r="ILJ40" s="595"/>
      <c r="ILK40" s="595"/>
      <c r="ILL40" s="595"/>
      <c r="ILM40" s="595"/>
      <c r="ILN40" s="595"/>
      <c r="ILO40" s="595"/>
      <c r="ILP40" s="595"/>
      <c r="ILQ40" s="595"/>
      <c r="ILR40" s="595"/>
      <c r="ILS40" s="595"/>
      <c r="ILT40" s="595"/>
      <c r="ILU40" s="595"/>
      <c r="ILV40" s="595"/>
      <c r="ILW40" s="595"/>
      <c r="ILX40" s="595"/>
      <c r="ILY40" s="595"/>
      <c r="ILZ40" s="595"/>
      <c r="IMA40" s="595"/>
      <c r="IMB40" s="595"/>
      <c r="IMC40" s="595"/>
      <c r="IMD40" s="595"/>
      <c r="IME40" s="595"/>
      <c r="IMF40" s="595"/>
      <c r="IMG40" s="595"/>
      <c r="IMH40" s="595"/>
      <c r="IMI40" s="595"/>
      <c r="IMJ40" s="595"/>
      <c r="IMK40" s="595"/>
      <c r="IML40" s="595"/>
      <c r="IMM40" s="595"/>
      <c r="IMN40" s="595"/>
      <c r="IMO40" s="595"/>
      <c r="IMP40" s="595"/>
      <c r="IMQ40" s="595"/>
      <c r="IMR40" s="595"/>
      <c r="IMS40" s="595"/>
      <c r="IMT40" s="595"/>
      <c r="IMU40" s="595"/>
      <c r="IMV40" s="595"/>
      <c r="IMW40" s="595"/>
      <c r="IMX40" s="595"/>
      <c r="IMY40" s="595"/>
      <c r="IMZ40" s="595"/>
      <c r="INA40" s="595"/>
      <c r="INB40" s="595"/>
      <c r="INC40" s="595"/>
      <c r="IND40" s="595"/>
      <c r="INE40" s="595"/>
      <c r="INF40" s="595"/>
      <c r="ING40" s="595"/>
      <c r="INH40" s="595"/>
      <c r="INI40" s="595"/>
      <c r="INJ40" s="595"/>
      <c r="INK40" s="595"/>
      <c r="INL40" s="595"/>
      <c r="INM40" s="595"/>
      <c r="INN40" s="595"/>
      <c r="INO40" s="595"/>
      <c r="INP40" s="595"/>
      <c r="INQ40" s="595"/>
      <c r="INR40" s="595"/>
      <c r="INS40" s="595"/>
      <c r="INT40" s="595"/>
      <c r="INU40" s="595"/>
      <c r="INV40" s="595"/>
      <c r="INW40" s="595"/>
      <c r="INX40" s="595"/>
      <c r="INY40" s="595"/>
      <c r="INZ40" s="595"/>
      <c r="IOA40" s="595"/>
      <c r="IOB40" s="595"/>
      <c r="IOC40" s="595"/>
      <c r="IOD40" s="595"/>
      <c r="IOE40" s="595"/>
      <c r="IOF40" s="595"/>
      <c r="IOG40" s="595"/>
      <c r="IOH40" s="595"/>
      <c r="IOI40" s="595"/>
      <c r="IOJ40" s="595"/>
      <c r="IOK40" s="595"/>
      <c r="IOL40" s="595"/>
      <c r="IOM40" s="595"/>
      <c r="ION40" s="595"/>
      <c r="IOO40" s="595"/>
      <c r="IOP40" s="595"/>
      <c r="IOQ40" s="595"/>
      <c r="IOR40" s="595"/>
      <c r="IOS40" s="595"/>
      <c r="IOT40" s="595"/>
      <c r="IOU40" s="595"/>
      <c r="IOV40" s="595"/>
      <c r="IOW40" s="595"/>
      <c r="IOX40" s="595"/>
      <c r="IOY40" s="595"/>
      <c r="IOZ40" s="595"/>
      <c r="IPA40" s="595"/>
      <c r="IPB40" s="595"/>
      <c r="IPC40" s="595"/>
      <c r="IPD40" s="595"/>
      <c r="IPE40" s="595"/>
      <c r="IPF40" s="595"/>
      <c r="IPG40" s="595"/>
      <c r="IPH40" s="595"/>
      <c r="IPI40" s="595"/>
      <c r="IPJ40" s="595"/>
      <c r="IPK40" s="595"/>
      <c r="IPL40" s="595"/>
      <c r="IPM40" s="595"/>
      <c r="IPN40" s="595"/>
      <c r="IPO40" s="595"/>
      <c r="IPP40" s="595"/>
      <c r="IPQ40" s="595"/>
      <c r="IPR40" s="595"/>
      <c r="IPS40" s="595"/>
      <c r="IPT40" s="595"/>
      <c r="IPU40" s="595"/>
      <c r="IPV40" s="595"/>
      <c r="IPW40" s="595"/>
      <c r="IPX40" s="595"/>
      <c r="IPY40" s="595"/>
      <c r="IPZ40" s="595"/>
      <c r="IQA40" s="595"/>
      <c r="IQB40" s="595"/>
      <c r="IQC40" s="595"/>
      <c r="IQD40" s="595"/>
      <c r="IQE40" s="595"/>
      <c r="IQF40" s="595"/>
      <c r="IQG40" s="595"/>
      <c r="IQH40" s="595"/>
      <c r="IQI40" s="595"/>
      <c r="IQJ40" s="595"/>
      <c r="IQK40" s="595"/>
      <c r="IQL40" s="595"/>
      <c r="IQM40" s="595"/>
      <c r="IQN40" s="595"/>
      <c r="IQO40" s="595"/>
      <c r="IQP40" s="595"/>
      <c r="IQQ40" s="595"/>
      <c r="IQR40" s="595"/>
      <c r="IQS40" s="595"/>
      <c r="IQT40" s="595"/>
      <c r="IQU40" s="595"/>
      <c r="IQV40" s="595"/>
      <c r="IQW40" s="595"/>
      <c r="IQX40" s="595"/>
      <c r="IQY40" s="595"/>
      <c r="IQZ40" s="595"/>
      <c r="IRA40" s="595"/>
      <c r="IRB40" s="595"/>
      <c r="IRC40" s="595"/>
      <c r="IRD40" s="595"/>
      <c r="IRE40" s="595"/>
      <c r="IRF40" s="595"/>
      <c r="IRG40" s="595"/>
      <c r="IRH40" s="595"/>
      <c r="IRI40" s="595"/>
      <c r="IRJ40" s="595"/>
      <c r="IRK40" s="595"/>
      <c r="IRL40" s="595"/>
      <c r="IRM40" s="595"/>
      <c r="IRN40" s="595"/>
      <c r="IRO40" s="595"/>
      <c r="IRP40" s="595"/>
      <c r="IRQ40" s="595"/>
      <c r="IRR40" s="595"/>
      <c r="IRS40" s="595"/>
      <c r="IRT40" s="595"/>
      <c r="IRU40" s="595"/>
      <c r="IRV40" s="595"/>
      <c r="IRW40" s="595"/>
      <c r="IRX40" s="595"/>
      <c r="IRY40" s="595"/>
      <c r="IRZ40" s="595"/>
      <c r="ISA40" s="595"/>
      <c r="ISB40" s="595"/>
      <c r="ISC40" s="595"/>
      <c r="ISD40" s="595"/>
      <c r="ISE40" s="595"/>
      <c r="ISF40" s="595"/>
      <c r="ISG40" s="595"/>
      <c r="ISH40" s="595"/>
      <c r="ISI40" s="595"/>
      <c r="ISJ40" s="595"/>
      <c r="ISK40" s="595"/>
      <c r="ISL40" s="595"/>
      <c r="ISM40" s="595"/>
      <c r="ISN40" s="595"/>
      <c r="ISO40" s="595"/>
      <c r="ISP40" s="595"/>
      <c r="ISQ40" s="595"/>
      <c r="ISR40" s="595"/>
      <c r="ISS40" s="595"/>
      <c r="IST40" s="595"/>
      <c r="ISU40" s="595"/>
      <c r="ISV40" s="595"/>
      <c r="ISW40" s="595"/>
      <c r="ISX40" s="595"/>
      <c r="ISY40" s="595"/>
      <c r="ISZ40" s="595"/>
      <c r="ITA40" s="595"/>
      <c r="ITB40" s="595"/>
      <c r="ITC40" s="595"/>
      <c r="ITD40" s="595"/>
      <c r="ITE40" s="595"/>
      <c r="ITF40" s="595"/>
      <c r="ITG40" s="595"/>
      <c r="ITH40" s="595"/>
      <c r="ITI40" s="595"/>
      <c r="ITJ40" s="595"/>
      <c r="ITK40" s="595"/>
      <c r="ITL40" s="595"/>
      <c r="ITM40" s="595"/>
      <c r="ITN40" s="595"/>
      <c r="ITO40" s="595"/>
      <c r="ITP40" s="595"/>
      <c r="ITQ40" s="595"/>
      <c r="ITR40" s="595"/>
      <c r="ITS40" s="595"/>
      <c r="ITT40" s="595"/>
      <c r="ITU40" s="595"/>
      <c r="ITV40" s="595"/>
      <c r="ITW40" s="595"/>
      <c r="ITX40" s="595"/>
      <c r="ITY40" s="595"/>
      <c r="ITZ40" s="595"/>
      <c r="IUA40" s="595"/>
      <c r="IUB40" s="595"/>
      <c r="IUC40" s="595"/>
      <c r="IUD40" s="595"/>
      <c r="IUE40" s="595"/>
      <c r="IUF40" s="595"/>
      <c r="IUG40" s="595"/>
      <c r="IUH40" s="595"/>
      <c r="IUI40" s="595"/>
      <c r="IUJ40" s="595"/>
      <c r="IUK40" s="595"/>
      <c r="IUL40" s="595"/>
      <c r="IUM40" s="595"/>
      <c r="IUN40" s="595"/>
      <c r="IUO40" s="595"/>
      <c r="IUP40" s="595"/>
      <c r="IUQ40" s="595"/>
      <c r="IUR40" s="595"/>
      <c r="IUS40" s="595"/>
      <c r="IUT40" s="595"/>
      <c r="IUU40" s="595"/>
      <c r="IUV40" s="595"/>
      <c r="IUW40" s="595"/>
      <c r="IUX40" s="595"/>
      <c r="IUY40" s="595"/>
      <c r="IUZ40" s="595"/>
      <c r="IVA40" s="595"/>
      <c r="IVB40" s="595"/>
      <c r="IVC40" s="595"/>
      <c r="IVD40" s="595"/>
      <c r="IVE40" s="595"/>
      <c r="IVF40" s="595"/>
      <c r="IVG40" s="595"/>
      <c r="IVH40" s="595"/>
      <c r="IVI40" s="595"/>
      <c r="IVJ40" s="595"/>
      <c r="IVK40" s="595"/>
      <c r="IVL40" s="595"/>
      <c r="IVM40" s="595"/>
      <c r="IVN40" s="595"/>
      <c r="IVO40" s="595"/>
      <c r="IVP40" s="595"/>
      <c r="IVQ40" s="595"/>
      <c r="IVR40" s="595"/>
      <c r="IVS40" s="595"/>
      <c r="IVT40" s="595"/>
      <c r="IVU40" s="595"/>
      <c r="IVV40" s="595"/>
      <c r="IVW40" s="595"/>
      <c r="IVX40" s="595"/>
      <c r="IVY40" s="595"/>
      <c r="IVZ40" s="595"/>
      <c r="IWA40" s="595"/>
      <c r="IWB40" s="595"/>
      <c r="IWC40" s="595"/>
      <c r="IWD40" s="595"/>
      <c r="IWE40" s="595"/>
      <c r="IWF40" s="595"/>
      <c r="IWG40" s="595"/>
      <c r="IWH40" s="595"/>
      <c r="IWI40" s="595"/>
      <c r="IWJ40" s="595"/>
      <c r="IWK40" s="595"/>
      <c r="IWL40" s="595"/>
      <c r="IWM40" s="595"/>
      <c r="IWN40" s="595"/>
      <c r="IWO40" s="595"/>
      <c r="IWP40" s="595"/>
      <c r="IWQ40" s="595"/>
      <c r="IWR40" s="595"/>
      <c r="IWS40" s="595"/>
      <c r="IWT40" s="595"/>
      <c r="IWU40" s="595"/>
      <c r="IWV40" s="595"/>
      <c r="IWW40" s="595"/>
      <c r="IWX40" s="595"/>
      <c r="IWY40" s="595"/>
      <c r="IWZ40" s="595"/>
      <c r="IXA40" s="595"/>
      <c r="IXB40" s="595"/>
      <c r="IXC40" s="595"/>
      <c r="IXD40" s="595"/>
      <c r="IXE40" s="595"/>
      <c r="IXF40" s="595"/>
      <c r="IXG40" s="595"/>
      <c r="IXH40" s="595"/>
      <c r="IXI40" s="595"/>
      <c r="IXJ40" s="595"/>
      <c r="IXK40" s="595"/>
      <c r="IXL40" s="595"/>
      <c r="IXM40" s="595"/>
      <c r="IXN40" s="595"/>
      <c r="IXO40" s="595"/>
      <c r="IXP40" s="595"/>
      <c r="IXQ40" s="595"/>
      <c r="IXR40" s="595"/>
      <c r="IXS40" s="595"/>
      <c r="IXT40" s="595"/>
      <c r="IXU40" s="595"/>
      <c r="IXV40" s="595"/>
      <c r="IXW40" s="595"/>
      <c r="IXX40" s="595"/>
      <c r="IXY40" s="595"/>
      <c r="IXZ40" s="595"/>
      <c r="IYA40" s="595"/>
      <c r="IYB40" s="595"/>
      <c r="IYC40" s="595"/>
      <c r="IYD40" s="595"/>
      <c r="IYE40" s="595"/>
      <c r="IYF40" s="595"/>
      <c r="IYG40" s="595"/>
      <c r="IYH40" s="595"/>
      <c r="IYI40" s="595"/>
      <c r="IYJ40" s="595"/>
      <c r="IYK40" s="595"/>
      <c r="IYL40" s="595"/>
      <c r="IYM40" s="595"/>
      <c r="IYN40" s="595"/>
      <c r="IYO40" s="595"/>
      <c r="IYP40" s="595"/>
      <c r="IYQ40" s="595"/>
      <c r="IYR40" s="595"/>
      <c r="IYS40" s="595"/>
      <c r="IYT40" s="595"/>
      <c r="IYU40" s="595"/>
      <c r="IYV40" s="595"/>
      <c r="IYW40" s="595"/>
      <c r="IYX40" s="595"/>
      <c r="IYY40" s="595"/>
      <c r="IYZ40" s="595"/>
      <c r="IZA40" s="595"/>
      <c r="IZB40" s="595"/>
      <c r="IZC40" s="595"/>
      <c r="IZD40" s="595"/>
      <c r="IZE40" s="595"/>
      <c r="IZF40" s="595"/>
      <c r="IZG40" s="595"/>
      <c r="IZH40" s="595"/>
      <c r="IZI40" s="595"/>
      <c r="IZJ40" s="595"/>
      <c r="IZK40" s="595"/>
      <c r="IZL40" s="595"/>
      <c r="IZM40" s="595"/>
      <c r="IZN40" s="595"/>
      <c r="IZO40" s="595"/>
      <c r="IZP40" s="595"/>
      <c r="IZQ40" s="595"/>
      <c r="IZR40" s="595"/>
      <c r="IZS40" s="595"/>
      <c r="IZT40" s="595"/>
      <c r="IZU40" s="595"/>
      <c r="IZV40" s="595"/>
      <c r="IZW40" s="595"/>
      <c r="IZX40" s="595"/>
      <c r="IZY40" s="595"/>
      <c r="IZZ40" s="595"/>
      <c r="JAA40" s="595"/>
      <c r="JAB40" s="595"/>
      <c r="JAC40" s="595"/>
      <c r="JAD40" s="595"/>
      <c r="JAE40" s="595"/>
      <c r="JAF40" s="595"/>
      <c r="JAG40" s="595"/>
      <c r="JAH40" s="595"/>
      <c r="JAI40" s="595"/>
      <c r="JAJ40" s="595"/>
      <c r="JAK40" s="595"/>
      <c r="JAL40" s="595"/>
      <c r="JAM40" s="595"/>
      <c r="JAN40" s="595"/>
      <c r="JAO40" s="595"/>
      <c r="JAP40" s="595"/>
      <c r="JAQ40" s="595"/>
      <c r="JAR40" s="595"/>
      <c r="JAS40" s="595"/>
      <c r="JAT40" s="595"/>
      <c r="JAU40" s="595"/>
      <c r="JAV40" s="595"/>
      <c r="JAW40" s="595"/>
      <c r="JAX40" s="595"/>
      <c r="JAY40" s="595"/>
      <c r="JAZ40" s="595"/>
      <c r="JBA40" s="595"/>
      <c r="JBB40" s="595"/>
      <c r="JBC40" s="595"/>
      <c r="JBD40" s="595"/>
      <c r="JBE40" s="595"/>
      <c r="JBF40" s="595"/>
      <c r="JBG40" s="595"/>
      <c r="JBH40" s="595"/>
      <c r="JBI40" s="595"/>
      <c r="JBJ40" s="595"/>
      <c r="JBK40" s="595"/>
      <c r="JBL40" s="595"/>
      <c r="JBM40" s="595"/>
      <c r="JBN40" s="595"/>
      <c r="JBO40" s="595"/>
      <c r="JBP40" s="595"/>
      <c r="JBQ40" s="595"/>
      <c r="JBR40" s="595"/>
      <c r="JBS40" s="595"/>
      <c r="JBT40" s="595"/>
      <c r="JBU40" s="595"/>
      <c r="JBV40" s="595"/>
      <c r="JBW40" s="595"/>
      <c r="JBX40" s="595"/>
      <c r="JBY40" s="595"/>
      <c r="JBZ40" s="595"/>
      <c r="JCA40" s="595"/>
      <c r="JCB40" s="595"/>
      <c r="JCC40" s="595"/>
      <c r="JCD40" s="595"/>
      <c r="JCE40" s="595"/>
      <c r="JCF40" s="595"/>
      <c r="JCG40" s="595"/>
      <c r="JCH40" s="595"/>
      <c r="JCI40" s="595"/>
      <c r="JCJ40" s="595"/>
      <c r="JCK40" s="595"/>
      <c r="JCL40" s="595"/>
      <c r="JCM40" s="595"/>
      <c r="JCN40" s="595"/>
      <c r="JCO40" s="595"/>
      <c r="JCP40" s="595"/>
      <c r="JCQ40" s="595"/>
      <c r="JCR40" s="595"/>
      <c r="JCS40" s="595"/>
      <c r="JCT40" s="595"/>
      <c r="JCU40" s="595"/>
      <c r="JCV40" s="595"/>
      <c r="JCW40" s="595"/>
      <c r="JCX40" s="595"/>
      <c r="JCY40" s="595"/>
      <c r="JCZ40" s="595"/>
      <c r="JDA40" s="595"/>
      <c r="JDB40" s="595"/>
      <c r="JDC40" s="595"/>
      <c r="JDD40" s="595"/>
      <c r="JDE40" s="595"/>
      <c r="JDF40" s="595"/>
      <c r="JDG40" s="595"/>
      <c r="JDH40" s="595"/>
      <c r="JDI40" s="595"/>
      <c r="JDJ40" s="595"/>
      <c r="JDK40" s="595"/>
      <c r="JDL40" s="595"/>
      <c r="JDM40" s="595"/>
      <c r="JDN40" s="595"/>
      <c r="JDO40" s="595"/>
      <c r="JDP40" s="595"/>
      <c r="JDQ40" s="595"/>
      <c r="JDR40" s="595"/>
      <c r="JDS40" s="595"/>
      <c r="JDT40" s="595"/>
      <c r="JDU40" s="595"/>
      <c r="JDV40" s="595"/>
      <c r="JDW40" s="595"/>
      <c r="JDX40" s="595"/>
      <c r="JDY40" s="595"/>
      <c r="JDZ40" s="595"/>
      <c r="JEA40" s="595"/>
      <c r="JEB40" s="595"/>
      <c r="JEC40" s="595"/>
      <c r="JED40" s="595"/>
      <c r="JEE40" s="595"/>
      <c r="JEF40" s="595"/>
      <c r="JEG40" s="595"/>
      <c r="JEH40" s="595"/>
      <c r="JEI40" s="595"/>
      <c r="JEJ40" s="595"/>
      <c r="JEK40" s="595"/>
      <c r="JEL40" s="595"/>
      <c r="JEM40" s="595"/>
      <c r="JEN40" s="595"/>
      <c r="JEO40" s="595"/>
      <c r="JEP40" s="595"/>
      <c r="JEQ40" s="595"/>
      <c r="JER40" s="595"/>
      <c r="JES40" s="595"/>
      <c r="JET40" s="595"/>
      <c r="JEU40" s="595"/>
      <c r="JEV40" s="595"/>
      <c r="JEW40" s="595"/>
      <c r="JEX40" s="595"/>
      <c r="JEY40" s="595"/>
      <c r="JEZ40" s="595"/>
      <c r="JFA40" s="595"/>
      <c r="JFB40" s="595"/>
      <c r="JFC40" s="595"/>
      <c r="JFD40" s="595"/>
      <c r="JFE40" s="595"/>
      <c r="JFF40" s="595"/>
      <c r="JFG40" s="595"/>
      <c r="JFH40" s="595"/>
      <c r="JFI40" s="595"/>
      <c r="JFJ40" s="595"/>
      <c r="JFK40" s="595"/>
      <c r="JFL40" s="595"/>
      <c r="JFM40" s="595"/>
      <c r="JFN40" s="595"/>
      <c r="JFO40" s="595"/>
      <c r="JFP40" s="595"/>
      <c r="JFQ40" s="595"/>
      <c r="JFR40" s="595"/>
      <c r="JFS40" s="595"/>
      <c r="JFT40" s="595"/>
      <c r="JFU40" s="595"/>
      <c r="JFV40" s="595"/>
      <c r="JFW40" s="595"/>
      <c r="JFX40" s="595"/>
      <c r="JFY40" s="595"/>
      <c r="JFZ40" s="595"/>
      <c r="JGA40" s="595"/>
      <c r="JGB40" s="595"/>
      <c r="JGC40" s="595"/>
      <c r="JGD40" s="595"/>
      <c r="JGE40" s="595"/>
      <c r="JGF40" s="595"/>
      <c r="JGG40" s="595"/>
      <c r="JGH40" s="595"/>
      <c r="JGI40" s="595"/>
      <c r="JGJ40" s="595"/>
      <c r="JGK40" s="595"/>
      <c r="JGL40" s="595"/>
      <c r="JGM40" s="595"/>
      <c r="JGN40" s="595"/>
      <c r="JGO40" s="595"/>
      <c r="JGP40" s="595"/>
      <c r="JGQ40" s="595"/>
      <c r="JGR40" s="595"/>
      <c r="JGS40" s="595"/>
      <c r="JGT40" s="595"/>
      <c r="JGU40" s="595"/>
      <c r="JGV40" s="595"/>
      <c r="JGW40" s="595"/>
      <c r="JGX40" s="595"/>
      <c r="JGY40" s="595"/>
      <c r="JGZ40" s="595"/>
      <c r="JHA40" s="595"/>
      <c r="JHB40" s="595"/>
      <c r="JHC40" s="595"/>
      <c r="JHD40" s="595"/>
      <c r="JHE40" s="595"/>
      <c r="JHF40" s="595"/>
      <c r="JHG40" s="595"/>
      <c r="JHH40" s="595"/>
      <c r="JHI40" s="595"/>
      <c r="JHJ40" s="595"/>
      <c r="JHK40" s="595"/>
      <c r="JHL40" s="595"/>
      <c r="JHM40" s="595"/>
      <c r="JHN40" s="595"/>
      <c r="JHO40" s="595"/>
      <c r="JHP40" s="595"/>
      <c r="JHQ40" s="595"/>
      <c r="JHR40" s="595"/>
      <c r="JHS40" s="595"/>
      <c r="JHT40" s="595"/>
      <c r="JHU40" s="595"/>
      <c r="JHV40" s="595"/>
      <c r="JHW40" s="595"/>
      <c r="JHX40" s="595"/>
      <c r="JHY40" s="595"/>
      <c r="JHZ40" s="595"/>
      <c r="JIA40" s="595"/>
      <c r="JIB40" s="595"/>
      <c r="JIC40" s="595"/>
      <c r="JID40" s="595"/>
      <c r="JIE40" s="595"/>
      <c r="JIF40" s="595"/>
      <c r="JIG40" s="595"/>
      <c r="JIH40" s="595"/>
      <c r="JII40" s="595"/>
      <c r="JIJ40" s="595"/>
      <c r="JIK40" s="595"/>
      <c r="JIL40" s="595"/>
      <c r="JIM40" s="595"/>
      <c r="JIN40" s="595"/>
      <c r="JIO40" s="595"/>
      <c r="JIP40" s="595"/>
      <c r="JIQ40" s="595"/>
      <c r="JIR40" s="595"/>
      <c r="JIS40" s="595"/>
      <c r="JIT40" s="595"/>
      <c r="JIU40" s="595"/>
      <c r="JIV40" s="595"/>
      <c r="JIW40" s="595"/>
      <c r="JIX40" s="595"/>
      <c r="JIY40" s="595"/>
      <c r="JIZ40" s="595"/>
      <c r="JJA40" s="595"/>
      <c r="JJB40" s="595"/>
      <c r="JJC40" s="595"/>
      <c r="JJD40" s="595"/>
      <c r="JJE40" s="595"/>
      <c r="JJF40" s="595"/>
      <c r="JJG40" s="595"/>
      <c r="JJH40" s="595"/>
      <c r="JJI40" s="595"/>
      <c r="JJJ40" s="595"/>
      <c r="JJK40" s="595"/>
      <c r="JJL40" s="595"/>
      <c r="JJM40" s="595"/>
      <c r="JJN40" s="595"/>
      <c r="JJO40" s="595"/>
      <c r="JJP40" s="595"/>
      <c r="JJQ40" s="595"/>
      <c r="JJR40" s="595"/>
      <c r="JJS40" s="595"/>
      <c r="JJT40" s="595"/>
      <c r="JJU40" s="595"/>
      <c r="JJV40" s="595"/>
      <c r="JJW40" s="595"/>
      <c r="JJX40" s="595"/>
      <c r="JJY40" s="595"/>
      <c r="JJZ40" s="595"/>
      <c r="JKA40" s="595"/>
      <c r="JKB40" s="595"/>
      <c r="JKC40" s="595"/>
      <c r="JKD40" s="595"/>
      <c r="JKE40" s="595"/>
      <c r="JKF40" s="595"/>
      <c r="JKG40" s="595"/>
      <c r="JKH40" s="595"/>
      <c r="JKI40" s="595"/>
      <c r="JKJ40" s="595"/>
      <c r="JKK40" s="595"/>
      <c r="JKL40" s="595"/>
      <c r="JKM40" s="595"/>
      <c r="JKN40" s="595"/>
      <c r="JKO40" s="595"/>
      <c r="JKP40" s="595"/>
      <c r="JKQ40" s="595"/>
      <c r="JKR40" s="595"/>
      <c r="JKS40" s="595"/>
      <c r="JKT40" s="595"/>
      <c r="JKU40" s="595"/>
      <c r="JKV40" s="595"/>
      <c r="JKW40" s="595"/>
      <c r="JKX40" s="595"/>
      <c r="JKY40" s="595"/>
      <c r="JKZ40" s="595"/>
      <c r="JLA40" s="595"/>
      <c r="JLB40" s="595"/>
      <c r="JLC40" s="595"/>
      <c r="JLD40" s="595"/>
      <c r="JLE40" s="595"/>
      <c r="JLF40" s="595"/>
      <c r="JLG40" s="595"/>
      <c r="JLH40" s="595"/>
      <c r="JLI40" s="595"/>
      <c r="JLJ40" s="595"/>
      <c r="JLK40" s="595"/>
      <c r="JLL40" s="595"/>
      <c r="JLM40" s="595"/>
      <c r="JLN40" s="595"/>
      <c r="JLO40" s="595"/>
      <c r="JLP40" s="595"/>
      <c r="JLQ40" s="595"/>
      <c r="JLR40" s="595"/>
      <c r="JLS40" s="595"/>
      <c r="JLT40" s="595"/>
      <c r="JLU40" s="595"/>
      <c r="JLV40" s="595"/>
      <c r="JLW40" s="595"/>
      <c r="JLX40" s="595"/>
      <c r="JLY40" s="595"/>
      <c r="JLZ40" s="595"/>
      <c r="JMA40" s="595"/>
      <c r="JMB40" s="595"/>
      <c r="JMC40" s="595"/>
      <c r="JMD40" s="595"/>
      <c r="JME40" s="595"/>
      <c r="JMF40" s="595"/>
      <c r="JMG40" s="595"/>
      <c r="JMH40" s="595"/>
      <c r="JMI40" s="595"/>
      <c r="JMJ40" s="595"/>
      <c r="JMK40" s="595"/>
      <c r="JML40" s="595"/>
      <c r="JMM40" s="595"/>
      <c r="JMN40" s="595"/>
      <c r="JMO40" s="595"/>
      <c r="JMP40" s="595"/>
      <c r="JMQ40" s="595"/>
      <c r="JMR40" s="595"/>
      <c r="JMS40" s="595"/>
      <c r="JMT40" s="595"/>
      <c r="JMU40" s="595"/>
      <c r="JMV40" s="595"/>
      <c r="JMW40" s="595"/>
      <c r="JMX40" s="595"/>
      <c r="JMY40" s="595"/>
      <c r="JMZ40" s="595"/>
      <c r="JNA40" s="595"/>
      <c r="JNB40" s="595"/>
      <c r="JNC40" s="595"/>
      <c r="JND40" s="595"/>
      <c r="JNE40" s="595"/>
      <c r="JNF40" s="595"/>
      <c r="JNG40" s="595"/>
      <c r="JNH40" s="595"/>
      <c r="JNI40" s="595"/>
      <c r="JNJ40" s="595"/>
      <c r="JNK40" s="595"/>
      <c r="JNL40" s="595"/>
      <c r="JNM40" s="595"/>
      <c r="JNN40" s="595"/>
      <c r="JNO40" s="595"/>
      <c r="JNP40" s="595"/>
      <c r="JNQ40" s="595"/>
      <c r="JNR40" s="595"/>
      <c r="JNS40" s="595"/>
      <c r="JNT40" s="595"/>
      <c r="JNU40" s="595"/>
      <c r="JNV40" s="595"/>
      <c r="JNW40" s="595"/>
      <c r="JNX40" s="595"/>
      <c r="JNY40" s="595"/>
      <c r="JNZ40" s="595"/>
      <c r="JOA40" s="595"/>
      <c r="JOB40" s="595"/>
      <c r="JOC40" s="595"/>
      <c r="JOD40" s="595"/>
      <c r="JOE40" s="595"/>
      <c r="JOF40" s="595"/>
      <c r="JOG40" s="595"/>
      <c r="JOH40" s="595"/>
      <c r="JOI40" s="595"/>
      <c r="JOJ40" s="595"/>
      <c r="JOK40" s="595"/>
      <c r="JOL40" s="595"/>
      <c r="JOM40" s="595"/>
      <c r="JON40" s="595"/>
      <c r="JOO40" s="595"/>
      <c r="JOP40" s="595"/>
      <c r="JOQ40" s="595"/>
      <c r="JOR40" s="595"/>
      <c r="JOS40" s="595"/>
      <c r="JOT40" s="595"/>
      <c r="JOU40" s="595"/>
      <c r="JOV40" s="595"/>
      <c r="JOW40" s="595"/>
      <c r="JOX40" s="595"/>
      <c r="JOY40" s="595"/>
      <c r="JOZ40" s="595"/>
      <c r="JPA40" s="595"/>
      <c r="JPB40" s="595"/>
      <c r="JPC40" s="595"/>
      <c r="JPD40" s="595"/>
      <c r="JPE40" s="595"/>
      <c r="JPF40" s="595"/>
      <c r="JPG40" s="595"/>
      <c r="JPH40" s="595"/>
      <c r="JPI40" s="595"/>
      <c r="JPJ40" s="595"/>
      <c r="JPK40" s="595"/>
      <c r="JPL40" s="595"/>
      <c r="JPM40" s="595"/>
      <c r="JPN40" s="595"/>
      <c r="JPO40" s="595"/>
      <c r="JPP40" s="595"/>
      <c r="JPQ40" s="595"/>
      <c r="JPR40" s="595"/>
      <c r="JPS40" s="595"/>
      <c r="JPT40" s="595"/>
      <c r="JPU40" s="595"/>
      <c r="JPV40" s="595"/>
      <c r="JPW40" s="595"/>
      <c r="JPX40" s="595"/>
      <c r="JPY40" s="595"/>
      <c r="JPZ40" s="595"/>
      <c r="JQA40" s="595"/>
      <c r="JQB40" s="595"/>
      <c r="JQC40" s="595"/>
      <c r="JQD40" s="595"/>
      <c r="JQE40" s="595"/>
      <c r="JQF40" s="595"/>
      <c r="JQG40" s="595"/>
      <c r="JQH40" s="595"/>
      <c r="JQI40" s="595"/>
      <c r="JQJ40" s="595"/>
      <c r="JQK40" s="595"/>
      <c r="JQL40" s="595"/>
      <c r="JQM40" s="595"/>
      <c r="JQN40" s="595"/>
      <c r="JQO40" s="595"/>
      <c r="JQP40" s="595"/>
      <c r="JQQ40" s="595"/>
      <c r="JQR40" s="595"/>
      <c r="JQS40" s="595"/>
      <c r="JQT40" s="595"/>
      <c r="JQU40" s="595"/>
      <c r="JQV40" s="595"/>
      <c r="JQW40" s="595"/>
      <c r="JQX40" s="595"/>
      <c r="JQY40" s="595"/>
      <c r="JQZ40" s="595"/>
      <c r="JRA40" s="595"/>
      <c r="JRB40" s="595"/>
      <c r="JRC40" s="595"/>
      <c r="JRD40" s="595"/>
      <c r="JRE40" s="595"/>
      <c r="JRF40" s="595"/>
      <c r="JRG40" s="595"/>
      <c r="JRH40" s="595"/>
      <c r="JRI40" s="595"/>
      <c r="JRJ40" s="595"/>
      <c r="JRK40" s="595"/>
      <c r="JRL40" s="595"/>
      <c r="JRM40" s="595"/>
      <c r="JRN40" s="595"/>
      <c r="JRO40" s="595"/>
      <c r="JRP40" s="595"/>
      <c r="JRQ40" s="595"/>
      <c r="JRR40" s="595"/>
      <c r="JRS40" s="595"/>
      <c r="JRT40" s="595"/>
      <c r="JRU40" s="595"/>
      <c r="JRV40" s="595"/>
      <c r="JRW40" s="595"/>
      <c r="JRX40" s="595"/>
      <c r="JRY40" s="595"/>
      <c r="JRZ40" s="595"/>
      <c r="JSA40" s="595"/>
      <c r="JSB40" s="595"/>
      <c r="JSC40" s="595"/>
      <c r="JSD40" s="595"/>
      <c r="JSE40" s="595"/>
      <c r="JSF40" s="595"/>
      <c r="JSG40" s="595"/>
      <c r="JSH40" s="595"/>
      <c r="JSI40" s="595"/>
      <c r="JSJ40" s="595"/>
      <c r="JSK40" s="595"/>
      <c r="JSL40" s="595"/>
      <c r="JSM40" s="595"/>
      <c r="JSN40" s="595"/>
      <c r="JSO40" s="595"/>
      <c r="JSP40" s="595"/>
      <c r="JSQ40" s="595"/>
      <c r="JSR40" s="595"/>
      <c r="JSS40" s="595"/>
      <c r="JST40" s="595"/>
      <c r="JSU40" s="595"/>
      <c r="JSV40" s="595"/>
      <c r="JSW40" s="595"/>
      <c r="JSX40" s="595"/>
      <c r="JSY40" s="595"/>
      <c r="JSZ40" s="595"/>
      <c r="JTA40" s="595"/>
      <c r="JTB40" s="595"/>
      <c r="JTC40" s="595"/>
      <c r="JTD40" s="595"/>
      <c r="JTE40" s="595"/>
      <c r="JTF40" s="595"/>
      <c r="JTG40" s="595"/>
      <c r="JTH40" s="595"/>
      <c r="JTI40" s="595"/>
      <c r="JTJ40" s="595"/>
      <c r="JTK40" s="595"/>
      <c r="JTL40" s="595"/>
      <c r="JTM40" s="595"/>
      <c r="JTN40" s="595"/>
      <c r="JTO40" s="595"/>
      <c r="JTP40" s="595"/>
      <c r="JTQ40" s="595"/>
      <c r="JTR40" s="595"/>
      <c r="JTS40" s="595"/>
      <c r="JTT40" s="595"/>
      <c r="JTU40" s="595"/>
      <c r="JTV40" s="595"/>
      <c r="JTW40" s="595"/>
      <c r="JTX40" s="595"/>
      <c r="JTY40" s="595"/>
      <c r="JTZ40" s="595"/>
      <c r="JUA40" s="595"/>
      <c r="JUB40" s="595"/>
      <c r="JUC40" s="595"/>
      <c r="JUD40" s="595"/>
      <c r="JUE40" s="595"/>
      <c r="JUF40" s="595"/>
      <c r="JUG40" s="595"/>
      <c r="JUH40" s="595"/>
      <c r="JUI40" s="595"/>
      <c r="JUJ40" s="595"/>
      <c r="JUK40" s="595"/>
      <c r="JUL40" s="595"/>
      <c r="JUM40" s="595"/>
      <c r="JUN40" s="595"/>
      <c r="JUO40" s="595"/>
      <c r="JUP40" s="595"/>
      <c r="JUQ40" s="595"/>
      <c r="JUR40" s="595"/>
      <c r="JUS40" s="595"/>
      <c r="JUT40" s="595"/>
      <c r="JUU40" s="595"/>
      <c r="JUV40" s="595"/>
      <c r="JUW40" s="595"/>
      <c r="JUX40" s="595"/>
      <c r="JUY40" s="595"/>
      <c r="JUZ40" s="595"/>
      <c r="JVA40" s="595"/>
      <c r="JVB40" s="595"/>
      <c r="JVC40" s="595"/>
      <c r="JVD40" s="595"/>
      <c r="JVE40" s="595"/>
      <c r="JVF40" s="595"/>
      <c r="JVG40" s="595"/>
      <c r="JVH40" s="595"/>
      <c r="JVI40" s="595"/>
      <c r="JVJ40" s="595"/>
      <c r="JVK40" s="595"/>
      <c r="JVL40" s="595"/>
      <c r="JVM40" s="595"/>
      <c r="JVN40" s="595"/>
      <c r="JVO40" s="595"/>
      <c r="JVP40" s="595"/>
      <c r="JVQ40" s="595"/>
      <c r="JVR40" s="595"/>
      <c r="JVS40" s="595"/>
      <c r="JVT40" s="595"/>
      <c r="JVU40" s="595"/>
      <c r="JVV40" s="595"/>
      <c r="JVW40" s="595"/>
      <c r="JVX40" s="595"/>
      <c r="JVY40" s="595"/>
      <c r="JVZ40" s="595"/>
      <c r="JWA40" s="595"/>
      <c r="JWB40" s="595"/>
      <c r="JWC40" s="595"/>
      <c r="JWD40" s="595"/>
      <c r="JWE40" s="595"/>
      <c r="JWF40" s="595"/>
      <c r="JWG40" s="595"/>
      <c r="JWH40" s="595"/>
      <c r="JWI40" s="595"/>
      <c r="JWJ40" s="595"/>
      <c r="JWK40" s="595"/>
      <c r="JWL40" s="595"/>
      <c r="JWM40" s="595"/>
      <c r="JWN40" s="595"/>
      <c r="JWO40" s="595"/>
      <c r="JWP40" s="595"/>
      <c r="JWQ40" s="595"/>
      <c r="JWR40" s="595"/>
      <c r="JWS40" s="595"/>
      <c r="JWT40" s="595"/>
      <c r="JWU40" s="595"/>
      <c r="JWV40" s="595"/>
      <c r="JWW40" s="595"/>
      <c r="JWX40" s="595"/>
      <c r="JWY40" s="595"/>
      <c r="JWZ40" s="595"/>
      <c r="JXA40" s="595"/>
      <c r="JXB40" s="595"/>
      <c r="JXC40" s="595"/>
      <c r="JXD40" s="595"/>
      <c r="JXE40" s="595"/>
      <c r="JXF40" s="595"/>
      <c r="JXG40" s="595"/>
      <c r="JXH40" s="595"/>
      <c r="JXI40" s="595"/>
      <c r="JXJ40" s="595"/>
      <c r="JXK40" s="595"/>
      <c r="JXL40" s="595"/>
      <c r="JXM40" s="595"/>
      <c r="JXN40" s="595"/>
      <c r="JXO40" s="595"/>
      <c r="JXP40" s="595"/>
      <c r="JXQ40" s="595"/>
      <c r="JXR40" s="595"/>
      <c r="JXS40" s="595"/>
      <c r="JXT40" s="595"/>
      <c r="JXU40" s="595"/>
      <c r="JXV40" s="595"/>
      <c r="JXW40" s="595"/>
      <c r="JXX40" s="595"/>
      <c r="JXY40" s="595"/>
      <c r="JXZ40" s="595"/>
      <c r="JYA40" s="595"/>
      <c r="JYB40" s="595"/>
      <c r="JYC40" s="595"/>
      <c r="JYD40" s="595"/>
      <c r="JYE40" s="595"/>
      <c r="JYF40" s="595"/>
      <c r="JYG40" s="595"/>
      <c r="JYH40" s="595"/>
      <c r="JYI40" s="595"/>
      <c r="JYJ40" s="595"/>
      <c r="JYK40" s="595"/>
      <c r="JYL40" s="595"/>
      <c r="JYM40" s="595"/>
      <c r="JYN40" s="595"/>
      <c r="JYO40" s="595"/>
      <c r="JYP40" s="595"/>
      <c r="JYQ40" s="595"/>
      <c r="JYR40" s="595"/>
      <c r="JYS40" s="595"/>
      <c r="JYT40" s="595"/>
      <c r="JYU40" s="595"/>
      <c r="JYV40" s="595"/>
      <c r="JYW40" s="595"/>
      <c r="JYX40" s="595"/>
      <c r="JYY40" s="595"/>
      <c r="JYZ40" s="595"/>
      <c r="JZA40" s="595"/>
      <c r="JZB40" s="595"/>
      <c r="JZC40" s="595"/>
      <c r="JZD40" s="595"/>
      <c r="JZE40" s="595"/>
      <c r="JZF40" s="595"/>
      <c r="JZG40" s="595"/>
      <c r="JZH40" s="595"/>
      <c r="JZI40" s="595"/>
      <c r="JZJ40" s="595"/>
      <c r="JZK40" s="595"/>
      <c r="JZL40" s="595"/>
      <c r="JZM40" s="595"/>
      <c r="JZN40" s="595"/>
      <c r="JZO40" s="595"/>
      <c r="JZP40" s="595"/>
      <c r="JZQ40" s="595"/>
      <c r="JZR40" s="595"/>
      <c r="JZS40" s="595"/>
      <c r="JZT40" s="595"/>
      <c r="JZU40" s="595"/>
      <c r="JZV40" s="595"/>
      <c r="JZW40" s="595"/>
      <c r="JZX40" s="595"/>
      <c r="JZY40" s="595"/>
      <c r="JZZ40" s="595"/>
      <c r="KAA40" s="595"/>
      <c r="KAB40" s="595"/>
      <c r="KAC40" s="595"/>
      <c r="KAD40" s="595"/>
      <c r="KAE40" s="595"/>
      <c r="KAF40" s="595"/>
      <c r="KAG40" s="595"/>
      <c r="KAH40" s="595"/>
      <c r="KAI40" s="595"/>
      <c r="KAJ40" s="595"/>
      <c r="KAK40" s="595"/>
      <c r="KAL40" s="595"/>
      <c r="KAM40" s="595"/>
      <c r="KAN40" s="595"/>
      <c r="KAO40" s="595"/>
      <c r="KAP40" s="595"/>
      <c r="KAQ40" s="595"/>
      <c r="KAR40" s="595"/>
      <c r="KAS40" s="595"/>
      <c r="KAT40" s="595"/>
      <c r="KAU40" s="595"/>
      <c r="KAV40" s="595"/>
      <c r="KAW40" s="595"/>
      <c r="KAX40" s="595"/>
      <c r="KAY40" s="595"/>
      <c r="KAZ40" s="595"/>
      <c r="KBA40" s="595"/>
      <c r="KBB40" s="595"/>
      <c r="KBC40" s="595"/>
      <c r="KBD40" s="595"/>
      <c r="KBE40" s="595"/>
      <c r="KBF40" s="595"/>
      <c r="KBG40" s="595"/>
      <c r="KBH40" s="595"/>
      <c r="KBI40" s="595"/>
      <c r="KBJ40" s="595"/>
      <c r="KBK40" s="595"/>
      <c r="KBL40" s="595"/>
      <c r="KBM40" s="595"/>
      <c r="KBN40" s="595"/>
      <c r="KBO40" s="595"/>
      <c r="KBP40" s="595"/>
      <c r="KBQ40" s="595"/>
      <c r="KBR40" s="595"/>
      <c r="KBS40" s="595"/>
      <c r="KBT40" s="595"/>
      <c r="KBU40" s="595"/>
      <c r="KBV40" s="595"/>
      <c r="KBW40" s="595"/>
      <c r="KBX40" s="595"/>
      <c r="KBY40" s="595"/>
      <c r="KBZ40" s="595"/>
      <c r="KCA40" s="595"/>
      <c r="KCB40" s="595"/>
      <c r="KCC40" s="595"/>
      <c r="KCD40" s="595"/>
      <c r="KCE40" s="595"/>
      <c r="KCF40" s="595"/>
      <c r="KCG40" s="595"/>
      <c r="KCH40" s="595"/>
      <c r="KCI40" s="595"/>
      <c r="KCJ40" s="595"/>
      <c r="KCK40" s="595"/>
      <c r="KCL40" s="595"/>
      <c r="KCM40" s="595"/>
      <c r="KCN40" s="595"/>
      <c r="KCO40" s="595"/>
      <c r="KCP40" s="595"/>
      <c r="KCQ40" s="595"/>
      <c r="KCR40" s="595"/>
      <c r="KCS40" s="595"/>
      <c r="KCT40" s="595"/>
      <c r="KCU40" s="595"/>
      <c r="KCV40" s="595"/>
      <c r="KCW40" s="595"/>
      <c r="KCX40" s="595"/>
      <c r="KCY40" s="595"/>
      <c r="KCZ40" s="595"/>
      <c r="KDA40" s="595"/>
      <c r="KDB40" s="595"/>
      <c r="KDC40" s="595"/>
      <c r="KDD40" s="595"/>
      <c r="KDE40" s="595"/>
      <c r="KDF40" s="595"/>
      <c r="KDG40" s="595"/>
      <c r="KDH40" s="595"/>
      <c r="KDI40" s="595"/>
      <c r="KDJ40" s="595"/>
      <c r="KDK40" s="595"/>
      <c r="KDL40" s="595"/>
      <c r="KDM40" s="595"/>
      <c r="KDN40" s="595"/>
      <c r="KDO40" s="595"/>
      <c r="KDP40" s="595"/>
      <c r="KDQ40" s="595"/>
      <c r="KDR40" s="595"/>
      <c r="KDS40" s="595"/>
      <c r="KDT40" s="595"/>
      <c r="KDU40" s="595"/>
      <c r="KDV40" s="595"/>
      <c r="KDW40" s="595"/>
      <c r="KDX40" s="595"/>
      <c r="KDY40" s="595"/>
      <c r="KDZ40" s="595"/>
      <c r="KEA40" s="595"/>
      <c r="KEB40" s="595"/>
      <c r="KEC40" s="595"/>
      <c r="KED40" s="595"/>
      <c r="KEE40" s="595"/>
      <c r="KEF40" s="595"/>
      <c r="KEG40" s="595"/>
      <c r="KEH40" s="595"/>
      <c r="KEI40" s="595"/>
      <c r="KEJ40" s="595"/>
      <c r="KEK40" s="595"/>
      <c r="KEL40" s="595"/>
      <c r="KEM40" s="595"/>
      <c r="KEN40" s="595"/>
      <c r="KEO40" s="595"/>
      <c r="KEP40" s="595"/>
      <c r="KEQ40" s="595"/>
      <c r="KER40" s="595"/>
      <c r="KES40" s="595"/>
      <c r="KET40" s="595"/>
      <c r="KEU40" s="595"/>
      <c r="KEV40" s="595"/>
      <c r="KEW40" s="595"/>
      <c r="KEX40" s="595"/>
      <c r="KEY40" s="595"/>
      <c r="KEZ40" s="595"/>
      <c r="KFA40" s="595"/>
      <c r="KFB40" s="595"/>
      <c r="KFC40" s="595"/>
      <c r="KFD40" s="595"/>
      <c r="KFE40" s="595"/>
      <c r="KFF40" s="595"/>
      <c r="KFG40" s="595"/>
      <c r="KFH40" s="595"/>
      <c r="KFI40" s="595"/>
      <c r="KFJ40" s="595"/>
      <c r="KFK40" s="595"/>
      <c r="KFL40" s="595"/>
      <c r="KFM40" s="595"/>
      <c r="KFN40" s="595"/>
      <c r="KFO40" s="595"/>
      <c r="KFP40" s="595"/>
      <c r="KFQ40" s="595"/>
      <c r="KFR40" s="595"/>
      <c r="KFS40" s="595"/>
      <c r="KFT40" s="595"/>
      <c r="KFU40" s="595"/>
      <c r="KFV40" s="595"/>
      <c r="KFW40" s="595"/>
      <c r="KFX40" s="595"/>
      <c r="KFY40" s="595"/>
      <c r="KFZ40" s="595"/>
      <c r="KGA40" s="595"/>
      <c r="KGB40" s="595"/>
      <c r="KGC40" s="595"/>
      <c r="KGD40" s="595"/>
      <c r="KGE40" s="595"/>
      <c r="KGF40" s="595"/>
      <c r="KGG40" s="595"/>
      <c r="KGH40" s="595"/>
      <c r="KGI40" s="595"/>
      <c r="KGJ40" s="595"/>
      <c r="KGK40" s="595"/>
      <c r="KGL40" s="595"/>
      <c r="KGM40" s="595"/>
      <c r="KGN40" s="595"/>
      <c r="KGO40" s="595"/>
      <c r="KGP40" s="595"/>
      <c r="KGQ40" s="595"/>
      <c r="KGR40" s="595"/>
      <c r="KGS40" s="595"/>
      <c r="KGT40" s="595"/>
      <c r="KGU40" s="595"/>
      <c r="KGV40" s="595"/>
      <c r="KGW40" s="595"/>
      <c r="KGX40" s="595"/>
      <c r="KGY40" s="595"/>
      <c r="KGZ40" s="595"/>
      <c r="KHA40" s="595"/>
      <c r="KHB40" s="595"/>
      <c r="KHC40" s="595"/>
      <c r="KHD40" s="595"/>
      <c r="KHE40" s="595"/>
      <c r="KHF40" s="595"/>
      <c r="KHG40" s="595"/>
      <c r="KHH40" s="595"/>
      <c r="KHI40" s="595"/>
      <c r="KHJ40" s="595"/>
      <c r="KHK40" s="595"/>
      <c r="KHL40" s="595"/>
      <c r="KHM40" s="595"/>
      <c r="KHN40" s="595"/>
      <c r="KHO40" s="595"/>
      <c r="KHP40" s="595"/>
      <c r="KHQ40" s="595"/>
      <c r="KHR40" s="595"/>
      <c r="KHS40" s="595"/>
      <c r="KHT40" s="595"/>
      <c r="KHU40" s="595"/>
      <c r="KHV40" s="595"/>
      <c r="KHW40" s="595"/>
      <c r="KHX40" s="595"/>
      <c r="KHY40" s="595"/>
      <c r="KHZ40" s="595"/>
      <c r="KIA40" s="595"/>
      <c r="KIB40" s="595"/>
      <c r="KIC40" s="595"/>
      <c r="KID40" s="595"/>
      <c r="KIE40" s="595"/>
      <c r="KIF40" s="595"/>
      <c r="KIG40" s="595"/>
      <c r="KIH40" s="595"/>
      <c r="KII40" s="595"/>
      <c r="KIJ40" s="595"/>
      <c r="KIK40" s="595"/>
      <c r="KIL40" s="595"/>
      <c r="KIM40" s="595"/>
      <c r="KIN40" s="595"/>
      <c r="KIO40" s="595"/>
      <c r="KIP40" s="595"/>
      <c r="KIQ40" s="595"/>
      <c r="KIR40" s="595"/>
      <c r="KIS40" s="595"/>
      <c r="KIT40" s="595"/>
      <c r="KIU40" s="595"/>
      <c r="KIV40" s="595"/>
      <c r="KIW40" s="595"/>
      <c r="KIX40" s="595"/>
      <c r="KIY40" s="595"/>
      <c r="KIZ40" s="595"/>
      <c r="KJA40" s="595"/>
      <c r="KJB40" s="595"/>
      <c r="KJC40" s="595"/>
      <c r="KJD40" s="595"/>
      <c r="KJE40" s="595"/>
      <c r="KJF40" s="595"/>
      <c r="KJG40" s="595"/>
      <c r="KJH40" s="595"/>
      <c r="KJI40" s="595"/>
      <c r="KJJ40" s="595"/>
      <c r="KJK40" s="595"/>
      <c r="KJL40" s="595"/>
      <c r="KJM40" s="595"/>
      <c r="KJN40" s="595"/>
      <c r="KJO40" s="595"/>
      <c r="KJP40" s="595"/>
      <c r="KJQ40" s="595"/>
      <c r="KJR40" s="595"/>
      <c r="KJS40" s="595"/>
      <c r="KJT40" s="595"/>
      <c r="KJU40" s="595"/>
      <c r="KJV40" s="595"/>
      <c r="KJW40" s="595"/>
      <c r="KJX40" s="595"/>
      <c r="KJY40" s="595"/>
      <c r="KJZ40" s="595"/>
      <c r="KKA40" s="595"/>
      <c r="KKB40" s="595"/>
      <c r="KKC40" s="595"/>
      <c r="KKD40" s="595"/>
      <c r="KKE40" s="595"/>
      <c r="KKF40" s="595"/>
      <c r="KKG40" s="595"/>
      <c r="KKH40" s="595"/>
      <c r="KKI40" s="595"/>
      <c r="KKJ40" s="595"/>
      <c r="KKK40" s="595"/>
      <c r="KKL40" s="595"/>
      <c r="KKM40" s="595"/>
      <c r="KKN40" s="595"/>
      <c r="KKO40" s="595"/>
      <c r="KKP40" s="595"/>
      <c r="KKQ40" s="595"/>
      <c r="KKR40" s="595"/>
      <c r="KKS40" s="595"/>
      <c r="KKT40" s="595"/>
      <c r="KKU40" s="595"/>
      <c r="KKV40" s="595"/>
      <c r="KKW40" s="595"/>
      <c r="KKX40" s="595"/>
      <c r="KKY40" s="595"/>
      <c r="KKZ40" s="595"/>
      <c r="KLA40" s="595"/>
      <c r="KLB40" s="595"/>
      <c r="KLC40" s="595"/>
      <c r="KLD40" s="595"/>
      <c r="KLE40" s="595"/>
      <c r="KLF40" s="595"/>
      <c r="KLG40" s="595"/>
      <c r="KLH40" s="595"/>
      <c r="KLI40" s="595"/>
      <c r="KLJ40" s="595"/>
      <c r="KLK40" s="595"/>
      <c r="KLL40" s="595"/>
      <c r="KLM40" s="595"/>
      <c r="KLN40" s="595"/>
      <c r="KLO40" s="595"/>
      <c r="KLP40" s="595"/>
      <c r="KLQ40" s="595"/>
      <c r="KLR40" s="595"/>
      <c r="KLS40" s="595"/>
      <c r="KLT40" s="595"/>
      <c r="KLU40" s="595"/>
      <c r="KLV40" s="595"/>
      <c r="KLW40" s="595"/>
      <c r="KLX40" s="595"/>
      <c r="KLY40" s="595"/>
      <c r="KLZ40" s="595"/>
      <c r="KMA40" s="595"/>
      <c r="KMB40" s="595"/>
      <c r="KMC40" s="595"/>
      <c r="KMD40" s="595"/>
      <c r="KME40" s="595"/>
      <c r="KMF40" s="595"/>
      <c r="KMG40" s="595"/>
      <c r="KMH40" s="595"/>
      <c r="KMI40" s="595"/>
      <c r="KMJ40" s="595"/>
      <c r="KMK40" s="595"/>
      <c r="KML40" s="595"/>
      <c r="KMM40" s="595"/>
      <c r="KMN40" s="595"/>
      <c r="KMO40" s="595"/>
      <c r="KMP40" s="595"/>
      <c r="KMQ40" s="595"/>
      <c r="KMR40" s="595"/>
      <c r="KMS40" s="595"/>
      <c r="KMT40" s="595"/>
      <c r="KMU40" s="595"/>
      <c r="KMV40" s="595"/>
      <c r="KMW40" s="595"/>
      <c r="KMX40" s="595"/>
      <c r="KMY40" s="595"/>
      <c r="KMZ40" s="595"/>
      <c r="KNA40" s="595"/>
      <c r="KNB40" s="595"/>
      <c r="KNC40" s="595"/>
      <c r="KND40" s="595"/>
      <c r="KNE40" s="595"/>
      <c r="KNF40" s="595"/>
      <c r="KNG40" s="595"/>
      <c r="KNH40" s="595"/>
      <c r="KNI40" s="595"/>
      <c r="KNJ40" s="595"/>
      <c r="KNK40" s="595"/>
      <c r="KNL40" s="595"/>
      <c r="KNM40" s="595"/>
      <c r="KNN40" s="595"/>
      <c r="KNO40" s="595"/>
      <c r="KNP40" s="595"/>
      <c r="KNQ40" s="595"/>
      <c r="KNR40" s="595"/>
      <c r="KNS40" s="595"/>
      <c r="KNT40" s="595"/>
      <c r="KNU40" s="595"/>
      <c r="KNV40" s="595"/>
      <c r="KNW40" s="595"/>
      <c r="KNX40" s="595"/>
      <c r="KNY40" s="595"/>
      <c r="KNZ40" s="595"/>
      <c r="KOA40" s="595"/>
      <c r="KOB40" s="595"/>
      <c r="KOC40" s="595"/>
      <c r="KOD40" s="595"/>
      <c r="KOE40" s="595"/>
      <c r="KOF40" s="595"/>
      <c r="KOG40" s="595"/>
      <c r="KOH40" s="595"/>
      <c r="KOI40" s="595"/>
      <c r="KOJ40" s="595"/>
      <c r="KOK40" s="595"/>
      <c r="KOL40" s="595"/>
      <c r="KOM40" s="595"/>
      <c r="KON40" s="595"/>
      <c r="KOO40" s="595"/>
      <c r="KOP40" s="595"/>
      <c r="KOQ40" s="595"/>
      <c r="KOR40" s="595"/>
      <c r="KOS40" s="595"/>
      <c r="KOT40" s="595"/>
      <c r="KOU40" s="595"/>
      <c r="KOV40" s="595"/>
      <c r="KOW40" s="595"/>
      <c r="KOX40" s="595"/>
      <c r="KOY40" s="595"/>
      <c r="KOZ40" s="595"/>
      <c r="KPA40" s="595"/>
      <c r="KPB40" s="595"/>
      <c r="KPC40" s="595"/>
      <c r="KPD40" s="595"/>
      <c r="KPE40" s="595"/>
      <c r="KPF40" s="595"/>
      <c r="KPG40" s="595"/>
      <c r="KPH40" s="595"/>
      <c r="KPI40" s="595"/>
      <c r="KPJ40" s="595"/>
      <c r="KPK40" s="595"/>
      <c r="KPL40" s="595"/>
      <c r="KPM40" s="595"/>
      <c r="KPN40" s="595"/>
      <c r="KPO40" s="595"/>
      <c r="KPP40" s="595"/>
      <c r="KPQ40" s="595"/>
      <c r="KPR40" s="595"/>
      <c r="KPS40" s="595"/>
      <c r="KPT40" s="595"/>
      <c r="KPU40" s="595"/>
      <c r="KPV40" s="595"/>
      <c r="KPW40" s="595"/>
      <c r="KPX40" s="595"/>
      <c r="KPY40" s="595"/>
      <c r="KPZ40" s="595"/>
      <c r="KQA40" s="595"/>
      <c r="KQB40" s="595"/>
      <c r="KQC40" s="595"/>
      <c r="KQD40" s="595"/>
      <c r="KQE40" s="595"/>
      <c r="KQF40" s="595"/>
      <c r="KQG40" s="595"/>
      <c r="KQH40" s="595"/>
      <c r="KQI40" s="595"/>
      <c r="KQJ40" s="595"/>
      <c r="KQK40" s="595"/>
      <c r="KQL40" s="595"/>
      <c r="KQM40" s="595"/>
      <c r="KQN40" s="595"/>
      <c r="KQO40" s="595"/>
      <c r="KQP40" s="595"/>
      <c r="KQQ40" s="595"/>
      <c r="KQR40" s="595"/>
      <c r="KQS40" s="595"/>
      <c r="KQT40" s="595"/>
      <c r="KQU40" s="595"/>
      <c r="KQV40" s="595"/>
      <c r="KQW40" s="595"/>
      <c r="KQX40" s="595"/>
      <c r="KQY40" s="595"/>
      <c r="KQZ40" s="595"/>
      <c r="KRA40" s="595"/>
      <c r="KRB40" s="595"/>
      <c r="KRC40" s="595"/>
      <c r="KRD40" s="595"/>
      <c r="KRE40" s="595"/>
      <c r="KRF40" s="595"/>
      <c r="KRG40" s="595"/>
      <c r="KRH40" s="595"/>
      <c r="KRI40" s="595"/>
      <c r="KRJ40" s="595"/>
      <c r="KRK40" s="595"/>
      <c r="KRL40" s="595"/>
      <c r="KRM40" s="595"/>
      <c r="KRN40" s="595"/>
      <c r="KRO40" s="595"/>
      <c r="KRP40" s="595"/>
      <c r="KRQ40" s="595"/>
      <c r="KRR40" s="595"/>
      <c r="KRS40" s="595"/>
      <c r="KRT40" s="595"/>
      <c r="KRU40" s="595"/>
      <c r="KRV40" s="595"/>
      <c r="KRW40" s="595"/>
      <c r="KRX40" s="595"/>
      <c r="KRY40" s="595"/>
      <c r="KRZ40" s="595"/>
      <c r="KSA40" s="595"/>
      <c r="KSB40" s="595"/>
      <c r="KSC40" s="595"/>
      <c r="KSD40" s="595"/>
      <c r="KSE40" s="595"/>
      <c r="KSF40" s="595"/>
      <c r="KSG40" s="595"/>
      <c r="KSH40" s="595"/>
      <c r="KSI40" s="595"/>
      <c r="KSJ40" s="595"/>
      <c r="KSK40" s="595"/>
      <c r="KSL40" s="595"/>
      <c r="KSM40" s="595"/>
      <c r="KSN40" s="595"/>
      <c r="KSO40" s="595"/>
      <c r="KSP40" s="595"/>
      <c r="KSQ40" s="595"/>
      <c r="KSR40" s="595"/>
      <c r="KSS40" s="595"/>
      <c r="KST40" s="595"/>
      <c r="KSU40" s="595"/>
      <c r="KSV40" s="595"/>
      <c r="KSW40" s="595"/>
      <c r="KSX40" s="595"/>
      <c r="KSY40" s="595"/>
      <c r="KSZ40" s="595"/>
      <c r="KTA40" s="595"/>
      <c r="KTB40" s="595"/>
      <c r="KTC40" s="595"/>
      <c r="KTD40" s="595"/>
      <c r="KTE40" s="595"/>
      <c r="KTF40" s="595"/>
      <c r="KTG40" s="595"/>
      <c r="KTH40" s="595"/>
      <c r="KTI40" s="595"/>
      <c r="KTJ40" s="595"/>
      <c r="KTK40" s="595"/>
      <c r="KTL40" s="595"/>
      <c r="KTM40" s="595"/>
      <c r="KTN40" s="595"/>
      <c r="KTO40" s="595"/>
      <c r="KTP40" s="595"/>
      <c r="KTQ40" s="595"/>
      <c r="KTR40" s="595"/>
      <c r="KTS40" s="595"/>
      <c r="KTT40" s="595"/>
      <c r="KTU40" s="595"/>
      <c r="KTV40" s="595"/>
      <c r="KTW40" s="595"/>
      <c r="KTX40" s="595"/>
      <c r="KTY40" s="595"/>
      <c r="KTZ40" s="595"/>
      <c r="KUA40" s="595"/>
      <c r="KUB40" s="595"/>
      <c r="KUC40" s="595"/>
      <c r="KUD40" s="595"/>
      <c r="KUE40" s="595"/>
      <c r="KUF40" s="595"/>
      <c r="KUG40" s="595"/>
      <c r="KUH40" s="595"/>
      <c r="KUI40" s="595"/>
      <c r="KUJ40" s="595"/>
      <c r="KUK40" s="595"/>
      <c r="KUL40" s="595"/>
      <c r="KUM40" s="595"/>
      <c r="KUN40" s="595"/>
      <c r="KUO40" s="595"/>
      <c r="KUP40" s="595"/>
      <c r="KUQ40" s="595"/>
      <c r="KUR40" s="595"/>
      <c r="KUS40" s="595"/>
      <c r="KUT40" s="595"/>
      <c r="KUU40" s="595"/>
      <c r="KUV40" s="595"/>
      <c r="KUW40" s="595"/>
      <c r="KUX40" s="595"/>
      <c r="KUY40" s="595"/>
      <c r="KUZ40" s="595"/>
      <c r="KVA40" s="595"/>
      <c r="KVB40" s="595"/>
      <c r="KVC40" s="595"/>
      <c r="KVD40" s="595"/>
      <c r="KVE40" s="595"/>
      <c r="KVF40" s="595"/>
      <c r="KVG40" s="595"/>
      <c r="KVH40" s="595"/>
      <c r="KVI40" s="595"/>
      <c r="KVJ40" s="595"/>
      <c r="KVK40" s="595"/>
      <c r="KVL40" s="595"/>
      <c r="KVM40" s="595"/>
      <c r="KVN40" s="595"/>
      <c r="KVO40" s="595"/>
      <c r="KVP40" s="595"/>
      <c r="KVQ40" s="595"/>
      <c r="KVR40" s="595"/>
      <c r="KVS40" s="595"/>
      <c r="KVT40" s="595"/>
      <c r="KVU40" s="595"/>
      <c r="KVV40" s="595"/>
      <c r="KVW40" s="595"/>
      <c r="KVX40" s="595"/>
      <c r="KVY40" s="595"/>
      <c r="KVZ40" s="595"/>
      <c r="KWA40" s="595"/>
      <c r="KWB40" s="595"/>
      <c r="KWC40" s="595"/>
      <c r="KWD40" s="595"/>
      <c r="KWE40" s="595"/>
      <c r="KWF40" s="595"/>
      <c r="KWG40" s="595"/>
      <c r="KWH40" s="595"/>
      <c r="KWI40" s="595"/>
      <c r="KWJ40" s="595"/>
      <c r="KWK40" s="595"/>
      <c r="KWL40" s="595"/>
      <c r="KWM40" s="595"/>
      <c r="KWN40" s="595"/>
      <c r="KWO40" s="595"/>
      <c r="KWP40" s="595"/>
      <c r="KWQ40" s="595"/>
      <c r="KWR40" s="595"/>
      <c r="KWS40" s="595"/>
      <c r="KWT40" s="595"/>
      <c r="KWU40" s="595"/>
      <c r="KWV40" s="595"/>
      <c r="KWW40" s="595"/>
      <c r="KWX40" s="595"/>
      <c r="KWY40" s="595"/>
      <c r="KWZ40" s="595"/>
      <c r="KXA40" s="595"/>
      <c r="KXB40" s="595"/>
      <c r="KXC40" s="595"/>
      <c r="KXD40" s="595"/>
      <c r="KXE40" s="595"/>
      <c r="KXF40" s="595"/>
      <c r="KXG40" s="595"/>
      <c r="KXH40" s="595"/>
      <c r="KXI40" s="595"/>
      <c r="KXJ40" s="595"/>
      <c r="KXK40" s="595"/>
      <c r="KXL40" s="595"/>
      <c r="KXM40" s="595"/>
      <c r="KXN40" s="595"/>
      <c r="KXO40" s="595"/>
      <c r="KXP40" s="595"/>
      <c r="KXQ40" s="595"/>
      <c r="KXR40" s="595"/>
      <c r="KXS40" s="595"/>
      <c r="KXT40" s="595"/>
      <c r="KXU40" s="595"/>
      <c r="KXV40" s="595"/>
      <c r="KXW40" s="595"/>
      <c r="KXX40" s="595"/>
      <c r="KXY40" s="595"/>
      <c r="KXZ40" s="595"/>
      <c r="KYA40" s="595"/>
      <c r="KYB40" s="595"/>
      <c r="KYC40" s="595"/>
      <c r="KYD40" s="595"/>
      <c r="KYE40" s="595"/>
      <c r="KYF40" s="595"/>
      <c r="KYG40" s="595"/>
      <c r="KYH40" s="595"/>
      <c r="KYI40" s="595"/>
      <c r="KYJ40" s="595"/>
      <c r="KYK40" s="595"/>
      <c r="KYL40" s="595"/>
      <c r="KYM40" s="595"/>
      <c r="KYN40" s="595"/>
      <c r="KYO40" s="595"/>
      <c r="KYP40" s="595"/>
      <c r="KYQ40" s="595"/>
      <c r="KYR40" s="595"/>
      <c r="KYS40" s="595"/>
      <c r="KYT40" s="595"/>
      <c r="KYU40" s="595"/>
      <c r="KYV40" s="595"/>
      <c r="KYW40" s="595"/>
      <c r="KYX40" s="595"/>
      <c r="KYY40" s="595"/>
      <c r="KYZ40" s="595"/>
      <c r="KZA40" s="595"/>
      <c r="KZB40" s="595"/>
      <c r="KZC40" s="595"/>
      <c r="KZD40" s="595"/>
      <c r="KZE40" s="595"/>
      <c r="KZF40" s="595"/>
      <c r="KZG40" s="595"/>
      <c r="KZH40" s="595"/>
      <c r="KZI40" s="595"/>
      <c r="KZJ40" s="595"/>
      <c r="KZK40" s="595"/>
      <c r="KZL40" s="595"/>
      <c r="KZM40" s="595"/>
      <c r="KZN40" s="595"/>
      <c r="KZO40" s="595"/>
      <c r="KZP40" s="595"/>
      <c r="KZQ40" s="595"/>
      <c r="KZR40" s="595"/>
      <c r="KZS40" s="595"/>
      <c r="KZT40" s="595"/>
      <c r="KZU40" s="595"/>
      <c r="KZV40" s="595"/>
      <c r="KZW40" s="595"/>
      <c r="KZX40" s="595"/>
      <c r="KZY40" s="595"/>
      <c r="KZZ40" s="595"/>
      <c r="LAA40" s="595"/>
      <c r="LAB40" s="595"/>
      <c r="LAC40" s="595"/>
      <c r="LAD40" s="595"/>
      <c r="LAE40" s="595"/>
      <c r="LAF40" s="595"/>
      <c r="LAG40" s="595"/>
      <c r="LAH40" s="595"/>
      <c r="LAI40" s="595"/>
      <c r="LAJ40" s="595"/>
      <c r="LAK40" s="595"/>
      <c r="LAL40" s="595"/>
      <c r="LAM40" s="595"/>
      <c r="LAN40" s="595"/>
      <c r="LAO40" s="595"/>
      <c r="LAP40" s="595"/>
      <c r="LAQ40" s="595"/>
      <c r="LAR40" s="595"/>
      <c r="LAS40" s="595"/>
      <c r="LAT40" s="595"/>
      <c r="LAU40" s="595"/>
      <c r="LAV40" s="595"/>
      <c r="LAW40" s="595"/>
      <c r="LAX40" s="595"/>
      <c r="LAY40" s="595"/>
      <c r="LAZ40" s="595"/>
      <c r="LBA40" s="595"/>
      <c r="LBB40" s="595"/>
      <c r="LBC40" s="595"/>
      <c r="LBD40" s="595"/>
      <c r="LBE40" s="595"/>
      <c r="LBF40" s="595"/>
      <c r="LBG40" s="595"/>
      <c r="LBH40" s="595"/>
      <c r="LBI40" s="595"/>
      <c r="LBJ40" s="595"/>
      <c r="LBK40" s="595"/>
      <c r="LBL40" s="595"/>
      <c r="LBM40" s="595"/>
      <c r="LBN40" s="595"/>
      <c r="LBO40" s="595"/>
      <c r="LBP40" s="595"/>
      <c r="LBQ40" s="595"/>
      <c r="LBR40" s="595"/>
      <c r="LBS40" s="595"/>
      <c r="LBT40" s="595"/>
      <c r="LBU40" s="595"/>
      <c r="LBV40" s="595"/>
      <c r="LBW40" s="595"/>
      <c r="LBX40" s="595"/>
      <c r="LBY40" s="595"/>
      <c r="LBZ40" s="595"/>
      <c r="LCA40" s="595"/>
      <c r="LCB40" s="595"/>
      <c r="LCC40" s="595"/>
      <c r="LCD40" s="595"/>
      <c r="LCE40" s="595"/>
      <c r="LCF40" s="595"/>
      <c r="LCG40" s="595"/>
      <c r="LCH40" s="595"/>
      <c r="LCI40" s="595"/>
      <c r="LCJ40" s="595"/>
      <c r="LCK40" s="595"/>
      <c r="LCL40" s="595"/>
      <c r="LCM40" s="595"/>
      <c r="LCN40" s="595"/>
      <c r="LCO40" s="595"/>
      <c r="LCP40" s="595"/>
      <c r="LCQ40" s="595"/>
      <c r="LCR40" s="595"/>
      <c r="LCS40" s="595"/>
      <c r="LCT40" s="595"/>
      <c r="LCU40" s="595"/>
      <c r="LCV40" s="595"/>
      <c r="LCW40" s="595"/>
      <c r="LCX40" s="595"/>
      <c r="LCY40" s="595"/>
      <c r="LCZ40" s="595"/>
      <c r="LDA40" s="595"/>
      <c r="LDB40" s="595"/>
      <c r="LDC40" s="595"/>
      <c r="LDD40" s="595"/>
      <c r="LDE40" s="595"/>
      <c r="LDF40" s="595"/>
      <c r="LDG40" s="595"/>
      <c r="LDH40" s="595"/>
      <c r="LDI40" s="595"/>
      <c r="LDJ40" s="595"/>
      <c r="LDK40" s="595"/>
      <c r="LDL40" s="595"/>
      <c r="LDM40" s="595"/>
      <c r="LDN40" s="595"/>
      <c r="LDO40" s="595"/>
      <c r="LDP40" s="595"/>
      <c r="LDQ40" s="595"/>
      <c r="LDR40" s="595"/>
      <c r="LDS40" s="595"/>
      <c r="LDT40" s="595"/>
      <c r="LDU40" s="595"/>
      <c r="LDV40" s="595"/>
      <c r="LDW40" s="595"/>
      <c r="LDX40" s="595"/>
      <c r="LDY40" s="595"/>
      <c r="LDZ40" s="595"/>
      <c r="LEA40" s="595"/>
      <c r="LEB40" s="595"/>
      <c r="LEC40" s="595"/>
      <c r="LED40" s="595"/>
      <c r="LEE40" s="595"/>
      <c r="LEF40" s="595"/>
      <c r="LEG40" s="595"/>
      <c r="LEH40" s="595"/>
      <c r="LEI40" s="595"/>
      <c r="LEJ40" s="595"/>
      <c r="LEK40" s="595"/>
      <c r="LEL40" s="595"/>
      <c r="LEM40" s="595"/>
      <c r="LEN40" s="595"/>
      <c r="LEO40" s="595"/>
      <c r="LEP40" s="595"/>
      <c r="LEQ40" s="595"/>
      <c r="LER40" s="595"/>
      <c r="LES40" s="595"/>
      <c r="LET40" s="595"/>
      <c r="LEU40" s="595"/>
      <c r="LEV40" s="595"/>
      <c r="LEW40" s="595"/>
      <c r="LEX40" s="595"/>
      <c r="LEY40" s="595"/>
      <c r="LEZ40" s="595"/>
      <c r="LFA40" s="595"/>
      <c r="LFB40" s="595"/>
      <c r="LFC40" s="595"/>
      <c r="LFD40" s="595"/>
      <c r="LFE40" s="595"/>
      <c r="LFF40" s="595"/>
      <c r="LFG40" s="595"/>
      <c r="LFH40" s="595"/>
      <c r="LFI40" s="595"/>
      <c r="LFJ40" s="595"/>
      <c r="LFK40" s="595"/>
      <c r="LFL40" s="595"/>
      <c r="LFM40" s="595"/>
      <c r="LFN40" s="595"/>
      <c r="LFO40" s="595"/>
      <c r="LFP40" s="595"/>
      <c r="LFQ40" s="595"/>
      <c r="LFR40" s="595"/>
      <c r="LFS40" s="595"/>
      <c r="LFT40" s="595"/>
      <c r="LFU40" s="595"/>
      <c r="LFV40" s="595"/>
      <c r="LFW40" s="595"/>
      <c r="LFX40" s="595"/>
      <c r="LFY40" s="595"/>
      <c r="LFZ40" s="595"/>
      <c r="LGA40" s="595"/>
      <c r="LGB40" s="595"/>
      <c r="LGC40" s="595"/>
      <c r="LGD40" s="595"/>
      <c r="LGE40" s="595"/>
      <c r="LGF40" s="595"/>
      <c r="LGG40" s="595"/>
      <c r="LGH40" s="595"/>
      <c r="LGI40" s="595"/>
      <c r="LGJ40" s="595"/>
      <c r="LGK40" s="595"/>
      <c r="LGL40" s="595"/>
      <c r="LGM40" s="595"/>
      <c r="LGN40" s="595"/>
      <c r="LGO40" s="595"/>
      <c r="LGP40" s="595"/>
      <c r="LGQ40" s="595"/>
      <c r="LGR40" s="595"/>
      <c r="LGS40" s="595"/>
      <c r="LGT40" s="595"/>
      <c r="LGU40" s="595"/>
      <c r="LGV40" s="595"/>
      <c r="LGW40" s="595"/>
      <c r="LGX40" s="595"/>
      <c r="LGY40" s="595"/>
      <c r="LGZ40" s="595"/>
      <c r="LHA40" s="595"/>
      <c r="LHB40" s="595"/>
      <c r="LHC40" s="595"/>
      <c r="LHD40" s="595"/>
      <c r="LHE40" s="595"/>
      <c r="LHF40" s="595"/>
      <c r="LHG40" s="595"/>
      <c r="LHH40" s="595"/>
      <c r="LHI40" s="595"/>
      <c r="LHJ40" s="595"/>
      <c r="LHK40" s="595"/>
      <c r="LHL40" s="595"/>
      <c r="LHM40" s="595"/>
      <c r="LHN40" s="595"/>
      <c r="LHO40" s="595"/>
      <c r="LHP40" s="595"/>
      <c r="LHQ40" s="595"/>
      <c r="LHR40" s="595"/>
      <c r="LHS40" s="595"/>
      <c r="LHT40" s="595"/>
      <c r="LHU40" s="595"/>
      <c r="LHV40" s="595"/>
      <c r="LHW40" s="595"/>
      <c r="LHX40" s="595"/>
      <c r="LHY40" s="595"/>
      <c r="LHZ40" s="595"/>
      <c r="LIA40" s="595"/>
      <c r="LIB40" s="595"/>
      <c r="LIC40" s="595"/>
      <c r="LID40" s="595"/>
      <c r="LIE40" s="595"/>
      <c r="LIF40" s="595"/>
      <c r="LIG40" s="595"/>
      <c r="LIH40" s="595"/>
      <c r="LII40" s="595"/>
      <c r="LIJ40" s="595"/>
      <c r="LIK40" s="595"/>
      <c r="LIL40" s="595"/>
      <c r="LIM40" s="595"/>
      <c r="LIN40" s="595"/>
      <c r="LIO40" s="595"/>
      <c r="LIP40" s="595"/>
      <c r="LIQ40" s="595"/>
      <c r="LIR40" s="595"/>
      <c r="LIS40" s="595"/>
      <c r="LIT40" s="595"/>
      <c r="LIU40" s="595"/>
      <c r="LIV40" s="595"/>
      <c r="LIW40" s="595"/>
      <c r="LIX40" s="595"/>
      <c r="LIY40" s="595"/>
      <c r="LIZ40" s="595"/>
      <c r="LJA40" s="595"/>
      <c r="LJB40" s="595"/>
      <c r="LJC40" s="595"/>
      <c r="LJD40" s="595"/>
      <c r="LJE40" s="595"/>
      <c r="LJF40" s="595"/>
      <c r="LJG40" s="595"/>
      <c r="LJH40" s="595"/>
      <c r="LJI40" s="595"/>
      <c r="LJJ40" s="595"/>
      <c r="LJK40" s="595"/>
      <c r="LJL40" s="595"/>
      <c r="LJM40" s="595"/>
      <c r="LJN40" s="595"/>
      <c r="LJO40" s="595"/>
      <c r="LJP40" s="595"/>
      <c r="LJQ40" s="595"/>
      <c r="LJR40" s="595"/>
      <c r="LJS40" s="595"/>
      <c r="LJT40" s="595"/>
      <c r="LJU40" s="595"/>
      <c r="LJV40" s="595"/>
      <c r="LJW40" s="595"/>
      <c r="LJX40" s="595"/>
      <c r="LJY40" s="595"/>
      <c r="LJZ40" s="595"/>
      <c r="LKA40" s="595"/>
      <c r="LKB40" s="595"/>
      <c r="LKC40" s="595"/>
      <c r="LKD40" s="595"/>
      <c r="LKE40" s="595"/>
      <c r="LKF40" s="595"/>
      <c r="LKG40" s="595"/>
      <c r="LKH40" s="595"/>
      <c r="LKI40" s="595"/>
      <c r="LKJ40" s="595"/>
      <c r="LKK40" s="595"/>
      <c r="LKL40" s="595"/>
      <c r="LKM40" s="595"/>
      <c r="LKN40" s="595"/>
      <c r="LKO40" s="595"/>
      <c r="LKP40" s="595"/>
      <c r="LKQ40" s="595"/>
      <c r="LKR40" s="595"/>
      <c r="LKS40" s="595"/>
      <c r="LKT40" s="595"/>
      <c r="LKU40" s="595"/>
      <c r="LKV40" s="595"/>
      <c r="LKW40" s="595"/>
      <c r="LKX40" s="595"/>
      <c r="LKY40" s="595"/>
      <c r="LKZ40" s="595"/>
      <c r="LLA40" s="595"/>
      <c r="LLB40" s="595"/>
      <c r="LLC40" s="595"/>
      <c r="LLD40" s="595"/>
      <c r="LLE40" s="595"/>
      <c r="LLF40" s="595"/>
      <c r="LLG40" s="595"/>
      <c r="LLH40" s="595"/>
      <c r="LLI40" s="595"/>
      <c r="LLJ40" s="595"/>
      <c r="LLK40" s="595"/>
      <c r="LLL40" s="595"/>
      <c r="LLM40" s="595"/>
      <c r="LLN40" s="595"/>
      <c r="LLO40" s="595"/>
      <c r="LLP40" s="595"/>
      <c r="LLQ40" s="595"/>
      <c r="LLR40" s="595"/>
      <c r="LLS40" s="595"/>
      <c r="LLT40" s="595"/>
      <c r="LLU40" s="595"/>
      <c r="LLV40" s="595"/>
      <c r="LLW40" s="595"/>
      <c r="LLX40" s="595"/>
      <c r="LLY40" s="595"/>
      <c r="LLZ40" s="595"/>
      <c r="LMA40" s="595"/>
      <c r="LMB40" s="595"/>
      <c r="LMC40" s="595"/>
      <c r="LMD40" s="595"/>
      <c r="LME40" s="595"/>
      <c r="LMF40" s="595"/>
      <c r="LMG40" s="595"/>
      <c r="LMH40" s="595"/>
      <c r="LMI40" s="595"/>
      <c r="LMJ40" s="595"/>
      <c r="LMK40" s="595"/>
      <c r="LML40" s="595"/>
      <c r="LMM40" s="595"/>
      <c r="LMN40" s="595"/>
      <c r="LMO40" s="595"/>
      <c r="LMP40" s="595"/>
      <c r="LMQ40" s="595"/>
      <c r="LMR40" s="595"/>
      <c r="LMS40" s="595"/>
      <c r="LMT40" s="595"/>
      <c r="LMU40" s="595"/>
      <c r="LMV40" s="595"/>
      <c r="LMW40" s="595"/>
      <c r="LMX40" s="595"/>
      <c r="LMY40" s="595"/>
      <c r="LMZ40" s="595"/>
      <c r="LNA40" s="595"/>
      <c r="LNB40" s="595"/>
      <c r="LNC40" s="595"/>
      <c r="LND40" s="595"/>
      <c r="LNE40" s="595"/>
      <c r="LNF40" s="595"/>
      <c r="LNG40" s="595"/>
      <c r="LNH40" s="595"/>
      <c r="LNI40" s="595"/>
      <c r="LNJ40" s="595"/>
      <c r="LNK40" s="595"/>
      <c r="LNL40" s="595"/>
      <c r="LNM40" s="595"/>
      <c r="LNN40" s="595"/>
      <c r="LNO40" s="595"/>
      <c r="LNP40" s="595"/>
      <c r="LNQ40" s="595"/>
      <c r="LNR40" s="595"/>
      <c r="LNS40" s="595"/>
      <c r="LNT40" s="595"/>
      <c r="LNU40" s="595"/>
      <c r="LNV40" s="595"/>
      <c r="LNW40" s="595"/>
      <c r="LNX40" s="595"/>
      <c r="LNY40" s="595"/>
      <c r="LNZ40" s="595"/>
      <c r="LOA40" s="595"/>
      <c r="LOB40" s="595"/>
      <c r="LOC40" s="595"/>
      <c r="LOD40" s="595"/>
      <c r="LOE40" s="595"/>
      <c r="LOF40" s="595"/>
      <c r="LOG40" s="595"/>
      <c r="LOH40" s="595"/>
      <c r="LOI40" s="595"/>
      <c r="LOJ40" s="595"/>
      <c r="LOK40" s="595"/>
      <c r="LOL40" s="595"/>
      <c r="LOM40" s="595"/>
      <c r="LON40" s="595"/>
      <c r="LOO40" s="595"/>
      <c r="LOP40" s="595"/>
      <c r="LOQ40" s="595"/>
      <c r="LOR40" s="595"/>
      <c r="LOS40" s="595"/>
      <c r="LOT40" s="595"/>
      <c r="LOU40" s="595"/>
      <c r="LOV40" s="595"/>
      <c r="LOW40" s="595"/>
      <c r="LOX40" s="595"/>
      <c r="LOY40" s="595"/>
      <c r="LOZ40" s="595"/>
      <c r="LPA40" s="595"/>
      <c r="LPB40" s="595"/>
      <c r="LPC40" s="595"/>
      <c r="LPD40" s="595"/>
      <c r="LPE40" s="595"/>
      <c r="LPF40" s="595"/>
      <c r="LPG40" s="595"/>
      <c r="LPH40" s="595"/>
      <c r="LPI40" s="595"/>
      <c r="LPJ40" s="595"/>
      <c r="LPK40" s="595"/>
      <c r="LPL40" s="595"/>
      <c r="LPM40" s="595"/>
      <c r="LPN40" s="595"/>
      <c r="LPO40" s="595"/>
      <c r="LPP40" s="595"/>
      <c r="LPQ40" s="595"/>
      <c r="LPR40" s="595"/>
      <c r="LPS40" s="595"/>
      <c r="LPT40" s="595"/>
      <c r="LPU40" s="595"/>
      <c r="LPV40" s="595"/>
      <c r="LPW40" s="595"/>
      <c r="LPX40" s="595"/>
      <c r="LPY40" s="595"/>
      <c r="LPZ40" s="595"/>
      <c r="LQA40" s="595"/>
      <c r="LQB40" s="595"/>
      <c r="LQC40" s="595"/>
      <c r="LQD40" s="595"/>
      <c r="LQE40" s="595"/>
      <c r="LQF40" s="595"/>
      <c r="LQG40" s="595"/>
      <c r="LQH40" s="595"/>
      <c r="LQI40" s="595"/>
      <c r="LQJ40" s="595"/>
      <c r="LQK40" s="595"/>
      <c r="LQL40" s="595"/>
      <c r="LQM40" s="595"/>
      <c r="LQN40" s="595"/>
      <c r="LQO40" s="595"/>
      <c r="LQP40" s="595"/>
      <c r="LQQ40" s="595"/>
      <c r="LQR40" s="595"/>
      <c r="LQS40" s="595"/>
      <c r="LQT40" s="595"/>
      <c r="LQU40" s="595"/>
      <c r="LQV40" s="595"/>
      <c r="LQW40" s="595"/>
      <c r="LQX40" s="595"/>
      <c r="LQY40" s="595"/>
      <c r="LQZ40" s="595"/>
      <c r="LRA40" s="595"/>
      <c r="LRB40" s="595"/>
      <c r="LRC40" s="595"/>
      <c r="LRD40" s="595"/>
      <c r="LRE40" s="595"/>
      <c r="LRF40" s="595"/>
      <c r="LRG40" s="595"/>
      <c r="LRH40" s="595"/>
      <c r="LRI40" s="595"/>
      <c r="LRJ40" s="595"/>
      <c r="LRK40" s="595"/>
      <c r="LRL40" s="595"/>
      <c r="LRM40" s="595"/>
      <c r="LRN40" s="595"/>
      <c r="LRO40" s="595"/>
      <c r="LRP40" s="595"/>
      <c r="LRQ40" s="595"/>
      <c r="LRR40" s="595"/>
      <c r="LRS40" s="595"/>
      <c r="LRT40" s="595"/>
      <c r="LRU40" s="595"/>
      <c r="LRV40" s="595"/>
      <c r="LRW40" s="595"/>
      <c r="LRX40" s="595"/>
      <c r="LRY40" s="595"/>
      <c r="LRZ40" s="595"/>
      <c r="LSA40" s="595"/>
      <c r="LSB40" s="595"/>
      <c r="LSC40" s="595"/>
      <c r="LSD40" s="595"/>
      <c r="LSE40" s="595"/>
      <c r="LSF40" s="595"/>
      <c r="LSG40" s="595"/>
      <c r="LSH40" s="595"/>
      <c r="LSI40" s="595"/>
      <c r="LSJ40" s="595"/>
      <c r="LSK40" s="595"/>
      <c r="LSL40" s="595"/>
      <c r="LSM40" s="595"/>
      <c r="LSN40" s="595"/>
      <c r="LSO40" s="595"/>
      <c r="LSP40" s="595"/>
      <c r="LSQ40" s="595"/>
      <c r="LSR40" s="595"/>
      <c r="LSS40" s="595"/>
      <c r="LST40" s="595"/>
      <c r="LSU40" s="595"/>
      <c r="LSV40" s="595"/>
      <c r="LSW40" s="595"/>
      <c r="LSX40" s="595"/>
      <c r="LSY40" s="595"/>
      <c r="LSZ40" s="595"/>
      <c r="LTA40" s="595"/>
      <c r="LTB40" s="595"/>
      <c r="LTC40" s="595"/>
      <c r="LTD40" s="595"/>
      <c r="LTE40" s="595"/>
      <c r="LTF40" s="595"/>
      <c r="LTG40" s="595"/>
      <c r="LTH40" s="595"/>
      <c r="LTI40" s="595"/>
      <c r="LTJ40" s="595"/>
      <c r="LTK40" s="595"/>
      <c r="LTL40" s="595"/>
      <c r="LTM40" s="595"/>
      <c r="LTN40" s="595"/>
      <c r="LTO40" s="595"/>
      <c r="LTP40" s="595"/>
      <c r="LTQ40" s="595"/>
      <c r="LTR40" s="595"/>
      <c r="LTS40" s="595"/>
      <c r="LTT40" s="595"/>
      <c r="LTU40" s="595"/>
      <c r="LTV40" s="595"/>
      <c r="LTW40" s="595"/>
      <c r="LTX40" s="595"/>
      <c r="LTY40" s="595"/>
      <c r="LTZ40" s="595"/>
      <c r="LUA40" s="595"/>
      <c r="LUB40" s="595"/>
      <c r="LUC40" s="595"/>
      <c r="LUD40" s="595"/>
      <c r="LUE40" s="595"/>
      <c r="LUF40" s="595"/>
      <c r="LUG40" s="595"/>
      <c r="LUH40" s="595"/>
      <c r="LUI40" s="595"/>
      <c r="LUJ40" s="595"/>
      <c r="LUK40" s="595"/>
      <c r="LUL40" s="595"/>
      <c r="LUM40" s="595"/>
      <c r="LUN40" s="595"/>
      <c r="LUO40" s="595"/>
      <c r="LUP40" s="595"/>
      <c r="LUQ40" s="595"/>
      <c r="LUR40" s="595"/>
      <c r="LUS40" s="595"/>
      <c r="LUT40" s="595"/>
      <c r="LUU40" s="595"/>
      <c r="LUV40" s="595"/>
      <c r="LUW40" s="595"/>
      <c r="LUX40" s="595"/>
      <c r="LUY40" s="595"/>
      <c r="LUZ40" s="595"/>
      <c r="LVA40" s="595"/>
      <c r="LVB40" s="595"/>
      <c r="LVC40" s="595"/>
      <c r="LVD40" s="595"/>
      <c r="LVE40" s="595"/>
      <c r="LVF40" s="595"/>
      <c r="LVG40" s="595"/>
      <c r="LVH40" s="595"/>
      <c r="LVI40" s="595"/>
      <c r="LVJ40" s="595"/>
      <c r="LVK40" s="595"/>
      <c r="LVL40" s="595"/>
      <c r="LVM40" s="595"/>
      <c r="LVN40" s="595"/>
      <c r="LVO40" s="595"/>
      <c r="LVP40" s="595"/>
      <c r="LVQ40" s="595"/>
      <c r="LVR40" s="595"/>
      <c r="LVS40" s="595"/>
      <c r="LVT40" s="595"/>
      <c r="LVU40" s="595"/>
      <c r="LVV40" s="595"/>
      <c r="LVW40" s="595"/>
      <c r="LVX40" s="595"/>
      <c r="LVY40" s="595"/>
      <c r="LVZ40" s="595"/>
      <c r="LWA40" s="595"/>
      <c r="LWB40" s="595"/>
      <c r="LWC40" s="595"/>
      <c r="LWD40" s="595"/>
      <c r="LWE40" s="595"/>
      <c r="LWF40" s="595"/>
      <c r="LWG40" s="595"/>
      <c r="LWH40" s="595"/>
      <c r="LWI40" s="595"/>
      <c r="LWJ40" s="595"/>
      <c r="LWK40" s="595"/>
      <c r="LWL40" s="595"/>
      <c r="LWM40" s="595"/>
      <c r="LWN40" s="595"/>
      <c r="LWO40" s="595"/>
      <c r="LWP40" s="595"/>
      <c r="LWQ40" s="595"/>
      <c r="LWR40" s="595"/>
      <c r="LWS40" s="595"/>
      <c r="LWT40" s="595"/>
      <c r="LWU40" s="595"/>
      <c r="LWV40" s="595"/>
      <c r="LWW40" s="595"/>
      <c r="LWX40" s="595"/>
      <c r="LWY40" s="595"/>
      <c r="LWZ40" s="595"/>
      <c r="LXA40" s="595"/>
      <c r="LXB40" s="595"/>
      <c r="LXC40" s="595"/>
      <c r="LXD40" s="595"/>
      <c r="LXE40" s="595"/>
      <c r="LXF40" s="595"/>
      <c r="LXG40" s="595"/>
      <c r="LXH40" s="595"/>
      <c r="LXI40" s="595"/>
      <c r="LXJ40" s="595"/>
      <c r="LXK40" s="595"/>
      <c r="LXL40" s="595"/>
      <c r="LXM40" s="595"/>
      <c r="LXN40" s="595"/>
      <c r="LXO40" s="595"/>
      <c r="LXP40" s="595"/>
      <c r="LXQ40" s="595"/>
      <c r="LXR40" s="595"/>
      <c r="LXS40" s="595"/>
      <c r="LXT40" s="595"/>
      <c r="LXU40" s="595"/>
      <c r="LXV40" s="595"/>
      <c r="LXW40" s="595"/>
      <c r="LXX40" s="595"/>
      <c r="LXY40" s="595"/>
      <c r="LXZ40" s="595"/>
      <c r="LYA40" s="595"/>
      <c r="LYB40" s="595"/>
      <c r="LYC40" s="595"/>
      <c r="LYD40" s="595"/>
      <c r="LYE40" s="595"/>
      <c r="LYF40" s="595"/>
      <c r="LYG40" s="595"/>
      <c r="LYH40" s="595"/>
      <c r="LYI40" s="595"/>
      <c r="LYJ40" s="595"/>
      <c r="LYK40" s="595"/>
      <c r="LYL40" s="595"/>
      <c r="LYM40" s="595"/>
      <c r="LYN40" s="595"/>
      <c r="LYO40" s="595"/>
      <c r="LYP40" s="595"/>
      <c r="LYQ40" s="595"/>
      <c r="LYR40" s="595"/>
      <c r="LYS40" s="595"/>
      <c r="LYT40" s="595"/>
      <c r="LYU40" s="595"/>
      <c r="LYV40" s="595"/>
      <c r="LYW40" s="595"/>
      <c r="LYX40" s="595"/>
      <c r="LYY40" s="595"/>
      <c r="LYZ40" s="595"/>
      <c r="LZA40" s="595"/>
      <c r="LZB40" s="595"/>
      <c r="LZC40" s="595"/>
      <c r="LZD40" s="595"/>
      <c r="LZE40" s="595"/>
      <c r="LZF40" s="595"/>
      <c r="LZG40" s="595"/>
      <c r="LZH40" s="595"/>
      <c r="LZI40" s="595"/>
      <c r="LZJ40" s="595"/>
      <c r="LZK40" s="595"/>
      <c r="LZL40" s="595"/>
      <c r="LZM40" s="595"/>
      <c r="LZN40" s="595"/>
      <c r="LZO40" s="595"/>
      <c r="LZP40" s="595"/>
      <c r="LZQ40" s="595"/>
      <c r="LZR40" s="595"/>
      <c r="LZS40" s="595"/>
      <c r="LZT40" s="595"/>
      <c r="LZU40" s="595"/>
      <c r="LZV40" s="595"/>
      <c r="LZW40" s="595"/>
      <c r="LZX40" s="595"/>
      <c r="LZY40" s="595"/>
      <c r="LZZ40" s="595"/>
      <c r="MAA40" s="595"/>
      <c r="MAB40" s="595"/>
      <c r="MAC40" s="595"/>
      <c r="MAD40" s="595"/>
      <c r="MAE40" s="595"/>
      <c r="MAF40" s="595"/>
      <c r="MAG40" s="595"/>
      <c r="MAH40" s="595"/>
      <c r="MAI40" s="595"/>
      <c r="MAJ40" s="595"/>
      <c r="MAK40" s="595"/>
      <c r="MAL40" s="595"/>
      <c r="MAM40" s="595"/>
      <c r="MAN40" s="595"/>
      <c r="MAO40" s="595"/>
      <c r="MAP40" s="595"/>
      <c r="MAQ40" s="595"/>
      <c r="MAR40" s="595"/>
      <c r="MAS40" s="595"/>
      <c r="MAT40" s="595"/>
      <c r="MAU40" s="595"/>
      <c r="MAV40" s="595"/>
      <c r="MAW40" s="595"/>
      <c r="MAX40" s="595"/>
      <c r="MAY40" s="595"/>
      <c r="MAZ40" s="595"/>
      <c r="MBA40" s="595"/>
      <c r="MBB40" s="595"/>
      <c r="MBC40" s="595"/>
      <c r="MBD40" s="595"/>
      <c r="MBE40" s="595"/>
      <c r="MBF40" s="595"/>
      <c r="MBG40" s="595"/>
      <c r="MBH40" s="595"/>
      <c r="MBI40" s="595"/>
      <c r="MBJ40" s="595"/>
      <c r="MBK40" s="595"/>
      <c r="MBL40" s="595"/>
      <c r="MBM40" s="595"/>
      <c r="MBN40" s="595"/>
      <c r="MBO40" s="595"/>
      <c r="MBP40" s="595"/>
      <c r="MBQ40" s="595"/>
      <c r="MBR40" s="595"/>
      <c r="MBS40" s="595"/>
      <c r="MBT40" s="595"/>
      <c r="MBU40" s="595"/>
      <c r="MBV40" s="595"/>
      <c r="MBW40" s="595"/>
      <c r="MBX40" s="595"/>
      <c r="MBY40" s="595"/>
      <c r="MBZ40" s="595"/>
      <c r="MCA40" s="595"/>
      <c r="MCB40" s="595"/>
      <c r="MCC40" s="595"/>
      <c r="MCD40" s="595"/>
      <c r="MCE40" s="595"/>
      <c r="MCF40" s="595"/>
      <c r="MCG40" s="595"/>
      <c r="MCH40" s="595"/>
      <c r="MCI40" s="595"/>
      <c r="MCJ40" s="595"/>
      <c r="MCK40" s="595"/>
      <c r="MCL40" s="595"/>
      <c r="MCM40" s="595"/>
      <c r="MCN40" s="595"/>
      <c r="MCO40" s="595"/>
      <c r="MCP40" s="595"/>
      <c r="MCQ40" s="595"/>
      <c r="MCR40" s="595"/>
      <c r="MCS40" s="595"/>
      <c r="MCT40" s="595"/>
      <c r="MCU40" s="595"/>
      <c r="MCV40" s="595"/>
      <c r="MCW40" s="595"/>
      <c r="MCX40" s="595"/>
      <c r="MCY40" s="595"/>
      <c r="MCZ40" s="595"/>
      <c r="MDA40" s="595"/>
      <c r="MDB40" s="595"/>
      <c r="MDC40" s="595"/>
      <c r="MDD40" s="595"/>
      <c r="MDE40" s="595"/>
      <c r="MDF40" s="595"/>
      <c r="MDG40" s="595"/>
      <c r="MDH40" s="595"/>
      <c r="MDI40" s="595"/>
      <c r="MDJ40" s="595"/>
      <c r="MDK40" s="595"/>
      <c r="MDL40" s="595"/>
      <c r="MDM40" s="595"/>
      <c r="MDN40" s="595"/>
      <c r="MDO40" s="595"/>
      <c r="MDP40" s="595"/>
      <c r="MDQ40" s="595"/>
      <c r="MDR40" s="595"/>
      <c r="MDS40" s="595"/>
      <c r="MDT40" s="595"/>
      <c r="MDU40" s="595"/>
      <c r="MDV40" s="595"/>
      <c r="MDW40" s="595"/>
      <c r="MDX40" s="595"/>
      <c r="MDY40" s="595"/>
      <c r="MDZ40" s="595"/>
      <c r="MEA40" s="595"/>
      <c r="MEB40" s="595"/>
      <c r="MEC40" s="595"/>
      <c r="MED40" s="595"/>
      <c r="MEE40" s="595"/>
      <c r="MEF40" s="595"/>
      <c r="MEG40" s="595"/>
      <c r="MEH40" s="595"/>
      <c r="MEI40" s="595"/>
      <c r="MEJ40" s="595"/>
      <c r="MEK40" s="595"/>
      <c r="MEL40" s="595"/>
      <c r="MEM40" s="595"/>
      <c r="MEN40" s="595"/>
      <c r="MEO40" s="595"/>
      <c r="MEP40" s="595"/>
      <c r="MEQ40" s="595"/>
      <c r="MER40" s="595"/>
      <c r="MES40" s="595"/>
      <c r="MET40" s="595"/>
      <c r="MEU40" s="595"/>
      <c r="MEV40" s="595"/>
      <c r="MEW40" s="595"/>
      <c r="MEX40" s="595"/>
      <c r="MEY40" s="595"/>
      <c r="MEZ40" s="595"/>
      <c r="MFA40" s="595"/>
      <c r="MFB40" s="595"/>
      <c r="MFC40" s="595"/>
      <c r="MFD40" s="595"/>
      <c r="MFE40" s="595"/>
      <c r="MFF40" s="595"/>
      <c r="MFG40" s="595"/>
      <c r="MFH40" s="595"/>
      <c r="MFI40" s="595"/>
      <c r="MFJ40" s="595"/>
      <c r="MFK40" s="595"/>
      <c r="MFL40" s="595"/>
      <c r="MFM40" s="595"/>
      <c r="MFN40" s="595"/>
      <c r="MFO40" s="595"/>
      <c r="MFP40" s="595"/>
      <c r="MFQ40" s="595"/>
      <c r="MFR40" s="595"/>
      <c r="MFS40" s="595"/>
      <c r="MFT40" s="595"/>
      <c r="MFU40" s="595"/>
      <c r="MFV40" s="595"/>
      <c r="MFW40" s="595"/>
      <c r="MFX40" s="595"/>
      <c r="MFY40" s="595"/>
      <c r="MFZ40" s="595"/>
      <c r="MGA40" s="595"/>
      <c r="MGB40" s="595"/>
      <c r="MGC40" s="595"/>
      <c r="MGD40" s="595"/>
      <c r="MGE40" s="595"/>
      <c r="MGF40" s="595"/>
      <c r="MGG40" s="595"/>
      <c r="MGH40" s="595"/>
      <c r="MGI40" s="595"/>
      <c r="MGJ40" s="595"/>
      <c r="MGK40" s="595"/>
      <c r="MGL40" s="595"/>
      <c r="MGM40" s="595"/>
      <c r="MGN40" s="595"/>
      <c r="MGO40" s="595"/>
      <c r="MGP40" s="595"/>
      <c r="MGQ40" s="595"/>
      <c r="MGR40" s="595"/>
      <c r="MGS40" s="595"/>
      <c r="MGT40" s="595"/>
      <c r="MGU40" s="595"/>
      <c r="MGV40" s="595"/>
      <c r="MGW40" s="595"/>
      <c r="MGX40" s="595"/>
      <c r="MGY40" s="595"/>
      <c r="MGZ40" s="595"/>
      <c r="MHA40" s="595"/>
      <c r="MHB40" s="595"/>
      <c r="MHC40" s="595"/>
      <c r="MHD40" s="595"/>
      <c r="MHE40" s="595"/>
      <c r="MHF40" s="595"/>
      <c r="MHG40" s="595"/>
      <c r="MHH40" s="595"/>
      <c r="MHI40" s="595"/>
      <c r="MHJ40" s="595"/>
      <c r="MHK40" s="595"/>
      <c r="MHL40" s="595"/>
      <c r="MHM40" s="595"/>
      <c r="MHN40" s="595"/>
      <c r="MHO40" s="595"/>
      <c r="MHP40" s="595"/>
      <c r="MHQ40" s="595"/>
      <c r="MHR40" s="595"/>
      <c r="MHS40" s="595"/>
      <c r="MHT40" s="595"/>
      <c r="MHU40" s="595"/>
      <c r="MHV40" s="595"/>
      <c r="MHW40" s="595"/>
      <c r="MHX40" s="595"/>
      <c r="MHY40" s="595"/>
      <c r="MHZ40" s="595"/>
      <c r="MIA40" s="595"/>
      <c r="MIB40" s="595"/>
      <c r="MIC40" s="595"/>
      <c r="MID40" s="595"/>
      <c r="MIE40" s="595"/>
      <c r="MIF40" s="595"/>
      <c r="MIG40" s="595"/>
      <c r="MIH40" s="595"/>
      <c r="MII40" s="595"/>
      <c r="MIJ40" s="595"/>
      <c r="MIK40" s="595"/>
      <c r="MIL40" s="595"/>
      <c r="MIM40" s="595"/>
      <c r="MIN40" s="595"/>
      <c r="MIO40" s="595"/>
      <c r="MIP40" s="595"/>
      <c r="MIQ40" s="595"/>
      <c r="MIR40" s="595"/>
      <c r="MIS40" s="595"/>
      <c r="MIT40" s="595"/>
      <c r="MIU40" s="595"/>
      <c r="MIV40" s="595"/>
      <c r="MIW40" s="595"/>
      <c r="MIX40" s="595"/>
      <c r="MIY40" s="595"/>
      <c r="MIZ40" s="595"/>
      <c r="MJA40" s="595"/>
      <c r="MJB40" s="595"/>
      <c r="MJC40" s="595"/>
      <c r="MJD40" s="595"/>
      <c r="MJE40" s="595"/>
      <c r="MJF40" s="595"/>
      <c r="MJG40" s="595"/>
      <c r="MJH40" s="595"/>
      <c r="MJI40" s="595"/>
      <c r="MJJ40" s="595"/>
      <c r="MJK40" s="595"/>
      <c r="MJL40" s="595"/>
      <c r="MJM40" s="595"/>
      <c r="MJN40" s="595"/>
      <c r="MJO40" s="595"/>
      <c r="MJP40" s="595"/>
      <c r="MJQ40" s="595"/>
      <c r="MJR40" s="595"/>
      <c r="MJS40" s="595"/>
      <c r="MJT40" s="595"/>
      <c r="MJU40" s="595"/>
      <c r="MJV40" s="595"/>
      <c r="MJW40" s="595"/>
      <c r="MJX40" s="595"/>
      <c r="MJY40" s="595"/>
      <c r="MJZ40" s="595"/>
      <c r="MKA40" s="595"/>
      <c r="MKB40" s="595"/>
      <c r="MKC40" s="595"/>
      <c r="MKD40" s="595"/>
      <c r="MKE40" s="595"/>
      <c r="MKF40" s="595"/>
      <c r="MKG40" s="595"/>
      <c r="MKH40" s="595"/>
      <c r="MKI40" s="595"/>
      <c r="MKJ40" s="595"/>
      <c r="MKK40" s="595"/>
      <c r="MKL40" s="595"/>
      <c r="MKM40" s="595"/>
      <c r="MKN40" s="595"/>
      <c r="MKO40" s="595"/>
      <c r="MKP40" s="595"/>
      <c r="MKQ40" s="595"/>
      <c r="MKR40" s="595"/>
      <c r="MKS40" s="595"/>
      <c r="MKT40" s="595"/>
      <c r="MKU40" s="595"/>
      <c r="MKV40" s="595"/>
      <c r="MKW40" s="595"/>
      <c r="MKX40" s="595"/>
      <c r="MKY40" s="595"/>
      <c r="MKZ40" s="595"/>
      <c r="MLA40" s="595"/>
      <c r="MLB40" s="595"/>
      <c r="MLC40" s="595"/>
      <c r="MLD40" s="595"/>
      <c r="MLE40" s="595"/>
      <c r="MLF40" s="595"/>
      <c r="MLG40" s="595"/>
      <c r="MLH40" s="595"/>
      <c r="MLI40" s="595"/>
      <c r="MLJ40" s="595"/>
      <c r="MLK40" s="595"/>
      <c r="MLL40" s="595"/>
      <c r="MLM40" s="595"/>
      <c r="MLN40" s="595"/>
      <c r="MLO40" s="595"/>
      <c r="MLP40" s="595"/>
      <c r="MLQ40" s="595"/>
      <c r="MLR40" s="595"/>
      <c r="MLS40" s="595"/>
      <c r="MLT40" s="595"/>
      <c r="MLU40" s="595"/>
      <c r="MLV40" s="595"/>
      <c r="MLW40" s="595"/>
      <c r="MLX40" s="595"/>
      <c r="MLY40" s="595"/>
      <c r="MLZ40" s="595"/>
      <c r="MMA40" s="595"/>
      <c r="MMB40" s="595"/>
      <c r="MMC40" s="595"/>
      <c r="MMD40" s="595"/>
      <c r="MME40" s="595"/>
      <c r="MMF40" s="595"/>
      <c r="MMG40" s="595"/>
      <c r="MMH40" s="595"/>
      <c r="MMI40" s="595"/>
      <c r="MMJ40" s="595"/>
      <c r="MMK40" s="595"/>
      <c r="MML40" s="595"/>
      <c r="MMM40" s="595"/>
      <c r="MMN40" s="595"/>
      <c r="MMO40" s="595"/>
      <c r="MMP40" s="595"/>
      <c r="MMQ40" s="595"/>
      <c r="MMR40" s="595"/>
      <c r="MMS40" s="595"/>
      <c r="MMT40" s="595"/>
      <c r="MMU40" s="595"/>
      <c r="MMV40" s="595"/>
      <c r="MMW40" s="595"/>
      <c r="MMX40" s="595"/>
      <c r="MMY40" s="595"/>
      <c r="MMZ40" s="595"/>
      <c r="MNA40" s="595"/>
      <c r="MNB40" s="595"/>
      <c r="MNC40" s="595"/>
      <c r="MND40" s="595"/>
      <c r="MNE40" s="595"/>
      <c r="MNF40" s="595"/>
      <c r="MNG40" s="595"/>
      <c r="MNH40" s="595"/>
      <c r="MNI40" s="595"/>
      <c r="MNJ40" s="595"/>
      <c r="MNK40" s="595"/>
      <c r="MNL40" s="595"/>
      <c r="MNM40" s="595"/>
      <c r="MNN40" s="595"/>
      <c r="MNO40" s="595"/>
      <c r="MNP40" s="595"/>
      <c r="MNQ40" s="595"/>
      <c r="MNR40" s="595"/>
      <c r="MNS40" s="595"/>
      <c r="MNT40" s="595"/>
      <c r="MNU40" s="595"/>
      <c r="MNV40" s="595"/>
      <c r="MNW40" s="595"/>
      <c r="MNX40" s="595"/>
      <c r="MNY40" s="595"/>
      <c r="MNZ40" s="595"/>
      <c r="MOA40" s="595"/>
      <c r="MOB40" s="595"/>
      <c r="MOC40" s="595"/>
      <c r="MOD40" s="595"/>
      <c r="MOE40" s="595"/>
      <c r="MOF40" s="595"/>
      <c r="MOG40" s="595"/>
      <c r="MOH40" s="595"/>
      <c r="MOI40" s="595"/>
      <c r="MOJ40" s="595"/>
      <c r="MOK40" s="595"/>
      <c r="MOL40" s="595"/>
      <c r="MOM40" s="595"/>
      <c r="MON40" s="595"/>
      <c r="MOO40" s="595"/>
      <c r="MOP40" s="595"/>
      <c r="MOQ40" s="595"/>
      <c r="MOR40" s="595"/>
      <c r="MOS40" s="595"/>
      <c r="MOT40" s="595"/>
      <c r="MOU40" s="595"/>
      <c r="MOV40" s="595"/>
      <c r="MOW40" s="595"/>
      <c r="MOX40" s="595"/>
      <c r="MOY40" s="595"/>
      <c r="MOZ40" s="595"/>
      <c r="MPA40" s="595"/>
      <c r="MPB40" s="595"/>
      <c r="MPC40" s="595"/>
      <c r="MPD40" s="595"/>
      <c r="MPE40" s="595"/>
      <c r="MPF40" s="595"/>
      <c r="MPG40" s="595"/>
      <c r="MPH40" s="595"/>
      <c r="MPI40" s="595"/>
      <c r="MPJ40" s="595"/>
      <c r="MPK40" s="595"/>
      <c r="MPL40" s="595"/>
      <c r="MPM40" s="595"/>
      <c r="MPN40" s="595"/>
      <c r="MPO40" s="595"/>
      <c r="MPP40" s="595"/>
      <c r="MPQ40" s="595"/>
      <c r="MPR40" s="595"/>
      <c r="MPS40" s="595"/>
      <c r="MPT40" s="595"/>
      <c r="MPU40" s="595"/>
      <c r="MPV40" s="595"/>
      <c r="MPW40" s="595"/>
      <c r="MPX40" s="595"/>
      <c r="MPY40" s="595"/>
      <c r="MPZ40" s="595"/>
      <c r="MQA40" s="595"/>
      <c r="MQB40" s="595"/>
      <c r="MQC40" s="595"/>
      <c r="MQD40" s="595"/>
      <c r="MQE40" s="595"/>
      <c r="MQF40" s="595"/>
      <c r="MQG40" s="595"/>
      <c r="MQH40" s="595"/>
      <c r="MQI40" s="595"/>
      <c r="MQJ40" s="595"/>
      <c r="MQK40" s="595"/>
      <c r="MQL40" s="595"/>
      <c r="MQM40" s="595"/>
      <c r="MQN40" s="595"/>
      <c r="MQO40" s="595"/>
      <c r="MQP40" s="595"/>
      <c r="MQQ40" s="595"/>
      <c r="MQR40" s="595"/>
      <c r="MQS40" s="595"/>
      <c r="MQT40" s="595"/>
      <c r="MQU40" s="595"/>
      <c r="MQV40" s="595"/>
      <c r="MQW40" s="595"/>
      <c r="MQX40" s="595"/>
      <c r="MQY40" s="595"/>
      <c r="MQZ40" s="595"/>
      <c r="MRA40" s="595"/>
      <c r="MRB40" s="595"/>
      <c r="MRC40" s="595"/>
      <c r="MRD40" s="595"/>
      <c r="MRE40" s="595"/>
      <c r="MRF40" s="595"/>
      <c r="MRG40" s="595"/>
      <c r="MRH40" s="595"/>
      <c r="MRI40" s="595"/>
      <c r="MRJ40" s="595"/>
      <c r="MRK40" s="595"/>
      <c r="MRL40" s="595"/>
      <c r="MRM40" s="595"/>
      <c r="MRN40" s="595"/>
      <c r="MRO40" s="595"/>
      <c r="MRP40" s="595"/>
      <c r="MRQ40" s="595"/>
      <c r="MRR40" s="595"/>
      <c r="MRS40" s="595"/>
      <c r="MRT40" s="595"/>
      <c r="MRU40" s="595"/>
      <c r="MRV40" s="595"/>
      <c r="MRW40" s="595"/>
      <c r="MRX40" s="595"/>
      <c r="MRY40" s="595"/>
      <c r="MRZ40" s="595"/>
      <c r="MSA40" s="595"/>
      <c r="MSB40" s="595"/>
      <c r="MSC40" s="595"/>
      <c r="MSD40" s="595"/>
      <c r="MSE40" s="595"/>
      <c r="MSF40" s="595"/>
      <c r="MSG40" s="595"/>
      <c r="MSH40" s="595"/>
      <c r="MSI40" s="595"/>
      <c r="MSJ40" s="595"/>
      <c r="MSK40" s="595"/>
      <c r="MSL40" s="595"/>
      <c r="MSM40" s="595"/>
      <c r="MSN40" s="595"/>
      <c r="MSO40" s="595"/>
      <c r="MSP40" s="595"/>
      <c r="MSQ40" s="595"/>
      <c r="MSR40" s="595"/>
      <c r="MSS40" s="595"/>
      <c r="MST40" s="595"/>
      <c r="MSU40" s="595"/>
      <c r="MSV40" s="595"/>
      <c r="MSW40" s="595"/>
      <c r="MSX40" s="595"/>
      <c r="MSY40" s="595"/>
      <c r="MSZ40" s="595"/>
      <c r="MTA40" s="595"/>
      <c r="MTB40" s="595"/>
      <c r="MTC40" s="595"/>
      <c r="MTD40" s="595"/>
      <c r="MTE40" s="595"/>
      <c r="MTF40" s="595"/>
      <c r="MTG40" s="595"/>
      <c r="MTH40" s="595"/>
      <c r="MTI40" s="595"/>
      <c r="MTJ40" s="595"/>
      <c r="MTK40" s="595"/>
      <c r="MTL40" s="595"/>
      <c r="MTM40" s="595"/>
      <c r="MTN40" s="595"/>
      <c r="MTO40" s="595"/>
      <c r="MTP40" s="595"/>
      <c r="MTQ40" s="595"/>
      <c r="MTR40" s="595"/>
      <c r="MTS40" s="595"/>
      <c r="MTT40" s="595"/>
      <c r="MTU40" s="595"/>
      <c r="MTV40" s="595"/>
      <c r="MTW40" s="595"/>
      <c r="MTX40" s="595"/>
      <c r="MTY40" s="595"/>
      <c r="MTZ40" s="595"/>
      <c r="MUA40" s="595"/>
      <c r="MUB40" s="595"/>
      <c r="MUC40" s="595"/>
      <c r="MUD40" s="595"/>
      <c r="MUE40" s="595"/>
      <c r="MUF40" s="595"/>
      <c r="MUG40" s="595"/>
      <c r="MUH40" s="595"/>
      <c r="MUI40" s="595"/>
      <c r="MUJ40" s="595"/>
      <c r="MUK40" s="595"/>
      <c r="MUL40" s="595"/>
      <c r="MUM40" s="595"/>
      <c r="MUN40" s="595"/>
      <c r="MUO40" s="595"/>
      <c r="MUP40" s="595"/>
      <c r="MUQ40" s="595"/>
      <c r="MUR40" s="595"/>
      <c r="MUS40" s="595"/>
      <c r="MUT40" s="595"/>
      <c r="MUU40" s="595"/>
      <c r="MUV40" s="595"/>
      <c r="MUW40" s="595"/>
      <c r="MUX40" s="595"/>
      <c r="MUY40" s="595"/>
      <c r="MUZ40" s="595"/>
      <c r="MVA40" s="595"/>
      <c r="MVB40" s="595"/>
      <c r="MVC40" s="595"/>
      <c r="MVD40" s="595"/>
      <c r="MVE40" s="595"/>
      <c r="MVF40" s="595"/>
      <c r="MVG40" s="595"/>
      <c r="MVH40" s="595"/>
      <c r="MVI40" s="595"/>
      <c r="MVJ40" s="595"/>
      <c r="MVK40" s="595"/>
      <c r="MVL40" s="595"/>
      <c r="MVM40" s="595"/>
      <c r="MVN40" s="595"/>
      <c r="MVO40" s="595"/>
      <c r="MVP40" s="595"/>
      <c r="MVQ40" s="595"/>
      <c r="MVR40" s="595"/>
      <c r="MVS40" s="595"/>
      <c r="MVT40" s="595"/>
      <c r="MVU40" s="595"/>
      <c r="MVV40" s="595"/>
      <c r="MVW40" s="595"/>
      <c r="MVX40" s="595"/>
      <c r="MVY40" s="595"/>
      <c r="MVZ40" s="595"/>
      <c r="MWA40" s="595"/>
      <c r="MWB40" s="595"/>
      <c r="MWC40" s="595"/>
      <c r="MWD40" s="595"/>
      <c r="MWE40" s="595"/>
      <c r="MWF40" s="595"/>
      <c r="MWG40" s="595"/>
      <c r="MWH40" s="595"/>
      <c r="MWI40" s="595"/>
      <c r="MWJ40" s="595"/>
      <c r="MWK40" s="595"/>
      <c r="MWL40" s="595"/>
      <c r="MWM40" s="595"/>
      <c r="MWN40" s="595"/>
      <c r="MWO40" s="595"/>
      <c r="MWP40" s="595"/>
      <c r="MWQ40" s="595"/>
      <c r="MWR40" s="595"/>
      <c r="MWS40" s="595"/>
      <c r="MWT40" s="595"/>
      <c r="MWU40" s="595"/>
      <c r="MWV40" s="595"/>
      <c r="MWW40" s="595"/>
      <c r="MWX40" s="595"/>
      <c r="MWY40" s="595"/>
      <c r="MWZ40" s="595"/>
      <c r="MXA40" s="595"/>
      <c r="MXB40" s="595"/>
      <c r="MXC40" s="595"/>
      <c r="MXD40" s="595"/>
      <c r="MXE40" s="595"/>
      <c r="MXF40" s="595"/>
      <c r="MXG40" s="595"/>
      <c r="MXH40" s="595"/>
      <c r="MXI40" s="595"/>
      <c r="MXJ40" s="595"/>
      <c r="MXK40" s="595"/>
      <c r="MXL40" s="595"/>
      <c r="MXM40" s="595"/>
      <c r="MXN40" s="595"/>
      <c r="MXO40" s="595"/>
      <c r="MXP40" s="595"/>
      <c r="MXQ40" s="595"/>
      <c r="MXR40" s="595"/>
      <c r="MXS40" s="595"/>
      <c r="MXT40" s="595"/>
      <c r="MXU40" s="595"/>
      <c r="MXV40" s="595"/>
      <c r="MXW40" s="595"/>
      <c r="MXX40" s="595"/>
      <c r="MXY40" s="595"/>
      <c r="MXZ40" s="595"/>
      <c r="MYA40" s="595"/>
      <c r="MYB40" s="595"/>
      <c r="MYC40" s="595"/>
      <c r="MYD40" s="595"/>
      <c r="MYE40" s="595"/>
      <c r="MYF40" s="595"/>
      <c r="MYG40" s="595"/>
      <c r="MYH40" s="595"/>
      <c r="MYI40" s="595"/>
      <c r="MYJ40" s="595"/>
      <c r="MYK40" s="595"/>
      <c r="MYL40" s="595"/>
      <c r="MYM40" s="595"/>
      <c r="MYN40" s="595"/>
      <c r="MYO40" s="595"/>
      <c r="MYP40" s="595"/>
      <c r="MYQ40" s="595"/>
      <c r="MYR40" s="595"/>
      <c r="MYS40" s="595"/>
      <c r="MYT40" s="595"/>
      <c r="MYU40" s="595"/>
      <c r="MYV40" s="595"/>
      <c r="MYW40" s="595"/>
      <c r="MYX40" s="595"/>
      <c r="MYY40" s="595"/>
      <c r="MYZ40" s="595"/>
      <c r="MZA40" s="595"/>
      <c r="MZB40" s="595"/>
      <c r="MZC40" s="595"/>
      <c r="MZD40" s="595"/>
      <c r="MZE40" s="595"/>
      <c r="MZF40" s="595"/>
      <c r="MZG40" s="595"/>
      <c r="MZH40" s="595"/>
      <c r="MZI40" s="595"/>
      <c r="MZJ40" s="595"/>
      <c r="MZK40" s="595"/>
      <c r="MZL40" s="595"/>
      <c r="MZM40" s="595"/>
      <c r="MZN40" s="595"/>
      <c r="MZO40" s="595"/>
      <c r="MZP40" s="595"/>
      <c r="MZQ40" s="595"/>
      <c r="MZR40" s="595"/>
      <c r="MZS40" s="595"/>
      <c r="MZT40" s="595"/>
      <c r="MZU40" s="595"/>
      <c r="MZV40" s="595"/>
      <c r="MZW40" s="595"/>
      <c r="MZX40" s="595"/>
      <c r="MZY40" s="595"/>
      <c r="MZZ40" s="595"/>
      <c r="NAA40" s="595"/>
      <c r="NAB40" s="595"/>
      <c r="NAC40" s="595"/>
      <c r="NAD40" s="595"/>
      <c r="NAE40" s="595"/>
      <c r="NAF40" s="595"/>
      <c r="NAG40" s="595"/>
      <c r="NAH40" s="595"/>
      <c r="NAI40" s="595"/>
      <c r="NAJ40" s="595"/>
      <c r="NAK40" s="595"/>
      <c r="NAL40" s="595"/>
      <c r="NAM40" s="595"/>
      <c r="NAN40" s="595"/>
      <c r="NAO40" s="595"/>
      <c r="NAP40" s="595"/>
      <c r="NAQ40" s="595"/>
      <c r="NAR40" s="595"/>
      <c r="NAS40" s="595"/>
      <c r="NAT40" s="595"/>
      <c r="NAU40" s="595"/>
      <c r="NAV40" s="595"/>
      <c r="NAW40" s="595"/>
      <c r="NAX40" s="595"/>
      <c r="NAY40" s="595"/>
      <c r="NAZ40" s="595"/>
      <c r="NBA40" s="595"/>
      <c r="NBB40" s="595"/>
      <c r="NBC40" s="595"/>
      <c r="NBD40" s="595"/>
      <c r="NBE40" s="595"/>
      <c r="NBF40" s="595"/>
      <c r="NBG40" s="595"/>
      <c r="NBH40" s="595"/>
      <c r="NBI40" s="595"/>
      <c r="NBJ40" s="595"/>
      <c r="NBK40" s="595"/>
      <c r="NBL40" s="595"/>
      <c r="NBM40" s="595"/>
      <c r="NBN40" s="595"/>
      <c r="NBO40" s="595"/>
      <c r="NBP40" s="595"/>
      <c r="NBQ40" s="595"/>
      <c r="NBR40" s="595"/>
      <c r="NBS40" s="595"/>
      <c r="NBT40" s="595"/>
      <c r="NBU40" s="595"/>
      <c r="NBV40" s="595"/>
      <c r="NBW40" s="595"/>
      <c r="NBX40" s="595"/>
      <c r="NBY40" s="595"/>
      <c r="NBZ40" s="595"/>
      <c r="NCA40" s="595"/>
      <c r="NCB40" s="595"/>
      <c r="NCC40" s="595"/>
      <c r="NCD40" s="595"/>
      <c r="NCE40" s="595"/>
      <c r="NCF40" s="595"/>
      <c r="NCG40" s="595"/>
      <c r="NCH40" s="595"/>
      <c r="NCI40" s="595"/>
      <c r="NCJ40" s="595"/>
      <c r="NCK40" s="595"/>
      <c r="NCL40" s="595"/>
      <c r="NCM40" s="595"/>
      <c r="NCN40" s="595"/>
      <c r="NCO40" s="595"/>
      <c r="NCP40" s="595"/>
      <c r="NCQ40" s="595"/>
      <c r="NCR40" s="595"/>
      <c r="NCS40" s="595"/>
      <c r="NCT40" s="595"/>
      <c r="NCU40" s="595"/>
      <c r="NCV40" s="595"/>
      <c r="NCW40" s="595"/>
      <c r="NCX40" s="595"/>
      <c r="NCY40" s="595"/>
      <c r="NCZ40" s="595"/>
      <c r="NDA40" s="595"/>
      <c r="NDB40" s="595"/>
      <c r="NDC40" s="595"/>
      <c r="NDD40" s="595"/>
      <c r="NDE40" s="595"/>
      <c r="NDF40" s="595"/>
      <c r="NDG40" s="595"/>
      <c r="NDH40" s="595"/>
      <c r="NDI40" s="595"/>
      <c r="NDJ40" s="595"/>
      <c r="NDK40" s="595"/>
      <c r="NDL40" s="595"/>
      <c r="NDM40" s="595"/>
      <c r="NDN40" s="595"/>
      <c r="NDO40" s="595"/>
      <c r="NDP40" s="595"/>
      <c r="NDQ40" s="595"/>
      <c r="NDR40" s="595"/>
      <c r="NDS40" s="595"/>
      <c r="NDT40" s="595"/>
      <c r="NDU40" s="595"/>
      <c r="NDV40" s="595"/>
      <c r="NDW40" s="595"/>
      <c r="NDX40" s="595"/>
      <c r="NDY40" s="595"/>
      <c r="NDZ40" s="595"/>
      <c r="NEA40" s="595"/>
      <c r="NEB40" s="595"/>
      <c r="NEC40" s="595"/>
      <c r="NED40" s="595"/>
      <c r="NEE40" s="595"/>
      <c r="NEF40" s="595"/>
      <c r="NEG40" s="595"/>
      <c r="NEH40" s="595"/>
      <c r="NEI40" s="595"/>
      <c r="NEJ40" s="595"/>
      <c r="NEK40" s="595"/>
      <c r="NEL40" s="595"/>
      <c r="NEM40" s="595"/>
      <c r="NEN40" s="595"/>
      <c r="NEO40" s="595"/>
      <c r="NEP40" s="595"/>
      <c r="NEQ40" s="595"/>
      <c r="NER40" s="595"/>
      <c r="NES40" s="595"/>
      <c r="NET40" s="595"/>
      <c r="NEU40" s="595"/>
      <c r="NEV40" s="595"/>
      <c r="NEW40" s="595"/>
      <c r="NEX40" s="595"/>
      <c r="NEY40" s="595"/>
      <c r="NEZ40" s="595"/>
      <c r="NFA40" s="595"/>
      <c r="NFB40" s="595"/>
      <c r="NFC40" s="595"/>
      <c r="NFD40" s="595"/>
      <c r="NFE40" s="595"/>
      <c r="NFF40" s="595"/>
      <c r="NFG40" s="595"/>
      <c r="NFH40" s="595"/>
      <c r="NFI40" s="595"/>
      <c r="NFJ40" s="595"/>
      <c r="NFK40" s="595"/>
      <c r="NFL40" s="595"/>
      <c r="NFM40" s="595"/>
      <c r="NFN40" s="595"/>
      <c r="NFO40" s="595"/>
      <c r="NFP40" s="595"/>
      <c r="NFQ40" s="595"/>
      <c r="NFR40" s="595"/>
      <c r="NFS40" s="595"/>
      <c r="NFT40" s="595"/>
      <c r="NFU40" s="595"/>
      <c r="NFV40" s="595"/>
      <c r="NFW40" s="595"/>
      <c r="NFX40" s="595"/>
      <c r="NFY40" s="595"/>
      <c r="NFZ40" s="595"/>
      <c r="NGA40" s="595"/>
      <c r="NGB40" s="595"/>
      <c r="NGC40" s="595"/>
      <c r="NGD40" s="595"/>
      <c r="NGE40" s="595"/>
      <c r="NGF40" s="595"/>
      <c r="NGG40" s="595"/>
      <c r="NGH40" s="595"/>
      <c r="NGI40" s="595"/>
      <c r="NGJ40" s="595"/>
      <c r="NGK40" s="595"/>
      <c r="NGL40" s="595"/>
      <c r="NGM40" s="595"/>
      <c r="NGN40" s="595"/>
      <c r="NGO40" s="595"/>
      <c r="NGP40" s="595"/>
      <c r="NGQ40" s="595"/>
      <c r="NGR40" s="595"/>
      <c r="NGS40" s="595"/>
      <c r="NGT40" s="595"/>
      <c r="NGU40" s="595"/>
      <c r="NGV40" s="595"/>
      <c r="NGW40" s="595"/>
      <c r="NGX40" s="595"/>
      <c r="NGY40" s="595"/>
      <c r="NGZ40" s="595"/>
      <c r="NHA40" s="595"/>
      <c r="NHB40" s="595"/>
      <c r="NHC40" s="595"/>
      <c r="NHD40" s="595"/>
      <c r="NHE40" s="595"/>
      <c r="NHF40" s="595"/>
      <c r="NHG40" s="595"/>
      <c r="NHH40" s="595"/>
      <c r="NHI40" s="595"/>
      <c r="NHJ40" s="595"/>
      <c r="NHK40" s="595"/>
      <c r="NHL40" s="595"/>
      <c r="NHM40" s="595"/>
      <c r="NHN40" s="595"/>
      <c r="NHO40" s="595"/>
      <c r="NHP40" s="595"/>
      <c r="NHQ40" s="595"/>
      <c r="NHR40" s="595"/>
      <c r="NHS40" s="595"/>
      <c r="NHT40" s="595"/>
      <c r="NHU40" s="595"/>
      <c r="NHV40" s="595"/>
      <c r="NHW40" s="595"/>
      <c r="NHX40" s="595"/>
      <c r="NHY40" s="595"/>
      <c r="NHZ40" s="595"/>
      <c r="NIA40" s="595"/>
      <c r="NIB40" s="595"/>
      <c r="NIC40" s="595"/>
      <c r="NID40" s="595"/>
      <c r="NIE40" s="595"/>
      <c r="NIF40" s="595"/>
      <c r="NIG40" s="595"/>
      <c r="NIH40" s="595"/>
      <c r="NII40" s="595"/>
      <c r="NIJ40" s="595"/>
      <c r="NIK40" s="595"/>
      <c r="NIL40" s="595"/>
      <c r="NIM40" s="595"/>
      <c r="NIN40" s="595"/>
      <c r="NIO40" s="595"/>
      <c r="NIP40" s="595"/>
      <c r="NIQ40" s="595"/>
      <c r="NIR40" s="595"/>
      <c r="NIS40" s="595"/>
      <c r="NIT40" s="595"/>
      <c r="NIU40" s="595"/>
      <c r="NIV40" s="595"/>
      <c r="NIW40" s="595"/>
      <c r="NIX40" s="595"/>
      <c r="NIY40" s="595"/>
      <c r="NIZ40" s="595"/>
      <c r="NJA40" s="595"/>
      <c r="NJB40" s="595"/>
      <c r="NJC40" s="595"/>
      <c r="NJD40" s="595"/>
      <c r="NJE40" s="595"/>
      <c r="NJF40" s="595"/>
      <c r="NJG40" s="595"/>
      <c r="NJH40" s="595"/>
      <c r="NJI40" s="595"/>
      <c r="NJJ40" s="595"/>
      <c r="NJK40" s="595"/>
      <c r="NJL40" s="595"/>
      <c r="NJM40" s="595"/>
      <c r="NJN40" s="595"/>
      <c r="NJO40" s="595"/>
      <c r="NJP40" s="595"/>
      <c r="NJQ40" s="595"/>
      <c r="NJR40" s="595"/>
      <c r="NJS40" s="595"/>
      <c r="NJT40" s="595"/>
      <c r="NJU40" s="595"/>
      <c r="NJV40" s="595"/>
      <c r="NJW40" s="595"/>
      <c r="NJX40" s="595"/>
      <c r="NJY40" s="595"/>
      <c r="NJZ40" s="595"/>
      <c r="NKA40" s="595"/>
      <c r="NKB40" s="595"/>
      <c r="NKC40" s="595"/>
      <c r="NKD40" s="595"/>
      <c r="NKE40" s="595"/>
      <c r="NKF40" s="595"/>
      <c r="NKG40" s="595"/>
      <c r="NKH40" s="595"/>
      <c r="NKI40" s="595"/>
      <c r="NKJ40" s="595"/>
      <c r="NKK40" s="595"/>
      <c r="NKL40" s="595"/>
      <c r="NKM40" s="595"/>
      <c r="NKN40" s="595"/>
      <c r="NKO40" s="595"/>
      <c r="NKP40" s="595"/>
      <c r="NKQ40" s="595"/>
      <c r="NKR40" s="595"/>
      <c r="NKS40" s="595"/>
      <c r="NKT40" s="595"/>
      <c r="NKU40" s="595"/>
      <c r="NKV40" s="595"/>
      <c r="NKW40" s="595"/>
      <c r="NKX40" s="595"/>
      <c r="NKY40" s="595"/>
      <c r="NKZ40" s="595"/>
      <c r="NLA40" s="595"/>
      <c r="NLB40" s="595"/>
      <c r="NLC40" s="595"/>
      <c r="NLD40" s="595"/>
      <c r="NLE40" s="595"/>
      <c r="NLF40" s="595"/>
      <c r="NLG40" s="595"/>
      <c r="NLH40" s="595"/>
      <c r="NLI40" s="595"/>
      <c r="NLJ40" s="595"/>
      <c r="NLK40" s="595"/>
      <c r="NLL40" s="595"/>
      <c r="NLM40" s="595"/>
      <c r="NLN40" s="595"/>
      <c r="NLO40" s="595"/>
      <c r="NLP40" s="595"/>
      <c r="NLQ40" s="595"/>
      <c r="NLR40" s="595"/>
      <c r="NLS40" s="595"/>
      <c r="NLT40" s="595"/>
      <c r="NLU40" s="595"/>
      <c r="NLV40" s="595"/>
      <c r="NLW40" s="595"/>
      <c r="NLX40" s="595"/>
      <c r="NLY40" s="595"/>
      <c r="NLZ40" s="595"/>
      <c r="NMA40" s="595"/>
      <c r="NMB40" s="595"/>
      <c r="NMC40" s="595"/>
      <c r="NMD40" s="595"/>
      <c r="NME40" s="595"/>
      <c r="NMF40" s="595"/>
      <c r="NMG40" s="595"/>
      <c r="NMH40" s="595"/>
      <c r="NMI40" s="595"/>
      <c r="NMJ40" s="595"/>
      <c r="NMK40" s="595"/>
      <c r="NML40" s="595"/>
      <c r="NMM40" s="595"/>
      <c r="NMN40" s="595"/>
      <c r="NMO40" s="595"/>
      <c r="NMP40" s="595"/>
      <c r="NMQ40" s="595"/>
      <c r="NMR40" s="595"/>
      <c r="NMS40" s="595"/>
      <c r="NMT40" s="595"/>
      <c r="NMU40" s="595"/>
      <c r="NMV40" s="595"/>
      <c r="NMW40" s="595"/>
      <c r="NMX40" s="595"/>
      <c r="NMY40" s="595"/>
      <c r="NMZ40" s="595"/>
      <c r="NNA40" s="595"/>
      <c r="NNB40" s="595"/>
      <c r="NNC40" s="595"/>
      <c r="NND40" s="595"/>
      <c r="NNE40" s="595"/>
      <c r="NNF40" s="595"/>
      <c r="NNG40" s="595"/>
      <c r="NNH40" s="595"/>
      <c r="NNI40" s="595"/>
      <c r="NNJ40" s="595"/>
      <c r="NNK40" s="595"/>
      <c r="NNL40" s="595"/>
      <c r="NNM40" s="595"/>
      <c r="NNN40" s="595"/>
      <c r="NNO40" s="595"/>
      <c r="NNP40" s="595"/>
      <c r="NNQ40" s="595"/>
      <c r="NNR40" s="595"/>
      <c r="NNS40" s="595"/>
      <c r="NNT40" s="595"/>
      <c r="NNU40" s="595"/>
      <c r="NNV40" s="595"/>
      <c r="NNW40" s="595"/>
      <c r="NNX40" s="595"/>
      <c r="NNY40" s="595"/>
      <c r="NNZ40" s="595"/>
      <c r="NOA40" s="595"/>
      <c r="NOB40" s="595"/>
      <c r="NOC40" s="595"/>
      <c r="NOD40" s="595"/>
      <c r="NOE40" s="595"/>
      <c r="NOF40" s="595"/>
      <c r="NOG40" s="595"/>
      <c r="NOH40" s="595"/>
      <c r="NOI40" s="595"/>
      <c r="NOJ40" s="595"/>
      <c r="NOK40" s="595"/>
      <c r="NOL40" s="595"/>
      <c r="NOM40" s="595"/>
      <c r="NON40" s="595"/>
      <c r="NOO40" s="595"/>
      <c r="NOP40" s="595"/>
      <c r="NOQ40" s="595"/>
      <c r="NOR40" s="595"/>
      <c r="NOS40" s="595"/>
      <c r="NOT40" s="595"/>
      <c r="NOU40" s="595"/>
      <c r="NOV40" s="595"/>
      <c r="NOW40" s="595"/>
      <c r="NOX40" s="595"/>
      <c r="NOY40" s="595"/>
      <c r="NOZ40" s="595"/>
      <c r="NPA40" s="595"/>
      <c r="NPB40" s="595"/>
      <c r="NPC40" s="595"/>
      <c r="NPD40" s="595"/>
      <c r="NPE40" s="595"/>
      <c r="NPF40" s="595"/>
      <c r="NPG40" s="595"/>
      <c r="NPH40" s="595"/>
      <c r="NPI40" s="595"/>
      <c r="NPJ40" s="595"/>
      <c r="NPK40" s="595"/>
      <c r="NPL40" s="595"/>
      <c r="NPM40" s="595"/>
      <c r="NPN40" s="595"/>
      <c r="NPO40" s="595"/>
      <c r="NPP40" s="595"/>
      <c r="NPQ40" s="595"/>
      <c r="NPR40" s="595"/>
      <c r="NPS40" s="595"/>
      <c r="NPT40" s="595"/>
      <c r="NPU40" s="595"/>
      <c r="NPV40" s="595"/>
      <c r="NPW40" s="595"/>
      <c r="NPX40" s="595"/>
      <c r="NPY40" s="595"/>
      <c r="NPZ40" s="595"/>
      <c r="NQA40" s="595"/>
      <c r="NQB40" s="595"/>
      <c r="NQC40" s="595"/>
      <c r="NQD40" s="595"/>
      <c r="NQE40" s="595"/>
      <c r="NQF40" s="595"/>
      <c r="NQG40" s="595"/>
      <c r="NQH40" s="595"/>
      <c r="NQI40" s="595"/>
      <c r="NQJ40" s="595"/>
      <c r="NQK40" s="595"/>
      <c r="NQL40" s="595"/>
      <c r="NQM40" s="595"/>
      <c r="NQN40" s="595"/>
      <c r="NQO40" s="595"/>
      <c r="NQP40" s="595"/>
      <c r="NQQ40" s="595"/>
      <c r="NQR40" s="595"/>
      <c r="NQS40" s="595"/>
      <c r="NQT40" s="595"/>
      <c r="NQU40" s="595"/>
      <c r="NQV40" s="595"/>
      <c r="NQW40" s="595"/>
      <c r="NQX40" s="595"/>
      <c r="NQY40" s="595"/>
      <c r="NQZ40" s="595"/>
      <c r="NRA40" s="595"/>
      <c r="NRB40" s="595"/>
      <c r="NRC40" s="595"/>
      <c r="NRD40" s="595"/>
      <c r="NRE40" s="595"/>
      <c r="NRF40" s="595"/>
      <c r="NRG40" s="595"/>
      <c r="NRH40" s="595"/>
      <c r="NRI40" s="595"/>
      <c r="NRJ40" s="595"/>
      <c r="NRK40" s="595"/>
      <c r="NRL40" s="595"/>
      <c r="NRM40" s="595"/>
      <c r="NRN40" s="595"/>
      <c r="NRO40" s="595"/>
      <c r="NRP40" s="595"/>
      <c r="NRQ40" s="595"/>
      <c r="NRR40" s="595"/>
      <c r="NRS40" s="595"/>
      <c r="NRT40" s="595"/>
      <c r="NRU40" s="595"/>
      <c r="NRV40" s="595"/>
      <c r="NRW40" s="595"/>
      <c r="NRX40" s="595"/>
      <c r="NRY40" s="595"/>
      <c r="NRZ40" s="595"/>
      <c r="NSA40" s="595"/>
      <c r="NSB40" s="595"/>
      <c r="NSC40" s="595"/>
      <c r="NSD40" s="595"/>
      <c r="NSE40" s="595"/>
      <c r="NSF40" s="595"/>
      <c r="NSG40" s="595"/>
      <c r="NSH40" s="595"/>
      <c r="NSI40" s="595"/>
      <c r="NSJ40" s="595"/>
      <c r="NSK40" s="595"/>
      <c r="NSL40" s="595"/>
      <c r="NSM40" s="595"/>
      <c r="NSN40" s="595"/>
      <c r="NSO40" s="595"/>
      <c r="NSP40" s="595"/>
      <c r="NSQ40" s="595"/>
      <c r="NSR40" s="595"/>
      <c r="NSS40" s="595"/>
      <c r="NST40" s="595"/>
      <c r="NSU40" s="595"/>
      <c r="NSV40" s="595"/>
      <c r="NSW40" s="595"/>
      <c r="NSX40" s="595"/>
      <c r="NSY40" s="595"/>
      <c r="NSZ40" s="595"/>
      <c r="NTA40" s="595"/>
      <c r="NTB40" s="595"/>
      <c r="NTC40" s="595"/>
      <c r="NTD40" s="595"/>
      <c r="NTE40" s="595"/>
      <c r="NTF40" s="595"/>
      <c r="NTG40" s="595"/>
      <c r="NTH40" s="595"/>
      <c r="NTI40" s="595"/>
      <c r="NTJ40" s="595"/>
      <c r="NTK40" s="595"/>
      <c r="NTL40" s="595"/>
      <c r="NTM40" s="595"/>
      <c r="NTN40" s="595"/>
      <c r="NTO40" s="595"/>
      <c r="NTP40" s="595"/>
      <c r="NTQ40" s="595"/>
      <c r="NTR40" s="595"/>
      <c r="NTS40" s="595"/>
      <c r="NTT40" s="595"/>
      <c r="NTU40" s="595"/>
      <c r="NTV40" s="595"/>
      <c r="NTW40" s="595"/>
      <c r="NTX40" s="595"/>
      <c r="NTY40" s="595"/>
      <c r="NTZ40" s="595"/>
      <c r="NUA40" s="595"/>
      <c r="NUB40" s="595"/>
      <c r="NUC40" s="595"/>
      <c r="NUD40" s="595"/>
      <c r="NUE40" s="595"/>
      <c r="NUF40" s="595"/>
      <c r="NUG40" s="595"/>
      <c r="NUH40" s="595"/>
      <c r="NUI40" s="595"/>
      <c r="NUJ40" s="595"/>
      <c r="NUK40" s="595"/>
      <c r="NUL40" s="595"/>
      <c r="NUM40" s="595"/>
      <c r="NUN40" s="595"/>
      <c r="NUO40" s="595"/>
      <c r="NUP40" s="595"/>
      <c r="NUQ40" s="595"/>
      <c r="NUR40" s="595"/>
      <c r="NUS40" s="595"/>
      <c r="NUT40" s="595"/>
      <c r="NUU40" s="595"/>
      <c r="NUV40" s="595"/>
      <c r="NUW40" s="595"/>
      <c r="NUX40" s="595"/>
      <c r="NUY40" s="595"/>
      <c r="NUZ40" s="595"/>
      <c r="NVA40" s="595"/>
      <c r="NVB40" s="595"/>
      <c r="NVC40" s="595"/>
      <c r="NVD40" s="595"/>
      <c r="NVE40" s="595"/>
      <c r="NVF40" s="595"/>
      <c r="NVG40" s="595"/>
      <c r="NVH40" s="595"/>
      <c r="NVI40" s="595"/>
      <c r="NVJ40" s="595"/>
      <c r="NVK40" s="595"/>
      <c r="NVL40" s="595"/>
      <c r="NVM40" s="595"/>
      <c r="NVN40" s="595"/>
      <c r="NVO40" s="595"/>
      <c r="NVP40" s="595"/>
      <c r="NVQ40" s="595"/>
      <c r="NVR40" s="595"/>
      <c r="NVS40" s="595"/>
      <c r="NVT40" s="595"/>
      <c r="NVU40" s="595"/>
      <c r="NVV40" s="595"/>
      <c r="NVW40" s="595"/>
      <c r="NVX40" s="595"/>
      <c r="NVY40" s="595"/>
      <c r="NVZ40" s="595"/>
      <c r="NWA40" s="595"/>
      <c r="NWB40" s="595"/>
      <c r="NWC40" s="595"/>
      <c r="NWD40" s="595"/>
      <c r="NWE40" s="595"/>
      <c r="NWF40" s="595"/>
      <c r="NWG40" s="595"/>
      <c r="NWH40" s="595"/>
      <c r="NWI40" s="595"/>
      <c r="NWJ40" s="595"/>
      <c r="NWK40" s="595"/>
      <c r="NWL40" s="595"/>
      <c r="NWM40" s="595"/>
      <c r="NWN40" s="595"/>
      <c r="NWO40" s="595"/>
      <c r="NWP40" s="595"/>
      <c r="NWQ40" s="595"/>
      <c r="NWR40" s="595"/>
      <c r="NWS40" s="595"/>
      <c r="NWT40" s="595"/>
      <c r="NWU40" s="595"/>
      <c r="NWV40" s="595"/>
      <c r="NWW40" s="595"/>
      <c r="NWX40" s="595"/>
      <c r="NWY40" s="595"/>
      <c r="NWZ40" s="595"/>
      <c r="NXA40" s="595"/>
      <c r="NXB40" s="595"/>
      <c r="NXC40" s="595"/>
      <c r="NXD40" s="595"/>
      <c r="NXE40" s="595"/>
      <c r="NXF40" s="595"/>
      <c r="NXG40" s="595"/>
      <c r="NXH40" s="595"/>
      <c r="NXI40" s="595"/>
      <c r="NXJ40" s="595"/>
      <c r="NXK40" s="595"/>
      <c r="NXL40" s="595"/>
      <c r="NXM40" s="595"/>
      <c r="NXN40" s="595"/>
      <c r="NXO40" s="595"/>
      <c r="NXP40" s="595"/>
      <c r="NXQ40" s="595"/>
      <c r="NXR40" s="595"/>
      <c r="NXS40" s="595"/>
      <c r="NXT40" s="595"/>
      <c r="NXU40" s="595"/>
      <c r="NXV40" s="595"/>
      <c r="NXW40" s="595"/>
      <c r="NXX40" s="595"/>
      <c r="NXY40" s="595"/>
      <c r="NXZ40" s="595"/>
      <c r="NYA40" s="595"/>
      <c r="NYB40" s="595"/>
      <c r="NYC40" s="595"/>
      <c r="NYD40" s="595"/>
      <c r="NYE40" s="595"/>
      <c r="NYF40" s="595"/>
      <c r="NYG40" s="595"/>
      <c r="NYH40" s="595"/>
      <c r="NYI40" s="595"/>
      <c r="NYJ40" s="595"/>
      <c r="NYK40" s="595"/>
      <c r="NYL40" s="595"/>
      <c r="NYM40" s="595"/>
      <c r="NYN40" s="595"/>
      <c r="NYO40" s="595"/>
      <c r="NYP40" s="595"/>
      <c r="NYQ40" s="595"/>
      <c r="NYR40" s="595"/>
      <c r="NYS40" s="595"/>
      <c r="NYT40" s="595"/>
      <c r="NYU40" s="595"/>
      <c r="NYV40" s="595"/>
      <c r="NYW40" s="595"/>
      <c r="NYX40" s="595"/>
      <c r="NYY40" s="595"/>
      <c r="NYZ40" s="595"/>
      <c r="NZA40" s="595"/>
      <c r="NZB40" s="595"/>
      <c r="NZC40" s="595"/>
      <c r="NZD40" s="595"/>
      <c r="NZE40" s="595"/>
      <c r="NZF40" s="595"/>
      <c r="NZG40" s="595"/>
      <c r="NZH40" s="595"/>
      <c r="NZI40" s="595"/>
      <c r="NZJ40" s="595"/>
      <c r="NZK40" s="595"/>
      <c r="NZL40" s="595"/>
      <c r="NZM40" s="595"/>
      <c r="NZN40" s="595"/>
      <c r="NZO40" s="595"/>
      <c r="NZP40" s="595"/>
      <c r="NZQ40" s="595"/>
      <c r="NZR40" s="595"/>
      <c r="NZS40" s="595"/>
      <c r="NZT40" s="595"/>
      <c r="NZU40" s="595"/>
      <c r="NZV40" s="595"/>
      <c r="NZW40" s="595"/>
      <c r="NZX40" s="595"/>
      <c r="NZY40" s="595"/>
      <c r="NZZ40" s="595"/>
      <c r="OAA40" s="595"/>
      <c r="OAB40" s="595"/>
      <c r="OAC40" s="595"/>
      <c r="OAD40" s="595"/>
      <c r="OAE40" s="595"/>
      <c r="OAF40" s="595"/>
      <c r="OAG40" s="595"/>
      <c r="OAH40" s="595"/>
      <c r="OAI40" s="595"/>
      <c r="OAJ40" s="595"/>
      <c r="OAK40" s="595"/>
      <c r="OAL40" s="595"/>
      <c r="OAM40" s="595"/>
      <c r="OAN40" s="595"/>
      <c r="OAO40" s="595"/>
      <c r="OAP40" s="595"/>
      <c r="OAQ40" s="595"/>
      <c r="OAR40" s="595"/>
      <c r="OAS40" s="595"/>
      <c r="OAT40" s="595"/>
      <c r="OAU40" s="595"/>
      <c r="OAV40" s="595"/>
      <c r="OAW40" s="595"/>
      <c r="OAX40" s="595"/>
      <c r="OAY40" s="595"/>
      <c r="OAZ40" s="595"/>
      <c r="OBA40" s="595"/>
      <c r="OBB40" s="595"/>
      <c r="OBC40" s="595"/>
      <c r="OBD40" s="595"/>
      <c r="OBE40" s="595"/>
      <c r="OBF40" s="595"/>
      <c r="OBG40" s="595"/>
      <c r="OBH40" s="595"/>
      <c r="OBI40" s="595"/>
      <c r="OBJ40" s="595"/>
      <c r="OBK40" s="595"/>
      <c r="OBL40" s="595"/>
      <c r="OBM40" s="595"/>
      <c r="OBN40" s="595"/>
      <c r="OBO40" s="595"/>
      <c r="OBP40" s="595"/>
      <c r="OBQ40" s="595"/>
      <c r="OBR40" s="595"/>
      <c r="OBS40" s="595"/>
      <c r="OBT40" s="595"/>
      <c r="OBU40" s="595"/>
      <c r="OBV40" s="595"/>
      <c r="OBW40" s="595"/>
      <c r="OBX40" s="595"/>
      <c r="OBY40" s="595"/>
      <c r="OBZ40" s="595"/>
      <c r="OCA40" s="595"/>
      <c r="OCB40" s="595"/>
      <c r="OCC40" s="595"/>
      <c r="OCD40" s="595"/>
      <c r="OCE40" s="595"/>
      <c r="OCF40" s="595"/>
      <c r="OCG40" s="595"/>
      <c r="OCH40" s="595"/>
      <c r="OCI40" s="595"/>
      <c r="OCJ40" s="595"/>
      <c r="OCK40" s="595"/>
      <c r="OCL40" s="595"/>
      <c r="OCM40" s="595"/>
      <c r="OCN40" s="595"/>
      <c r="OCO40" s="595"/>
      <c r="OCP40" s="595"/>
      <c r="OCQ40" s="595"/>
      <c r="OCR40" s="595"/>
      <c r="OCS40" s="595"/>
      <c r="OCT40" s="595"/>
      <c r="OCU40" s="595"/>
      <c r="OCV40" s="595"/>
      <c r="OCW40" s="595"/>
      <c r="OCX40" s="595"/>
      <c r="OCY40" s="595"/>
      <c r="OCZ40" s="595"/>
      <c r="ODA40" s="595"/>
      <c r="ODB40" s="595"/>
      <c r="ODC40" s="595"/>
      <c r="ODD40" s="595"/>
      <c r="ODE40" s="595"/>
      <c r="ODF40" s="595"/>
      <c r="ODG40" s="595"/>
      <c r="ODH40" s="595"/>
      <c r="ODI40" s="595"/>
      <c r="ODJ40" s="595"/>
      <c r="ODK40" s="595"/>
      <c r="ODL40" s="595"/>
      <c r="ODM40" s="595"/>
      <c r="ODN40" s="595"/>
      <c r="ODO40" s="595"/>
      <c r="ODP40" s="595"/>
      <c r="ODQ40" s="595"/>
      <c r="ODR40" s="595"/>
      <c r="ODS40" s="595"/>
      <c r="ODT40" s="595"/>
      <c r="ODU40" s="595"/>
      <c r="ODV40" s="595"/>
      <c r="ODW40" s="595"/>
      <c r="ODX40" s="595"/>
      <c r="ODY40" s="595"/>
      <c r="ODZ40" s="595"/>
      <c r="OEA40" s="595"/>
      <c r="OEB40" s="595"/>
      <c r="OEC40" s="595"/>
      <c r="OED40" s="595"/>
      <c r="OEE40" s="595"/>
      <c r="OEF40" s="595"/>
      <c r="OEG40" s="595"/>
      <c r="OEH40" s="595"/>
      <c r="OEI40" s="595"/>
      <c r="OEJ40" s="595"/>
      <c r="OEK40" s="595"/>
      <c r="OEL40" s="595"/>
      <c r="OEM40" s="595"/>
      <c r="OEN40" s="595"/>
      <c r="OEO40" s="595"/>
      <c r="OEP40" s="595"/>
      <c r="OEQ40" s="595"/>
      <c r="OER40" s="595"/>
      <c r="OES40" s="595"/>
      <c r="OET40" s="595"/>
      <c r="OEU40" s="595"/>
      <c r="OEV40" s="595"/>
      <c r="OEW40" s="595"/>
      <c r="OEX40" s="595"/>
      <c r="OEY40" s="595"/>
      <c r="OEZ40" s="595"/>
      <c r="OFA40" s="595"/>
      <c r="OFB40" s="595"/>
      <c r="OFC40" s="595"/>
      <c r="OFD40" s="595"/>
      <c r="OFE40" s="595"/>
      <c r="OFF40" s="595"/>
      <c r="OFG40" s="595"/>
      <c r="OFH40" s="595"/>
      <c r="OFI40" s="595"/>
      <c r="OFJ40" s="595"/>
      <c r="OFK40" s="595"/>
      <c r="OFL40" s="595"/>
      <c r="OFM40" s="595"/>
      <c r="OFN40" s="595"/>
      <c r="OFO40" s="595"/>
      <c r="OFP40" s="595"/>
      <c r="OFQ40" s="595"/>
      <c r="OFR40" s="595"/>
      <c r="OFS40" s="595"/>
      <c r="OFT40" s="595"/>
      <c r="OFU40" s="595"/>
      <c r="OFV40" s="595"/>
      <c r="OFW40" s="595"/>
      <c r="OFX40" s="595"/>
      <c r="OFY40" s="595"/>
      <c r="OFZ40" s="595"/>
      <c r="OGA40" s="595"/>
      <c r="OGB40" s="595"/>
      <c r="OGC40" s="595"/>
      <c r="OGD40" s="595"/>
      <c r="OGE40" s="595"/>
      <c r="OGF40" s="595"/>
      <c r="OGG40" s="595"/>
      <c r="OGH40" s="595"/>
      <c r="OGI40" s="595"/>
      <c r="OGJ40" s="595"/>
      <c r="OGK40" s="595"/>
      <c r="OGL40" s="595"/>
      <c r="OGM40" s="595"/>
      <c r="OGN40" s="595"/>
      <c r="OGO40" s="595"/>
      <c r="OGP40" s="595"/>
      <c r="OGQ40" s="595"/>
      <c r="OGR40" s="595"/>
      <c r="OGS40" s="595"/>
      <c r="OGT40" s="595"/>
      <c r="OGU40" s="595"/>
      <c r="OGV40" s="595"/>
      <c r="OGW40" s="595"/>
      <c r="OGX40" s="595"/>
      <c r="OGY40" s="595"/>
      <c r="OGZ40" s="595"/>
      <c r="OHA40" s="595"/>
      <c r="OHB40" s="595"/>
      <c r="OHC40" s="595"/>
      <c r="OHD40" s="595"/>
      <c r="OHE40" s="595"/>
      <c r="OHF40" s="595"/>
      <c r="OHG40" s="595"/>
      <c r="OHH40" s="595"/>
      <c r="OHI40" s="595"/>
      <c r="OHJ40" s="595"/>
      <c r="OHK40" s="595"/>
      <c r="OHL40" s="595"/>
      <c r="OHM40" s="595"/>
      <c r="OHN40" s="595"/>
      <c r="OHO40" s="595"/>
      <c r="OHP40" s="595"/>
      <c r="OHQ40" s="595"/>
      <c r="OHR40" s="595"/>
      <c r="OHS40" s="595"/>
      <c r="OHT40" s="595"/>
      <c r="OHU40" s="595"/>
      <c r="OHV40" s="595"/>
      <c r="OHW40" s="595"/>
      <c r="OHX40" s="595"/>
      <c r="OHY40" s="595"/>
      <c r="OHZ40" s="595"/>
      <c r="OIA40" s="595"/>
      <c r="OIB40" s="595"/>
      <c r="OIC40" s="595"/>
      <c r="OID40" s="595"/>
      <c r="OIE40" s="595"/>
      <c r="OIF40" s="595"/>
      <c r="OIG40" s="595"/>
      <c r="OIH40" s="595"/>
      <c r="OII40" s="595"/>
      <c r="OIJ40" s="595"/>
      <c r="OIK40" s="595"/>
      <c r="OIL40" s="595"/>
      <c r="OIM40" s="595"/>
      <c r="OIN40" s="595"/>
      <c r="OIO40" s="595"/>
      <c r="OIP40" s="595"/>
      <c r="OIQ40" s="595"/>
      <c r="OIR40" s="595"/>
      <c r="OIS40" s="595"/>
      <c r="OIT40" s="595"/>
      <c r="OIU40" s="595"/>
      <c r="OIV40" s="595"/>
      <c r="OIW40" s="595"/>
      <c r="OIX40" s="595"/>
      <c r="OIY40" s="595"/>
      <c r="OIZ40" s="595"/>
      <c r="OJA40" s="595"/>
      <c r="OJB40" s="595"/>
      <c r="OJC40" s="595"/>
      <c r="OJD40" s="595"/>
      <c r="OJE40" s="595"/>
      <c r="OJF40" s="595"/>
      <c r="OJG40" s="595"/>
      <c r="OJH40" s="595"/>
      <c r="OJI40" s="595"/>
      <c r="OJJ40" s="595"/>
      <c r="OJK40" s="595"/>
      <c r="OJL40" s="595"/>
      <c r="OJM40" s="595"/>
      <c r="OJN40" s="595"/>
      <c r="OJO40" s="595"/>
      <c r="OJP40" s="595"/>
      <c r="OJQ40" s="595"/>
      <c r="OJR40" s="595"/>
      <c r="OJS40" s="595"/>
      <c r="OJT40" s="595"/>
      <c r="OJU40" s="595"/>
      <c r="OJV40" s="595"/>
      <c r="OJW40" s="595"/>
      <c r="OJX40" s="595"/>
      <c r="OJY40" s="595"/>
      <c r="OJZ40" s="595"/>
      <c r="OKA40" s="595"/>
      <c r="OKB40" s="595"/>
      <c r="OKC40" s="595"/>
      <c r="OKD40" s="595"/>
      <c r="OKE40" s="595"/>
      <c r="OKF40" s="595"/>
      <c r="OKG40" s="595"/>
      <c r="OKH40" s="595"/>
      <c r="OKI40" s="595"/>
      <c r="OKJ40" s="595"/>
      <c r="OKK40" s="595"/>
      <c r="OKL40" s="595"/>
      <c r="OKM40" s="595"/>
      <c r="OKN40" s="595"/>
      <c r="OKO40" s="595"/>
      <c r="OKP40" s="595"/>
      <c r="OKQ40" s="595"/>
      <c r="OKR40" s="595"/>
      <c r="OKS40" s="595"/>
      <c r="OKT40" s="595"/>
      <c r="OKU40" s="595"/>
      <c r="OKV40" s="595"/>
      <c r="OKW40" s="595"/>
      <c r="OKX40" s="595"/>
      <c r="OKY40" s="595"/>
      <c r="OKZ40" s="595"/>
      <c r="OLA40" s="595"/>
      <c r="OLB40" s="595"/>
      <c r="OLC40" s="595"/>
      <c r="OLD40" s="595"/>
      <c r="OLE40" s="595"/>
      <c r="OLF40" s="595"/>
      <c r="OLG40" s="595"/>
      <c r="OLH40" s="595"/>
      <c r="OLI40" s="595"/>
      <c r="OLJ40" s="595"/>
      <c r="OLK40" s="595"/>
      <c r="OLL40" s="595"/>
      <c r="OLM40" s="595"/>
      <c r="OLN40" s="595"/>
      <c r="OLO40" s="595"/>
      <c r="OLP40" s="595"/>
      <c r="OLQ40" s="595"/>
      <c r="OLR40" s="595"/>
      <c r="OLS40" s="595"/>
      <c r="OLT40" s="595"/>
      <c r="OLU40" s="595"/>
      <c r="OLV40" s="595"/>
      <c r="OLW40" s="595"/>
      <c r="OLX40" s="595"/>
      <c r="OLY40" s="595"/>
      <c r="OLZ40" s="595"/>
      <c r="OMA40" s="595"/>
      <c r="OMB40" s="595"/>
      <c r="OMC40" s="595"/>
      <c r="OMD40" s="595"/>
      <c r="OME40" s="595"/>
      <c r="OMF40" s="595"/>
      <c r="OMG40" s="595"/>
      <c r="OMH40" s="595"/>
      <c r="OMI40" s="595"/>
      <c r="OMJ40" s="595"/>
      <c r="OMK40" s="595"/>
      <c r="OML40" s="595"/>
      <c r="OMM40" s="595"/>
      <c r="OMN40" s="595"/>
      <c r="OMO40" s="595"/>
      <c r="OMP40" s="595"/>
      <c r="OMQ40" s="595"/>
      <c r="OMR40" s="595"/>
      <c r="OMS40" s="595"/>
      <c r="OMT40" s="595"/>
      <c r="OMU40" s="595"/>
      <c r="OMV40" s="595"/>
      <c r="OMW40" s="595"/>
      <c r="OMX40" s="595"/>
      <c r="OMY40" s="595"/>
      <c r="OMZ40" s="595"/>
      <c r="ONA40" s="595"/>
      <c r="ONB40" s="595"/>
      <c r="ONC40" s="595"/>
      <c r="OND40" s="595"/>
      <c r="ONE40" s="595"/>
      <c r="ONF40" s="595"/>
      <c r="ONG40" s="595"/>
      <c r="ONH40" s="595"/>
      <c r="ONI40" s="595"/>
      <c r="ONJ40" s="595"/>
      <c r="ONK40" s="595"/>
      <c r="ONL40" s="595"/>
      <c r="ONM40" s="595"/>
      <c r="ONN40" s="595"/>
      <c r="ONO40" s="595"/>
      <c r="ONP40" s="595"/>
      <c r="ONQ40" s="595"/>
      <c r="ONR40" s="595"/>
      <c r="ONS40" s="595"/>
      <c r="ONT40" s="595"/>
      <c r="ONU40" s="595"/>
      <c r="ONV40" s="595"/>
      <c r="ONW40" s="595"/>
      <c r="ONX40" s="595"/>
      <c r="ONY40" s="595"/>
      <c r="ONZ40" s="595"/>
      <c r="OOA40" s="595"/>
      <c r="OOB40" s="595"/>
      <c r="OOC40" s="595"/>
      <c r="OOD40" s="595"/>
      <c r="OOE40" s="595"/>
      <c r="OOF40" s="595"/>
      <c r="OOG40" s="595"/>
      <c r="OOH40" s="595"/>
      <c r="OOI40" s="595"/>
      <c r="OOJ40" s="595"/>
      <c r="OOK40" s="595"/>
      <c r="OOL40" s="595"/>
      <c r="OOM40" s="595"/>
      <c r="OON40" s="595"/>
      <c r="OOO40" s="595"/>
      <c r="OOP40" s="595"/>
      <c r="OOQ40" s="595"/>
      <c r="OOR40" s="595"/>
      <c r="OOS40" s="595"/>
      <c r="OOT40" s="595"/>
      <c r="OOU40" s="595"/>
      <c r="OOV40" s="595"/>
      <c r="OOW40" s="595"/>
      <c r="OOX40" s="595"/>
      <c r="OOY40" s="595"/>
      <c r="OOZ40" s="595"/>
      <c r="OPA40" s="595"/>
      <c r="OPB40" s="595"/>
      <c r="OPC40" s="595"/>
      <c r="OPD40" s="595"/>
      <c r="OPE40" s="595"/>
      <c r="OPF40" s="595"/>
      <c r="OPG40" s="595"/>
      <c r="OPH40" s="595"/>
      <c r="OPI40" s="595"/>
      <c r="OPJ40" s="595"/>
      <c r="OPK40" s="595"/>
      <c r="OPL40" s="595"/>
      <c r="OPM40" s="595"/>
      <c r="OPN40" s="595"/>
      <c r="OPO40" s="595"/>
      <c r="OPP40" s="595"/>
      <c r="OPQ40" s="595"/>
      <c r="OPR40" s="595"/>
      <c r="OPS40" s="595"/>
      <c r="OPT40" s="595"/>
      <c r="OPU40" s="595"/>
      <c r="OPV40" s="595"/>
      <c r="OPW40" s="595"/>
      <c r="OPX40" s="595"/>
      <c r="OPY40" s="595"/>
      <c r="OPZ40" s="595"/>
      <c r="OQA40" s="595"/>
      <c r="OQB40" s="595"/>
      <c r="OQC40" s="595"/>
      <c r="OQD40" s="595"/>
      <c r="OQE40" s="595"/>
      <c r="OQF40" s="595"/>
      <c r="OQG40" s="595"/>
      <c r="OQH40" s="595"/>
      <c r="OQI40" s="595"/>
      <c r="OQJ40" s="595"/>
      <c r="OQK40" s="595"/>
      <c r="OQL40" s="595"/>
      <c r="OQM40" s="595"/>
      <c r="OQN40" s="595"/>
      <c r="OQO40" s="595"/>
      <c r="OQP40" s="595"/>
      <c r="OQQ40" s="595"/>
      <c r="OQR40" s="595"/>
      <c r="OQS40" s="595"/>
      <c r="OQT40" s="595"/>
      <c r="OQU40" s="595"/>
      <c r="OQV40" s="595"/>
      <c r="OQW40" s="595"/>
      <c r="OQX40" s="595"/>
      <c r="OQY40" s="595"/>
      <c r="OQZ40" s="595"/>
      <c r="ORA40" s="595"/>
      <c r="ORB40" s="595"/>
      <c r="ORC40" s="595"/>
      <c r="ORD40" s="595"/>
      <c r="ORE40" s="595"/>
      <c r="ORF40" s="595"/>
      <c r="ORG40" s="595"/>
      <c r="ORH40" s="595"/>
      <c r="ORI40" s="595"/>
      <c r="ORJ40" s="595"/>
      <c r="ORK40" s="595"/>
      <c r="ORL40" s="595"/>
      <c r="ORM40" s="595"/>
      <c r="ORN40" s="595"/>
      <c r="ORO40" s="595"/>
      <c r="ORP40" s="595"/>
      <c r="ORQ40" s="595"/>
      <c r="ORR40" s="595"/>
      <c r="ORS40" s="595"/>
      <c r="ORT40" s="595"/>
      <c r="ORU40" s="595"/>
      <c r="ORV40" s="595"/>
      <c r="ORW40" s="595"/>
      <c r="ORX40" s="595"/>
      <c r="ORY40" s="595"/>
      <c r="ORZ40" s="595"/>
      <c r="OSA40" s="595"/>
      <c r="OSB40" s="595"/>
      <c r="OSC40" s="595"/>
      <c r="OSD40" s="595"/>
      <c r="OSE40" s="595"/>
      <c r="OSF40" s="595"/>
      <c r="OSG40" s="595"/>
      <c r="OSH40" s="595"/>
      <c r="OSI40" s="595"/>
      <c r="OSJ40" s="595"/>
      <c r="OSK40" s="595"/>
      <c r="OSL40" s="595"/>
      <c r="OSM40" s="595"/>
      <c r="OSN40" s="595"/>
      <c r="OSO40" s="595"/>
      <c r="OSP40" s="595"/>
      <c r="OSQ40" s="595"/>
      <c r="OSR40" s="595"/>
      <c r="OSS40" s="595"/>
      <c r="OST40" s="595"/>
      <c r="OSU40" s="595"/>
      <c r="OSV40" s="595"/>
      <c r="OSW40" s="595"/>
      <c r="OSX40" s="595"/>
      <c r="OSY40" s="595"/>
      <c r="OSZ40" s="595"/>
      <c r="OTA40" s="595"/>
      <c r="OTB40" s="595"/>
      <c r="OTC40" s="595"/>
      <c r="OTD40" s="595"/>
      <c r="OTE40" s="595"/>
      <c r="OTF40" s="595"/>
      <c r="OTG40" s="595"/>
      <c r="OTH40" s="595"/>
      <c r="OTI40" s="595"/>
      <c r="OTJ40" s="595"/>
      <c r="OTK40" s="595"/>
      <c r="OTL40" s="595"/>
      <c r="OTM40" s="595"/>
      <c r="OTN40" s="595"/>
      <c r="OTO40" s="595"/>
      <c r="OTP40" s="595"/>
      <c r="OTQ40" s="595"/>
      <c r="OTR40" s="595"/>
      <c r="OTS40" s="595"/>
      <c r="OTT40" s="595"/>
      <c r="OTU40" s="595"/>
      <c r="OTV40" s="595"/>
      <c r="OTW40" s="595"/>
      <c r="OTX40" s="595"/>
      <c r="OTY40" s="595"/>
      <c r="OTZ40" s="595"/>
      <c r="OUA40" s="595"/>
      <c r="OUB40" s="595"/>
      <c r="OUC40" s="595"/>
      <c r="OUD40" s="595"/>
      <c r="OUE40" s="595"/>
      <c r="OUF40" s="595"/>
      <c r="OUG40" s="595"/>
      <c r="OUH40" s="595"/>
      <c r="OUI40" s="595"/>
      <c r="OUJ40" s="595"/>
      <c r="OUK40" s="595"/>
      <c r="OUL40" s="595"/>
      <c r="OUM40" s="595"/>
      <c r="OUN40" s="595"/>
      <c r="OUO40" s="595"/>
      <c r="OUP40" s="595"/>
      <c r="OUQ40" s="595"/>
      <c r="OUR40" s="595"/>
      <c r="OUS40" s="595"/>
      <c r="OUT40" s="595"/>
      <c r="OUU40" s="595"/>
      <c r="OUV40" s="595"/>
      <c r="OUW40" s="595"/>
      <c r="OUX40" s="595"/>
      <c r="OUY40" s="595"/>
      <c r="OUZ40" s="595"/>
      <c r="OVA40" s="595"/>
      <c r="OVB40" s="595"/>
      <c r="OVC40" s="595"/>
      <c r="OVD40" s="595"/>
      <c r="OVE40" s="595"/>
      <c r="OVF40" s="595"/>
      <c r="OVG40" s="595"/>
      <c r="OVH40" s="595"/>
      <c r="OVI40" s="595"/>
      <c r="OVJ40" s="595"/>
      <c r="OVK40" s="595"/>
      <c r="OVL40" s="595"/>
      <c r="OVM40" s="595"/>
      <c r="OVN40" s="595"/>
      <c r="OVO40" s="595"/>
      <c r="OVP40" s="595"/>
      <c r="OVQ40" s="595"/>
      <c r="OVR40" s="595"/>
      <c r="OVS40" s="595"/>
      <c r="OVT40" s="595"/>
      <c r="OVU40" s="595"/>
      <c r="OVV40" s="595"/>
      <c r="OVW40" s="595"/>
      <c r="OVX40" s="595"/>
      <c r="OVY40" s="595"/>
      <c r="OVZ40" s="595"/>
      <c r="OWA40" s="595"/>
      <c r="OWB40" s="595"/>
      <c r="OWC40" s="595"/>
      <c r="OWD40" s="595"/>
      <c r="OWE40" s="595"/>
      <c r="OWF40" s="595"/>
      <c r="OWG40" s="595"/>
      <c r="OWH40" s="595"/>
      <c r="OWI40" s="595"/>
      <c r="OWJ40" s="595"/>
      <c r="OWK40" s="595"/>
      <c r="OWL40" s="595"/>
      <c r="OWM40" s="595"/>
      <c r="OWN40" s="595"/>
      <c r="OWO40" s="595"/>
      <c r="OWP40" s="595"/>
      <c r="OWQ40" s="595"/>
      <c r="OWR40" s="595"/>
      <c r="OWS40" s="595"/>
      <c r="OWT40" s="595"/>
      <c r="OWU40" s="595"/>
      <c r="OWV40" s="595"/>
      <c r="OWW40" s="595"/>
      <c r="OWX40" s="595"/>
      <c r="OWY40" s="595"/>
      <c r="OWZ40" s="595"/>
      <c r="OXA40" s="595"/>
      <c r="OXB40" s="595"/>
      <c r="OXC40" s="595"/>
      <c r="OXD40" s="595"/>
      <c r="OXE40" s="595"/>
      <c r="OXF40" s="595"/>
      <c r="OXG40" s="595"/>
      <c r="OXH40" s="595"/>
      <c r="OXI40" s="595"/>
      <c r="OXJ40" s="595"/>
      <c r="OXK40" s="595"/>
      <c r="OXL40" s="595"/>
      <c r="OXM40" s="595"/>
      <c r="OXN40" s="595"/>
      <c r="OXO40" s="595"/>
      <c r="OXP40" s="595"/>
      <c r="OXQ40" s="595"/>
      <c r="OXR40" s="595"/>
      <c r="OXS40" s="595"/>
      <c r="OXT40" s="595"/>
      <c r="OXU40" s="595"/>
      <c r="OXV40" s="595"/>
      <c r="OXW40" s="595"/>
      <c r="OXX40" s="595"/>
      <c r="OXY40" s="595"/>
      <c r="OXZ40" s="595"/>
      <c r="OYA40" s="595"/>
      <c r="OYB40" s="595"/>
      <c r="OYC40" s="595"/>
      <c r="OYD40" s="595"/>
      <c r="OYE40" s="595"/>
      <c r="OYF40" s="595"/>
      <c r="OYG40" s="595"/>
      <c r="OYH40" s="595"/>
      <c r="OYI40" s="595"/>
      <c r="OYJ40" s="595"/>
      <c r="OYK40" s="595"/>
      <c r="OYL40" s="595"/>
      <c r="OYM40" s="595"/>
      <c r="OYN40" s="595"/>
      <c r="OYO40" s="595"/>
      <c r="OYP40" s="595"/>
      <c r="OYQ40" s="595"/>
      <c r="OYR40" s="595"/>
      <c r="OYS40" s="595"/>
      <c r="OYT40" s="595"/>
      <c r="OYU40" s="595"/>
      <c r="OYV40" s="595"/>
      <c r="OYW40" s="595"/>
      <c r="OYX40" s="595"/>
      <c r="OYY40" s="595"/>
      <c r="OYZ40" s="595"/>
      <c r="OZA40" s="595"/>
      <c r="OZB40" s="595"/>
      <c r="OZC40" s="595"/>
      <c r="OZD40" s="595"/>
      <c r="OZE40" s="595"/>
      <c r="OZF40" s="595"/>
      <c r="OZG40" s="595"/>
      <c r="OZH40" s="595"/>
      <c r="OZI40" s="595"/>
      <c r="OZJ40" s="595"/>
      <c r="OZK40" s="595"/>
      <c r="OZL40" s="595"/>
      <c r="OZM40" s="595"/>
      <c r="OZN40" s="595"/>
      <c r="OZO40" s="595"/>
      <c r="OZP40" s="595"/>
      <c r="OZQ40" s="595"/>
      <c r="OZR40" s="595"/>
      <c r="OZS40" s="595"/>
      <c r="OZT40" s="595"/>
      <c r="OZU40" s="595"/>
      <c r="OZV40" s="595"/>
      <c r="OZW40" s="595"/>
      <c r="OZX40" s="595"/>
      <c r="OZY40" s="595"/>
      <c r="OZZ40" s="595"/>
      <c r="PAA40" s="595"/>
      <c r="PAB40" s="595"/>
      <c r="PAC40" s="595"/>
      <c r="PAD40" s="595"/>
      <c r="PAE40" s="595"/>
      <c r="PAF40" s="595"/>
      <c r="PAG40" s="595"/>
      <c r="PAH40" s="595"/>
      <c r="PAI40" s="595"/>
      <c r="PAJ40" s="595"/>
      <c r="PAK40" s="595"/>
      <c r="PAL40" s="595"/>
      <c r="PAM40" s="595"/>
      <c r="PAN40" s="595"/>
      <c r="PAO40" s="595"/>
      <c r="PAP40" s="595"/>
      <c r="PAQ40" s="595"/>
      <c r="PAR40" s="595"/>
      <c r="PAS40" s="595"/>
      <c r="PAT40" s="595"/>
      <c r="PAU40" s="595"/>
      <c r="PAV40" s="595"/>
      <c r="PAW40" s="595"/>
      <c r="PAX40" s="595"/>
      <c r="PAY40" s="595"/>
      <c r="PAZ40" s="595"/>
      <c r="PBA40" s="595"/>
      <c r="PBB40" s="595"/>
      <c r="PBC40" s="595"/>
      <c r="PBD40" s="595"/>
      <c r="PBE40" s="595"/>
      <c r="PBF40" s="595"/>
      <c r="PBG40" s="595"/>
      <c r="PBH40" s="595"/>
      <c r="PBI40" s="595"/>
      <c r="PBJ40" s="595"/>
      <c r="PBK40" s="595"/>
      <c r="PBL40" s="595"/>
      <c r="PBM40" s="595"/>
      <c r="PBN40" s="595"/>
      <c r="PBO40" s="595"/>
      <c r="PBP40" s="595"/>
      <c r="PBQ40" s="595"/>
      <c r="PBR40" s="595"/>
      <c r="PBS40" s="595"/>
      <c r="PBT40" s="595"/>
      <c r="PBU40" s="595"/>
      <c r="PBV40" s="595"/>
      <c r="PBW40" s="595"/>
      <c r="PBX40" s="595"/>
      <c r="PBY40" s="595"/>
      <c r="PBZ40" s="595"/>
      <c r="PCA40" s="595"/>
      <c r="PCB40" s="595"/>
      <c r="PCC40" s="595"/>
      <c r="PCD40" s="595"/>
      <c r="PCE40" s="595"/>
      <c r="PCF40" s="595"/>
      <c r="PCG40" s="595"/>
      <c r="PCH40" s="595"/>
      <c r="PCI40" s="595"/>
      <c r="PCJ40" s="595"/>
      <c r="PCK40" s="595"/>
      <c r="PCL40" s="595"/>
      <c r="PCM40" s="595"/>
      <c r="PCN40" s="595"/>
      <c r="PCO40" s="595"/>
      <c r="PCP40" s="595"/>
      <c r="PCQ40" s="595"/>
      <c r="PCR40" s="595"/>
      <c r="PCS40" s="595"/>
      <c r="PCT40" s="595"/>
      <c r="PCU40" s="595"/>
      <c r="PCV40" s="595"/>
      <c r="PCW40" s="595"/>
      <c r="PCX40" s="595"/>
      <c r="PCY40" s="595"/>
      <c r="PCZ40" s="595"/>
      <c r="PDA40" s="595"/>
      <c r="PDB40" s="595"/>
      <c r="PDC40" s="595"/>
      <c r="PDD40" s="595"/>
      <c r="PDE40" s="595"/>
      <c r="PDF40" s="595"/>
      <c r="PDG40" s="595"/>
      <c r="PDH40" s="595"/>
      <c r="PDI40" s="595"/>
      <c r="PDJ40" s="595"/>
      <c r="PDK40" s="595"/>
      <c r="PDL40" s="595"/>
      <c r="PDM40" s="595"/>
      <c r="PDN40" s="595"/>
      <c r="PDO40" s="595"/>
      <c r="PDP40" s="595"/>
      <c r="PDQ40" s="595"/>
      <c r="PDR40" s="595"/>
      <c r="PDS40" s="595"/>
      <c r="PDT40" s="595"/>
      <c r="PDU40" s="595"/>
      <c r="PDV40" s="595"/>
      <c r="PDW40" s="595"/>
      <c r="PDX40" s="595"/>
      <c r="PDY40" s="595"/>
      <c r="PDZ40" s="595"/>
      <c r="PEA40" s="595"/>
      <c r="PEB40" s="595"/>
      <c r="PEC40" s="595"/>
      <c r="PED40" s="595"/>
      <c r="PEE40" s="595"/>
      <c r="PEF40" s="595"/>
      <c r="PEG40" s="595"/>
      <c r="PEH40" s="595"/>
      <c r="PEI40" s="595"/>
      <c r="PEJ40" s="595"/>
      <c r="PEK40" s="595"/>
      <c r="PEL40" s="595"/>
      <c r="PEM40" s="595"/>
      <c r="PEN40" s="595"/>
      <c r="PEO40" s="595"/>
      <c r="PEP40" s="595"/>
      <c r="PEQ40" s="595"/>
      <c r="PER40" s="595"/>
      <c r="PES40" s="595"/>
      <c r="PET40" s="595"/>
      <c r="PEU40" s="595"/>
      <c r="PEV40" s="595"/>
      <c r="PEW40" s="595"/>
      <c r="PEX40" s="595"/>
      <c r="PEY40" s="595"/>
      <c r="PEZ40" s="595"/>
      <c r="PFA40" s="595"/>
      <c r="PFB40" s="595"/>
      <c r="PFC40" s="595"/>
      <c r="PFD40" s="595"/>
      <c r="PFE40" s="595"/>
      <c r="PFF40" s="595"/>
      <c r="PFG40" s="595"/>
      <c r="PFH40" s="595"/>
      <c r="PFI40" s="595"/>
      <c r="PFJ40" s="595"/>
      <c r="PFK40" s="595"/>
      <c r="PFL40" s="595"/>
      <c r="PFM40" s="595"/>
      <c r="PFN40" s="595"/>
      <c r="PFO40" s="595"/>
      <c r="PFP40" s="595"/>
      <c r="PFQ40" s="595"/>
      <c r="PFR40" s="595"/>
      <c r="PFS40" s="595"/>
      <c r="PFT40" s="595"/>
      <c r="PFU40" s="595"/>
      <c r="PFV40" s="595"/>
      <c r="PFW40" s="595"/>
      <c r="PFX40" s="595"/>
      <c r="PFY40" s="595"/>
      <c r="PFZ40" s="595"/>
      <c r="PGA40" s="595"/>
      <c r="PGB40" s="595"/>
      <c r="PGC40" s="595"/>
      <c r="PGD40" s="595"/>
      <c r="PGE40" s="595"/>
      <c r="PGF40" s="595"/>
      <c r="PGG40" s="595"/>
      <c r="PGH40" s="595"/>
      <c r="PGI40" s="595"/>
      <c r="PGJ40" s="595"/>
      <c r="PGK40" s="595"/>
      <c r="PGL40" s="595"/>
      <c r="PGM40" s="595"/>
      <c r="PGN40" s="595"/>
      <c r="PGO40" s="595"/>
      <c r="PGP40" s="595"/>
      <c r="PGQ40" s="595"/>
      <c r="PGR40" s="595"/>
      <c r="PGS40" s="595"/>
      <c r="PGT40" s="595"/>
      <c r="PGU40" s="595"/>
      <c r="PGV40" s="595"/>
      <c r="PGW40" s="595"/>
      <c r="PGX40" s="595"/>
      <c r="PGY40" s="595"/>
      <c r="PGZ40" s="595"/>
      <c r="PHA40" s="595"/>
      <c r="PHB40" s="595"/>
      <c r="PHC40" s="595"/>
      <c r="PHD40" s="595"/>
      <c r="PHE40" s="595"/>
      <c r="PHF40" s="595"/>
      <c r="PHG40" s="595"/>
      <c r="PHH40" s="595"/>
      <c r="PHI40" s="595"/>
      <c r="PHJ40" s="595"/>
      <c r="PHK40" s="595"/>
      <c r="PHL40" s="595"/>
      <c r="PHM40" s="595"/>
      <c r="PHN40" s="595"/>
      <c r="PHO40" s="595"/>
      <c r="PHP40" s="595"/>
      <c r="PHQ40" s="595"/>
      <c r="PHR40" s="595"/>
      <c r="PHS40" s="595"/>
      <c r="PHT40" s="595"/>
      <c r="PHU40" s="595"/>
      <c r="PHV40" s="595"/>
      <c r="PHW40" s="595"/>
      <c r="PHX40" s="595"/>
      <c r="PHY40" s="595"/>
      <c r="PHZ40" s="595"/>
      <c r="PIA40" s="595"/>
      <c r="PIB40" s="595"/>
      <c r="PIC40" s="595"/>
      <c r="PID40" s="595"/>
      <c r="PIE40" s="595"/>
      <c r="PIF40" s="595"/>
      <c r="PIG40" s="595"/>
      <c r="PIH40" s="595"/>
      <c r="PII40" s="595"/>
      <c r="PIJ40" s="595"/>
      <c r="PIK40" s="595"/>
      <c r="PIL40" s="595"/>
      <c r="PIM40" s="595"/>
      <c r="PIN40" s="595"/>
      <c r="PIO40" s="595"/>
      <c r="PIP40" s="595"/>
      <c r="PIQ40" s="595"/>
      <c r="PIR40" s="595"/>
      <c r="PIS40" s="595"/>
      <c r="PIT40" s="595"/>
      <c r="PIU40" s="595"/>
      <c r="PIV40" s="595"/>
      <c r="PIW40" s="595"/>
      <c r="PIX40" s="595"/>
      <c r="PIY40" s="595"/>
      <c r="PIZ40" s="595"/>
      <c r="PJA40" s="595"/>
      <c r="PJB40" s="595"/>
      <c r="PJC40" s="595"/>
      <c r="PJD40" s="595"/>
      <c r="PJE40" s="595"/>
      <c r="PJF40" s="595"/>
      <c r="PJG40" s="595"/>
      <c r="PJH40" s="595"/>
      <c r="PJI40" s="595"/>
      <c r="PJJ40" s="595"/>
      <c r="PJK40" s="595"/>
      <c r="PJL40" s="595"/>
      <c r="PJM40" s="595"/>
      <c r="PJN40" s="595"/>
      <c r="PJO40" s="595"/>
      <c r="PJP40" s="595"/>
      <c r="PJQ40" s="595"/>
      <c r="PJR40" s="595"/>
      <c r="PJS40" s="595"/>
      <c r="PJT40" s="595"/>
      <c r="PJU40" s="595"/>
      <c r="PJV40" s="595"/>
      <c r="PJW40" s="595"/>
      <c r="PJX40" s="595"/>
      <c r="PJY40" s="595"/>
      <c r="PJZ40" s="595"/>
      <c r="PKA40" s="595"/>
      <c r="PKB40" s="595"/>
      <c r="PKC40" s="595"/>
      <c r="PKD40" s="595"/>
      <c r="PKE40" s="595"/>
      <c r="PKF40" s="595"/>
      <c r="PKG40" s="595"/>
      <c r="PKH40" s="595"/>
      <c r="PKI40" s="595"/>
      <c r="PKJ40" s="595"/>
      <c r="PKK40" s="595"/>
      <c r="PKL40" s="595"/>
      <c r="PKM40" s="595"/>
      <c r="PKN40" s="595"/>
      <c r="PKO40" s="595"/>
      <c r="PKP40" s="595"/>
      <c r="PKQ40" s="595"/>
      <c r="PKR40" s="595"/>
      <c r="PKS40" s="595"/>
      <c r="PKT40" s="595"/>
      <c r="PKU40" s="595"/>
      <c r="PKV40" s="595"/>
      <c r="PKW40" s="595"/>
      <c r="PKX40" s="595"/>
      <c r="PKY40" s="595"/>
      <c r="PKZ40" s="595"/>
      <c r="PLA40" s="595"/>
      <c r="PLB40" s="595"/>
      <c r="PLC40" s="595"/>
      <c r="PLD40" s="595"/>
      <c r="PLE40" s="595"/>
      <c r="PLF40" s="595"/>
      <c r="PLG40" s="595"/>
      <c r="PLH40" s="595"/>
      <c r="PLI40" s="595"/>
      <c r="PLJ40" s="595"/>
      <c r="PLK40" s="595"/>
      <c r="PLL40" s="595"/>
      <c r="PLM40" s="595"/>
      <c r="PLN40" s="595"/>
      <c r="PLO40" s="595"/>
      <c r="PLP40" s="595"/>
      <c r="PLQ40" s="595"/>
      <c r="PLR40" s="595"/>
      <c r="PLS40" s="595"/>
      <c r="PLT40" s="595"/>
      <c r="PLU40" s="595"/>
      <c r="PLV40" s="595"/>
      <c r="PLW40" s="595"/>
      <c r="PLX40" s="595"/>
      <c r="PLY40" s="595"/>
      <c r="PLZ40" s="595"/>
      <c r="PMA40" s="595"/>
      <c r="PMB40" s="595"/>
      <c r="PMC40" s="595"/>
      <c r="PMD40" s="595"/>
      <c r="PME40" s="595"/>
      <c r="PMF40" s="595"/>
      <c r="PMG40" s="595"/>
      <c r="PMH40" s="595"/>
      <c r="PMI40" s="595"/>
      <c r="PMJ40" s="595"/>
      <c r="PMK40" s="595"/>
      <c r="PML40" s="595"/>
      <c r="PMM40" s="595"/>
      <c r="PMN40" s="595"/>
      <c r="PMO40" s="595"/>
      <c r="PMP40" s="595"/>
      <c r="PMQ40" s="595"/>
      <c r="PMR40" s="595"/>
      <c r="PMS40" s="595"/>
      <c r="PMT40" s="595"/>
      <c r="PMU40" s="595"/>
      <c r="PMV40" s="595"/>
      <c r="PMW40" s="595"/>
      <c r="PMX40" s="595"/>
      <c r="PMY40" s="595"/>
      <c r="PMZ40" s="595"/>
      <c r="PNA40" s="595"/>
      <c r="PNB40" s="595"/>
      <c r="PNC40" s="595"/>
      <c r="PND40" s="595"/>
      <c r="PNE40" s="595"/>
      <c r="PNF40" s="595"/>
      <c r="PNG40" s="595"/>
      <c r="PNH40" s="595"/>
      <c r="PNI40" s="595"/>
      <c r="PNJ40" s="595"/>
      <c r="PNK40" s="595"/>
      <c r="PNL40" s="595"/>
      <c r="PNM40" s="595"/>
      <c r="PNN40" s="595"/>
      <c r="PNO40" s="595"/>
      <c r="PNP40" s="595"/>
      <c r="PNQ40" s="595"/>
      <c r="PNR40" s="595"/>
      <c r="PNS40" s="595"/>
      <c r="PNT40" s="595"/>
      <c r="PNU40" s="595"/>
      <c r="PNV40" s="595"/>
      <c r="PNW40" s="595"/>
      <c r="PNX40" s="595"/>
      <c r="PNY40" s="595"/>
      <c r="PNZ40" s="595"/>
      <c r="POA40" s="595"/>
      <c r="POB40" s="595"/>
      <c r="POC40" s="595"/>
      <c r="POD40" s="595"/>
      <c r="POE40" s="595"/>
      <c r="POF40" s="595"/>
      <c r="POG40" s="595"/>
      <c r="POH40" s="595"/>
      <c r="POI40" s="595"/>
      <c r="POJ40" s="595"/>
      <c r="POK40" s="595"/>
      <c r="POL40" s="595"/>
      <c r="POM40" s="595"/>
      <c r="PON40" s="595"/>
      <c r="POO40" s="595"/>
      <c r="POP40" s="595"/>
      <c r="POQ40" s="595"/>
      <c r="POR40" s="595"/>
      <c r="POS40" s="595"/>
      <c r="POT40" s="595"/>
      <c r="POU40" s="595"/>
      <c r="POV40" s="595"/>
      <c r="POW40" s="595"/>
      <c r="POX40" s="595"/>
      <c r="POY40" s="595"/>
      <c r="POZ40" s="595"/>
      <c r="PPA40" s="595"/>
      <c r="PPB40" s="595"/>
      <c r="PPC40" s="595"/>
      <c r="PPD40" s="595"/>
      <c r="PPE40" s="595"/>
      <c r="PPF40" s="595"/>
      <c r="PPG40" s="595"/>
      <c r="PPH40" s="595"/>
      <c r="PPI40" s="595"/>
      <c r="PPJ40" s="595"/>
      <c r="PPK40" s="595"/>
      <c r="PPL40" s="595"/>
      <c r="PPM40" s="595"/>
      <c r="PPN40" s="595"/>
      <c r="PPO40" s="595"/>
      <c r="PPP40" s="595"/>
      <c r="PPQ40" s="595"/>
      <c r="PPR40" s="595"/>
      <c r="PPS40" s="595"/>
      <c r="PPT40" s="595"/>
      <c r="PPU40" s="595"/>
      <c r="PPV40" s="595"/>
      <c r="PPW40" s="595"/>
      <c r="PPX40" s="595"/>
      <c r="PPY40" s="595"/>
      <c r="PPZ40" s="595"/>
      <c r="PQA40" s="595"/>
      <c r="PQB40" s="595"/>
      <c r="PQC40" s="595"/>
      <c r="PQD40" s="595"/>
      <c r="PQE40" s="595"/>
      <c r="PQF40" s="595"/>
      <c r="PQG40" s="595"/>
      <c r="PQH40" s="595"/>
      <c r="PQI40" s="595"/>
      <c r="PQJ40" s="595"/>
      <c r="PQK40" s="595"/>
      <c r="PQL40" s="595"/>
      <c r="PQM40" s="595"/>
      <c r="PQN40" s="595"/>
      <c r="PQO40" s="595"/>
      <c r="PQP40" s="595"/>
      <c r="PQQ40" s="595"/>
      <c r="PQR40" s="595"/>
      <c r="PQS40" s="595"/>
      <c r="PQT40" s="595"/>
      <c r="PQU40" s="595"/>
      <c r="PQV40" s="595"/>
      <c r="PQW40" s="595"/>
      <c r="PQX40" s="595"/>
      <c r="PQY40" s="595"/>
      <c r="PQZ40" s="595"/>
      <c r="PRA40" s="595"/>
      <c r="PRB40" s="595"/>
      <c r="PRC40" s="595"/>
      <c r="PRD40" s="595"/>
      <c r="PRE40" s="595"/>
      <c r="PRF40" s="595"/>
      <c r="PRG40" s="595"/>
      <c r="PRH40" s="595"/>
      <c r="PRI40" s="595"/>
      <c r="PRJ40" s="595"/>
      <c r="PRK40" s="595"/>
      <c r="PRL40" s="595"/>
      <c r="PRM40" s="595"/>
      <c r="PRN40" s="595"/>
      <c r="PRO40" s="595"/>
      <c r="PRP40" s="595"/>
      <c r="PRQ40" s="595"/>
      <c r="PRR40" s="595"/>
      <c r="PRS40" s="595"/>
      <c r="PRT40" s="595"/>
      <c r="PRU40" s="595"/>
      <c r="PRV40" s="595"/>
      <c r="PRW40" s="595"/>
      <c r="PRX40" s="595"/>
      <c r="PRY40" s="595"/>
      <c r="PRZ40" s="595"/>
      <c r="PSA40" s="595"/>
      <c r="PSB40" s="595"/>
      <c r="PSC40" s="595"/>
      <c r="PSD40" s="595"/>
      <c r="PSE40" s="595"/>
      <c r="PSF40" s="595"/>
      <c r="PSG40" s="595"/>
      <c r="PSH40" s="595"/>
      <c r="PSI40" s="595"/>
      <c r="PSJ40" s="595"/>
      <c r="PSK40" s="595"/>
      <c r="PSL40" s="595"/>
      <c r="PSM40" s="595"/>
      <c r="PSN40" s="595"/>
      <c r="PSO40" s="595"/>
      <c r="PSP40" s="595"/>
      <c r="PSQ40" s="595"/>
      <c r="PSR40" s="595"/>
      <c r="PSS40" s="595"/>
      <c r="PST40" s="595"/>
      <c r="PSU40" s="595"/>
      <c r="PSV40" s="595"/>
      <c r="PSW40" s="595"/>
      <c r="PSX40" s="595"/>
      <c r="PSY40" s="595"/>
      <c r="PSZ40" s="595"/>
      <c r="PTA40" s="595"/>
      <c r="PTB40" s="595"/>
      <c r="PTC40" s="595"/>
      <c r="PTD40" s="595"/>
      <c r="PTE40" s="595"/>
      <c r="PTF40" s="595"/>
      <c r="PTG40" s="595"/>
      <c r="PTH40" s="595"/>
      <c r="PTI40" s="595"/>
      <c r="PTJ40" s="595"/>
      <c r="PTK40" s="595"/>
      <c r="PTL40" s="595"/>
      <c r="PTM40" s="595"/>
      <c r="PTN40" s="595"/>
      <c r="PTO40" s="595"/>
      <c r="PTP40" s="595"/>
      <c r="PTQ40" s="595"/>
      <c r="PTR40" s="595"/>
      <c r="PTS40" s="595"/>
      <c r="PTT40" s="595"/>
      <c r="PTU40" s="595"/>
      <c r="PTV40" s="595"/>
      <c r="PTW40" s="595"/>
      <c r="PTX40" s="595"/>
      <c r="PTY40" s="595"/>
      <c r="PTZ40" s="595"/>
      <c r="PUA40" s="595"/>
      <c r="PUB40" s="595"/>
      <c r="PUC40" s="595"/>
      <c r="PUD40" s="595"/>
      <c r="PUE40" s="595"/>
      <c r="PUF40" s="595"/>
      <c r="PUG40" s="595"/>
      <c r="PUH40" s="595"/>
      <c r="PUI40" s="595"/>
      <c r="PUJ40" s="595"/>
      <c r="PUK40" s="595"/>
      <c r="PUL40" s="595"/>
      <c r="PUM40" s="595"/>
      <c r="PUN40" s="595"/>
      <c r="PUO40" s="595"/>
      <c r="PUP40" s="595"/>
      <c r="PUQ40" s="595"/>
      <c r="PUR40" s="595"/>
      <c r="PUS40" s="595"/>
      <c r="PUT40" s="595"/>
      <c r="PUU40" s="595"/>
      <c r="PUV40" s="595"/>
      <c r="PUW40" s="595"/>
      <c r="PUX40" s="595"/>
      <c r="PUY40" s="595"/>
      <c r="PUZ40" s="595"/>
      <c r="PVA40" s="595"/>
      <c r="PVB40" s="595"/>
      <c r="PVC40" s="595"/>
      <c r="PVD40" s="595"/>
      <c r="PVE40" s="595"/>
      <c r="PVF40" s="595"/>
      <c r="PVG40" s="595"/>
      <c r="PVH40" s="595"/>
      <c r="PVI40" s="595"/>
      <c r="PVJ40" s="595"/>
      <c r="PVK40" s="595"/>
      <c r="PVL40" s="595"/>
      <c r="PVM40" s="595"/>
      <c r="PVN40" s="595"/>
      <c r="PVO40" s="595"/>
      <c r="PVP40" s="595"/>
      <c r="PVQ40" s="595"/>
      <c r="PVR40" s="595"/>
      <c r="PVS40" s="595"/>
      <c r="PVT40" s="595"/>
      <c r="PVU40" s="595"/>
      <c r="PVV40" s="595"/>
      <c r="PVW40" s="595"/>
      <c r="PVX40" s="595"/>
      <c r="PVY40" s="595"/>
      <c r="PVZ40" s="595"/>
      <c r="PWA40" s="595"/>
      <c r="PWB40" s="595"/>
      <c r="PWC40" s="595"/>
      <c r="PWD40" s="595"/>
      <c r="PWE40" s="595"/>
      <c r="PWF40" s="595"/>
      <c r="PWG40" s="595"/>
      <c r="PWH40" s="595"/>
      <c r="PWI40" s="595"/>
      <c r="PWJ40" s="595"/>
      <c r="PWK40" s="595"/>
      <c r="PWL40" s="595"/>
      <c r="PWM40" s="595"/>
      <c r="PWN40" s="595"/>
      <c r="PWO40" s="595"/>
      <c r="PWP40" s="595"/>
      <c r="PWQ40" s="595"/>
      <c r="PWR40" s="595"/>
      <c r="PWS40" s="595"/>
      <c r="PWT40" s="595"/>
      <c r="PWU40" s="595"/>
      <c r="PWV40" s="595"/>
      <c r="PWW40" s="595"/>
      <c r="PWX40" s="595"/>
      <c r="PWY40" s="595"/>
      <c r="PWZ40" s="595"/>
      <c r="PXA40" s="595"/>
      <c r="PXB40" s="595"/>
      <c r="PXC40" s="595"/>
      <c r="PXD40" s="595"/>
      <c r="PXE40" s="595"/>
      <c r="PXF40" s="595"/>
      <c r="PXG40" s="595"/>
      <c r="PXH40" s="595"/>
      <c r="PXI40" s="595"/>
      <c r="PXJ40" s="595"/>
      <c r="PXK40" s="595"/>
      <c r="PXL40" s="595"/>
      <c r="PXM40" s="595"/>
      <c r="PXN40" s="595"/>
      <c r="PXO40" s="595"/>
      <c r="PXP40" s="595"/>
      <c r="PXQ40" s="595"/>
      <c r="PXR40" s="595"/>
      <c r="PXS40" s="595"/>
      <c r="PXT40" s="595"/>
      <c r="PXU40" s="595"/>
      <c r="PXV40" s="595"/>
      <c r="PXW40" s="595"/>
      <c r="PXX40" s="595"/>
      <c r="PXY40" s="595"/>
      <c r="PXZ40" s="595"/>
      <c r="PYA40" s="595"/>
      <c r="PYB40" s="595"/>
      <c r="PYC40" s="595"/>
      <c r="PYD40" s="595"/>
      <c r="PYE40" s="595"/>
      <c r="PYF40" s="595"/>
      <c r="PYG40" s="595"/>
      <c r="PYH40" s="595"/>
      <c r="PYI40" s="595"/>
      <c r="PYJ40" s="595"/>
      <c r="PYK40" s="595"/>
      <c r="PYL40" s="595"/>
      <c r="PYM40" s="595"/>
      <c r="PYN40" s="595"/>
      <c r="PYO40" s="595"/>
      <c r="PYP40" s="595"/>
      <c r="PYQ40" s="595"/>
      <c r="PYR40" s="595"/>
      <c r="PYS40" s="595"/>
      <c r="PYT40" s="595"/>
      <c r="PYU40" s="595"/>
      <c r="PYV40" s="595"/>
      <c r="PYW40" s="595"/>
      <c r="PYX40" s="595"/>
      <c r="PYY40" s="595"/>
      <c r="PYZ40" s="595"/>
      <c r="PZA40" s="595"/>
      <c r="PZB40" s="595"/>
      <c r="PZC40" s="595"/>
      <c r="PZD40" s="595"/>
      <c r="PZE40" s="595"/>
      <c r="PZF40" s="595"/>
      <c r="PZG40" s="595"/>
      <c r="PZH40" s="595"/>
      <c r="PZI40" s="595"/>
      <c r="PZJ40" s="595"/>
      <c r="PZK40" s="595"/>
      <c r="PZL40" s="595"/>
      <c r="PZM40" s="595"/>
      <c r="PZN40" s="595"/>
      <c r="PZO40" s="595"/>
      <c r="PZP40" s="595"/>
      <c r="PZQ40" s="595"/>
      <c r="PZR40" s="595"/>
      <c r="PZS40" s="595"/>
      <c r="PZT40" s="595"/>
      <c r="PZU40" s="595"/>
      <c r="PZV40" s="595"/>
      <c r="PZW40" s="595"/>
      <c r="PZX40" s="595"/>
      <c r="PZY40" s="595"/>
      <c r="PZZ40" s="595"/>
      <c r="QAA40" s="595"/>
      <c r="QAB40" s="595"/>
      <c r="QAC40" s="595"/>
      <c r="QAD40" s="595"/>
      <c r="QAE40" s="595"/>
      <c r="QAF40" s="595"/>
      <c r="QAG40" s="595"/>
      <c r="QAH40" s="595"/>
      <c r="QAI40" s="595"/>
      <c r="QAJ40" s="595"/>
      <c r="QAK40" s="595"/>
      <c r="QAL40" s="595"/>
      <c r="QAM40" s="595"/>
      <c r="QAN40" s="595"/>
      <c r="QAO40" s="595"/>
      <c r="QAP40" s="595"/>
      <c r="QAQ40" s="595"/>
      <c r="QAR40" s="595"/>
      <c r="QAS40" s="595"/>
      <c r="QAT40" s="595"/>
      <c r="QAU40" s="595"/>
      <c r="QAV40" s="595"/>
      <c r="QAW40" s="595"/>
      <c r="QAX40" s="595"/>
      <c r="QAY40" s="595"/>
      <c r="QAZ40" s="595"/>
      <c r="QBA40" s="595"/>
      <c r="QBB40" s="595"/>
      <c r="QBC40" s="595"/>
      <c r="QBD40" s="595"/>
      <c r="QBE40" s="595"/>
      <c r="QBF40" s="595"/>
      <c r="QBG40" s="595"/>
      <c r="QBH40" s="595"/>
      <c r="QBI40" s="595"/>
      <c r="QBJ40" s="595"/>
      <c r="QBK40" s="595"/>
      <c r="QBL40" s="595"/>
      <c r="QBM40" s="595"/>
      <c r="QBN40" s="595"/>
      <c r="QBO40" s="595"/>
      <c r="QBP40" s="595"/>
      <c r="QBQ40" s="595"/>
      <c r="QBR40" s="595"/>
      <c r="QBS40" s="595"/>
      <c r="QBT40" s="595"/>
      <c r="QBU40" s="595"/>
      <c r="QBV40" s="595"/>
      <c r="QBW40" s="595"/>
      <c r="QBX40" s="595"/>
      <c r="QBY40" s="595"/>
      <c r="QBZ40" s="595"/>
      <c r="QCA40" s="595"/>
      <c r="QCB40" s="595"/>
      <c r="QCC40" s="595"/>
      <c r="QCD40" s="595"/>
      <c r="QCE40" s="595"/>
      <c r="QCF40" s="595"/>
      <c r="QCG40" s="595"/>
      <c r="QCH40" s="595"/>
      <c r="QCI40" s="595"/>
      <c r="QCJ40" s="595"/>
      <c r="QCK40" s="595"/>
      <c r="QCL40" s="595"/>
      <c r="QCM40" s="595"/>
      <c r="QCN40" s="595"/>
      <c r="QCO40" s="595"/>
      <c r="QCP40" s="595"/>
      <c r="QCQ40" s="595"/>
      <c r="QCR40" s="595"/>
      <c r="QCS40" s="595"/>
      <c r="QCT40" s="595"/>
      <c r="QCU40" s="595"/>
      <c r="QCV40" s="595"/>
      <c r="QCW40" s="595"/>
      <c r="QCX40" s="595"/>
      <c r="QCY40" s="595"/>
      <c r="QCZ40" s="595"/>
      <c r="QDA40" s="595"/>
      <c r="QDB40" s="595"/>
      <c r="QDC40" s="595"/>
      <c r="QDD40" s="595"/>
      <c r="QDE40" s="595"/>
      <c r="QDF40" s="595"/>
      <c r="QDG40" s="595"/>
      <c r="QDH40" s="595"/>
      <c r="QDI40" s="595"/>
      <c r="QDJ40" s="595"/>
      <c r="QDK40" s="595"/>
      <c r="QDL40" s="595"/>
      <c r="QDM40" s="595"/>
      <c r="QDN40" s="595"/>
      <c r="QDO40" s="595"/>
      <c r="QDP40" s="595"/>
      <c r="QDQ40" s="595"/>
      <c r="QDR40" s="595"/>
      <c r="QDS40" s="595"/>
      <c r="QDT40" s="595"/>
      <c r="QDU40" s="595"/>
      <c r="QDV40" s="595"/>
      <c r="QDW40" s="595"/>
      <c r="QDX40" s="595"/>
      <c r="QDY40" s="595"/>
      <c r="QDZ40" s="595"/>
      <c r="QEA40" s="595"/>
      <c r="QEB40" s="595"/>
      <c r="QEC40" s="595"/>
      <c r="QED40" s="595"/>
      <c r="QEE40" s="595"/>
      <c r="QEF40" s="595"/>
      <c r="QEG40" s="595"/>
      <c r="QEH40" s="595"/>
      <c r="QEI40" s="595"/>
      <c r="QEJ40" s="595"/>
      <c r="QEK40" s="595"/>
      <c r="QEL40" s="595"/>
      <c r="QEM40" s="595"/>
      <c r="QEN40" s="595"/>
      <c r="QEO40" s="595"/>
      <c r="QEP40" s="595"/>
      <c r="QEQ40" s="595"/>
      <c r="QER40" s="595"/>
      <c r="QES40" s="595"/>
      <c r="QET40" s="595"/>
      <c r="QEU40" s="595"/>
      <c r="QEV40" s="595"/>
      <c r="QEW40" s="595"/>
      <c r="QEX40" s="595"/>
      <c r="QEY40" s="595"/>
      <c r="QEZ40" s="595"/>
      <c r="QFA40" s="595"/>
      <c r="QFB40" s="595"/>
      <c r="QFC40" s="595"/>
      <c r="QFD40" s="595"/>
      <c r="QFE40" s="595"/>
      <c r="QFF40" s="595"/>
      <c r="QFG40" s="595"/>
      <c r="QFH40" s="595"/>
      <c r="QFI40" s="595"/>
      <c r="QFJ40" s="595"/>
      <c r="QFK40" s="595"/>
      <c r="QFL40" s="595"/>
      <c r="QFM40" s="595"/>
      <c r="QFN40" s="595"/>
      <c r="QFO40" s="595"/>
      <c r="QFP40" s="595"/>
      <c r="QFQ40" s="595"/>
      <c r="QFR40" s="595"/>
      <c r="QFS40" s="595"/>
      <c r="QFT40" s="595"/>
      <c r="QFU40" s="595"/>
      <c r="QFV40" s="595"/>
      <c r="QFW40" s="595"/>
      <c r="QFX40" s="595"/>
      <c r="QFY40" s="595"/>
      <c r="QFZ40" s="595"/>
      <c r="QGA40" s="595"/>
      <c r="QGB40" s="595"/>
      <c r="QGC40" s="595"/>
      <c r="QGD40" s="595"/>
      <c r="QGE40" s="595"/>
      <c r="QGF40" s="595"/>
      <c r="QGG40" s="595"/>
      <c r="QGH40" s="595"/>
      <c r="QGI40" s="595"/>
      <c r="QGJ40" s="595"/>
      <c r="QGK40" s="595"/>
      <c r="QGL40" s="595"/>
      <c r="QGM40" s="595"/>
      <c r="QGN40" s="595"/>
      <c r="QGO40" s="595"/>
      <c r="QGP40" s="595"/>
      <c r="QGQ40" s="595"/>
      <c r="QGR40" s="595"/>
      <c r="QGS40" s="595"/>
      <c r="QGT40" s="595"/>
      <c r="QGU40" s="595"/>
      <c r="QGV40" s="595"/>
      <c r="QGW40" s="595"/>
      <c r="QGX40" s="595"/>
      <c r="QGY40" s="595"/>
      <c r="QGZ40" s="595"/>
      <c r="QHA40" s="595"/>
      <c r="QHB40" s="595"/>
      <c r="QHC40" s="595"/>
      <c r="QHD40" s="595"/>
      <c r="QHE40" s="595"/>
      <c r="QHF40" s="595"/>
      <c r="QHG40" s="595"/>
      <c r="QHH40" s="595"/>
      <c r="QHI40" s="595"/>
      <c r="QHJ40" s="595"/>
      <c r="QHK40" s="595"/>
      <c r="QHL40" s="595"/>
      <c r="QHM40" s="595"/>
      <c r="QHN40" s="595"/>
      <c r="QHO40" s="595"/>
      <c r="QHP40" s="595"/>
      <c r="QHQ40" s="595"/>
      <c r="QHR40" s="595"/>
      <c r="QHS40" s="595"/>
      <c r="QHT40" s="595"/>
      <c r="QHU40" s="595"/>
      <c r="QHV40" s="595"/>
      <c r="QHW40" s="595"/>
      <c r="QHX40" s="595"/>
      <c r="QHY40" s="595"/>
      <c r="QHZ40" s="595"/>
      <c r="QIA40" s="595"/>
      <c r="QIB40" s="595"/>
      <c r="QIC40" s="595"/>
      <c r="QID40" s="595"/>
      <c r="QIE40" s="595"/>
      <c r="QIF40" s="595"/>
      <c r="QIG40" s="595"/>
      <c r="QIH40" s="595"/>
      <c r="QII40" s="595"/>
      <c r="QIJ40" s="595"/>
      <c r="QIK40" s="595"/>
      <c r="QIL40" s="595"/>
      <c r="QIM40" s="595"/>
      <c r="QIN40" s="595"/>
      <c r="QIO40" s="595"/>
      <c r="QIP40" s="595"/>
      <c r="QIQ40" s="595"/>
      <c r="QIR40" s="595"/>
      <c r="QIS40" s="595"/>
      <c r="QIT40" s="595"/>
      <c r="QIU40" s="595"/>
      <c r="QIV40" s="595"/>
      <c r="QIW40" s="595"/>
      <c r="QIX40" s="595"/>
      <c r="QIY40" s="595"/>
      <c r="QIZ40" s="595"/>
      <c r="QJA40" s="595"/>
      <c r="QJB40" s="595"/>
      <c r="QJC40" s="595"/>
      <c r="QJD40" s="595"/>
      <c r="QJE40" s="595"/>
      <c r="QJF40" s="595"/>
      <c r="QJG40" s="595"/>
      <c r="QJH40" s="595"/>
      <c r="QJI40" s="595"/>
      <c r="QJJ40" s="595"/>
      <c r="QJK40" s="595"/>
      <c r="QJL40" s="595"/>
      <c r="QJM40" s="595"/>
      <c r="QJN40" s="595"/>
      <c r="QJO40" s="595"/>
      <c r="QJP40" s="595"/>
      <c r="QJQ40" s="595"/>
      <c r="QJR40" s="595"/>
      <c r="QJS40" s="595"/>
      <c r="QJT40" s="595"/>
      <c r="QJU40" s="595"/>
      <c r="QJV40" s="595"/>
      <c r="QJW40" s="595"/>
      <c r="QJX40" s="595"/>
      <c r="QJY40" s="595"/>
      <c r="QJZ40" s="595"/>
      <c r="QKA40" s="595"/>
      <c r="QKB40" s="595"/>
      <c r="QKC40" s="595"/>
      <c r="QKD40" s="595"/>
      <c r="QKE40" s="595"/>
      <c r="QKF40" s="595"/>
      <c r="QKG40" s="595"/>
      <c r="QKH40" s="595"/>
      <c r="QKI40" s="595"/>
      <c r="QKJ40" s="595"/>
      <c r="QKK40" s="595"/>
      <c r="QKL40" s="595"/>
      <c r="QKM40" s="595"/>
      <c r="QKN40" s="595"/>
      <c r="QKO40" s="595"/>
      <c r="QKP40" s="595"/>
      <c r="QKQ40" s="595"/>
      <c r="QKR40" s="595"/>
      <c r="QKS40" s="595"/>
      <c r="QKT40" s="595"/>
      <c r="QKU40" s="595"/>
      <c r="QKV40" s="595"/>
      <c r="QKW40" s="595"/>
      <c r="QKX40" s="595"/>
      <c r="QKY40" s="595"/>
      <c r="QKZ40" s="595"/>
      <c r="QLA40" s="595"/>
      <c r="QLB40" s="595"/>
      <c r="QLC40" s="595"/>
      <c r="QLD40" s="595"/>
      <c r="QLE40" s="595"/>
      <c r="QLF40" s="595"/>
      <c r="QLG40" s="595"/>
      <c r="QLH40" s="595"/>
      <c r="QLI40" s="595"/>
      <c r="QLJ40" s="595"/>
      <c r="QLK40" s="595"/>
      <c r="QLL40" s="595"/>
      <c r="QLM40" s="595"/>
      <c r="QLN40" s="595"/>
      <c r="QLO40" s="595"/>
      <c r="QLP40" s="595"/>
      <c r="QLQ40" s="595"/>
      <c r="QLR40" s="595"/>
      <c r="QLS40" s="595"/>
      <c r="QLT40" s="595"/>
      <c r="QLU40" s="595"/>
      <c r="QLV40" s="595"/>
      <c r="QLW40" s="595"/>
      <c r="QLX40" s="595"/>
      <c r="QLY40" s="595"/>
      <c r="QLZ40" s="595"/>
      <c r="QMA40" s="595"/>
      <c r="QMB40" s="595"/>
      <c r="QMC40" s="595"/>
      <c r="QMD40" s="595"/>
      <c r="QME40" s="595"/>
      <c r="QMF40" s="595"/>
      <c r="QMG40" s="595"/>
      <c r="QMH40" s="595"/>
      <c r="QMI40" s="595"/>
      <c r="QMJ40" s="595"/>
      <c r="QMK40" s="595"/>
      <c r="QML40" s="595"/>
      <c r="QMM40" s="595"/>
      <c r="QMN40" s="595"/>
      <c r="QMO40" s="595"/>
      <c r="QMP40" s="595"/>
      <c r="QMQ40" s="595"/>
      <c r="QMR40" s="595"/>
      <c r="QMS40" s="595"/>
      <c r="QMT40" s="595"/>
      <c r="QMU40" s="595"/>
      <c r="QMV40" s="595"/>
      <c r="QMW40" s="595"/>
      <c r="QMX40" s="595"/>
      <c r="QMY40" s="595"/>
      <c r="QMZ40" s="595"/>
      <c r="QNA40" s="595"/>
      <c r="QNB40" s="595"/>
      <c r="QNC40" s="595"/>
      <c r="QND40" s="595"/>
      <c r="QNE40" s="595"/>
      <c r="QNF40" s="595"/>
      <c r="QNG40" s="595"/>
      <c r="QNH40" s="595"/>
      <c r="QNI40" s="595"/>
      <c r="QNJ40" s="595"/>
      <c r="QNK40" s="595"/>
      <c r="QNL40" s="595"/>
      <c r="QNM40" s="595"/>
      <c r="QNN40" s="595"/>
      <c r="QNO40" s="595"/>
      <c r="QNP40" s="595"/>
      <c r="QNQ40" s="595"/>
      <c r="QNR40" s="595"/>
      <c r="QNS40" s="595"/>
      <c r="QNT40" s="595"/>
      <c r="QNU40" s="595"/>
      <c r="QNV40" s="595"/>
      <c r="QNW40" s="595"/>
      <c r="QNX40" s="595"/>
      <c r="QNY40" s="595"/>
      <c r="QNZ40" s="595"/>
      <c r="QOA40" s="595"/>
      <c r="QOB40" s="595"/>
      <c r="QOC40" s="595"/>
      <c r="QOD40" s="595"/>
      <c r="QOE40" s="595"/>
      <c r="QOF40" s="595"/>
      <c r="QOG40" s="595"/>
      <c r="QOH40" s="595"/>
      <c r="QOI40" s="595"/>
      <c r="QOJ40" s="595"/>
      <c r="QOK40" s="595"/>
      <c r="QOL40" s="595"/>
      <c r="QOM40" s="595"/>
      <c r="QON40" s="595"/>
      <c r="QOO40" s="595"/>
      <c r="QOP40" s="595"/>
      <c r="QOQ40" s="595"/>
      <c r="QOR40" s="595"/>
      <c r="QOS40" s="595"/>
      <c r="QOT40" s="595"/>
      <c r="QOU40" s="595"/>
      <c r="QOV40" s="595"/>
      <c r="QOW40" s="595"/>
      <c r="QOX40" s="595"/>
      <c r="QOY40" s="595"/>
      <c r="QOZ40" s="595"/>
      <c r="QPA40" s="595"/>
      <c r="QPB40" s="595"/>
      <c r="QPC40" s="595"/>
      <c r="QPD40" s="595"/>
      <c r="QPE40" s="595"/>
      <c r="QPF40" s="595"/>
      <c r="QPG40" s="595"/>
      <c r="QPH40" s="595"/>
      <c r="QPI40" s="595"/>
      <c r="QPJ40" s="595"/>
      <c r="QPK40" s="595"/>
      <c r="QPL40" s="595"/>
      <c r="QPM40" s="595"/>
      <c r="QPN40" s="595"/>
      <c r="QPO40" s="595"/>
      <c r="QPP40" s="595"/>
      <c r="QPQ40" s="595"/>
      <c r="QPR40" s="595"/>
      <c r="QPS40" s="595"/>
      <c r="QPT40" s="595"/>
      <c r="QPU40" s="595"/>
      <c r="QPV40" s="595"/>
      <c r="QPW40" s="595"/>
      <c r="QPX40" s="595"/>
      <c r="QPY40" s="595"/>
      <c r="QPZ40" s="595"/>
      <c r="QQA40" s="595"/>
      <c r="QQB40" s="595"/>
      <c r="QQC40" s="595"/>
      <c r="QQD40" s="595"/>
      <c r="QQE40" s="595"/>
      <c r="QQF40" s="595"/>
      <c r="QQG40" s="595"/>
      <c r="QQH40" s="595"/>
      <c r="QQI40" s="595"/>
      <c r="QQJ40" s="595"/>
      <c r="QQK40" s="595"/>
      <c r="QQL40" s="595"/>
      <c r="QQM40" s="595"/>
      <c r="QQN40" s="595"/>
      <c r="QQO40" s="595"/>
      <c r="QQP40" s="595"/>
      <c r="QQQ40" s="595"/>
      <c r="QQR40" s="595"/>
      <c r="QQS40" s="595"/>
      <c r="QQT40" s="595"/>
      <c r="QQU40" s="595"/>
      <c r="QQV40" s="595"/>
      <c r="QQW40" s="595"/>
      <c r="QQX40" s="595"/>
      <c r="QQY40" s="595"/>
      <c r="QQZ40" s="595"/>
      <c r="QRA40" s="595"/>
      <c r="QRB40" s="595"/>
      <c r="QRC40" s="595"/>
      <c r="QRD40" s="595"/>
      <c r="QRE40" s="595"/>
      <c r="QRF40" s="595"/>
      <c r="QRG40" s="595"/>
      <c r="QRH40" s="595"/>
      <c r="QRI40" s="595"/>
      <c r="QRJ40" s="595"/>
      <c r="QRK40" s="595"/>
      <c r="QRL40" s="595"/>
      <c r="QRM40" s="595"/>
      <c r="QRN40" s="595"/>
      <c r="QRO40" s="595"/>
      <c r="QRP40" s="595"/>
      <c r="QRQ40" s="595"/>
      <c r="QRR40" s="595"/>
      <c r="QRS40" s="595"/>
      <c r="QRT40" s="595"/>
      <c r="QRU40" s="595"/>
      <c r="QRV40" s="595"/>
      <c r="QRW40" s="595"/>
      <c r="QRX40" s="595"/>
      <c r="QRY40" s="595"/>
      <c r="QRZ40" s="595"/>
      <c r="QSA40" s="595"/>
      <c r="QSB40" s="595"/>
      <c r="QSC40" s="595"/>
      <c r="QSD40" s="595"/>
      <c r="QSE40" s="595"/>
      <c r="QSF40" s="595"/>
      <c r="QSG40" s="595"/>
      <c r="QSH40" s="595"/>
      <c r="QSI40" s="595"/>
      <c r="QSJ40" s="595"/>
      <c r="QSK40" s="595"/>
      <c r="QSL40" s="595"/>
      <c r="QSM40" s="595"/>
      <c r="QSN40" s="595"/>
      <c r="QSO40" s="595"/>
      <c r="QSP40" s="595"/>
      <c r="QSQ40" s="595"/>
      <c r="QSR40" s="595"/>
      <c r="QSS40" s="595"/>
      <c r="QST40" s="595"/>
      <c r="QSU40" s="595"/>
      <c r="QSV40" s="595"/>
      <c r="QSW40" s="595"/>
      <c r="QSX40" s="595"/>
      <c r="QSY40" s="595"/>
      <c r="QSZ40" s="595"/>
      <c r="QTA40" s="595"/>
      <c r="QTB40" s="595"/>
      <c r="QTC40" s="595"/>
      <c r="QTD40" s="595"/>
      <c r="QTE40" s="595"/>
      <c r="QTF40" s="595"/>
      <c r="QTG40" s="595"/>
      <c r="QTH40" s="595"/>
      <c r="QTI40" s="595"/>
      <c r="QTJ40" s="595"/>
      <c r="QTK40" s="595"/>
      <c r="QTL40" s="595"/>
      <c r="QTM40" s="595"/>
      <c r="QTN40" s="595"/>
      <c r="QTO40" s="595"/>
      <c r="QTP40" s="595"/>
      <c r="QTQ40" s="595"/>
      <c r="QTR40" s="595"/>
      <c r="QTS40" s="595"/>
      <c r="QTT40" s="595"/>
      <c r="QTU40" s="595"/>
      <c r="QTV40" s="595"/>
      <c r="QTW40" s="595"/>
      <c r="QTX40" s="595"/>
      <c r="QTY40" s="595"/>
      <c r="QTZ40" s="595"/>
      <c r="QUA40" s="595"/>
      <c r="QUB40" s="595"/>
      <c r="QUC40" s="595"/>
      <c r="QUD40" s="595"/>
      <c r="QUE40" s="595"/>
      <c r="QUF40" s="595"/>
      <c r="QUG40" s="595"/>
      <c r="QUH40" s="595"/>
      <c r="QUI40" s="595"/>
      <c r="QUJ40" s="595"/>
      <c r="QUK40" s="595"/>
      <c r="QUL40" s="595"/>
      <c r="QUM40" s="595"/>
      <c r="QUN40" s="595"/>
      <c r="QUO40" s="595"/>
      <c r="QUP40" s="595"/>
      <c r="QUQ40" s="595"/>
      <c r="QUR40" s="595"/>
      <c r="QUS40" s="595"/>
      <c r="QUT40" s="595"/>
      <c r="QUU40" s="595"/>
      <c r="QUV40" s="595"/>
      <c r="QUW40" s="595"/>
      <c r="QUX40" s="595"/>
      <c r="QUY40" s="595"/>
      <c r="QUZ40" s="595"/>
      <c r="QVA40" s="595"/>
      <c r="QVB40" s="595"/>
      <c r="QVC40" s="595"/>
      <c r="QVD40" s="595"/>
      <c r="QVE40" s="595"/>
      <c r="QVF40" s="595"/>
      <c r="QVG40" s="595"/>
      <c r="QVH40" s="595"/>
      <c r="QVI40" s="595"/>
      <c r="QVJ40" s="595"/>
      <c r="QVK40" s="595"/>
      <c r="QVL40" s="595"/>
      <c r="QVM40" s="595"/>
      <c r="QVN40" s="595"/>
      <c r="QVO40" s="595"/>
      <c r="QVP40" s="595"/>
      <c r="QVQ40" s="595"/>
      <c r="QVR40" s="595"/>
      <c r="QVS40" s="595"/>
      <c r="QVT40" s="595"/>
      <c r="QVU40" s="595"/>
      <c r="QVV40" s="595"/>
      <c r="QVW40" s="595"/>
      <c r="QVX40" s="595"/>
      <c r="QVY40" s="595"/>
      <c r="QVZ40" s="595"/>
      <c r="QWA40" s="595"/>
      <c r="QWB40" s="595"/>
      <c r="QWC40" s="595"/>
      <c r="QWD40" s="595"/>
      <c r="QWE40" s="595"/>
      <c r="QWF40" s="595"/>
      <c r="QWG40" s="595"/>
      <c r="QWH40" s="595"/>
      <c r="QWI40" s="595"/>
      <c r="QWJ40" s="595"/>
      <c r="QWK40" s="595"/>
      <c r="QWL40" s="595"/>
      <c r="QWM40" s="595"/>
      <c r="QWN40" s="595"/>
      <c r="QWO40" s="595"/>
      <c r="QWP40" s="595"/>
      <c r="QWQ40" s="595"/>
      <c r="QWR40" s="595"/>
      <c r="QWS40" s="595"/>
      <c r="QWT40" s="595"/>
      <c r="QWU40" s="595"/>
      <c r="QWV40" s="595"/>
      <c r="QWW40" s="595"/>
      <c r="QWX40" s="595"/>
      <c r="QWY40" s="595"/>
      <c r="QWZ40" s="595"/>
      <c r="QXA40" s="595"/>
      <c r="QXB40" s="595"/>
      <c r="QXC40" s="595"/>
      <c r="QXD40" s="595"/>
      <c r="QXE40" s="595"/>
      <c r="QXF40" s="595"/>
      <c r="QXG40" s="595"/>
      <c r="QXH40" s="595"/>
      <c r="QXI40" s="595"/>
      <c r="QXJ40" s="595"/>
      <c r="QXK40" s="595"/>
      <c r="QXL40" s="595"/>
      <c r="QXM40" s="595"/>
      <c r="QXN40" s="595"/>
      <c r="QXO40" s="595"/>
      <c r="QXP40" s="595"/>
      <c r="QXQ40" s="595"/>
      <c r="QXR40" s="595"/>
      <c r="QXS40" s="595"/>
      <c r="QXT40" s="595"/>
      <c r="QXU40" s="595"/>
      <c r="QXV40" s="595"/>
      <c r="QXW40" s="595"/>
      <c r="QXX40" s="595"/>
      <c r="QXY40" s="595"/>
      <c r="QXZ40" s="595"/>
      <c r="QYA40" s="595"/>
      <c r="QYB40" s="595"/>
      <c r="QYC40" s="595"/>
      <c r="QYD40" s="595"/>
      <c r="QYE40" s="595"/>
      <c r="QYF40" s="595"/>
      <c r="QYG40" s="595"/>
      <c r="QYH40" s="595"/>
      <c r="QYI40" s="595"/>
      <c r="QYJ40" s="595"/>
      <c r="QYK40" s="595"/>
      <c r="QYL40" s="595"/>
      <c r="QYM40" s="595"/>
      <c r="QYN40" s="595"/>
      <c r="QYO40" s="595"/>
      <c r="QYP40" s="595"/>
      <c r="QYQ40" s="595"/>
      <c r="QYR40" s="595"/>
      <c r="QYS40" s="595"/>
      <c r="QYT40" s="595"/>
      <c r="QYU40" s="595"/>
      <c r="QYV40" s="595"/>
      <c r="QYW40" s="595"/>
      <c r="QYX40" s="595"/>
      <c r="QYY40" s="595"/>
      <c r="QYZ40" s="595"/>
      <c r="QZA40" s="595"/>
      <c r="QZB40" s="595"/>
      <c r="QZC40" s="595"/>
      <c r="QZD40" s="595"/>
      <c r="QZE40" s="595"/>
      <c r="QZF40" s="595"/>
      <c r="QZG40" s="595"/>
      <c r="QZH40" s="595"/>
      <c r="QZI40" s="595"/>
      <c r="QZJ40" s="595"/>
      <c r="QZK40" s="595"/>
      <c r="QZL40" s="595"/>
      <c r="QZM40" s="595"/>
      <c r="QZN40" s="595"/>
      <c r="QZO40" s="595"/>
      <c r="QZP40" s="595"/>
      <c r="QZQ40" s="595"/>
      <c r="QZR40" s="595"/>
      <c r="QZS40" s="595"/>
      <c r="QZT40" s="595"/>
      <c r="QZU40" s="595"/>
      <c r="QZV40" s="595"/>
      <c r="QZW40" s="595"/>
      <c r="QZX40" s="595"/>
      <c r="QZY40" s="595"/>
      <c r="QZZ40" s="595"/>
      <c r="RAA40" s="595"/>
      <c r="RAB40" s="595"/>
      <c r="RAC40" s="595"/>
      <c r="RAD40" s="595"/>
      <c r="RAE40" s="595"/>
      <c r="RAF40" s="595"/>
      <c r="RAG40" s="595"/>
      <c r="RAH40" s="595"/>
      <c r="RAI40" s="595"/>
      <c r="RAJ40" s="595"/>
      <c r="RAK40" s="595"/>
      <c r="RAL40" s="595"/>
      <c r="RAM40" s="595"/>
      <c r="RAN40" s="595"/>
      <c r="RAO40" s="595"/>
      <c r="RAP40" s="595"/>
      <c r="RAQ40" s="595"/>
      <c r="RAR40" s="595"/>
      <c r="RAS40" s="595"/>
      <c r="RAT40" s="595"/>
      <c r="RAU40" s="595"/>
      <c r="RAV40" s="595"/>
      <c r="RAW40" s="595"/>
      <c r="RAX40" s="595"/>
      <c r="RAY40" s="595"/>
      <c r="RAZ40" s="595"/>
      <c r="RBA40" s="595"/>
      <c r="RBB40" s="595"/>
      <c r="RBC40" s="595"/>
      <c r="RBD40" s="595"/>
      <c r="RBE40" s="595"/>
      <c r="RBF40" s="595"/>
      <c r="RBG40" s="595"/>
      <c r="RBH40" s="595"/>
      <c r="RBI40" s="595"/>
      <c r="RBJ40" s="595"/>
      <c r="RBK40" s="595"/>
      <c r="RBL40" s="595"/>
      <c r="RBM40" s="595"/>
      <c r="RBN40" s="595"/>
      <c r="RBO40" s="595"/>
      <c r="RBP40" s="595"/>
      <c r="RBQ40" s="595"/>
      <c r="RBR40" s="595"/>
      <c r="RBS40" s="595"/>
      <c r="RBT40" s="595"/>
      <c r="RBU40" s="595"/>
      <c r="RBV40" s="595"/>
      <c r="RBW40" s="595"/>
      <c r="RBX40" s="595"/>
      <c r="RBY40" s="595"/>
      <c r="RBZ40" s="595"/>
      <c r="RCA40" s="595"/>
      <c r="RCB40" s="595"/>
      <c r="RCC40" s="595"/>
      <c r="RCD40" s="595"/>
      <c r="RCE40" s="595"/>
      <c r="RCF40" s="595"/>
      <c r="RCG40" s="595"/>
      <c r="RCH40" s="595"/>
      <c r="RCI40" s="595"/>
      <c r="RCJ40" s="595"/>
      <c r="RCK40" s="595"/>
      <c r="RCL40" s="595"/>
      <c r="RCM40" s="595"/>
      <c r="RCN40" s="595"/>
      <c r="RCO40" s="595"/>
      <c r="RCP40" s="595"/>
      <c r="RCQ40" s="595"/>
      <c r="RCR40" s="595"/>
      <c r="RCS40" s="595"/>
      <c r="RCT40" s="595"/>
      <c r="RCU40" s="595"/>
      <c r="RCV40" s="595"/>
      <c r="RCW40" s="595"/>
      <c r="RCX40" s="595"/>
      <c r="RCY40" s="595"/>
      <c r="RCZ40" s="595"/>
      <c r="RDA40" s="595"/>
      <c r="RDB40" s="595"/>
      <c r="RDC40" s="595"/>
      <c r="RDD40" s="595"/>
      <c r="RDE40" s="595"/>
      <c r="RDF40" s="595"/>
      <c r="RDG40" s="595"/>
      <c r="RDH40" s="595"/>
      <c r="RDI40" s="595"/>
      <c r="RDJ40" s="595"/>
      <c r="RDK40" s="595"/>
      <c r="RDL40" s="595"/>
      <c r="RDM40" s="595"/>
      <c r="RDN40" s="595"/>
      <c r="RDO40" s="595"/>
      <c r="RDP40" s="595"/>
      <c r="RDQ40" s="595"/>
      <c r="RDR40" s="595"/>
      <c r="RDS40" s="595"/>
      <c r="RDT40" s="595"/>
      <c r="RDU40" s="595"/>
      <c r="RDV40" s="595"/>
      <c r="RDW40" s="595"/>
      <c r="RDX40" s="595"/>
      <c r="RDY40" s="595"/>
      <c r="RDZ40" s="595"/>
      <c r="REA40" s="595"/>
      <c r="REB40" s="595"/>
      <c r="REC40" s="595"/>
      <c r="RED40" s="595"/>
      <c r="REE40" s="595"/>
      <c r="REF40" s="595"/>
      <c r="REG40" s="595"/>
      <c r="REH40" s="595"/>
      <c r="REI40" s="595"/>
      <c r="REJ40" s="595"/>
      <c r="REK40" s="595"/>
      <c r="REL40" s="595"/>
      <c r="REM40" s="595"/>
      <c r="REN40" s="595"/>
      <c r="REO40" s="595"/>
      <c r="REP40" s="595"/>
      <c r="REQ40" s="595"/>
      <c r="RER40" s="595"/>
      <c r="RES40" s="595"/>
      <c r="RET40" s="595"/>
      <c r="REU40" s="595"/>
      <c r="REV40" s="595"/>
      <c r="REW40" s="595"/>
      <c r="REX40" s="595"/>
      <c r="REY40" s="595"/>
      <c r="REZ40" s="595"/>
      <c r="RFA40" s="595"/>
      <c r="RFB40" s="595"/>
      <c r="RFC40" s="595"/>
      <c r="RFD40" s="595"/>
      <c r="RFE40" s="595"/>
      <c r="RFF40" s="595"/>
      <c r="RFG40" s="595"/>
      <c r="RFH40" s="595"/>
      <c r="RFI40" s="595"/>
      <c r="RFJ40" s="595"/>
      <c r="RFK40" s="595"/>
      <c r="RFL40" s="595"/>
      <c r="RFM40" s="595"/>
      <c r="RFN40" s="595"/>
      <c r="RFO40" s="595"/>
      <c r="RFP40" s="595"/>
      <c r="RFQ40" s="595"/>
      <c r="RFR40" s="595"/>
      <c r="RFS40" s="595"/>
      <c r="RFT40" s="595"/>
      <c r="RFU40" s="595"/>
      <c r="RFV40" s="595"/>
      <c r="RFW40" s="595"/>
      <c r="RFX40" s="595"/>
      <c r="RFY40" s="595"/>
      <c r="RFZ40" s="595"/>
      <c r="RGA40" s="595"/>
      <c r="RGB40" s="595"/>
      <c r="RGC40" s="595"/>
      <c r="RGD40" s="595"/>
      <c r="RGE40" s="595"/>
      <c r="RGF40" s="595"/>
      <c r="RGG40" s="595"/>
      <c r="RGH40" s="595"/>
      <c r="RGI40" s="595"/>
      <c r="RGJ40" s="595"/>
      <c r="RGK40" s="595"/>
      <c r="RGL40" s="595"/>
      <c r="RGM40" s="595"/>
      <c r="RGN40" s="595"/>
      <c r="RGO40" s="595"/>
      <c r="RGP40" s="595"/>
      <c r="RGQ40" s="595"/>
      <c r="RGR40" s="595"/>
      <c r="RGS40" s="595"/>
      <c r="RGT40" s="595"/>
      <c r="RGU40" s="595"/>
      <c r="RGV40" s="595"/>
      <c r="RGW40" s="595"/>
      <c r="RGX40" s="595"/>
      <c r="RGY40" s="595"/>
      <c r="RGZ40" s="595"/>
      <c r="RHA40" s="595"/>
      <c r="RHB40" s="595"/>
      <c r="RHC40" s="595"/>
      <c r="RHD40" s="595"/>
      <c r="RHE40" s="595"/>
      <c r="RHF40" s="595"/>
      <c r="RHG40" s="595"/>
      <c r="RHH40" s="595"/>
      <c r="RHI40" s="595"/>
      <c r="RHJ40" s="595"/>
      <c r="RHK40" s="595"/>
      <c r="RHL40" s="595"/>
      <c r="RHM40" s="595"/>
      <c r="RHN40" s="595"/>
      <c r="RHO40" s="595"/>
      <c r="RHP40" s="595"/>
      <c r="RHQ40" s="595"/>
      <c r="RHR40" s="595"/>
      <c r="RHS40" s="595"/>
      <c r="RHT40" s="595"/>
      <c r="RHU40" s="595"/>
      <c r="RHV40" s="595"/>
      <c r="RHW40" s="595"/>
      <c r="RHX40" s="595"/>
      <c r="RHY40" s="595"/>
      <c r="RHZ40" s="595"/>
      <c r="RIA40" s="595"/>
      <c r="RIB40" s="595"/>
      <c r="RIC40" s="595"/>
      <c r="RID40" s="595"/>
      <c r="RIE40" s="595"/>
      <c r="RIF40" s="595"/>
      <c r="RIG40" s="595"/>
      <c r="RIH40" s="595"/>
      <c r="RII40" s="595"/>
      <c r="RIJ40" s="595"/>
      <c r="RIK40" s="595"/>
      <c r="RIL40" s="595"/>
      <c r="RIM40" s="595"/>
      <c r="RIN40" s="595"/>
      <c r="RIO40" s="595"/>
      <c r="RIP40" s="595"/>
      <c r="RIQ40" s="595"/>
      <c r="RIR40" s="595"/>
      <c r="RIS40" s="595"/>
      <c r="RIT40" s="595"/>
      <c r="RIU40" s="595"/>
      <c r="RIV40" s="595"/>
      <c r="RIW40" s="595"/>
      <c r="RIX40" s="595"/>
      <c r="RIY40" s="595"/>
      <c r="RIZ40" s="595"/>
      <c r="RJA40" s="595"/>
      <c r="RJB40" s="595"/>
      <c r="RJC40" s="595"/>
      <c r="RJD40" s="595"/>
      <c r="RJE40" s="595"/>
      <c r="RJF40" s="595"/>
      <c r="RJG40" s="595"/>
      <c r="RJH40" s="595"/>
      <c r="RJI40" s="595"/>
      <c r="RJJ40" s="595"/>
      <c r="RJK40" s="595"/>
      <c r="RJL40" s="595"/>
      <c r="RJM40" s="595"/>
      <c r="RJN40" s="595"/>
      <c r="RJO40" s="595"/>
      <c r="RJP40" s="595"/>
      <c r="RJQ40" s="595"/>
      <c r="RJR40" s="595"/>
      <c r="RJS40" s="595"/>
      <c r="RJT40" s="595"/>
      <c r="RJU40" s="595"/>
      <c r="RJV40" s="595"/>
      <c r="RJW40" s="595"/>
      <c r="RJX40" s="595"/>
      <c r="RJY40" s="595"/>
      <c r="RJZ40" s="595"/>
      <c r="RKA40" s="595"/>
      <c r="RKB40" s="595"/>
      <c r="RKC40" s="595"/>
      <c r="RKD40" s="595"/>
      <c r="RKE40" s="595"/>
      <c r="RKF40" s="595"/>
      <c r="RKG40" s="595"/>
      <c r="RKH40" s="595"/>
      <c r="RKI40" s="595"/>
      <c r="RKJ40" s="595"/>
      <c r="RKK40" s="595"/>
      <c r="RKL40" s="595"/>
      <c r="RKM40" s="595"/>
      <c r="RKN40" s="595"/>
      <c r="RKO40" s="595"/>
      <c r="RKP40" s="595"/>
      <c r="RKQ40" s="595"/>
      <c r="RKR40" s="595"/>
      <c r="RKS40" s="595"/>
      <c r="RKT40" s="595"/>
      <c r="RKU40" s="595"/>
      <c r="RKV40" s="595"/>
      <c r="RKW40" s="595"/>
      <c r="RKX40" s="595"/>
      <c r="RKY40" s="595"/>
      <c r="RKZ40" s="595"/>
      <c r="RLA40" s="595"/>
      <c r="RLB40" s="595"/>
      <c r="RLC40" s="595"/>
      <c r="RLD40" s="595"/>
      <c r="RLE40" s="595"/>
      <c r="RLF40" s="595"/>
      <c r="RLG40" s="595"/>
      <c r="RLH40" s="595"/>
      <c r="RLI40" s="595"/>
      <c r="RLJ40" s="595"/>
      <c r="RLK40" s="595"/>
      <c r="RLL40" s="595"/>
      <c r="RLM40" s="595"/>
      <c r="RLN40" s="595"/>
      <c r="RLO40" s="595"/>
      <c r="RLP40" s="595"/>
      <c r="RLQ40" s="595"/>
      <c r="RLR40" s="595"/>
      <c r="RLS40" s="595"/>
      <c r="RLT40" s="595"/>
      <c r="RLU40" s="595"/>
      <c r="RLV40" s="595"/>
      <c r="RLW40" s="595"/>
      <c r="RLX40" s="595"/>
      <c r="RLY40" s="595"/>
      <c r="RLZ40" s="595"/>
      <c r="RMA40" s="595"/>
      <c r="RMB40" s="595"/>
      <c r="RMC40" s="595"/>
      <c r="RMD40" s="595"/>
      <c r="RME40" s="595"/>
      <c r="RMF40" s="595"/>
      <c r="RMG40" s="595"/>
      <c r="RMH40" s="595"/>
      <c r="RMI40" s="595"/>
      <c r="RMJ40" s="595"/>
      <c r="RMK40" s="595"/>
      <c r="RML40" s="595"/>
      <c r="RMM40" s="595"/>
      <c r="RMN40" s="595"/>
      <c r="RMO40" s="595"/>
      <c r="RMP40" s="595"/>
      <c r="RMQ40" s="595"/>
      <c r="RMR40" s="595"/>
      <c r="RMS40" s="595"/>
      <c r="RMT40" s="595"/>
      <c r="RMU40" s="595"/>
      <c r="RMV40" s="595"/>
      <c r="RMW40" s="595"/>
      <c r="RMX40" s="595"/>
      <c r="RMY40" s="595"/>
      <c r="RMZ40" s="595"/>
      <c r="RNA40" s="595"/>
      <c r="RNB40" s="595"/>
      <c r="RNC40" s="595"/>
      <c r="RND40" s="595"/>
      <c r="RNE40" s="595"/>
      <c r="RNF40" s="595"/>
      <c r="RNG40" s="595"/>
      <c r="RNH40" s="595"/>
      <c r="RNI40" s="595"/>
      <c r="RNJ40" s="595"/>
      <c r="RNK40" s="595"/>
      <c r="RNL40" s="595"/>
      <c r="RNM40" s="595"/>
      <c r="RNN40" s="595"/>
      <c r="RNO40" s="595"/>
      <c r="RNP40" s="595"/>
      <c r="RNQ40" s="595"/>
      <c r="RNR40" s="595"/>
      <c r="RNS40" s="595"/>
      <c r="RNT40" s="595"/>
      <c r="RNU40" s="595"/>
      <c r="RNV40" s="595"/>
      <c r="RNW40" s="595"/>
      <c r="RNX40" s="595"/>
      <c r="RNY40" s="595"/>
      <c r="RNZ40" s="595"/>
      <c r="ROA40" s="595"/>
      <c r="ROB40" s="595"/>
      <c r="ROC40" s="595"/>
      <c r="ROD40" s="595"/>
      <c r="ROE40" s="595"/>
      <c r="ROF40" s="595"/>
      <c r="ROG40" s="595"/>
      <c r="ROH40" s="595"/>
      <c r="ROI40" s="595"/>
      <c r="ROJ40" s="595"/>
      <c r="ROK40" s="595"/>
      <c r="ROL40" s="595"/>
      <c r="ROM40" s="595"/>
      <c r="RON40" s="595"/>
      <c r="ROO40" s="595"/>
      <c r="ROP40" s="595"/>
      <c r="ROQ40" s="595"/>
      <c r="ROR40" s="595"/>
      <c r="ROS40" s="595"/>
      <c r="ROT40" s="595"/>
      <c r="ROU40" s="595"/>
      <c r="ROV40" s="595"/>
      <c r="ROW40" s="595"/>
      <c r="ROX40" s="595"/>
      <c r="ROY40" s="595"/>
      <c r="ROZ40" s="595"/>
      <c r="RPA40" s="595"/>
      <c r="RPB40" s="595"/>
      <c r="RPC40" s="595"/>
      <c r="RPD40" s="595"/>
      <c r="RPE40" s="595"/>
      <c r="RPF40" s="595"/>
      <c r="RPG40" s="595"/>
      <c r="RPH40" s="595"/>
      <c r="RPI40" s="595"/>
      <c r="RPJ40" s="595"/>
      <c r="RPK40" s="595"/>
      <c r="RPL40" s="595"/>
      <c r="RPM40" s="595"/>
      <c r="RPN40" s="595"/>
      <c r="RPO40" s="595"/>
      <c r="RPP40" s="595"/>
      <c r="RPQ40" s="595"/>
      <c r="RPR40" s="595"/>
      <c r="RPS40" s="595"/>
      <c r="RPT40" s="595"/>
      <c r="RPU40" s="595"/>
      <c r="RPV40" s="595"/>
      <c r="RPW40" s="595"/>
      <c r="RPX40" s="595"/>
      <c r="RPY40" s="595"/>
      <c r="RPZ40" s="595"/>
      <c r="RQA40" s="595"/>
      <c r="RQB40" s="595"/>
      <c r="RQC40" s="595"/>
      <c r="RQD40" s="595"/>
      <c r="RQE40" s="595"/>
      <c r="RQF40" s="595"/>
      <c r="RQG40" s="595"/>
      <c r="RQH40" s="595"/>
      <c r="RQI40" s="595"/>
      <c r="RQJ40" s="595"/>
      <c r="RQK40" s="595"/>
      <c r="RQL40" s="595"/>
      <c r="RQM40" s="595"/>
      <c r="RQN40" s="595"/>
      <c r="RQO40" s="595"/>
      <c r="RQP40" s="595"/>
      <c r="RQQ40" s="595"/>
      <c r="RQR40" s="595"/>
      <c r="RQS40" s="595"/>
      <c r="RQT40" s="595"/>
      <c r="RQU40" s="595"/>
      <c r="RQV40" s="595"/>
      <c r="RQW40" s="595"/>
      <c r="RQX40" s="595"/>
      <c r="RQY40" s="595"/>
      <c r="RQZ40" s="595"/>
      <c r="RRA40" s="595"/>
      <c r="RRB40" s="595"/>
      <c r="RRC40" s="595"/>
      <c r="RRD40" s="595"/>
      <c r="RRE40" s="595"/>
      <c r="RRF40" s="595"/>
      <c r="RRG40" s="595"/>
      <c r="RRH40" s="595"/>
      <c r="RRI40" s="595"/>
      <c r="RRJ40" s="595"/>
      <c r="RRK40" s="595"/>
      <c r="RRL40" s="595"/>
      <c r="RRM40" s="595"/>
      <c r="RRN40" s="595"/>
      <c r="RRO40" s="595"/>
      <c r="RRP40" s="595"/>
      <c r="RRQ40" s="595"/>
      <c r="RRR40" s="595"/>
      <c r="RRS40" s="595"/>
      <c r="RRT40" s="595"/>
      <c r="RRU40" s="595"/>
      <c r="RRV40" s="595"/>
      <c r="RRW40" s="595"/>
      <c r="RRX40" s="595"/>
      <c r="RRY40" s="595"/>
      <c r="RRZ40" s="595"/>
      <c r="RSA40" s="595"/>
      <c r="RSB40" s="595"/>
      <c r="RSC40" s="595"/>
      <c r="RSD40" s="595"/>
      <c r="RSE40" s="595"/>
      <c r="RSF40" s="595"/>
      <c r="RSG40" s="595"/>
      <c r="RSH40" s="595"/>
      <c r="RSI40" s="595"/>
      <c r="RSJ40" s="595"/>
      <c r="RSK40" s="595"/>
      <c r="RSL40" s="595"/>
      <c r="RSM40" s="595"/>
      <c r="RSN40" s="595"/>
      <c r="RSO40" s="595"/>
      <c r="RSP40" s="595"/>
      <c r="RSQ40" s="595"/>
      <c r="RSR40" s="595"/>
      <c r="RSS40" s="595"/>
      <c r="RST40" s="595"/>
      <c r="RSU40" s="595"/>
      <c r="RSV40" s="595"/>
      <c r="RSW40" s="595"/>
      <c r="RSX40" s="595"/>
      <c r="RSY40" s="595"/>
      <c r="RSZ40" s="595"/>
      <c r="RTA40" s="595"/>
      <c r="RTB40" s="595"/>
      <c r="RTC40" s="595"/>
      <c r="RTD40" s="595"/>
      <c r="RTE40" s="595"/>
      <c r="RTF40" s="595"/>
      <c r="RTG40" s="595"/>
      <c r="RTH40" s="595"/>
      <c r="RTI40" s="595"/>
      <c r="RTJ40" s="595"/>
      <c r="RTK40" s="595"/>
      <c r="RTL40" s="595"/>
      <c r="RTM40" s="595"/>
      <c r="RTN40" s="595"/>
      <c r="RTO40" s="595"/>
      <c r="RTP40" s="595"/>
      <c r="RTQ40" s="595"/>
      <c r="RTR40" s="595"/>
      <c r="RTS40" s="595"/>
      <c r="RTT40" s="595"/>
      <c r="RTU40" s="595"/>
      <c r="RTV40" s="595"/>
      <c r="RTW40" s="595"/>
      <c r="RTX40" s="595"/>
      <c r="RTY40" s="595"/>
      <c r="RTZ40" s="595"/>
      <c r="RUA40" s="595"/>
      <c r="RUB40" s="595"/>
      <c r="RUC40" s="595"/>
      <c r="RUD40" s="595"/>
      <c r="RUE40" s="595"/>
      <c r="RUF40" s="595"/>
      <c r="RUG40" s="595"/>
      <c r="RUH40" s="595"/>
      <c r="RUI40" s="595"/>
      <c r="RUJ40" s="595"/>
      <c r="RUK40" s="595"/>
      <c r="RUL40" s="595"/>
      <c r="RUM40" s="595"/>
      <c r="RUN40" s="595"/>
      <c r="RUO40" s="595"/>
      <c r="RUP40" s="595"/>
      <c r="RUQ40" s="595"/>
      <c r="RUR40" s="595"/>
      <c r="RUS40" s="595"/>
      <c r="RUT40" s="595"/>
      <c r="RUU40" s="595"/>
      <c r="RUV40" s="595"/>
      <c r="RUW40" s="595"/>
      <c r="RUX40" s="595"/>
      <c r="RUY40" s="595"/>
      <c r="RUZ40" s="595"/>
      <c r="RVA40" s="595"/>
      <c r="RVB40" s="595"/>
      <c r="RVC40" s="595"/>
      <c r="RVD40" s="595"/>
      <c r="RVE40" s="595"/>
      <c r="RVF40" s="595"/>
      <c r="RVG40" s="595"/>
      <c r="RVH40" s="595"/>
      <c r="RVI40" s="595"/>
      <c r="RVJ40" s="595"/>
      <c r="RVK40" s="595"/>
      <c r="RVL40" s="595"/>
      <c r="RVM40" s="595"/>
      <c r="RVN40" s="595"/>
      <c r="RVO40" s="595"/>
      <c r="RVP40" s="595"/>
      <c r="RVQ40" s="595"/>
      <c r="RVR40" s="595"/>
      <c r="RVS40" s="595"/>
      <c r="RVT40" s="595"/>
      <c r="RVU40" s="595"/>
      <c r="RVV40" s="595"/>
      <c r="RVW40" s="595"/>
      <c r="RVX40" s="595"/>
      <c r="RVY40" s="595"/>
      <c r="RVZ40" s="595"/>
      <c r="RWA40" s="595"/>
      <c r="RWB40" s="595"/>
      <c r="RWC40" s="595"/>
      <c r="RWD40" s="595"/>
      <c r="RWE40" s="595"/>
      <c r="RWF40" s="595"/>
      <c r="RWG40" s="595"/>
      <c r="RWH40" s="595"/>
      <c r="RWI40" s="595"/>
      <c r="RWJ40" s="595"/>
      <c r="RWK40" s="595"/>
      <c r="RWL40" s="595"/>
      <c r="RWM40" s="595"/>
      <c r="RWN40" s="595"/>
      <c r="RWO40" s="595"/>
      <c r="RWP40" s="595"/>
      <c r="RWQ40" s="595"/>
      <c r="RWR40" s="595"/>
      <c r="RWS40" s="595"/>
      <c r="RWT40" s="595"/>
      <c r="RWU40" s="595"/>
      <c r="RWV40" s="595"/>
      <c r="RWW40" s="595"/>
      <c r="RWX40" s="595"/>
      <c r="RWY40" s="595"/>
      <c r="RWZ40" s="595"/>
      <c r="RXA40" s="595"/>
      <c r="RXB40" s="595"/>
      <c r="RXC40" s="595"/>
      <c r="RXD40" s="595"/>
      <c r="RXE40" s="595"/>
      <c r="RXF40" s="595"/>
      <c r="RXG40" s="595"/>
      <c r="RXH40" s="595"/>
      <c r="RXI40" s="595"/>
      <c r="RXJ40" s="595"/>
      <c r="RXK40" s="595"/>
      <c r="RXL40" s="595"/>
      <c r="RXM40" s="595"/>
      <c r="RXN40" s="595"/>
      <c r="RXO40" s="595"/>
      <c r="RXP40" s="595"/>
      <c r="RXQ40" s="595"/>
      <c r="RXR40" s="595"/>
      <c r="RXS40" s="595"/>
      <c r="RXT40" s="595"/>
      <c r="RXU40" s="595"/>
      <c r="RXV40" s="595"/>
      <c r="RXW40" s="595"/>
      <c r="RXX40" s="595"/>
      <c r="RXY40" s="595"/>
      <c r="RXZ40" s="595"/>
      <c r="RYA40" s="595"/>
      <c r="RYB40" s="595"/>
      <c r="RYC40" s="595"/>
      <c r="RYD40" s="595"/>
      <c r="RYE40" s="595"/>
      <c r="RYF40" s="595"/>
      <c r="RYG40" s="595"/>
      <c r="RYH40" s="595"/>
      <c r="RYI40" s="595"/>
      <c r="RYJ40" s="595"/>
      <c r="RYK40" s="595"/>
      <c r="RYL40" s="595"/>
      <c r="RYM40" s="595"/>
      <c r="RYN40" s="595"/>
      <c r="RYO40" s="595"/>
      <c r="RYP40" s="595"/>
      <c r="RYQ40" s="595"/>
      <c r="RYR40" s="595"/>
      <c r="RYS40" s="595"/>
      <c r="RYT40" s="595"/>
      <c r="RYU40" s="595"/>
      <c r="RYV40" s="595"/>
      <c r="RYW40" s="595"/>
      <c r="RYX40" s="595"/>
      <c r="RYY40" s="595"/>
      <c r="RYZ40" s="595"/>
      <c r="RZA40" s="595"/>
      <c r="RZB40" s="595"/>
      <c r="RZC40" s="595"/>
      <c r="RZD40" s="595"/>
      <c r="RZE40" s="595"/>
      <c r="RZF40" s="595"/>
      <c r="RZG40" s="595"/>
      <c r="RZH40" s="595"/>
      <c r="RZI40" s="595"/>
      <c r="RZJ40" s="595"/>
      <c r="RZK40" s="595"/>
      <c r="RZL40" s="595"/>
      <c r="RZM40" s="595"/>
      <c r="RZN40" s="595"/>
      <c r="RZO40" s="595"/>
      <c r="RZP40" s="595"/>
      <c r="RZQ40" s="595"/>
      <c r="RZR40" s="595"/>
      <c r="RZS40" s="595"/>
      <c r="RZT40" s="595"/>
      <c r="RZU40" s="595"/>
      <c r="RZV40" s="595"/>
      <c r="RZW40" s="595"/>
      <c r="RZX40" s="595"/>
      <c r="RZY40" s="595"/>
      <c r="RZZ40" s="595"/>
      <c r="SAA40" s="595"/>
      <c r="SAB40" s="595"/>
      <c r="SAC40" s="595"/>
      <c r="SAD40" s="595"/>
      <c r="SAE40" s="595"/>
      <c r="SAF40" s="595"/>
      <c r="SAG40" s="595"/>
      <c r="SAH40" s="595"/>
      <c r="SAI40" s="595"/>
      <c r="SAJ40" s="595"/>
      <c r="SAK40" s="595"/>
      <c r="SAL40" s="595"/>
      <c r="SAM40" s="595"/>
      <c r="SAN40" s="595"/>
      <c r="SAO40" s="595"/>
      <c r="SAP40" s="595"/>
      <c r="SAQ40" s="595"/>
      <c r="SAR40" s="595"/>
      <c r="SAS40" s="595"/>
      <c r="SAT40" s="595"/>
      <c r="SAU40" s="595"/>
      <c r="SAV40" s="595"/>
      <c r="SAW40" s="595"/>
      <c r="SAX40" s="595"/>
      <c r="SAY40" s="595"/>
      <c r="SAZ40" s="595"/>
      <c r="SBA40" s="595"/>
      <c r="SBB40" s="595"/>
      <c r="SBC40" s="595"/>
      <c r="SBD40" s="595"/>
      <c r="SBE40" s="595"/>
      <c r="SBF40" s="595"/>
      <c r="SBG40" s="595"/>
      <c r="SBH40" s="595"/>
      <c r="SBI40" s="595"/>
      <c r="SBJ40" s="595"/>
      <c r="SBK40" s="595"/>
      <c r="SBL40" s="595"/>
      <c r="SBM40" s="595"/>
      <c r="SBN40" s="595"/>
      <c r="SBO40" s="595"/>
      <c r="SBP40" s="595"/>
      <c r="SBQ40" s="595"/>
      <c r="SBR40" s="595"/>
      <c r="SBS40" s="595"/>
      <c r="SBT40" s="595"/>
      <c r="SBU40" s="595"/>
      <c r="SBV40" s="595"/>
      <c r="SBW40" s="595"/>
      <c r="SBX40" s="595"/>
      <c r="SBY40" s="595"/>
      <c r="SBZ40" s="595"/>
      <c r="SCA40" s="595"/>
      <c r="SCB40" s="595"/>
      <c r="SCC40" s="595"/>
      <c r="SCD40" s="595"/>
      <c r="SCE40" s="595"/>
      <c r="SCF40" s="595"/>
      <c r="SCG40" s="595"/>
      <c r="SCH40" s="595"/>
      <c r="SCI40" s="595"/>
      <c r="SCJ40" s="595"/>
      <c r="SCK40" s="595"/>
      <c r="SCL40" s="595"/>
      <c r="SCM40" s="595"/>
      <c r="SCN40" s="595"/>
      <c r="SCO40" s="595"/>
      <c r="SCP40" s="595"/>
      <c r="SCQ40" s="595"/>
      <c r="SCR40" s="595"/>
      <c r="SCS40" s="595"/>
      <c r="SCT40" s="595"/>
      <c r="SCU40" s="595"/>
      <c r="SCV40" s="595"/>
      <c r="SCW40" s="595"/>
      <c r="SCX40" s="595"/>
      <c r="SCY40" s="595"/>
      <c r="SCZ40" s="595"/>
      <c r="SDA40" s="595"/>
      <c r="SDB40" s="595"/>
      <c r="SDC40" s="595"/>
      <c r="SDD40" s="595"/>
      <c r="SDE40" s="595"/>
      <c r="SDF40" s="595"/>
      <c r="SDG40" s="595"/>
      <c r="SDH40" s="595"/>
      <c r="SDI40" s="595"/>
      <c r="SDJ40" s="595"/>
      <c r="SDK40" s="595"/>
      <c r="SDL40" s="595"/>
      <c r="SDM40" s="595"/>
      <c r="SDN40" s="595"/>
      <c r="SDO40" s="595"/>
      <c r="SDP40" s="595"/>
      <c r="SDQ40" s="595"/>
      <c r="SDR40" s="595"/>
      <c r="SDS40" s="595"/>
      <c r="SDT40" s="595"/>
      <c r="SDU40" s="595"/>
      <c r="SDV40" s="595"/>
      <c r="SDW40" s="595"/>
      <c r="SDX40" s="595"/>
      <c r="SDY40" s="595"/>
      <c r="SDZ40" s="595"/>
      <c r="SEA40" s="595"/>
      <c r="SEB40" s="595"/>
      <c r="SEC40" s="595"/>
      <c r="SED40" s="595"/>
      <c r="SEE40" s="595"/>
      <c r="SEF40" s="595"/>
      <c r="SEG40" s="595"/>
      <c r="SEH40" s="595"/>
      <c r="SEI40" s="595"/>
      <c r="SEJ40" s="595"/>
      <c r="SEK40" s="595"/>
      <c r="SEL40" s="595"/>
      <c r="SEM40" s="595"/>
      <c r="SEN40" s="595"/>
      <c r="SEO40" s="595"/>
      <c r="SEP40" s="595"/>
      <c r="SEQ40" s="595"/>
      <c r="SER40" s="595"/>
      <c r="SES40" s="595"/>
      <c r="SET40" s="595"/>
      <c r="SEU40" s="595"/>
      <c r="SEV40" s="595"/>
      <c r="SEW40" s="595"/>
      <c r="SEX40" s="595"/>
      <c r="SEY40" s="595"/>
      <c r="SEZ40" s="595"/>
      <c r="SFA40" s="595"/>
      <c r="SFB40" s="595"/>
      <c r="SFC40" s="595"/>
      <c r="SFD40" s="595"/>
      <c r="SFE40" s="595"/>
      <c r="SFF40" s="595"/>
      <c r="SFG40" s="595"/>
      <c r="SFH40" s="595"/>
      <c r="SFI40" s="595"/>
      <c r="SFJ40" s="595"/>
      <c r="SFK40" s="595"/>
      <c r="SFL40" s="595"/>
      <c r="SFM40" s="595"/>
      <c r="SFN40" s="595"/>
      <c r="SFO40" s="595"/>
      <c r="SFP40" s="595"/>
      <c r="SFQ40" s="595"/>
      <c r="SFR40" s="595"/>
      <c r="SFS40" s="595"/>
      <c r="SFT40" s="595"/>
      <c r="SFU40" s="595"/>
      <c r="SFV40" s="595"/>
      <c r="SFW40" s="595"/>
      <c r="SFX40" s="595"/>
      <c r="SFY40" s="595"/>
      <c r="SFZ40" s="595"/>
      <c r="SGA40" s="595"/>
      <c r="SGB40" s="595"/>
      <c r="SGC40" s="595"/>
      <c r="SGD40" s="595"/>
      <c r="SGE40" s="595"/>
      <c r="SGF40" s="595"/>
      <c r="SGG40" s="595"/>
      <c r="SGH40" s="595"/>
      <c r="SGI40" s="595"/>
      <c r="SGJ40" s="595"/>
      <c r="SGK40" s="595"/>
      <c r="SGL40" s="595"/>
      <c r="SGM40" s="595"/>
      <c r="SGN40" s="595"/>
      <c r="SGO40" s="595"/>
      <c r="SGP40" s="595"/>
      <c r="SGQ40" s="595"/>
      <c r="SGR40" s="595"/>
      <c r="SGS40" s="595"/>
      <c r="SGT40" s="595"/>
      <c r="SGU40" s="595"/>
      <c r="SGV40" s="595"/>
      <c r="SGW40" s="595"/>
      <c r="SGX40" s="595"/>
      <c r="SGY40" s="595"/>
      <c r="SGZ40" s="595"/>
      <c r="SHA40" s="595"/>
      <c r="SHB40" s="595"/>
      <c r="SHC40" s="595"/>
      <c r="SHD40" s="595"/>
      <c r="SHE40" s="595"/>
      <c r="SHF40" s="595"/>
      <c r="SHG40" s="595"/>
      <c r="SHH40" s="595"/>
      <c r="SHI40" s="595"/>
      <c r="SHJ40" s="595"/>
      <c r="SHK40" s="595"/>
      <c r="SHL40" s="595"/>
      <c r="SHM40" s="595"/>
      <c r="SHN40" s="595"/>
      <c r="SHO40" s="595"/>
      <c r="SHP40" s="595"/>
      <c r="SHQ40" s="595"/>
      <c r="SHR40" s="595"/>
      <c r="SHS40" s="595"/>
      <c r="SHT40" s="595"/>
      <c r="SHU40" s="595"/>
      <c r="SHV40" s="595"/>
      <c r="SHW40" s="595"/>
      <c r="SHX40" s="595"/>
      <c r="SHY40" s="595"/>
      <c r="SHZ40" s="595"/>
      <c r="SIA40" s="595"/>
      <c r="SIB40" s="595"/>
      <c r="SIC40" s="595"/>
      <c r="SID40" s="595"/>
      <c r="SIE40" s="595"/>
      <c r="SIF40" s="595"/>
      <c r="SIG40" s="595"/>
      <c r="SIH40" s="595"/>
      <c r="SII40" s="595"/>
      <c r="SIJ40" s="595"/>
      <c r="SIK40" s="595"/>
      <c r="SIL40" s="595"/>
      <c r="SIM40" s="595"/>
      <c r="SIN40" s="595"/>
      <c r="SIO40" s="595"/>
      <c r="SIP40" s="595"/>
      <c r="SIQ40" s="595"/>
      <c r="SIR40" s="595"/>
      <c r="SIS40" s="595"/>
      <c r="SIT40" s="595"/>
      <c r="SIU40" s="595"/>
      <c r="SIV40" s="595"/>
      <c r="SIW40" s="595"/>
      <c r="SIX40" s="595"/>
      <c r="SIY40" s="595"/>
      <c r="SIZ40" s="595"/>
      <c r="SJA40" s="595"/>
      <c r="SJB40" s="595"/>
      <c r="SJC40" s="595"/>
      <c r="SJD40" s="595"/>
      <c r="SJE40" s="595"/>
      <c r="SJF40" s="595"/>
      <c r="SJG40" s="595"/>
      <c r="SJH40" s="595"/>
      <c r="SJI40" s="595"/>
      <c r="SJJ40" s="595"/>
      <c r="SJK40" s="595"/>
      <c r="SJL40" s="595"/>
      <c r="SJM40" s="595"/>
      <c r="SJN40" s="595"/>
      <c r="SJO40" s="595"/>
      <c r="SJP40" s="595"/>
      <c r="SJQ40" s="595"/>
      <c r="SJR40" s="595"/>
      <c r="SJS40" s="595"/>
      <c r="SJT40" s="595"/>
      <c r="SJU40" s="595"/>
      <c r="SJV40" s="595"/>
      <c r="SJW40" s="595"/>
      <c r="SJX40" s="595"/>
      <c r="SJY40" s="595"/>
      <c r="SJZ40" s="595"/>
      <c r="SKA40" s="595"/>
      <c r="SKB40" s="595"/>
      <c r="SKC40" s="595"/>
      <c r="SKD40" s="595"/>
      <c r="SKE40" s="595"/>
      <c r="SKF40" s="595"/>
      <c r="SKG40" s="595"/>
      <c r="SKH40" s="595"/>
      <c r="SKI40" s="595"/>
      <c r="SKJ40" s="595"/>
      <c r="SKK40" s="595"/>
      <c r="SKL40" s="595"/>
      <c r="SKM40" s="595"/>
      <c r="SKN40" s="595"/>
      <c r="SKO40" s="595"/>
      <c r="SKP40" s="595"/>
      <c r="SKQ40" s="595"/>
      <c r="SKR40" s="595"/>
      <c r="SKS40" s="595"/>
      <c r="SKT40" s="595"/>
      <c r="SKU40" s="595"/>
      <c r="SKV40" s="595"/>
      <c r="SKW40" s="595"/>
      <c r="SKX40" s="595"/>
      <c r="SKY40" s="595"/>
      <c r="SKZ40" s="595"/>
      <c r="SLA40" s="595"/>
      <c r="SLB40" s="595"/>
      <c r="SLC40" s="595"/>
      <c r="SLD40" s="595"/>
      <c r="SLE40" s="595"/>
      <c r="SLF40" s="595"/>
      <c r="SLG40" s="595"/>
      <c r="SLH40" s="595"/>
      <c r="SLI40" s="595"/>
      <c r="SLJ40" s="595"/>
      <c r="SLK40" s="595"/>
      <c r="SLL40" s="595"/>
      <c r="SLM40" s="595"/>
      <c r="SLN40" s="595"/>
      <c r="SLO40" s="595"/>
      <c r="SLP40" s="595"/>
      <c r="SLQ40" s="595"/>
      <c r="SLR40" s="595"/>
      <c r="SLS40" s="595"/>
      <c r="SLT40" s="595"/>
      <c r="SLU40" s="595"/>
      <c r="SLV40" s="595"/>
      <c r="SLW40" s="595"/>
      <c r="SLX40" s="595"/>
      <c r="SLY40" s="595"/>
      <c r="SLZ40" s="595"/>
      <c r="SMA40" s="595"/>
      <c r="SMB40" s="595"/>
      <c r="SMC40" s="595"/>
      <c r="SMD40" s="595"/>
      <c r="SME40" s="595"/>
      <c r="SMF40" s="595"/>
      <c r="SMG40" s="595"/>
      <c r="SMH40" s="595"/>
      <c r="SMI40" s="595"/>
      <c r="SMJ40" s="595"/>
      <c r="SMK40" s="595"/>
      <c r="SML40" s="595"/>
      <c r="SMM40" s="595"/>
      <c r="SMN40" s="595"/>
      <c r="SMO40" s="595"/>
      <c r="SMP40" s="595"/>
      <c r="SMQ40" s="595"/>
      <c r="SMR40" s="595"/>
      <c r="SMS40" s="595"/>
      <c r="SMT40" s="595"/>
      <c r="SMU40" s="595"/>
      <c r="SMV40" s="595"/>
      <c r="SMW40" s="595"/>
      <c r="SMX40" s="595"/>
      <c r="SMY40" s="595"/>
      <c r="SMZ40" s="595"/>
      <c r="SNA40" s="595"/>
      <c r="SNB40" s="595"/>
      <c r="SNC40" s="595"/>
      <c r="SND40" s="595"/>
      <c r="SNE40" s="595"/>
      <c r="SNF40" s="595"/>
      <c r="SNG40" s="595"/>
      <c r="SNH40" s="595"/>
      <c r="SNI40" s="595"/>
      <c r="SNJ40" s="595"/>
      <c r="SNK40" s="595"/>
      <c r="SNL40" s="595"/>
      <c r="SNM40" s="595"/>
      <c r="SNN40" s="595"/>
      <c r="SNO40" s="595"/>
      <c r="SNP40" s="595"/>
      <c r="SNQ40" s="595"/>
      <c r="SNR40" s="595"/>
      <c r="SNS40" s="595"/>
      <c r="SNT40" s="595"/>
      <c r="SNU40" s="595"/>
      <c r="SNV40" s="595"/>
      <c r="SNW40" s="595"/>
      <c r="SNX40" s="595"/>
      <c r="SNY40" s="595"/>
      <c r="SNZ40" s="595"/>
      <c r="SOA40" s="595"/>
      <c r="SOB40" s="595"/>
      <c r="SOC40" s="595"/>
      <c r="SOD40" s="595"/>
      <c r="SOE40" s="595"/>
      <c r="SOF40" s="595"/>
      <c r="SOG40" s="595"/>
      <c r="SOH40" s="595"/>
      <c r="SOI40" s="595"/>
      <c r="SOJ40" s="595"/>
      <c r="SOK40" s="595"/>
      <c r="SOL40" s="595"/>
      <c r="SOM40" s="595"/>
      <c r="SON40" s="595"/>
      <c r="SOO40" s="595"/>
      <c r="SOP40" s="595"/>
      <c r="SOQ40" s="595"/>
      <c r="SOR40" s="595"/>
      <c r="SOS40" s="595"/>
      <c r="SOT40" s="595"/>
      <c r="SOU40" s="595"/>
      <c r="SOV40" s="595"/>
      <c r="SOW40" s="595"/>
      <c r="SOX40" s="595"/>
      <c r="SOY40" s="595"/>
      <c r="SOZ40" s="595"/>
      <c r="SPA40" s="595"/>
      <c r="SPB40" s="595"/>
      <c r="SPC40" s="595"/>
      <c r="SPD40" s="595"/>
      <c r="SPE40" s="595"/>
      <c r="SPF40" s="595"/>
      <c r="SPG40" s="595"/>
      <c r="SPH40" s="595"/>
      <c r="SPI40" s="595"/>
      <c r="SPJ40" s="595"/>
      <c r="SPK40" s="595"/>
      <c r="SPL40" s="595"/>
      <c r="SPM40" s="595"/>
      <c r="SPN40" s="595"/>
      <c r="SPO40" s="595"/>
      <c r="SPP40" s="595"/>
      <c r="SPQ40" s="595"/>
      <c r="SPR40" s="595"/>
      <c r="SPS40" s="595"/>
      <c r="SPT40" s="595"/>
      <c r="SPU40" s="595"/>
      <c r="SPV40" s="595"/>
      <c r="SPW40" s="595"/>
      <c r="SPX40" s="595"/>
      <c r="SPY40" s="595"/>
      <c r="SPZ40" s="595"/>
      <c r="SQA40" s="595"/>
      <c r="SQB40" s="595"/>
      <c r="SQC40" s="595"/>
      <c r="SQD40" s="595"/>
      <c r="SQE40" s="595"/>
      <c r="SQF40" s="595"/>
      <c r="SQG40" s="595"/>
      <c r="SQH40" s="595"/>
      <c r="SQI40" s="595"/>
      <c r="SQJ40" s="595"/>
      <c r="SQK40" s="595"/>
      <c r="SQL40" s="595"/>
      <c r="SQM40" s="595"/>
      <c r="SQN40" s="595"/>
      <c r="SQO40" s="595"/>
      <c r="SQP40" s="595"/>
      <c r="SQQ40" s="595"/>
      <c r="SQR40" s="595"/>
      <c r="SQS40" s="595"/>
      <c r="SQT40" s="595"/>
      <c r="SQU40" s="595"/>
      <c r="SQV40" s="595"/>
      <c r="SQW40" s="595"/>
      <c r="SQX40" s="595"/>
      <c r="SQY40" s="595"/>
      <c r="SQZ40" s="595"/>
      <c r="SRA40" s="595"/>
      <c r="SRB40" s="595"/>
      <c r="SRC40" s="595"/>
      <c r="SRD40" s="595"/>
      <c r="SRE40" s="595"/>
      <c r="SRF40" s="595"/>
      <c r="SRG40" s="595"/>
      <c r="SRH40" s="595"/>
      <c r="SRI40" s="595"/>
      <c r="SRJ40" s="595"/>
      <c r="SRK40" s="595"/>
      <c r="SRL40" s="595"/>
      <c r="SRM40" s="595"/>
      <c r="SRN40" s="595"/>
      <c r="SRO40" s="595"/>
      <c r="SRP40" s="595"/>
      <c r="SRQ40" s="595"/>
      <c r="SRR40" s="595"/>
      <c r="SRS40" s="595"/>
      <c r="SRT40" s="595"/>
      <c r="SRU40" s="595"/>
      <c r="SRV40" s="595"/>
      <c r="SRW40" s="595"/>
      <c r="SRX40" s="595"/>
      <c r="SRY40" s="595"/>
      <c r="SRZ40" s="595"/>
      <c r="SSA40" s="595"/>
      <c r="SSB40" s="595"/>
      <c r="SSC40" s="595"/>
      <c r="SSD40" s="595"/>
      <c r="SSE40" s="595"/>
      <c r="SSF40" s="595"/>
      <c r="SSG40" s="595"/>
      <c r="SSH40" s="595"/>
      <c r="SSI40" s="595"/>
      <c r="SSJ40" s="595"/>
      <c r="SSK40" s="595"/>
      <c r="SSL40" s="595"/>
      <c r="SSM40" s="595"/>
      <c r="SSN40" s="595"/>
      <c r="SSO40" s="595"/>
      <c r="SSP40" s="595"/>
      <c r="SSQ40" s="595"/>
      <c r="SSR40" s="595"/>
      <c r="SSS40" s="595"/>
      <c r="SST40" s="595"/>
      <c r="SSU40" s="595"/>
      <c r="SSV40" s="595"/>
      <c r="SSW40" s="595"/>
      <c r="SSX40" s="595"/>
      <c r="SSY40" s="595"/>
      <c r="SSZ40" s="595"/>
      <c r="STA40" s="595"/>
      <c r="STB40" s="595"/>
      <c r="STC40" s="595"/>
      <c r="STD40" s="595"/>
      <c r="STE40" s="595"/>
      <c r="STF40" s="595"/>
      <c r="STG40" s="595"/>
      <c r="STH40" s="595"/>
      <c r="STI40" s="595"/>
      <c r="STJ40" s="595"/>
      <c r="STK40" s="595"/>
      <c r="STL40" s="595"/>
      <c r="STM40" s="595"/>
      <c r="STN40" s="595"/>
      <c r="STO40" s="595"/>
      <c r="STP40" s="595"/>
      <c r="STQ40" s="595"/>
      <c r="STR40" s="595"/>
      <c r="STS40" s="595"/>
      <c r="STT40" s="595"/>
      <c r="STU40" s="595"/>
      <c r="STV40" s="595"/>
      <c r="STW40" s="595"/>
      <c r="STX40" s="595"/>
      <c r="STY40" s="595"/>
      <c r="STZ40" s="595"/>
      <c r="SUA40" s="595"/>
      <c r="SUB40" s="595"/>
      <c r="SUC40" s="595"/>
      <c r="SUD40" s="595"/>
      <c r="SUE40" s="595"/>
      <c r="SUF40" s="595"/>
      <c r="SUG40" s="595"/>
      <c r="SUH40" s="595"/>
      <c r="SUI40" s="595"/>
      <c r="SUJ40" s="595"/>
      <c r="SUK40" s="595"/>
      <c r="SUL40" s="595"/>
      <c r="SUM40" s="595"/>
      <c r="SUN40" s="595"/>
      <c r="SUO40" s="595"/>
      <c r="SUP40" s="595"/>
      <c r="SUQ40" s="595"/>
      <c r="SUR40" s="595"/>
      <c r="SUS40" s="595"/>
      <c r="SUT40" s="595"/>
      <c r="SUU40" s="595"/>
      <c r="SUV40" s="595"/>
      <c r="SUW40" s="595"/>
      <c r="SUX40" s="595"/>
      <c r="SUY40" s="595"/>
      <c r="SUZ40" s="595"/>
      <c r="SVA40" s="595"/>
      <c r="SVB40" s="595"/>
      <c r="SVC40" s="595"/>
      <c r="SVD40" s="595"/>
      <c r="SVE40" s="595"/>
      <c r="SVF40" s="595"/>
      <c r="SVG40" s="595"/>
      <c r="SVH40" s="595"/>
      <c r="SVI40" s="595"/>
      <c r="SVJ40" s="595"/>
      <c r="SVK40" s="595"/>
      <c r="SVL40" s="595"/>
      <c r="SVM40" s="595"/>
      <c r="SVN40" s="595"/>
      <c r="SVO40" s="595"/>
      <c r="SVP40" s="595"/>
      <c r="SVQ40" s="595"/>
      <c r="SVR40" s="595"/>
      <c r="SVS40" s="595"/>
      <c r="SVT40" s="595"/>
      <c r="SVU40" s="595"/>
      <c r="SVV40" s="595"/>
      <c r="SVW40" s="595"/>
      <c r="SVX40" s="595"/>
      <c r="SVY40" s="595"/>
      <c r="SVZ40" s="595"/>
      <c r="SWA40" s="595"/>
      <c r="SWB40" s="595"/>
      <c r="SWC40" s="595"/>
      <c r="SWD40" s="595"/>
      <c r="SWE40" s="595"/>
      <c r="SWF40" s="595"/>
      <c r="SWG40" s="595"/>
      <c r="SWH40" s="595"/>
      <c r="SWI40" s="595"/>
      <c r="SWJ40" s="595"/>
      <c r="SWK40" s="595"/>
      <c r="SWL40" s="595"/>
      <c r="SWM40" s="595"/>
      <c r="SWN40" s="595"/>
      <c r="SWO40" s="595"/>
      <c r="SWP40" s="595"/>
      <c r="SWQ40" s="595"/>
      <c r="SWR40" s="595"/>
      <c r="SWS40" s="595"/>
      <c r="SWT40" s="595"/>
      <c r="SWU40" s="595"/>
      <c r="SWV40" s="595"/>
      <c r="SWW40" s="595"/>
      <c r="SWX40" s="595"/>
      <c r="SWY40" s="595"/>
      <c r="SWZ40" s="595"/>
      <c r="SXA40" s="595"/>
      <c r="SXB40" s="595"/>
      <c r="SXC40" s="595"/>
      <c r="SXD40" s="595"/>
      <c r="SXE40" s="595"/>
      <c r="SXF40" s="595"/>
      <c r="SXG40" s="595"/>
      <c r="SXH40" s="595"/>
      <c r="SXI40" s="595"/>
      <c r="SXJ40" s="595"/>
      <c r="SXK40" s="595"/>
      <c r="SXL40" s="595"/>
      <c r="SXM40" s="595"/>
      <c r="SXN40" s="595"/>
      <c r="SXO40" s="595"/>
      <c r="SXP40" s="595"/>
      <c r="SXQ40" s="595"/>
      <c r="SXR40" s="595"/>
      <c r="SXS40" s="595"/>
      <c r="SXT40" s="595"/>
      <c r="SXU40" s="595"/>
      <c r="SXV40" s="595"/>
      <c r="SXW40" s="595"/>
      <c r="SXX40" s="595"/>
      <c r="SXY40" s="595"/>
      <c r="SXZ40" s="595"/>
      <c r="SYA40" s="595"/>
      <c r="SYB40" s="595"/>
      <c r="SYC40" s="595"/>
      <c r="SYD40" s="595"/>
      <c r="SYE40" s="595"/>
      <c r="SYF40" s="595"/>
      <c r="SYG40" s="595"/>
      <c r="SYH40" s="595"/>
      <c r="SYI40" s="595"/>
      <c r="SYJ40" s="595"/>
      <c r="SYK40" s="595"/>
      <c r="SYL40" s="595"/>
      <c r="SYM40" s="595"/>
      <c r="SYN40" s="595"/>
      <c r="SYO40" s="595"/>
      <c r="SYP40" s="595"/>
      <c r="SYQ40" s="595"/>
      <c r="SYR40" s="595"/>
      <c r="SYS40" s="595"/>
      <c r="SYT40" s="595"/>
      <c r="SYU40" s="595"/>
      <c r="SYV40" s="595"/>
      <c r="SYW40" s="595"/>
      <c r="SYX40" s="595"/>
      <c r="SYY40" s="595"/>
      <c r="SYZ40" s="595"/>
      <c r="SZA40" s="595"/>
      <c r="SZB40" s="595"/>
      <c r="SZC40" s="595"/>
      <c r="SZD40" s="595"/>
      <c r="SZE40" s="595"/>
      <c r="SZF40" s="595"/>
      <c r="SZG40" s="595"/>
      <c r="SZH40" s="595"/>
      <c r="SZI40" s="595"/>
      <c r="SZJ40" s="595"/>
      <c r="SZK40" s="595"/>
      <c r="SZL40" s="595"/>
      <c r="SZM40" s="595"/>
      <c r="SZN40" s="595"/>
      <c r="SZO40" s="595"/>
      <c r="SZP40" s="595"/>
      <c r="SZQ40" s="595"/>
      <c r="SZR40" s="595"/>
      <c r="SZS40" s="595"/>
      <c r="SZT40" s="595"/>
      <c r="SZU40" s="595"/>
      <c r="SZV40" s="595"/>
      <c r="SZW40" s="595"/>
      <c r="SZX40" s="595"/>
      <c r="SZY40" s="595"/>
      <c r="SZZ40" s="595"/>
      <c r="TAA40" s="595"/>
      <c r="TAB40" s="595"/>
      <c r="TAC40" s="595"/>
      <c r="TAD40" s="595"/>
      <c r="TAE40" s="595"/>
      <c r="TAF40" s="595"/>
      <c r="TAG40" s="595"/>
      <c r="TAH40" s="595"/>
      <c r="TAI40" s="595"/>
      <c r="TAJ40" s="595"/>
      <c r="TAK40" s="595"/>
      <c r="TAL40" s="595"/>
      <c r="TAM40" s="595"/>
      <c r="TAN40" s="595"/>
      <c r="TAO40" s="595"/>
      <c r="TAP40" s="595"/>
      <c r="TAQ40" s="595"/>
      <c r="TAR40" s="595"/>
      <c r="TAS40" s="595"/>
      <c r="TAT40" s="595"/>
      <c r="TAU40" s="595"/>
      <c r="TAV40" s="595"/>
      <c r="TAW40" s="595"/>
      <c r="TAX40" s="595"/>
      <c r="TAY40" s="595"/>
      <c r="TAZ40" s="595"/>
      <c r="TBA40" s="595"/>
      <c r="TBB40" s="595"/>
      <c r="TBC40" s="595"/>
      <c r="TBD40" s="595"/>
      <c r="TBE40" s="595"/>
      <c r="TBF40" s="595"/>
      <c r="TBG40" s="595"/>
      <c r="TBH40" s="595"/>
      <c r="TBI40" s="595"/>
      <c r="TBJ40" s="595"/>
      <c r="TBK40" s="595"/>
      <c r="TBL40" s="595"/>
      <c r="TBM40" s="595"/>
      <c r="TBN40" s="595"/>
      <c r="TBO40" s="595"/>
      <c r="TBP40" s="595"/>
      <c r="TBQ40" s="595"/>
      <c r="TBR40" s="595"/>
      <c r="TBS40" s="595"/>
      <c r="TBT40" s="595"/>
      <c r="TBU40" s="595"/>
      <c r="TBV40" s="595"/>
      <c r="TBW40" s="595"/>
      <c r="TBX40" s="595"/>
      <c r="TBY40" s="595"/>
      <c r="TBZ40" s="595"/>
      <c r="TCA40" s="595"/>
      <c r="TCB40" s="595"/>
      <c r="TCC40" s="595"/>
      <c r="TCD40" s="595"/>
      <c r="TCE40" s="595"/>
      <c r="TCF40" s="595"/>
      <c r="TCG40" s="595"/>
      <c r="TCH40" s="595"/>
      <c r="TCI40" s="595"/>
      <c r="TCJ40" s="595"/>
      <c r="TCK40" s="595"/>
      <c r="TCL40" s="595"/>
      <c r="TCM40" s="595"/>
      <c r="TCN40" s="595"/>
      <c r="TCO40" s="595"/>
      <c r="TCP40" s="595"/>
      <c r="TCQ40" s="595"/>
      <c r="TCR40" s="595"/>
      <c r="TCS40" s="595"/>
      <c r="TCT40" s="595"/>
      <c r="TCU40" s="595"/>
      <c r="TCV40" s="595"/>
      <c r="TCW40" s="595"/>
      <c r="TCX40" s="595"/>
      <c r="TCY40" s="595"/>
      <c r="TCZ40" s="595"/>
      <c r="TDA40" s="595"/>
      <c r="TDB40" s="595"/>
      <c r="TDC40" s="595"/>
      <c r="TDD40" s="595"/>
      <c r="TDE40" s="595"/>
      <c r="TDF40" s="595"/>
      <c r="TDG40" s="595"/>
      <c r="TDH40" s="595"/>
      <c r="TDI40" s="595"/>
      <c r="TDJ40" s="595"/>
      <c r="TDK40" s="595"/>
      <c r="TDL40" s="595"/>
      <c r="TDM40" s="595"/>
      <c r="TDN40" s="595"/>
      <c r="TDO40" s="595"/>
      <c r="TDP40" s="595"/>
      <c r="TDQ40" s="595"/>
      <c r="TDR40" s="595"/>
      <c r="TDS40" s="595"/>
      <c r="TDT40" s="595"/>
      <c r="TDU40" s="595"/>
      <c r="TDV40" s="595"/>
      <c r="TDW40" s="595"/>
      <c r="TDX40" s="595"/>
      <c r="TDY40" s="595"/>
      <c r="TDZ40" s="595"/>
      <c r="TEA40" s="595"/>
      <c r="TEB40" s="595"/>
      <c r="TEC40" s="595"/>
      <c r="TED40" s="595"/>
      <c r="TEE40" s="595"/>
      <c r="TEF40" s="595"/>
      <c r="TEG40" s="595"/>
      <c r="TEH40" s="595"/>
      <c r="TEI40" s="595"/>
      <c r="TEJ40" s="595"/>
      <c r="TEK40" s="595"/>
      <c r="TEL40" s="595"/>
      <c r="TEM40" s="595"/>
      <c r="TEN40" s="595"/>
      <c r="TEO40" s="595"/>
      <c r="TEP40" s="595"/>
      <c r="TEQ40" s="595"/>
      <c r="TER40" s="595"/>
      <c r="TES40" s="595"/>
      <c r="TET40" s="595"/>
      <c r="TEU40" s="595"/>
      <c r="TEV40" s="595"/>
      <c r="TEW40" s="595"/>
      <c r="TEX40" s="595"/>
      <c r="TEY40" s="595"/>
      <c r="TEZ40" s="595"/>
      <c r="TFA40" s="595"/>
      <c r="TFB40" s="595"/>
      <c r="TFC40" s="595"/>
      <c r="TFD40" s="595"/>
      <c r="TFE40" s="595"/>
      <c r="TFF40" s="595"/>
      <c r="TFG40" s="595"/>
      <c r="TFH40" s="595"/>
      <c r="TFI40" s="595"/>
      <c r="TFJ40" s="595"/>
      <c r="TFK40" s="595"/>
      <c r="TFL40" s="595"/>
      <c r="TFM40" s="595"/>
      <c r="TFN40" s="595"/>
      <c r="TFO40" s="595"/>
      <c r="TFP40" s="595"/>
      <c r="TFQ40" s="595"/>
      <c r="TFR40" s="595"/>
      <c r="TFS40" s="595"/>
      <c r="TFT40" s="595"/>
      <c r="TFU40" s="595"/>
      <c r="TFV40" s="595"/>
      <c r="TFW40" s="595"/>
      <c r="TFX40" s="595"/>
      <c r="TFY40" s="595"/>
      <c r="TFZ40" s="595"/>
      <c r="TGA40" s="595"/>
      <c r="TGB40" s="595"/>
      <c r="TGC40" s="595"/>
      <c r="TGD40" s="595"/>
      <c r="TGE40" s="595"/>
      <c r="TGF40" s="595"/>
      <c r="TGG40" s="595"/>
      <c r="TGH40" s="595"/>
      <c r="TGI40" s="595"/>
      <c r="TGJ40" s="595"/>
      <c r="TGK40" s="595"/>
      <c r="TGL40" s="595"/>
      <c r="TGM40" s="595"/>
      <c r="TGN40" s="595"/>
      <c r="TGO40" s="595"/>
      <c r="TGP40" s="595"/>
      <c r="TGQ40" s="595"/>
      <c r="TGR40" s="595"/>
      <c r="TGS40" s="595"/>
      <c r="TGT40" s="595"/>
      <c r="TGU40" s="595"/>
      <c r="TGV40" s="595"/>
      <c r="TGW40" s="595"/>
      <c r="TGX40" s="595"/>
      <c r="TGY40" s="595"/>
      <c r="TGZ40" s="595"/>
      <c r="THA40" s="595"/>
      <c r="THB40" s="595"/>
      <c r="THC40" s="595"/>
      <c r="THD40" s="595"/>
      <c r="THE40" s="595"/>
      <c r="THF40" s="595"/>
      <c r="THG40" s="595"/>
      <c r="THH40" s="595"/>
      <c r="THI40" s="595"/>
      <c r="THJ40" s="595"/>
      <c r="THK40" s="595"/>
      <c r="THL40" s="595"/>
      <c r="THM40" s="595"/>
      <c r="THN40" s="595"/>
      <c r="THO40" s="595"/>
      <c r="THP40" s="595"/>
      <c r="THQ40" s="595"/>
      <c r="THR40" s="595"/>
      <c r="THS40" s="595"/>
      <c r="THT40" s="595"/>
      <c r="THU40" s="595"/>
      <c r="THV40" s="595"/>
      <c r="THW40" s="595"/>
      <c r="THX40" s="595"/>
      <c r="THY40" s="595"/>
      <c r="THZ40" s="595"/>
      <c r="TIA40" s="595"/>
      <c r="TIB40" s="595"/>
      <c r="TIC40" s="595"/>
      <c r="TID40" s="595"/>
      <c r="TIE40" s="595"/>
      <c r="TIF40" s="595"/>
      <c r="TIG40" s="595"/>
      <c r="TIH40" s="595"/>
      <c r="TII40" s="595"/>
      <c r="TIJ40" s="595"/>
      <c r="TIK40" s="595"/>
      <c r="TIL40" s="595"/>
      <c r="TIM40" s="595"/>
      <c r="TIN40" s="595"/>
      <c r="TIO40" s="595"/>
      <c r="TIP40" s="595"/>
      <c r="TIQ40" s="595"/>
      <c r="TIR40" s="595"/>
      <c r="TIS40" s="595"/>
      <c r="TIT40" s="595"/>
      <c r="TIU40" s="595"/>
      <c r="TIV40" s="595"/>
      <c r="TIW40" s="595"/>
      <c r="TIX40" s="595"/>
      <c r="TIY40" s="595"/>
      <c r="TIZ40" s="595"/>
      <c r="TJA40" s="595"/>
      <c r="TJB40" s="595"/>
      <c r="TJC40" s="595"/>
      <c r="TJD40" s="595"/>
      <c r="TJE40" s="595"/>
      <c r="TJF40" s="595"/>
      <c r="TJG40" s="595"/>
      <c r="TJH40" s="595"/>
      <c r="TJI40" s="595"/>
      <c r="TJJ40" s="595"/>
      <c r="TJK40" s="595"/>
      <c r="TJL40" s="595"/>
      <c r="TJM40" s="595"/>
      <c r="TJN40" s="595"/>
      <c r="TJO40" s="595"/>
      <c r="TJP40" s="595"/>
      <c r="TJQ40" s="595"/>
      <c r="TJR40" s="595"/>
      <c r="TJS40" s="595"/>
      <c r="TJT40" s="595"/>
      <c r="TJU40" s="595"/>
      <c r="TJV40" s="595"/>
      <c r="TJW40" s="595"/>
      <c r="TJX40" s="595"/>
      <c r="TJY40" s="595"/>
      <c r="TJZ40" s="595"/>
      <c r="TKA40" s="595"/>
      <c r="TKB40" s="595"/>
      <c r="TKC40" s="595"/>
      <c r="TKD40" s="595"/>
      <c r="TKE40" s="595"/>
      <c r="TKF40" s="595"/>
      <c r="TKG40" s="595"/>
      <c r="TKH40" s="595"/>
      <c r="TKI40" s="595"/>
      <c r="TKJ40" s="595"/>
      <c r="TKK40" s="595"/>
      <c r="TKL40" s="595"/>
      <c r="TKM40" s="595"/>
      <c r="TKN40" s="595"/>
      <c r="TKO40" s="595"/>
      <c r="TKP40" s="595"/>
      <c r="TKQ40" s="595"/>
      <c r="TKR40" s="595"/>
      <c r="TKS40" s="595"/>
      <c r="TKT40" s="595"/>
      <c r="TKU40" s="595"/>
      <c r="TKV40" s="595"/>
      <c r="TKW40" s="595"/>
      <c r="TKX40" s="595"/>
      <c r="TKY40" s="595"/>
      <c r="TKZ40" s="595"/>
      <c r="TLA40" s="595"/>
      <c r="TLB40" s="595"/>
      <c r="TLC40" s="595"/>
      <c r="TLD40" s="595"/>
      <c r="TLE40" s="595"/>
      <c r="TLF40" s="595"/>
      <c r="TLG40" s="595"/>
      <c r="TLH40" s="595"/>
      <c r="TLI40" s="595"/>
      <c r="TLJ40" s="595"/>
      <c r="TLK40" s="595"/>
      <c r="TLL40" s="595"/>
      <c r="TLM40" s="595"/>
      <c r="TLN40" s="595"/>
      <c r="TLO40" s="595"/>
      <c r="TLP40" s="595"/>
      <c r="TLQ40" s="595"/>
      <c r="TLR40" s="595"/>
      <c r="TLS40" s="595"/>
      <c r="TLT40" s="595"/>
      <c r="TLU40" s="595"/>
      <c r="TLV40" s="595"/>
      <c r="TLW40" s="595"/>
      <c r="TLX40" s="595"/>
      <c r="TLY40" s="595"/>
      <c r="TLZ40" s="595"/>
      <c r="TMA40" s="595"/>
      <c r="TMB40" s="595"/>
      <c r="TMC40" s="595"/>
      <c r="TMD40" s="595"/>
      <c r="TME40" s="595"/>
      <c r="TMF40" s="595"/>
      <c r="TMG40" s="595"/>
      <c r="TMH40" s="595"/>
      <c r="TMI40" s="595"/>
      <c r="TMJ40" s="595"/>
      <c r="TMK40" s="595"/>
      <c r="TML40" s="595"/>
      <c r="TMM40" s="595"/>
      <c r="TMN40" s="595"/>
      <c r="TMO40" s="595"/>
      <c r="TMP40" s="595"/>
      <c r="TMQ40" s="595"/>
      <c r="TMR40" s="595"/>
      <c r="TMS40" s="595"/>
      <c r="TMT40" s="595"/>
      <c r="TMU40" s="595"/>
      <c r="TMV40" s="595"/>
      <c r="TMW40" s="595"/>
      <c r="TMX40" s="595"/>
      <c r="TMY40" s="595"/>
      <c r="TMZ40" s="595"/>
      <c r="TNA40" s="595"/>
      <c r="TNB40" s="595"/>
      <c r="TNC40" s="595"/>
      <c r="TND40" s="595"/>
      <c r="TNE40" s="595"/>
      <c r="TNF40" s="595"/>
      <c r="TNG40" s="595"/>
      <c r="TNH40" s="595"/>
      <c r="TNI40" s="595"/>
      <c r="TNJ40" s="595"/>
      <c r="TNK40" s="595"/>
      <c r="TNL40" s="595"/>
      <c r="TNM40" s="595"/>
      <c r="TNN40" s="595"/>
      <c r="TNO40" s="595"/>
      <c r="TNP40" s="595"/>
      <c r="TNQ40" s="595"/>
      <c r="TNR40" s="595"/>
      <c r="TNS40" s="595"/>
      <c r="TNT40" s="595"/>
      <c r="TNU40" s="595"/>
      <c r="TNV40" s="595"/>
      <c r="TNW40" s="595"/>
      <c r="TNX40" s="595"/>
      <c r="TNY40" s="595"/>
      <c r="TNZ40" s="595"/>
      <c r="TOA40" s="595"/>
      <c r="TOB40" s="595"/>
      <c r="TOC40" s="595"/>
      <c r="TOD40" s="595"/>
      <c r="TOE40" s="595"/>
      <c r="TOF40" s="595"/>
      <c r="TOG40" s="595"/>
      <c r="TOH40" s="595"/>
      <c r="TOI40" s="595"/>
      <c r="TOJ40" s="595"/>
      <c r="TOK40" s="595"/>
      <c r="TOL40" s="595"/>
      <c r="TOM40" s="595"/>
      <c r="TON40" s="595"/>
      <c r="TOO40" s="595"/>
      <c r="TOP40" s="595"/>
      <c r="TOQ40" s="595"/>
      <c r="TOR40" s="595"/>
      <c r="TOS40" s="595"/>
      <c r="TOT40" s="595"/>
      <c r="TOU40" s="595"/>
      <c r="TOV40" s="595"/>
      <c r="TOW40" s="595"/>
      <c r="TOX40" s="595"/>
      <c r="TOY40" s="595"/>
      <c r="TOZ40" s="595"/>
      <c r="TPA40" s="595"/>
      <c r="TPB40" s="595"/>
      <c r="TPC40" s="595"/>
      <c r="TPD40" s="595"/>
      <c r="TPE40" s="595"/>
      <c r="TPF40" s="595"/>
      <c r="TPG40" s="595"/>
      <c r="TPH40" s="595"/>
      <c r="TPI40" s="595"/>
      <c r="TPJ40" s="595"/>
      <c r="TPK40" s="595"/>
      <c r="TPL40" s="595"/>
      <c r="TPM40" s="595"/>
      <c r="TPN40" s="595"/>
      <c r="TPO40" s="595"/>
      <c r="TPP40" s="595"/>
      <c r="TPQ40" s="595"/>
      <c r="TPR40" s="595"/>
      <c r="TPS40" s="595"/>
      <c r="TPT40" s="595"/>
      <c r="TPU40" s="595"/>
      <c r="TPV40" s="595"/>
      <c r="TPW40" s="595"/>
      <c r="TPX40" s="595"/>
      <c r="TPY40" s="595"/>
      <c r="TPZ40" s="595"/>
      <c r="TQA40" s="595"/>
      <c r="TQB40" s="595"/>
      <c r="TQC40" s="595"/>
      <c r="TQD40" s="595"/>
      <c r="TQE40" s="595"/>
      <c r="TQF40" s="595"/>
      <c r="TQG40" s="595"/>
      <c r="TQH40" s="595"/>
      <c r="TQI40" s="595"/>
      <c r="TQJ40" s="595"/>
      <c r="TQK40" s="595"/>
      <c r="TQL40" s="595"/>
      <c r="TQM40" s="595"/>
      <c r="TQN40" s="595"/>
      <c r="TQO40" s="595"/>
      <c r="TQP40" s="595"/>
      <c r="TQQ40" s="595"/>
      <c r="TQR40" s="595"/>
      <c r="TQS40" s="595"/>
      <c r="TQT40" s="595"/>
      <c r="TQU40" s="595"/>
      <c r="TQV40" s="595"/>
      <c r="TQW40" s="595"/>
      <c r="TQX40" s="595"/>
      <c r="TQY40" s="595"/>
      <c r="TQZ40" s="595"/>
      <c r="TRA40" s="595"/>
      <c r="TRB40" s="595"/>
      <c r="TRC40" s="595"/>
      <c r="TRD40" s="595"/>
      <c r="TRE40" s="595"/>
      <c r="TRF40" s="595"/>
      <c r="TRG40" s="595"/>
      <c r="TRH40" s="595"/>
      <c r="TRI40" s="595"/>
      <c r="TRJ40" s="595"/>
      <c r="TRK40" s="595"/>
      <c r="TRL40" s="595"/>
      <c r="TRM40" s="595"/>
      <c r="TRN40" s="595"/>
      <c r="TRO40" s="595"/>
      <c r="TRP40" s="595"/>
      <c r="TRQ40" s="595"/>
      <c r="TRR40" s="595"/>
      <c r="TRS40" s="595"/>
      <c r="TRT40" s="595"/>
      <c r="TRU40" s="595"/>
      <c r="TRV40" s="595"/>
      <c r="TRW40" s="595"/>
      <c r="TRX40" s="595"/>
      <c r="TRY40" s="595"/>
      <c r="TRZ40" s="595"/>
      <c r="TSA40" s="595"/>
      <c r="TSB40" s="595"/>
      <c r="TSC40" s="595"/>
      <c r="TSD40" s="595"/>
      <c r="TSE40" s="595"/>
      <c r="TSF40" s="595"/>
      <c r="TSG40" s="595"/>
      <c r="TSH40" s="595"/>
      <c r="TSI40" s="595"/>
      <c r="TSJ40" s="595"/>
      <c r="TSK40" s="595"/>
      <c r="TSL40" s="595"/>
      <c r="TSM40" s="595"/>
      <c r="TSN40" s="595"/>
      <c r="TSO40" s="595"/>
      <c r="TSP40" s="595"/>
      <c r="TSQ40" s="595"/>
      <c r="TSR40" s="595"/>
      <c r="TSS40" s="595"/>
      <c r="TST40" s="595"/>
      <c r="TSU40" s="595"/>
      <c r="TSV40" s="595"/>
      <c r="TSW40" s="595"/>
      <c r="TSX40" s="595"/>
      <c r="TSY40" s="595"/>
      <c r="TSZ40" s="595"/>
      <c r="TTA40" s="595"/>
      <c r="TTB40" s="595"/>
      <c r="TTC40" s="595"/>
      <c r="TTD40" s="595"/>
      <c r="TTE40" s="595"/>
      <c r="TTF40" s="595"/>
      <c r="TTG40" s="595"/>
      <c r="TTH40" s="595"/>
      <c r="TTI40" s="595"/>
      <c r="TTJ40" s="595"/>
      <c r="TTK40" s="595"/>
      <c r="TTL40" s="595"/>
      <c r="TTM40" s="595"/>
      <c r="TTN40" s="595"/>
      <c r="TTO40" s="595"/>
      <c r="TTP40" s="595"/>
      <c r="TTQ40" s="595"/>
      <c r="TTR40" s="595"/>
      <c r="TTS40" s="595"/>
      <c r="TTT40" s="595"/>
      <c r="TTU40" s="595"/>
      <c r="TTV40" s="595"/>
      <c r="TTW40" s="595"/>
      <c r="TTX40" s="595"/>
      <c r="TTY40" s="595"/>
      <c r="TTZ40" s="595"/>
      <c r="TUA40" s="595"/>
      <c r="TUB40" s="595"/>
      <c r="TUC40" s="595"/>
      <c r="TUD40" s="595"/>
      <c r="TUE40" s="595"/>
      <c r="TUF40" s="595"/>
      <c r="TUG40" s="595"/>
      <c r="TUH40" s="595"/>
      <c r="TUI40" s="595"/>
      <c r="TUJ40" s="595"/>
      <c r="TUK40" s="595"/>
      <c r="TUL40" s="595"/>
      <c r="TUM40" s="595"/>
      <c r="TUN40" s="595"/>
      <c r="TUO40" s="595"/>
      <c r="TUP40" s="595"/>
      <c r="TUQ40" s="595"/>
      <c r="TUR40" s="595"/>
      <c r="TUS40" s="595"/>
      <c r="TUT40" s="595"/>
      <c r="TUU40" s="595"/>
      <c r="TUV40" s="595"/>
      <c r="TUW40" s="595"/>
      <c r="TUX40" s="595"/>
      <c r="TUY40" s="595"/>
      <c r="TUZ40" s="595"/>
      <c r="TVA40" s="595"/>
      <c r="TVB40" s="595"/>
      <c r="TVC40" s="595"/>
      <c r="TVD40" s="595"/>
      <c r="TVE40" s="595"/>
      <c r="TVF40" s="595"/>
      <c r="TVG40" s="595"/>
      <c r="TVH40" s="595"/>
      <c r="TVI40" s="595"/>
      <c r="TVJ40" s="595"/>
      <c r="TVK40" s="595"/>
      <c r="TVL40" s="595"/>
      <c r="TVM40" s="595"/>
      <c r="TVN40" s="595"/>
      <c r="TVO40" s="595"/>
      <c r="TVP40" s="595"/>
      <c r="TVQ40" s="595"/>
      <c r="TVR40" s="595"/>
      <c r="TVS40" s="595"/>
      <c r="TVT40" s="595"/>
      <c r="TVU40" s="595"/>
      <c r="TVV40" s="595"/>
      <c r="TVW40" s="595"/>
      <c r="TVX40" s="595"/>
      <c r="TVY40" s="595"/>
      <c r="TVZ40" s="595"/>
      <c r="TWA40" s="595"/>
      <c r="TWB40" s="595"/>
      <c r="TWC40" s="595"/>
      <c r="TWD40" s="595"/>
      <c r="TWE40" s="595"/>
      <c r="TWF40" s="595"/>
      <c r="TWG40" s="595"/>
      <c r="TWH40" s="595"/>
      <c r="TWI40" s="595"/>
      <c r="TWJ40" s="595"/>
      <c r="TWK40" s="595"/>
      <c r="TWL40" s="595"/>
      <c r="TWM40" s="595"/>
      <c r="TWN40" s="595"/>
      <c r="TWO40" s="595"/>
      <c r="TWP40" s="595"/>
      <c r="TWQ40" s="595"/>
      <c r="TWR40" s="595"/>
      <c r="TWS40" s="595"/>
      <c r="TWT40" s="595"/>
      <c r="TWU40" s="595"/>
      <c r="TWV40" s="595"/>
      <c r="TWW40" s="595"/>
      <c r="TWX40" s="595"/>
      <c r="TWY40" s="595"/>
      <c r="TWZ40" s="595"/>
      <c r="TXA40" s="595"/>
      <c r="TXB40" s="595"/>
      <c r="TXC40" s="595"/>
      <c r="TXD40" s="595"/>
      <c r="TXE40" s="595"/>
      <c r="TXF40" s="595"/>
      <c r="TXG40" s="595"/>
      <c r="TXH40" s="595"/>
      <c r="TXI40" s="595"/>
      <c r="TXJ40" s="595"/>
      <c r="TXK40" s="595"/>
      <c r="TXL40" s="595"/>
      <c r="TXM40" s="595"/>
      <c r="TXN40" s="595"/>
      <c r="TXO40" s="595"/>
      <c r="TXP40" s="595"/>
      <c r="TXQ40" s="595"/>
      <c r="TXR40" s="595"/>
      <c r="TXS40" s="595"/>
      <c r="TXT40" s="595"/>
      <c r="TXU40" s="595"/>
      <c r="TXV40" s="595"/>
      <c r="TXW40" s="595"/>
      <c r="TXX40" s="595"/>
      <c r="TXY40" s="595"/>
      <c r="TXZ40" s="595"/>
      <c r="TYA40" s="595"/>
      <c r="TYB40" s="595"/>
      <c r="TYC40" s="595"/>
      <c r="TYD40" s="595"/>
      <c r="TYE40" s="595"/>
      <c r="TYF40" s="595"/>
      <c r="TYG40" s="595"/>
      <c r="TYH40" s="595"/>
      <c r="TYI40" s="595"/>
      <c r="TYJ40" s="595"/>
      <c r="TYK40" s="595"/>
      <c r="TYL40" s="595"/>
      <c r="TYM40" s="595"/>
      <c r="TYN40" s="595"/>
      <c r="TYO40" s="595"/>
      <c r="TYP40" s="595"/>
      <c r="TYQ40" s="595"/>
      <c r="TYR40" s="595"/>
      <c r="TYS40" s="595"/>
      <c r="TYT40" s="595"/>
      <c r="TYU40" s="595"/>
      <c r="TYV40" s="595"/>
      <c r="TYW40" s="595"/>
      <c r="TYX40" s="595"/>
      <c r="TYY40" s="595"/>
      <c r="TYZ40" s="595"/>
      <c r="TZA40" s="595"/>
      <c r="TZB40" s="595"/>
      <c r="TZC40" s="595"/>
      <c r="TZD40" s="595"/>
      <c r="TZE40" s="595"/>
      <c r="TZF40" s="595"/>
      <c r="TZG40" s="595"/>
      <c r="TZH40" s="595"/>
      <c r="TZI40" s="595"/>
      <c r="TZJ40" s="595"/>
      <c r="TZK40" s="595"/>
      <c r="TZL40" s="595"/>
      <c r="TZM40" s="595"/>
      <c r="TZN40" s="595"/>
      <c r="TZO40" s="595"/>
      <c r="TZP40" s="595"/>
      <c r="TZQ40" s="595"/>
      <c r="TZR40" s="595"/>
      <c r="TZS40" s="595"/>
      <c r="TZT40" s="595"/>
      <c r="TZU40" s="595"/>
      <c r="TZV40" s="595"/>
      <c r="TZW40" s="595"/>
      <c r="TZX40" s="595"/>
      <c r="TZY40" s="595"/>
      <c r="TZZ40" s="595"/>
      <c r="UAA40" s="595"/>
      <c r="UAB40" s="595"/>
      <c r="UAC40" s="595"/>
      <c r="UAD40" s="595"/>
      <c r="UAE40" s="595"/>
      <c r="UAF40" s="595"/>
      <c r="UAG40" s="595"/>
      <c r="UAH40" s="595"/>
      <c r="UAI40" s="595"/>
      <c r="UAJ40" s="595"/>
      <c r="UAK40" s="595"/>
      <c r="UAL40" s="595"/>
      <c r="UAM40" s="595"/>
      <c r="UAN40" s="595"/>
      <c r="UAO40" s="595"/>
      <c r="UAP40" s="595"/>
      <c r="UAQ40" s="595"/>
      <c r="UAR40" s="595"/>
      <c r="UAS40" s="595"/>
      <c r="UAT40" s="595"/>
      <c r="UAU40" s="595"/>
      <c r="UAV40" s="595"/>
      <c r="UAW40" s="595"/>
      <c r="UAX40" s="595"/>
      <c r="UAY40" s="595"/>
      <c r="UAZ40" s="595"/>
      <c r="UBA40" s="595"/>
      <c r="UBB40" s="595"/>
      <c r="UBC40" s="595"/>
      <c r="UBD40" s="595"/>
      <c r="UBE40" s="595"/>
      <c r="UBF40" s="595"/>
      <c r="UBG40" s="595"/>
      <c r="UBH40" s="595"/>
      <c r="UBI40" s="595"/>
      <c r="UBJ40" s="595"/>
      <c r="UBK40" s="595"/>
      <c r="UBL40" s="595"/>
      <c r="UBM40" s="595"/>
      <c r="UBN40" s="595"/>
      <c r="UBO40" s="595"/>
      <c r="UBP40" s="595"/>
      <c r="UBQ40" s="595"/>
      <c r="UBR40" s="595"/>
      <c r="UBS40" s="595"/>
      <c r="UBT40" s="595"/>
      <c r="UBU40" s="595"/>
      <c r="UBV40" s="595"/>
      <c r="UBW40" s="595"/>
      <c r="UBX40" s="595"/>
      <c r="UBY40" s="595"/>
      <c r="UBZ40" s="595"/>
      <c r="UCA40" s="595"/>
      <c r="UCB40" s="595"/>
      <c r="UCC40" s="595"/>
      <c r="UCD40" s="595"/>
      <c r="UCE40" s="595"/>
      <c r="UCF40" s="595"/>
      <c r="UCG40" s="595"/>
      <c r="UCH40" s="595"/>
      <c r="UCI40" s="595"/>
      <c r="UCJ40" s="595"/>
      <c r="UCK40" s="595"/>
      <c r="UCL40" s="595"/>
      <c r="UCM40" s="595"/>
      <c r="UCN40" s="595"/>
      <c r="UCO40" s="595"/>
      <c r="UCP40" s="595"/>
      <c r="UCQ40" s="595"/>
      <c r="UCR40" s="595"/>
      <c r="UCS40" s="595"/>
      <c r="UCT40" s="595"/>
      <c r="UCU40" s="595"/>
      <c r="UCV40" s="595"/>
      <c r="UCW40" s="595"/>
      <c r="UCX40" s="595"/>
      <c r="UCY40" s="595"/>
      <c r="UCZ40" s="595"/>
      <c r="UDA40" s="595"/>
      <c r="UDB40" s="595"/>
      <c r="UDC40" s="595"/>
      <c r="UDD40" s="595"/>
      <c r="UDE40" s="595"/>
      <c r="UDF40" s="595"/>
      <c r="UDG40" s="595"/>
      <c r="UDH40" s="595"/>
      <c r="UDI40" s="595"/>
      <c r="UDJ40" s="595"/>
      <c r="UDK40" s="595"/>
      <c r="UDL40" s="595"/>
      <c r="UDM40" s="595"/>
      <c r="UDN40" s="595"/>
      <c r="UDO40" s="595"/>
      <c r="UDP40" s="595"/>
      <c r="UDQ40" s="595"/>
      <c r="UDR40" s="595"/>
      <c r="UDS40" s="595"/>
      <c r="UDT40" s="595"/>
      <c r="UDU40" s="595"/>
      <c r="UDV40" s="595"/>
      <c r="UDW40" s="595"/>
      <c r="UDX40" s="595"/>
      <c r="UDY40" s="595"/>
      <c r="UDZ40" s="595"/>
      <c r="UEA40" s="595"/>
      <c r="UEB40" s="595"/>
      <c r="UEC40" s="595"/>
      <c r="UED40" s="595"/>
      <c r="UEE40" s="595"/>
      <c r="UEF40" s="595"/>
      <c r="UEG40" s="595"/>
      <c r="UEH40" s="595"/>
      <c r="UEI40" s="595"/>
      <c r="UEJ40" s="595"/>
      <c r="UEK40" s="595"/>
      <c r="UEL40" s="595"/>
      <c r="UEM40" s="595"/>
      <c r="UEN40" s="595"/>
      <c r="UEO40" s="595"/>
      <c r="UEP40" s="595"/>
      <c r="UEQ40" s="595"/>
      <c r="UER40" s="595"/>
      <c r="UES40" s="595"/>
      <c r="UET40" s="595"/>
      <c r="UEU40" s="595"/>
      <c r="UEV40" s="595"/>
      <c r="UEW40" s="595"/>
      <c r="UEX40" s="595"/>
      <c r="UEY40" s="595"/>
      <c r="UEZ40" s="595"/>
      <c r="UFA40" s="595"/>
      <c r="UFB40" s="595"/>
      <c r="UFC40" s="595"/>
      <c r="UFD40" s="595"/>
      <c r="UFE40" s="595"/>
      <c r="UFF40" s="595"/>
      <c r="UFG40" s="595"/>
      <c r="UFH40" s="595"/>
      <c r="UFI40" s="595"/>
      <c r="UFJ40" s="595"/>
      <c r="UFK40" s="595"/>
      <c r="UFL40" s="595"/>
      <c r="UFM40" s="595"/>
      <c r="UFN40" s="595"/>
      <c r="UFO40" s="595"/>
      <c r="UFP40" s="595"/>
      <c r="UFQ40" s="595"/>
      <c r="UFR40" s="595"/>
      <c r="UFS40" s="595"/>
      <c r="UFT40" s="595"/>
      <c r="UFU40" s="595"/>
      <c r="UFV40" s="595"/>
      <c r="UFW40" s="595"/>
      <c r="UFX40" s="595"/>
      <c r="UFY40" s="595"/>
      <c r="UFZ40" s="595"/>
      <c r="UGA40" s="595"/>
      <c r="UGB40" s="595"/>
      <c r="UGC40" s="595"/>
      <c r="UGD40" s="595"/>
      <c r="UGE40" s="595"/>
      <c r="UGF40" s="595"/>
      <c r="UGG40" s="595"/>
      <c r="UGH40" s="595"/>
      <c r="UGI40" s="595"/>
      <c r="UGJ40" s="595"/>
      <c r="UGK40" s="595"/>
      <c r="UGL40" s="595"/>
      <c r="UGM40" s="595"/>
      <c r="UGN40" s="595"/>
      <c r="UGO40" s="595"/>
      <c r="UGP40" s="595"/>
      <c r="UGQ40" s="595"/>
      <c r="UGR40" s="595"/>
      <c r="UGS40" s="595"/>
      <c r="UGT40" s="595"/>
      <c r="UGU40" s="595"/>
      <c r="UGV40" s="595"/>
      <c r="UGW40" s="595"/>
      <c r="UGX40" s="595"/>
      <c r="UGY40" s="595"/>
      <c r="UGZ40" s="595"/>
      <c r="UHA40" s="595"/>
      <c r="UHB40" s="595"/>
      <c r="UHC40" s="595"/>
      <c r="UHD40" s="595"/>
      <c r="UHE40" s="595"/>
      <c r="UHF40" s="595"/>
      <c r="UHG40" s="595"/>
      <c r="UHH40" s="595"/>
      <c r="UHI40" s="595"/>
      <c r="UHJ40" s="595"/>
      <c r="UHK40" s="595"/>
      <c r="UHL40" s="595"/>
      <c r="UHM40" s="595"/>
      <c r="UHN40" s="595"/>
      <c r="UHO40" s="595"/>
      <c r="UHP40" s="595"/>
      <c r="UHQ40" s="595"/>
      <c r="UHR40" s="595"/>
      <c r="UHS40" s="595"/>
      <c r="UHT40" s="595"/>
      <c r="UHU40" s="595"/>
      <c r="UHV40" s="595"/>
      <c r="UHW40" s="595"/>
      <c r="UHX40" s="595"/>
      <c r="UHY40" s="595"/>
      <c r="UHZ40" s="595"/>
      <c r="UIA40" s="595"/>
      <c r="UIB40" s="595"/>
      <c r="UIC40" s="595"/>
      <c r="UID40" s="595"/>
      <c r="UIE40" s="595"/>
      <c r="UIF40" s="595"/>
      <c r="UIG40" s="595"/>
      <c r="UIH40" s="595"/>
      <c r="UII40" s="595"/>
      <c r="UIJ40" s="595"/>
      <c r="UIK40" s="595"/>
      <c r="UIL40" s="595"/>
      <c r="UIM40" s="595"/>
      <c r="UIN40" s="595"/>
      <c r="UIO40" s="595"/>
      <c r="UIP40" s="595"/>
      <c r="UIQ40" s="595"/>
      <c r="UIR40" s="595"/>
      <c r="UIS40" s="595"/>
      <c r="UIT40" s="595"/>
      <c r="UIU40" s="595"/>
      <c r="UIV40" s="595"/>
      <c r="UIW40" s="595"/>
      <c r="UIX40" s="595"/>
      <c r="UIY40" s="595"/>
      <c r="UIZ40" s="595"/>
      <c r="UJA40" s="595"/>
      <c r="UJB40" s="595"/>
      <c r="UJC40" s="595"/>
      <c r="UJD40" s="595"/>
      <c r="UJE40" s="595"/>
      <c r="UJF40" s="595"/>
      <c r="UJG40" s="595"/>
      <c r="UJH40" s="595"/>
      <c r="UJI40" s="595"/>
      <c r="UJJ40" s="595"/>
      <c r="UJK40" s="595"/>
      <c r="UJL40" s="595"/>
      <c r="UJM40" s="595"/>
      <c r="UJN40" s="595"/>
      <c r="UJO40" s="595"/>
      <c r="UJP40" s="595"/>
      <c r="UJQ40" s="595"/>
      <c r="UJR40" s="595"/>
      <c r="UJS40" s="595"/>
      <c r="UJT40" s="595"/>
      <c r="UJU40" s="595"/>
      <c r="UJV40" s="595"/>
      <c r="UJW40" s="595"/>
      <c r="UJX40" s="595"/>
      <c r="UJY40" s="595"/>
      <c r="UJZ40" s="595"/>
      <c r="UKA40" s="595"/>
      <c r="UKB40" s="595"/>
      <c r="UKC40" s="595"/>
      <c r="UKD40" s="595"/>
      <c r="UKE40" s="595"/>
      <c r="UKF40" s="595"/>
      <c r="UKG40" s="595"/>
      <c r="UKH40" s="595"/>
      <c r="UKI40" s="595"/>
      <c r="UKJ40" s="595"/>
      <c r="UKK40" s="595"/>
      <c r="UKL40" s="595"/>
      <c r="UKM40" s="595"/>
      <c r="UKN40" s="595"/>
      <c r="UKO40" s="595"/>
      <c r="UKP40" s="595"/>
      <c r="UKQ40" s="595"/>
      <c r="UKR40" s="595"/>
      <c r="UKS40" s="595"/>
      <c r="UKT40" s="595"/>
      <c r="UKU40" s="595"/>
      <c r="UKV40" s="595"/>
      <c r="UKW40" s="595"/>
      <c r="UKX40" s="595"/>
      <c r="UKY40" s="595"/>
      <c r="UKZ40" s="595"/>
      <c r="ULA40" s="595"/>
      <c r="ULB40" s="595"/>
      <c r="ULC40" s="595"/>
      <c r="ULD40" s="595"/>
      <c r="ULE40" s="595"/>
      <c r="ULF40" s="595"/>
      <c r="ULG40" s="595"/>
      <c r="ULH40" s="595"/>
      <c r="ULI40" s="595"/>
      <c r="ULJ40" s="595"/>
      <c r="ULK40" s="595"/>
      <c r="ULL40" s="595"/>
      <c r="ULM40" s="595"/>
      <c r="ULN40" s="595"/>
      <c r="ULO40" s="595"/>
      <c r="ULP40" s="595"/>
      <c r="ULQ40" s="595"/>
      <c r="ULR40" s="595"/>
      <c r="ULS40" s="595"/>
      <c r="ULT40" s="595"/>
      <c r="ULU40" s="595"/>
      <c r="ULV40" s="595"/>
      <c r="ULW40" s="595"/>
      <c r="ULX40" s="595"/>
      <c r="ULY40" s="595"/>
      <c r="ULZ40" s="595"/>
      <c r="UMA40" s="595"/>
      <c r="UMB40" s="595"/>
      <c r="UMC40" s="595"/>
      <c r="UMD40" s="595"/>
      <c r="UME40" s="595"/>
      <c r="UMF40" s="595"/>
      <c r="UMG40" s="595"/>
      <c r="UMH40" s="595"/>
      <c r="UMI40" s="595"/>
      <c r="UMJ40" s="595"/>
      <c r="UMK40" s="595"/>
      <c r="UML40" s="595"/>
      <c r="UMM40" s="595"/>
      <c r="UMN40" s="595"/>
      <c r="UMO40" s="595"/>
      <c r="UMP40" s="595"/>
      <c r="UMQ40" s="595"/>
      <c r="UMR40" s="595"/>
      <c r="UMS40" s="595"/>
      <c r="UMT40" s="595"/>
      <c r="UMU40" s="595"/>
      <c r="UMV40" s="595"/>
      <c r="UMW40" s="595"/>
      <c r="UMX40" s="595"/>
      <c r="UMY40" s="595"/>
      <c r="UMZ40" s="595"/>
      <c r="UNA40" s="595"/>
      <c r="UNB40" s="595"/>
      <c r="UNC40" s="595"/>
      <c r="UND40" s="595"/>
      <c r="UNE40" s="595"/>
      <c r="UNF40" s="595"/>
      <c r="UNG40" s="595"/>
      <c r="UNH40" s="595"/>
      <c r="UNI40" s="595"/>
      <c r="UNJ40" s="595"/>
      <c r="UNK40" s="595"/>
      <c r="UNL40" s="595"/>
      <c r="UNM40" s="595"/>
      <c r="UNN40" s="595"/>
      <c r="UNO40" s="595"/>
      <c r="UNP40" s="595"/>
      <c r="UNQ40" s="595"/>
      <c r="UNR40" s="595"/>
      <c r="UNS40" s="595"/>
      <c r="UNT40" s="595"/>
      <c r="UNU40" s="595"/>
      <c r="UNV40" s="595"/>
      <c r="UNW40" s="595"/>
      <c r="UNX40" s="595"/>
      <c r="UNY40" s="595"/>
      <c r="UNZ40" s="595"/>
      <c r="UOA40" s="595"/>
      <c r="UOB40" s="595"/>
      <c r="UOC40" s="595"/>
      <c r="UOD40" s="595"/>
      <c r="UOE40" s="595"/>
      <c r="UOF40" s="595"/>
      <c r="UOG40" s="595"/>
      <c r="UOH40" s="595"/>
      <c r="UOI40" s="595"/>
      <c r="UOJ40" s="595"/>
      <c r="UOK40" s="595"/>
      <c r="UOL40" s="595"/>
      <c r="UOM40" s="595"/>
      <c r="UON40" s="595"/>
      <c r="UOO40" s="595"/>
      <c r="UOP40" s="595"/>
      <c r="UOQ40" s="595"/>
      <c r="UOR40" s="595"/>
      <c r="UOS40" s="595"/>
      <c r="UOT40" s="595"/>
      <c r="UOU40" s="595"/>
      <c r="UOV40" s="595"/>
      <c r="UOW40" s="595"/>
      <c r="UOX40" s="595"/>
      <c r="UOY40" s="595"/>
      <c r="UOZ40" s="595"/>
      <c r="UPA40" s="595"/>
      <c r="UPB40" s="595"/>
      <c r="UPC40" s="595"/>
      <c r="UPD40" s="595"/>
      <c r="UPE40" s="595"/>
      <c r="UPF40" s="595"/>
      <c r="UPG40" s="595"/>
      <c r="UPH40" s="595"/>
      <c r="UPI40" s="595"/>
      <c r="UPJ40" s="595"/>
      <c r="UPK40" s="595"/>
      <c r="UPL40" s="595"/>
      <c r="UPM40" s="595"/>
      <c r="UPN40" s="595"/>
      <c r="UPO40" s="595"/>
      <c r="UPP40" s="595"/>
      <c r="UPQ40" s="595"/>
      <c r="UPR40" s="595"/>
      <c r="UPS40" s="595"/>
      <c r="UPT40" s="595"/>
      <c r="UPU40" s="595"/>
      <c r="UPV40" s="595"/>
      <c r="UPW40" s="595"/>
      <c r="UPX40" s="595"/>
      <c r="UPY40" s="595"/>
      <c r="UPZ40" s="595"/>
      <c r="UQA40" s="595"/>
      <c r="UQB40" s="595"/>
      <c r="UQC40" s="595"/>
      <c r="UQD40" s="595"/>
      <c r="UQE40" s="595"/>
      <c r="UQF40" s="595"/>
      <c r="UQG40" s="595"/>
      <c r="UQH40" s="595"/>
      <c r="UQI40" s="595"/>
      <c r="UQJ40" s="595"/>
      <c r="UQK40" s="595"/>
      <c r="UQL40" s="595"/>
      <c r="UQM40" s="595"/>
      <c r="UQN40" s="595"/>
      <c r="UQO40" s="595"/>
      <c r="UQP40" s="595"/>
      <c r="UQQ40" s="595"/>
      <c r="UQR40" s="595"/>
      <c r="UQS40" s="595"/>
      <c r="UQT40" s="595"/>
      <c r="UQU40" s="595"/>
      <c r="UQV40" s="595"/>
      <c r="UQW40" s="595"/>
      <c r="UQX40" s="595"/>
      <c r="UQY40" s="595"/>
      <c r="UQZ40" s="595"/>
      <c r="URA40" s="595"/>
      <c r="URB40" s="595"/>
      <c r="URC40" s="595"/>
      <c r="URD40" s="595"/>
      <c r="URE40" s="595"/>
      <c r="URF40" s="595"/>
      <c r="URG40" s="595"/>
      <c r="URH40" s="595"/>
      <c r="URI40" s="595"/>
      <c r="URJ40" s="595"/>
      <c r="URK40" s="595"/>
      <c r="URL40" s="595"/>
      <c r="URM40" s="595"/>
      <c r="URN40" s="595"/>
      <c r="URO40" s="595"/>
      <c r="URP40" s="595"/>
      <c r="URQ40" s="595"/>
      <c r="URR40" s="595"/>
      <c r="URS40" s="595"/>
      <c r="URT40" s="595"/>
      <c r="URU40" s="595"/>
      <c r="URV40" s="595"/>
      <c r="URW40" s="595"/>
      <c r="URX40" s="595"/>
      <c r="URY40" s="595"/>
      <c r="URZ40" s="595"/>
      <c r="USA40" s="595"/>
      <c r="USB40" s="595"/>
      <c r="USC40" s="595"/>
      <c r="USD40" s="595"/>
      <c r="USE40" s="595"/>
      <c r="USF40" s="595"/>
      <c r="USG40" s="595"/>
      <c r="USH40" s="595"/>
      <c r="USI40" s="595"/>
      <c r="USJ40" s="595"/>
      <c r="USK40" s="595"/>
      <c r="USL40" s="595"/>
      <c r="USM40" s="595"/>
      <c r="USN40" s="595"/>
      <c r="USO40" s="595"/>
      <c r="USP40" s="595"/>
      <c r="USQ40" s="595"/>
      <c r="USR40" s="595"/>
      <c r="USS40" s="595"/>
      <c r="UST40" s="595"/>
      <c r="USU40" s="595"/>
      <c r="USV40" s="595"/>
      <c r="USW40" s="595"/>
      <c r="USX40" s="595"/>
      <c r="USY40" s="595"/>
      <c r="USZ40" s="595"/>
      <c r="UTA40" s="595"/>
      <c r="UTB40" s="595"/>
      <c r="UTC40" s="595"/>
      <c r="UTD40" s="595"/>
      <c r="UTE40" s="595"/>
      <c r="UTF40" s="595"/>
      <c r="UTG40" s="595"/>
      <c r="UTH40" s="595"/>
      <c r="UTI40" s="595"/>
      <c r="UTJ40" s="595"/>
      <c r="UTK40" s="595"/>
      <c r="UTL40" s="595"/>
      <c r="UTM40" s="595"/>
      <c r="UTN40" s="595"/>
      <c r="UTO40" s="595"/>
      <c r="UTP40" s="595"/>
      <c r="UTQ40" s="595"/>
      <c r="UTR40" s="595"/>
      <c r="UTS40" s="595"/>
      <c r="UTT40" s="595"/>
      <c r="UTU40" s="595"/>
      <c r="UTV40" s="595"/>
      <c r="UTW40" s="595"/>
      <c r="UTX40" s="595"/>
      <c r="UTY40" s="595"/>
      <c r="UTZ40" s="595"/>
      <c r="UUA40" s="595"/>
      <c r="UUB40" s="595"/>
      <c r="UUC40" s="595"/>
      <c r="UUD40" s="595"/>
      <c r="UUE40" s="595"/>
      <c r="UUF40" s="595"/>
      <c r="UUG40" s="595"/>
      <c r="UUH40" s="595"/>
      <c r="UUI40" s="595"/>
      <c r="UUJ40" s="595"/>
      <c r="UUK40" s="595"/>
      <c r="UUL40" s="595"/>
      <c r="UUM40" s="595"/>
      <c r="UUN40" s="595"/>
      <c r="UUO40" s="595"/>
      <c r="UUP40" s="595"/>
      <c r="UUQ40" s="595"/>
      <c r="UUR40" s="595"/>
      <c r="UUS40" s="595"/>
      <c r="UUT40" s="595"/>
      <c r="UUU40" s="595"/>
      <c r="UUV40" s="595"/>
      <c r="UUW40" s="595"/>
      <c r="UUX40" s="595"/>
      <c r="UUY40" s="595"/>
      <c r="UUZ40" s="595"/>
      <c r="UVA40" s="595"/>
      <c r="UVB40" s="595"/>
      <c r="UVC40" s="595"/>
      <c r="UVD40" s="595"/>
      <c r="UVE40" s="595"/>
      <c r="UVF40" s="595"/>
      <c r="UVG40" s="595"/>
      <c r="UVH40" s="595"/>
      <c r="UVI40" s="595"/>
      <c r="UVJ40" s="595"/>
      <c r="UVK40" s="595"/>
      <c r="UVL40" s="595"/>
      <c r="UVM40" s="595"/>
      <c r="UVN40" s="595"/>
      <c r="UVO40" s="595"/>
      <c r="UVP40" s="595"/>
      <c r="UVQ40" s="595"/>
      <c r="UVR40" s="595"/>
      <c r="UVS40" s="595"/>
      <c r="UVT40" s="595"/>
      <c r="UVU40" s="595"/>
      <c r="UVV40" s="595"/>
      <c r="UVW40" s="595"/>
      <c r="UVX40" s="595"/>
      <c r="UVY40" s="595"/>
      <c r="UVZ40" s="595"/>
      <c r="UWA40" s="595"/>
      <c r="UWB40" s="595"/>
      <c r="UWC40" s="595"/>
      <c r="UWD40" s="595"/>
      <c r="UWE40" s="595"/>
      <c r="UWF40" s="595"/>
      <c r="UWG40" s="595"/>
      <c r="UWH40" s="595"/>
      <c r="UWI40" s="595"/>
      <c r="UWJ40" s="595"/>
      <c r="UWK40" s="595"/>
      <c r="UWL40" s="595"/>
      <c r="UWM40" s="595"/>
      <c r="UWN40" s="595"/>
      <c r="UWO40" s="595"/>
      <c r="UWP40" s="595"/>
      <c r="UWQ40" s="595"/>
      <c r="UWR40" s="595"/>
      <c r="UWS40" s="595"/>
      <c r="UWT40" s="595"/>
      <c r="UWU40" s="595"/>
      <c r="UWV40" s="595"/>
      <c r="UWW40" s="595"/>
      <c r="UWX40" s="595"/>
      <c r="UWY40" s="595"/>
      <c r="UWZ40" s="595"/>
      <c r="UXA40" s="595"/>
      <c r="UXB40" s="595"/>
      <c r="UXC40" s="595"/>
      <c r="UXD40" s="595"/>
      <c r="UXE40" s="595"/>
      <c r="UXF40" s="595"/>
      <c r="UXG40" s="595"/>
      <c r="UXH40" s="595"/>
      <c r="UXI40" s="595"/>
      <c r="UXJ40" s="595"/>
      <c r="UXK40" s="595"/>
      <c r="UXL40" s="595"/>
      <c r="UXM40" s="595"/>
      <c r="UXN40" s="595"/>
      <c r="UXO40" s="595"/>
      <c r="UXP40" s="595"/>
      <c r="UXQ40" s="595"/>
      <c r="UXR40" s="595"/>
      <c r="UXS40" s="595"/>
      <c r="UXT40" s="595"/>
      <c r="UXU40" s="595"/>
      <c r="UXV40" s="595"/>
      <c r="UXW40" s="595"/>
      <c r="UXX40" s="595"/>
      <c r="UXY40" s="595"/>
      <c r="UXZ40" s="595"/>
      <c r="UYA40" s="595"/>
      <c r="UYB40" s="595"/>
      <c r="UYC40" s="595"/>
      <c r="UYD40" s="595"/>
      <c r="UYE40" s="595"/>
      <c r="UYF40" s="595"/>
      <c r="UYG40" s="595"/>
      <c r="UYH40" s="595"/>
      <c r="UYI40" s="595"/>
      <c r="UYJ40" s="595"/>
      <c r="UYK40" s="595"/>
      <c r="UYL40" s="595"/>
      <c r="UYM40" s="595"/>
      <c r="UYN40" s="595"/>
      <c r="UYO40" s="595"/>
      <c r="UYP40" s="595"/>
      <c r="UYQ40" s="595"/>
      <c r="UYR40" s="595"/>
      <c r="UYS40" s="595"/>
      <c r="UYT40" s="595"/>
      <c r="UYU40" s="595"/>
      <c r="UYV40" s="595"/>
      <c r="UYW40" s="595"/>
      <c r="UYX40" s="595"/>
      <c r="UYY40" s="595"/>
      <c r="UYZ40" s="595"/>
      <c r="UZA40" s="595"/>
      <c r="UZB40" s="595"/>
      <c r="UZC40" s="595"/>
      <c r="UZD40" s="595"/>
      <c r="UZE40" s="595"/>
      <c r="UZF40" s="595"/>
      <c r="UZG40" s="595"/>
      <c r="UZH40" s="595"/>
      <c r="UZI40" s="595"/>
      <c r="UZJ40" s="595"/>
      <c r="UZK40" s="595"/>
      <c r="UZL40" s="595"/>
      <c r="UZM40" s="595"/>
      <c r="UZN40" s="595"/>
      <c r="UZO40" s="595"/>
      <c r="UZP40" s="595"/>
      <c r="UZQ40" s="595"/>
      <c r="UZR40" s="595"/>
      <c r="UZS40" s="595"/>
      <c r="UZT40" s="595"/>
      <c r="UZU40" s="595"/>
      <c r="UZV40" s="595"/>
      <c r="UZW40" s="595"/>
      <c r="UZX40" s="595"/>
      <c r="UZY40" s="595"/>
      <c r="UZZ40" s="595"/>
      <c r="VAA40" s="595"/>
      <c r="VAB40" s="595"/>
      <c r="VAC40" s="595"/>
      <c r="VAD40" s="595"/>
      <c r="VAE40" s="595"/>
      <c r="VAF40" s="595"/>
      <c r="VAG40" s="595"/>
      <c r="VAH40" s="595"/>
      <c r="VAI40" s="595"/>
      <c r="VAJ40" s="595"/>
      <c r="VAK40" s="595"/>
      <c r="VAL40" s="595"/>
      <c r="VAM40" s="595"/>
      <c r="VAN40" s="595"/>
      <c r="VAO40" s="595"/>
      <c r="VAP40" s="595"/>
      <c r="VAQ40" s="595"/>
      <c r="VAR40" s="595"/>
      <c r="VAS40" s="595"/>
      <c r="VAT40" s="595"/>
      <c r="VAU40" s="595"/>
      <c r="VAV40" s="595"/>
      <c r="VAW40" s="595"/>
      <c r="VAX40" s="595"/>
      <c r="VAY40" s="595"/>
      <c r="VAZ40" s="595"/>
      <c r="VBA40" s="595"/>
      <c r="VBB40" s="595"/>
      <c r="VBC40" s="595"/>
      <c r="VBD40" s="595"/>
      <c r="VBE40" s="595"/>
      <c r="VBF40" s="595"/>
      <c r="VBG40" s="595"/>
      <c r="VBH40" s="595"/>
      <c r="VBI40" s="595"/>
      <c r="VBJ40" s="595"/>
      <c r="VBK40" s="595"/>
      <c r="VBL40" s="595"/>
      <c r="VBM40" s="595"/>
      <c r="VBN40" s="595"/>
      <c r="VBO40" s="595"/>
      <c r="VBP40" s="595"/>
      <c r="VBQ40" s="595"/>
      <c r="VBR40" s="595"/>
      <c r="VBS40" s="595"/>
      <c r="VBT40" s="595"/>
      <c r="VBU40" s="595"/>
      <c r="VBV40" s="595"/>
      <c r="VBW40" s="595"/>
      <c r="VBX40" s="595"/>
      <c r="VBY40" s="595"/>
      <c r="VBZ40" s="595"/>
      <c r="VCA40" s="595"/>
      <c r="VCB40" s="595"/>
      <c r="VCC40" s="595"/>
      <c r="VCD40" s="595"/>
      <c r="VCE40" s="595"/>
      <c r="VCF40" s="595"/>
      <c r="VCG40" s="595"/>
      <c r="VCH40" s="595"/>
      <c r="VCI40" s="595"/>
      <c r="VCJ40" s="595"/>
      <c r="VCK40" s="595"/>
      <c r="VCL40" s="595"/>
      <c r="VCM40" s="595"/>
      <c r="VCN40" s="595"/>
      <c r="VCO40" s="595"/>
      <c r="VCP40" s="595"/>
      <c r="VCQ40" s="595"/>
      <c r="VCR40" s="595"/>
      <c r="VCS40" s="595"/>
      <c r="VCT40" s="595"/>
      <c r="VCU40" s="595"/>
      <c r="VCV40" s="595"/>
      <c r="VCW40" s="595"/>
      <c r="VCX40" s="595"/>
      <c r="VCY40" s="595"/>
      <c r="VCZ40" s="595"/>
      <c r="VDA40" s="595"/>
      <c r="VDB40" s="595"/>
      <c r="VDC40" s="595"/>
      <c r="VDD40" s="595"/>
      <c r="VDE40" s="595"/>
      <c r="VDF40" s="595"/>
      <c r="VDG40" s="595"/>
      <c r="VDH40" s="595"/>
      <c r="VDI40" s="595"/>
      <c r="VDJ40" s="595"/>
      <c r="VDK40" s="595"/>
      <c r="VDL40" s="595"/>
      <c r="VDM40" s="595"/>
      <c r="VDN40" s="595"/>
      <c r="VDO40" s="595"/>
      <c r="VDP40" s="595"/>
      <c r="VDQ40" s="595"/>
      <c r="VDR40" s="595"/>
      <c r="VDS40" s="595"/>
      <c r="VDT40" s="595"/>
      <c r="VDU40" s="595"/>
      <c r="VDV40" s="595"/>
      <c r="VDW40" s="595"/>
      <c r="VDX40" s="595"/>
      <c r="VDY40" s="595"/>
      <c r="VDZ40" s="595"/>
      <c r="VEA40" s="595"/>
      <c r="VEB40" s="595"/>
      <c r="VEC40" s="595"/>
      <c r="VED40" s="595"/>
      <c r="VEE40" s="595"/>
      <c r="VEF40" s="595"/>
      <c r="VEG40" s="595"/>
      <c r="VEH40" s="595"/>
      <c r="VEI40" s="595"/>
      <c r="VEJ40" s="595"/>
      <c r="VEK40" s="595"/>
      <c r="VEL40" s="595"/>
      <c r="VEM40" s="595"/>
      <c r="VEN40" s="595"/>
      <c r="VEO40" s="595"/>
      <c r="VEP40" s="595"/>
      <c r="VEQ40" s="595"/>
      <c r="VER40" s="595"/>
      <c r="VES40" s="595"/>
      <c r="VET40" s="595"/>
      <c r="VEU40" s="595"/>
      <c r="VEV40" s="595"/>
      <c r="VEW40" s="595"/>
      <c r="VEX40" s="595"/>
      <c r="VEY40" s="595"/>
      <c r="VEZ40" s="595"/>
      <c r="VFA40" s="595"/>
      <c r="VFB40" s="595"/>
      <c r="VFC40" s="595"/>
      <c r="VFD40" s="595"/>
      <c r="VFE40" s="595"/>
      <c r="VFF40" s="595"/>
      <c r="VFG40" s="595"/>
      <c r="VFH40" s="595"/>
      <c r="VFI40" s="595"/>
      <c r="VFJ40" s="595"/>
      <c r="VFK40" s="595"/>
      <c r="VFL40" s="595"/>
      <c r="VFM40" s="595"/>
      <c r="VFN40" s="595"/>
      <c r="VFO40" s="595"/>
      <c r="VFP40" s="595"/>
      <c r="VFQ40" s="595"/>
      <c r="VFR40" s="595"/>
      <c r="VFS40" s="595"/>
      <c r="VFT40" s="595"/>
      <c r="VFU40" s="595"/>
      <c r="VFV40" s="595"/>
      <c r="VFW40" s="595"/>
      <c r="VFX40" s="595"/>
      <c r="VFY40" s="595"/>
      <c r="VFZ40" s="595"/>
      <c r="VGA40" s="595"/>
      <c r="VGB40" s="595"/>
      <c r="VGC40" s="595"/>
      <c r="VGD40" s="595"/>
      <c r="VGE40" s="595"/>
      <c r="VGF40" s="595"/>
      <c r="VGG40" s="595"/>
      <c r="VGH40" s="595"/>
      <c r="VGI40" s="595"/>
      <c r="VGJ40" s="595"/>
      <c r="VGK40" s="595"/>
      <c r="VGL40" s="595"/>
      <c r="VGM40" s="595"/>
      <c r="VGN40" s="595"/>
      <c r="VGO40" s="595"/>
      <c r="VGP40" s="595"/>
      <c r="VGQ40" s="595"/>
      <c r="VGR40" s="595"/>
      <c r="VGS40" s="595"/>
      <c r="VGT40" s="595"/>
      <c r="VGU40" s="595"/>
      <c r="VGV40" s="595"/>
      <c r="VGW40" s="595"/>
      <c r="VGX40" s="595"/>
      <c r="VGY40" s="595"/>
      <c r="VGZ40" s="595"/>
      <c r="VHA40" s="595"/>
      <c r="VHB40" s="595"/>
      <c r="VHC40" s="595"/>
      <c r="VHD40" s="595"/>
      <c r="VHE40" s="595"/>
      <c r="VHF40" s="595"/>
      <c r="VHG40" s="595"/>
      <c r="VHH40" s="595"/>
      <c r="VHI40" s="595"/>
      <c r="VHJ40" s="595"/>
      <c r="VHK40" s="595"/>
      <c r="VHL40" s="595"/>
      <c r="VHM40" s="595"/>
      <c r="VHN40" s="595"/>
      <c r="VHO40" s="595"/>
      <c r="VHP40" s="595"/>
      <c r="VHQ40" s="595"/>
      <c r="VHR40" s="595"/>
      <c r="VHS40" s="595"/>
      <c r="VHT40" s="595"/>
      <c r="VHU40" s="595"/>
      <c r="VHV40" s="595"/>
      <c r="VHW40" s="595"/>
      <c r="VHX40" s="595"/>
      <c r="VHY40" s="595"/>
      <c r="VHZ40" s="595"/>
      <c r="VIA40" s="595"/>
      <c r="VIB40" s="595"/>
      <c r="VIC40" s="595"/>
      <c r="VID40" s="595"/>
      <c r="VIE40" s="595"/>
      <c r="VIF40" s="595"/>
      <c r="VIG40" s="595"/>
      <c r="VIH40" s="595"/>
      <c r="VII40" s="595"/>
      <c r="VIJ40" s="595"/>
      <c r="VIK40" s="595"/>
      <c r="VIL40" s="595"/>
      <c r="VIM40" s="595"/>
      <c r="VIN40" s="595"/>
      <c r="VIO40" s="595"/>
      <c r="VIP40" s="595"/>
      <c r="VIQ40" s="595"/>
      <c r="VIR40" s="595"/>
      <c r="VIS40" s="595"/>
      <c r="VIT40" s="595"/>
      <c r="VIU40" s="595"/>
      <c r="VIV40" s="595"/>
      <c r="VIW40" s="595"/>
      <c r="VIX40" s="595"/>
      <c r="VIY40" s="595"/>
      <c r="VIZ40" s="595"/>
      <c r="VJA40" s="595"/>
      <c r="VJB40" s="595"/>
      <c r="VJC40" s="595"/>
      <c r="VJD40" s="595"/>
      <c r="VJE40" s="595"/>
      <c r="VJF40" s="595"/>
      <c r="VJG40" s="595"/>
      <c r="VJH40" s="595"/>
      <c r="VJI40" s="595"/>
      <c r="VJJ40" s="595"/>
      <c r="VJK40" s="595"/>
      <c r="VJL40" s="595"/>
      <c r="VJM40" s="595"/>
      <c r="VJN40" s="595"/>
      <c r="VJO40" s="595"/>
      <c r="VJP40" s="595"/>
      <c r="VJQ40" s="595"/>
      <c r="VJR40" s="595"/>
      <c r="VJS40" s="595"/>
      <c r="VJT40" s="595"/>
      <c r="VJU40" s="595"/>
      <c r="VJV40" s="595"/>
      <c r="VJW40" s="595"/>
      <c r="VJX40" s="595"/>
      <c r="VJY40" s="595"/>
      <c r="VJZ40" s="595"/>
      <c r="VKA40" s="595"/>
      <c r="VKB40" s="595"/>
      <c r="VKC40" s="595"/>
      <c r="VKD40" s="595"/>
      <c r="VKE40" s="595"/>
      <c r="VKF40" s="595"/>
      <c r="VKG40" s="595"/>
      <c r="VKH40" s="595"/>
      <c r="VKI40" s="595"/>
      <c r="VKJ40" s="595"/>
      <c r="VKK40" s="595"/>
      <c r="VKL40" s="595"/>
      <c r="VKM40" s="595"/>
      <c r="VKN40" s="595"/>
      <c r="VKO40" s="595"/>
      <c r="VKP40" s="595"/>
      <c r="VKQ40" s="595"/>
      <c r="VKR40" s="595"/>
      <c r="VKS40" s="595"/>
      <c r="VKT40" s="595"/>
      <c r="VKU40" s="595"/>
      <c r="VKV40" s="595"/>
      <c r="VKW40" s="595"/>
      <c r="VKX40" s="595"/>
      <c r="VKY40" s="595"/>
      <c r="VKZ40" s="595"/>
      <c r="VLA40" s="595"/>
      <c r="VLB40" s="595"/>
      <c r="VLC40" s="595"/>
      <c r="VLD40" s="595"/>
      <c r="VLE40" s="595"/>
      <c r="VLF40" s="595"/>
      <c r="VLG40" s="595"/>
      <c r="VLH40" s="595"/>
      <c r="VLI40" s="595"/>
      <c r="VLJ40" s="595"/>
      <c r="VLK40" s="595"/>
      <c r="VLL40" s="595"/>
      <c r="VLM40" s="595"/>
      <c r="VLN40" s="595"/>
      <c r="VLO40" s="595"/>
      <c r="VLP40" s="595"/>
      <c r="VLQ40" s="595"/>
      <c r="VLR40" s="595"/>
      <c r="VLS40" s="595"/>
      <c r="VLT40" s="595"/>
      <c r="VLU40" s="595"/>
      <c r="VLV40" s="595"/>
      <c r="VLW40" s="595"/>
      <c r="VLX40" s="595"/>
      <c r="VLY40" s="595"/>
      <c r="VLZ40" s="595"/>
      <c r="VMA40" s="595"/>
      <c r="VMB40" s="595"/>
      <c r="VMC40" s="595"/>
      <c r="VMD40" s="595"/>
      <c r="VME40" s="595"/>
      <c r="VMF40" s="595"/>
      <c r="VMG40" s="595"/>
      <c r="VMH40" s="595"/>
      <c r="VMI40" s="595"/>
      <c r="VMJ40" s="595"/>
      <c r="VMK40" s="595"/>
      <c r="VML40" s="595"/>
      <c r="VMM40" s="595"/>
      <c r="VMN40" s="595"/>
      <c r="VMO40" s="595"/>
      <c r="VMP40" s="595"/>
      <c r="VMQ40" s="595"/>
      <c r="VMR40" s="595"/>
      <c r="VMS40" s="595"/>
      <c r="VMT40" s="595"/>
      <c r="VMU40" s="595"/>
      <c r="VMV40" s="595"/>
      <c r="VMW40" s="595"/>
      <c r="VMX40" s="595"/>
      <c r="VMY40" s="595"/>
      <c r="VMZ40" s="595"/>
      <c r="VNA40" s="595"/>
      <c r="VNB40" s="595"/>
      <c r="VNC40" s="595"/>
      <c r="VND40" s="595"/>
      <c r="VNE40" s="595"/>
      <c r="VNF40" s="595"/>
      <c r="VNG40" s="595"/>
      <c r="VNH40" s="595"/>
      <c r="VNI40" s="595"/>
      <c r="VNJ40" s="595"/>
      <c r="VNK40" s="595"/>
      <c r="VNL40" s="595"/>
      <c r="VNM40" s="595"/>
      <c r="VNN40" s="595"/>
      <c r="VNO40" s="595"/>
      <c r="VNP40" s="595"/>
      <c r="VNQ40" s="595"/>
      <c r="VNR40" s="595"/>
      <c r="VNS40" s="595"/>
      <c r="VNT40" s="595"/>
      <c r="VNU40" s="595"/>
      <c r="VNV40" s="595"/>
      <c r="VNW40" s="595"/>
      <c r="VNX40" s="595"/>
      <c r="VNY40" s="595"/>
      <c r="VNZ40" s="595"/>
      <c r="VOA40" s="595"/>
      <c r="VOB40" s="595"/>
      <c r="VOC40" s="595"/>
      <c r="VOD40" s="595"/>
      <c r="VOE40" s="595"/>
      <c r="VOF40" s="595"/>
      <c r="VOG40" s="595"/>
      <c r="VOH40" s="595"/>
      <c r="VOI40" s="595"/>
      <c r="VOJ40" s="595"/>
      <c r="VOK40" s="595"/>
      <c r="VOL40" s="595"/>
      <c r="VOM40" s="595"/>
      <c r="VON40" s="595"/>
      <c r="VOO40" s="595"/>
      <c r="VOP40" s="595"/>
      <c r="VOQ40" s="595"/>
      <c r="VOR40" s="595"/>
      <c r="VOS40" s="595"/>
      <c r="VOT40" s="595"/>
      <c r="VOU40" s="595"/>
      <c r="VOV40" s="595"/>
      <c r="VOW40" s="595"/>
      <c r="VOX40" s="595"/>
      <c r="VOY40" s="595"/>
      <c r="VOZ40" s="595"/>
      <c r="VPA40" s="595"/>
      <c r="VPB40" s="595"/>
      <c r="VPC40" s="595"/>
      <c r="VPD40" s="595"/>
      <c r="VPE40" s="595"/>
      <c r="VPF40" s="595"/>
      <c r="VPG40" s="595"/>
      <c r="VPH40" s="595"/>
      <c r="VPI40" s="595"/>
      <c r="VPJ40" s="595"/>
      <c r="VPK40" s="595"/>
      <c r="VPL40" s="595"/>
      <c r="VPM40" s="595"/>
      <c r="VPN40" s="595"/>
      <c r="VPO40" s="595"/>
      <c r="VPP40" s="595"/>
      <c r="VPQ40" s="595"/>
      <c r="VPR40" s="595"/>
      <c r="VPS40" s="595"/>
      <c r="VPT40" s="595"/>
      <c r="VPU40" s="595"/>
      <c r="VPV40" s="595"/>
      <c r="VPW40" s="595"/>
      <c r="VPX40" s="595"/>
      <c r="VPY40" s="595"/>
      <c r="VPZ40" s="595"/>
      <c r="VQA40" s="595"/>
      <c r="VQB40" s="595"/>
      <c r="VQC40" s="595"/>
      <c r="VQD40" s="595"/>
      <c r="VQE40" s="595"/>
      <c r="VQF40" s="595"/>
      <c r="VQG40" s="595"/>
      <c r="VQH40" s="595"/>
      <c r="VQI40" s="595"/>
      <c r="VQJ40" s="595"/>
      <c r="VQK40" s="595"/>
      <c r="VQL40" s="595"/>
      <c r="VQM40" s="595"/>
      <c r="VQN40" s="595"/>
      <c r="VQO40" s="595"/>
      <c r="VQP40" s="595"/>
      <c r="VQQ40" s="595"/>
      <c r="VQR40" s="595"/>
      <c r="VQS40" s="595"/>
      <c r="VQT40" s="595"/>
      <c r="VQU40" s="595"/>
      <c r="VQV40" s="595"/>
      <c r="VQW40" s="595"/>
      <c r="VQX40" s="595"/>
      <c r="VQY40" s="595"/>
      <c r="VQZ40" s="595"/>
      <c r="VRA40" s="595"/>
      <c r="VRB40" s="595"/>
      <c r="VRC40" s="595"/>
      <c r="VRD40" s="595"/>
      <c r="VRE40" s="595"/>
      <c r="VRF40" s="595"/>
      <c r="VRG40" s="595"/>
      <c r="VRH40" s="595"/>
      <c r="VRI40" s="595"/>
      <c r="VRJ40" s="595"/>
      <c r="VRK40" s="595"/>
      <c r="VRL40" s="595"/>
      <c r="VRM40" s="595"/>
      <c r="VRN40" s="595"/>
      <c r="VRO40" s="595"/>
      <c r="VRP40" s="595"/>
      <c r="VRQ40" s="595"/>
      <c r="VRR40" s="595"/>
      <c r="VRS40" s="595"/>
      <c r="VRT40" s="595"/>
      <c r="VRU40" s="595"/>
      <c r="VRV40" s="595"/>
      <c r="VRW40" s="595"/>
      <c r="VRX40" s="595"/>
      <c r="VRY40" s="595"/>
      <c r="VRZ40" s="595"/>
      <c r="VSA40" s="595"/>
      <c r="VSB40" s="595"/>
      <c r="VSC40" s="595"/>
      <c r="VSD40" s="595"/>
      <c r="VSE40" s="595"/>
      <c r="VSF40" s="595"/>
      <c r="VSG40" s="595"/>
      <c r="VSH40" s="595"/>
      <c r="VSI40" s="595"/>
      <c r="VSJ40" s="595"/>
      <c r="VSK40" s="595"/>
      <c r="VSL40" s="595"/>
      <c r="VSM40" s="595"/>
      <c r="VSN40" s="595"/>
      <c r="VSO40" s="595"/>
      <c r="VSP40" s="595"/>
      <c r="VSQ40" s="595"/>
      <c r="VSR40" s="595"/>
      <c r="VSS40" s="595"/>
      <c r="VST40" s="595"/>
      <c r="VSU40" s="595"/>
      <c r="VSV40" s="595"/>
      <c r="VSW40" s="595"/>
      <c r="VSX40" s="595"/>
      <c r="VSY40" s="595"/>
      <c r="VSZ40" s="595"/>
      <c r="VTA40" s="595"/>
      <c r="VTB40" s="595"/>
      <c r="VTC40" s="595"/>
      <c r="VTD40" s="595"/>
      <c r="VTE40" s="595"/>
      <c r="VTF40" s="595"/>
      <c r="VTG40" s="595"/>
      <c r="VTH40" s="595"/>
      <c r="VTI40" s="595"/>
      <c r="VTJ40" s="595"/>
      <c r="VTK40" s="595"/>
      <c r="VTL40" s="595"/>
      <c r="VTM40" s="595"/>
      <c r="VTN40" s="595"/>
      <c r="VTO40" s="595"/>
      <c r="VTP40" s="595"/>
      <c r="VTQ40" s="595"/>
      <c r="VTR40" s="595"/>
      <c r="VTS40" s="595"/>
      <c r="VTT40" s="595"/>
      <c r="VTU40" s="595"/>
      <c r="VTV40" s="595"/>
      <c r="VTW40" s="595"/>
      <c r="VTX40" s="595"/>
      <c r="VTY40" s="595"/>
      <c r="VTZ40" s="595"/>
      <c r="VUA40" s="595"/>
      <c r="VUB40" s="595"/>
      <c r="VUC40" s="595"/>
      <c r="VUD40" s="595"/>
      <c r="VUE40" s="595"/>
      <c r="VUF40" s="595"/>
      <c r="VUG40" s="595"/>
      <c r="VUH40" s="595"/>
      <c r="VUI40" s="595"/>
      <c r="VUJ40" s="595"/>
      <c r="VUK40" s="595"/>
      <c r="VUL40" s="595"/>
      <c r="VUM40" s="595"/>
      <c r="VUN40" s="595"/>
      <c r="VUO40" s="595"/>
      <c r="VUP40" s="595"/>
      <c r="VUQ40" s="595"/>
      <c r="VUR40" s="595"/>
      <c r="VUS40" s="595"/>
      <c r="VUT40" s="595"/>
      <c r="VUU40" s="595"/>
      <c r="VUV40" s="595"/>
      <c r="VUW40" s="595"/>
      <c r="VUX40" s="595"/>
      <c r="VUY40" s="595"/>
      <c r="VUZ40" s="595"/>
      <c r="VVA40" s="595"/>
      <c r="VVB40" s="595"/>
      <c r="VVC40" s="595"/>
      <c r="VVD40" s="595"/>
      <c r="VVE40" s="595"/>
      <c r="VVF40" s="595"/>
      <c r="VVG40" s="595"/>
      <c r="VVH40" s="595"/>
      <c r="VVI40" s="595"/>
      <c r="VVJ40" s="595"/>
      <c r="VVK40" s="595"/>
      <c r="VVL40" s="595"/>
      <c r="VVM40" s="595"/>
      <c r="VVN40" s="595"/>
      <c r="VVO40" s="595"/>
      <c r="VVP40" s="595"/>
      <c r="VVQ40" s="595"/>
      <c r="VVR40" s="595"/>
      <c r="VVS40" s="595"/>
      <c r="VVT40" s="595"/>
      <c r="VVU40" s="595"/>
      <c r="VVV40" s="595"/>
      <c r="VVW40" s="595"/>
      <c r="VVX40" s="595"/>
      <c r="VVY40" s="595"/>
      <c r="VVZ40" s="595"/>
      <c r="VWA40" s="595"/>
      <c r="VWB40" s="595"/>
      <c r="VWC40" s="595"/>
      <c r="VWD40" s="595"/>
      <c r="VWE40" s="595"/>
      <c r="VWF40" s="595"/>
      <c r="VWG40" s="595"/>
      <c r="VWH40" s="595"/>
      <c r="VWI40" s="595"/>
      <c r="VWJ40" s="595"/>
      <c r="VWK40" s="595"/>
      <c r="VWL40" s="595"/>
      <c r="VWM40" s="595"/>
      <c r="VWN40" s="595"/>
      <c r="VWO40" s="595"/>
      <c r="VWP40" s="595"/>
      <c r="VWQ40" s="595"/>
      <c r="VWR40" s="595"/>
      <c r="VWS40" s="595"/>
      <c r="VWT40" s="595"/>
      <c r="VWU40" s="595"/>
      <c r="VWV40" s="595"/>
      <c r="VWW40" s="595"/>
      <c r="VWX40" s="595"/>
      <c r="VWY40" s="595"/>
      <c r="VWZ40" s="595"/>
      <c r="VXA40" s="595"/>
      <c r="VXB40" s="595"/>
      <c r="VXC40" s="595"/>
      <c r="VXD40" s="595"/>
      <c r="VXE40" s="595"/>
      <c r="VXF40" s="595"/>
      <c r="VXG40" s="595"/>
      <c r="VXH40" s="595"/>
      <c r="VXI40" s="595"/>
      <c r="VXJ40" s="595"/>
      <c r="VXK40" s="595"/>
      <c r="VXL40" s="595"/>
      <c r="VXM40" s="595"/>
      <c r="VXN40" s="595"/>
      <c r="VXO40" s="595"/>
      <c r="VXP40" s="595"/>
      <c r="VXQ40" s="595"/>
      <c r="VXR40" s="595"/>
      <c r="VXS40" s="595"/>
      <c r="VXT40" s="595"/>
      <c r="VXU40" s="595"/>
      <c r="VXV40" s="595"/>
      <c r="VXW40" s="595"/>
      <c r="VXX40" s="595"/>
      <c r="VXY40" s="595"/>
      <c r="VXZ40" s="595"/>
      <c r="VYA40" s="595"/>
      <c r="VYB40" s="595"/>
      <c r="VYC40" s="595"/>
      <c r="VYD40" s="595"/>
      <c r="VYE40" s="595"/>
      <c r="VYF40" s="595"/>
      <c r="VYG40" s="595"/>
      <c r="VYH40" s="595"/>
      <c r="VYI40" s="595"/>
      <c r="VYJ40" s="595"/>
      <c r="VYK40" s="595"/>
      <c r="VYL40" s="595"/>
      <c r="VYM40" s="595"/>
      <c r="VYN40" s="595"/>
      <c r="VYO40" s="595"/>
      <c r="VYP40" s="595"/>
      <c r="VYQ40" s="595"/>
      <c r="VYR40" s="595"/>
      <c r="VYS40" s="595"/>
      <c r="VYT40" s="595"/>
      <c r="VYU40" s="595"/>
      <c r="VYV40" s="595"/>
      <c r="VYW40" s="595"/>
      <c r="VYX40" s="595"/>
      <c r="VYY40" s="595"/>
      <c r="VYZ40" s="595"/>
      <c r="VZA40" s="595"/>
      <c r="VZB40" s="595"/>
      <c r="VZC40" s="595"/>
      <c r="VZD40" s="595"/>
      <c r="VZE40" s="595"/>
      <c r="VZF40" s="595"/>
      <c r="VZG40" s="595"/>
      <c r="VZH40" s="595"/>
      <c r="VZI40" s="595"/>
      <c r="VZJ40" s="595"/>
      <c r="VZK40" s="595"/>
      <c r="VZL40" s="595"/>
      <c r="VZM40" s="595"/>
      <c r="VZN40" s="595"/>
      <c r="VZO40" s="595"/>
      <c r="VZP40" s="595"/>
      <c r="VZQ40" s="595"/>
      <c r="VZR40" s="595"/>
      <c r="VZS40" s="595"/>
      <c r="VZT40" s="595"/>
      <c r="VZU40" s="595"/>
      <c r="VZV40" s="595"/>
      <c r="VZW40" s="595"/>
      <c r="VZX40" s="595"/>
      <c r="VZY40" s="595"/>
      <c r="VZZ40" s="595"/>
      <c r="WAA40" s="595"/>
      <c r="WAB40" s="595"/>
      <c r="WAC40" s="595"/>
      <c r="WAD40" s="595"/>
      <c r="WAE40" s="595"/>
      <c r="WAF40" s="595"/>
      <c r="WAG40" s="595"/>
      <c r="WAH40" s="595"/>
      <c r="WAI40" s="595"/>
      <c r="WAJ40" s="595"/>
      <c r="WAK40" s="595"/>
      <c r="WAL40" s="595"/>
      <c r="WAM40" s="595"/>
      <c r="WAN40" s="595"/>
      <c r="WAO40" s="595"/>
      <c r="WAP40" s="595"/>
      <c r="WAQ40" s="595"/>
      <c r="WAR40" s="595"/>
      <c r="WAS40" s="595"/>
      <c r="WAT40" s="595"/>
      <c r="WAU40" s="595"/>
      <c r="WAV40" s="595"/>
      <c r="WAW40" s="595"/>
      <c r="WAX40" s="595"/>
      <c r="WAY40" s="595"/>
      <c r="WAZ40" s="595"/>
      <c r="WBA40" s="595"/>
      <c r="WBB40" s="595"/>
      <c r="WBC40" s="595"/>
      <c r="WBD40" s="595"/>
      <c r="WBE40" s="595"/>
      <c r="WBF40" s="595"/>
      <c r="WBG40" s="595"/>
      <c r="WBH40" s="595"/>
      <c r="WBI40" s="595"/>
      <c r="WBJ40" s="595"/>
      <c r="WBK40" s="595"/>
      <c r="WBL40" s="595"/>
      <c r="WBM40" s="595"/>
      <c r="WBN40" s="595"/>
      <c r="WBO40" s="595"/>
      <c r="WBP40" s="595"/>
      <c r="WBQ40" s="595"/>
      <c r="WBR40" s="595"/>
      <c r="WBS40" s="595"/>
      <c r="WBT40" s="595"/>
      <c r="WBU40" s="595"/>
      <c r="WBV40" s="595"/>
      <c r="WBW40" s="595"/>
      <c r="WBX40" s="595"/>
      <c r="WBY40" s="595"/>
      <c r="WBZ40" s="595"/>
      <c r="WCA40" s="595"/>
      <c r="WCB40" s="595"/>
      <c r="WCC40" s="595"/>
      <c r="WCD40" s="595"/>
      <c r="WCE40" s="595"/>
      <c r="WCF40" s="595"/>
      <c r="WCG40" s="595"/>
      <c r="WCH40" s="595"/>
      <c r="WCI40" s="595"/>
      <c r="WCJ40" s="595"/>
      <c r="WCK40" s="595"/>
      <c r="WCL40" s="595"/>
      <c r="WCM40" s="595"/>
      <c r="WCN40" s="595"/>
      <c r="WCO40" s="595"/>
      <c r="WCP40" s="595"/>
      <c r="WCQ40" s="595"/>
      <c r="WCR40" s="595"/>
      <c r="WCS40" s="595"/>
      <c r="WCT40" s="595"/>
      <c r="WCU40" s="595"/>
      <c r="WCV40" s="595"/>
      <c r="WCW40" s="595"/>
      <c r="WCX40" s="595"/>
      <c r="WCY40" s="595"/>
      <c r="WCZ40" s="595"/>
      <c r="WDA40" s="595"/>
      <c r="WDB40" s="595"/>
      <c r="WDC40" s="595"/>
      <c r="WDD40" s="595"/>
      <c r="WDE40" s="595"/>
      <c r="WDF40" s="595"/>
      <c r="WDG40" s="595"/>
      <c r="WDH40" s="595"/>
      <c r="WDI40" s="595"/>
      <c r="WDJ40" s="595"/>
      <c r="WDK40" s="595"/>
      <c r="WDL40" s="595"/>
      <c r="WDM40" s="595"/>
      <c r="WDN40" s="595"/>
      <c r="WDO40" s="595"/>
      <c r="WDP40" s="595"/>
      <c r="WDQ40" s="595"/>
      <c r="WDR40" s="595"/>
      <c r="WDS40" s="595"/>
      <c r="WDT40" s="595"/>
      <c r="WDU40" s="595"/>
      <c r="WDV40" s="595"/>
      <c r="WDW40" s="595"/>
      <c r="WDX40" s="595"/>
      <c r="WDY40" s="595"/>
      <c r="WDZ40" s="595"/>
      <c r="WEA40" s="595"/>
      <c r="WEB40" s="595"/>
      <c r="WEC40" s="595"/>
      <c r="WED40" s="595"/>
      <c r="WEE40" s="595"/>
      <c r="WEF40" s="595"/>
      <c r="WEG40" s="595"/>
      <c r="WEH40" s="595"/>
      <c r="WEI40" s="595"/>
      <c r="WEJ40" s="595"/>
      <c r="WEK40" s="595"/>
      <c r="WEL40" s="595"/>
      <c r="WEM40" s="595"/>
      <c r="WEN40" s="595"/>
      <c r="WEO40" s="595"/>
      <c r="WEP40" s="595"/>
      <c r="WEQ40" s="595"/>
      <c r="WER40" s="595"/>
      <c r="WES40" s="595"/>
      <c r="WET40" s="595"/>
      <c r="WEU40" s="595"/>
      <c r="WEV40" s="595"/>
      <c r="WEW40" s="595"/>
      <c r="WEX40" s="595"/>
      <c r="WEY40" s="595"/>
      <c r="WEZ40" s="595"/>
      <c r="WFA40" s="595"/>
      <c r="WFB40" s="595"/>
      <c r="WFC40" s="595"/>
      <c r="WFD40" s="595"/>
      <c r="WFE40" s="595"/>
      <c r="WFF40" s="595"/>
      <c r="WFG40" s="595"/>
      <c r="WFH40" s="595"/>
      <c r="WFI40" s="595"/>
      <c r="WFJ40" s="595"/>
      <c r="WFK40" s="595"/>
      <c r="WFL40" s="595"/>
      <c r="WFM40" s="595"/>
      <c r="WFN40" s="595"/>
      <c r="WFO40" s="595"/>
      <c r="WFP40" s="595"/>
      <c r="WFQ40" s="595"/>
      <c r="WFR40" s="595"/>
      <c r="WFS40" s="595"/>
      <c r="WFT40" s="595"/>
      <c r="WFU40" s="595"/>
      <c r="WFV40" s="595"/>
      <c r="WFW40" s="595"/>
      <c r="WFX40" s="595"/>
      <c r="WFY40" s="595"/>
      <c r="WFZ40" s="595"/>
      <c r="WGA40" s="595"/>
      <c r="WGB40" s="595"/>
      <c r="WGC40" s="595"/>
      <c r="WGD40" s="595"/>
      <c r="WGE40" s="595"/>
      <c r="WGF40" s="595"/>
      <c r="WGG40" s="595"/>
      <c r="WGH40" s="595"/>
      <c r="WGI40" s="595"/>
      <c r="WGJ40" s="595"/>
      <c r="WGK40" s="595"/>
      <c r="WGL40" s="595"/>
      <c r="WGM40" s="595"/>
      <c r="WGN40" s="595"/>
      <c r="WGO40" s="595"/>
      <c r="WGP40" s="595"/>
      <c r="WGQ40" s="595"/>
      <c r="WGR40" s="595"/>
      <c r="WGS40" s="595"/>
      <c r="WGT40" s="595"/>
      <c r="WGU40" s="595"/>
      <c r="WGV40" s="595"/>
      <c r="WGW40" s="595"/>
      <c r="WGX40" s="595"/>
      <c r="WGY40" s="595"/>
      <c r="WGZ40" s="595"/>
      <c r="WHA40" s="595"/>
      <c r="WHB40" s="595"/>
      <c r="WHC40" s="595"/>
      <c r="WHD40" s="595"/>
      <c r="WHE40" s="595"/>
      <c r="WHF40" s="595"/>
      <c r="WHG40" s="595"/>
      <c r="WHH40" s="595"/>
      <c r="WHI40" s="595"/>
      <c r="WHJ40" s="595"/>
      <c r="WHK40" s="595"/>
      <c r="WHL40" s="595"/>
      <c r="WHM40" s="595"/>
      <c r="WHN40" s="595"/>
      <c r="WHO40" s="595"/>
      <c r="WHP40" s="595"/>
      <c r="WHQ40" s="595"/>
      <c r="WHR40" s="595"/>
      <c r="WHS40" s="595"/>
      <c r="WHT40" s="595"/>
      <c r="WHU40" s="595"/>
      <c r="WHV40" s="595"/>
      <c r="WHW40" s="595"/>
      <c r="WHX40" s="595"/>
      <c r="WHY40" s="595"/>
      <c r="WHZ40" s="595"/>
      <c r="WIA40" s="595"/>
      <c r="WIB40" s="595"/>
      <c r="WIC40" s="595"/>
      <c r="WID40" s="595"/>
      <c r="WIE40" s="595"/>
      <c r="WIF40" s="595"/>
      <c r="WIG40" s="595"/>
      <c r="WIH40" s="595"/>
      <c r="WII40" s="595"/>
      <c r="WIJ40" s="595"/>
      <c r="WIK40" s="595"/>
      <c r="WIL40" s="595"/>
      <c r="WIM40" s="595"/>
      <c r="WIN40" s="595"/>
      <c r="WIO40" s="595"/>
      <c r="WIP40" s="595"/>
      <c r="WIQ40" s="595"/>
      <c r="WIR40" s="595"/>
      <c r="WIS40" s="595"/>
      <c r="WIT40" s="595"/>
      <c r="WIU40" s="595"/>
      <c r="WIV40" s="595"/>
      <c r="WIW40" s="595"/>
      <c r="WIX40" s="595"/>
      <c r="WIY40" s="595"/>
      <c r="WIZ40" s="595"/>
      <c r="WJA40" s="595"/>
      <c r="WJB40" s="595"/>
      <c r="WJC40" s="595"/>
      <c r="WJD40" s="595"/>
      <c r="WJE40" s="595"/>
      <c r="WJF40" s="595"/>
      <c r="WJG40" s="595"/>
      <c r="WJH40" s="595"/>
      <c r="WJI40" s="595"/>
      <c r="WJJ40" s="595"/>
      <c r="WJK40" s="595"/>
      <c r="WJL40" s="595"/>
      <c r="WJM40" s="595"/>
      <c r="WJN40" s="595"/>
      <c r="WJO40" s="595"/>
      <c r="WJP40" s="595"/>
      <c r="WJQ40" s="595"/>
      <c r="WJR40" s="595"/>
      <c r="WJS40" s="595"/>
      <c r="WJT40" s="595"/>
      <c r="WJU40" s="595"/>
      <c r="WJV40" s="595"/>
      <c r="WJW40" s="595"/>
      <c r="WJX40" s="595"/>
      <c r="WJY40" s="595"/>
      <c r="WJZ40" s="595"/>
      <c r="WKA40" s="595"/>
      <c r="WKB40" s="595"/>
      <c r="WKC40" s="595"/>
      <c r="WKD40" s="595"/>
      <c r="WKE40" s="595"/>
      <c r="WKF40" s="595"/>
      <c r="WKG40" s="595"/>
      <c r="WKH40" s="595"/>
      <c r="WKI40" s="595"/>
      <c r="WKJ40" s="595"/>
      <c r="WKK40" s="595"/>
      <c r="WKL40" s="595"/>
      <c r="WKM40" s="595"/>
      <c r="WKN40" s="595"/>
      <c r="WKO40" s="595"/>
      <c r="WKP40" s="595"/>
      <c r="WKQ40" s="595"/>
      <c r="WKR40" s="595"/>
      <c r="WKS40" s="595"/>
      <c r="WKT40" s="595"/>
      <c r="WKU40" s="595"/>
      <c r="WKV40" s="595"/>
      <c r="WKW40" s="595"/>
      <c r="WKX40" s="595"/>
      <c r="WKY40" s="595"/>
      <c r="WKZ40" s="595"/>
      <c r="WLA40" s="595"/>
      <c r="WLB40" s="595"/>
      <c r="WLC40" s="595"/>
      <c r="WLD40" s="595"/>
      <c r="WLE40" s="595"/>
      <c r="WLF40" s="595"/>
      <c r="WLG40" s="595"/>
      <c r="WLH40" s="595"/>
      <c r="WLI40" s="595"/>
      <c r="WLJ40" s="595"/>
      <c r="WLK40" s="595"/>
      <c r="WLL40" s="595"/>
      <c r="WLM40" s="595"/>
      <c r="WLN40" s="595"/>
      <c r="WLO40" s="595"/>
      <c r="WLP40" s="595"/>
      <c r="WLQ40" s="595"/>
      <c r="WLR40" s="595"/>
      <c r="WLS40" s="595"/>
      <c r="WLT40" s="595"/>
      <c r="WLU40" s="595"/>
      <c r="WLV40" s="595"/>
      <c r="WLW40" s="595"/>
      <c r="WLX40" s="595"/>
      <c r="WLY40" s="595"/>
      <c r="WLZ40" s="595"/>
      <c r="WMA40" s="595"/>
      <c r="WMB40" s="595"/>
      <c r="WMC40" s="595"/>
      <c r="WMD40" s="595"/>
      <c r="WME40" s="595"/>
      <c r="WMF40" s="595"/>
      <c r="WMG40" s="595"/>
      <c r="WMH40" s="595"/>
      <c r="WMI40" s="595"/>
      <c r="WMJ40" s="595"/>
      <c r="WMK40" s="595"/>
      <c r="WML40" s="595"/>
      <c r="WMM40" s="595"/>
      <c r="WMN40" s="595"/>
      <c r="WMO40" s="595"/>
      <c r="WMP40" s="595"/>
      <c r="WMQ40" s="595"/>
      <c r="WMR40" s="595"/>
      <c r="WMS40" s="595"/>
      <c r="WMT40" s="595"/>
      <c r="WMU40" s="595"/>
      <c r="WMV40" s="595"/>
      <c r="WMW40" s="595"/>
      <c r="WMX40" s="595"/>
      <c r="WMY40" s="595"/>
      <c r="WMZ40" s="595"/>
      <c r="WNA40" s="595"/>
      <c r="WNB40" s="595"/>
      <c r="WNC40" s="595"/>
      <c r="WND40" s="595"/>
      <c r="WNE40" s="595"/>
      <c r="WNF40" s="595"/>
      <c r="WNG40" s="595"/>
      <c r="WNH40" s="595"/>
      <c r="WNI40" s="595"/>
      <c r="WNJ40" s="595"/>
      <c r="WNK40" s="595"/>
      <c r="WNL40" s="595"/>
      <c r="WNM40" s="595"/>
      <c r="WNN40" s="595"/>
      <c r="WNO40" s="595"/>
      <c r="WNP40" s="595"/>
      <c r="WNQ40" s="595"/>
      <c r="WNR40" s="595"/>
      <c r="WNS40" s="595"/>
      <c r="WNT40" s="595"/>
      <c r="WNU40" s="595"/>
      <c r="WNV40" s="595"/>
      <c r="WNW40" s="595"/>
      <c r="WNX40" s="595"/>
      <c r="WNY40" s="595"/>
      <c r="WNZ40" s="595"/>
      <c r="WOA40" s="595"/>
      <c r="WOB40" s="595"/>
      <c r="WOC40" s="595"/>
      <c r="WOD40" s="595"/>
      <c r="WOE40" s="595"/>
      <c r="WOF40" s="595"/>
      <c r="WOG40" s="595"/>
      <c r="WOH40" s="595"/>
      <c r="WOI40" s="595"/>
      <c r="WOJ40" s="595"/>
      <c r="WOK40" s="595"/>
      <c r="WOL40" s="595"/>
      <c r="WOM40" s="595"/>
      <c r="WON40" s="595"/>
      <c r="WOO40" s="595"/>
      <c r="WOP40" s="595"/>
      <c r="WOQ40" s="595"/>
      <c r="WOR40" s="595"/>
      <c r="WOS40" s="595"/>
      <c r="WOT40" s="595"/>
      <c r="WOU40" s="595"/>
      <c r="WOV40" s="595"/>
      <c r="WOW40" s="595"/>
      <c r="WOX40" s="595"/>
      <c r="WOY40" s="595"/>
      <c r="WOZ40" s="595"/>
      <c r="WPA40" s="595"/>
      <c r="WPB40" s="595"/>
      <c r="WPC40" s="595"/>
      <c r="WPD40" s="595"/>
      <c r="WPE40" s="595"/>
      <c r="WPF40" s="595"/>
      <c r="WPG40" s="595"/>
      <c r="WPH40" s="595"/>
      <c r="WPI40" s="595"/>
      <c r="WPJ40" s="595"/>
      <c r="WPK40" s="595"/>
      <c r="WPL40" s="595"/>
      <c r="WPM40" s="595"/>
      <c r="WPN40" s="595"/>
      <c r="WPO40" s="595"/>
      <c r="WPP40" s="595"/>
      <c r="WPQ40" s="595"/>
      <c r="WPR40" s="595"/>
      <c r="WPS40" s="595"/>
      <c r="WPT40" s="595"/>
      <c r="WPU40" s="595"/>
      <c r="WPV40" s="595"/>
      <c r="WPW40" s="595"/>
      <c r="WPX40" s="595"/>
      <c r="WPY40" s="595"/>
      <c r="WPZ40" s="595"/>
      <c r="WQA40" s="595"/>
      <c r="WQB40" s="595"/>
      <c r="WQC40" s="595"/>
      <c r="WQD40" s="595"/>
      <c r="WQE40" s="595"/>
      <c r="WQF40" s="595"/>
      <c r="WQG40" s="595"/>
      <c r="WQH40" s="595"/>
      <c r="WQI40" s="595"/>
      <c r="WQJ40" s="595"/>
      <c r="WQK40" s="595"/>
      <c r="WQL40" s="595"/>
      <c r="WQM40" s="595"/>
      <c r="WQN40" s="595"/>
      <c r="WQO40" s="595"/>
      <c r="WQP40" s="595"/>
      <c r="WQQ40" s="595"/>
      <c r="WQR40" s="595"/>
      <c r="WQS40" s="595"/>
      <c r="WQT40" s="595"/>
      <c r="WQU40" s="595"/>
      <c r="WQV40" s="595"/>
      <c r="WQW40" s="595"/>
      <c r="WQX40" s="595"/>
      <c r="WQY40" s="595"/>
      <c r="WQZ40" s="595"/>
      <c r="WRA40" s="595"/>
      <c r="WRB40" s="595"/>
      <c r="WRC40" s="595"/>
      <c r="WRD40" s="595"/>
      <c r="WRE40" s="595"/>
      <c r="WRF40" s="595"/>
      <c r="WRG40" s="595"/>
      <c r="WRH40" s="595"/>
      <c r="WRI40" s="595"/>
      <c r="WRJ40" s="595"/>
      <c r="WRK40" s="595"/>
      <c r="WRL40" s="595"/>
      <c r="WRM40" s="595"/>
      <c r="WRN40" s="595"/>
      <c r="WRO40" s="595"/>
      <c r="WRP40" s="595"/>
      <c r="WRQ40" s="595"/>
      <c r="WRR40" s="595"/>
      <c r="WRS40" s="595"/>
      <c r="WRT40" s="595"/>
      <c r="WRU40" s="595"/>
      <c r="WRV40" s="595"/>
      <c r="WRW40" s="595"/>
      <c r="WRX40" s="595"/>
      <c r="WRY40" s="595"/>
      <c r="WRZ40" s="595"/>
      <c r="WSA40" s="595"/>
      <c r="WSB40" s="595"/>
      <c r="WSC40" s="595"/>
      <c r="WSD40" s="595"/>
      <c r="WSE40" s="595"/>
      <c r="WSF40" s="595"/>
      <c r="WSG40" s="595"/>
      <c r="WSH40" s="595"/>
      <c r="WSI40" s="595"/>
      <c r="WSJ40" s="595"/>
      <c r="WSK40" s="595"/>
      <c r="WSL40" s="595"/>
      <c r="WSM40" s="595"/>
      <c r="WSN40" s="595"/>
      <c r="WSO40" s="595"/>
      <c r="WSP40" s="595"/>
      <c r="WSQ40" s="595"/>
      <c r="WSR40" s="595"/>
      <c r="WSS40" s="595"/>
      <c r="WST40" s="595"/>
      <c r="WSU40" s="595"/>
      <c r="WSV40" s="595"/>
      <c r="WSW40" s="595"/>
      <c r="WSX40" s="595"/>
      <c r="WSY40" s="595"/>
      <c r="WSZ40" s="595"/>
      <c r="WTA40" s="595"/>
      <c r="WTB40" s="595"/>
      <c r="WTC40" s="595"/>
      <c r="WTD40" s="595"/>
      <c r="WTE40" s="595"/>
      <c r="WTF40" s="595"/>
      <c r="WTG40" s="595"/>
      <c r="WTH40" s="595"/>
      <c r="WTI40" s="595"/>
      <c r="WTJ40" s="595"/>
      <c r="WTK40" s="595"/>
      <c r="WTL40" s="595"/>
      <c r="WTM40" s="595"/>
      <c r="WTN40" s="595"/>
      <c r="WTO40" s="595"/>
      <c r="WTP40" s="595"/>
      <c r="WTQ40" s="595"/>
      <c r="WTR40" s="595"/>
      <c r="WTS40" s="595"/>
      <c r="WTT40" s="595"/>
      <c r="WTU40" s="595"/>
      <c r="WTV40" s="595"/>
      <c r="WTW40" s="595"/>
      <c r="WTX40" s="595"/>
      <c r="WTY40" s="595"/>
      <c r="WTZ40" s="595"/>
      <c r="WUA40" s="595"/>
      <c r="WUB40" s="595"/>
      <c r="WUC40" s="595"/>
      <c r="WUD40" s="595"/>
      <c r="WUE40" s="595"/>
      <c r="WUF40" s="595"/>
      <c r="WUG40" s="595"/>
      <c r="WUH40" s="595"/>
      <c r="WUI40" s="595"/>
      <c r="WUJ40" s="595"/>
      <c r="WUK40" s="595"/>
      <c r="WUL40" s="595"/>
      <c r="WUM40" s="595"/>
      <c r="WUN40" s="595"/>
      <c r="WUO40" s="595"/>
      <c r="WUP40" s="595"/>
      <c r="WUQ40" s="595"/>
      <c r="WUR40" s="595"/>
      <c r="WUS40" s="595"/>
      <c r="WUT40" s="595"/>
      <c r="WUU40" s="595"/>
      <c r="WUV40" s="595"/>
      <c r="WUW40" s="595"/>
      <c r="WUX40" s="595"/>
      <c r="WUY40" s="595"/>
      <c r="WUZ40" s="595"/>
      <c r="WVA40" s="595"/>
      <c r="WVB40" s="595"/>
      <c r="WVC40" s="595"/>
      <c r="WVD40" s="595"/>
      <c r="WVE40" s="595"/>
      <c r="WVF40" s="595"/>
      <c r="WVG40" s="595"/>
      <c r="WVH40" s="595"/>
      <c r="WVI40" s="595"/>
      <c r="WVJ40" s="595"/>
      <c r="WVK40" s="595"/>
      <c r="WVL40" s="595"/>
      <c r="WVM40" s="595"/>
      <c r="WVN40" s="595"/>
      <c r="WVO40" s="595"/>
      <c r="WVP40" s="595"/>
      <c r="WVQ40" s="595"/>
    </row>
    <row r="41" spans="1:16137" s="601" customFormat="1" ht="17.25" customHeight="1">
      <c r="A41" s="952"/>
      <c r="B41" s="962"/>
      <c r="C41" s="962"/>
      <c r="D41" s="595"/>
      <c r="E41" s="595"/>
      <c r="F41" s="954"/>
      <c r="G41" s="954"/>
      <c r="H41" s="595"/>
      <c r="I41" s="595"/>
      <c r="J41" s="595"/>
      <c r="CF41" s="595"/>
      <c r="CG41" s="595"/>
      <c r="CH41" s="595"/>
      <c r="CI41" s="595"/>
      <c r="CJ41" s="595"/>
      <c r="CK41" s="595"/>
      <c r="CL41" s="595"/>
      <c r="CM41" s="595"/>
      <c r="CN41" s="595"/>
      <c r="CO41" s="595"/>
      <c r="CP41" s="595"/>
      <c r="CQ41" s="595"/>
      <c r="CR41" s="595"/>
      <c r="CS41" s="595"/>
      <c r="CT41" s="595"/>
      <c r="CU41" s="595"/>
      <c r="CV41" s="595"/>
      <c r="CW41" s="595"/>
      <c r="CX41" s="595"/>
      <c r="CY41" s="595"/>
      <c r="CZ41" s="595"/>
      <c r="DA41" s="595"/>
      <c r="DB41" s="595"/>
      <c r="DC41" s="595"/>
      <c r="DD41" s="595"/>
      <c r="DE41" s="595"/>
      <c r="DF41" s="595"/>
      <c r="DG41" s="595"/>
      <c r="DH41" s="595"/>
      <c r="DI41" s="595"/>
      <c r="DJ41" s="595"/>
      <c r="DK41" s="595"/>
      <c r="DL41" s="595"/>
      <c r="DM41" s="595"/>
      <c r="DN41" s="595"/>
      <c r="DO41" s="595"/>
      <c r="DP41" s="595"/>
      <c r="DQ41" s="595"/>
      <c r="DR41" s="595"/>
      <c r="DS41" s="595"/>
      <c r="DT41" s="595"/>
      <c r="DU41" s="595"/>
      <c r="DV41" s="595"/>
      <c r="DW41" s="595"/>
      <c r="DX41" s="595"/>
      <c r="DY41" s="595"/>
      <c r="DZ41" s="595"/>
      <c r="EA41" s="595"/>
      <c r="EB41" s="595"/>
      <c r="EC41" s="595"/>
      <c r="ED41" s="595"/>
      <c r="EE41" s="595"/>
      <c r="EF41" s="595"/>
      <c r="EG41" s="595"/>
      <c r="EH41" s="595"/>
      <c r="EI41" s="595"/>
      <c r="EJ41" s="595"/>
      <c r="EK41" s="595"/>
      <c r="EL41" s="595"/>
      <c r="EM41" s="595"/>
      <c r="EN41" s="595"/>
      <c r="EO41" s="595"/>
      <c r="EP41" s="595"/>
      <c r="EQ41" s="595"/>
      <c r="ER41" s="595"/>
      <c r="ES41" s="595"/>
      <c r="ET41" s="595"/>
      <c r="EU41" s="595"/>
      <c r="EV41" s="595"/>
      <c r="EW41" s="595"/>
      <c r="EX41" s="595"/>
      <c r="EY41" s="595"/>
      <c r="EZ41" s="595"/>
      <c r="FA41" s="595"/>
      <c r="FB41" s="595"/>
      <c r="FC41" s="595"/>
      <c r="FD41" s="595"/>
      <c r="FE41" s="595"/>
      <c r="FF41" s="595"/>
      <c r="FG41" s="595"/>
      <c r="FH41" s="595"/>
      <c r="FI41" s="595"/>
      <c r="FJ41" s="595"/>
      <c r="FK41" s="595"/>
      <c r="FL41" s="595"/>
      <c r="FM41" s="595"/>
      <c r="FN41" s="595"/>
      <c r="FO41" s="595"/>
      <c r="FP41" s="595"/>
      <c r="FQ41" s="595"/>
      <c r="FR41" s="595"/>
      <c r="FS41" s="595"/>
      <c r="FT41" s="595"/>
      <c r="FU41" s="595"/>
      <c r="FV41" s="595"/>
      <c r="FW41" s="595"/>
      <c r="FX41" s="595"/>
      <c r="FY41" s="595"/>
      <c r="FZ41" s="595"/>
      <c r="GA41" s="595"/>
      <c r="GB41" s="595"/>
      <c r="GC41" s="595"/>
      <c r="GD41" s="595"/>
      <c r="GE41" s="595"/>
      <c r="GF41" s="595"/>
      <c r="GG41" s="595"/>
      <c r="GH41" s="595"/>
      <c r="GI41" s="595"/>
      <c r="GJ41" s="595"/>
      <c r="GK41" s="595"/>
      <c r="GL41" s="595"/>
      <c r="GM41" s="595"/>
      <c r="GN41" s="595"/>
      <c r="GO41" s="595"/>
      <c r="GP41" s="595"/>
      <c r="GQ41" s="595"/>
      <c r="GR41" s="595"/>
      <c r="GS41" s="595"/>
      <c r="GT41" s="595"/>
      <c r="GU41" s="595"/>
      <c r="GV41" s="595"/>
      <c r="GW41" s="595"/>
      <c r="GX41" s="595"/>
      <c r="GY41" s="595"/>
      <c r="GZ41" s="595"/>
      <c r="HA41" s="595"/>
      <c r="HB41" s="595"/>
      <c r="HC41" s="595"/>
      <c r="HD41" s="595"/>
      <c r="HE41" s="595"/>
      <c r="HF41" s="595"/>
      <c r="HG41" s="595"/>
      <c r="HH41" s="595"/>
      <c r="HI41" s="595"/>
      <c r="HJ41" s="595"/>
      <c r="HK41" s="595"/>
      <c r="HL41" s="595"/>
      <c r="HM41" s="595"/>
      <c r="HN41" s="595"/>
      <c r="HO41" s="595"/>
      <c r="HP41" s="595"/>
      <c r="HQ41" s="595"/>
      <c r="HR41" s="595"/>
      <c r="HS41" s="595"/>
      <c r="HT41" s="595"/>
      <c r="HU41" s="595"/>
      <c r="HV41" s="595"/>
      <c r="HW41" s="595"/>
      <c r="HX41" s="595"/>
      <c r="HY41" s="595"/>
      <c r="HZ41" s="595"/>
      <c r="IA41" s="595"/>
      <c r="IB41" s="595"/>
      <c r="IC41" s="595"/>
      <c r="ID41" s="595"/>
      <c r="IE41" s="595"/>
      <c r="IF41" s="595"/>
      <c r="IG41" s="595"/>
      <c r="IH41" s="595"/>
      <c r="II41" s="595"/>
      <c r="IJ41" s="595"/>
      <c r="IK41" s="595"/>
      <c r="IL41" s="595"/>
      <c r="IM41" s="595"/>
      <c r="IN41" s="595"/>
      <c r="IO41" s="595"/>
      <c r="IP41" s="595"/>
      <c r="IQ41" s="595"/>
      <c r="IR41" s="595"/>
      <c r="IS41" s="595"/>
      <c r="IT41" s="595"/>
      <c r="IU41" s="595"/>
      <c r="IV41" s="595"/>
      <c r="IW41" s="595"/>
      <c r="IX41" s="595"/>
      <c r="IY41" s="595"/>
      <c r="IZ41" s="595"/>
      <c r="JA41" s="595"/>
      <c r="JB41" s="595"/>
      <c r="JC41" s="595"/>
      <c r="JD41" s="595"/>
      <c r="JE41" s="595"/>
      <c r="JF41" s="595"/>
      <c r="JG41" s="595"/>
      <c r="JH41" s="595"/>
      <c r="JI41" s="595"/>
      <c r="JJ41" s="595"/>
      <c r="JK41" s="595"/>
      <c r="JL41" s="595"/>
      <c r="JM41" s="595"/>
      <c r="JN41" s="595"/>
      <c r="JO41" s="595"/>
      <c r="JP41" s="595"/>
      <c r="JQ41" s="595"/>
      <c r="JR41" s="595"/>
      <c r="JS41" s="595"/>
      <c r="JT41" s="595"/>
      <c r="JU41" s="595"/>
      <c r="JV41" s="595"/>
      <c r="JW41" s="595"/>
      <c r="JX41" s="595"/>
      <c r="JY41" s="595"/>
      <c r="JZ41" s="595"/>
      <c r="KA41" s="595"/>
      <c r="KB41" s="595"/>
      <c r="KC41" s="595"/>
      <c r="KD41" s="595"/>
      <c r="KE41" s="595"/>
      <c r="KF41" s="595"/>
      <c r="KG41" s="595"/>
      <c r="KH41" s="595"/>
      <c r="KI41" s="595"/>
      <c r="KJ41" s="595"/>
      <c r="KK41" s="595"/>
      <c r="KL41" s="595"/>
      <c r="KM41" s="595"/>
      <c r="KN41" s="595"/>
      <c r="KO41" s="595"/>
      <c r="KP41" s="595"/>
      <c r="KQ41" s="595"/>
      <c r="KR41" s="595"/>
      <c r="KS41" s="595"/>
      <c r="KT41" s="595"/>
      <c r="KU41" s="595"/>
      <c r="KV41" s="595"/>
      <c r="KW41" s="595"/>
      <c r="KX41" s="595"/>
      <c r="KY41" s="595"/>
      <c r="KZ41" s="595"/>
      <c r="LA41" s="595"/>
      <c r="LB41" s="595"/>
      <c r="LC41" s="595"/>
      <c r="LD41" s="595"/>
      <c r="LE41" s="595"/>
      <c r="LF41" s="595"/>
      <c r="LG41" s="595"/>
      <c r="LH41" s="595"/>
      <c r="LI41" s="595"/>
      <c r="LJ41" s="595"/>
      <c r="LK41" s="595"/>
      <c r="LL41" s="595"/>
      <c r="LM41" s="595"/>
      <c r="LN41" s="595"/>
      <c r="LO41" s="595"/>
      <c r="LP41" s="595"/>
      <c r="LQ41" s="595"/>
      <c r="LR41" s="595"/>
      <c r="LS41" s="595"/>
      <c r="LT41" s="595"/>
      <c r="LU41" s="595"/>
      <c r="LV41" s="595"/>
      <c r="LW41" s="595"/>
      <c r="LX41" s="595"/>
      <c r="LY41" s="595"/>
      <c r="LZ41" s="595"/>
      <c r="MA41" s="595"/>
      <c r="MB41" s="595"/>
      <c r="MC41" s="595"/>
      <c r="MD41" s="595"/>
      <c r="ME41" s="595"/>
      <c r="MF41" s="595"/>
      <c r="MG41" s="595"/>
      <c r="MH41" s="595"/>
      <c r="MI41" s="595"/>
      <c r="MJ41" s="595"/>
      <c r="MK41" s="595"/>
      <c r="ML41" s="595"/>
      <c r="MM41" s="595"/>
      <c r="MN41" s="595"/>
      <c r="MO41" s="595"/>
      <c r="MP41" s="595"/>
      <c r="MQ41" s="595"/>
      <c r="MR41" s="595"/>
      <c r="MS41" s="595"/>
      <c r="MT41" s="595"/>
      <c r="MU41" s="595"/>
      <c r="MV41" s="595"/>
      <c r="MW41" s="595"/>
      <c r="MX41" s="595"/>
      <c r="MY41" s="595"/>
      <c r="MZ41" s="595"/>
      <c r="NA41" s="595"/>
      <c r="NB41" s="595"/>
      <c r="NC41" s="595"/>
      <c r="ND41" s="595"/>
      <c r="NE41" s="595"/>
      <c r="NF41" s="595"/>
      <c r="NG41" s="595"/>
      <c r="NH41" s="595"/>
      <c r="NI41" s="595"/>
      <c r="NJ41" s="595"/>
      <c r="NK41" s="595"/>
      <c r="NL41" s="595"/>
      <c r="NM41" s="595"/>
      <c r="NN41" s="595"/>
      <c r="NO41" s="595"/>
      <c r="NP41" s="595"/>
      <c r="NQ41" s="595"/>
      <c r="NR41" s="595"/>
      <c r="NS41" s="595"/>
      <c r="NT41" s="595"/>
      <c r="NU41" s="595"/>
      <c r="NV41" s="595"/>
      <c r="NW41" s="595"/>
      <c r="NX41" s="595"/>
      <c r="NY41" s="595"/>
      <c r="NZ41" s="595"/>
      <c r="OA41" s="595"/>
      <c r="OB41" s="595"/>
      <c r="OC41" s="595"/>
      <c r="OD41" s="595"/>
      <c r="OE41" s="595"/>
      <c r="OF41" s="595"/>
      <c r="OG41" s="595"/>
      <c r="OH41" s="595"/>
      <c r="OI41" s="595"/>
      <c r="OJ41" s="595"/>
      <c r="OK41" s="595"/>
      <c r="OL41" s="595"/>
      <c r="OM41" s="595"/>
      <c r="ON41" s="595"/>
      <c r="OO41" s="595"/>
      <c r="OP41" s="595"/>
      <c r="OQ41" s="595"/>
      <c r="OR41" s="595"/>
      <c r="OS41" s="595"/>
      <c r="OT41" s="595"/>
      <c r="OU41" s="595"/>
      <c r="OV41" s="595"/>
      <c r="OW41" s="595"/>
      <c r="OX41" s="595"/>
      <c r="OY41" s="595"/>
      <c r="OZ41" s="595"/>
      <c r="PA41" s="595"/>
      <c r="PB41" s="595"/>
      <c r="PC41" s="595"/>
      <c r="PD41" s="595"/>
      <c r="PE41" s="595"/>
      <c r="PF41" s="595"/>
      <c r="PG41" s="595"/>
      <c r="PH41" s="595"/>
      <c r="PI41" s="595"/>
      <c r="PJ41" s="595"/>
      <c r="PK41" s="595"/>
      <c r="PL41" s="595"/>
      <c r="PM41" s="595"/>
      <c r="PN41" s="595"/>
      <c r="PO41" s="595"/>
      <c r="PP41" s="595"/>
      <c r="PQ41" s="595"/>
      <c r="PR41" s="595"/>
      <c r="PS41" s="595"/>
      <c r="PT41" s="595"/>
      <c r="PU41" s="595"/>
      <c r="PV41" s="595"/>
      <c r="PW41" s="595"/>
      <c r="PX41" s="595"/>
      <c r="PY41" s="595"/>
      <c r="PZ41" s="595"/>
      <c r="QA41" s="595"/>
      <c r="QB41" s="595"/>
      <c r="QC41" s="595"/>
      <c r="QD41" s="595"/>
      <c r="QE41" s="595"/>
      <c r="QF41" s="595"/>
      <c r="QG41" s="595"/>
      <c r="QH41" s="595"/>
      <c r="QI41" s="595"/>
      <c r="QJ41" s="595"/>
      <c r="QK41" s="595"/>
      <c r="QL41" s="595"/>
      <c r="QM41" s="595"/>
      <c r="QN41" s="595"/>
      <c r="QO41" s="595"/>
      <c r="QP41" s="595"/>
      <c r="QQ41" s="595"/>
      <c r="QR41" s="595"/>
      <c r="QS41" s="595"/>
      <c r="QT41" s="595"/>
      <c r="QU41" s="595"/>
      <c r="QV41" s="595"/>
      <c r="QW41" s="595"/>
      <c r="QX41" s="595"/>
      <c r="QY41" s="595"/>
      <c r="QZ41" s="595"/>
      <c r="RA41" s="595"/>
      <c r="RB41" s="595"/>
      <c r="RC41" s="595"/>
      <c r="RD41" s="595"/>
      <c r="RE41" s="595"/>
      <c r="RF41" s="595"/>
      <c r="RG41" s="595"/>
      <c r="RH41" s="595"/>
      <c r="RI41" s="595"/>
      <c r="RJ41" s="595"/>
      <c r="RK41" s="595"/>
      <c r="RL41" s="595"/>
      <c r="RM41" s="595"/>
      <c r="RN41" s="595"/>
      <c r="RO41" s="595"/>
      <c r="RP41" s="595"/>
      <c r="RQ41" s="595"/>
      <c r="RR41" s="595"/>
      <c r="RS41" s="595"/>
      <c r="RT41" s="595"/>
      <c r="RU41" s="595"/>
      <c r="RV41" s="595"/>
      <c r="RW41" s="595"/>
      <c r="RX41" s="595"/>
      <c r="RY41" s="595"/>
      <c r="RZ41" s="595"/>
      <c r="SA41" s="595"/>
      <c r="SB41" s="595"/>
      <c r="SC41" s="595"/>
      <c r="SD41" s="595"/>
      <c r="SE41" s="595"/>
      <c r="SF41" s="595"/>
      <c r="SG41" s="595"/>
      <c r="SH41" s="595"/>
      <c r="SI41" s="595"/>
      <c r="SJ41" s="595"/>
      <c r="SK41" s="595"/>
      <c r="SL41" s="595"/>
      <c r="SM41" s="595"/>
      <c r="SN41" s="595"/>
      <c r="SO41" s="595"/>
      <c r="SP41" s="595"/>
      <c r="SQ41" s="595"/>
      <c r="SR41" s="595"/>
      <c r="SS41" s="595"/>
      <c r="ST41" s="595"/>
      <c r="SU41" s="595"/>
      <c r="SV41" s="595"/>
      <c r="SW41" s="595"/>
      <c r="SX41" s="595"/>
      <c r="SY41" s="595"/>
      <c r="SZ41" s="595"/>
      <c r="TA41" s="595"/>
      <c r="TB41" s="595"/>
      <c r="TC41" s="595"/>
      <c r="TD41" s="595"/>
      <c r="TE41" s="595"/>
      <c r="TF41" s="595"/>
      <c r="TG41" s="595"/>
      <c r="TH41" s="595"/>
      <c r="TI41" s="595"/>
      <c r="TJ41" s="595"/>
      <c r="TK41" s="595"/>
      <c r="TL41" s="595"/>
      <c r="TM41" s="595"/>
      <c r="TN41" s="595"/>
      <c r="TO41" s="595"/>
      <c r="TP41" s="595"/>
      <c r="TQ41" s="595"/>
      <c r="TR41" s="595"/>
      <c r="TS41" s="595"/>
      <c r="TT41" s="595"/>
      <c r="TU41" s="595"/>
      <c r="TV41" s="595"/>
      <c r="TW41" s="595"/>
      <c r="TX41" s="595"/>
      <c r="TY41" s="595"/>
      <c r="TZ41" s="595"/>
      <c r="UA41" s="595"/>
      <c r="UB41" s="595"/>
      <c r="UC41" s="595"/>
      <c r="UD41" s="595"/>
      <c r="UE41" s="595"/>
      <c r="UF41" s="595"/>
      <c r="UG41" s="595"/>
      <c r="UH41" s="595"/>
      <c r="UI41" s="595"/>
      <c r="UJ41" s="595"/>
      <c r="UK41" s="595"/>
      <c r="UL41" s="595"/>
      <c r="UM41" s="595"/>
      <c r="UN41" s="595"/>
      <c r="UO41" s="595"/>
      <c r="UP41" s="595"/>
      <c r="UQ41" s="595"/>
      <c r="UR41" s="595"/>
      <c r="US41" s="595"/>
      <c r="UT41" s="595"/>
      <c r="UU41" s="595"/>
      <c r="UV41" s="595"/>
      <c r="UW41" s="595"/>
      <c r="UX41" s="595"/>
      <c r="UY41" s="595"/>
      <c r="UZ41" s="595"/>
      <c r="VA41" s="595"/>
      <c r="VB41" s="595"/>
      <c r="VC41" s="595"/>
      <c r="VD41" s="595"/>
      <c r="VE41" s="595"/>
      <c r="VF41" s="595"/>
      <c r="VG41" s="595"/>
      <c r="VH41" s="595"/>
      <c r="VI41" s="595"/>
      <c r="VJ41" s="595"/>
      <c r="VK41" s="595"/>
      <c r="VL41" s="595"/>
      <c r="VM41" s="595"/>
      <c r="VN41" s="595"/>
      <c r="VO41" s="595"/>
      <c r="VP41" s="595"/>
      <c r="VQ41" s="595"/>
      <c r="VR41" s="595"/>
      <c r="VS41" s="595"/>
      <c r="VT41" s="595"/>
      <c r="VU41" s="595"/>
      <c r="VV41" s="595"/>
      <c r="VW41" s="595"/>
      <c r="VX41" s="595"/>
      <c r="VY41" s="595"/>
      <c r="VZ41" s="595"/>
      <c r="WA41" s="595"/>
      <c r="WB41" s="595"/>
      <c r="WC41" s="595"/>
      <c r="WD41" s="595"/>
      <c r="WE41" s="595"/>
      <c r="WF41" s="595"/>
      <c r="WG41" s="595"/>
      <c r="WH41" s="595"/>
      <c r="WI41" s="595"/>
      <c r="WJ41" s="595"/>
      <c r="WK41" s="595"/>
      <c r="WL41" s="595"/>
      <c r="WM41" s="595"/>
      <c r="WN41" s="595"/>
      <c r="WO41" s="595"/>
      <c r="WP41" s="595"/>
      <c r="WQ41" s="595"/>
      <c r="WR41" s="595"/>
      <c r="WS41" s="595"/>
      <c r="WT41" s="595"/>
      <c r="WU41" s="595"/>
      <c r="WV41" s="595"/>
      <c r="WW41" s="595"/>
      <c r="WX41" s="595"/>
      <c r="WY41" s="595"/>
      <c r="WZ41" s="595"/>
      <c r="XA41" s="595"/>
      <c r="XB41" s="595"/>
      <c r="XC41" s="595"/>
      <c r="XD41" s="595"/>
      <c r="XE41" s="595"/>
      <c r="XF41" s="595"/>
      <c r="XG41" s="595"/>
      <c r="XH41" s="595"/>
      <c r="XI41" s="595"/>
      <c r="XJ41" s="595"/>
      <c r="XK41" s="595"/>
      <c r="XL41" s="595"/>
      <c r="XM41" s="595"/>
      <c r="XN41" s="595"/>
      <c r="XO41" s="595"/>
      <c r="XP41" s="595"/>
      <c r="XQ41" s="595"/>
      <c r="XR41" s="595"/>
      <c r="XS41" s="595"/>
      <c r="XT41" s="595"/>
      <c r="XU41" s="595"/>
      <c r="XV41" s="595"/>
      <c r="XW41" s="595"/>
      <c r="XX41" s="595"/>
      <c r="XY41" s="595"/>
      <c r="XZ41" s="595"/>
      <c r="YA41" s="595"/>
      <c r="YB41" s="595"/>
      <c r="YC41" s="595"/>
      <c r="YD41" s="595"/>
      <c r="YE41" s="595"/>
      <c r="YF41" s="595"/>
      <c r="YG41" s="595"/>
      <c r="YH41" s="595"/>
      <c r="YI41" s="595"/>
      <c r="YJ41" s="595"/>
      <c r="YK41" s="595"/>
      <c r="YL41" s="595"/>
      <c r="YM41" s="595"/>
      <c r="YN41" s="595"/>
      <c r="YO41" s="595"/>
      <c r="YP41" s="595"/>
      <c r="YQ41" s="595"/>
      <c r="YR41" s="595"/>
      <c r="YS41" s="595"/>
      <c r="YT41" s="595"/>
      <c r="YU41" s="595"/>
      <c r="YV41" s="595"/>
      <c r="YW41" s="595"/>
      <c r="YX41" s="595"/>
      <c r="YY41" s="595"/>
      <c r="YZ41" s="595"/>
      <c r="ZA41" s="595"/>
      <c r="ZB41" s="595"/>
      <c r="ZC41" s="595"/>
      <c r="ZD41" s="595"/>
      <c r="ZE41" s="595"/>
      <c r="ZF41" s="595"/>
      <c r="ZG41" s="595"/>
      <c r="ZH41" s="595"/>
      <c r="ZI41" s="595"/>
      <c r="ZJ41" s="595"/>
      <c r="ZK41" s="595"/>
      <c r="ZL41" s="595"/>
      <c r="ZM41" s="595"/>
      <c r="ZN41" s="595"/>
      <c r="ZO41" s="595"/>
      <c r="ZP41" s="595"/>
      <c r="ZQ41" s="595"/>
      <c r="ZR41" s="595"/>
      <c r="ZS41" s="595"/>
      <c r="ZT41" s="595"/>
      <c r="ZU41" s="595"/>
      <c r="ZV41" s="595"/>
      <c r="ZW41" s="595"/>
      <c r="ZX41" s="595"/>
      <c r="ZY41" s="595"/>
      <c r="ZZ41" s="595"/>
      <c r="AAA41" s="595"/>
      <c r="AAB41" s="595"/>
      <c r="AAC41" s="595"/>
      <c r="AAD41" s="595"/>
      <c r="AAE41" s="595"/>
      <c r="AAF41" s="595"/>
      <c r="AAG41" s="595"/>
      <c r="AAH41" s="595"/>
      <c r="AAI41" s="595"/>
      <c r="AAJ41" s="595"/>
      <c r="AAK41" s="595"/>
      <c r="AAL41" s="595"/>
      <c r="AAM41" s="595"/>
      <c r="AAN41" s="595"/>
      <c r="AAO41" s="595"/>
      <c r="AAP41" s="595"/>
      <c r="AAQ41" s="595"/>
      <c r="AAR41" s="595"/>
      <c r="AAS41" s="595"/>
      <c r="AAT41" s="595"/>
      <c r="AAU41" s="595"/>
      <c r="AAV41" s="595"/>
      <c r="AAW41" s="595"/>
      <c r="AAX41" s="595"/>
      <c r="AAY41" s="595"/>
      <c r="AAZ41" s="595"/>
      <c r="ABA41" s="595"/>
      <c r="ABB41" s="595"/>
      <c r="ABC41" s="595"/>
      <c r="ABD41" s="595"/>
      <c r="ABE41" s="595"/>
      <c r="ABF41" s="595"/>
      <c r="ABG41" s="595"/>
      <c r="ABH41" s="595"/>
      <c r="ABI41" s="595"/>
      <c r="ABJ41" s="595"/>
      <c r="ABK41" s="595"/>
      <c r="ABL41" s="595"/>
      <c r="ABM41" s="595"/>
      <c r="ABN41" s="595"/>
      <c r="ABO41" s="595"/>
      <c r="ABP41" s="595"/>
      <c r="ABQ41" s="595"/>
      <c r="ABR41" s="595"/>
      <c r="ABS41" s="595"/>
      <c r="ABT41" s="595"/>
      <c r="ABU41" s="595"/>
      <c r="ABV41" s="595"/>
      <c r="ABW41" s="595"/>
      <c r="ABX41" s="595"/>
      <c r="ABY41" s="595"/>
      <c r="ABZ41" s="595"/>
      <c r="ACA41" s="595"/>
      <c r="ACB41" s="595"/>
      <c r="ACC41" s="595"/>
      <c r="ACD41" s="595"/>
      <c r="ACE41" s="595"/>
      <c r="ACF41" s="595"/>
      <c r="ACG41" s="595"/>
      <c r="ACH41" s="595"/>
      <c r="ACI41" s="595"/>
      <c r="ACJ41" s="595"/>
      <c r="ACK41" s="595"/>
      <c r="ACL41" s="595"/>
      <c r="ACM41" s="595"/>
      <c r="ACN41" s="595"/>
      <c r="ACO41" s="595"/>
      <c r="ACP41" s="595"/>
      <c r="ACQ41" s="595"/>
      <c r="ACR41" s="595"/>
      <c r="ACS41" s="595"/>
      <c r="ACT41" s="595"/>
      <c r="ACU41" s="595"/>
      <c r="ACV41" s="595"/>
      <c r="ACW41" s="595"/>
      <c r="ACX41" s="595"/>
      <c r="ACY41" s="595"/>
      <c r="ACZ41" s="595"/>
      <c r="ADA41" s="595"/>
      <c r="ADB41" s="595"/>
      <c r="ADC41" s="595"/>
      <c r="ADD41" s="595"/>
      <c r="ADE41" s="595"/>
      <c r="ADF41" s="595"/>
      <c r="ADG41" s="595"/>
      <c r="ADH41" s="595"/>
      <c r="ADI41" s="595"/>
      <c r="ADJ41" s="595"/>
      <c r="ADK41" s="595"/>
      <c r="ADL41" s="595"/>
      <c r="ADM41" s="595"/>
      <c r="ADN41" s="595"/>
      <c r="ADO41" s="595"/>
      <c r="ADP41" s="595"/>
      <c r="ADQ41" s="595"/>
      <c r="ADR41" s="595"/>
      <c r="ADS41" s="595"/>
      <c r="ADT41" s="595"/>
      <c r="ADU41" s="595"/>
      <c r="ADV41" s="595"/>
      <c r="ADW41" s="595"/>
      <c r="ADX41" s="595"/>
      <c r="ADY41" s="595"/>
      <c r="ADZ41" s="595"/>
      <c r="AEA41" s="595"/>
      <c r="AEB41" s="595"/>
      <c r="AEC41" s="595"/>
      <c r="AED41" s="595"/>
      <c r="AEE41" s="595"/>
      <c r="AEF41" s="595"/>
      <c r="AEG41" s="595"/>
      <c r="AEH41" s="595"/>
      <c r="AEI41" s="595"/>
      <c r="AEJ41" s="595"/>
      <c r="AEK41" s="595"/>
      <c r="AEL41" s="595"/>
      <c r="AEM41" s="595"/>
      <c r="AEN41" s="595"/>
      <c r="AEO41" s="595"/>
      <c r="AEP41" s="595"/>
      <c r="AEQ41" s="595"/>
      <c r="AER41" s="595"/>
      <c r="AES41" s="595"/>
      <c r="AET41" s="595"/>
      <c r="AEU41" s="595"/>
      <c r="AEV41" s="595"/>
      <c r="AEW41" s="595"/>
      <c r="AEX41" s="595"/>
      <c r="AEY41" s="595"/>
      <c r="AEZ41" s="595"/>
      <c r="AFA41" s="595"/>
      <c r="AFB41" s="595"/>
      <c r="AFC41" s="595"/>
      <c r="AFD41" s="595"/>
      <c r="AFE41" s="595"/>
      <c r="AFF41" s="595"/>
      <c r="AFG41" s="595"/>
      <c r="AFH41" s="595"/>
      <c r="AFI41" s="595"/>
      <c r="AFJ41" s="595"/>
      <c r="AFK41" s="595"/>
      <c r="AFL41" s="595"/>
      <c r="AFM41" s="595"/>
      <c r="AFN41" s="595"/>
      <c r="AFO41" s="595"/>
      <c r="AFP41" s="595"/>
      <c r="AFQ41" s="595"/>
      <c r="AFR41" s="595"/>
      <c r="AFS41" s="595"/>
      <c r="AFT41" s="595"/>
      <c r="AFU41" s="595"/>
      <c r="AFV41" s="595"/>
      <c r="AFW41" s="595"/>
      <c r="AFX41" s="595"/>
      <c r="AFY41" s="595"/>
      <c r="AFZ41" s="595"/>
      <c r="AGA41" s="595"/>
      <c r="AGB41" s="595"/>
      <c r="AGC41" s="595"/>
      <c r="AGD41" s="595"/>
      <c r="AGE41" s="595"/>
      <c r="AGF41" s="595"/>
      <c r="AGG41" s="595"/>
      <c r="AGH41" s="595"/>
      <c r="AGI41" s="595"/>
      <c r="AGJ41" s="595"/>
      <c r="AGK41" s="595"/>
      <c r="AGL41" s="595"/>
      <c r="AGM41" s="595"/>
      <c r="AGN41" s="595"/>
      <c r="AGO41" s="595"/>
      <c r="AGP41" s="595"/>
      <c r="AGQ41" s="595"/>
      <c r="AGR41" s="595"/>
      <c r="AGS41" s="595"/>
      <c r="AGT41" s="595"/>
      <c r="AGU41" s="595"/>
      <c r="AGV41" s="595"/>
      <c r="AGW41" s="595"/>
      <c r="AGX41" s="595"/>
      <c r="AGY41" s="595"/>
      <c r="AGZ41" s="595"/>
      <c r="AHA41" s="595"/>
      <c r="AHB41" s="595"/>
      <c r="AHC41" s="595"/>
      <c r="AHD41" s="595"/>
      <c r="AHE41" s="595"/>
      <c r="AHF41" s="595"/>
      <c r="AHG41" s="595"/>
      <c r="AHH41" s="595"/>
      <c r="AHI41" s="595"/>
      <c r="AHJ41" s="595"/>
      <c r="AHK41" s="595"/>
      <c r="AHL41" s="595"/>
      <c r="AHM41" s="595"/>
      <c r="AHN41" s="595"/>
      <c r="AHO41" s="595"/>
      <c r="AHP41" s="595"/>
      <c r="AHQ41" s="595"/>
      <c r="AHR41" s="595"/>
      <c r="AHS41" s="595"/>
      <c r="AHT41" s="595"/>
      <c r="AHU41" s="595"/>
      <c r="AHV41" s="595"/>
      <c r="AHW41" s="595"/>
      <c r="AHX41" s="595"/>
      <c r="AHY41" s="595"/>
      <c r="AHZ41" s="595"/>
      <c r="AIA41" s="595"/>
      <c r="AIB41" s="595"/>
      <c r="AIC41" s="595"/>
      <c r="AID41" s="595"/>
      <c r="AIE41" s="595"/>
      <c r="AIF41" s="595"/>
      <c r="AIG41" s="595"/>
      <c r="AIH41" s="595"/>
      <c r="AII41" s="595"/>
      <c r="AIJ41" s="595"/>
      <c r="AIK41" s="595"/>
      <c r="AIL41" s="595"/>
      <c r="AIM41" s="595"/>
      <c r="AIN41" s="595"/>
      <c r="AIO41" s="595"/>
      <c r="AIP41" s="595"/>
      <c r="AIQ41" s="595"/>
      <c r="AIR41" s="595"/>
      <c r="AIS41" s="595"/>
      <c r="AIT41" s="595"/>
      <c r="AIU41" s="595"/>
      <c r="AIV41" s="595"/>
      <c r="AIW41" s="595"/>
      <c r="AIX41" s="595"/>
      <c r="AIY41" s="595"/>
      <c r="AIZ41" s="595"/>
      <c r="AJA41" s="595"/>
      <c r="AJB41" s="595"/>
      <c r="AJC41" s="595"/>
      <c r="AJD41" s="595"/>
      <c r="AJE41" s="595"/>
      <c r="AJF41" s="595"/>
      <c r="AJG41" s="595"/>
      <c r="AJH41" s="595"/>
      <c r="AJI41" s="595"/>
      <c r="AJJ41" s="595"/>
      <c r="AJK41" s="595"/>
      <c r="AJL41" s="595"/>
      <c r="AJM41" s="595"/>
      <c r="AJN41" s="595"/>
      <c r="AJO41" s="595"/>
      <c r="AJP41" s="595"/>
      <c r="AJQ41" s="595"/>
      <c r="AJR41" s="595"/>
      <c r="AJS41" s="595"/>
      <c r="AJT41" s="595"/>
      <c r="AJU41" s="595"/>
      <c r="AJV41" s="595"/>
      <c r="AJW41" s="595"/>
      <c r="AJX41" s="595"/>
      <c r="AJY41" s="595"/>
      <c r="AJZ41" s="595"/>
      <c r="AKA41" s="595"/>
      <c r="AKB41" s="595"/>
      <c r="AKC41" s="595"/>
      <c r="AKD41" s="595"/>
      <c r="AKE41" s="595"/>
      <c r="AKF41" s="595"/>
      <c r="AKG41" s="595"/>
      <c r="AKH41" s="595"/>
      <c r="AKI41" s="595"/>
      <c r="AKJ41" s="595"/>
      <c r="AKK41" s="595"/>
      <c r="AKL41" s="595"/>
      <c r="AKM41" s="595"/>
      <c r="AKN41" s="595"/>
      <c r="AKO41" s="595"/>
      <c r="AKP41" s="595"/>
      <c r="AKQ41" s="595"/>
      <c r="AKR41" s="595"/>
      <c r="AKS41" s="595"/>
      <c r="AKT41" s="595"/>
      <c r="AKU41" s="595"/>
      <c r="AKV41" s="595"/>
      <c r="AKW41" s="595"/>
      <c r="AKX41" s="595"/>
      <c r="AKY41" s="595"/>
      <c r="AKZ41" s="595"/>
      <c r="ALA41" s="595"/>
      <c r="ALB41" s="595"/>
      <c r="ALC41" s="595"/>
      <c r="ALD41" s="595"/>
      <c r="ALE41" s="595"/>
      <c r="ALF41" s="595"/>
      <c r="ALG41" s="595"/>
      <c r="ALH41" s="595"/>
      <c r="ALI41" s="595"/>
      <c r="ALJ41" s="595"/>
      <c r="ALK41" s="595"/>
      <c r="ALL41" s="595"/>
      <c r="ALM41" s="595"/>
      <c r="ALN41" s="595"/>
      <c r="ALO41" s="595"/>
      <c r="ALP41" s="595"/>
      <c r="ALQ41" s="595"/>
      <c r="ALR41" s="595"/>
      <c r="ALS41" s="595"/>
      <c r="ALT41" s="595"/>
      <c r="ALU41" s="595"/>
      <c r="ALV41" s="595"/>
      <c r="ALW41" s="595"/>
      <c r="ALX41" s="595"/>
      <c r="ALY41" s="595"/>
      <c r="ALZ41" s="595"/>
      <c r="AMA41" s="595"/>
      <c r="AMB41" s="595"/>
      <c r="AMC41" s="595"/>
      <c r="AMD41" s="595"/>
      <c r="AME41" s="595"/>
      <c r="AMF41" s="595"/>
      <c r="AMG41" s="595"/>
      <c r="AMH41" s="595"/>
      <c r="AMI41" s="595"/>
      <c r="AMJ41" s="595"/>
      <c r="AMK41" s="595"/>
      <c r="AML41" s="595"/>
      <c r="AMM41" s="595"/>
      <c r="AMN41" s="595"/>
      <c r="AMO41" s="595"/>
      <c r="AMP41" s="595"/>
      <c r="AMQ41" s="595"/>
      <c r="AMR41" s="595"/>
      <c r="AMS41" s="595"/>
      <c r="AMT41" s="595"/>
      <c r="AMU41" s="595"/>
      <c r="AMV41" s="595"/>
      <c r="AMW41" s="595"/>
      <c r="AMX41" s="595"/>
      <c r="AMY41" s="595"/>
      <c r="AMZ41" s="595"/>
      <c r="ANA41" s="595"/>
      <c r="ANB41" s="595"/>
      <c r="ANC41" s="595"/>
      <c r="AND41" s="595"/>
      <c r="ANE41" s="595"/>
      <c r="ANF41" s="595"/>
      <c r="ANG41" s="595"/>
      <c r="ANH41" s="595"/>
      <c r="ANI41" s="595"/>
      <c r="ANJ41" s="595"/>
      <c r="ANK41" s="595"/>
      <c r="ANL41" s="595"/>
      <c r="ANM41" s="595"/>
      <c r="ANN41" s="595"/>
      <c r="ANO41" s="595"/>
      <c r="ANP41" s="595"/>
      <c r="ANQ41" s="595"/>
      <c r="ANR41" s="595"/>
      <c r="ANS41" s="595"/>
      <c r="ANT41" s="595"/>
      <c r="ANU41" s="595"/>
      <c r="ANV41" s="595"/>
      <c r="ANW41" s="595"/>
      <c r="ANX41" s="595"/>
      <c r="ANY41" s="595"/>
      <c r="ANZ41" s="595"/>
      <c r="AOA41" s="595"/>
      <c r="AOB41" s="595"/>
      <c r="AOC41" s="595"/>
      <c r="AOD41" s="595"/>
      <c r="AOE41" s="595"/>
      <c r="AOF41" s="595"/>
      <c r="AOG41" s="595"/>
      <c r="AOH41" s="595"/>
      <c r="AOI41" s="595"/>
      <c r="AOJ41" s="595"/>
      <c r="AOK41" s="595"/>
      <c r="AOL41" s="595"/>
      <c r="AOM41" s="595"/>
      <c r="AON41" s="595"/>
      <c r="AOO41" s="595"/>
      <c r="AOP41" s="595"/>
      <c r="AOQ41" s="595"/>
      <c r="AOR41" s="595"/>
      <c r="AOS41" s="595"/>
      <c r="AOT41" s="595"/>
      <c r="AOU41" s="595"/>
      <c r="AOV41" s="595"/>
      <c r="AOW41" s="595"/>
      <c r="AOX41" s="595"/>
      <c r="AOY41" s="595"/>
      <c r="AOZ41" s="595"/>
      <c r="APA41" s="595"/>
      <c r="APB41" s="595"/>
      <c r="APC41" s="595"/>
      <c r="APD41" s="595"/>
      <c r="APE41" s="595"/>
      <c r="APF41" s="595"/>
      <c r="APG41" s="595"/>
      <c r="APH41" s="595"/>
      <c r="API41" s="595"/>
      <c r="APJ41" s="595"/>
      <c r="APK41" s="595"/>
      <c r="APL41" s="595"/>
      <c r="APM41" s="595"/>
      <c r="APN41" s="595"/>
      <c r="APO41" s="595"/>
      <c r="APP41" s="595"/>
      <c r="APQ41" s="595"/>
      <c r="APR41" s="595"/>
      <c r="APS41" s="595"/>
      <c r="APT41" s="595"/>
      <c r="APU41" s="595"/>
      <c r="APV41" s="595"/>
      <c r="APW41" s="595"/>
      <c r="APX41" s="595"/>
      <c r="APY41" s="595"/>
      <c r="APZ41" s="595"/>
      <c r="AQA41" s="595"/>
      <c r="AQB41" s="595"/>
      <c r="AQC41" s="595"/>
      <c r="AQD41" s="595"/>
      <c r="AQE41" s="595"/>
      <c r="AQF41" s="595"/>
      <c r="AQG41" s="595"/>
      <c r="AQH41" s="595"/>
      <c r="AQI41" s="595"/>
      <c r="AQJ41" s="595"/>
      <c r="AQK41" s="595"/>
      <c r="AQL41" s="595"/>
      <c r="AQM41" s="595"/>
      <c r="AQN41" s="595"/>
      <c r="AQO41" s="595"/>
      <c r="AQP41" s="595"/>
      <c r="AQQ41" s="595"/>
      <c r="AQR41" s="595"/>
      <c r="AQS41" s="595"/>
      <c r="AQT41" s="595"/>
      <c r="AQU41" s="595"/>
      <c r="AQV41" s="595"/>
      <c r="AQW41" s="595"/>
      <c r="AQX41" s="595"/>
      <c r="AQY41" s="595"/>
      <c r="AQZ41" s="595"/>
      <c r="ARA41" s="595"/>
      <c r="ARB41" s="595"/>
      <c r="ARC41" s="595"/>
      <c r="ARD41" s="595"/>
      <c r="ARE41" s="595"/>
      <c r="ARF41" s="595"/>
      <c r="ARG41" s="595"/>
      <c r="ARH41" s="595"/>
      <c r="ARI41" s="595"/>
      <c r="ARJ41" s="595"/>
      <c r="ARK41" s="595"/>
      <c r="ARL41" s="595"/>
      <c r="ARM41" s="595"/>
      <c r="ARN41" s="595"/>
      <c r="ARO41" s="595"/>
      <c r="ARP41" s="595"/>
      <c r="ARQ41" s="595"/>
      <c r="ARR41" s="595"/>
      <c r="ARS41" s="595"/>
      <c r="ART41" s="595"/>
      <c r="ARU41" s="595"/>
      <c r="ARV41" s="595"/>
      <c r="ARW41" s="595"/>
      <c r="ARX41" s="595"/>
      <c r="ARY41" s="595"/>
      <c r="ARZ41" s="595"/>
      <c r="ASA41" s="595"/>
      <c r="ASB41" s="595"/>
      <c r="ASC41" s="595"/>
      <c r="ASD41" s="595"/>
      <c r="ASE41" s="595"/>
      <c r="ASF41" s="595"/>
      <c r="ASG41" s="595"/>
      <c r="ASH41" s="595"/>
      <c r="ASI41" s="595"/>
      <c r="ASJ41" s="595"/>
      <c r="ASK41" s="595"/>
      <c r="ASL41" s="595"/>
      <c r="ASM41" s="595"/>
      <c r="ASN41" s="595"/>
      <c r="ASO41" s="595"/>
      <c r="ASP41" s="595"/>
      <c r="ASQ41" s="595"/>
      <c r="ASR41" s="595"/>
      <c r="ASS41" s="595"/>
      <c r="AST41" s="595"/>
      <c r="ASU41" s="595"/>
      <c r="ASV41" s="595"/>
      <c r="ASW41" s="595"/>
      <c r="ASX41" s="595"/>
      <c r="ASY41" s="595"/>
      <c r="ASZ41" s="595"/>
      <c r="ATA41" s="595"/>
      <c r="ATB41" s="595"/>
      <c r="ATC41" s="595"/>
      <c r="ATD41" s="595"/>
      <c r="ATE41" s="595"/>
      <c r="ATF41" s="595"/>
      <c r="ATG41" s="595"/>
      <c r="ATH41" s="595"/>
      <c r="ATI41" s="595"/>
      <c r="ATJ41" s="595"/>
      <c r="ATK41" s="595"/>
      <c r="ATL41" s="595"/>
      <c r="ATM41" s="595"/>
      <c r="ATN41" s="595"/>
      <c r="ATO41" s="595"/>
      <c r="ATP41" s="595"/>
      <c r="ATQ41" s="595"/>
      <c r="ATR41" s="595"/>
      <c r="ATS41" s="595"/>
      <c r="ATT41" s="595"/>
      <c r="ATU41" s="595"/>
      <c r="ATV41" s="595"/>
      <c r="ATW41" s="595"/>
      <c r="ATX41" s="595"/>
      <c r="ATY41" s="595"/>
      <c r="ATZ41" s="595"/>
      <c r="AUA41" s="595"/>
      <c r="AUB41" s="595"/>
      <c r="AUC41" s="595"/>
      <c r="AUD41" s="595"/>
      <c r="AUE41" s="595"/>
      <c r="AUF41" s="595"/>
      <c r="AUG41" s="595"/>
      <c r="AUH41" s="595"/>
      <c r="AUI41" s="595"/>
      <c r="AUJ41" s="595"/>
      <c r="AUK41" s="595"/>
      <c r="AUL41" s="595"/>
      <c r="AUM41" s="595"/>
      <c r="AUN41" s="595"/>
      <c r="AUO41" s="595"/>
      <c r="AUP41" s="595"/>
      <c r="AUQ41" s="595"/>
      <c r="AUR41" s="595"/>
      <c r="AUS41" s="595"/>
      <c r="AUT41" s="595"/>
      <c r="AUU41" s="595"/>
      <c r="AUV41" s="595"/>
      <c r="AUW41" s="595"/>
      <c r="AUX41" s="595"/>
      <c r="AUY41" s="595"/>
      <c r="AUZ41" s="595"/>
      <c r="AVA41" s="595"/>
      <c r="AVB41" s="595"/>
      <c r="AVC41" s="595"/>
      <c r="AVD41" s="595"/>
      <c r="AVE41" s="595"/>
      <c r="AVF41" s="595"/>
      <c r="AVG41" s="595"/>
      <c r="AVH41" s="595"/>
      <c r="AVI41" s="595"/>
      <c r="AVJ41" s="595"/>
      <c r="AVK41" s="595"/>
      <c r="AVL41" s="595"/>
      <c r="AVM41" s="595"/>
      <c r="AVN41" s="595"/>
      <c r="AVO41" s="595"/>
      <c r="AVP41" s="595"/>
      <c r="AVQ41" s="595"/>
      <c r="AVR41" s="595"/>
      <c r="AVS41" s="595"/>
      <c r="AVT41" s="595"/>
      <c r="AVU41" s="595"/>
      <c r="AVV41" s="595"/>
      <c r="AVW41" s="595"/>
      <c r="AVX41" s="595"/>
      <c r="AVY41" s="595"/>
      <c r="AVZ41" s="595"/>
      <c r="AWA41" s="595"/>
      <c r="AWB41" s="595"/>
      <c r="AWC41" s="595"/>
      <c r="AWD41" s="595"/>
      <c r="AWE41" s="595"/>
      <c r="AWF41" s="595"/>
      <c r="AWG41" s="595"/>
      <c r="AWH41" s="595"/>
      <c r="AWI41" s="595"/>
      <c r="AWJ41" s="595"/>
      <c r="AWK41" s="595"/>
      <c r="AWL41" s="595"/>
      <c r="AWM41" s="595"/>
      <c r="AWN41" s="595"/>
      <c r="AWO41" s="595"/>
      <c r="AWP41" s="595"/>
      <c r="AWQ41" s="595"/>
      <c r="AWR41" s="595"/>
      <c r="AWS41" s="595"/>
      <c r="AWT41" s="595"/>
      <c r="AWU41" s="595"/>
      <c r="AWV41" s="595"/>
      <c r="AWW41" s="595"/>
      <c r="AWX41" s="595"/>
      <c r="AWY41" s="595"/>
      <c r="AWZ41" s="595"/>
      <c r="AXA41" s="595"/>
      <c r="AXB41" s="595"/>
      <c r="AXC41" s="595"/>
      <c r="AXD41" s="595"/>
      <c r="AXE41" s="595"/>
      <c r="AXF41" s="595"/>
      <c r="AXG41" s="595"/>
      <c r="AXH41" s="595"/>
      <c r="AXI41" s="595"/>
      <c r="AXJ41" s="595"/>
      <c r="AXK41" s="595"/>
      <c r="AXL41" s="595"/>
      <c r="AXM41" s="595"/>
      <c r="AXN41" s="595"/>
      <c r="AXO41" s="595"/>
      <c r="AXP41" s="595"/>
      <c r="AXQ41" s="595"/>
      <c r="AXR41" s="595"/>
      <c r="AXS41" s="595"/>
      <c r="AXT41" s="595"/>
      <c r="AXU41" s="595"/>
      <c r="AXV41" s="595"/>
      <c r="AXW41" s="595"/>
      <c r="AXX41" s="595"/>
      <c r="AXY41" s="595"/>
      <c r="AXZ41" s="595"/>
      <c r="AYA41" s="595"/>
      <c r="AYB41" s="595"/>
      <c r="AYC41" s="595"/>
      <c r="AYD41" s="595"/>
      <c r="AYE41" s="595"/>
      <c r="AYF41" s="595"/>
      <c r="AYG41" s="595"/>
      <c r="AYH41" s="595"/>
      <c r="AYI41" s="595"/>
      <c r="AYJ41" s="595"/>
      <c r="AYK41" s="595"/>
      <c r="AYL41" s="595"/>
      <c r="AYM41" s="595"/>
      <c r="AYN41" s="595"/>
      <c r="AYO41" s="595"/>
      <c r="AYP41" s="595"/>
      <c r="AYQ41" s="595"/>
      <c r="AYR41" s="595"/>
      <c r="AYS41" s="595"/>
      <c r="AYT41" s="595"/>
      <c r="AYU41" s="595"/>
      <c r="AYV41" s="595"/>
      <c r="AYW41" s="595"/>
      <c r="AYX41" s="595"/>
      <c r="AYY41" s="595"/>
      <c r="AYZ41" s="595"/>
      <c r="AZA41" s="595"/>
      <c r="AZB41" s="595"/>
      <c r="AZC41" s="595"/>
      <c r="AZD41" s="595"/>
      <c r="AZE41" s="595"/>
      <c r="AZF41" s="595"/>
      <c r="AZG41" s="595"/>
      <c r="AZH41" s="595"/>
      <c r="AZI41" s="595"/>
      <c r="AZJ41" s="595"/>
      <c r="AZK41" s="595"/>
      <c r="AZL41" s="595"/>
      <c r="AZM41" s="595"/>
      <c r="AZN41" s="595"/>
      <c r="AZO41" s="595"/>
      <c r="AZP41" s="595"/>
      <c r="AZQ41" s="595"/>
      <c r="AZR41" s="595"/>
      <c r="AZS41" s="595"/>
      <c r="AZT41" s="595"/>
      <c r="AZU41" s="595"/>
      <c r="AZV41" s="595"/>
      <c r="AZW41" s="595"/>
      <c r="AZX41" s="595"/>
      <c r="AZY41" s="595"/>
      <c r="AZZ41" s="595"/>
      <c r="BAA41" s="595"/>
      <c r="BAB41" s="595"/>
      <c r="BAC41" s="595"/>
      <c r="BAD41" s="595"/>
      <c r="BAE41" s="595"/>
      <c r="BAF41" s="595"/>
      <c r="BAG41" s="595"/>
      <c r="BAH41" s="595"/>
      <c r="BAI41" s="595"/>
      <c r="BAJ41" s="595"/>
      <c r="BAK41" s="595"/>
      <c r="BAL41" s="595"/>
      <c r="BAM41" s="595"/>
      <c r="BAN41" s="595"/>
      <c r="BAO41" s="595"/>
      <c r="BAP41" s="595"/>
      <c r="BAQ41" s="595"/>
      <c r="BAR41" s="595"/>
      <c r="BAS41" s="595"/>
      <c r="BAT41" s="595"/>
      <c r="BAU41" s="595"/>
      <c r="BAV41" s="595"/>
      <c r="BAW41" s="595"/>
      <c r="BAX41" s="595"/>
      <c r="BAY41" s="595"/>
      <c r="BAZ41" s="595"/>
      <c r="BBA41" s="595"/>
      <c r="BBB41" s="595"/>
      <c r="BBC41" s="595"/>
      <c r="BBD41" s="595"/>
      <c r="BBE41" s="595"/>
      <c r="BBF41" s="595"/>
      <c r="BBG41" s="595"/>
      <c r="BBH41" s="595"/>
      <c r="BBI41" s="595"/>
      <c r="BBJ41" s="595"/>
      <c r="BBK41" s="595"/>
      <c r="BBL41" s="595"/>
      <c r="BBM41" s="595"/>
      <c r="BBN41" s="595"/>
      <c r="BBO41" s="595"/>
      <c r="BBP41" s="595"/>
      <c r="BBQ41" s="595"/>
      <c r="BBR41" s="595"/>
      <c r="BBS41" s="595"/>
      <c r="BBT41" s="595"/>
      <c r="BBU41" s="595"/>
      <c r="BBV41" s="595"/>
      <c r="BBW41" s="595"/>
      <c r="BBX41" s="595"/>
      <c r="BBY41" s="595"/>
      <c r="BBZ41" s="595"/>
      <c r="BCA41" s="595"/>
      <c r="BCB41" s="595"/>
      <c r="BCC41" s="595"/>
      <c r="BCD41" s="595"/>
      <c r="BCE41" s="595"/>
      <c r="BCF41" s="595"/>
      <c r="BCG41" s="595"/>
      <c r="BCH41" s="595"/>
      <c r="BCI41" s="595"/>
      <c r="BCJ41" s="595"/>
      <c r="BCK41" s="595"/>
      <c r="BCL41" s="595"/>
      <c r="BCM41" s="595"/>
      <c r="BCN41" s="595"/>
      <c r="BCO41" s="595"/>
      <c r="BCP41" s="595"/>
      <c r="BCQ41" s="595"/>
      <c r="BCR41" s="595"/>
      <c r="BCS41" s="595"/>
      <c r="BCT41" s="595"/>
      <c r="BCU41" s="595"/>
      <c r="BCV41" s="595"/>
      <c r="BCW41" s="595"/>
      <c r="BCX41" s="595"/>
      <c r="BCY41" s="595"/>
      <c r="BCZ41" s="595"/>
      <c r="BDA41" s="595"/>
      <c r="BDB41" s="595"/>
      <c r="BDC41" s="595"/>
      <c r="BDD41" s="595"/>
      <c r="BDE41" s="595"/>
      <c r="BDF41" s="595"/>
      <c r="BDG41" s="595"/>
      <c r="BDH41" s="595"/>
      <c r="BDI41" s="595"/>
      <c r="BDJ41" s="595"/>
      <c r="BDK41" s="595"/>
      <c r="BDL41" s="595"/>
      <c r="BDM41" s="595"/>
      <c r="BDN41" s="595"/>
      <c r="BDO41" s="595"/>
      <c r="BDP41" s="595"/>
      <c r="BDQ41" s="595"/>
      <c r="BDR41" s="595"/>
      <c r="BDS41" s="595"/>
      <c r="BDT41" s="595"/>
      <c r="BDU41" s="595"/>
      <c r="BDV41" s="595"/>
      <c r="BDW41" s="595"/>
      <c r="BDX41" s="595"/>
      <c r="BDY41" s="595"/>
      <c r="BDZ41" s="595"/>
      <c r="BEA41" s="595"/>
      <c r="BEB41" s="595"/>
      <c r="BEC41" s="595"/>
      <c r="BED41" s="595"/>
      <c r="BEE41" s="595"/>
      <c r="BEF41" s="595"/>
      <c r="BEG41" s="595"/>
      <c r="BEH41" s="595"/>
      <c r="BEI41" s="595"/>
      <c r="BEJ41" s="595"/>
      <c r="BEK41" s="595"/>
      <c r="BEL41" s="595"/>
      <c r="BEM41" s="595"/>
      <c r="BEN41" s="595"/>
      <c r="BEO41" s="595"/>
      <c r="BEP41" s="595"/>
      <c r="BEQ41" s="595"/>
      <c r="BER41" s="595"/>
      <c r="BES41" s="595"/>
      <c r="BET41" s="595"/>
      <c r="BEU41" s="595"/>
      <c r="BEV41" s="595"/>
      <c r="BEW41" s="595"/>
      <c r="BEX41" s="595"/>
      <c r="BEY41" s="595"/>
      <c r="BEZ41" s="595"/>
      <c r="BFA41" s="595"/>
      <c r="BFB41" s="595"/>
      <c r="BFC41" s="595"/>
      <c r="BFD41" s="595"/>
      <c r="BFE41" s="595"/>
      <c r="BFF41" s="595"/>
      <c r="BFG41" s="595"/>
      <c r="BFH41" s="595"/>
      <c r="BFI41" s="595"/>
      <c r="BFJ41" s="595"/>
      <c r="BFK41" s="595"/>
      <c r="BFL41" s="595"/>
      <c r="BFM41" s="595"/>
      <c r="BFN41" s="595"/>
      <c r="BFO41" s="595"/>
      <c r="BFP41" s="595"/>
      <c r="BFQ41" s="595"/>
      <c r="BFR41" s="595"/>
      <c r="BFS41" s="595"/>
      <c r="BFT41" s="595"/>
      <c r="BFU41" s="595"/>
      <c r="BFV41" s="595"/>
      <c r="BFW41" s="595"/>
      <c r="BFX41" s="595"/>
      <c r="BFY41" s="595"/>
      <c r="BFZ41" s="595"/>
      <c r="BGA41" s="595"/>
      <c r="BGB41" s="595"/>
      <c r="BGC41" s="595"/>
      <c r="BGD41" s="595"/>
      <c r="BGE41" s="595"/>
      <c r="BGF41" s="595"/>
      <c r="BGG41" s="595"/>
      <c r="BGH41" s="595"/>
      <c r="BGI41" s="595"/>
      <c r="BGJ41" s="595"/>
      <c r="BGK41" s="595"/>
      <c r="BGL41" s="595"/>
      <c r="BGM41" s="595"/>
      <c r="BGN41" s="595"/>
      <c r="BGO41" s="595"/>
      <c r="BGP41" s="595"/>
      <c r="BGQ41" s="595"/>
      <c r="BGR41" s="595"/>
      <c r="BGS41" s="595"/>
      <c r="BGT41" s="595"/>
      <c r="BGU41" s="595"/>
      <c r="BGV41" s="595"/>
      <c r="BGW41" s="595"/>
      <c r="BGX41" s="595"/>
      <c r="BGY41" s="595"/>
      <c r="BGZ41" s="595"/>
      <c r="BHA41" s="595"/>
      <c r="BHB41" s="595"/>
      <c r="BHC41" s="595"/>
      <c r="BHD41" s="595"/>
      <c r="BHE41" s="595"/>
      <c r="BHF41" s="595"/>
      <c r="BHG41" s="595"/>
      <c r="BHH41" s="595"/>
      <c r="BHI41" s="595"/>
      <c r="BHJ41" s="595"/>
      <c r="BHK41" s="595"/>
      <c r="BHL41" s="595"/>
      <c r="BHM41" s="595"/>
      <c r="BHN41" s="595"/>
      <c r="BHO41" s="595"/>
      <c r="BHP41" s="595"/>
      <c r="BHQ41" s="595"/>
      <c r="BHR41" s="595"/>
      <c r="BHS41" s="595"/>
      <c r="BHT41" s="595"/>
      <c r="BHU41" s="595"/>
      <c r="BHV41" s="595"/>
      <c r="BHW41" s="595"/>
      <c r="BHX41" s="595"/>
      <c r="BHY41" s="595"/>
      <c r="BHZ41" s="595"/>
      <c r="BIA41" s="595"/>
      <c r="BIB41" s="595"/>
      <c r="BIC41" s="595"/>
      <c r="BID41" s="595"/>
      <c r="BIE41" s="595"/>
      <c r="BIF41" s="595"/>
      <c r="BIG41" s="595"/>
      <c r="BIH41" s="595"/>
      <c r="BII41" s="595"/>
      <c r="BIJ41" s="595"/>
      <c r="BIK41" s="595"/>
      <c r="BIL41" s="595"/>
      <c r="BIM41" s="595"/>
      <c r="BIN41" s="595"/>
      <c r="BIO41" s="595"/>
      <c r="BIP41" s="595"/>
      <c r="BIQ41" s="595"/>
      <c r="BIR41" s="595"/>
      <c r="BIS41" s="595"/>
      <c r="BIT41" s="595"/>
      <c r="BIU41" s="595"/>
      <c r="BIV41" s="595"/>
      <c r="BIW41" s="595"/>
      <c r="BIX41" s="595"/>
      <c r="BIY41" s="595"/>
      <c r="BIZ41" s="595"/>
      <c r="BJA41" s="595"/>
      <c r="BJB41" s="595"/>
      <c r="BJC41" s="595"/>
      <c r="BJD41" s="595"/>
      <c r="BJE41" s="595"/>
      <c r="BJF41" s="595"/>
      <c r="BJG41" s="595"/>
      <c r="BJH41" s="595"/>
      <c r="BJI41" s="595"/>
      <c r="BJJ41" s="595"/>
      <c r="BJK41" s="595"/>
      <c r="BJL41" s="595"/>
      <c r="BJM41" s="595"/>
      <c r="BJN41" s="595"/>
      <c r="BJO41" s="595"/>
      <c r="BJP41" s="595"/>
      <c r="BJQ41" s="595"/>
      <c r="BJR41" s="595"/>
      <c r="BJS41" s="595"/>
      <c r="BJT41" s="595"/>
      <c r="BJU41" s="595"/>
      <c r="BJV41" s="595"/>
      <c r="BJW41" s="595"/>
      <c r="BJX41" s="595"/>
      <c r="BJY41" s="595"/>
      <c r="BJZ41" s="595"/>
      <c r="BKA41" s="595"/>
      <c r="BKB41" s="595"/>
      <c r="BKC41" s="595"/>
      <c r="BKD41" s="595"/>
      <c r="BKE41" s="595"/>
      <c r="BKF41" s="595"/>
      <c r="BKG41" s="595"/>
      <c r="BKH41" s="595"/>
      <c r="BKI41" s="595"/>
      <c r="BKJ41" s="595"/>
      <c r="BKK41" s="595"/>
      <c r="BKL41" s="595"/>
      <c r="BKM41" s="595"/>
      <c r="BKN41" s="595"/>
      <c r="BKO41" s="595"/>
      <c r="BKP41" s="595"/>
      <c r="BKQ41" s="595"/>
      <c r="BKR41" s="595"/>
      <c r="BKS41" s="595"/>
      <c r="BKT41" s="595"/>
      <c r="BKU41" s="595"/>
      <c r="BKV41" s="595"/>
      <c r="BKW41" s="595"/>
      <c r="BKX41" s="595"/>
      <c r="BKY41" s="595"/>
      <c r="BKZ41" s="595"/>
      <c r="BLA41" s="595"/>
      <c r="BLB41" s="595"/>
      <c r="BLC41" s="595"/>
      <c r="BLD41" s="595"/>
      <c r="BLE41" s="595"/>
      <c r="BLF41" s="595"/>
      <c r="BLG41" s="595"/>
      <c r="BLH41" s="595"/>
      <c r="BLI41" s="595"/>
      <c r="BLJ41" s="595"/>
      <c r="BLK41" s="595"/>
      <c r="BLL41" s="595"/>
      <c r="BLM41" s="595"/>
      <c r="BLN41" s="595"/>
      <c r="BLO41" s="595"/>
      <c r="BLP41" s="595"/>
      <c r="BLQ41" s="595"/>
      <c r="BLR41" s="595"/>
      <c r="BLS41" s="595"/>
      <c r="BLT41" s="595"/>
      <c r="BLU41" s="595"/>
      <c r="BLV41" s="595"/>
      <c r="BLW41" s="595"/>
      <c r="BLX41" s="595"/>
      <c r="BLY41" s="595"/>
      <c r="BLZ41" s="595"/>
      <c r="BMA41" s="595"/>
      <c r="BMB41" s="595"/>
      <c r="BMC41" s="595"/>
      <c r="BMD41" s="595"/>
      <c r="BME41" s="595"/>
      <c r="BMF41" s="595"/>
      <c r="BMG41" s="595"/>
      <c r="BMH41" s="595"/>
      <c r="BMI41" s="595"/>
      <c r="BMJ41" s="595"/>
      <c r="BMK41" s="595"/>
      <c r="BML41" s="595"/>
      <c r="BMM41" s="595"/>
      <c r="BMN41" s="595"/>
      <c r="BMO41" s="595"/>
      <c r="BMP41" s="595"/>
      <c r="BMQ41" s="595"/>
      <c r="BMR41" s="595"/>
      <c r="BMS41" s="595"/>
      <c r="BMT41" s="595"/>
      <c r="BMU41" s="595"/>
      <c r="BMV41" s="595"/>
      <c r="BMW41" s="595"/>
      <c r="BMX41" s="595"/>
      <c r="BMY41" s="595"/>
      <c r="BMZ41" s="595"/>
      <c r="BNA41" s="595"/>
      <c r="BNB41" s="595"/>
      <c r="BNC41" s="595"/>
      <c r="BND41" s="595"/>
      <c r="BNE41" s="595"/>
      <c r="BNF41" s="595"/>
      <c r="BNG41" s="595"/>
      <c r="BNH41" s="595"/>
      <c r="BNI41" s="595"/>
      <c r="BNJ41" s="595"/>
      <c r="BNK41" s="595"/>
      <c r="BNL41" s="595"/>
      <c r="BNM41" s="595"/>
      <c r="BNN41" s="595"/>
      <c r="BNO41" s="595"/>
      <c r="BNP41" s="595"/>
      <c r="BNQ41" s="595"/>
      <c r="BNR41" s="595"/>
      <c r="BNS41" s="595"/>
      <c r="BNT41" s="595"/>
      <c r="BNU41" s="595"/>
      <c r="BNV41" s="595"/>
      <c r="BNW41" s="595"/>
      <c r="BNX41" s="595"/>
      <c r="BNY41" s="595"/>
      <c r="BNZ41" s="595"/>
      <c r="BOA41" s="595"/>
      <c r="BOB41" s="595"/>
      <c r="BOC41" s="595"/>
      <c r="BOD41" s="595"/>
      <c r="BOE41" s="595"/>
      <c r="BOF41" s="595"/>
      <c r="BOG41" s="595"/>
      <c r="BOH41" s="595"/>
      <c r="BOI41" s="595"/>
      <c r="BOJ41" s="595"/>
      <c r="BOK41" s="595"/>
      <c r="BOL41" s="595"/>
      <c r="BOM41" s="595"/>
      <c r="BON41" s="595"/>
      <c r="BOO41" s="595"/>
      <c r="BOP41" s="595"/>
      <c r="BOQ41" s="595"/>
      <c r="BOR41" s="595"/>
      <c r="BOS41" s="595"/>
      <c r="BOT41" s="595"/>
      <c r="BOU41" s="595"/>
      <c r="BOV41" s="595"/>
      <c r="BOW41" s="595"/>
      <c r="BOX41" s="595"/>
      <c r="BOY41" s="595"/>
      <c r="BOZ41" s="595"/>
      <c r="BPA41" s="595"/>
      <c r="BPB41" s="595"/>
      <c r="BPC41" s="595"/>
      <c r="BPD41" s="595"/>
      <c r="BPE41" s="595"/>
      <c r="BPF41" s="595"/>
      <c r="BPG41" s="595"/>
      <c r="BPH41" s="595"/>
      <c r="BPI41" s="595"/>
      <c r="BPJ41" s="595"/>
      <c r="BPK41" s="595"/>
      <c r="BPL41" s="595"/>
      <c r="BPM41" s="595"/>
      <c r="BPN41" s="595"/>
      <c r="BPO41" s="595"/>
      <c r="BPP41" s="595"/>
      <c r="BPQ41" s="595"/>
      <c r="BPR41" s="595"/>
      <c r="BPS41" s="595"/>
      <c r="BPT41" s="595"/>
      <c r="BPU41" s="595"/>
      <c r="BPV41" s="595"/>
      <c r="BPW41" s="595"/>
      <c r="BPX41" s="595"/>
      <c r="BPY41" s="595"/>
      <c r="BPZ41" s="595"/>
      <c r="BQA41" s="595"/>
      <c r="BQB41" s="595"/>
      <c r="BQC41" s="595"/>
      <c r="BQD41" s="595"/>
      <c r="BQE41" s="595"/>
      <c r="BQF41" s="595"/>
      <c r="BQG41" s="595"/>
      <c r="BQH41" s="595"/>
      <c r="BQI41" s="595"/>
      <c r="BQJ41" s="595"/>
      <c r="BQK41" s="595"/>
      <c r="BQL41" s="595"/>
      <c r="BQM41" s="595"/>
      <c r="BQN41" s="595"/>
      <c r="BQO41" s="595"/>
      <c r="BQP41" s="595"/>
      <c r="BQQ41" s="595"/>
      <c r="BQR41" s="595"/>
      <c r="BQS41" s="595"/>
      <c r="BQT41" s="595"/>
      <c r="BQU41" s="595"/>
      <c r="BQV41" s="595"/>
      <c r="BQW41" s="595"/>
      <c r="BQX41" s="595"/>
      <c r="BQY41" s="595"/>
      <c r="BQZ41" s="595"/>
      <c r="BRA41" s="595"/>
      <c r="BRB41" s="595"/>
      <c r="BRC41" s="595"/>
      <c r="BRD41" s="595"/>
      <c r="BRE41" s="595"/>
      <c r="BRF41" s="595"/>
      <c r="BRG41" s="595"/>
      <c r="BRH41" s="595"/>
      <c r="BRI41" s="595"/>
      <c r="BRJ41" s="595"/>
      <c r="BRK41" s="595"/>
      <c r="BRL41" s="595"/>
      <c r="BRM41" s="595"/>
      <c r="BRN41" s="595"/>
      <c r="BRO41" s="595"/>
      <c r="BRP41" s="595"/>
      <c r="BRQ41" s="595"/>
      <c r="BRR41" s="595"/>
      <c r="BRS41" s="595"/>
      <c r="BRT41" s="595"/>
      <c r="BRU41" s="595"/>
      <c r="BRV41" s="595"/>
      <c r="BRW41" s="595"/>
      <c r="BRX41" s="595"/>
      <c r="BRY41" s="595"/>
      <c r="BRZ41" s="595"/>
      <c r="BSA41" s="595"/>
      <c r="BSB41" s="595"/>
      <c r="BSC41" s="595"/>
      <c r="BSD41" s="595"/>
      <c r="BSE41" s="595"/>
      <c r="BSF41" s="595"/>
      <c r="BSG41" s="595"/>
      <c r="BSH41" s="595"/>
      <c r="BSI41" s="595"/>
      <c r="BSJ41" s="595"/>
      <c r="BSK41" s="595"/>
      <c r="BSL41" s="595"/>
      <c r="BSM41" s="595"/>
      <c r="BSN41" s="595"/>
      <c r="BSO41" s="595"/>
      <c r="BSP41" s="595"/>
      <c r="BSQ41" s="595"/>
      <c r="BSR41" s="595"/>
      <c r="BSS41" s="595"/>
      <c r="BST41" s="595"/>
      <c r="BSU41" s="595"/>
      <c r="BSV41" s="595"/>
      <c r="BSW41" s="595"/>
      <c r="BSX41" s="595"/>
      <c r="BSY41" s="595"/>
      <c r="BSZ41" s="595"/>
      <c r="BTA41" s="595"/>
      <c r="BTB41" s="595"/>
      <c r="BTC41" s="595"/>
      <c r="BTD41" s="595"/>
      <c r="BTE41" s="595"/>
      <c r="BTF41" s="595"/>
      <c r="BTG41" s="595"/>
      <c r="BTH41" s="595"/>
      <c r="BTI41" s="595"/>
      <c r="BTJ41" s="595"/>
      <c r="BTK41" s="595"/>
      <c r="BTL41" s="595"/>
      <c r="BTM41" s="595"/>
      <c r="BTN41" s="595"/>
      <c r="BTO41" s="595"/>
      <c r="BTP41" s="595"/>
      <c r="BTQ41" s="595"/>
      <c r="BTR41" s="595"/>
      <c r="BTS41" s="595"/>
      <c r="BTT41" s="595"/>
      <c r="BTU41" s="595"/>
      <c r="BTV41" s="595"/>
      <c r="BTW41" s="595"/>
      <c r="BTX41" s="595"/>
      <c r="BTY41" s="595"/>
      <c r="BTZ41" s="595"/>
      <c r="BUA41" s="595"/>
      <c r="BUB41" s="595"/>
      <c r="BUC41" s="595"/>
      <c r="BUD41" s="595"/>
      <c r="BUE41" s="595"/>
      <c r="BUF41" s="595"/>
      <c r="BUG41" s="595"/>
      <c r="BUH41" s="595"/>
      <c r="BUI41" s="595"/>
      <c r="BUJ41" s="595"/>
      <c r="BUK41" s="595"/>
      <c r="BUL41" s="595"/>
      <c r="BUM41" s="595"/>
      <c r="BUN41" s="595"/>
      <c r="BUO41" s="595"/>
      <c r="BUP41" s="595"/>
      <c r="BUQ41" s="595"/>
      <c r="BUR41" s="595"/>
      <c r="BUS41" s="595"/>
      <c r="BUT41" s="595"/>
      <c r="BUU41" s="595"/>
      <c r="BUV41" s="595"/>
      <c r="BUW41" s="595"/>
      <c r="BUX41" s="595"/>
      <c r="BUY41" s="595"/>
      <c r="BUZ41" s="595"/>
      <c r="BVA41" s="595"/>
      <c r="BVB41" s="595"/>
      <c r="BVC41" s="595"/>
      <c r="BVD41" s="595"/>
      <c r="BVE41" s="595"/>
      <c r="BVF41" s="595"/>
      <c r="BVG41" s="595"/>
      <c r="BVH41" s="595"/>
      <c r="BVI41" s="595"/>
      <c r="BVJ41" s="595"/>
      <c r="BVK41" s="595"/>
      <c r="BVL41" s="595"/>
      <c r="BVM41" s="595"/>
      <c r="BVN41" s="595"/>
      <c r="BVO41" s="595"/>
      <c r="BVP41" s="595"/>
      <c r="BVQ41" s="595"/>
      <c r="BVR41" s="595"/>
      <c r="BVS41" s="595"/>
      <c r="BVT41" s="595"/>
      <c r="BVU41" s="595"/>
      <c r="BVV41" s="595"/>
      <c r="BVW41" s="595"/>
      <c r="BVX41" s="595"/>
      <c r="BVY41" s="595"/>
      <c r="BVZ41" s="595"/>
      <c r="BWA41" s="595"/>
      <c r="BWB41" s="595"/>
      <c r="BWC41" s="595"/>
      <c r="BWD41" s="595"/>
      <c r="BWE41" s="595"/>
      <c r="BWF41" s="595"/>
      <c r="BWG41" s="595"/>
      <c r="BWH41" s="595"/>
      <c r="BWI41" s="595"/>
      <c r="BWJ41" s="595"/>
      <c r="BWK41" s="595"/>
      <c r="BWL41" s="595"/>
      <c r="BWM41" s="595"/>
      <c r="BWN41" s="595"/>
      <c r="BWO41" s="595"/>
      <c r="BWP41" s="595"/>
      <c r="BWQ41" s="595"/>
      <c r="BWR41" s="595"/>
      <c r="BWS41" s="595"/>
      <c r="BWT41" s="595"/>
      <c r="BWU41" s="595"/>
      <c r="BWV41" s="595"/>
      <c r="BWW41" s="595"/>
      <c r="BWX41" s="595"/>
      <c r="BWY41" s="595"/>
      <c r="BWZ41" s="595"/>
      <c r="BXA41" s="595"/>
      <c r="BXB41" s="595"/>
      <c r="BXC41" s="595"/>
      <c r="BXD41" s="595"/>
      <c r="BXE41" s="595"/>
      <c r="BXF41" s="595"/>
      <c r="BXG41" s="595"/>
      <c r="BXH41" s="595"/>
      <c r="BXI41" s="595"/>
      <c r="BXJ41" s="595"/>
      <c r="BXK41" s="595"/>
      <c r="BXL41" s="595"/>
      <c r="BXM41" s="595"/>
      <c r="BXN41" s="595"/>
      <c r="BXO41" s="595"/>
      <c r="BXP41" s="595"/>
      <c r="BXQ41" s="595"/>
      <c r="BXR41" s="595"/>
      <c r="BXS41" s="595"/>
      <c r="BXT41" s="595"/>
      <c r="BXU41" s="595"/>
      <c r="BXV41" s="595"/>
      <c r="BXW41" s="595"/>
      <c r="BXX41" s="595"/>
      <c r="BXY41" s="595"/>
      <c r="BXZ41" s="595"/>
      <c r="BYA41" s="595"/>
      <c r="BYB41" s="595"/>
      <c r="BYC41" s="595"/>
      <c r="BYD41" s="595"/>
      <c r="BYE41" s="595"/>
      <c r="BYF41" s="595"/>
      <c r="BYG41" s="595"/>
      <c r="BYH41" s="595"/>
      <c r="BYI41" s="595"/>
      <c r="BYJ41" s="595"/>
      <c r="BYK41" s="595"/>
      <c r="BYL41" s="595"/>
      <c r="BYM41" s="595"/>
      <c r="BYN41" s="595"/>
      <c r="BYO41" s="595"/>
      <c r="BYP41" s="595"/>
      <c r="BYQ41" s="595"/>
      <c r="BYR41" s="595"/>
      <c r="BYS41" s="595"/>
      <c r="BYT41" s="595"/>
      <c r="BYU41" s="595"/>
      <c r="BYV41" s="595"/>
      <c r="BYW41" s="595"/>
      <c r="BYX41" s="595"/>
      <c r="BYY41" s="595"/>
      <c r="BYZ41" s="595"/>
      <c r="BZA41" s="595"/>
      <c r="BZB41" s="595"/>
      <c r="BZC41" s="595"/>
      <c r="BZD41" s="595"/>
      <c r="BZE41" s="595"/>
      <c r="BZF41" s="595"/>
      <c r="BZG41" s="595"/>
      <c r="BZH41" s="595"/>
      <c r="BZI41" s="595"/>
      <c r="BZJ41" s="595"/>
      <c r="BZK41" s="595"/>
      <c r="BZL41" s="595"/>
      <c r="BZM41" s="595"/>
      <c r="BZN41" s="595"/>
      <c r="BZO41" s="595"/>
      <c r="BZP41" s="595"/>
      <c r="BZQ41" s="595"/>
      <c r="BZR41" s="595"/>
      <c r="BZS41" s="595"/>
      <c r="BZT41" s="595"/>
      <c r="BZU41" s="595"/>
      <c r="BZV41" s="595"/>
      <c r="BZW41" s="595"/>
      <c r="BZX41" s="595"/>
      <c r="BZY41" s="595"/>
      <c r="BZZ41" s="595"/>
      <c r="CAA41" s="595"/>
      <c r="CAB41" s="595"/>
      <c r="CAC41" s="595"/>
      <c r="CAD41" s="595"/>
      <c r="CAE41" s="595"/>
      <c r="CAF41" s="595"/>
      <c r="CAG41" s="595"/>
      <c r="CAH41" s="595"/>
      <c r="CAI41" s="595"/>
      <c r="CAJ41" s="595"/>
      <c r="CAK41" s="595"/>
      <c r="CAL41" s="595"/>
      <c r="CAM41" s="595"/>
      <c r="CAN41" s="595"/>
      <c r="CAO41" s="595"/>
      <c r="CAP41" s="595"/>
      <c r="CAQ41" s="595"/>
      <c r="CAR41" s="595"/>
      <c r="CAS41" s="595"/>
      <c r="CAT41" s="595"/>
      <c r="CAU41" s="595"/>
      <c r="CAV41" s="595"/>
      <c r="CAW41" s="595"/>
      <c r="CAX41" s="595"/>
      <c r="CAY41" s="595"/>
      <c r="CAZ41" s="595"/>
      <c r="CBA41" s="595"/>
      <c r="CBB41" s="595"/>
      <c r="CBC41" s="595"/>
      <c r="CBD41" s="595"/>
      <c r="CBE41" s="595"/>
      <c r="CBF41" s="595"/>
      <c r="CBG41" s="595"/>
      <c r="CBH41" s="595"/>
      <c r="CBI41" s="595"/>
      <c r="CBJ41" s="595"/>
      <c r="CBK41" s="595"/>
      <c r="CBL41" s="595"/>
      <c r="CBM41" s="595"/>
      <c r="CBN41" s="595"/>
      <c r="CBO41" s="595"/>
      <c r="CBP41" s="595"/>
      <c r="CBQ41" s="595"/>
      <c r="CBR41" s="595"/>
      <c r="CBS41" s="595"/>
      <c r="CBT41" s="595"/>
      <c r="CBU41" s="595"/>
      <c r="CBV41" s="595"/>
      <c r="CBW41" s="595"/>
      <c r="CBX41" s="595"/>
      <c r="CBY41" s="595"/>
      <c r="CBZ41" s="595"/>
      <c r="CCA41" s="595"/>
      <c r="CCB41" s="595"/>
      <c r="CCC41" s="595"/>
      <c r="CCD41" s="595"/>
      <c r="CCE41" s="595"/>
      <c r="CCF41" s="595"/>
      <c r="CCG41" s="595"/>
      <c r="CCH41" s="595"/>
      <c r="CCI41" s="595"/>
      <c r="CCJ41" s="595"/>
      <c r="CCK41" s="595"/>
      <c r="CCL41" s="595"/>
      <c r="CCM41" s="595"/>
      <c r="CCN41" s="595"/>
      <c r="CCO41" s="595"/>
      <c r="CCP41" s="595"/>
      <c r="CCQ41" s="595"/>
      <c r="CCR41" s="595"/>
      <c r="CCS41" s="595"/>
      <c r="CCT41" s="595"/>
      <c r="CCU41" s="595"/>
      <c r="CCV41" s="595"/>
      <c r="CCW41" s="595"/>
      <c r="CCX41" s="595"/>
      <c r="CCY41" s="595"/>
      <c r="CCZ41" s="595"/>
      <c r="CDA41" s="595"/>
      <c r="CDB41" s="595"/>
      <c r="CDC41" s="595"/>
      <c r="CDD41" s="595"/>
      <c r="CDE41" s="595"/>
      <c r="CDF41" s="595"/>
      <c r="CDG41" s="595"/>
      <c r="CDH41" s="595"/>
      <c r="CDI41" s="595"/>
      <c r="CDJ41" s="595"/>
      <c r="CDK41" s="595"/>
      <c r="CDL41" s="595"/>
      <c r="CDM41" s="595"/>
      <c r="CDN41" s="595"/>
      <c r="CDO41" s="595"/>
      <c r="CDP41" s="595"/>
      <c r="CDQ41" s="595"/>
      <c r="CDR41" s="595"/>
      <c r="CDS41" s="595"/>
      <c r="CDT41" s="595"/>
      <c r="CDU41" s="595"/>
      <c r="CDV41" s="595"/>
      <c r="CDW41" s="595"/>
      <c r="CDX41" s="595"/>
      <c r="CDY41" s="595"/>
      <c r="CDZ41" s="595"/>
      <c r="CEA41" s="595"/>
      <c r="CEB41" s="595"/>
      <c r="CEC41" s="595"/>
      <c r="CED41" s="595"/>
      <c r="CEE41" s="595"/>
      <c r="CEF41" s="595"/>
      <c r="CEG41" s="595"/>
      <c r="CEH41" s="595"/>
      <c r="CEI41" s="595"/>
      <c r="CEJ41" s="595"/>
      <c r="CEK41" s="595"/>
      <c r="CEL41" s="595"/>
      <c r="CEM41" s="595"/>
      <c r="CEN41" s="595"/>
      <c r="CEO41" s="595"/>
      <c r="CEP41" s="595"/>
      <c r="CEQ41" s="595"/>
      <c r="CER41" s="595"/>
      <c r="CES41" s="595"/>
      <c r="CET41" s="595"/>
      <c r="CEU41" s="595"/>
      <c r="CEV41" s="595"/>
      <c r="CEW41" s="595"/>
      <c r="CEX41" s="595"/>
      <c r="CEY41" s="595"/>
      <c r="CEZ41" s="595"/>
      <c r="CFA41" s="595"/>
      <c r="CFB41" s="595"/>
      <c r="CFC41" s="595"/>
      <c r="CFD41" s="595"/>
      <c r="CFE41" s="595"/>
      <c r="CFF41" s="595"/>
      <c r="CFG41" s="595"/>
      <c r="CFH41" s="595"/>
      <c r="CFI41" s="595"/>
      <c r="CFJ41" s="595"/>
      <c r="CFK41" s="595"/>
      <c r="CFL41" s="595"/>
      <c r="CFM41" s="595"/>
      <c r="CFN41" s="595"/>
      <c r="CFO41" s="595"/>
      <c r="CFP41" s="595"/>
      <c r="CFQ41" s="595"/>
      <c r="CFR41" s="595"/>
      <c r="CFS41" s="595"/>
      <c r="CFT41" s="595"/>
      <c r="CFU41" s="595"/>
      <c r="CFV41" s="595"/>
      <c r="CFW41" s="595"/>
      <c r="CFX41" s="595"/>
      <c r="CFY41" s="595"/>
      <c r="CFZ41" s="595"/>
      <c r="CGA41" s="595"/>
      <c r="CGB41" s="595"/>
      <c r="CGC41" s="595"/>
      <c r="CGD41" s="595"/>
      <c r="CGE41" s="595"/>
      <c r="CGF41" s="595"/>
      <c r="CGG41" s="595"/>
      <c r="CGH41" s="595"/>
      <c r="CGI41" s="595"/>
      <c r="CGJ41" s="595"/>
      <c r="CGK41" s="595"/>
      <c r="CGL41" s="595"/>
      <c r="CGM41" s="595"/>
      <c r="CGN41" s="595"/>
      <c r="CGO41" s="595"/>
      <c r="CGP41" s="595"/>
      <c r="CGQ41" s="595"/>
      <c r="CGR41" s="595"/>
      <c r="CGS41" s="595"/>
      <c r="CGT41" s="595"/>
      <c r="CGU41" s="595"/>
      <c r="CGV41" s="595"/>
      <c r="CGW41" s="595"/>
      <c r="CGX41" s="595"/>
      <c r="CGY41" s="595"/>
      <c r="CGZ41" s="595"/>
      <c r="CHA41" s="595"/>
      <c r="CHB41" s="595"/>
      <c r="CHC41" s="595"/>
      <c r="CHD41" s="595"/>
      <c r="CHE41" s="595"/>
      <c r="CHF41" s="595"/>
      <c r="CHG41" s="595"/>
      <c r="CHH41" s="595"/>
      <c r="CHI41" s="595"/>
      <c r="CHJ41" s="595"/>
      <c r="CHK41" s="595"/>
      <c r="CHL41" s="595"/>
      <c r="CHM41" s="595"/>
      <c r="CHN41" s="595"/>
      <c r="CHO41" s="595"/>
      <c r="CHP41" s="595"/>
      <c r="CHQ41" s="595"/>
      <c r="CHR41" s="595"/>
      <c r="CHS41" s="595"/>
      <c r="CHT41" s="595"/>
      <c r="CHU41" s="595"/>
      <c r="CHV41" s="595"/>
      <c r="CHW41" s="595"/>
      <c r="CHX41" s="595"/>
      <c r="CHY41" s="595"/>
      <c r="CHZ41" s="595"/>
      <c r="CIA41" s="595"/>
      <c r="CIB41" s="595"/>
      <c r="CIC41" s="595"/>
      <c r="CID41" s="595"/>
      <c r="CIE41" s="595"/>
      <c r="CIF41" s="595"/>
      <c r="CIG41" s="595"/>
      <c r="CIH41" s="595"/>
      <c r="CII41" s="595"/>
      <c r="CIJ41" s="595"/>
      <c r="CIK41" s="595"/>
      <c r="CIL41" s="595"/>
      <c r="CIM41" s="595"/>
      <c r="CIN41" s="595"/>
      <c r="CIO41" s="595"/>
      <c r="CIP41" s="595"/>
      <c r="CIQ41" s="595"/>
      <c r="CIR41" s="595"/>
      <c r="CIS41" s="595"/>
      <c r="CIT41" s="595"/>
      <c r="CIU41" s="595"/>
      <c r="CIV41" s="595"/>
      <c r="CIW41" s="595"/>
      <c r="CIX41" s="595"/>
      <c r="CIY41" s="595"/>
      <c r="CIZ41" s="595"/>
      <c r="CJA41" s="595"/>
      <c r="CJB41" s="595"/>
      <c r="CJC41" s="595"/>
      <c r="CJD41" s="595"/>
      <c r="CJE41" s="595"/>
      <c r="CJF41" s="595"/>
      <c r="CJG41" s="595"/>
      <c r="CJH41" s="595"/>
      <c r="CJI41" s="595"/>
      <c r="CJJ41" s="595"/>
      <c r="CJK41" s="595"/>
      <c r="CJL41" s="595"/>
      <c r="CJM41" s="595"/>
      <c r="CJN41" s="595"/>
      <c r="CJO41" s="595"/>
      <c r="CJP41" s="595"/>
      <c r="CJQ41" s="595"/>
      <c r="CJR41" s="595"/>
      <c r="CJS41" s="595"/>
      <c r="CJT41" s="595"/>
      <c r="CJU41" s="595"/>
      <c r="CJV41" s="595"/>
      <c r="CJW41" s="595"/>
      <c r="CJX41" s="595"/>
      <c r="CJY41" s="595"/>
      <c r="CJZ41" s="595"/>
      <c r="CKA41" s="595"/>
      <c r="CKB41" s="595"/>
      <c r="CKC41" s="595"/>
      <c r="CKD41" s="595"/>
      <c r="CKE41" s="595"/>
      <c r="CKF41" s="595"/>
      <c r="CKG41" s="595"/>
      <c r="CKH41" s="595"/>
      <c r="CKI41" s="595"/>
      <c r="CKJ41" s="595"/>
      <c r="CKK41" s="595"/>
      <c r="CKL41" s="595"/>
      <c r="CKM41" s="595"/>
      <c r="CKN41" s="595"/>
      <c r="CKO41" s="595"/>
      <c r="CKP41" s="595"/>
      <c r="CKQ41" s="595"/>
      <c r="CKR41" s="595"/>
      <c r="CKS41" s="595"/>
      <c r="CKT41" s="595"/>
      <c r="CKU41" s="595"/>
      <c r="CKV41" s="595"/>
      <c r="CKW41" s="595"/>
      <c r="CKX41" s="595"/>
      <c r="CKY41" s="595"/>
      <c r="CKZ41" s="595"/>
      <c r="CLA41" s="595"/>
      <c r="CLB41" s="595"/>
      <c r="CLC41" s="595"/>
      <c r="CLD41" s="595"/>
      <c r="CLE41" s="595"/>
      <c r="CLF41" s="595"/>
      <c r="CLG41" s="595"/>
      <c r="CLH41" s="595"/>
      <c r="CLI41" s="595"/>
      <c r="CLJ41" s="595"/>
      <c r="CLK41" s="595"/>
      <c r="CLL41" s="595"/>
      <c r="CLM41" s="595"/>
      <c r="CLN41" s="595"/>
      <c r="CLO41" s="595"/>
      <c r="CLP41" s="595"/>
      <c r="CLQ41" s="595"/>
      <c r="CLR41" s="595"/>
      <c r="CLS41" s="595"/>
      <c r="CLT41" s="595"/>
      <c r="CLU41" s="595"/>
      <c r="CLV41" s="595"/>
      <c r="CLW41" s="595"/>
      <c r="CLX41" s="595"/>
      <c r="CLY41" s="595"/>
      <c r="CLZ41" s="595"/>
      <c r="CMA41" s="595"/>
      <c r="CMB41" s="595"/>
      <c r="CMC41" s="595"/>
      <c r="CMD41" s="595"/>
      <c r="CME41" s="595"/>
      <c r="CMF41" s="595"/>
      <c r="CMG41" s="595"/>
      <c r="CMH41" s="595"/>
      <c r="CMI41" s="595"/>
      <c r="CMJ41" s="595"/>
      <c r="CMK41" s="595"/>
      <c r="CML41" s="595"/>
      <c r="CMM41" s="595"/>
      <c r="CMN41" s="595"/>
      <c r="CMO41" s="595"/>
      <c r="CMP41" s="595"/>
      <c r="CMQ41" s="595"/>
      <c r="CMR41" s="595"/>
      <c r="CMS41" s="595"/>
      <c r="CMT41" s="595"/>
      <c r="CMU41" s="595"/>
      <c r="CMV41" s="595"/>
      <c r="CMW41" s="595"/>
      <c r="CMX41" s="595"/>
      <c r="CMY41" s="595"/>
      <c r="CMZ41" s="595"/>
      <c r="CNA41" s="595"/>
      <c r="CNB41" s="595"/>
      <c r="CNC41" s="595"/>
      <c r="CND41" s="595"/>
      <c r="CNE41" s="595"/>
      <c r="CNF41" s="595"/>
      <c r="CNG41" s="595"/>
      <c r="CNH41" s="595"/>
      <c r="CNI41" s="595"/>
      <c r="CNJ41" s="595"/>
      <c r="CNK41" s="595"/>
      <c r="CNL41" s="595"/>
      <c r="CNM41" s="595"/>
      <c r="CNN41" s="595"/>
      <c r="CNO41" s="595"/>
      <c r="CNP41" s="595"/>
      <c r="CNQ41" s="595"/>
      <c r="CNR41" s="595"/>
      <c r="CNS41" s="595"/>
      <c r="CNT41" s="595"/>
      <c r="CNU41" s="595"/>
      <c r="CNV41" s="595"/>
      <c r="CNW41" s="595"/>
      <c r="CNX41" s="595"/>
      <c r="CNY41" s="595"/>
      <c r="CNZ41" s="595"/>
      <c r="COA41" s="595"/>
      <c r="COB41" s="595"/>
      <c r="COC41" s="595"/>
      <c r="COD41" s="595"/>
      <c r="COE41" s="595"/>
      <c r="COF41" s="595"/>
      <c r="COG41" s="595"/>
      <c r="COH41" s="595"/>
      <c r="COI41" s="595"/>
      <c r="COJ41" s="595"/>
      <c r="COK41" s="595"/>
      <c r="COL41" s="595"/>
      <c r="COM41" s="595"/>
      <c r="CON41" s="595"/>
      <c r="COO41" s="595"/>
      <c r="COP41" s="595"/>
      <c r="COQ41" s="595"/>
      <c r="COR41" s="595"/>
      <c r="COS41" s="595"/>
      <c r="COT41" s="595"/>
      <c r="COU41" s="595"/>
      <c r="COV41" s="595"/>
      <c r="COW41" s="595"/>
      <c r="COX41" s="595"/>
      <c r="COY41" s="595"/>
      <c r="COZ41" s="595"/>
      <c r="CPA41" s="595"/>
      <c r="CPB41" s="595"/>
      <c r="CPC41" s="595"/>
      <c r="CPD41" s="595"/>
      <c r="CPE41" s="595"/>
      <c r="CPF41" s="595"/>
      <c r="CPG41" s="595"/>
      <c r="CPH41" s="595"/>
      <c r="CPI41" s="595"/>
      <c r="CPJ41" s="595"/>
      <c r="CPK41" s="595"/>
      <c r="CPL41" s="595"/>
      <c r="CPM41" s="595"/>
      <c r="CPN41" s="595"/>
      <c r="CPO41" s="595"/>
      <c r="CPP41" s="595"/>
      <c r="CPQ41" s="595"/>
      <c r="CPR41" s="595"/>
      <c r="CPS41" s="595"/>
      <c r="CPT41" s="595"/>
      <c r="CPU41" s="595"/>
      <c r="CPV41" s="595"/>
      <c r="CPW41" s="595"/>
      <c r="CPX41" s="595"/>
      <c r="CPY41" s="595"/>
      <c r="CPZ41" s="595"/>
      <c r="CQA41" s="595"/>
      <c r="CQB41" s="595"/>
      <c r="CQC41" s="595"/>
      <c r="CQD41" s="595"/>
      <c r="CQE41" s="595"/>
      <c r="CQF41" s="595"/>
      <c r="CQG41" s="595"/>
      <c r="CQH41" s="595"/>
      <c r="CQI41" s="595"/>
      <c r="CQJ41" s="595"/>
      <c r="CQK41" s="595"/>
      <c r="CQL41" s="595"/>
      <c r="CQM41" s="595"/>
      <c r="CQN41" s="595"/>
      <c r="CQO41" s="595"/>
      <c r="CQP41" s="595"/>
      <c r="CQQ41" s="595"/>
      <c r="CQR41" s="595"/>
      <c r="CQS41" s="595"/>
      <c r="CQT41" s="595"/>
      <c r="CQU41" s="595"/>
      <c r="CQV41" s="595"/>
      <c r="CQW41" s="595"/>
      <c r="CQX41" s="595"/>
      <c r="CQY41" s="595"/>
      <c r="CQZ41" s="595"/>
      <c r="CRA41" s="595"/>
      <c r="CRB41" s="595"/>
      <c r="CRC41" s="595"/>
      <c r="CRD41" s="595"/>
      <c r="CRE41" s="595"/>
      <c r="CRF41" s="595"/>
      <c r="CRG41" s="595"/>
      <c r="CRH41" s="595"/>
      <c r="CRI41" s="595"/>
      <c r="CRJ41" s="595"/>
      <c r="CRK41" s="595"/>
      <c r="CRL41" s="595"/>
      <c r="CRM41" s="595"/>
      <c r="CRN41" s="595"/>
      <c r="CRO41" s="595"/>
      <c r="CRP41" s="595"/>
      <c r="CRQ41" s="595"/>
      <c r="CRR41" s="595"/>
      <c r="CRS41" s="595"/>
      <c r="CRT41" s="595"/>
      <c r="CRU41" s="595"/>
      <c r="CRV41" s="595"/>
      <c r="CRW41" s="595"/>
      <c r="CRX41" s="595"/>
      <c r="CRY41" s="595"/>
      <c r="CRZ41" s="595"/>
      <c r="CSA41" s="595"/>
      <c r="CSB41" s="595"/>
      <c r="CSC41" s="595"/>
      <c r="CSD41" s="595"/>
      <c r="CSE41" s="595"/>
      <c r="CSF41" s="595"/>
      <c r="CSG41" s="595"/>
      <c r="CSH41" s="595"/>
      <c r="CSI41" s="595"/>
      <c r="CSJ41" s="595"/>
      <c r="CSK41" s="595"/>
      <c r="CSL41" s="595"/>
      <c r="CSM41" s="595"/>
      <c r="CSN41" s="595"/>
      <c r="CSO41" s="595"/>
      <c r="CSP41" s="595"/>
      <c r="CSQ41" s="595"/>
      <c r="CSR41" s="595"/>
      <c r="CSS41" s="595"/>
      <c r="CST41" s="595"/>
      <c r="CSU41" s="595"/>
      <c r="CSV41" s="595"/>
      <c r="CSW41" s="595"/>
      <c r="CSX41" s="595"/>
      <c r="CSY41" s="595"/>
      <c r="CSZ41" s="595"/>
      <c r="CTA41" s="595"/>
      <c r="CTB41" s="595"/>
      <c r="CTC41" s="595"/>
      <c r="CTD41" s="595"/>
      <c r="CTE41" s="595"/>
      <c r="CTF41" s="595"/>
      <c r="CTG41" s="595"/>
      <c r="CTH41" s="595"/>
      <c r="CTI41" s="595"/>
      <c r="CTJ41" s="595"/>
      <c r="CTK41" s="595"/>
      <c r="CTL41" s="595"/>
      <c r="CTM41" s="595"/>
      <c r="CTN41" s="595"/>
      <c r="CTO41" s="595"/>
      <c r="CTP41" s="595"/>
      <c r="CTQ41" s="595"/>
      <c r="CTR41" s="595"/>
      <c r="CTS41" s="595"/>
      <c r="CTT41" s="595"/>
      <c r="CTU41" s="595"/>
      <c r="CTV41" s="595"/>
      <c r="CTW41" s="595"/>
      <c r="CTX41" s="595"/>
      <c r="CTY41" s="595"/>
      <c r="CTZ41" s="595"/>
      <c r="CUA41" s="595"/>
      <c r="CUB41" s="595"/>
      <c r="CUC41" s="595"/>
      <c r="CUD41" s="595"/>
      <c r="CUE41" s="595"/>
      <c r="CUF41" s="595"/>
      <c r="CUG41" s="595"/>
      <c r="CUH41" s="595"/>
      <c r="CUI41" s="595"/>
      <c r="CUJ41" s="595"/>
      <c r="CUK41" s="595"/>
      <c r="CUL41" s="595"/>
      <c r="CUM41" s="595"/>
      <c r="CUN41" s="595"/>
      <c r="CUO41" s="595"/>
      <c r="CUP41" s="595"/>
      <c r="CUQ41" s="595"/>
      <c r="CUR41" s="595"/>
      <c r="CUS41" s="595"/>
      <c r="CUT41" s="595"/>
      <c r="CUU41" s="595"/>
      <c r="CUV41" s="595"/>
      <c r="CUW41" s="595"/>
      <c r="CUX41" s="595"/>
      <c r="CUY41" s="595"/>
      <c r="CUZ41" s="595"/>
      <c r="CVA41" s="595"/>
      <c r="CVB41" s="595"/>
      <c r="CVC41" s="595"/>
      <c r="CVD41" s="595"/>
      <c r="CVE41" s="595"/>
      <c r="CVF41" s="595"/>
      <c r="CVG41" s="595"/>
      <c r="CVH41" s="595"/>
      <c r="CVI41" s="595"/>
      <c r="CVJ41" s="595"/>
      <c r="CVK41" s="595"/>
      <c r="CVL41" s="595"/>
      <c r="CVM41" s="595"/>
      <c r="CVN41" s="595"/>
      <c r="CVO41" s="595"/>
      <c r="CVP41" s="595"/>
      <c r="CVQ41" s="595"/>
      <c r="CVR41" s="595"/>
      <c r="CVS41" s="595"/>
      <c r="CVT41" s="595"/>
      <c r="CVU41" s="595"/>
      <c r="CVV41" s="595"/>
      <c r="CVW41" s="595"/>
      <c r="CVX41" s="595"/>
      <c r="CVY41" s="595"/>
      <c r="CVZ41" s="595"/>
      <c r="CWA41" s="595"/>
      <c r="CWB41" s="595"/>
      <c r="CWC41" s="595"/>
      <c r="CWD41" s="595"/>
      <c r="CWE41" s="595"/>
      <c r="CWF41" s="595"/>
      <c r="CWG41" s="595"/>
      <c r="CWH41" s="595"/>
      <c r="CWI41" s="595"/>
      <c r="CWJ41" s="595"/>
      <c r="CWK41" s="595"/>
      <c r="CWL41" s="595"/>
      <c r="CWM41" s="595"/>
      <c r="CWN41" s="595"/>
      <c r="CWO41" s="595"/>
      <c r="CWP41" s="595"/>
      <c r="CWQ41" s="595"/>
      <c r="CWR41" s="595"/>
      <c r="CWS41" s="595"/>
      <c r="CWT41" s="595"/>
      <c r="CWU41" s="595"/>
      <c r="CWV41" s="595"/>
      <c r="CWW41" s="595"/>
      <c r="CWX41" s="595"/>
      <c r="CWY41" s="595"/>
      <c r="CWZ41" s="595"/>
      <c r="CXA41" s="595"/>
      <c r="CXB41" s="595"/>
      <c r="CXC41" s="595"/>
      <c r="CXD41" s="595"/>
      <c r="CXE41" s="595"/>
      <c r="CXF41" s="595"/>
      <c r="CXG41" s="595"/>
      <c r="CXH41" s="595"/>
      <c r="CXI41" s="595"/>
      <c r="CXJ41" s="595"/>
      <c r="CXK41" s="595"/>
      <c r="CXL41" s="595"/>
      <c r="CXM41" s="595"/>
      <c r="CXN41" s="595"/>
      <c r="CXO41" s="595"/>
      <c r="CXP41" s="595"/>
      <c r="CXQ41" s="595"/>
      <c r="CXR41" s="595"/>
      <c r="CXS41" s="595"/>
      <c r="CXT41" s="595"/>
      <c r="CXU41" s="595"/>
      <c r="CXV41" s="595"/>
      <c r="CXW41" s="595"/>
      <c r="CXX41" s="595"/>
      <c r="CXY41" s="595"/>
      <c r="CXZ41" s="595"/>
      <c r="CYA41" s="595"/>
      <c r="CYB41" s="595"/>
      <c r="CYC41" s="595"/>
      <c r="CYD41" s="595"/>
      <c r="CYE41" s="595"/>
      <c r="CYF41" s="595"/>
      <c r="CYG41" s="595"/>
      <c r="CYH41" s="595"/>
      <c r="CYI41" s="595"/>
      <c r="CYJ41" s="595"/>
      <c r="CYK41" s="595"/>
      <c r="CYL41" s="595"/>
      <c r="CYM41" s="595"/>
      <c r="CYN41" s="595"/>
      <c r="CYO41" s="595"/>
      <c r="CYP41" s="595"/>
      <c r="CYQ41" s="595"/>
      <c r="CYR41" s="595"/>
      <c r="CYS41" s="595"/>
      <c r="CYT41" s="595"/>
      <c r="CYU41" s="595"/>
      <c r="CYV41" s="595"/>
      <c r="CYW41" s="595"/>
      <c r="CYX41" s="595"/>
      <c r="CYY41" s="595"/>
      <c r="CYZ41" s="595"/>
      <c r="CZA41" s="595"/>
      <c r="CZB41" s="595"/>
      <c r="CZC41" s="595"/>
      <c r="CZD41" s="595"/>
      <c r="CZE41" s="595"/>
      <c r="CZF41" s="595"/>
      <c r="CZG41" s="595"/>
      <c r="CZH41" s="595"/>
      <c r="CZI41" s="595"/>
      <c r="CZJ41" s="595"/>
      <c r="CZK41" s="595"/>
      <c r="CZL41" s="595"/>
      <c r="CZM41" s="595"/>
      <c r="CZN41" s="595"/>
      <c r="CZO41" s="595"/>
      <c r="CZP41" s="595"/>
      <c r="CZQ41" s="595"/>
      <c r="CZR41" s="595"/>
      <c r="CZS41" s="595"/>
      <c r="CZT41" s="595"/>
      <c r="CZU41" s="595"/>
      <c r="CZV41" s="595"/>
      <c r="CZW41" s="595"/>
      <c r="CZX41" s="595"/>
      <c r="CZY41" s="595"/>
      <c r="CZZ41" s="595"/>
      <c r="DAA41" s="595"/>
      <c r="DAB41" s="595"/>
      <c r="DAC41" s="595"/>
      <c r="DAD41" s="595"/>
      <c r="DAE41" s="595"/>
      <c r="DAF41" s="595"/>
      <c r="DAG41" s="595"/>
      <c r="DAH41" s="595"/>
      <c r="DAI41" s="595"/>
      <c r="DAJ41" s="595"/>
      <c r="DAK41" s="595"/>
      <c r="DAL41" s="595"/>
      <c r="DAM41" s="595"/>
      <c r="DAN41" s="595"/>
      <c r="DAO41" s="595"/>
      <c r="DAP41" s="595"/>
      <c r="DAQ41" s="595"/>
      <c r="DAR41" s="595"/>
      <c r="DAS41" s="595"/>
      <c r="DAT41" s="595"/>
      <c r="DAU41" s="595"/>
      <c r="DAV41" s="595"/>
      <c r="DAW41" s="595"/>
      <c r="DAX41" s="595"/>
      <c r="DAY41" s="595"/>
      <c r="DAZ41" s="595"/>
      <c r="DBA41" s="595"/>
      <c r="DBB41" s="595"/>
      <c r="DBC41" s="595"/>
      <c r="DBD41" s="595"/>
      <c r="DBE41" s="595"/>
      <c r="DBF41" s="595"/>
      <c r="DBG41" s="595"/>
      <c r="DBH41" s="595"/>
      <c r="DBI41" s="595"/>
      <c r="DBJ41" s="595"/>
      <c r="DBK41" s="595"/>
      <c r="DBL41" s="595"/>
      <c r="DBM41" s="595"/>
      <c r="DBN41" s="595"/>
      <c r="DBO41" s="595"/>
      <c r="DBP41" s="595"/>
      <c r="DBQ41" s="595"/>
      <c r="DBR41" s="595"/>
      <c r="DBS41" s="595"/>
      <c r="DBT41" s="595"/>
      <c r="DBU41" s="595"/>
      <c r="DBV41" s="595"/>
      <c r="DBW41" s="595"/>
      <c r="DBX41" s="595"/>
      <c r="DBY41" s="595"/>
      <c r="DBZ41" s="595"/>
      <c r="DCA41" s="595"/>
      <c r="DCB41" s="595"/>
      <c r="DCC41" s="595"/>
      <c r="DCD41" s="595"/>
      <c r="DCE41" s="595"/>
      <c r="DCF41" s="595"/>
      <c r="DCG41" s="595"/>
      <c r="DCH41" s="595"/>
      <c r="DCI41" s="595"/>
      <c r="DCJ41" s="595"/>
      <c r="DCK41" s="595"/>
      <c r="DCL41" s="595"/>
      <c r="DCM41" s="595"/>
      <c r="DCN41" s="595"/>
      <c r="DCO41" s="595"/>
      <c r="DCP41" s="595"/>
      <c r="DCQ41" s="595"/>
      <c r="DCR41" s="595"/>
      <c r="DCS41" s="595"/>
      <c r="DCT41" s="595"/>
      <c r="DCU41" s="595"/>
      <c r="DCV41" s="595"/>
      <c r="DCW41" s="595"/>
      <c r="DCX41" s="595"/>
      <c r="DCY41" s="595"/>
      <c r="DCZ41" s="595"/>
      <c r="DDA41" s="595"/>
      <c r="DDB41" s="595"/>
      <c r="DDC41" s="595"/>
      <c r="DDD41" s="595"/>
      <c r="DDE41" s="595"/>
      <c r="DDF41" s="595"/>
      <c r="DDG41" s="595"/>
      <c r="DDH41" s="595"/>
      <c r="DDI41" s="595"/>
      <c r="DDJ41" s="595"/>
      <c r="DDK41" s="595"/>
      <c r="DDL41" s="595"/>
      <c r="DDM41" s="595"/>
      <c r="DDN41" s="595"/>
      <c r="DDO41" s="595"/>
      <c r="DDP41" s="595"/>
      <c r="DDQ41" s="595"/>
      <c r="DDR41" s="595"/>
      <c r="DDS41" s="595"/>
      <c r="DDT41" s="595"/>
      <c r="DDU41" s="595"/>
      <c r="DDV41" s="595"/>
      <c r="DDW41" s="595"/>
      <c r="DDX41" s="595"/>
      <c r="DDY41" s="595"/>
      <c r="DDZ41" s="595"/>
      <c r="DEA41" s="595"/>
      <c r="DEB41" s="595"/>
      <c r="DEC41" s="595"/>
      <c r="DED41" s="595"/>
      <c r="DEE41" s="595"/>
      <c r="DEF41" s="595"/>
      <c r="DEG41" s="595"/>
      <c r="DEH41" s="595"/>
      <c r="DEI41" s="595"/>
      <c r="DEJ41" s="595"/>
      <c r="DEK41" s="595"/>
      <c r="DEL41" s="595"/>
      <c r="DEM41" s="595"/>
      <c r="DEN41" s="595"/>
      <c r="DEO41" s="595"/>
      <c r="DEP41" s="595"/>
      <c r="DEQ41" s="595"/>
      <c r="DER41" s="595"/>
      <c r="DES41" s="595"/>
      <c r="DET41" s="595"/>
      <c r="DEU41" s="595"/>
      <c r="DEV41" s="595"/>
      <c r="DEW41" s="595"/>
      <c r="DEX41" s="595"/>
      <c r="DEY41" s="595"/>
      <c r="DEZ41" s="595"/>
      <c r="DFA41" s="595"/>
      <c r="DFB41" s="595"/>
      <c r="DFC41" s="595"/>
      <c r="DFD41" s="595"/>
      <c r="DFE41" s="595"/>
      <c r="DFF41" s="595"/>
      <c r="DFG41" s="595"/>
      <c r="DFH41" s="595"/>
      <c r="DFI41" s="595"/>
      <c r="DFJ41" s="595"/>
      <c r="DFK41" s="595"/>
      <c r="DFL41" s="595"/>
      <c r="DFM41" s="595"/>
      <c r="DFN41" s="595"/>
      <c r="DFO41" s="595"/>
      <c r="DFP41" s="595"/>
      <c r="DFQ41" s="595"/>
      <c r="DFR41" s="595"/>
      <c r="DFS41" s="595"/>
      <c r="DFT41" s="595"/>
      <c r="DFU41" s="595"/>
      <c r="DFV41" s="595"/>
      <c r="DFW41" s="595"/>
      <c r="DFX41" s="595"/>
      <c r="DFY41" s="595"/>
      <c r="DFZ41" s="595"/>
      <c r="DGA41" s="595"/>
      <c r="DGB41" s="595"/>
      <c r="DGC41" s="595"/>
      <c r="DGD41" s="595"/>
      <c r="DGE41" s="595"/>
      <c r="DGF41" s="595"/>
      <c r="DGG41" s="595"/>
      <c r="DGH41" s="595"/>
      <c r="DGI41" s="595"/>
      <c r="DGJ41" s="595"/>
      <c r="DGK41" s="595"/>
      <c r="DGL41" s="595"/>
      <c r="DGM41" s="595"/>
      <c r="DGN41" s="595"/>
      <c r="DGO41" s="595"/>
      <c r="DGP41" s="595"/>
      <c r="DGQ41" s="595"/>
      <c r="DGR41" s="595"/>
      <c r="DGS41" s="595"/>
      <c r="DGT41" s="595"/>
      <c r="DGU41" s="595"/>
      <c r="DGV41" s="595"/>
      <c r="DGW41" s="595"/>
      <c r="DGX41" s="595"/>
      <c r="DGY41" s="595"/>
      <c r="DGZ41" s="595"/>
      <c r="DHA41" s="595"/>
      <c r="DHB41" s="595"/>
      <c r="DHC41" s="595"/>
      <c r="DHD41" s="595"/>
      <c r="DHE41" s="595"/>
      <c r="DHF41" s="595"/>
      <c r="DHG41" s="595"/>
      <c r="DHH41" s="595"/>
      <c r="DHI41" s="595"/>
      <c r="DHJ41" s="595"/>
      <c r="DHK41" s="595"/>
      <c r="DHL41" s="595"/>
      <c r="DHM41" s="595"/>
      <c r="DHN41" s="595"/>
      <c r="DHO41" s="595"/>
      <c r="DHP41" s="595"/>
      <c r="DHQ41" s="595"/>
      <c r="DHR41" s="595"/>
      <c r="DHS41" s="595"/>
      <c r="DHT41" s="595"/>
      <c r="DHU41" s="595"/>
      <c r="DHV41" s="595"/>
      <c r="DHW41" s="595"/>
      <c r="DHX41" s="595"/>
      <c r="DHY41" s="595"/>
      <c r="DHZ41" s="595"/>
      <c r="DIA41" s="595"/>
      <c r="DIB41" s="595"/>
      <c r="DIC41" s="595"/>
      <c r="DID41" s="595"/>
      <c r="DIE41" s="595"/>
      <c r="DIF41" s="595"/>
      <c r="DIG41" s="595"/>
      <c r="DIH41" s="595"/>
      <c r="DII41" s="595"/>
      <c r="DIJ41" s="595"/>
      <c r="DIK41" s="595"/>
      <c r="DIL41" s="595"/>
      <c r="DIM41" s="595"/>
      <c r="DIN41" s="595"/>
      <c r="DIO41" s="595"/>
      <c r="DIP41" s="595"/>
      <c r="DIQ41" s="595"/>
      <c r="DIR41" s="595"/>
      <c r="DIS41" s="595"/>
      <c r="DIT41" s="595"/>
      <c r="DIU41" s="595"/>
      <c r="DIV41" s="595"/>
      <c r="DIW41" s="595"/>
      <c r="DIX41" s="595"/>
      <c r="DIY41" s="595"/>
      <c r="DIZ41" s="595"/>
      <c r="DJA41" s="595"/>
      <c r="DJB41" s="595"/>
      <c r="DJC41" s="595"/>
      <c r="DJD41" s="595"/>
      <c r="DJE41" s="595"/>
      <c r="DJF41" s="595"/>
      <c r="DJG41" s="595"/>
      <c r="DJH41" s="595"/>
      <c r="DJI41" s="595"/>
      <c r="DJJ41" s="595"/>
      <c r="DJK41" s="595"/>
      <c r="DJL41" s="595"/>
      <c r="DJM41" s="595"/>
      <c r="DJN41" s="595"/>
      <c r="DJO41" s="595"/>
      <c r="DJP41" s="595"/>
      <c r="DJQ41" s="595"/>
      <c r="DJR41" s="595"/>
      <c r="DJS41" s="595"/>
      <c r="DJT41" s="595"/>
      <c r="DJU41" s="595"/>
      <c r="DJV41" s="595"/>
      <c r="DJW41" s="595"/>
      <c r="DJX41" s="595"/>
      <c r="DJY41" s="595"/>
      <c r="DJZ41" s="595"/>
      <c r="DKA41" s="595"/>
      <c r="DKB41" s="595"/>
      <c r="DKC41" s="595"/>
      <c r="DKD41" s="595"/>
      <c r="DKE41" s="595"/>
      <c r="DKF41" s="595"/>
      <c r="DKG41" s="595"/>
      <c r="DKH41" s="595"/>
      <c r="DKI41" s="595"/>
      <c r="DKJ41" s="595"/>
      <c r="DKK41" s="595"/>
      <c r="DKL41" s="595"/>
      <c r="DKM41" s="595"/>
      <c r="DKN41" s="595"/>
      <c r="DKO41" s="595"/>
      <c r="DKP41" s="595"/>
      <c r="DKQ41" s="595"/>
      <c r="DKR41" s="595"/>
      <c r="DKS41" s="595"/>
      <c r="DKT41" s="595"/>
      <c r="DKU41" s="595"/>
      <c r="DKV41" s="595"/>
      <c r="DKW41" s="595"/>
      <c r="DKX41" s="595"/>
      <c r="DKY41" s="595"/>
      <c r="DKZ41" s="595"/>
      <c r="DLA41" s="595"/>
      <c r="DLB41" s="595"/>
      <c r="DLC41" s="595"/>
      <c r="DLD41" s="595"/>
      <c r="DLE41" s="595"/>
      <c r="DLF41" s="595"/>
      <c r="DLG41" s="595"/>
      <c r="DLH41" s="595"/>
      <c r="DLI41" s="595"/>
      <c r="DLJ41" s="595"/>
      <c r="DLK41" s="595"/>
      <c r="DLL41" s="595"/>
      <c r="DLM41" s="595"/>
      <c r="DLN41" s="595"/>
      <c r="DLO41" s="595"/>
      <c r="DLP41" s="595"/>
      <c r="DLQ41" s="595"/>
      <c r="DLR41" s="595"/>
      <c r="DLS41" s="595"/>
      <c r="DLT41" s="595"/>
      <c r="DLU41" s="595"/>
      <c r="DLV41" s="595"/>
      <c r="DLW41" s="595"/>
      <c r="DLX41" s="595"/>
      <c r="DLY41" s="595"/>
      <c r="DLZ41" s="595"/>
      <c r="DMA41" s="595"/>
      <c r="DMB41" s="595"/>
      <c r="DMC41" s="595"/>
      <c r="DMD41" s="595"/>
      <c r="DME41" s="595"/>
      <c r="DMF41" s="595"/>
      <c r="DMG41" s="595"/>
      <c r="DMH41" s="595"/>
      <c r="DMI41" s="595"/>
      <c r="DMJ41" s="595"/>
      <c r="DMK41" s="595"/>
      <c r="DML41" s="595"/>
      <c r="DMM41" s="595"/>
      <c r="DMN41" s="595"/>
      <c r="DMO41" s="595"/>
      <c r="DMP41" s="595"/>
      <c r="DMQ41" s="595"/>
      <c r="DMR41" s="595"/>
      <c r="DMS41" s="595"/>
      <c r="DMT41" s="595"/>
      <c r="DMU41" s="595"/>
      <c r="DMV41" s="595"/>
      <c r="DMW41" s="595"/>
      <c r="DMX41" s="595"/>
      <c r="DMY41" s="595"/>
      <c r="DMZ41" s="595"/>
      <c r="DNA41" s="595"/>
      <c r="DNB41" s="595"/>
      <c r="DNC41" s="595"/>
      <c r="DND41" s="595"/>
      <c r="DNE41" s="595"/>
      <c r="DNF41" s="595"/>
      <c r="DNG41" s="595"/>
      <c r="DNH41" s="595"/>
      <c r="DNI41" s="595"/>
      <c r="DNJ41" s="595"/>
      <c r="DNK41" s="595"/>
      <c r="DNL41" s="595"/>
      <c r="DNM41" s="595"/>
      <c r="DNN41" s="595"/>
      <c r="DNO41" s="595"/>
      <c r="DNP41" s="595"/>
      <c r="DNQ41" s="595"/>
      <c r="DNR41" s="595"/>
      <c r="DNS41" s="595"/>
      <c r="DNT41" s="595"/>
      <c r="DNU41" s="595"/>
      <c r="DNV41" s="595"/>
      <c r="DNW41" s="595"/>
      <c r="DNX41" s="595"/>
      <c r="DNY41" s="595"/>
      <c r="DNZ41" s="595"/>
      <c r="DOA41" s="595"/>
      <c r="DOB41" s="595"/>
      <c r="DOC41" s="595"/>
      <c r="DOD41" s="595"/>
      <c r="DOE41" s="595"/>
      <c r="DOF41" s="595"/>
      <c r="DOG41" s="595"/>
      <c r="DOH41" s="595"/>
      <c r="DOI41" s="595"/>
      <c r="DOJ41" s="595"/>
      <c r="DOK41" s="595"/>
      <c r="DOL41" s="595"/>
      <c r="DOM41" s="595"/>
      <c r="DON41" s="595"/>
      <c r="DOO41" s="595"/>
      <c r="DOP41" s="595"/>
      <c r="DOQ41" s="595"/>
      <c r="DOR41" s="595"/>
      <c r="DOS41" s="595"/>
      <c r="DOT41" s="595"/>
      <c r="DOU41" s="595"/>
      <c r="DOV41" s="595"/>
      <c r="DOW41" s="595"/>
      <c r="DOX41" s="595"/>
      <c r="DOY41" s="595"/>
      <c r="DOZ41" s="595"/>
      <c r="DPA41" s="595"/>
      <c r="DPB41" s="595"/>
      <c r="DPC41" s="595"/>
      <c r="DPD41" s="595"/>
      <c r="DPE41" s="595"/>
      <c r="DPF41" s="595"/>
      <c r="DPG41" s="595"/>
      <c r="DPH41" s="595"/>
      <c r="DPI41" s="595"/>
      <c r="DPJ41" s="595"/>
      <c r="DPK41" s="595"/>
      <c r="DPL41" s="595"/>
      <c r="DPM41" s="595"/>
      <c r="DPN41" s="595"/>
      <c r="DPO41" s="595"/>
      <c r="DPP41" s="595"/>
      <c r="DPQ41" s="595"/>
      <c r="DPR41" s="595"/>
      <c r="DPS41" s="595"/>
      <c r="DPT41" s="595"/>
      <c r="DPU41" s="595"/>
      <c r="DPV41" s="595"/>
      <c r="DPW41" s="595"/>
      <c r="DPX41" s="595"/>
      <c r="DPY41" s="595"/>
      <c r="DPZ41" s="595"/>
      <c r="DQA41" s="595"/>
      <c r="DQB41" s="595"/>
      <c r="DQC41" s="595"/>
      <c r="DQD41" s="595"/>
      <c r="DQE41" s="595"/>
      <c r="DQF41" s="595"/>
      <c r="DQG41" s="595"/>
      <c r="DQH41" s="595"/>
      <c r="DQI41" s="595"/>
      <c r="DQJ41" s="595"/>
      <c r="DQK41" s="595"/>
      <c r="DQL41" s="595"/>
      <c r="DQM41" s="595"/>
      <c r="DQN41" s="595"/>
      <c r="DQO41" s="595"/>
      <c r="DQP41" s="595"/>
      <c r="DQQ41" s="595"/>
      <c r="DQR41" s="595"/>
      <c r="DQS41" s="595"/>
      <c r="DQT41" s="595"/>
      <c r="DQU41" s="595"/>
      <c r="DQV41" s="595"/>
      <c r="DQW41" s="595"/>
      <c r="DQX41" s="595"/>
      <c r="DQY41" s="595"/>
      <c r="DQZ41" s="595"/>
      <c r="DRA41" s="595"/>
      <c r="DRB41" s="595"/>
      <c r="DRC41" s="595"/>
      <c r="DRD41" s="595"/>
      <c r="DRE41" s="595"/>
      <c r="DRF41" s="595"/>
      <c r="DRG41" s="595"/>
      <c r="DRH41" s="595"/>
      <c r="DRI41" s="595"/>
      <c r="DRJ41" s="595"/>
      <c r="DRK41" s="595"/>
      <c r="DRL41" s="595"/>
      <c r="DRM41" s="595"/>
      <c r="DRN41" s="595"/>
      <c r="DRO41" s="595"/>
      <c r="DRP41" s="595"/>
      <c r="DRQ41" s="595"/>
      <c r="DRR41" s="595"/>
      <c r="DRS41" s="595"/>
      <c r="DRT41" s="595"/>
      <c r="DRU41" s="595"/>
      <c r="DRV41" s="595"/>
      <c r="DRW41" s="595"/>
      <c r="DRX41" s="595"/>
      <c r="DRY41" s="595"/>
      <c r="DRZ41" s="595"/>
      <c r="DSA41" s="595"/>
      <c r="DSB41" s="595"/>
      <c r="DSC41" s="595"/>
      <c r="DSD41" s="595"/>
      <c r="DSE41" s="595"/>
      <c r="DSF41" s="595"/>
      <c r="DSG41" s="595"/>
      <c r="DSH41" s="595"/>
      <c r="DSI41" s="595"/>
      <c r="DSJ41" s="595"/>
      <c r="DSK41" s="595"/>
      <c r="DSL41" s="595"/>
      <c r="DSM41" s="595"/>
      <c r="DSN41" s="595"/>
      <c r="DSO41" s="595"/>
      <c r="DSP41" s="595"/>
      <c r="DSQ41" s="595"/>
      <c r="DSR41" s="595"/>
      <c r="DSS41" s="595"/>
      <c r="DST41" s="595"/>
      <c r="DSU41" s="595"/>
      <c r="DSV41" s="595"/>
      <c r="DSW41" s="595"/>
      <c r="DSX41" s="595"/>
      <c r="DSY41" s="595"/>
      <c r="DSZ41" s="595"/>
      <c r="DTA41" s="595"/>
      <c r="DTB41" s="595"/>
      <c r="DTC41" s="595"/>
      <c r="DTD41" s="595"/>
      <c r="DTE41" s="595"/>
      <c r="DTF41" s="595"/>
      <c r="DTG41" s="595"/>
      <c r="DTH41" s="595"/>
      <c r="DTI41" s="595"/>
      <c r="DTJ41" s="595"/>
      <c r="DTK41" s="595"/>
      <c r="DTL41" s="595"/>
      <c r="DTM41" s="595"/>
      <c r="DTN41" s="595"/>
      <c r="DTO41" s="595"/>
      <c r="DTP41" s="595"/>
      <c r="DTQ41" s="595"/>
      <c r="DTR41" s="595"/>
      <c r="DTS41" s="595"/>
      <c r="DTT41" s="595"/>
      <c r="DTU41" s="595"/>
      <c r="DTV41" s="595"/>
      <c r="DTW41" s="595"/>
      <c r="DTX41" s="595"/>
      <c r="DTY41" s="595"/>
      <c r="DTZ41" s="595"/>
      <c r="DUA41" s="595"/>
      <c r="DUB41" s="595"/>
      <c r="DUC41" s="595"/>
      <c r="DUD41" s="595"/>
      <c r="DUE41" s="595"/>
      <c r="DUF41" s="595"/>
      <c r="DUG41" s="595"/>
      <c r="DUH41" s="595"/>
      <c r="DUI41" s="595"/>
      <c r="DUJ41" s="595"/>
      <c r="DUK41" s="595"/>
      <c r="DUL41" s="595"/>
      <c r="DUM41" s="595"/>
      <c r="DUN41" s="595"/>
      <c r="DUO41" s="595"/>
      <c r="DUP41" s="595"/>
      <c r="DUQ41" s="595"/>
      <c r="DUR41" s="595"/>
      <c r="DUS41" s="595"/>
      <c r="DUT41" s="595"/>
      <c r="DUU41" s="595"/>
      <c r="DUV41" s="595"/>
      <c r="DUW41" s="595"/>
      <c r="DUX41" s="595"/>
      <c r="DUY41" s="595"/>
      <c r="DUZ41" s="595"/>
      <c r="DVA41" s="595"/>
      <c r="DVB41" s="595"/>
      <c r="DVC41" s="595"/>
      <c r="DVD41" s="595"/>
      <c r="DVE41" s="595"/>
      <c r="DVF41" s="595"/>
      <c r="DVG41" s="595"/>
      <c r="DVH41" s="595"/>
      <c r="DVI41" s="595"/>
      <c r="DVJ41" s="595"/>
      <c r="DVK41" s="595"/>
      <c r="DVL41" s="595"/>
      <c r="DVM41" s="595"/>
      <c r="DVN41" s="595"/>
      <c r="DVO41" s="595"/>
      <c r="DVP41" s="595"/>
      <c r="DVQ41" s="595"/>
      <c r="DVR41" s="595"/>
      <c r="DVS41" s="595"/>
      <c r="DVT41" s="595"/>
      <c r="DVU41" s="595"/>
      <c r="DVV41" s="595"/>
      <c r="DVW41" s="595"/>
      <c r="DVX41" s="595"/>
      <c r="DVY41" s="595"/>
      <c r="DVZ41" s="595"/>
      <c r="DWA41" s="595"/>
      <c r="DWB41" s="595"/>
      <c r="DWC41" s="595"/>
      <c r="DWD41" s="595"/>
      <c r="DWE41" s="595"/>
      <c r="DWF41" s="595"/>
      <c r="DWG41" s="595"/>
      <c r="DWH41" s="595"/>
      <c r="DWI41" s="595"/>
      <c r="DWJ41" s="595"/>
      <c r="DWK41" s="595"/>
      <c r="DWL41" s="595"/>
      <c r="DWM41" s="595"/>
      <c r="DWN41" s="595"/>
      <c r="DWO41" s="595"/>
      <c r="DWP41" s="595"/>
      <c r="DWQ41" s="595"/>
      <c r="DWR41" s="595"/>
      <c r="DWS41" s="595"/>
      <c r="DWT41" s="595"/>
      <c r="DWU41" s="595"/>
      <c r="DWV41" s="595"/>
      <c r="DWW41" s="595"/>
      <c r="DWX41" s="595"/>
      <c r="DWY41" s="595"/>
      <c r="DWZ41" s="595"/>
      <c r="DXA41" s="595"/>
      <c r="DXB41" s="595"/>
      <c r="DXC41" s="595"/>
      <c r="DXD41" s="595"/>
      <c r="DXE41" s="595"/>
      <c r="DXF41" s="595"/>
      <c r="DXG41" s="595"/>
      <c r="DXH41" s="595"/>
      <c r="DXI41" s="595"/>
      <c r="DXJ41" s="595"/>
      <c r="DXK41" s="595"/>
      <c r="DXL41" s="595"/>
      <c r="DXM41" s="595"/>
      <c r="DXN41" s="595"/>
      <c r="DXO41" s="595"/>
      <c r="DXP41" s="595"/>
      <c r="DXQ41" s="595"/>
      <c r="DXR41" s="595"/>
      <c r="DXS41" s="595"/>
      <c r="DXT41" s="595"/>
      <c r="DXU41" s="595"/>
      <c r="DXV41" s="595"/>
      <c r="DXW41" s="595"/>
      <c r="DXX41" s="595"/>
      <c r="DXY41" s="595"/>
      <c r="DXZ41" s="595"/>
      <c r="DYA41" s="595"/>
      <c r="DYB41" s="595"/>
      <c r="DYC41" s="595"/>
      <c r="DYD41" s="595"/>
      <c r="DYE41" s="595"/>
      <c r="DYF41" s="595"/>
      <c r="DYG41" s="595"/>
      <c r="DYH41" s="595"/>
      <c r="DYI41" s="595"/>
      <c r="DYJ41" s="595"/>
      <c r="DYK41" s="595"/>
      <c r="DYL41" s="595"/>
      <c r="DYM41" s="595"/>
      <c r="DYN41" s="595"/>
      <c r="DYO41" s="595"/>
      <c r="DYP41" s="595"/>
      <c r="DYQ41" s="595"/>
      <c r="DYR41" s="595"/>
      <c r="DYS41" s="595"/>
      <c r="DYT41" s="595"/>
      <c r="DYU41" s="595"/>
      <c r="DYV41" s="595"/>
      <c r="DYW41" s="595"/>
      <c r="DYX41" s="595"/>
      <c r="DYY41" s="595"/>
      <c r="DYZ41" s="595"/>
      <c r="DZA41" s="595"/>
      <c r="DZB41" s="595"/>
      <c r="DZC41" s="595"/>
      <c r="DZD41" s="595"/>
      <c r="DZE41" s="595"/>
      <c r="DZF41" s="595"/>
      <c r="DZG41" s="595"/>
      <c r="DZH41" s="595"/>
      <c r="DZI41" s="595"/>
      <c r="DZJ41" s="595"/>
      <c r="DZK41" s="595"/>
      <c r="DZL41" s="595"/>
      <c r="DZM41" s="595"/>
      <c r="DZN41" s="595"/>
      <c r="DZO41" s="595"/>
      <c r="DZP41" s="595"/>
      <c r="DZQ41" s="595"/>
      <c r="DZR41" s="595"/>
      <c r="DZS41" s="595"/>
      <c r="DZT41" s="595"/>
      <c r="DZU41" s="595"/>
      <c r="DZV41" s="595"/>
      <c r="DZW41" s="595"/>
      <c r="DZX41" s="595"/>
      <c r="DZY41" s="595"/>
      <c r="DZZ41" s="595"/>
      <c r="EAA41" s="595"/>
      <c r="EAB41" s="595"/>
      <c r="EAC41" s="595"/>
      <c r="EAD41" s="595"/>
      <c r="EAE41" s="595"/>
      <c r="EAF41" s="595"/>
      <c r="EAG41" s="595"/>
      <c r="EAH41" s="595"/>
      <c r="EAI41" s="595"/>
      <c r="EAJ41" s="595"/>
      <c r="EAK41" s="595"/>
      <c r="EAL41" s="595"/>
      <c r="EAM41" s="595"/>
      <c r="EAN41" s="595"/>
      <c r="EAO41" s="595"/>
      <c r="EAP41" s="595"/>
      <c r="EAQ41" s="595"/>
      <c r="EAR41" s="595"/>
      <c r="EAS41" s="595"/>
      <c r="EAT41" s="595"/>
      <c r="EAU41" s="595"/>
      <c r="EAV41" s="595"/>
      <c r="EAW41" s="595"/>
      <c r="EAX41" s="595"/>
      <c r="EAY41" s="595"/>
      <c r="EAZ41" s="595"/>
      <c r="EBA41" s="595"/>
      <c r="EBB41" s="595"/>
      <c r="EBC41" s="595"/>
      <c r="EBD41" s="595"/>
      <c r="EBE41" s="595"/>
      <c r="EBF41" s="595"/>
      <c r="EBG41" s="595"/>
      <c r="EBH41" s="595"/>
      <c r="EBI41" s="595"/>
      <c r="EBJ41" s="595"/>
      <c r="EBK41" s="595"/>
      <c r="EBL41" s="595"/>
      <c r="EBM41" s="595"/>
      <c r="EBN41" s="595"/>
      <c r="EBO41" s="595"/>
      <c r="EBP41" s="595"/>
      <c r="EBQ41" s="595"/>
      <c r="EBR41" s="595"/>
      <c r="EBS41" s="595"/>
      <c r="EBT41" s="595"/>
      <c r="EBU41" s="595"/>
      <c r="EBV41" s="595"/>
      <c r="EBW41" s="595"/>
      <c r="EBX41" s="595"/>
      <c r="EBY41" s="595"/>
      <c r="EBZ41" s="595"/>
      <c r="ECA41" s="595"/>
      <c r="ECB41" s="595"/>
      <c r="ECC41" s="595"/>
      <c r="ECD41" s="595"/>
      <c r="ECE41" s="595"/>
      <c r="ECF41" s="595"/>
      <c r="ECG41" s="595"/>
      <c r="ECH41" s="595"/>
      <c r="ECI41" s="595"/>
      <c r="ECJ41" s="595"/>
      <c r="ECK41" s="595"/>
      <c r="ECL41" s="595"/>
      <c r="ECM41" s="595"/>
      <c r="ECN41" s="595"/>
      <c r="ECO41" s="595"/>
      <c r="ECP41" s="595"/>
      <c r="ECQ41" s="595"/>
      <c r="ECR41" s="595"/>
      <c r="ECS41" s="595"/>
      <c r="ECT41" s="595"/>
      <c r="ECU41" s="595"/>
      <c r="ECV41" s="595"/>
      <c r="ECW41" s="595"/>
      <c r="ECX41" s="595"/>
      <c r="ECY41" s="595"/>
      <c r="ECZ41" s="595"/>
      <c r="EDA41" s="595"/>
      <c r="EDB41" s="595"/>
      <c r="EDC41" s="595"/>
      <c r="EDD41" s="595"/>
      <c r="EDE41" s="595"/>
      <c r="EDF41" s="595"/>
      <c r="EDG41" s="595"/>
      <c r="EDH41" s="595"/>
      <c r="EDI41" s="595"/>
      <c r="EDJ41" s="595"/>
      <c r="EDK41" s="595"/>
      <c r="EDL41" s="595"/>
      <c r="EDM41" s="595"/>
      <c r="EDN41" s="595"/>
      <c r="EDO41" s="595"/>
      <c r="EDP41" s="595"/>
      <c r="EDQ41" s="595"/>
      <c r="EDR41" s="595"/>
      <c r="EDS41" s="595"/>
      <c r="EDT41" s="595"/>
      <c r="EDU41" s="595"/>
      <c r="EDV41" s="595"/>
      <c r="EDW41" s="595"/>
      <c r="EDX41" s="595"/>
      <c r="EDY41" s="595"/>
      <c r="EDZ41" s="595"/>
      <c r="EEA41" s="595"/>
      <c r="EEB41" s="595"/>
      <c r="EEC41" s="595"/>
      <c r="EED41" s="595"/>
      <c r="EEE41" s="595"/>
      <c r="EEF41" s="595"/>
      <c r="EEG41" s="595"/>
      <c r="EEH41" s="595"/>
      <c r="EEI41" s="595"/>
      <c r="EEJ41" s="595"/>
      <c r="EEK41" s="595"/>
      <c r="EEL41" s="595"/>
      <c r="EEM41" s="595"/>
      <c r="EEN41" s="595"/>
      <c r="EEO41" s="595"/>
      <c r="EEP41" s="595"/>
      <c r="EEQ41" s="595"/>
      <c r="EER41" s="595"/>
      <c r="EES41" s="595"/>
      <c r="EET41" s="595"/>
      <c r="EEU41" s="595"/>
      <c r="EEV41" s="595"/>
      <c r="EEW41" s="595"/>
      <c r="EEX41" s="595"/>
      <c r="EEY41" s="595"/>
      <c r="EEZ41" s="595"/>
      <c r="EFA41" s="595"/>
      <c r="EFB41" s="595"/>
      <c r="EFC41" s="595"/>
      <c r="EFD41" s="595"/>
      <c r="EFE41" s="595"/>
      <c r="EFF41" s="595"/>
      <c r="EFG41" s="595"/>
      <c r="EFH41" s="595"/>
      <c r="EFI41" s="595"/>
      <c r="EFJ41" s="595"/>
      <c r="EFK41" s="595"/>
      <c r="EFL41" s="595"/>
      <c r="EFM41" s="595"/>
      <c r="EFN41" s="595"/>
      <c r="EFO41" s="595"/>
      <c r="EFP41" s="595"/>
      <c r="EFQ41" s="595"/>
      <c r="EFR41" s="595"/>
      <c r="EFS41" s="595"/>
      <c r="EFT41" s="595"/>
      <c r="EFU41" s="595"/>
      <c r="EFV41" s="595"/>
      <c r="EFW41" s="595"/>
      <c r="EFX41" s="595"/>
      <c r="EFY41" s="595"/>
      <c r="EFZ41" s="595"/>
      <c r="EGA41" s="595"/>
      <c r="EGB41" s="595"/>
      <c r="EGC41" s="595"/>
      <c r="EGD41" s="595"/>
      <c r="EGE41" s="595"/>
      <c r="EGF41" s="595"/>
      <c r="EGG41" s="595"/>
      <c r="EGH41" s="595"/>
      <c r="EGI41" s="595"/>
      <c r="EGJ41" s="595"/>
      <c r="EGK41" s="595"/>
      <c r="EGL41" s="595"/>
      <c r="EGM41" s="595"/>
      <c r="EGN41" s="595"/>
      <c r="EGO41" s="595"/>
      <c r="EGP41" s="595"/>
      <c r="EGQ41" s="595"/>
      <c r="EGR41" s="595"/>
      <c r="EGS41" s="595"/>
      <c r="EGT41" s="595"/>
      <c r="EGU41" s="595"/>
      <c r="EGV41" s="595"/>
      <c r="EGW41" s="595"/>
      <c r="EGX41" s="595"/>
      <c r="EGY41" s="595"/>
      <c r="EGZ41" s="595"/>
      <c r="EHA41" s="595"/>
      <c r="EHB41" s="595"/>
      <c r="EHC41" s="595"/>
      <c r="EHD41" s="595"/>
      <c r="EHE41" s="595"/>
      <c r="EHF41" s="595"/>
      <c r="EHG41" s="595"/>
      <c r="EHH41" s="595"/>
      <c r="EHI41" s="595"/>
      <c r="EHJ41" s="595"/>
      <c r="EHK41" s="595"/>
      <c r="EHL41" s="595"/>
      <c r="EHM41" s="595"/>
      <c r="EHN41" s="595"/>
      <c r="EHO41" s="595"/>
      <c r="EHP41" s="595"/>
      <c r="EHQ41" s="595"/>
      <c r="EHR41" s="595"/>
      <c r="EHS41" s="595"/>
      <c r="EHT41" s="595"/>
      <c r="EHU41" s="595"/>
      <c r="EHV41" s="595"/>
      <c r="EHW41" s="595"/>
      <c r="EHX41" s="595"/>
      <c r="EHY41" s="595"/>
      <c r="EHZ41" s="595"/>
      <c r="EIA41" s="595"/>
      <c r="EIB41" s="595"/>
      <c r="EIC41" s="595"/>
      <c r="EID41" s="595"/>
      <c r="EIE41" s="595"/>
      <c r="EIF41" s="595"/>
      <c r="EIG41" s="595"/>
      <c r="EIH41" s="595"/>
      <c r="EII41" s="595"/>
      <c r="EIJ41" s="595"/>
      <c r="EIK41" s="595"/>
      <c r="EIL41" s="595"/>
      <c r="EIM41" s="595"/>
      <c r="EIN41" s="595"/>
      <c r="EIO41" s="595"/>
      <c r="EIP41" s="595"/>
      <c r="EIQ41" s="595"/>
      <c r="EIR41" s="595"/>
      <c r="EIS41" s="595"/>
      <c r="EIT41" s="595"/>
      <c r="EIU41" s="595"/>
      <c r="EIV41" s="595"/>
      <c r="EIW41" s="595"/>
      <c r="EIX41" s="595"/>
      <c r="EIY41" s="595"/>
      <c r="EIZ41" s="595"/>
      <c r="EJA41" s="595"/>
      <c r="EJB41" s="595"/>
      <c r="EJC41" s="595"/>
      <c r="EJD41" s="595"/>
      <c r="EJE41" s="595"/>
      <c r="EJF41" s="595"/>
      <c r="EJG41" s="595"/>
      <c r="EJH41" s="595"/>
      <c r="EJI41" s="595"/>
      <c r="EJJ41" s="595"/>
      <c r="EJK41" s="595"/>
      <c r="EJL41" s="595"/>
      <c r="EJM41" s="595"/>
      <c r="EJN41" s="595"/>
      <c r="EJO41" s="595"/>
      <c r="EJP41" s="595"/>
      <c r="EJQ41" s="595"/>
      <c r="EJR41" s="595"/>
      <c r="EJS41" s="595"/>
      <c r="EJT41" s="595"/>
      <c r="EJU41" s="595"/>
      <c r="EJV41" s="595"/>
      <c r="EJW41" s="595"/>
      <c r="EJX41" s="595"/>
      <c r="EJY41" s="595"/>
      <c r="EJZ41" s="595"/>
      <c r="EKA41" s="595"/>
      <c r="EKB41" s="595"/>
      <c r="EKC41" s="595"/>
      <c r="EKD41" s="595"/>
      <c r="EKE41" s="595"/>
      <c r="EKF41" s="595"/>
      <c r="EKG41" s="595"/>
      <c r="EKH41" s="595"/>
      <c r="EKI41" s="595"/>
      <c r="EKJ41" s="595"/>
      <c r="EKK41" s="595"/>
      <c r="EKL41" s="595"/>
      <c r="EKM41" s="595"/>
      <c r="EKN41" s="595"/>
      <c r="EKO41" s="595"/>
      <c r="EKP41" s="595"/>
      <c r="EKQ41" s="595"/>
      <c r="EKR41" s="595"/>
      <c r="EKS41" s="595"/>
      <c r="EKT41" s="595"/>
      <c r="EKU41" s="595"/>
      <c r="EKV41" s="595"/>
      <c r="EKW41" s="595"/>
      <c r="EKX41" s="595"/>
      <c r="EKY41" s="595"/>
      <c r="EKZ41" s="595"/>
      <c r="ELA41" s="595"/>
      <c r="ELB41" s="595"/>
      <c r="ELC41" s="595"/>
      <c r="ELD41" s="595"/>
      <c r="ELE41" s="595"/>
      <c r="ELF41" s="595"/>
      <c r="ELG41" s="595"/>
      <c r="ELH41" s="595"/>
      <c r="ELI41" s="595"/>
      <c r="ELJ41" s="595"/>
      <c r="ELK41" s="595"/>
      <c r="ELL41" s="595"/>
      <c r="ELM41" s="595"/>
      <c r="ELN41" s="595"/>
      <c r="ELO41" s="595"/>
      <c r="ELP41" s="595"/>
      <c r="ELQ41" s="595"/>
      <c r="ELR41" s="595"/>
      <c r="ELS41" s="595"/>
      <c r="ELT41" s="595"/>
      <c r="ELU41" s="595"/>
      <c r="ELV41" s="595"/>
      <c r="ELW41" s="595"/>
      <c r="ELX41" s="595"/>
      <c r="ELY41" s="595"/>
      <c r="ELZ41" s="595"/>
      <c r="EMA41" s="595"/>
      <c r="EMB41" s="595"/>
      <c r="EMC41" s="595"/>
      <c r="EMD41" s="595"/>
      <c r="EME41" s="595"/>
      <c r="EMF41" s="595"/>
      <c r="EMG41" s="595"/>
      <c r="EMH41" s="595"/>
      <c r="EMI41" s="595"/>
      <c r="EMJ41" s="595"/>
      <c r="EMK41" s="595"/>
      <c r="EML41" s="595"/>
      <c r="EMM41" s="595"/>
      <c r="EMN41" s="595"/>
      <c r="EMO41" s="595"/>
      <c r="EMP41" s="595"/>
      <c r="EMQ41" s="595"/>
      <c r="EMR41" s="595"/>
      <c r="EMS41" s="595"/>
      <c r="EMT41" s="595"/>
      <c r="EMU41" s="595"/>
      <c r="EMV41" s="595"/>
      <c r="EMW41" s="595"/>
      <c r="EMX41" s="595"/>
      <c r="EMY41" s="595"/>
      <c r="EMZ41" s="595"/>
      <c r="ENA41" s="595"/>
      <c r="ENB41" s="595"/>
      <c r="ENC41" s="595"/>
      <c r="END41" s="595"/>
      <c r="ENE41" s="595"/>
      <c r="ENF41" s="595"/>
      <c r="ENG41" s="595"/>
      <c r="ENH41" s="595"/>
      <c r="ENI41" s="595"/>
      <c r="ENJ41" s="595"/>
      <c r="ENK41" s="595"/>
      <c r="ENL41" s="595"/>
      <c r="ENM41" s="595"/>
      <c r="ENN41" s="595"/>
      <c r="ENO41" s="595"/>
      <c r="ENP41" s="595"/>
      <c r="ENQ41" s="595"/>
      <c r="ENR41" s="595"/>
      <c r="ENS41" s="595"/>
      <c r="ENT41" s="595"/>
      <c r="ENU41" s="595"/>
      <c r="ENV41" s="595"/>
      <c r="ENW41" s="595"/>
      <c r="ENX41" s="595"/>
      <c r="ENY41" s="595"/>
      <c r="ENZ41" s="595"/>
      <c r="EOA41" s="595"/>
      <c r="EOB41" s="595"/>
      <c r="EOC41" s="595"/>
      <c r="EOD41" s="595"/>
      <c r="EOE41" s="595"/>
      <c r="EOF41" s="595"/>
      <c r="EOG41" s="595"/>
      <c r="EOH41" s="595"/>
      <c r="EOI41" s="595"/>
      <c r="EOJ41" s="595"/>
      <c r="EOK41" s="595"/>
      <c r="EOL41" s="595"/>
      <c r="EOM41" s="595"/>
      <c r="EON41" s="595"/>
      <c r="EOO41" s="595"/>
      <c r="EOP41" s="595"/>
      <c r="EOQ41" s="595"/>
      <c r="EOR41" s="595"/>
      <c r="EOS41" s="595"/>
      <c r="EOT41" s="595"/>
      <c r="EOU41" s="595"/>
      <c r="EOV41" s="595"/>
      <c r="EOW41" s="595"/>
      <c r="EOX41" s="595"/>
      <c r="EOY41" s="595"/>
      <c r="EOZ41" s="595"/>
      <c r="EPA41" s="595"/>
      <c r="EPB41" s="595"/>
      <c r="EPC41" s="595"/>
      <c r="EPD41" s="595"/>
      <c r="EPE41" s="595"/>
      <c r="EPF41" s="595"/>
      <c r="EPG41" s="595"/>
      <c r="EPH41" s="595"/>
      <c r="EPI41" s="595"/>
      <c r="EPJ41" s="595"/>
      <c r="EPK41" s="595"/>
      <c r="EPL41" s="595"/>
      <c r="EPM41" s="595"/>
      <c r="EPN41" s="595"/>
      <c r="EPO41" s="595"/>
      <c r="EPP41" s="595"/>
      <c r="EPQ41" s="595"/>
      <c r="EPR41" s="595"/>
      <c r="EPS41" s="595"/>
      <c r="EPT41" s="595"/>
      <c r="EPU41" s="595"/>
      <c r="EPV41" s="595"/>
      <c r="EPW41" s="595"/>
      <c r="EPX41" s="595"/>
      <c r="EPY41" s="595"/>
      <c r="EPZ41" s="595"/>
      <c r="EQA41" s="595"/>
      <c r="EQB41" s="595"/>
      <c r="EQC41" s="595"/>
      <c r="EQD41" s="595"/>
      <c r="EQE41" s="595"/>
      <c r="EQF41" s="595"/>
      <c r="EQG41" s="595"/>
      <c r="EQH41" s="595"/>
      <c r="EQI41" s="595"/>
      <c r="EQJ41" s="595"/>
      <c r="EQK41" s="595"/>
      <c r="EQL41" s="595"/>
      <c r="EQM41" s="595"/>
      <c r="EQN41" s="595"/>
      <c r="EQO41" s="595"/>
      <c r="EQP41" s="595"/>
      <c r="EQQ41" s="595"/>
      <c r="EQR41" s="595"/>
      <c r="EQS41" s="595"/>
      <c r="EQT41" s="595"/>
      <c r="EQU41" s="595"/>
      <c r="EQV41" s="595"/>
      <c r="EQW41" s="595"/>
      <c r="EQX41" s="595"/>
      <c r="EQY41" s="595"/>
      <c r="EQZ41" s="595"/>
      <c r="ERA41" s="595"/>
      <c r="ERB41" s="595"/>
      <c r="ERC41" s="595"/>
      <c r="ERD41" s="595"/>
      <c r="ERE41" s="595"/>
      <c r="ERF41" s="595"/>
      <c r="ERG41" s="595"/>
      <c r="ERH41" s="595"/>
      <c r="ERI41" s="595"/>
      <c r="ERJ41" s="595"/>
      <c r="ERK41" s="595"/>
      <c r="ERL41" s="595"/>
      <c r="ERM41" s="595"/>
      <c r="ERN41" s="595"/>
      <c r="ERO41" s="595"/>
      <c r="ERP41" s="595"/>
      <c r="ERQ41" s="595"/>
      <c r="ERR41" s="595"/>
      <c r="ERS41" s="595"/>
      <c r="ERT41" s="595"/>
      <c r="ERU41" s="595"/>
      <c r="ERV41" s="595"/>
      <c r="ERW41" s="595"/>
      <c r="ERX41" s="595"/>
      <c r="ERY41" s="595"/>
      <c r="ERZ41" s="595"/>
      <c r="ESA41" s="595"/>
      <c r="ESB41" s="595"/>
      <c r="ESC41" s="595"/>
      <c r="ESD41" s="595"/>
      <c r="ESE41" s="595"/>
      <c r="ESF41" s="595"/>
      <c r="ESG41" s="595"/>
      <c r="ESH41" s="595"/>
      <c r="ESI41" s="595"/>
      <c r="ESJ41" s="595"/>
      <c r="ESK41" s="595"/>
      <c r="ESL41" s="595"/>
      <c r="ESM41" s="595"/>
      <c r="ESN41" s="595"/>
      <c r="ESO41" s="595"/>
      <c r="ESP41" s="595"/>
      <c r="ESQ41" s="595"/>
      <c r="ESR41" s="595"/>
      <c r="ESS41" s="595"/>
      <c r="EST41" s="595"/>
      <c r="ESU41" s="595"/>
      <c r="ESV41" s="595"/>
      <c r="ESW41" s="595"/>
      <c r="ESX41" s="595"/>
      <c r="ESY41" s="595"/>
      <c r="ESZ41" s="595"/>
      <c r="ETA41" s="595"/>
      <c r="ETB41" s="595"/>
      <c r="ETC41" s="595"/>
      <c r="ETD41" s="595"/>
      <c r="ETE41" s="595"/>
      <c r="ETF41" s="595"/>
      <c r="ETG41" s="595"/>
      <c r="ETH41" s="595"/>
      <c r="ETI41" s="595"/>
      <c r="ETJ41" s="595"/>
      <c r="ETK41" s="595"/>
      <c r="ETL41" s="595"/>
      <c r="ETM41" s="595"/>
      <c r="ETN41" s="595"/>
      <c r="ETO41" s="595"/>
      <c r="ETP41" s="595"/>
      <c r="ETQ41" s="595"/>
      <c r="ETR41" s="595"/>
      <c r="ETS41" s="595"/>
      <c r="ETT41" s="595"/>
      <c r="ETU41" s="595"/>
      <c r="ETV41" s="595"/>
      <c r="ETW41" s="595"/>
      <c r="ETX41" s="595"/>
      <c r="ETY41" s="595"/>
      <c r="ETZ41" s="595"/>
      <c r="EUA41" s="595"/>
      <c r="EUB41" s="595"/>
      <c r="EUC41" s="595"/>
      <c r="EUD41" s="595"/>
      <c r="EUE41" s="595"/>
      <c r="EUF41" s="595"/>
      <c r="EUG41" s="595"/>
      <c r="EUH41" s="595"/>
      <c r="EUI41" s="595"/>
      <c r="EUJ41" s="595"/>
      <c r="EUK41" s="595"/>
      <c r="EUL41" s="595"/>
      <c r="EUM41" s="595"/>
      <c r="EUN41" s="595"/>
      <c r="EUO41" s="595"/>
      <c r="EUP41" s="595"/>
      <c r="EUQ41" s="595"/>
      <c r="EUR41" s="595"/>
      <c r="EUS41" s="595"/>
      <c r="EUT41" s="595"/>
      <c r="EUU41" s="595"/>
      <c r="EUV41" s="595"/>
      <c r="EUW41" s="595"/>
      <c r="EUX41" s="595"/>
      <c r="EUY41" s="595"/>
      <c r="EUZ41" s="595"/>
      <c r="EVA41" s="595"/>
      <c r="EVB41" s="595"/>
      <c r="EVC41" s="595"/>
      <c r="EVD41" s="595"/>
      <c r="EVE41" s="595"/>
      <c r="EVF41" s="595"/>
      <c r="EVG41" s="595"/>
      <c r="EVH41" s="595"/>
      <c r="EVI41" s="595"/>
      <c r="EVJ41" s="595"/>
      <c r="EVK41" s="595"/>
      <c r="EVL41" s="595"/>
      <c r="EVM41" s="595"/>
      <c r="EVN41" s="595"/>
      <c r="EVO41" s="595"/>
      <c r="EVP41" s="595"/>
      <c r="EVQ41" s="595"/>
      <c r="EVR41" s="595"/>
      <c r="EVS41" s="595"/>
      <c r="EVT41" s="595"/>
      <c r="EVU41" s="595"/>
      <c r="EVV41" s="595"/>
      <c r="EVW41" s="595"/>
      <c r="EVX41" s="595"/>
      <c r="EVY41" s="595"/>
      <c r="EVZ41" s="595"/>
      <c r="EWA41" s="595"/>
      <c r="EWB41" s="595"/>
      <c r="EWC41" s="595"/>
      <c r="EWD41" s="595"/>
      <c r="EWE41" s="595"/>
      <c r="EWF41" s="595"/>
      <c r="EWG41" s="595"/>
      <c r="EWH41" s="595"/>
      <c r="EWI41" s="595"/>
      <c r="EWJ41" s="595"/>
      <c r="EWK41" s="595"/>
      <c r="EWL41" s="595"/>
      <c r="EWM41" s="595"/>
      <c r="EWN41" s="595"/>
      <c r="EWO41" s="595"/>
      <c r="EWP41" s="595"/>
      <c r="EWQ41" s="595"/>
      <c r="EWR41" s="595"/>
      <c r="EWS41" s="595"/>
      <c r="EWT41" s="595"/>
      <c r="EWU41" s="595"/>
      <c r="EWV41" s="595"/>
      <c r="EWW41" s="595"/>
      <c r="EWX41" s="595"/>
      <c r="EWY41" s="595"/>
      <c r="EWZ41" s="595"/>
      <c r="EXA41" s="595"/>
      <c r="EXB41" s="595"/>
      <c r="EXC41" s="595"/>
      <c r="EXD41" s="595"/>
      <c r="EXE41" s="595"/>
      <c r="EXF41" s="595"/>
      <c r="EXG41" s="595"/>
      <c r="EXH41" s="595"/>
      <c r="EXI41" s="595"/>
      <c r="EXJ41" s="595"/>
      <c r="EXK41" s="595"/>
      <c r="EXL41" s="595"/>
      <c r="EXM41" s="595"/>
      <c r="EXN41" s="595"/>
      <c r="EXO41" s="595"/>
      <c r="EXP41" s="595"/>
      <c r="EXQ41" s="595"/>
      <c r="EXR41" s="595"/>
      <c r="EXS41" s="595"/>
      <c r="EXT41" s="595"/>
      <c r="EXU41" s="595"/>
      <c r="EXV41" s="595"/>
      <c r="EXW41" s="595"/>
      <c r="EXX41" s="595"/>
      <c r="EXY41" s="595"/>
      <c r="EXZ41" s="595"/>
      <c r="EYA41" s="595"/>
      <c r="EYB41" s="595"/>
      <c r="EYC41" s="595"/>
      <c r="EYD41" s="595"/>
      <c r="EYE41" s="595"/>
      <c r="EYF41" s="595"/>
      <c r="EYG41" s="595"/>
      <c r="EYH41" s="595"/>
      <c r="EYI41" s="595"/>
      <c r="EYJ41" s="595"/>
      <c r="EYK41" s="595"/>
      <c r="EYL41" s="595"/>
      <c r="EYM41" s="595"/>
      <c r="EYN41" s="595"/>
      <c r="EYO41" s="595"/>
      <c r="EYP41" s="595"/>
      <c r="EYQ41" s="595"/>
      <c r="EYR41" s="595"/>
      <c r="EYS41" s="595"/>
      <c r="EYT41" s="595"/>
      <c r="EYU41" s="595"/>
      <c r="EYV41" s="595"/>
      <c r="EYW41" s="595"/>
      <c r="EYX41" s="595"/>
      <c r="EYY41" s="595"/>
      <c r="EYZ41" s="595"/>
      <c r="EZA41" s="595"/>
      <c r="EZB41" s="595"/>
      <c r="EZC41" s="595"/>
      <c r="EZD41" s="595"/>
      <c r="EZE41" s="595"/>
      <c r="EZF41" s="595"/>
      <c r="EZG41" s="595"/>
      <c r="EZH41" s="595"/>
      <c r="EZI41" s="595"/>
      <c r="EZJ41" s="595"/>
      <c r="EZK41" s="595"/>
      <c r="EZL41" s="595"/>
      <c r="EZM41" s="595"/>
      <c r="EZN41" s="595"/>
      <c r="EZO41" s="595"/>
      <c r="EZP41" s="595"/>
      <c r="EZQ41" s="595"/>
      <c r="EZR41" s="595"/>
      <c r="EZS41" s="595"/>
      <c r="EZT41" s="595"/>
      <c r="EZU41" s="595"/>
      <c r="EZV41" s="595"/>
      <c r="EZW41" s="595"/>
      <c r="EZX41" s="595"/>
      <c r="EZY41" s="595"/>
      <c r="EZZ41" s="595"/>
      <c r="FAA41" s="595"/>
      <c r="FAB41" s="595"/>
      <c r="FAC41" s="595"/>
      <c r="FAD41" s="595"/>
      <c r="FAE41" s="595"/>
      <c r="FAF41" s="595"/>
      <c r="FAG41" s="595"/>
      <c r="FAH41" s="595"/>
      <c r="FAI41" s="595"/>
      <c r="FAJ41" s="595"/>
      <c r="FAK41" s="595"/>
      <c r="FAL41" s="595"/>
      <c r="FAM41" s="595"/>
      <c r="FAN41" s="595"/>
      <c r="FAO41" s="595"/>
      <c r="FAP41" s="595"/>
      <c r="FAQ41" s="595"/>
      <c r="FAR41" s="595"/>
      <c r="FAS41" s="595"/>
      <c r="FAT41" s="595"/>
      <c r="FAU41" s="595"/>
      <c r="FAV41" s="595"/>
      <c r="FAW41" s="595"/>
      <c r="FAX41" s="595"/>
      <c r="FAY41" s="595"/>
      <c r="FAZ41" s="595"/>
      <c r="FBA41" s="595"/>
      <c r="FBB41" s="595"/>
      <c r="FBC41" s="595"/>
      <c r="FBD41" s="595"/>
      <c r="FBE41" s="595"/>
      <c r="FBF41" s="595"/>
      <c r="FBG41" s="595"/>
      <c r="FBH41" s="595"/>
      <c r="FBI41" s="595"/>
      <c r="FBJ41" s="595"/>
      <c r="FBK41" s="595"/>
      <c r="FBL41" s="595"/>
      <c r="FBM41" s="595"/>
      <c r="FBN41" s="595"/>
      <c r="FBO41" s="595"/>
      <c r="FBP41" s="595"/>
      <c r="FBQ41" s="595"/>
      <c r="FBR41" s="595"/>
      <c r="FBS41" s="595"/>
      <c r="FBT41" s="595"/>
      <c r="FBU41" s="595"/>
      <c r="FBV41" s="595"/>
      <c r="FBW41" s="595"/>
      <c r="FBX41" s="595"/>
      <c r="FBY41" s="595"/>
      <c r="FBZ41" s="595"/>
      <c r="FCA41" s="595"/>
      <c r="FCB41" s="595"/>
      <c r="FCC41" s="595"/>
      <c r="FCD41" s="595"/>
      <c r="FCE41" s="595"/>
      <c r="FCF41" s="595"/>
      <c r="FCG41" s="595"/>
      <c r="FCH41" s="595"/>
      <c r="FCI41" s="595"/>
      <c r="FCJ41" s="595"/>
      <c r="FCK41" s="595"/>
      <c r="FCL41" s="595"/>
      <c r="FCM41" s="595"/>
      <c r="FCN41" s="595"/>
      <c r="FCO41" s="595"/>
      <c r="FCP41" s="595"/>
      <c r="FCQ41" s="595"/>
      <c r="FCR41" s="595"/>
      <c r="FCS41" s="595"/>
      <c r="FCT41" s="595"/>
      <c r="FCU41" s="595"/>
      <c r="FCV41" s="595"/>
      <c r="FCW41" s="595"/>
      <c r="FCX41" s="595"/>
      <c r="FCY41" s="595"/>
      <c r="FCZ41" s="595"/>
      <c r="FDA41" s="595"/>
      <c r="FDB41" s="595"/>
      <c r="FDC41" s="595"/>
      <c r="FDD41" s="595"/>
      <c r="FDE41" s="595"/>
      <c r="FDF41" s="595"/>
      <c r="FDG41" s="595"/>
      <c r="FDH41" s="595"/>
      <c r="FDI41" s="595"/>
      <c r="FDJ41" s="595"/>
      <c r="FDK41" s="595"/>
      <c r="FDL41" s="595"/>
      <c r="FDM41" s="595"/>
      <c r="FDN41" s="595"/>
      <c r="FDO41" s="595"/>
      <c r="FDP41" s="595"/>
      <c r="FDQ41" s="595"/>
      <c r="FDR41" s="595"/>
      <c r="FDS41" s="595"/>
      <c r="FDT41" s="595"/>
      <c r="FDU41" s="595"/>
      <c r="FDV41" s="595"/>
      <c r="FDW41" s="595"/>
      <c r="FDX41" s="595"/>
      <c r="FDY41" s="595"/>
      <c r="FDZ41" s="595"/>
      <c r="FEA41" s="595"/>
      <c r="FEB41" s="595"/>
      <c r="FEC41" s="595"/>
      <c r="FED41" s="595"/>
      <c r="FEE41" s="595"/>
      <c r="FEF41" s="595"/>
      <c r="FEG41" s="595"/>
      <c r="FEH41" s="595"/>
      <c r="FEI41" s="595"/>
      <c r="FEJ41" s="595"/>
      <c r="FEK41" s="595"/>
      <c r="FEL41" s="595"/>
      <c r="FEM41" s="595"/>
      <c r="FEN41" s="595"/>
      <c r="FEO41" s="595"/>
      <c r="FEP41" s="595"/>
      <c r="FEQ41" s="595"/>
      <c r="FER41" s="595"/>
      <c r="FES41" s="595"/>
      <c r="FET41" s="595"/>
      <c r="FEU41" s="595"/>
      <c r="FEV41" s="595"/>
      <c r="FEW41" s="595"/>
      <c r="FEX41" s="595"/>
      <c r="FEY41" s="595"/>
      <c r="FEZ41" s="595"/>
      <c r="FFA41" s="595"/>
      <c r="FFB41" s="595"/>
      <c r="FFC41" s="595"/>
      <c r="FFD41" s="595"/>
      <c r="FFE41" s="595"/>
      <c r="FFF41" s="595"/>
      <c r="FFG41" s="595"/>
      <c r="FFH41" s="595"/>
      <c r="FFI41" s="595"/>
      <c r="FFJ41" s="595"/>
      <c r="FFK41" s="595"/>
      <c r="FFL41" s="595"/>
      <c r="FFM41" s="595"/>
      <c r="FFN41" s="595"/>
      <c r="FFO41" s="595"/>
      <c r="FFP41" s="595"/>
      <c r="FFQ41" s="595"/>
      <c r="FFR41" s="595"/>
      <c r="FFS41" s="595"/>
      <c r="FFT41" s="595"/>
      <c r="FFU41" s="595"/>
      <c r="FFV41" s="595"/>
      <c r="FFW41" s="595"/>
      <c r="FFX41" s="595"/>
      <c r="FFY41" s="595"/>
      <c r="FFZ41" s="595"/>
      <c r="FGA41" s="595"/>
      <c r="FGB41" s="595"/>
      <c r="FGC41" s="595"/>
      <c r="FGD41" s="595"/>
      <c r="FGE41" s="595"/>
      <c r="FGF41" s="595"/>
      <c r="FGG41" s="595"/>
      <c r="FGH41" s="595"/>
      <c r="FGI41" s="595"/>
      <c r="FGJ41" s="595"/>
      <c r="FGK41" s="595"/>
      <c r="FGL41" s="595"/>
      <c r="FGM41" s="595"/>
      <c r="FGN41" s="595"/>
      <c r="FGO41" s="595"/>
      <c r="FGP41" s="595"/>
      <c r="FGQ41" s="595"/>
      <c r="FGR41" s="595"/>
      <c r="FGS41" s="595"/>
      <c r="FGT41" s="595"/>
      <c r="FGU41" s="595"/>
      <c r="FGV41" s="595"/>
      <c r="FGW41" s="595"/>
      <c r="FGX41" s="595"/>
      <c r="FGY41" s="595"/>
      <c r="FGZ41" s="595"/>
      <c r="FHA41" s="595"/>
      <c r="FHB41" s="595"/>
      <c r="FHC41" s="595"/>
      <c r="FHD41" s="595"/>
      <c r="FHE41" s="595"/>
      <c r="FHF41" s="595"/>
      <c r="FHG41" s="595"/>
      <c r="FHH41" s="595"/>
      <c r="FHI41" s="595"/>
      <c r="FHJ41" s="595"/>
      <c r="FHK41" s="595"/>
      <c r="FHL41" s="595"/>
      <c r="FHM41" s="595"/>
      <c r="FHN41" s="595"/>
      <c r="FHO41" s="595"/>
      <c r="FHP41" s="595"/>
      <c r="FHQ41" s="595"/>
      <c r="FHR41" s="595"/>
      <c r="FHS41" s="595"/>
      <c r="FHT41" s="595"/>
      <c r="FHU41" s="595"/>
      <c r="FHV41" s="595"/>
      <c r="FHW41" s="595"/>
      <c r="FHX41" s="595"/>
      <c r="FHY41" s="595"/>
      <c r="FHZ41" s="595"/>
      <c r="FIA41" s="595"/>
      <c r="FIB41" s="595"/>
      <c r="FIC41" s="595"/>
      <c r="FID41" s="595"/>
      <c r="FIE41" s="595"/>
      <c r="FIF41" s="595"/>
      <c r="FIG41" s="595"/>
      <c r="FIH41" s="595"/>
      <c r="FII41" s="595"/>
      <c r="FIJ41" s="595"/>
      <c r="FIK41" s="595"/>
      <c r="FIL41" s="595"/>
      <c r="FIM41" s="595"/>
      <c r="FIN41" s="595"/>
      <c r="FIO41" s="595"/>
      <c r="FIP41" s="595"/>
      <c r="FIQ41" s="595"/>
      <c r="FIR41" s="595"/>
      <c r="FIS41" s="595"/>
      <c r="FIT41" s="595"/>
      <c r="FIU41" s="595"/>
      <c r="FIV41" s="595"/>
      <c r="FIW41" s="595"/>
      <c r="FIX41" s="595"/>
      <c r="FIY41" s="595"/>
      <c r="FIZ41" s="595"/>
      <c r="FJA41" s="595"/>
      <c r="FJB41" s="595"/>
      <c r="FJC41" s="595"/>
      <c r="FJD41" s="595"/>
      <c r="FJE41" s="595"/>
      <c r="FJF41" s="595"/>
      <c r="FJG41" s="595"/>
      <c r="FJH41" s="595"/>
      <c r="FJI41" s="595"/>
      <c r="FJJ41" s="595"/>
      <c r="FJK41" s="595"/>
      <c r="FJL41" s="595"/>
      <c r="FJM41" s="595"/>
      <c r="FJN41" s="595"/>
      <c r="FJO41" s="595"/>
      <c r="FJP41" s="595"/>
      <c r="FJQ41" s="595"/>
      <c r="FJR41" s="595"/>
      <c r="FJS41" s="595"/>
      <c r="FJT41" s="595"/>
      <c r="FJU41" s="595"/>
      <c r="FJV41" s="595"/>
      <c r="FJW41" s="595"/>
      <c r="FJX41" s="595"/>
      <c r="FJY41" s="595"/>
      <c r="FJZ41" s="595"/>
      <c r="FKA41" s="595"/>
      <c r="FKB41" s="595"/>
      <c r="FKC41" s="595"/>
      <c r="FKD41" s="595"/>
      <c r="FKE41" s="595"/>
      <c r="FKF41" s="595"/>
      <c r="FKG41" s="595"/>
      <c r="FKH41" s="595"/>
      <c r="FKI41" s="595"/>
      <c r="FKJ41" s="595"/>
      <c r="FKK41" s="595"/>
      <c r="FKL41" s="595"/>
      <c r="FKM41" s="595"/>
      <c r="FKN41" s="595"/>
      <c r="FKO41" s="595"/>
      <c r="FKP41" s="595"/>
      <c r="FKQ41" s="595"/>
      <c r="FKR41" s="595"/>
      <c r="FKS41" s="595"/>
      <c r="FKT41" s="595"/>
      <c r="FKU41" s="595"/>
      <c r="FKV41" s="595"/>
      <c r="FKW41" s="595"/>
      <c r="FKX41" s="595"/>
      <c r="FKY41" s="595"/>
      <c r="FKZ41" s="595"/>
      <c r="FLA41" s="595"/>
      <c r="FLB41" s="595"/>
      <c r="FLC41" s="595"/>
      <c r="FLD41" s="595"/>
      <c r="FLE41" s="595"/>
      <c r="FLF41" s="595"/>
      <c r="FLG41" s="595"/>
      <c r="FLH41" s="595"/>
      <c r="FLI41" s="595"/>
      <c r="FLJ41" s="595"/>
      <c r="FLK41" s="595"/>
      <c r="FLL41" s="595"/>
      <c r="FLM41" s="595"/>
      <c r="FLN41" s="595"/>
      <c r="FLO41" s="595"/>
      <c r="FLP41" s="595"/>
      <c r="FLQ41" s="595"/>
      <c r="FLR41" s="595"/>
      <c r="FLS41" s="595"/>
      <c r="FLT41" s="595"/>
      <c r="FLU41" s="595"/>
      <c r="FLV41" s="595"/>
      <c r="FLW41" s="595"/>
      <c r="FLX41" s="595"/>
      <c r="FLY41" s="595"/>
      <c r="FLZ41" s="595"/>
      <c r="FMA41" s="595"/>
      <c r="FMB41" s="595"/>
      <c r="FMC41" s="595"/>
      <c r="FMD41" s="595"/>
      <c r="FME41" s="595"/>
      <c r="FMF41" s="595"/>
      <c r="FMG41" s="595"/>
      <c r="FMH41" s="595"/>
      <c r="FMI41" s="595"/>
      <c r="FMJ41" s="595"/>
      <c r="FMK41" s="595"/>
      <c r="FML41" s="595"/>
      <c r="FMM41" s="595"/>
      <c r="FMN41" s="595"/>
      <c r="FMO41" s="595"/>
      <c r="FMP41" s="595"/>
      <c r="FMQ41" s="595"/>
      <c r="FMR41" s="595"/>
      <c r="FMS41" s="595"/>
      <c r="FMT41" s="595"/>
      <c r="FMU41" s="595"/>
      <c r="FMV41" s="595"/>
      <c r="FMW41" s="595"/>
      <c r="FMX41" s="595"/>
      <c r="FMY41" s="595"/>
      <c r="FMZ41" s="595"/>
      <c r="FNA41" s="595"/>
      <c r="FNB41" s="595"/>
      <c r="FNC41" s="595"/>
      <c r="FND41" s="595"/>
      <c r="FNE41" s="595"/>
      <c r="FNF41" s="595"/>
      <c r="FNG41" s="595"/>
      <c r="FNH41" s="595"/>
      <c r="FNI41" s="595"/>
      <c r="FNJ41" s="595"/>
      <c r="FNK41" s="595"/>
      <c r="FNL41" s="595"/>
      <c r="FNM41" s="595"/>
      <c r="FNN41" s="595"/>
      <c r="FNO41" s="595"/>
      <c r="FNP41" s="595"/>
      <c r="FNQ41" s="595"/>
      <c r="FNR41" s="595"/>
      <c r="FNS41" s="595"/>
      <c r="FNT41" s="595"/>
      <c r="FNU41" s="595"/>
      <c r="FNV41" s="595"/>
      <c r="FNW41" s="595"/>
      <c r="FNX41" s="595"/>
      <c r="FNY41" s="595"/>
      <c r="FNZ41" s="595"/>
      <c r="FOA41" s="595"/>
      <c r="FOB41" s="595"/>
      <c r="FOC41" s="595"/>
      <c r="FOD41" s="595"/>
      <c r="FOE41" s="595"/>
      <c r="FOF41" s="595"/>
      <c r="FOG41" s="595"/>
      <c r="FOH41" s="595"/>
      <c r="FOI41" s="595"/>
      <c r="FOJ41" s="595"/>
      <c r="FOK41" s="595"/>
      <c r="FOL41" s="595"/>
      <c r="FOM41" s="595"/>
      <c r="FON41" s="595"/>
      <c r="FOO41" s="595"/>
      <c r="FOP41" s="595"/>
      <c r="FOQ41" s="595"/>
      <c r="FOR41" s="595"/>
      <c r="FOS41" s="595"/>
      <c r="FOT41" s="595"/>
      <c r="FOU41" s="595"/>
      <c r="FOV41" s="595"/>
      <c r="FOW41" s="595"/>
      <c r="FOX41" s="595"/>
      <c r="FOY41" s="595"/>
      <c r="FOZ41" s="595"/>
      <c r="FPA41" s="595"/>
      <c r="FPB41" s="595"/>
      <c r="FPC41" s="595"/>
      <c r="FPD41" s="595"/>
      <c r="FPE41" s="595"/>
      <c r="FPF41" s="595"/>
      <c r="FPG41" s="595"/>
      <c r="FPH41" s="595"/>
      <c r="FPI41" s="595"/>
      <c r="FPJ41" s="595"/>
      <c r="FPK41" s="595"/>
      <c r="FPL41" s="595"/>
      <c r="FPM41" s="595"/>
      <c r="FPN41" s="595"/>
      <c r="FPO41" s="595"/>
      <c r="FPP41" s="595"/>
      <c r="FPQ41" s="595"/>
      <c r="FPR41" s="595"/>
      <c r="FPS41" s="595"/>
      <c r="FPT41" s="595"/>
      <c r="FPU41" s="595"/>
      <c r="FPV41" s="595"/>
      <c r="FPW41" s="595"/>
      <c r="FPX41" s="595"/>
      <c r="FPY41" s="595"/>
      <c r="FPZ41" s="595"/>
      <c r="FQA41" s="595"/>
      <c r="FQB41" s="595"/>
      <c r="FQC41" s="595"/>
      <c r="FQD41" s="595"/>
      <c r="FQE41" s="595"/>
      <c r="FQF41" s="595"/>
      <c r="FQG41" s="595"/>
      <c r="FQH41" s="595"/>
      <c r="FQI41" s="595"/>
      <c r="FQJ41" s="595"/>
      <c r="FQK41" s="595"/>
      <c r="FQL41" s="595"/>
      <c r="FQM41" s="595"/>
      <c r="FQN41" s="595"/>
      <c r="FQO41" s="595"/>
      <c r="FQP41" s="595"/>
      <c r="FQQ41" s="595"/>
      <c r="FQR41" s="595"/>
      <c r="FQS41" s="595"/>
      <c r="FQT41" s="595"/>
      <c r="FQU41" s="595"/>
      <c r="FQV41" s="595"/>
      <c r="FQW41" s="595"/>
      <c r="FQX41" s="595"/>
      <c r="FQY41" s="595"/>
      <c r="FQZ41" s="595"/>
      <c r="FRA41" s="595"/>
      <c r="FRB41" s="595"/>
      <c r="FRC41" s="595"/>
      <c r="FRD41" s="595"/>
      <c r="FRE41" s="595"/>
      <c r="FRF41" s="595"/>
      <c r="FRG41" s="595"/>
      <c r="FRH41" s="595"/>
      <c r="FRI41" s="595"/>
      <c r="FRJ41" s="595"/>
      <c r="FRK41" s="595"/>
      <c r="FRL41" s="595"/>
      <c r="FRM41" s="595"/>
      <c r="FRN41" s="595"/>
      <c r="FRO41" s="595"/>
      <c r="FRP41" s="595"/>
      <c r="FRQ41" s="595"/>
      <c r="FRR41" s="595"/>
      <c r="FRS41" s="595"/>
      <c r="FRT41" s="595"/>
      <c r="FRU41" s="595"/>
      <c r="FRV41" s="595"/>
      <c r="FRW41" s="595"/>
      <c r="FRX41" s="595"/>
      <c r="FRY41" s="595"/>
      <c r="FRZ41" s="595"/>
      <c r="FSA41" s="595"/>
      <c r="FSB41" s="595"/>
      <c r="FSC41" s="595"/>
      <c r="FSD41" s="595"/>
      <c r="FSE41" s="595"/>
      <c r="FSF41" s="595"/>
      <c r="FSG41" s="595"/>
      <c r="FSH41" s="595"/>
      <c r="FSI41" s="595"/>
      <c r="FSJ41" s="595"/>
      <c r="FSK41" s="595"/>
      <c r="FSL41" s="595"/>
      <c r="FSM41" s="595"/>
      <c r="FSN41" s="595"/>
      <c r="FSO41" s="595"/>
      <c r="FSP41" s="595"/>
      <c r="FSQ41" s="595"/>
      <c r="FSR41" s="595"/>
      <c r="FSS41" s="595"/>
      <c r="FST41" s="595"/>
      <c r="FSU41" s="595"/>
      <c r="FSV41" s="595"/>
      <c r="FSW41" s="595"/>
      <c r="FSX41" s="595"/>
      <c r="FSY41" s="595"/>
      <c r="FSZ41" s="595"/>
      <c r="FTA41" s="595"/>
      <c r="FTB41" s="595"/>
      <c r="FTC41" s="595"/>
      <c r="FTD41" s="595"/>
      <c r="FTE41" s="595"/>
      <c r="FTF41" s="595"/>
      <c r="FTG41" s="595"/>
      <c r="FTH41" s="595"/>
      <c r="FTI41" s="595"/>
      <c r="FTJ41" s="595"/>
      <c r="FTK41" s="595"/>
      <c r="FTL41" s="595"/>
      <c r="FTM41" s="595"/>
      <c r="FTN41" s="595"/>
      <c r="FTO41" s="595"/>
      <c r="FTP41" s="595"/>
      <c r="FTQ41" s="595"/>
      <c r="FTR41" s="595"/>
      <c r="FTS41" s="595"/>
      <c r="FTT41" s="595"/>
      <c r="FTU41" s="595"/>
      <c r="FTV41" s="595"/>
      <c r="FTW41" s="595"/>
      <c r="FTX41" s="595"/>
      <c r="FTY41" s="595"/>
      <c r="FTZ41" s="595"/>
      <c r="FUA41" s="595"/>
      <c r="FUB41" s="595"/>
      <c r="FUC41" s="595"/>
      <c r="FUD41" s="595"/>
      <c r="FUE41" s="595"/>
      <c r="FUF41" s="595"/>
      <c r="FUG41" s="595"/>
      <c r="FUH41" s="595"/>
      <c r="FUI41" s="595"/>
      <c r="FUJ41" s="595"/>
      <c r="FUK41" s="595"/>
      <c r="FUL41" s="595"/>
      <c r="FUM41" s="595"/>
      <c r="FUN41" s="595"/>
      <c r="FUO41" s="595"/>
      <c r="FUP41" s="595"/>
      <c r="FUQ41" s="595"/>
      <c r="FUR41" s="595"/>
      <c r="FUS41" s="595"/>
      <c r="FUT41" s="595"/>
      <c r="FUU41" s="595"/>
      <c r="FUV41" s="595"/>
      <c r="FUW41" s="595"/>
      <c r="FUX41" s="595"/>
      <c r="FUY41" s="595"/>
      <c r="FUZ41" s="595"/>
      <c r="FVA41" s="595"/>
      <c r="FVB41" s="595"/>
      <c r="FVC41" s="595"/>
      <c r="FVD41" s="595"/>
      <c r="FVE41" s="595"/>
      <c r="FVF41" s="595"/>
      <c r="FVG41" s="595"/>
      <c r="FVH41" s="595"/>
      <c r="FVI41" s="595"/>
      <c r="FVJ41" s="595"/>
      <c r="FVK41" s="595"/>
      <c r="FVL41" s="595"/>
      <c r="FVM41" s="595"/>
      <c r="FVN41" s="595"/>
      <c r="FVO41" s="595"/>
      <c r="FVP41" s="595"/>
      <c r="FVQ41" s="595"/>
      <c r="FVR41" s="595"/>
      <c r="FVS41" s="595"/>
      <c r="FVT41" s="595"/>
      <c r="FVU41" s="595"/>
      <c r="FVV41" s="595"/>
      <c r="FVW41" s="595"/>
      <c r="FVX41" s="595"/>
      <c r="FVY41" s="595"/>
      <c r="FVZ41" s="595"/>
      <c r="FWA41" s="595"/>
      <c r="FWB41" s="595"/>
      <c r="FWC41" s="595"/>
      <c r="FWD41" s="595"/>
      <c r="FWE41" s="595"/>
      <c r="FWF41" s="595"/>
      <c r="FWG41" s="595"/>
      <c r="FWH41" s="595"/>
      <c r="FWI41" s="595"/>
      <c r="FWJ41" s="595"/>
      <c r="FWK41" s="595"/>
      <c r="FWL41" s="595"/>
      <c r="FWM41" s="595"/>
      <c r="FWN41" s="595"/>
      <c r="FWO41" s="595"/>
      <c r="FWP41" s="595"/>
      <c r="FWQ41" s="595"/>
      <c r="FWR41" s="595"/>
      <c r="FWS41" s="595"/>
      <c r="FWT41" s="595"/>
      <c r="FWU41" s="595"/>
      <c r="FWV41" s="595"/>
      <c r="FWW41" s="595"/>
      <c r="FWX41" s="595"/>
      <c r="FWY41" s="595"/>
      <c r="FWZ41" s="595"/>
      <c r="FXA41" s="595"/>
      <c r="FXB41" s="595"/>
      <c r="FXC41" s="595"/>
      <c r="FXD41" s="595"/>
      <c r="FXE41" s="595"/>
      <c r="FXF41" s="595"/>
      <c r="FXG41" s="595"/>
      <c r="FXH41" s="595"/>
      <c r="FXI41" s="595"/>
      <c r="FXJ41" s="595"/>
      <c r="FXK41" s="595"/>
      <c r="FXL41" s="595"/>
      <c r="FXM41" s="595"/>
      <c r="FXN41" s="595"/>
      <c r="FXO41" s="595"/>
      <c r="FXP41" s="595"/>
      <c r="FXQ41" s="595"/>
      <c r="FXR41" s="595"/>
      <c r="FXS41" s="595"/>
      <c r="FXT41" s="595"/>
      <c r="FXU41" s="595"/>
      <c r="FXV41" s="595"/>
      <c r="FXW41" s="595"/>
      <c r="FXX41" s="595"/>
      <c r="FXY41" s="595"/>
      <c r="FXZ41" s="595"/>
      <c r="FYA41" s="595"/>
      <c r="FYB41" s="595"/>
      <c r="FYC41" s="595"/>
      <c r="FYD41" s="595"/>
      <c r="FYE41" s="595"/>
      <c r="FYF41" s="595"/>
      <c r="FYG41" s="595"/>
      <c r="FYH41" s="595"/>
      <c r="FYI41" s="595"/>
      <c r="FYJ41" s="595"/>
      <c r="FYK41" s="595"/>
      <c r="FYL41" s="595"/>
      <c r="FYM41" s="595"/>
      <c r="FYN41" s="595"/>
      <c r="FYO41" s="595"/>
      <c r="FYP41" s="595"/>
      <c r="FYQ41" s="595"/>
      <c r="FYR41" s="595"/>
      <c r="FYS41" s="595"/>
      <c r="FYT41" s="595"/>
      <c r="FYU41" s="595"/>
      <c r="FYV41" s="595"/>
      <c r="FYW41" s="595"/>
      <c r="FYX41" s="595"/>
      <c r="FYY41" s="595"/>
      <c r="FYZ41" s="595"/>
      <c r="FZA41" s="595"/>
      <c r="FZB41" s="595"/>
      <c r="FZC41" s="595"/>
      <c r="FZD41" s="595"/>
      <c r="FZE41" s="595"/>
      <c r="FZF41" s="595"/>
      <c r="FZG41" s="595"/>
      <c r="FZH41" s="595"/>
      <c r="FZI41" s="595"/>
      <c r="FZJ41" s="595"/>
      <c r="FZK41" s="595"/>
      <c r="FZL41" s="595"/>
      <c r="FZM41" s="595"/>
      <c r="FZN41" s="595"/>
      <c r="FZO41" s="595"/>
      <c r="FZP41" s="595"/>
      <c r="FZQ41" s="595"/>
      <c r="FZR41" s="595"/>
      <c r="FZS41" s="595"/>
      <c r="FZT41" s="595"/>
      <c r="FZU41" s="595"/>
      <c r="FZV41" s="595"/>
      <c r="FZW41" s="595"/>
      <c r="FZX41" s="595"/>
      <c r="FZY41" s="595"/>
      <c r="FZZ41" s="595"/>
      <c r="GAA41" s="595"/>
      <c r="GAB41" s="595"/>
      <c r="GAC41" s="595"/>
      <c r="GAD41" s="595"/>
      <c r="GAE41" s="595"/>
      <c r="GAF41" s="595"/>
      <c r="GAG41" s="595"/>
      <c r="GAH41" s="595"/>
      <c r="GAI41" s="595"/>
      <c r="GAJ41" s="595"/>
      <c r="GAK41" s="595"/>
      <c r="GAL41" s="595"/>
      <c r="GAM41" s="595"/>
      <c r="GAN41" s="595"/>
      <c r="GAO41" s="595"/>
      <c r="GAP41" s="595"/>
      <c r="GAQ41" s="595"/>
      <c r="GAR41" s="595"/>
      <c r="GAS41" s="595"/>
      <c r="GAT41" s="595"/>
      <c r="GAU41" s="595"/>
      <c r="GAV41" s="595"/>
      <c r="GAW41" s="595"/>
      <c r="GAX41" s="595"/>
      <c r="GAY41" s="595"/>
      <c r="GAZ41" s="595"/>
      <c r="GBA41" s="595"/>
      <c r="GBB41" s="595"/>
      <c r="GBC41" s="595"/>
      <c r="GBD41" s="595"/>
      <c r="GBE41" s="595"/>
      <c r="GBF41" s="595"/>
      <c r="GBG41" s="595"/>
      <c r="GBH41" s="595"/>
      <c r="GBI41" s="595"/>
      <c r="GBJ41" s="595"/>
      <c r="GBK41" s="595"/>
      <c r="GBL41" s="595"/>
      <c r="GBM41" s="595"/>
      <c r="GBN41" s="595"/>
      <c r="GBO41" s="595"/>
      <c r="GBP41" s="595"/>
      <c r="GBQ41" s="595"/>
      <c r="GBR41" s="595"/>
      <c r="GBS41" s="595"/>
      <c r="GBT41" s="595"/>
      <c r="GBU41" s="595"/>
      <c r="GBV41" s="595"/>
      <c r="GBW41" s="595"/>
      <c r="GBX41" s="595"/>
      <c r="GBY41" s="595"/>
      <c r="GBZ41" s="595"/>
      <c r="GCA41" s="595"/>
      <c r="GCB41" s="595"/>
      <c r="GCC41" s="595"/>
      <c r="GCD41" s="595"/>
      <c r="GCE41" s="595"/>
      <c r="GCF41" s="595"/>
      <c r="GCG41" s="595"/>
      <c r="GCH41" s="595"/>
      <c r="GCI41" s="595"/>
      <c r="GCJ41" s="595"/>
      <c r="GCK41" s="595"/>
      <c r="GCL41" s="595"/>
      <c r="GCM41" s="595"/>
      <c r="GCN41" s="595"/>
      <c r="GCO41" s="595"/>
      <c r="GCP41" s="595"/>
      <c r="GCQ41" s="595"/>
      <c r="GCR41" s="595"/>
      <c r="GCS41" s="595"/>
      <c r="GCT41" s="595"/>
      <c r="GCU41" s="595"/>
      <c r="GCV41" s="595"/>
      <c r="GCW41" s="595"/>
      <c r="GCX41" s="595"/>
      <c r="GCY41" s="595"/>
      <c r="GCZ41" s="595"/>
      <c r="GDA41" s="595"/>
      <c r="GDB41" s="595"/>
      <c r="GDC41" s="595"/>
      <c r="GDD41" s="595"/>
      <c r="GDE41" s="595"/>
      <c r="GDF41" s="595"/>
      <c r="GDG41" s="595"/>
      <c r="GDH41" s="595"/>
      <c r="GDI41" s="595"/>
      <c r="GDJ41" s="595"/>
      <c r="GDK41" s="595"/>
      <c r="GDL41" s="595"/>
      <c r="GDM41" s="595"/>
      <c r="GDN41" s="595"/>
      <c r="GDO41" s="595"/>
      <c r="GDP41" s="595"/>
      <c r="GDQ41" s="595"/>
      <c r="GDR41" s="595"/>
      <c r="GDS41" s="595"/>
      <c r="GDT41" s="595"/>
      <c r="GDU41" s="595"/>
      <c r="GDV41" s="595"/>
      <c r="GDW41" s="595"/>
      <c r="GDX41" s="595"/>
      <c r="GDY41" s="595"/>
      <c r="GDZ41" s="595"/>
      <c r="GEA41" s="595"/>
      <c r="GEB41" s="595"/>
      <c r="GEC41" s="595"/>
      <c r="GED41" s="595"/>
      <c r="GEE41" s="595"/>
      <c r="GEF41" s="595"/>
      <c r="GEG41" s="595"/>
      <c r="GEH41" s="595"/>
      <c r="GEI41" s="595"/>
      <c r="GEJ41" s="595"/>
      <c r="GEK41" s="595"/>
      <c r="GEL41" s="595"/>
      <c r="GEM41" s="595"/>
      <c r="GEN41" s="595"/>
      <c r="GEO41" s="595"/>
      <c r="GEP41" s="595"/>
      <c r="GEQ41" s="595"/>
      <c r="GER41" s="595"/>
      <c r="GES41" s="595"/>
      <c r="GET41" s="595"/>
      <c r="GEU41" s="595"/>
      <c r="GEV41" s="595"/>
      <c r="GEW41" s="595"/>
      <c r="GEX41" s="595"/>
      <c r="GEY41" s="595"/>
      <c r="GEZ41" s="595"/>
      <c r="GFA41" s="595"/>
      <c r="GFB41" s="595"/>
      <c r="GFC41" s="595"/>
      <c r="GFD41" s="595"/>
      <c r="GFE41" s="595"/>
      <c r="GFF41" s="595"/>
      <c r="GFG41" s="595"/>
      <c r="GFH41" s="595"/>
      <c r="GFI41" s="595"/>
      <c r="GFJ41" s="595"/>
      <c r="GFK41" s="595"/>
      <c r="GFL41" s="595"/>
      <c r="GFM41" s="595"/>
      <c r="GFN41" s="595"/>
      <c r="GFO41" s="595"/>
      <c r="GFP41" s="595"/>
      <c r="GFQ41" s="595"/>
      <c r="GFR41" s="595"/>
      <c r="GFS41" s="595"/>
      <c r="GFT41" s="595"/>
      <c r="GFU41" s="595"/>
      <c r="GFV41" s="595"/>
      <c r="GFW41" s="595"/>
      <c r="GFX41" s="595"/>
      <c r="GFY41" s="595"/>
      <c r="GFZ41" s="595"/>
      <c r="GGA41" s="595"/>
      <c r="GGB41" s="595"/>
      <c r="GGC41" s="595"/>
      <c r="GGD41" s="595"/>
      <c r="GGE41" s="595"/>
      <c r="GGF41" s="595"/>
      <c r="GGG41" s="595"/>
      <c r="GGH41" s="595"/>
      <c r="GGI41" s="595"/>
      <c r="GGJ41" s="595"/>
      <c r="GGK41" s="595"/>
      <c r="GGL41" s="595"/>
      <c r="GGM41" s="595"/>
      <c r="GGN41" s="595"/>
      <c r="GGO41" s="595"/>
      <c r="GGP41" s="595"/>
      <c r="GGQ41" s="595"/>
      <c r="GGR41" s="595"/>
      <c r="GGS41" s="595"/>
      <c r="GGT41" s="595"/>
      <c r="GGU41" s="595"/>
      <c r="GGV41" s="595"/>
      <c r="GGW41" s="595"/>
      <c r="GGX41" s="595"/>
      <c r="GGY41" s="595"/>
      <c r="GGZ41" s="595"/>
      <c r="GHA41" s="595"/>
      <c r="GHB41" s="595"/>
      <c r="GHC41" s="595"/>
      <c r="GHD41" s="595"/>
      <c r="GHE41" s="595"/>
      <c r="GHF41" s="595"/>
      <c r="GHG41" s="595"/>
      <c r="GHH41" s="595"/>
      <c r="GHI41" s="595"/>
      <c r="GHJ41" s="595"/>
      <c r="GHK41" s="595"/>
      <c r="GHL41" s="595"/>
      <c r="GHM41" s="595"/>
      <c r="GHN41" s="595"/>
      <c r="GHO41" s="595"/>
      <c r="GHP41" s="595"/>
      <c r="GHQ41" s="595"/>
      <c r="GHR41" s="595"/>
      <c r="GHS41" s="595"/>
      <c r="GHT41" s="595"/>
      <c r="GHU41" s="595"/>
      <c r="GHV41" s="595"/>
      <c r="GHW41" s="595"/>
      <c r="GHX41" s="595"/>
      <c r="GHY41" s="595"/>
      <c r="GHZ41" s="595"/>
      <c r="GIA41" s="595"/>
      <c r="GIB41" s="595"/>
      <c r="GIC41" s="595"/>
      <c r="GID41" s="595"/>
      <c r="GIE41" s="595"/>
      <c r="GIF41" s="595"/>
      <c r="GIG41" s="595"/>
      <c r="GIH41" s="595"/>
      <c r="GII41" s="595"/>
      <c r="GIJ41" s="595"/>
      <c r="GIK41" s="595"/>
      <c r="GIL41" s="595"/>
      <c r="GIM41" s="595"/>
      <c r="GIN41" s="595"/>
      <c r="GIO41" s="595"/>
      <c r="GIP41" s="595"/>
      <c r="GIQ41" s="595"/>
      <c r="GIR41" s="595"/>
      <c r="GIS41" s="595"/>
      <c r="GIT41" s="595"/>
      <c r="GIU41" s="595"/>
      <c r="GIV41" s="595"/>
      <c r="GIW41" s="595"/>
      <c r="GIX41" s="595"/>
      <c r="GIY41" s="595"/>
      <c r="GIZ41" s="595"/>
      <c r="GJA41" s="595"/>
      <c r="GJB41" s="595"/>
      <c r="GJC41" s="595"/>
      <c r="GJD41" s="595"/>
      <c r="GJE41" s="595"/>
      <c r="GJF41" s="595"/>
      <c r="GJG41" s="595"/>
      <c r="GJH41" s="595"/>
      <c r="GJI41" s="595"/>
      <c r="GJJ41" s="595"/>
      <c r="GJK41" s="595"/>
      <c r="GJL41" s="595"/>
      <c r="GJM41" s="595"/>
      <c r="GJN41" s="595"/>
      <c r="GJO41" s="595"/>
      <c r="GJP41" s="595"/>
      <c r="GJQ41" s="595"/>
      <c r="GJR41" s="595"/>
      <c r="GJS41" s="595"/>
      <c r="GJT41" s="595"/>
      <c r="GJU41" s="595"/>
      <c r="GJV41" s="595"/>
      <c r="GJW41" s="595"/>
      <c r="GJX41" s="595"/>
      <c r="GJY41" s="595"/>
      <c r="GJZ41" s="595"/>
      <c r="GKA41" s="595"/>
      <c r="GKB41" s="595"/>
      <c r="GKC41" s="595"/>
      <c r="GKD41" s="595"/>
      <c r="GKE41" s="595"/>
      <c r="GKF41" s="595"/>
      <c r="GKG41" s="595"/>
      <c r="GKH41" s="595"/>
      <c r="GKI41" s="595"/>
      <c r="GKJ41" s="595"/>
      <c r="GKK41" s="595"/>
      <c r="GKL41" s="595"/>
      <c r="GKM41" s="595"/>
      <c r="GKN41" s="595"/>
      <c r="GKO41" s="595"/>
      <c r="GKP41" s="595"/>
      <c r="GKQ41" s="595"/>
      <c r="GKR41" s="595"/>
      <c r="GKS41" s="595"/>
      <c r="GKT41" s="595"/>
      <c r="GKU41" s="595"/>
      <c r="GKV41" s="595"/>
      <c r="GKW41" s="595"/>
      <c r="GKX41" s="595"/>
      <c r="GKY41" s="595"/>
      <c r="GKZ41" s="595"/>
      <c r="GLA41" s="595"/>
      <c r="GLB41" s="595"/>
      <c r="GLC41" s="595"/>
      <c r="GLD41" s="595"/>
      <c r="GLE41" s="595"/>
      <c r="GLF41" s="595"/>
      <c r="GLG41" s="595"/>
      <c r="GLH41" s="595"/>
      <c r="GLI41" s="595"/>
      <c r="GLJ41" s="595"/>
      <c r="GLK41" s="595"/>
      <c r="GLL41" s="595"/>
      <c r="GLM41" s="595"/>
      <c r="GLN41" s="595"/>
      <c r="GLO41" s="595"/>
      <c r="GLP41" s="595"/>
      <c r="GLQ41" s="595"/>
      <c r="GLR41" s="595"/>
      <c r="GLS41" s="595"/>
      <c r="GLT41" s="595"/>
      <c r="GLU41" s="595"/>
      <c r="GLV41" s="595"/>
      <c r="GLW41" s="595"/>
      <c r="GLX41" s="595"/>
      <c r="GLY41" s="595"/>
      <c r="GLZ41" s="595"/>
      <c r="GMA41" s="595"/>
      <c r="GMB41" s="595"/>
      <c r="GMC41" s="595"/>
      <c r="GMD41" s="595"/>
      <c r="GME41" s="595"/>
      <c r="GMF41" s="595"/>
      <c r="GMG41" s="595"/>
      <c r="GMH41" s="595"/>
      <c r="GMI41" s="595"/>
      <c r="GMJ41" s="595"/>
      <c r="GMK41" s="595"/>
      <c r="GML41" s="595"/>
      <c r="GMM41" s="595"/>
      <c r="GMN41" s="595"/>
      <c r="GMO41" s="595"/>
      <c r="GMP41" s="595"/>
      <c r="GMQ41" s="595"/>
      <c r="GMR41" s="595"/>
      <c r="GMS41" s="595"/>
      <c r="GMT41" s="595"/>
      <c r="GMU41" s="595"/>
      <c r="GMV41" s="595"/>
      <c r="GMW41" s="595"/>
      <c r="GMX41" s="595"/>
      <c r="GMY41" s="595"/>
      <c r="GMZ41" s="595"/>
      <c r="GNA41" s="595"/>
      <c r="GNB41" s="595"/>
      <c r="GNC41" s="595"/>
      <c r="GND41" s="595"/>
      <c r="GNE41" s="595"/>
      <c r="GNF41" s="595"/>
      <c r="GNG41" s="595"/>
      <c r="GNH41" s="595"/>
      <c r="GNI41" s="595"/>
      <c r="GNJ41" s="595"/>
      <c r="GNK41" s="595"/>
      <c r="GNL41" s="595"/>
      <c r="GNM41" s="595"/>
      <c r="GNN41" s="595"/>
      <c r="GNO41" s="595"/>
      <c r="GNP41" s="595"/>
      <c r="GNQ41" s="595"/>
      <c r="GNR41" s="595"/>
      <c r="GNS41" s="595"/>
      <c r="GNT41" s="595"/>
      <c r="GNU41" s="595"/>
      <c r="GNV41" s="595"/>
      <c r="GNW41" s="595"/>
      <c r="GNX41" s="595"/>
      <c r="GNY41" s="595"/>
      <c r="GNZ41" s="595"/>
      <c r="GOA41" s="595"/>
      <c r="GOB41" s="595"/>
      <c r="GOC41" s="595"/>
      <c r="GOD41" s="595"/>
      <c r="GOE41" s="595"/>
      <c r="GOF41" s="595"/>
      <c r="GOG41" s="595"/>
      <c r="GOH41" s="595"/>
      <c r="GOI41" s="595"/>
      <c r="GOJ41" s="595"/>
      <c r="GOK41" s="595"/>
      <c r="GOL41" s="595"/>
      <c r="GOM41" s="595"/>
      <c r="GON41" s="595"/>
      <c r="GOO41" s="595"/>
      <c r="GOP41" s="595"/>
      <c r="GOQ41" s="595"/>
      <c r="GOR41" s="595"/>
      <c r="GOS41" s="595"/>
      <c r="GOT41" s="595"/>
      <c r="GOU41" s="595"/>
      <c r="GOV41" s="595"/>
      <c r="GOW41" s="595"/>
      <c r="GOX41" s="595"/>
      <c r="GOY41" s="595"/>
      <c r="GOZ41" s="595"/>
      <c r="GPA41" s="595"/>
      <c r="GPB41" s="595"/>
      <c r="GPC41" s="595"/>
      <c r="GPD41" s="595"/>
      <c r="GPE41" s="595"/>
      <c r="GPF41" s="595"/>
      <c r="GPG41" s="595"/>
      <c r="GPH41" s="595"/>
      <c r="GPI41" s="595"/>
      <c r="GPJ41" s="595"/>
      <c r="GPK41" s="595"/>
      <c r="GPL41" s="595"/>
      <c r="GPM41" s="595"/>
      <c r="GPN41" s="595"/>
      <c r="GPO41" s="595"/>
      <c r="GPP41" s="595"/>
      <c r="GPQ41" s="595"/>
      <c r="GPR41" s="595"/>
      <c r="GPS41" s="595"/>
      <c r="GPT41" s="595"/>
      <c r="GPU41" s="595"/>
      <c r="GPV41" s="595"/>
      <c r="GPW41" s="595"/>
      <c r="GPX41" s="595"/>
      <c r="GPY41" s="595"/>
      <c r="GPZ41" s="595"/>
      <c r="GQA41" s="595"/>
      <c r="GQB41" s="595"/>
      <c r="GQC41" s="595"/>
      <c r="GQD41" s="595"/>
      <c r="GQE41" s="595"/>
      <c r="GQF41" s="595"/>
      <c r="GQG41" s="595"/>
      <c r="GQH41" s="595"/>
      <c r="GQI41" s="595"/>
      <c r="GQJ41" s="595"/>
      <c r="GQK41" s="595"/>
      <c r="GQL41" s="595"/>
      <c r="GQM41" s="595"/>
      <c r="GQN41" s="595"/>
      <c r="GQO41" s="595"/>
      <c r="GQP41" s="595"/>
      <c r="GQQ41" s="595"/>
      <c r="GQR41" s="595"/>
      <c r="GQS41" s="595"/>
      <c r="GQT41" s="595"/>
      <c r="GQU41" s="595"/>
      <c r="GQV41" s="595"/>
      <c r="GQW41" s="595"/>
      <c r="GQX41" s="595"/>
      <c r="GQY41" s="595"/>
      <c r="GQZ41" s="595"/>
      <c r="GRA41" s="595"/>
      <c r="GRB41" s="595"/>
      <c r="GRC41" s="595"/>
      <c r="GRD41" s="595"/>
      <c r="GRE41" s="595"/>
      <c r="GRF41" s="595"/>
      <c r="GRG41" s="595"/>
      <c r="GRH41" s="595"/>
      <c r="GRI41" s="595"/>
      <c r="GRJ41" s="595"/>
      <c r="GRK41" s="595"/>
      <c r="GRL41" s="595"/>
      <c r="GRM41" s="595"/>
      <c r="GRN41" s="595"/>
      <c r="GRO41" s="595"/>
      <c r="GRP41" s="595"/>
      <c r="GRQ41" s="595"/>
      <c r="GRR41" s="595"/>
      <c r="GRS41" s="595"/>
      <c r="GRT41" s="595"/>
      <c r="GRU41" s="595"/>
      <c r="GRV41" s="595"/>
      <c r="GRW41" s="595"/>
      <c r="GRX41" s="595"/>
      <c r="GRY41" s="595"/>
      <c r="GRZ41" s="595"/>
      <c r="GSA41" s="595"/>
      <c r="GSB41" s="595"/>
      <c r="GSC41" s="595"/>
      <c r="GSD41" s="595"/>
      <c r="GSE41" s="595"/>
      <c r="GSF41" s="595"/>
      <c r="GSG41" s="595"/>
      <c r="GSH41" s="595"/>
      <c r="GSI41" s="595"/>
      <c r="GSJ41" s="595"/>
      <c r="GSK41" s="595"/>
      <c r="GSL41" s="595"/>
      <c r="GSM41" s="595"/>
      <c r="GSN41" s="595"/>
      <c r="GSO41" s="595"/>
      <c r="GSP41" s="595"/>
      <c r="GSQ41" s="595"/>
      <c r="GSR41" s="595"/>
      <c r="GSS41" s="595"/>
      <c r="GST41" s="595"/>
      <c r="GSU41" s="595"/>
      <c r="GSV41" s="595"/>
      <c r="GSW41" s="595"/>
      <c r="GSX41" s="595"/>
      <c r="GSY41" s="595"/>
      <c r="GSZ41" s="595"/>
      <c r="GTA41" s="595"/>
      <c r="GTB41" s="595"/>
      <c r="GTC41" s="595"/>
      <c r="GTD41" s="595"/>
      <c r="GTE41" s="595"/>
      <c r="GTF41" s="595"/>
      <c r="GTG41" s="595"/>
      <c r="GTH41" s="595"/>
      <c r="GTI41" s="595"/>
      <c r="GTJ41" s="595"/>
      <c r="GTK41" s="595"/>
      <c r="GTL41" s="595"/>
      <c r="GTM41" s="595"/>
      <c r="GTN41" s="595"/>
      <c r="GTO41" s="595"/>
      <c r="GTP41" s="595"/>
      <c r="GTQ41" s="595"/>
      <c r="GTR41" s="595"/>
      <c r="GTS41" s="595"/>
      <c r="GTT41" s="595"/>
      <c r="GTU41" s="595"/>
      <c r="GTV41" s="595"/>
      <c r="GTW41" s="595"/>
      <c r="GTX41" s="595"/>
      <c r="GTY41" s="595"/>
      <c r="GTZ41" s="595"/>
      <c r="GUA41" s="595"/>
      <c r="GUB41" s="595"/>
      <c r="GUC41" s="595"/>
      <c r="GUD41" s="595"/>
      <c r="GUE41" s="595"/>
      <c r="GUF41" s="595"/>
      <c r="GUG41" s="595"/>
      <c r="GUH41" s="595"/>
      <c r="GUI41" s="595"/>
      <c r="GUJ41" s="595"/>
      <c r="GUK41" s="595"/>
      <c r="GUL41" s="595"/>
      <c r="GUM41" s="595"/>
      <c r="GUN41" s="595"/>
      <c r="GUO41" s="595"/>
      <c r="GUP41" s="595"/>
      <c r="GUQ41" s="595"/>
      <c r="GUR41" s="595"/>
      <c r="GUS41" s="595"/>
      <c r="GUT41" s="595"/>
      <c r="GUU41" s="595"/>
      <c r="GUV41" s="595"/>
      <c r="GUW41" s="595"/>
      <c r="GUX41" s="595"/>
      <c r="GUY41" s="595"/>
      <c r="GUZ41" s="595"/>
      <c r="GVA41" s="595"/>
      <c r="GVB41" s="595"/>
      <c r="GVC41" s="595"/>
      <c r="GVD41" s="595"/>
      <c r="GVE41" s="595"/>
      <c r="GVF41" s="595"/>
      <c r="GVG41" s="595"/>
      <c r="GVH41" s="595"/>
      <c r="GVI41" s="595"/>
      <c r="GVJ41" s="595"/>
      <c r="GVK41" s="595"/>
      <c r="GVL41" s="595"/>
      <c r="GVM41" s="595"/>
      <c r="GVN41" s="595"/>
      <c r="GVO41" s="595"/>
      <c r="GVP41" s="595"/>
      <c r="GVQ41" s="595"/>
      <c r="GVR41" s="595"/>
      <c r="GVS41" s="595"/>
      <c r="GVT41" s="595"/>
      <c r="GVU41" s="595"/>
      <c r="GVV41" s="595"/>
      <c r="GVW41" s="595"/>
      <c r="GVX41" s="595"/>
      <c r="GVY41" s="595"/>
      <c r="GVZ41" s="595"/>
      <c r="GWA41" s="595"/>
      <c r="GWB41" s="595"/>
      <c r="GWC41" s="595"/>
      <c r="GWD41" s="595"/>
      <c r="GWE41" s="595"/>
      <c r="GWF41" s="595"/>
      <c r="GWG41" s="595"/>
      <c r="GWH41" s="595"/>
      <c r="GWI41" s="595"/>
      <c r="GWJ41" s="595"/>
      <c r="GWK41" s="595"/>
      <c r="GWL41" s="595"/>
      <c r="GWM41" s="595"/>
      <c r="GWN41" s="595"/>
      <c r="GWO41" s="595"/>
      <c r="GWP41" s="595"/>
      <c r="GWQ41" s="595"/>
      <c r="GWR41" s="595"/>
      <c r="GWS41" s="595"/>
      <c r="GWT41" s="595"/>
      <c r="GWU41" s="595"/>
      <c r="GWV41" s="595"/>
      <c r="GWW41" s="595"/>
      <c r="GWX41" s="595"/>
      <c r="GWY41" s="595"/>
      <c r="GWZ41" s="595"/>
      <c r="GXA41" s="595"/>
      <c r="GXB41" s="595"/>
      <c r="GXC41" s="595"/>
      <c r="GXD41" s="595"/>
      <c r="GXE41" s="595"/>
      <c r="GXF41" s="595"/>
      <c r="GXG41" s="595"/>
      <c r="GXH41" s="595"/>
      <c r="GXI41" s="595"/>
      <c r="GXJ41" s="595"/>
      <c r="GXK41" s="595"/>
      <c r="GXL41" s="595"/>
      <c r="GXM41" s="595"/>
      <c r="GXN41" s="595"/>
      <c r="GXO41" s="595"/>
      <c r="GXP41" s="595"/>
      <c r="GXQ41" s="595"/>
      <c r="GXR41" s="595"/>
      <c r="GXS41" s="595"/>
      <c r="GXT41" s="595"/>
      <c r="GXU41" s="595"/>
      <c r="GXV41" s="595"/>
      <c r="GXW41" s="595"/>
      <c r="GXX41" s="595"/>
      <c r="GXY41" s="595"/>
      <c r="GXZ41" s="595"/>
      <c r="GYA41" s="595"/>
      <c r="GYB41" s="595"/>
      <c r="GYC41" s="595"/>
      <c r="GYD41" s="595"/>
      <c r="GYE41" s="595"/>
      <c r="GYF41" s="595"/>
      <c r="GYG41" s="595"/>
      <c r="GYH41" s="595"/>
      <c r="GYI41" s="595"/>
      <c r="GYJ41" s="595"/>
      <c r="GYK41" s="595"/>
      <c r="GYL41" s="595"/>
      <c r="GYM41" s="595"/>
      <c r="GYN41" s="595"/>
      <c r="GYO41" s="595"/>
      <c r="GYP41" s="595"/>
      <c r="GYQ41" s="595"/>
      <c r="GYR41" s="595"/>
      <c r="GYS41" s="595"/>
      <c r="GYT41" s="595"/>
      <c r="GYU41" s="595"/>
      <c r="GYV41" s="595"/>
      <c r="GYW41" s="595"/>
      <c r="GYX41" s="595"/>
      <c r="GYY41" s="595"/>
      <c r="GYZ41" s="595"/>
      <c r="GZA41" s="595"/>
      <c r="GZB41" s="595"/>
      <c r="GZC41" s="595"/>
      <c r="GZD41" s="595"/>
      <c r="GZE41" s="595"/>
      <c r="GZF41" s="595"/>
      <c r="GZG41" s="595"/>
      <c r="GZH41" s="595"/>
      <c r="GZI41" s="595"/>
      <c r="GZJ41" s="595"/>
      <c r="GZK41" s="595"/>
      <c r="GZL41" s="595"/>
      <c r="GZM41" s="595"/>
      <c r="GZN41" s="595"/>
      <c r="GZO41" s="595"/>
      <c r="GZP41" s="595"/>
      <c r="GZQ41" s="595"/>
      <c r="GZR41" s="595"/>
      <c r="GZS41" s="595"/>
      <c r="GZT41" s="595"/>
      <c r="GZU41" s="595"/>
      <c r="GZV41" s="595"/>
      <c r="GZW41" s="595"/>
      <c r="GZX41" s="595"/>
      <c r="GZY41" s="595"/>
      <c r="GZZ41" s="595"/>
      <c r="HAA41" s="595"/>
      <c r="HAB41" s="595"/>
      <c r="HAC41" s="595"/>
      <c r="HAD41" s="595"/>
      <c r="HAE41" s="595"/>
      <c r="HAF41" s="595"/>
      <c r="HAG41" s="595"/>
      <c r="HAH41" s="595"/>
      <c r="HAI41" s="595"/>
      <c r="HAJ41" s="595"/>
      <c r="HAK41" s="595"/>
      <c r="HAL41" s="595"/>
      <c r="HAM41" s="595"/>
      <c r="HAN41" s="595"/>
      <c r="HAO41" s="595"/>
      <c r="HAP41" s="595"/>
      <c r="HAQ41" s="595"/>
      <c r="HAR41" s="595"/>
      <c r="HAS41" s="595"/>
      <c r="HAT41" s="595"/>
      <c r="HAU41" s="595"/>
      <c r="HAV41" s="595"/>
      <c r="HAW41" s="595"/>
      <c r="HAX41" s="595"/>
      <c r="HAY41" s="595"/>
      <c r="HAZ41" s="595"/>
      <c r="HBA41" s="595"/>
      <c r="HBB41" s="595"/>
      <c r="HBC41" s="595"/>
      <c r="HBD41" s="595"/>
      <c r="HBE41" s="595"/>
      <c r="HBF41" s="595"/>
      <c r="HBG41" s="595"/>
      <c r="HBH41" s="595"/>
      <c r="HBI41" s="595"/>
      <c r="HBJ41" s="595"/>
      <c r="HBK41" s="595"/>
      <c r="HBL41" s="595"/>
      <c r="HBM41" s="595"/>
      <c r="HBN41" s="595"/>
      <c r="HBO41" s="595"/>
      <c r="HBP41" s="595"/>
      <c r="HBQ41" s="595"/>
      <c r="HBR41" s="595"/>
      <c r="HBS41" s="595"/>
      <c r="HBT41" s="595"/>
      <c r="HBU41" s="595"/>
      <c r="HBV41" s="595"/>
      <c r="HBW41" s="595"/>
      <c r="HBX41" s="595"/>
      <c r="HBY41" s="595"/>
      <c r="HBZ41" s="595"/>
      <c r="HCA41" s="595"/>
      <c r="HCB41" s="595"/>
      <c r="HCC41" s="595"/>
      <c r="HCD41" s="595"/>
      <c r="HCE41" s="595"/>
      <c r="HCF41" s="595"/>
      <c r="HCG41" s="595"/>
      <c r="HCH41" s="595"/>
      <c r="HCI41" s="595"/>
      <c r="HCJ41" s="595"/>
      <c r="HCK41" s="595"/>
      <c r="HCL41" s="595"/>
      <c r="HCM41" s="595"/>
      <c r="HCN41" s="595"/>
      <c r="HCO41" s="595"/>
      <c r="HCP41" s="595"/>
      <c r="HCQ41" s="595"/>
      <c r="HCR41" s="595"/>
      <c r="HCS41" s="595"/>
      <c r="HCT41" s="595"/>
      <c r="HCU41" s="595"/>
      <c r="HCV41" s="595"/>
      <c r="HCW41" s="595"/>
      <c r="HCX41" s="595"/>
      <c r="HCY41" s="595"/>
      <c r="HCZ41" s="595"/>
      <c r="HDA41" s="595"/>
      <c r="HDB41" s="595"/>
      <c r="HDC41" s="595"/>
      <c r="HDD41" s="595"/>
      <c r="HDE41" s="595"/>
      <c r="HDF41" s="595"/>
      <c r="HDG41" s="595"/>
      <c r="HDH41" s="595"/>
      <c r="HDI41" s="595"/>
      <c r="HDJ41" s="595"/>
      <c r="HDK41" s="595"/>
      <c r="HDL41" s="595"/>
      <c r="HDM41" s="595"/>
      <c r="HDN41" s="595"/>
      <c r="HDO41" s="595"/>
      <c r="HDP41" s="595"/>
      <c r="HDQ41" s="595"/>
      <c r="HDR41" s="595"/>
      <c r="HDS41" s="595"/>
      <c r="HDT41" s="595"/>
      <c r="HDU41" s="595"/>
      <c r="HDV41" s="595"/>
      <c r="HDW41" s="595"/>
      <c r="HDX41" s="595"/>
      <c r="HDY41" s="595"/>
      <c r="HDZ41" s="595"/>
      <c r="HEA41" s="595"/>
      <c r="HEB41" s="595"/>
      <c r="HEC41" s="595"/>
      <c r="HED41" s="595"/>
      <c r="HEE41" s="595"/>
      <c r="HEF41" s="595"/>
      <c r="HEG41" s="595"/>
      <c r="HEH41" s="595"/>
      <c r="HEI41" s="595"/>
      <c r="HEJ41" s="595"/>
      <c r="HEK41" s="595"/>
      <c r="HEL41" s="595"/>
      <c r="HEM41" s="595"/>
      <c r="HEN41" s="595"/>
      <c r="HEO41" s="595"/>
      <c r="HEP41" s="595"/>
      <c r="HEQ41" s="595"/>
      <c r="HER41" s="595"/>
      <c r="HES41" s="595"/>
      <c r="HET41" s="595"/>
      <c r="HEU41" s="595"/>
      <c r="HEV41" s="595"/>
      <c r="HEW41" s="595"/>
      <c r="HEX41" s="595"/>
      <c r="HEY41" s="595"/>
      <c r="HEZ41" s="595"/>
      <c r="HFA41" s="595"/>
      <c r="HFB41" s="595"/>
      <c r="HFC41" s="595"/>
      <c r="HFD41" s="595"/>
      <c r="HFE41" s="595"/>
      <c r="HFF41" s="595"/>
      <c r="HFG41" s="595"/>
      <c r="HFH41" s="595"/>
      <c r="HFI41" s="595"/>
      <c r="HFJ41" s="595"/>
      <c r="HFK41" s="595"/>
      <c r="HFL41" s="595"/>
      <c r="HFM41" s="595"/>
      <c r="HFN41" s="595"/>
      <c r="HFO41" s="595"/>
      <c r="HFP41" s="595"/>
      <c r="HFQ41" s="595"/>
      <c r="HFR41" s="595"/>
      <c r="HFS41" s="595"/>
      <c r="HFT41" s="595"/>
      <c r="HFU41" s="595"/>
      <c r="HFV41" s="595"/>
      <c r="HFW41" s="595"/>
      <c r="HFX41" s="595"/>
      <c r="HFY41" s="595"/>
      <c r="HFZ41" s="595"/>
      <c r="HGA41" s="595"/>
      <c r="HGB41" s="595"/>
      <c r="HGC41" s="595"/>
      <c r="HGD41" s="595"/>
      <c r="HGE41" s="595"/>
      <c r="HGF41" s="595"/>
      <c r="HGG41" s="595"/>
      <c r="HGH41" s="595"/>
      <c r="HGI41" s="595"/>
      <c r="HGJ41" s="595"/>
      <c r="HGK41" s="595"/>
      <c r="HGL41" s="595"/>
      <c r="HGM41" s="595"/>
      <c r="HGN41" s="595"/>
      <c r="HGO41" s="595"/>
      <c r="HGP41" s="595"/>
      <c r="HGQ41" s="595"/>
      <c r="HGR41" s="595"/>
      <c r="HGS41" s="595"/>
      <c r="HGT41" s="595"/>
      <c r="HGU41" s="595"/>
      <c r="HGV41" s="595"/>
      <c r="HGW41" s="595"/>
      <c r="HGX41" s="595"/>
      <c r="HGY41" s="595"/>
      <c r="HGZ41" s="595"/>
      <c r="HHA41" s="595"/>
      <c r="HHB41" s="595"/>
      <c r="HHC41" s="595"/>
      <c r="HHD41" s="595"/>
      <c r="HHE41" s="595"/>
      <c r="HHF41" s="595"/>
      <c r="HHG41" s="595"/>
      <c r="HHH41" s="595"/>
      <c r="HHI41" s="595"/>
      <c r="HHJ41" s="595"/>
      <c r="HHK41" s="595"/>
      <c r="HHL41" s="595"/>
      <c r="HHM41" s="595"/>
      <c r="HHN41" s="595"/>
      <c r="HHO41" s="595"/>
      <c r="HHP41" s="595"/>
      <c r="HHQ41" s="595"/>
      <c r="HHR41" s="595"/>
      <c r="HHS41" s="595"/>
      <c r="HHT41" s="595"/>
      <c r="HHU41" s="595"/>
      <c r="HHV41" s="595"/>
      <c r="HHW41" s="595"/>
      <c r="HHX41" s="595"/>
      <c r="HHY41" s="595"/>
      <c r="HHZ41" s="595"/>
      <c r="HIA41" s="595"/>
      <c r="HIB41" s="595"/>
      <c r="HIC41" s="595"/>
      <c r="HID41" s="595"/>
      <c r="HIE41" s="595"/>
      <c r="HIF41" s="595"/>
      <c r="HIG41" s="595"/>
      <c r="HIH41" s="595"/>
      <c r="HII41" s="595"/>
      <c r="HIJ41" s="595"/>
      <c r="HIK41" s="595"/>
      <c r="HIL41" s="595"/>
      <c r="HIM41" s="595"/>
      <c r="HIN41" s="595"/>
      <c r="HIO41" s="595"/>
      <c r="HIP41" s="595"/>
      <c r="HIQ41" s="595"/>
      <c r="HIR41" s="595"/>
      <c r="HIS41" s="595"/>
      <c r="HIT41" s="595"/>
      <c r="HIU41" s="595"/>
      <c r="HIV41" s="595"/>
      <c r="HIW41" s="595"/>
      <c r="HIX41" s="595"/>
      <c r="HIY41" s="595"/>
      <c r="HIZ41" s="595"/>
      <c r="HJA41" s="595"/>
      <c r="HJB41" s="595"/>
      <c r="HJC41" s="595"/>
      <c r="HJD41" s="595"/>
      <c r="HJE41" s="595"/>
      <c r="HJF41" s="595"/>
      <c r="HJG41" s="595"/>
      <c r="HJH41" s="595"/>
      <c r="HJI41" s="595"/>
      <c r="HJJ41" s="595"/>
      <c r="HJK41" s="595"/>
      <c r="HJL41" s="595"/>
      <c r="HJM41" s="595"/>
      <c r="HJN41" s="595"/>
      <c r="HJO41" s="595"/>
      <c r="HJP41" s="595"/>
      <c r="HJQ41" s="595"/>
      <c r="HJR41" s="595"/>
      <c r="HJS41" s="595"/>
      <c r="HJT41" s="595"/>
      <c r="HJU41" s="595"/>
      <c r="HJV41" s="595"/>
      <c r="HJW41" s="595"/>
      <c r="HJX41" s="595"/>
      <c r="HJY41" s="595"/>
      <c r="HJZ41" s="595"/>
      <c r="HKA41" s="595"/>
      <c r="HKB41" s="595"/>
      <c r="HKC41" s="595"/>
      <c r="HKD41" s="595"/>
      <c r="HKE41" s="595"/>
      <c r="HKF41" s="595"/>
      <c r="HKG41" s="595"/>
      <c r="HKH41" s="595"/>
      <c r="HKI41" s="595"/>
      <c r="HKJ41" s="595"/>
      <c r="HKK41" s="595"/>
      <c r="HKL41" s="595"/>
      <c r="HKM41" s="595"/>
      <c r="HKN41" s="595"/>
      <c r="HKO41" s="595"/>
      <c r="HKP41" s="595"/>
      <c r="HKQ41" s="595"/>
      <c r="HKR41" s="595"/>
      <c r="HKS41" s="595"/>
      <c r="HKT41" s="595"/>
      <c r="HKU41" s="595"/>
      <c r="HKV41" s="595"/>
      <c r="HKW41" s="595"/>
      <c r="HKX41" s="595"/>
      <c r="HKY41" s="595"/>
      <c r="HKZ41" s="595"/>
      <c r="HLA41" s="595"/>
      <c r="HLB41" s="595"/>
      <c r="HLC41" s="595"/>
      <c r="HLD41" s="595"/>
      <c r="HLE41" s="595"/>
      <c r="HLF41" s="595"/>
      <c r="HLG41" s="595"/>
      <c r="HLH41" s="595"/>
      <c r="HLI41" s="595"/>
      <c r="HLJ41" s="595"/>
      <c r="HLK41" s="595"/>
      <c r="HLL41" s="595"/>
      <c r="HLM41" s="595"/>
      <c r="HLN41" s="595"/>
      <c r="HLO41" s="595"/>
      <c r="HLP41" s="595"/>
      <c r="HLQ41" s="595"/>
      <c r="HLR41" s="595"/>
      <c r="HLS41" s="595"/>
      <c r="HLT41" s="595"/>
      <c r="HLU41" s="595"/>
      <c r="HLV41" s="595"/>
      <c r="HLW41" s="595"/>
      <c r="HLX41" s="595"/>
      <c r="HLY41" s="595"/>
      <c r="HLZ41" s="595"/>
      <c r="HMA41" s="595"/>
      <c r="HMB41" s="595"/>
      <c r="HMC41" s="595"/>
      <c r="HMD41" s="595"/>
      <c r="HME41" s="595"/>
      <c r="HMF41" s="595"/>
      <c r="HMG41" s="595"/>
      <c r="HMH41" s="595"/>
      <c r="HMI41" s="595"/>
      <c r="HMJ41" s="595"/>
      <c r="HMK41" s="595"/>
      <c r="HML41" s="595"/>
      <c r="HMM41" s="595"/>
      <c r="HMN41" s="595"/>
      <c r="HMO41" s="595"/>
      <c r="HMP41" s="595"/>
      <c r="HMQ41" s="595"/>
      <c r="HMR41" s="595"/>
      <c r="HMS41" s="595"/>
      <c r="HMT41" s="595"/>
      <c r="HMU41" s="595"/>
      <c r="HMV41" s="595"/>
      <c r="HMW41" s="595"/>
      <c r="HMX41" s="595"/>
      <c r="HMY41" s="595"/>
      <c r="HMZ41" s="595"/>
      <c r="HNA41" s="595"/>
      <c r="HNB41" s="595"/>
      <c r="HNC41" s="595"/>
      <c r="HND41" s="595"/>
      <c r="HNE41" s="595"/>
      <c r="HNF41" s="595"/>
      <c r="HNG41" s="595"/>
      <c r="HNH41" s="595"/>
      <c r="HNI41" s="595"/>
      <c r="HNJ41" s="595"/>
      <c r="HNK41" s="595"/>
      <c r="HNL41" s="595"/>
      <c r="HNM41" s="595"/>
      <c r="HNN41" s="595"/>
      <c r="HNO41" s="595"/>
      <c r="HNP41" s="595"/>
      <c r="HNQ41" s="595"/>
      <c r="HNR41" s="595"/>
      <c r="HNS41" s="595"/>
      <c r="HNT41" s="595"/>
      <c r="HNU41" s="595"/>
      <c r="HNV41" s="595"/>
      <c r="HNW41" s="595"/>
      <c r="HNX41" s="595"/>
      <c r="HNY41" s="595"/>
      <c r="HNZ41" s="595"/>
      <c r="HOA41" s="595"/>
      <c r="HOB41" s="595"/>
      <c r="HOC41" s="595"/>
      <c r="HOD41" s="595"/>
      <c r="HOE41" s="595"/>
      <c r="HOF41" s="595"/>
      <c r="HOG41" s="595"/>
      <c r="HOH41" s="595"/>
      <c r="HOI41" s="595"/>
      <c r="HOJ41" s="595"/>
      <c r="HOK41" s="595"/>
      <c r="HOL41" s="595"/>
      <c r="HOM41" s="595"/>
      <c r="HON41" s="595"/>
      <c r="HOO41" s="595"/>
      <c r="HOP41" s="595"/>
      <c r="HOQ41" s="595"/>
      <c r="HOR41" s="595"/>
      <c r="HOS41" s="595"/>
      <c r="HOT41" s="595"/>
      <c r="HOU41" s="595"/>
      <c r="HOV41" s="595"/>
      <c r="HOW41" s="595"/>
      <c r="HOX41" s="595"/>
      <c r="HOY41" s="595"/>
      <c r="HOZ41" s="595"/>
      <c r="HPA41" s="595"/>
      <c r="HPB41" s="595"/>
      <c r="HPC41" s="595"/>
      <c r="HPD41" s="595"/>
      <c r="HPE41" s="595"/>
      <c r="HPF41" s="595"/>
      <c r="HPG41" s="595"/>
      <c r="HPH41" s="595"/>
      <c r="HPI41" s="595"/>
      <c r="HPJ41" s="595"/>
      <c r="HPK41" s="595"/>
      <c r="HPL41" s="595"/>
      <c r="HPM41" s="595"/>
      <c r="HPN41" s="595"/>
      <c r="HPO41" s="595"/>
      <c r="HPP41" s="595"/>
      <c r="HPQ41" s="595"/>
      <c r="HPR41" s="595"/>
      <c r="HPS41" s="595"/>
      <c r="HPT41" s="595"/>
      <c r="HPU41" s="595"/>
      <c r="HPV41" s="595"/>
      <c r="HPW41" s="595"/>
      <c r="HPX41" s="595"/>
      <c r="HPY41" s="595"/>
      <c r="HPZ41" s="595"/>
      <c r="HQA41" s="595"/>
      <c r="HQB41" s="595"/>
      <c r="HQC41" s="595"/>
      <c r="HQD41" s="595"/>
      <c r="HQE41" s="595"/>
      <c r="HQF41" s="595"/>
      <c r="HQG41" s="595"/>
      <c r="HQH41" s="595"/>
      <c r="HQI41" s="595"/>
      <c r="HQJ41" s="595"/>
      <c r="HQK41" s="595"/>
      <c r="HQL41" s="595"/>
      <c r="HQM41" s="595"/>
      <c r="HQN41" s="595"/>
      <c r="HQO41" s="595"/>
      <c r="HQP41" s="595"/>
      <c r="HQQ41" s="595"/>
      <c r="HQR41" s="595"/>
      <c r="HQS41" s="595"/>
      <c r="HQT41" s="595"/>
      <c r="HQU41" s="595"/>
      <c r="HQV41" s="595"/>
      <c r="HQW41" s="595"/>
      <c r="HQX41" s="595"/>
      <c r="HQY41" s="595"/>
      <c r="HQZ41" s="595"/>
      <c r="HRA41" s="595"/>
      <c r="HRB41" s="595"/>
      <c r="HRC41" s="595"/>
      <c r="HRD41" s="595"/>
      <c r="HRE41" s="595"/>
      <c r="HRF41" s="595"/>
      <c r="HRG41" s="595"/>
      <c r="HRH41" s="595"/>
      <c r="HRI41" s="595"/>
      <c r="HRJ41" s="595"/>
      <c r="HRK41" s="595"/>
      <c r="HRL41" s="595"/>
      <c r="HRM41" s="595"/>
      <c r="HRN41" s="595"/>
      <c r="HRO41" s="595"/>
      <c r="HRP41" s="595"/>
      <c r="HRQ41" s="595"/>
      <c r="HRR41" s="595"/>
      <c r="HRS41" s="595"/>
      <c r="HRT41" s="595"/>
      <c r="HRU41" s="595"/>
      <c r="HRV41" s="595"/>
      <c r="HRW41" s="595"/>
      <c r="HRX41" s="595"/>
      <c r="HRY41" s="595"/>
      <c r="HRZ41" s="595"/>
      <c r="HSA41" s="595"/>
      <c r="HSB41" s="595"/>
      <c r="HSC41" s="595"/>
      <c r="HSD41" s="595"/>
      <c r="HSE41" s="595"/>
      <c r="HSF41" s="595"/>
      <c r="HSG41" s="595"/>
      <c r="HSH41" s="595"/>
      <c r="HSI41" s="595"/>
      <c r="HSJ41" s="595"/>
      <c r="HSK41" s="595"/>
      <c r="HSL41" s="595"/>
      <c r="HSM41" s="595"/>
      <c r="HSN41" s="595"/>
      <c r="HSO41" s="595"/>
      <c r="HSP41" s="595"/>
      <c r="HSQ41" s="595"/>
      <c r="HSR41" s="595"/>
      <c r="HSS41" s="595"/>
      <c r="HST41" s="595"/>
      <c r="HSU41" s="595"/>
      <c r="HSV41" s="595"/>
      <c r="HSW41" s="595"/>
      <c r="HSX41" s="595"/>
      <c r="HSY41" s="595"/>
      <c r="HSZ41" s="595"/>
      <c r="HTA41" s="595"/>
      <c r="HTB41" s="595"/>
      <c r="HTC41" s="595"/>
      <c r="HTD41" s="595"/>
      <c r="HTE41" s="595"/>
      <c r="HTF41" s="595"/>
      <c r="HTG41" s="595"/>
      <c r="HTH41" s="595"/>
      <c r="HTI41" s="595"/>
      <c r="HTJ41" s="595"/>
      <c r="HTK41" s="595"/>
      <c r="HTL41" s="595"/>
      <c r="HTM41" s="595"/>
      <c r="HTN41" s="595"/>
      <c r="HTO41" s="595"/>
      <c r="HTP41" s="595"/>
      <c r="HTQ41" s="595"/>
      <c r="HTR41" s="595"/>
      <c r="HTS41" s="595"/>
      <c r="HTT41" s="595"/>
      <c r="HTU41" s="595"/>
      <c r="HTV41" s="595"/>
      <c r="HTW41" s="595"/>
      <c r="HTX41" s="595"/>
      <c r="HTY41" s="595"/>
      <c r="HTZ41" s="595"/>
      <c r="HUA41" s="595"/>
      <c r="HUB41" s="595"/>
      <c r="HUC41" s="595"/>
      <c r="HUD41" s="595"/>
      <c r="HUE41" s="595"/>
      <c r="HUF41" s="595"/>
      <c r="HUG41" s="595"/>
      <c r="HUH41" s="595"/>
      <c r="HUI41" s="595"/>
      <c r="HUJ41" s="595"/>
      <c r="HUK41" s="595"/>
      <c r="HUL41" s="595"/>
      <c r="HUM41" s="595"/>
      <c r="HUN41" s="595"/>
      <c r="HUO41" s="595"/>
      <c r="HUP41" s="595"/>
      <c r="HUQ41" s="595"/>
      <c r="HUR41" s="595"/>
      <c r="HUS41" s="595"/>
      <c r="HUT41" s="595"/>
      <c r="HUU41" s="595"/>
      <c r="HUV41" s="595"/>
      <c r="HUW41" s="595"/>
      <c r="HUX41" s="595"/>
      <c r="HUY41" s="595"/>
      <c r="HUZ41" s="595"/>
      <c r="HVA41" s="595"/>
      <c r="HVB41" s="595"/>
      <c r="HVC41" s="595"/>
      <c r="HVD41" s="595"/>
      <c r="HVE41" s="595"/>
      <c r="HVF41" s="595"/>
      <c r="HVG41" s="595"/>
      <c r="HVH41" s="595"/>
      <c r="HVI41" s="595"/>
      <c r="HVJ41" s="595"/>
      <c r="HVK41" s="595"/>
      <c r="HVL41" s="595"/>
      <c r="HVM41" s="595"/>
      <c r="HVN41" s="595"/>
      <c r="HVO41" s="595"/>
      <c r="HVP41" s="595"/>
      <c r="HVQ41" s="595"/>
      <c r="HVR41" s="595"/>
      <c r="HVS41" s="595"/>
      <c r="HVT41" s="595"/>
      <c r="HVU41" s="595"/>
      <c r="HVV41" s="595"/>
      <c r="HVW41" s="595"/>
      <c r="HVX41" s="595"/>
      <c r="HVY41" s="595"/>
      <c r="HVZ41" s="595"/>
      <c r="HWA41" s="595"/>
      <c r="HWB41" s="595"/>
      <c r="HWC41" s="595"/>
      <c r="HWD41" s="595"/>
      <c r="HWE41" s="595"/>
      <c r="HWF41" s="595"/>
      <c r="HWG41" s="595"/>
      <c r="HWH41" s="595"/>
      <c r="HWI41" s="595"/>
      <c r="HWJ41" s="595"/>
      <c r="HWK41" s="595"/>
      <c r="HWL41" s="595"/>
      <c r="HWM41" s="595"/>
      <c r="HWN41" s="595"/>
      <c r="HWO41" s="595"/>
      <c r="HWP41" s="595"/>
      <c r="HWQ41" s="595"/>
      <c r="HWR41" s="595"/>
      <c r="HWS41" s="595"/>
      <c r="HWT41" s="595"/>
      <c r="HWU41" s="595"/>
      <c r="HWV41" s="595"/>
      <c r="HWW41" s="595"/>
      <c r="HWX41" s="595"/>
      <c r="HWY41" s="595"/>
      <c r="HWZ41" s="595"/>
      <c r="HXA41" s="595"/>
      <c r="HXB41" s="595"/>
      <c r="HXC41" s="595"/>
      <c r="HXD41" s="595"/>
      <c r="HXE41" s="595"/>
      <c r="HXF41" s="595"/>
      <c r="HXG41" s="595"/>
      <c r="HXH41" s="595"/>
      <c r="HXI41" s="595"/>
      <c r="HXJ41" s="595"/>
      <c r="HXK41" s="595"/>
      <c r="HXL41" s="595"/>
      <c r="HXM41" s="595"/>
      <c r="HXN41" s="595"/>
      <c r="HXO41" s="595"/>
      <c r="HXP41" s="595"/>
      <c r="HXQ41" s="595"/>
      <c r="HXR41" s="595"/>
      <c r="HXS41" s="595"/>
      <c r="HXT41" s="595"/>
      <c r="HXU41" s="595"/>
      <c r="HXV41" s="595"/>
      <c r="HXW41" s="595"/>
      <c r="HXX41" s="595"/>
      <c r="HXY41" s="595"/>
      <c r="HXZ41" s="595"/>
      <c r="HYA41" s="595"/>
      <c r="HYB41" s="595"/>
      <c r="HYC41" s="595"/>
      <c r="HYD41" s="595"/>
      <c r="HYE41" s="595"/>
      <c r="HYF41" s="595"/>
      <c r="HYG41" s="595"/>
      <c r="HYH41" s="595"/>
      <c r="HYI41" s="595"/>
      <c r="HYJ41" s="595"/>
      <c r="HYK41" s="595"/>
      <c r="HYL41" s="595"/>
      <c r="HYM41" s="595"/>
      <c r="HYN41" s="595"/>
      <c r="HYO41" s="595"/>
      <c r="HYP41" s="595"/>
      <c r="HYQ41" s="595"/>
      <c r="HYR41" s="595"/>
      <c r="HYS41" s="595"/>
      <c r="HYT41" s="595"/>
      <c r="HYU41" s="595"/>
      <c r="HYV41" s="595"/>
      <c r="HYW41" s="595"/>
      <c r="HYX41" s="595"/>
      <c r="HYY41" s="595"/>
      <c r="HYZ41" s="595"/>
      <c r="HZA41" s="595"/>
      <c r="HZB41" s="595"/>
      <c r="HZC41" s="595"/>
      <c r="HZD41" s="595"/>
      <c r="HZE41" s="595"/>
      <c r="HZF41" s="595"/>
      <c r="HZG41" s="595"/>
      <c r="HZH41" s="595"/>
      <c r="HZI41" s="595"/>
      <c r="HZJ41" s="595"/>
      <c r="HZK41" s="595"/>
      <c r="HZL41" s="595"/>
      <c r="HZM41" s="595"/>
      <c r="HZN41" s="595"/>
      <c r="HZO41" s="595"/>
      <c r="HZP41" s="595"/>
      <c r="HZQ41" s="595"/>
      <c r="HZR41" s="595"/>
      <c r="HZS41" s="595"/>
      <c r="HZT41" s="595"/>
      <c r="HZU41" s="595"/>
      <c r="HZV41" s="595"/>
      <c r="HZW41" s="595"/>
      <c r="HZX41" s="595"/>
      <c r="HZY41" s="595"/>
      <c r="HZZ41" s="595"/>
      <c r="IAA41" s="595"/>
      <c r="IAB41" s="595"/>
      <c r="IAC41" s="595"/>
      <c r="IAD41" s="595"/>
      <c r="IAE41" s="595"/>
      <c r="IAF41" s="595"/>
      <c r="IAG41" s="595"/>
      <c r="IAH41" s="595"/>
      <c r="IAI41" s="595"/>
      <c r="IAJ41" s="595"/>
      <c r="IAK41" s="595"/>
      <c r="IAL41" s="595"/>
      <c r="IAM41" s="595"/>
      <c r="IAN41" s="595"/>
      <c r="IAO41" s="595"/>
      <c r="IAP41" s="595"/>
      <c r="IAQ41" s="595"/>
      <c r="IAR41" s="595"/>
      <c r="IAS41" s="595"/>
      <c r="IAT41" s="595"/>
      <c r="IAU41" s="595"/>
      <c r="IAV41" s="595"/>
      <c r="IAW41" s="595"/>
      <c r="IAX41" s="595"/>
      <c r="IAY41" s="595"/>
      <c r="IAZ41" s="595"/>
      <c r="IBA41" s="595"/>
      <c r="IBB41" s="595"/>
      <c r="IBC41" s="595"/>
      <c r="IBD41" s="595"/>
      <c r="IBE41" s="595"/>
      <c r="IBF41" s="595"/>
      <c r="IBG41" s="595"/>
      <c r="IBH41" s="595"/>
      <c r="IBI41" s="595"/>
      <c r="IBJ41" s="595"/>
      <c r="IBK41" s="595"/>
      <c r="IBL41" s="595"/>
      <c r="IBM41" s="595"/>
      <c r="IBN41" s="595"/>
      <c r="IBO41" s="595"/>
      <c r="IBP41" s="595"/>
      <c r="IBQ41" s="595"/>
      <c r="IBR41" s="595"/>
      <c r="IBS41" s="595"/>
      <c r="IBT41" s="595"/>
      <c r="IBU41" s="595"/>
      <c r="IBV41" s="595"/>
      <c r="IBW41" s="595"/>
      <c r="IBX41" s="595"/>
      <c r="IBY41" s="595"/>
      <c r="IBZ41" s="595"/>
      <c r="ICA41" s="595"/>
      <c r="ICB41" s="595"/>
      <c r="ICC41" s="595"/>
      <c r="ICD41" s="595"/>
      <c r="ICE41" s="595"/>
      <c r="ICF41" s="595"/>
      <c r="ICG41" s="595"/>
      <c r="ICH41" s="595"/>
      <c r="ICI41" s="595"/>
      <c r="ICJ41" s="595"/>
      <c r="ICK41" s="595"/>
      <c r="ICL41" s="595"/>
      <c r="ICM41" s="595"/>
      <c r="ICN41" s="595"/>
      <c r="ICO41" s="595"/>
      <c r="ICP41" s="595"/>
      <c r="ICQ41" s="595"/>
      <c r="ICR41" s="595"/>
      <c r="ICS41" s="595"/>
      <c r="ICT41" s="595"/>
      <c r="ICU41" s="595"/>
      <c r="ICV41" s="595"/>
      <c r="ICW41" s="595"/>
      <c r="ICX41" s="595"/>
      <c r="ICY41" s="595"/>
      <c r="ICZ41" s="595"/>
      <c r="IDA41" s="595"/>
      <c r="IDB41" s="595"/>
      <c r="IDC41" s="595"/>
      <c r="IDD41" s="595"/>
      <c r="IDE41" s="595"/>
      <c r="IDF41" s="595"/>
      <c r="IDG41" s="595"/>
      <c r="IDH41" s="595"/>
      <c r="IDI41" s="595"/>
      <c r="IDJ41" s="595"/>
      <c r="IDK41" s="595"/>
      <c r="IDL41" s="595"/>
      <c r="IDM41" s="595"/>
      <c r="IDN41" s="595"/>
      <c r="IDO41" s="595"/>
      <c r="IDP41" s="595"/>
      <c r="IDQ41" s="595"/>
      <c r="IDR41" s="595"/>
      <c r="IDS41" s="595"/>
      <c r="IDT41" s="595"/>
      <c r="IDU41" s="595"/>
      <c r="IDV41" s="595"/>
      <c r="IDW41" s="595"/>
      <c r="IDX41" s="595"/>
      <c r="IDY41" s="595"/>
      <c r="IDZ41" s="595"/>
      <c r="IEA41" s="595"/>
      <c r="IEB41" s="595"/>
      <c r="IEC41" s="595"/>
      <c r="IED41" s="595"/>
      <c r="IEE41" s="595"/>
      <c r="IEF41" s="595"/>
      <c r="IEG41" s="595"/>
      <c r="IEH41" s="595"/>
      <c r="IEI41" s="595"/>
      <c r="IEJ41" s="595"/>
      <c r="IEK41" s="595"/>
      <c r="IEL41" s="595"/>
      <c r="IEM41" s="595"/>
      <c r="IEN41" s="595"/>
      <c r="IEO41" s="595"/>
      <c r="IEP41" s="595"/>
      <c r="IEQ41" s="595"/>
      <c r="IER41" s="595"/>
      <c r="IES41" s="595"/>
      <c r="IET41" s="595"/>
      <c r="IEU41" s="595"/>
      <c r="IEV41" s="595"/>
      <c r="IEW41" s="595"/>
      <c r="IEX41" s="595"/>
      <c r="IEY41" s="595"/>
      <c r="IEZ41" s="595"/>
      <c r="IFA41" s="595"/>
      <c r="IFB41" s="595"/>
      <c r="IFC41" s="595"/>
      <c r="IFD41" s="595"/>
      <c r="IFE41" s="595"/>
      <c r="IFF41" s="595"/>
      <c r="IFG41" s="595"/>
      <c r="IFH41" s="595"/>
      <c r="IFI41" s="595"/>
      <c r="IFJ41" s="595"/>
      <c r="IFK41" s="595"/>
      <c r="IFL41" s="595"/>
      <c r="IFM41" s="595"/>
      <c r="IFN41" s="595"/>
      <c r="IFO41" s="595"/>
      <c r="IFP41" s="595"/>
      <c r="IFQ41" s="595"/>
      <c r="IFR41" s="595"/>
      <c r="IFS41" s="595"/>
      <c r="IFT41" s="595"/>
      <c r="IFU41" s="595"/>
      <c r="IFV41" s="595"/>
      <c r="IFW41" s="595"/>
      <c r="IFX41" s="595"/>
      <c r="IFY41" s="595"/>
      <c r="IFZ41" s="595"/>
      <c r="IGA41" s="595"/>
      <c r="IGB41" s="595"/>
      <c r="IGC41" s="595"/>
      <c r="IGD41" s="595"/>
      <c r="IGE41" s="595"/>
      <c r="IGF41" s="595"/>
      <c r="IGG41" s="595"/>
      <c r="IGH41" s="595"/>
      <c r="IGI41" s="595"/>
      <c r="IGJ41" s="595"/>
      <c r="IGK41" s="595"/>
      <c r="IGL41" s="595"/>
      <c r="IGM41" s="595"/>
      <c r="IGN41" s="595"/>
      <c r="IGO41" s="595"/>
      <c r="IGP41" s="595"/>
      <c r="IGQ41" s="595"/>
      <c r="IGR41" s="595"/>
      <c r="IGS41" s="595"/>
      <c r="IGT41" s="595"/>
      <c r="IGU41" s="595"/>
      <c r="IGV41" s="595"/>
      <c r="IGW41" s="595"/>
      <c r="IGX41" s="595"/>
      <c r="IGY41" s="595"/>
      <c r="IGZ41" s="595"/>
      <c r="IHA41" s="595"/>
      <c r="IHB41" s="595"/>
      <c r="IHC41" s="595"/>
      <c r="IHD41" s="595"/>
      <c r="IHE41" s="595"/>
      <c r="IHF41" s="595"/>
      <c r="IHG41" s="595"/>
      <c r="IHH41" s="595"/>
      <c r="IHI41" s="595"/>
      <c r="IHJ41" s="595"/>
      <c r="IHK41" s="595"/>
      <c r="IHL41" s="595"/>
      <c r="IHM41" s="595"/>
      <c r="IHN41" s="595"/>
      <c r="IHO41" s="595"/>
      <c r="IHP41" s="595"/>
      <c r="IHQ41" s="595"/>
      <c r="IHR41" s="595"/>
      <c r="IHS41" s="595"/>
      <c r="IHT41" s="595"/>
      <c r="IHU41" s="595"/>
      <c r="IHV41" s="595"/>
      <c r="IHW41" s="595"/>
      <c r="IHX41" s="595"/>
      <c r="IHY41" s="595"/>
      <c r="IHZ41" s="595"/>
      <c r="IIA41" s="595"/>
      <c r="IIB41" s="595"/>
      <c r="IIC41" s="595"/>
      <c r="IID41" s="595"/>
      <c r="IIE41" s="595"/>
      <c r="IIF41" s="595"/>
      <c r="IIG41" s="595"/>
      <c r="IIH41" s="595"/>
      <c r="III41" s="595"/>
      <c r="IIJ41" s="595"/>
      <c r="IIK41" s="595"/>
      <c r="IIL41" s="595"/>
      <c r="IIM41" s="595"/>
      <c r="IIN41" s="595"/>
      <c r="IIO41" s="595"/>
      <c r="IIP41" s="595"/>
      <c r="IIQ41" s="595"/>
      <c r="IIR41" s="595"/>
      <c r="IIS41" s="595"/>
      <c r="IIT41" s="595"/>
      <c r="IIU41" s="595"/>
      <c r="IIV41" s="595"/>
      <c r="IIW41" s="595"/>
      <c r="IIX41" s="595"/>
      <c r="IIY41" s="595"/>
      <c r="IIZ41" s="595"/>
      <c r="IJA41" s="595"/>
      <c r="IJB41" s="595"/>
      <c r="IJC41" s="595"/>
      <c r="IJD41" s="595"/>
      <c r="IJE41" s="595"/>
      <c r="IJF41" s="595"/>
      <c r="IJG41" s="595"/>
      <c r="IJH41" s="595"/>
      <c r="IJI41" s="595"/>
      <c r="IJJ41" s="595"/>
      <c r="IJK41" s="595"/>
      <c r="IJL41" s="595"/>
      <c r="IJM41" s="595"/>
      <c r="IJN41" s="595"/>
      <c r="IJO41" s="595"/>
      <c r="IJP41" s="595"/>
      <c r="IJQ41" s="595"/>
      <c r="IJR41" s="595"/>
      <c r="IJS41" s="595"/>
      <c r="IJT41" s="595"/>
      <c r="IJU41" s="595"/>
      <c r="IJV41" s="595"/>
      <c r="IJW41" s="595"/>
      <c r="IJX41" s="595"/>
      <c r="IJY41" s="595"/>
      <c r="IJZ41" s="595"/>
      <c r="IKA41" s="595"/>
      <c r="IKB41" s="595"/>
      <c r="IKC41" s="595"/>
      <c r="IKD41" s="595"/>
      <c r="IKE41" s="595"/>
      <c r="IKF41" s="595"/>
      <c r="IKG41" s="595"/>
      <c r="IKH41" s="595"/>
      <c r="IKI41" s="595"/>
      <c r="IKJ41" s="595"/>
      <c r="IKK41" s="595"/>
      <c r="IKL41" s="595"/>
      <c r="IKM41" s="595"/>
      <c r="IKN41" s="595"/>
      <c r="IKO41" s="595"/>
      <c r="IKP41" s="595"/>
      <c r="IKQ41" s="595"/>
      <c r="IKR41" s="595"/>
      <c r="IKS41" s="595"/>
      <c r="IKT41" s="595"/>
      <c r="IKU41" s="595"/>
      <c r="IKV41" s="595"/>
      <c r="IKW41" s="595"/>
      <c r="IKX41" s="595"/>
      <c r="IKY41" s="595"/>
      <c r="IKZ41" s="595"/>
      <c r="ILA41" s="595"/>
      <c r="ILB41" s="595"/>
      <c r="ILC41" s="595"/>
      <c r="ILD41" s="595"/>
      <c r="ILE41" s="595"/>
      <c r="ILF41" s="595"/>
      <c r="ILG41" s="595"/>
      <c r="ILH41" s="595"/>
      <c r="ILI41" s="595"/>
      <c r="ILJ41" s="595"/>
      <c r="ILK41" s="595"/>
      <c r="ILL41" s="595"/>
      <c r="ILM41" s="595"/>
      <c r="ILN41" s="595"/>
      <c r="ILO41" s="595"/>
      <c r="ILP41" s="595"/>
      <c r="ILQ41" s="595"/>
      <c r="ILR41" s="595"/>
      <c r="ILS41" s="595"/>
      <c r="ILT41" s="595"/>
      <c r="ILU41" s="595"/>
      <c r="ILV41" s="595"/>
      <c r="ILW41" s="595"/>
      <c r="ILX41" s="595"/>
      <c r="ILY41" s="595"/>
      <c r="ILZ41" s="595"/>
      <c r="IMA41" s="595"/>
      <c r="IMB41" s="595"/>
      <c r="IMC41" s="595"/>
      <c r="IMD41" s="595"/>
      <c r="IME41" s="595"/>
      <c r="IMF41" s="595"/>
      <c r="IMG41" s="595"/>
      <c r="IMH41" s="595"/>
      <c r="IMI41" s="595"/>
      <c r="IMJ41" s="595"/>
      <c r="IMK41" s="595"/>
      <c r="IML41" s="595"/>
      <c r="IMM41" s="595"/>
      <c r="IMN41" s="595"/>
      <c r="IMO41" s="595"/>
      <c r="IMP41" s="595"/>
      <c r="IMQ41" s="595"/>
      <c r="IMR41" s="595"/>
      <c r="IMS41" s="595"/>
      <c r="IMT41" s="595"/>
      <c r="IMU41" s="595"/>
      <c r="IMV41" s="595"/>
      <c r="IMW41" s="595"/>
      <c r="IMX41" s="595"/>
      <c r="IMY41" s="595"/>
      <c r="IMZ41" s="595"/>
      <c r="INA41" s="595"/>
      <c r="INB41" s="595"/>
      <c r="INC41" s="595"/>
      <c r="IND41" s="595"/>
      <c r="INE41" s="595"/>
      <c r="INF41" s="595"/>
      <c r="ING41" s="595"/>
      <c r="INH41" s="595"/>
      <c r="INI41" s="595"/>
      <c r="INJ41" s="595"/>
      <c r="INK41" s="595"/>
      <c r="INL41" s="595"/>
      <c r="INM41" s="595"/>
      <c r="INN41" s="595"/>
      <c r="INO41" s="595"/>
      <c r="INP41" s="595"/>
      <c r="INQ41" s="595"/>
      <c r="INR41" s="595"/>
      <c r="INS41" s="595"/>
      <c r="INT41" s="595"/>
      <c r="INU41" s="595"/>
      <c r="INV41" s="595"/>
      <c r="INW41" s="595"/>
      <c r="INX41" s="595"/>
      <c r="INY41" s="595"/>
      <c r="INZ41" s="595"/>
      <c r="IOA41" s="595"/>
      <c r="IOB41" s="595"/>
      <c r="IOC41" s="595"/>
      <c r="IOD41" s="595"/>
      <c r="IOE41" s="595"/>
      <c r="IOF41" s="595"/>
      <c r="IOG41" s="595"/>
      <c r="IOH41" s="595"/>
      <c r="IOI41" s="595"/>
      <c r="IOJ41" s="595"/>
      <c r="IOK41" s="595"/>
      <c r="IOL41" s="595"/>
      <c r="IOM41" s="595"/>
      <c r="ION41" s="595"/>
      <c r="IOO41" s="595"/>
      <c r="IOP41" s="595"/>
      <c r="IOQ41" s="595"/>
      <c r="IOR41" s="595"/>
      <c r="IOS41" s="595"/>
      <c r="IOT41" s="595"/>
      <c r="IOU41" s="595"/>
      <c r="IOV41" s="595"/>
      <c r="IOW41" s="595"/>
      <c r="IOX41" s="595"/>
      <c r="IOY41" s="595"/>
      <c r="IOZ41" s="595"/>
      <c r="IPA41" s="595"/>
      <c r="IPB41" s="595"/>
      <c r="IPC41" s="595"/>
      <c r="IPD41" s="595"/>
      <c r="IPE41" s="595"/>
      <c r="IPF41" s="595"/>
      <c r="IPG41" s="595"/>
      <c r="IPH41" s="595"/>
      <c r="IPI41" s="595"/>
      <c r="IPJ41" s="595"/>
      <c r="IPK41" s="595"/>
      <c r="IPL41" s="595"/>
      <c r="IPM41" s="595"/>
      <c r="IPN41" s="595"/>
      <c r="IPO41" s="595"/>
      <c r="IPP41" s="595"/>
      <c r="IPQ41" s="595"/>
      <c r="IPR41" s="595"/>
      <c r="IPS41" s="595"/>
      <c r="IPT41" s="595"/>
      <c r="IPU41" s="595"/>
      <c r="IPV41" s="595"/>
      <c r="IPW41" s="595"/>
      <c r="IPX41" s="595"/>
      <c r="IPY41" s="595"/>
      <c r="IPZ41" s="595"/>
      <c r="IQA41" s="595"/>
      <c r="IQB41" s="595"/>
      <c r="IQC41" s="595"/>
      <c r="IQD41" s="595"/>
      <c r="IQE41" s="595"/>
      <c r="IQF41" s="595"/>
      <c r="IQG41" s="595"/>
      <c r="IQH41" s="595"/>
      <c r="IQI41" s="595"/>
      <c r="IQJ41" s="595"/>
      <c r="IQK41" s="595"/>
      <c r="IQL41" s="595"/>
      <c r="IQM41" s="595"/>
      <c r="IQN41" s="595"/>
      <c r="IQO41" s="595"/>
      <c r="IQP41" s="595"/>
      <c r="IQQ41" s="595"/>
      <c r="IQR41" s="595"/>
      <c r="IQS41" s="595"/>
      <c r="IQT41" s="595"/>
      <c r="IQU41" s="595"/>
      <c r="IQV41" s="595"/>
      <c r="IQW41" s="595"/>
      <c r="IQX41" s="595"/>
      <c r="IQY41" s="595"/>
      <c r="IQZ41" s="595"/>
      <c r="IRA41" s="595"/>
      <c r="IRB41" s="595"/>
      <c r="IRC41" s="595"/>
      <c r="IRD41" s="595"/>
      <c r="IRE41" s="595"/>
      <c r="IRF41" s="595"/>
      <c r="IRG41" s="595"/>
      <c r="IRH41" s="595"/>
      <c r="IRI41" s="595"/>
      <c r="IRJ41" s="595"/>
      <c r="IRK41" s="595"/>
      <c r="IRL41" s="595"/>
      <c r="IRM41" s="595"/>
      <c r="IRN41" s="595"/>
      <c r="IRO41" s="595"/>
      <c r="IRP41" s="595"/>
      <c r="IRQ41" s="595"/>
      <c r="IRR41" s="595"/>
      <c r="IRS41" s="595"/>
      <c r="IRT41" s="595"/>
      <c r="IRU41" s="595"/>
      <c r="IRV41" s="595"/>
      <c r="IRW41" s="595"/>
      <c r="IRX41" s="595"/>
      <c r="IRY41" s="595"/>
      <c r="IRZ41" s="595"/>
      <c r="ISA41" s="595"/>
      <c r="ISB41" s="595"/>
      <c r="ISC41" s="595"/>
      <c r="ISD41" s="595"/>
      <c r="ISE41" s="595"/>
      <c r="ISF41" s="595"/>
      <c r="ISG41" s="595"/>
      <c r="ISH41" s="595"/>
      <c r="ISI41" s="595"/>
      <c r="ISJ41" s="595"/>
      <c r="ISK41" s="595"/>
      <c r="ISL41" s="595"/>
      <c r="ISM41" s="595"/>
      <c r="ISN41" s="595"/>
      <c r="ISO41" s="595"/>
      <c r="ISP41" s="595"/>
      <c r="ISQ41" s="595"/>
      <c r="ISR41" s="595"/>
      <c r="ISS41" s="595"/>
      <c r="IST41" s="595"/>
      <c r="ISU41" s="595"/>
      <c r="ISV41" s="595"/>
      <c r="ISW41" s="595"/>
      <c r="ISX41" s="595"/>
      <c r="ISY41" s="595"/>
      <c r="ISZ41" s="595"/>
      <c r="ITA41" s="595"/>
      <c r="ITB41" s="595"/>
      <c r="ITC41" s="595"/>
      <c r="ITD41" s="595"/>
      <c r="ITE41" s="595"/>
      <c r="ITF41" s="595"/>
      <c r="ITG41" s="595"/>
      <c r="ITH41" s="595"/>
      <c r="ITI41" s="595"/>
      <c r="ITJ41" s="595"/>
      <c r="ITK41" s="595"/>
      <c r="ITL41" s="595"/>
      <c r="ITM41" s="595"/>
      <c r="ITN41" s="595"/>
      <c r="ITO41" s="595"/>
      <c r="ITP41" s="595"/>
      <c r="ITQ41" s="595"/>
      <c r="ITR41" s="595"/>
      <c r="ITS41" s="595"/>
      <c r="ITT41" s="595"/>
      <c r="ITU41" s="595"/>
      <c r="ITV41" s="595"/>
      <c r="ITW41" s="595"/>
      <c r="ITX41" s="595"/>
      <c r="ITY41" s="595"/>
      <c r="ITZ41" s="595"/>
      <c r="IUA41" s="595"/>
      <c r="IUB41" s="595"/>
      <c r="IUC41" s="595"/>
      <c r="IUD41" s="595"/>
      <c r="IUE41" s="595"/>
      <c r="IUF41" s="595"/>
      <c r="IUG41" s="595"/>
      <c r="IUH41" s="595"/>
      <c r="IUI41" s="595"/>
      <c r="IUJ41" s="595"/>
      <c r="IUK41" s="595"/>
      <c r="IUL41" s="595"/>
      <c r="IUM41" s="595"/>
      <c r="IUN41" s="595"/>
      <c r="IUO41" s="595"/>
      <c r="IUP41" s="595"/>
      <c r="IUQ41" s="595"/>
      <c r="IUR41" s="595"/>
      <c r="IUS41" s="595"/>
      <c r="IUT41" s="595"/>
      <c r="IUU41" s="595"/>
      <c r="IUV41" s="595"/>
      <c r="IUW41" s="595"/>
      <c r="IUX41" s="595"/>
      <c r="IUY41" s="595"/>
      <c r="IUZ41" s="595"/>
      <c r="IVA41" s="595"/>
      <c r="IVB41" s="595"/>
      <c r="IVC41" s="595"/>
      <c r="IVD41" s="595"/>
      <c r="IVE41" s="595"/>
      <c r="IVF41" s="595"/>
      <c r="IVG41" s="595"/>
      <c r="IVH41" s="595"/>
      <c r="IVI41" s="595"/>
      <c r="IVJ41" s="595"/>
      <c r="IVK41" s="595"/>
      <c r="IVL41" s="595"/>
      <c r="IVM41" s="595"/>
      <c r="IVN41" s="595"/>
      <c r="IVO41" s="595"/>
      <c r="IVP41" s="595"/>
      <c r="IVQ41" s="595"/>
      <c r="IVR41" s="595"/>
      <c r="IVS41" s="595"/>
      <c r="IVT41" s="595"/>
      <c r="IVU41" s="595"/>
      <c r="IVV41" s="595"/>
      <c r="IVW41" s="595"/>
      <c r="IVX41" s="595"/>
      <c r="IVY41" s="595"/>
      <c r="IVZ41" s="595"/>
      <c r="IWA41" s="595"/>
      <c r="IWB41" s="595"/>
      <c r="IWC41" s="595"/>
      <c r="IWD41" s="595"/>
      <c r="IWE41" s="595"/>
      <c r="IWF41" s="595"/>
      <c r="IWG41" s="595"/>
      <c r="IWH41" s="595"/>
      <c r="IWI41" s="595"/>
      <c r="IWJ41" s="595"/>
      <c r="IWK41" s="595"/>
      <c r="IWL41" s="595"/>
      <c r="IWM41" s="595"/>
      <c r="IWN41" s="595"/>
      <c r="IWO41" s="595"/>
      <c r="IWP41" s="595"/>
      <c r="IWQ41" s="595"/>
      <c r="IWR41" s="595"/>
      <c r="IWS41" s="595"/>
      <c r="IWT41" s="595"/>
      <c r="IWU41" s="595"/>
      <c r="IWV41" s="595"/>
      <c r="IWW41" s="595"/>
      <c r="IWX41" s="595"/>
      <c r="IWY41" s="595"/>
      <c r="IWZ41" s="595"/>
      <c r="IXA41" s="595"/>
      <c r="IXB41" s="595"/>
      <c r="IXC41" s="595"/>
      <c r="IXD41" s="595"/>
      <c r="IXE41" s="595"/>
      <c r="IXF41" s="595"/>
      <c r="IXG41" s="595"/>
      <c r="IXH41" s="595"/>
      <c r="IXI41" s="595"/>
      <c r="IXJ41" s="595"/>
      <c r="IXK41" s="595"/>
      <c r="IXL41" s="595"/>
      <c r="IXM41" s="595"/>
      <c r="IXN41" s="595"/>
      <c r="IXO41" s="595"/>
      <c r="IXP41" s="595"/>
      <c r="IXQ41" s="595"/>
      <c r="IXR41" s="595"/>
      <c r="IXS41" s="595"/>
      <c r="IXT41" s="595"/>
      <c r="IXU41" s="595"/>
      <c r="IXV41" s="595"/>
      <c r="IXW41" s="595"/>
      <c r="IXX41" s="595"/>
      <c r="IXY41" s="595"/>
      <c r="IXZ41" s="595"/>
      <c r="IYA41" s="595"/>
      <c r="IYB41" s="595"/>
      <c r="IYC41" s="595"/>
      <c r="IYD41" s="595"/>
      <c r="IYE41" s="595"/>
      <c r="IYF41" s="595"/>
      <c r="IYG41" s="595"/>
      <c r="IYH41" s="595"/>
      <c r="IYI41" s="595"/>
      <c r="IYJ41" s="595"/>
      <c r="IYK41" s="595"/>
      <c r="IYL41" s="595"/>
      <c r="IYM41" s="595"/>
      <c r="IYN41" s="595"/>
      <c r="IYO41" s="595"/>
      <c r="IYP41" s="595"/>
      <c r="IYQ41" s="595"/>
      <c r="IYR41" s="595"/>
      <c r="IYS41" s="595"/>
      <c r="IYT41" s="595"/>
      <c r="IYU41" s="595"/>
      <c r="IYV41" s="595"/>
      <c r="IYW41" s="595"/>
      <c r="IYX41" s="595"/>
      <c r="IYY41" s="595"/>
      <c r="IYZ41" s="595"/>
      <c r="IZA41" s="595"/>
      <c r="IZB41" s="595"/>
      <c r="IZC41" s="595"/>
      <c r="IZD41" s="595"/>
      <c r="IZE41" s="595"/>
      <c r="IZF41" s="595"/>
      <c r="IZG41" s="595"/>
      <c r="IZH41" s="595"/>
      <c r="IZI41" s="595"/>
      <c r="IZJ41" s="595"/>
      <c r="IZK41" s="595"/>
      <c r="IZL41" s="595"/>
      <c r="IZM41" s="595"/>
      <c r="IZN41" s="595"/>
      <c r="IZO41" s="595"/>
      <c r="IZP41" s="595"/>
      <c r="IZQ41" s="595"/>
      <c r="IZR41" s="595"/>
      <c r="IZS41" s="595"/>
      <c r="IZT41" s="595"/>
      <c r="IZU41" s="595"/>
      <c r="IZV41" s="595"/>
      <c r="IZW41" s="595"/>
      <c r="IZX41" s="595"/>
      <c r="IZY41" s="595"/>
      <c r="IZZ41" s="595"/>
      <c r="JAA41" s="595"/>
      <c r="JAB41" s="595"/>
      <c r="JAC41" s="595"/>
      <c r="JAD41" s="595"/>
      <c r="JAE41" s="595"/>
      <c r="JAF41" s="595"/>
      <c r="JAG41" s="595"/>
      <c r="JAH41" s="595"/>
      <c r="JAI41" s="595"/>
      <c r="JAJ41" s="595"/>
      <c r="JAK41" s="595"/>
      <c r="JAL41" s="595"/>
      <c r="JAM41" s="595"/>
      <c r="JAN41" s="595"/>
      <c r="JAO41" s="595"/>
      <c r="JAP41" s="595"/>
      <c r="JAQ41" s="595"/>
      <c r="JAR41" s="595"/>
      <c r="JAS41" s="595"/>
      <c r="JAT41" s="595"/>
      <c r="JAU41" s="595"/>
      <c r="JAV41" s="595"/>
      <c r="JAW41" s="595"/>
      <c r="JAX41" s="595"/>
      <c r="JAY41" s="595"/>
      <c r="JAZ41" s="595"/>
      <c r="JBA41" s="595"/>
      <c r="JBB41" s="595"/>
      <c r="JBC41" s="595"/>
      <c r="JBD41" s="595"/>
      <c r="JBE41" s="595"/>
      <c r="JBF41" s="595"/>
      <c r="JBG41" s="595"/>
      <c r="JBH41" s="595"/>
      <c r="JBI41" s="595"/>
      <c r="JBJ41" s="595"/>
      <c r="JBK41" s="595"/>
      <c r="JBL41" s="595"/>
      <c r="JBM41" s="595"/>
      <c r="JBN41" s="595"/>
      <c r="JBO41" s="595"/>
      <c r="JBP41" s="595"/>
      <c r="JBQ41" s="595"/>
      <c r="JBR41" s="595"/>
      <c r="JBS41" s="595"/>
      <c r="JBT41" s="595"/>
      <c r="JBU41" s="595"/>
      <c r="JBV41" s="595"/>
      <c r="JBW41" s="595"/>
      <c r="JBX41" s="595"/>
      <c r="JBY41" s="595"/>
      <c r="JBZ41" s="595"/>
      <c r="JCA41" s="595"/>
      <c r="JCB41" s="595"/>
      <c r="JCC41" s="595"/>
      <c r="JCD41" s="595"/>
      <c r="JCE41" s="595"/>
      <c r="JCF41" s="595"/>
      <c r="JCG41" s="595"/>
      <c r="JCH41" s="595"/>
      <c r="JCI41" s="595"/>
      <c r="JCJ41" s="595"/>
      <c r="JCK41" s="595"/>
      <c r="JCL41" s="595"/>
      <c r="JCM41" s="595"/>
      <c r="JCN41" s="595"/>
      <c r="JCO41" s="595"/>
      <c r="JCP41" s="595"/>
      <c r="JCQ41" s="595"/>
      <c r="JCR41" s="595"/>
      <c r="JCS41" s="595"/>
      <c r="JCT41" s="595"/>
      <c r="JCU41" s="595"/>
      <c r="JCV41" s="595"/>
      <c r="JCW41" s="595"/>
      <c r="JCX41" s="595"/>
      <c r="JCY41" s="595"/>
      <c r="JCZ41" s="595"/>
      <c r="JDA41" s="595"/>
      <c r="JDB41" s="595"/>
      <c r="JDC41" s="595"/>
      <c r="JDD41" s="595"/>
      <c r="JDE41" s="595"/>
      <c r="JDF41" s="595"/>
      <c r="JDG41" s="595"/>
      <c r="JDH41" s="595"/>
      <c r="JDI41" s="595"/>
      <c r="JDJ41" s="595"/>
      <c r="JDK41" s="595"/>
      <c r="JDL41" s="595"/>
      <c r="JDM41" s="595"/>
      <c r="JDN41" s="595"/>
      <c r="JDO41" s="595"/>
      <c r="JDP41" s="595"/>
      <c r="JDQ41" s="595"/>
      <c r="JDR41" s="595"/>
      <c r="JDS41" s="595"/>
      <c r="JDT41" s="595"/>
      <c r="JDU41" s="595"/>
      <c r="JDV41" s="595"/>
      <c r="JDW41" s="595"/>
      <c r="JDX41" s="595"/>
      <c r="JDY41" s="595"/>
      <c r="JDZ41" s="595"/>
      <c r="JEA41" s="595"/>
      <c r="JEB41" s="595"/>
      <c r="JEC41" s="595"/>
      <c r="JED41" s="595"/>
      <c r="JEE41" s="595"/>
      <c r="JEF41" s="595"/>
      <c r="JEG41" s="595"/>
      <c r="JEH41" s="595"/>
      <c r="JEI41" s="595"/>
      <c r="JEJ41" s="595"/>
      <c r="JEK41" s="595"/>
      <c r="JEL41" s="595"/>
      <c r="JEM41" s="595"/>
      <c r="JEN41" s="595"/>
      <c r="JEO41" s="595"/>
      <c r="JEP41" s="595"/>
      <c r="JEQ41" s="595"/>
      <c r="JER41" s="595"/>
      <c r="JES41" s="595"/>
      <c r="JET41" s="595"/>
      <c r="JEU41" s="595"/>
      <c r="JEV41" s="595"/>
      <c r="JEW41" s="595"/>
      <c r="JEX41" s="595"/>
      <c r="JEY41" s="595"/>
      <c r="JEZ41" s="595"/>
      <c r="JFA41" s="595"/>
      <c r="JFB41" s="595"/>
      <c r="JFC41" s="595"/>
      <c r="JFD41" s="595"/>
      <c r="JFE41" s="595"/>
      <c r="JFF41" s="595"/>
      <c r="JFG41" s="595"/>
      <c r="JFH41" s="595"/>
      <c r="JFI41" s="595"/>
      <c r="JFJ41" s="595"/>
      <c r="JFK41" s="595"/>
      <c r="JFL41" s="595"/>
      <c r="JFM41" s="595"/>
      <c r="JFN41" s="595"/>
      <c r="JFO41" s="595"/>
      <c r="JFP41" s="595"/>
      <c r="JFQ41" s="595"/>
      <c r="JFR41" s="595"/>
      <c r="JFS41" s="595"/>
      <c r="JFT41" s="595"/>
      <c r="JFU41" s="595"/>
      <c r="JFV41" s="595"/>
      <c r="JFW41" s="595"/>
      <c r="JFX41" s="595"/>
      <c r="JFY41" s="595"/>
      <c r="JFZ41" s="595"/>
      <c r="JGA41" s="595"/>
      <c r="JGB41" s="595"/>
      <c r="JGC41" s="595"/>
      <c r="JGD41" s="595"/>
      <c r="JGE41" s="595"/>
      <c r="JGF41" s="595"/>
      <c r="JGG41" s="595"/>
      <c r="JGH41" s="595"/>
      <c r="JGI41" s="595"/>
      <c r="JGJ41" s="595"/>
      <c r="JGK41" s="595"/>
      <c r="JGL41" s="595"/>
      <c r="JGM41" s="595"/>
      <c r="JGN41" s="595"/>
      <c r="JGO41" s="595"/>
      <c r="JGP41" s="595"/>
      <c r="JGQ41" s="595"/>
      <c r="JGR41" s="595"/>
      <c r="JGS41" s="595"/>
      <c r="JGT41" s="595"/>
      <c r="JGU41" s="595"/>
      <c r="JGV41" s="595"/>
      <c r="JGW41" s="595"/>
      <c r="JGX41" s="595"/>
      <c r="JGY41" s="595"/>
      <c r="JGZ41" s="595"/>
      <c r="JHA41" s="595"/>
      <c r="JHB41" s="595"/>
      <c r="JHC41" s="595"/>
      <c r="JHD41" s="595"/>
      <c r="JHE41" s="595"/>
      <c r="JHF41" s="595"/>
      <c r="JHG41" s="595"/>
      <c r="JHH41" s="595"/>
      <c r="JHI41" s="595"/>
      <c r="JHJ41" s="595"/>
      <c r="JHK41" s="595"/>
      <c r="JHL41" s="595"/>
      <c r="JHM41" s="595"/>
      <c r="JHN41" s="595"/>
      <c r="JHO41" s="595"/>
      <c r="JHP41" s="595"/>
      <c r="JHQ41" s="595"/>
      <c r="JHR41" s="595"/>
      <c r="JHS41" s="595"/>
      <c r="JHT41" s="595"/>
      <c r="JHU41" s="595"/>
      <c r="JHV41" s="595"/>
      <c r="JHW41" s="595"/>
      <c r="JHX41" s="595"/>
      <c r="JHY41" s="595"/>
      <c r="JHZ41" s="595"/>
      <c r="JIA41" s="595"/>
      <c r="JIB41" s="595"/>
      <c r="JIC41" s="595"/>
      <c r="JID41" s="595"/>
      <c r="JIE41" s="595"/>
      <c r="JIF41" s="595"/>
      <c r="JIG41" s="595"/>
      <c r="JIH41" s="595"/>
      <c r="JII41" s="595"/>
      <c r="JIJ41" s="595"/>
      <c r="JIK41" s="595"/>
      <c r="JIL41" s="595"/>
      <c r="JIM41" s="595"/>
      <c r="JIN41" s="595"/>
      <c r="JIO41" s="595"/>
      <c r="JIP41" s="595"/>
      <c r="JIQ41" s="595"/>
      <c r="JIR41" s="595"/>
      <c r="JIS41" s="595"/>
      <c r="JIT41" s="595"/>
      <c r="JIU41" s="595"/>
      <c r="JIV41" s="595"/>
      <c r="JIW41" s="595"/>
      <c r="JIX41" s="595"/>
      <c r="JIY41" s="595"/>
      <c r="JIZ41" s="595"/>
      <c r="JJA41" s="595"/>
      <c r="JJB41" s="595"/>
      <c r="JJC41" s="595"/>
      <c r="JJD41" s="595"/>
      <c r="JJE41" s="595"/>
      <c r="JJF41" s="595"/>
      <c r="JJG41" s="595"/>
      <c r="JJH41" s="595"/>
      <c r="JJI41" s="595"/>
      <c r="JJJ41" s="595"/>
      <c r="JJK41" s="595"/>
      <c r="JJL41" s="595"/>
      <c r="JJM41" s="595"/>
      <c r="JJN41" s="595"/>
      <c r="JJO41" s="595"/>
      <c r="JJP41" s="595"/>
      <c r="JJQ41" s="595"/>
      <c r="JJR41" s="595"/>
      <c r="JJS41" s="595"/>
      <c r="JJT41" s="595"/>
      <c r="JJU41" s="595"/>
      <c r="JJV41" s="595"/>
      <c r="JJW41" s="595"/>
      <c r="JJX41" s="595"/>
      <c r="JJY41" s="595"/>
      <c r="JJZ41" s="595"/>
      <c r="JKA41" s="595"/>
      <c r="JKB41" s="595"/>
      <c r="JKC41" s="595"/>
      <c r="JKD41" s="595"/>
      <c r="JKE41" s="595"/>
      <c r="JKF41" s="595"/>
      <c r="JKG41" s="595"/>
      <c r="JKH41" s="595"/>
      <c r="JKI41" s="595"/>
      <c r="JKJ41" s="595"/>
      <c r="JKK41" s="595"/>
      <c r="JKL41" s="595"/>
      <c r="JKM41" s="595"/>
      <c r="JKN41" s="595"/>
      <c r="JKO41" s="595"/>
      <c r="JKP41" s="595"/>
      <c r="JKQ41" s="595"/>
      <c r="JKR41" s="595"/>
      <c r="JKS41" s="595"/>
      <c r="JKT41" s="595"/>
      <c r="JKU41" s="595"/>
      <c r="JKV41" s="595"/>
      <c r="JKW41" s="595"/>
      <c r="JKX41" s="595"/>
      <c r="JKY41" s="595"/>
      <c r="JKZ41" s="595"/>
      <c r="JLA41" s="595"/>
      <c r="JLB41" s="595"/>
      <c r="JLC41" s="595"/>
      <c r="JLD41" s="595"/>
      <c r="JLE41" s="595"/>
      <c r="JLF41" s="595"/>
      <c r="JLG41" s="595"/>
      <c r="JLH41" s="595"/>
      <c r="JLI41" s="595"/>
      <c r="JLJ41" s="595"/>
      <c r="JLK41" s="595"/>
      <c r="JLL41" s="595"/>
      <c r="JLM41" s="595"/>
      <c r="JLN41" s="595"/>
      <c r="JLO41" s="595"/>
      <c r="JLP41" s="595"/>
      <c r="JLQ41" s="595"/>
      <c r="JLR41" s="595"/>
      <c r="JLS41" s="595"/>
      <c r="JLT41" s="595"/>
      <c r="JLU41" s="595"/>
      <c r="JLV41" s="595"/>
      <c r="JLW41" s="595"/>
      <c r="JLX41" s="595"/>
      <c r="JLY41" s="595"/>
      <c r="JLZ41" s="595"/>
      <c r="JMA41" s="595"/>
      <c r="JMB41" s="595"/>
      <c r="JMC41" s="595"/>
      <c r="JMD41" s="595"/>
      <c r="JME41" s="595"/>
      <c r="JMF41" s="595"/>
      <c r="JMG41" s="595"/>
      <c r="JMH41" s="595"/>
      <c r="JMI41" s="595"/>
      <c r="JMJ41" s="595"/>
      <c r="JMK41" s="595"/>
      <c r="JML41" s="595"/>
      <c r="JMM41" s="595"/>
      <c r="JMN41" s="595"/>
      <c r="JMO41" s="595"/>
      <c r="JMP41" s="595"/>
      <c r="JMQ41" s="595"/>
      <c r="JMR41" s="595"/>
      <c r="JMS41" s="595"/>
      <c r="JMT41" s="595"/>
      <c r="JMU41" s="595"/>
      <c r="JMV41" s="595"/>
      <c r="JMW41" s="595"/>
      <c r="JMX41" s="595"/>
      <c r="JMY41" s="595"/>
      <c r="JMZ41" s="595"/>
      <c r="JNA41" s="595"/>
      <c r="JNB41" s="595"/>
      <c r="JNC41" s="595"/>
      <c r="JND41" s="595"/>
      <c r="JNE41" s="595"/>
      <c r="JNF41" s="595"/>
      <c r="JNG41" s="595"/>
      <c r="JNH41" s="595"/>
      <c r="JNI41" s="595"/>
      <c r="JNJ41" s="595"/>
      <c r="JNK41" s="595"/>
      <c r="JNL41" s="595"/>
      <c r="JNM41" s="595"/>
      <c r="JNN41" s="595"/>
      <c r="JNO41" s="595"/>
      <c r="JNP41" s="595"/>
      <c r="JNQ41" s="595"/>
      <c r="JNR41" s="595"/>
      <c r="JNS41" s="595"/>
      <c r="JNT41" s="595"/>
      <c r="JNU41" s="595"/>
      <c r="JNV41" s="595"/>
      <c r="JNW41" s="595"/>
      <c r="JNX41" s="595"/>
      <c r="JNY41" s="595"/>
      <c r="JNZ41" s="595"/>
      <c r="JOA41" s="595"/>
      <c r="JOB41" s="595"/>
      <c r="JOC41" s="595"/>
      <c r="JOD41" s="595"/>
      <c r="JOE41" s="595"/>
      <c r="JOF41" s="595"/>
      <c r="JOG41" s="595"/>
      <c r="JOH41" s="595"/>
      <c r="JOI41" s="595"/>
      <c r="JOJ41" s="595"/>
      <c r="JOK41" s="595"/>
      <c r="JOL41" s="595"/>
      <c r="JOM41" s="595"/>
      <c r="JON41" s="595"/>
      <c r="JOO41" s="595"/>
      <c r="JOP41" s="595"/>
      <c r="JOQ41" s="595"/>
      <c r="JOR41" s="595"/>
      <c r="JOS41" s="595"/>
      <c r="JOT41" s="595"/>
      <c r="JOU41" s="595"/>
      <c r="JOV41" s="595"/>
      <c r="JOW41" s="595"/>
      <c r="JOX41" s="595"/>
      <c r="JOY41" s="595"/>
      <c r="JOZ41" s="595"/>
      <c r="JPA41" s="595"/>
      <c r="JPB41" s="595"/>
      <c r="JPC41" s="595"/>
      <c r="JPD41" s="595"/>
      <c r="JPE41" s="595"/>
      <c r="JPF41" s="595"/>
      <c r="JPG41" s="595"/>
      <c r="JPH41" s="595"/>
      <c r="JPI41" s="595"/>
      <c r="JPJ41" s="595"/>
      <c r="JPK41" s="595"/>
      <c r="JPL41" s="595"/>
      <c r="JPM41" s="595"/>
      <c r="JPN41" s="595"/>
      <c r="JPO41" s="595"/>
      <c r="JPP41" s="595"/>
      <c r="JPQ41" s="595"/>
      <c r="JPR41" s="595"/>
      <c r="JPS41" s="595"/>
      <c r="JPT41" s="595"/>
      <c r="JPU41" s="595"/>
      <c r="JPV41" s="595"/>
      <c r="JPW41" s="595"/>
      <c r="JPX41" s="595"/>
      <c r="JPY41" s="595"/>
      <c r="JPZ41" s="595"/>
      <c r="JQA41" s="595"/>
      <c r="JQB41" s="595"/>
      <c r="JQC41" s="595"/>
      <c r="JQD41" s="595"/>
      <c r="JQE41" s="595"/>
      <c r="JQF41" s="595"/>
      <c r="JQG41" s="595"/>
      <c r="JQH41" s="595"/>
      <c r="JQI41" s="595"/>
      <c r="JQJ41" s="595"/>
      <c r="JQK41" s="595"/>
      <c r="JQL41" s="595"/>
      <c r="JQM41" s="595"/>
      <c r="JQN41" s="595"/>
      <c r="JQO41" s="595"/>
      <c r="JQP41" s="595"/>
      <c r="JQQ41" s="595"/>
      <c r="JQR41" s="595"/>
      <c r="JQS41" s="595"/>
      <c r="JQT41" s="595"/>
      <c r="JQU41" s="595"/>
      <c r="JQV41" s="595"/>
      <c r="JQW41" s="595"/>
      <c r="JQX41" s="595"/>
      <c r="JQY41" s="595"/>
      <c r="JQZ41" s="595"/>
      <c r="JRA41" s="595"/>
      <c r="JRB41" s="595"/>
      <c r="JRC41" s="595"/>
      <c r="JRD41" s="595"/>
      <c r="JRE41" s="595"/>
      <c r="JRF41" s="595"/>
      <c r="JRG41" s="595"/>
      <c r="JRH41" s="595"/>
      <c r="JRI41" s="595"/>
      <c r="JRJ41" s="595"/>
      <c r="JRK41" s="595"/>
      <c r="JRL41" s="595"/>
      <c r="JRM41" s="595"/>
      <c r="JRN41" s="595"/>
      <c r="JRO41" s="595"/>
      <c r="JRP41" s="595"/>
      <c r="JRQ41" s="595"/>
      <c r="JRR41" s="595"/>
      <c r="JRS41" s="595"/>
      <c r="JRT41" s="595"/>
      <c r="JRU41" s="595"/>
      <c r="JRV41" s="595"/>
      <c r="JRW41" s="595"/>
      <c r="JRX41" s="595"/>
      <c r="JRY41" s="595"/>
      <c r="JRZ41" s="595"/>
      <c r="JSA41" s="595"/>
      <c r="JSB41" s="595"/>
      <c r="JSC41" s="595"/>
      <c r="JSD41" s="595"/>
      <c r="JSE41" s="595"/>
      <c r="JSF41" s="595"/>
      <c r="JSG41" s="595"/>
      <c r="JSH41" s="595"/>
      <c r="JSI41" s="595"/>
      <c r="JSJ41" s="595"/>
      <c r="JSK41" s="595"/>
      <c r="JSL41" s="595"/>
      <c r="JSM41" s="595"/>
      <c r="JSN41" s="595"/>
      <c r="JSO41" s="595"/>
      <c r="JSP41" s="595"/>
      <c r="JSQ41" s="595"/>
      <c r="JSR41" s="595"/>
      <c r="JSS41" s="595"/>
      <c r="JST41" s="595"/>
      <c r="JSU41" s="595"/>
      <c r="JSV41" s="595"/>
      <c r="JSW41" s="595"/>
      <c r="JSX41" s="595"/>
      <c r="JSY41" s="595"/>
      <c r="JSZ41" s="595"/>
      <c r="JTA41" s="595"/>
      <c r="JTB41" s="595"/>
      <c r="JTC41" s="595"/>
      <c r="JTD41" s="595"/>
      <c r="JTE41" s="595"/>
      <c r="JTF41" s="595"/>
      <c r="JTG41" s="595"/>
      <c r="JTH41" s="595"/>
      <c r="JTI41" s="595"/>
      <c r="JTJ41" s="595"/>
      <c r="JTK41" s="595"/>
      <c r="JTL41" s="595"/>
      <c r="JTM41" s="595"/>
      <c r="JTN41" s="595"/>
      <c r="JTO41" s="595"/>
      <c r="JTP41" s="595"/>
      <c r="JTQ41" s="595"/>
      <c r="JTR41" s="595"/>
      <c r="JTS41" s="595"/>
      <c r="JTT41" s="595"/>
      <c r="JTU41" s="595"/>
      <c r="JTV41" s="595"/>
      <c r="JTW41" s="595"/>
      <c r="JTX41" s="595"/>
      <c r="JTY41" s="595"/>
      <c r="JTZ41" s="595"/>
      <c r="JUA41" s="595"/>
      <c r="JUB41" s="595"/>
      <c r="JUC41" s="595"/>
      <c r="JUD41" s="595"/>
      <c r="JUE41" s="595"/>
      <c r="JUF41" s="595"/>
      <c r="JUG41" s="595"/>
      <c r="JUH41" s="595"/>
      <c r="JUI41" s="595"/>
      <c r="JUJ41" s="595"/>
      <c r="JUK41" s="595"/>
      <c r="JUL41" s="595"/>
      <c r="JUM41" s="595"/>
      <c r="JUN41" s="595"/>
      <c r="JUO41" s="595"/>
      <c r="JUP41" s="595"/>
      <c r="JUQ41" s="595"/>
      <c r="JUR41" s="595"/>
      <c r="JUS41" s="595"/>
      <c r="JUT41" s="595"/>
      <c r="JUU41" s="595"/>
      <c r="JUV41" s="595"/>
      <c r="JUW41" s="595"/>
      <c r="JUX41" s="595"/>
      <c r="JUY41" s="595"/>
      <c r="JUZ41" s="595"/>
      <c r="JVA41" s="595"/>
      <c r="JVB41" s="595"/>
      <c r="JVC41" s="595"/>
      <c r="JVD41" s="595"/>
      <c r="JVE41" s="595"/>
      <c r="JVF41" s="595"/>
      <c r="JVG41" s="595"/>
      <c r="JVH41" s="595"/>
      <c r="JVI41" s="595"/>
      <c r="JVJ41" s="595"/>
      <c r="JVK41" s="595"/>
      <c r="JVL41" s="595"/>
      <c r="JVM41" s="595"/>
      <c r="JVN41" s="595"/>
      <c r="JVO41" s="595"/>
      <c r="JVP41" s="595"/>
      <c r="JVQ41" s="595"/>
      <c r="JVR41" s="595"/>
      <c r="JVS41" s="595"/>
      <c r="JVT41" s="595"/>
      <c r="JVU41" s="595"/>
      <c r="JVV41" s="595"/>
      <c r="JVW41" s="595"/>
      <c r="JVX41" s="595"/>
      <c r="JVY41" s="595"/>
      <c r="JVZ41" s="595"/>
      <c r="JWA41" s="595"/>
      <c r="JWB41" s="595"/>
      <c r="JWC41" s="595"/>
      <c r="JWD41" s="595"/>
      <c r="JWE41" s="595"/>
      <c r="JWF41" s="595"/>
      <c r="JWG41" s="595"/>
      <c r="JWH41" s="595"/>
      <c r="JWI41" s="595"/>
      <c r="JWJ41" s="595"/>
      <c r="JWK41" s="595"/>
      <c r="JWL41" s="595"/>
      <c r="JWM41" s="595"/>
      <c r="JWN41" s="595"/>
      <c r="JWO41" s="595"/>
      <c r="JWP41" s="595"/>
      <c r="JWQ41" s="595"/>
      <c r="JWR41" s="595"/>
      <c r="JWS41" s="595"/>
      <c r="JWT41" s="595"/>
      <c r="JWU41" s="595"/>
      <c r="JWV41" s="595"/>
      <c r="JWW41" s="595"/>
      <c r="JWX41" s="595"/>
      <c r="JWY41" s="595"/>
      <c r="JWZ41" s="595"/>
      <c r="JXA41" s="595"/>
      <c r="JXB41" s="595"/>
      <c r="JXC41" s="595"/>
      <c r="JXD41" s="595"/>
      <c r="JXE41" s="595"/>
      <c r="JXF41" s="595"/>
      <c r="JXG41" s="595"/>
      <c r="JXH41" s="595"/>
      <c r="JXI41" s="595"/>
      <c r="JXJ41" s="595"/>
      <c r="JXK41" s="595"/>
      <c r="JXL41" s="595"/>
      <c r="JXM41" s="595"/>
      <c r="JXN41" s="595"/>
      <c r="JXO41" s="595"/>
      <c r="JXP41" s="595"/>
      <c r="JXQ41" s="595"/>
      <c r="JXR41" s="595"/>
      <c r="JXS41" s="595"/>
      <c r="JXT41" s="595"/>
      <c r="JXU41" s="595"/>
      <c r="JXV41" s="595"/>
      <c r="JXW41" s="595"/>
      <c r="JXX41" s="595"/>
      <c r="JXY41" s="595"/>
      <c r="JXZ41" s="595"/>
      <c r="JYA41" s="595"/>
      <c r="JYB41" s="595"/>
      <c r="JYC41" s="595"/>
      <c r="JYD41" s="595"/>
      <c r="JYE41" s="595"/>
      <c r="JYF41" s="595"/>
      <c r="JYG41" s="595"/>
      <c r="JYH41" s="595"/>
      <c r="JYI41" s="595"/>
      <c r="JYJ41" s="595"/>
      <c r="JYK41" s="595"/>
      <c r="JYL41" s="595"/>
      <c r="JYM41" s="595"/>
      <c r="JYN41" s="595"/>
      <c r="JYO41" s="595"/>
      <c r="JYP41" s="595"/>
      <c r="JYQ41" s="595"/>
      <c r="JYR41" s="595"/>
      <c r="JYS41" s="595"/>
      <c r="JYT41" s="595"/>
      <c r="JYU41" s="595"/>
      <c r="JYV41" s="595"/>
      <c r="JYW41" s="595"/>
      <c r="JYX41" s="595"/>
      <c r="JYY41" s="595"/>
      <c r="JYZ41" s="595"/>
      <c r="JZA41" s="595"/>
      <c r="JZB41" s="595"/>
      <c r="JZC41" s="595"/>
      <c r="JZD41" s="595"/>
      <c r="JZE41" s="595"/>
      <c r="JZF41" s="595"/>
      <c r="JZG41" s="595"/>
      <c r="JZH41" s="595"/>
      <c r="JZI41" s="595"/>
      <c r="JZJ41" s="595"/>
      <c r="JZK41" s="595"/>
      <c r="JZL41" s="595"/>
      <c r="JZM41" s="595"/>
      <c r="JZN41" s="595"/>
      <c r="JZO41" s="595"/>
      <c r="JZP41" s="595"/>
      <c r="JZQ41" s="595"/>
      <c r="JZR41" s="595"/>
      <c r="JZS41" s="595"/>
      <c r="JZT41" s="595"/>
      <c r="JZU41" s="595"/>
      <c r="JZV41" s="595"/>
      <c r="JZW41" s="595"/>
      <c r="JZX41" s="595"/>
      <c r="JZY41" s="595"/>
      <c r="JZZ41" s="595"/>
      <c r="KAA41" s="595"/>
      <c r="KAB41" s="595"/>
      <c r="KAC41" s="595"/>
      <c r="KAD41" s="595"/>
      <c r="KAE41" s="595"/>
      <c r="KAF41" s="595"/>
      <c r="KAG41" s="595"/>
      <c r="KAH41" s="595"/>
      <c r="KAI41" s="595"/>
      <c r="KAJ41" s="595"/>
      <c r="KAK41" s="595"/>
      <c r="KAL41" s="595"/>
      <c r="KAM41" s="595"/>
      <c r="KAN41" s="595"/>
      <c r="KAO41" s="595"/>
      <c r="KAP41" s="595"/>
      <c r="KAQ41" s="595"/>
      <c r="KAR41" s="595"/>
      <c r="KAS41" s="595"/>
      <c r="KAT41" s="595"/>
      <c r="KAU41" s="595"/>
      <c r="KAV41" s="595"/>
      <c r="KAW41" s="595"/>
      <c r="KAX41" s="595"/>
      <c r="KAY41" s="595"/>
      <c r="KAZ41" s="595"/>
      <c r="KBA41" s="595"/>
      <c r="KBB41" s="595"/>
      <c r="KBC41" s="595"/>
      <c r="KBD41" s="595"/>
      <c r="KBE41" s="595"/>
      <c r="KBF41" s="595"/>
      <c r="KBG41" s="595"/>
      <c r="KBH41" s="595"/>
      <c r="KBI41" s="595"/>
      <c r="KBJ41" s="595"/>
      <c r="KBK41" s="595"/>
      <c r="KBL41" s="595"/>
      <c r="KBM41" s="595"/>
      <c r="KBN41" s="595"/>
      <c r="KBO41" s="595"/>
      <c r="KBP41" s="595"/>
      <c r="KBQ41" s="595"/>
      <c r="KBR41" s="595"/>
      <c r="KBS41" s="595"/>
      <c r="KBT41" s="595"/>
      <c r="KBU41" s="595"/>
      <c r="KBV41" s="595"/>
      <c r="KBW41" s="595"/>
      <c r="KBX41" s="595"/>
      <c r="KBY41" s="595"/>
      <c r="KBZ41" s="595"/>
      <c r="KCA41" s="595"/>
      <c r="KCB41" s="595"/>
      <c r="KCC41" s="595"/>
      <c r="KCD41" s="595"/>
      <c r="KCE41" s="595"/>
      <c r="KCF41" s="595"/>
      <c r="KCG41" s="595"/>
      <c r="KCH41" s="595"/>
      <c r="KCI41" s="595"/>
      <c r="KCJ41" s="595"/>
      <c r="KCK41" s="595"/>
      <c r="KCL41" s="595"/>
      <c r="KCM41" s="595"/>
      <c r="KCN41" s="595"/>
      <c r="KCO41" s="595"/>
      <c r="KCP41" s="595"/>
      <c r="KCQ41" s="595"/>
      <c r="KCR41" s="595"/>
      <c r="KCS41" s="595"/>
      <c r="KCT41" s="595"/>
      <c r="KCU41" s="595"/>
      <c r="KCV41" s="595"/>
      <c r="KCW41" s="595"/>
      <c r="KCX41" s="595"/>
      <c r="KCY41" s="595"/>
      <c r="KCZ41" s="595"/>
      <c r="KDA41" s="595"/>
      <c r="KDB41" s="595"/>
      <c r="KDC41" s="595"/>
      <c r="KDD41" s="595"/>
      <c r="KDE41" s="595"/>
      <c r="KDF41" s="595"/>
      <c r="KDG41" s="595"/>
      <c r="KDH41" s="595"/>
      <c r="KDI41" s="595"/>
      <c r="KDJ41" s="595"/>
      <c r="KDK41" s="595"/>
      <c r="KDL41" s="595"/>
      <c r="KDM41" s="595"/>
      <c r="KDN41" s="595"/>
      <c r="KDO41" s="595"/>
      <c r="KDP41" s="595"/>
      <c r="KDQ41" s="595"/>
      <c r="KDR41" s="595"/>
      <c r="KDS41" s="595"/>
      <c r="KDT41" s="595"/>
      <c r="KDU41" s="595"/>
      <c r="KDV41" s="595"/>
      <c r="KDW41" s="595"/>
      <c r="KDX41" s="595"/>
      <c r="KDY41" s="595"/>
      <c r="KDZ41" s="595"/>
      <c r="KEA41" s="595"/>
      <c r="KEB41" s="595"/>
      <c r="KEC41" s="595"/>
      <c r="KED41" s="595"/>
      <c r="KEE41" s="595"/>
      <c r="KEF41" s="595"/>
      <c r="KEG41" s="595"/>
      <c r="KEH41" s="595"/>
      <c r="KEI41" s="595"/>
      <c r="KEJ41" s="595"/>
      <c r="KEK41" s="595"/>
      <c r="KEL41" s="595"/>
      <c r="KEM41" s="595"/>
      <c r="KEN41" s="595"/>
      <c r="KEO41" s="595"/>
      <c r="KEP41" s="595"/>
      <c r="KEQ41" s="595"/>
      <c r="KER41" s="595"/>
      <c r="KES41" s="595"/>
      <c r="KET41" s="595"/>
      <c r="KEU41" s="595"/>
      <c r="KEV41" s="595"/>
      <c r="KEW41" s="595"/>
      <c r="KEX41" s="595"/>
      <c r="KEY41" s="595"/>
      <c r="KEZ41" s="595"/>
      <c r="KFA41" s="595"/>
      <c r="KFB41" s="595"/>
      <c r="KFC41" s="595"/>
      <c r="KFD41" s="595"/>
      <c r="KFE41" s="595"/>
      <c r="KFF41" s="595"/>
      <c r="KFG41" s="595"/>
      <c r="KFH41" s="595"/>
      <c r="KFI41" s="595"/>
      <c r="KFJ41" s="595"/>
      <c r="KFK41" s="595"/>
      <c r="KFL41" s="595"/>
      <c r="KFM41" s="595"/>
      <c r="KFN41" s="595"/>
      <c r="KFO41" s="595"/>
      <c r="KFP41" s="595"/>
      <c r="KFQ41" s="595"/>
      <c r="KFR41" s="595"/>
      <c r="KFS41" s="595"/>
      <c r="KFT41" s="595"/>
      <c r="KFU41" s="595"/>
      <c r="KFV41" s="595"/>
      <c r="KFW41" s="595"/>
      <c r="KFX41" s="595"/>
      <c r="KFY41" s="595"/>
      <c r="KFZ41" s="595"/>
      <c r="KGA41" s="595"/>
      <c r="KGB41" s="595"/>
      <c r="KGC41" s="595"/>
      <c r="KGD41" s="595"/>
      <c r="KGE41" s="595"/>
      <c r="KGF41" s="595"/>
      <c r="KGG41" s="595"/>
      <c r="KGH41" s="595"/>
      <c r="KGI41" s="595"/>
      <c r="KGJ41" s="595"/>
      <c r="KGK41" s="595"/>
      <c r="KGL41" s="595"/>
      <c r="KGM41" s="595"/>
      <c r="KGN41" s="595"/>
      <c r="KGO41" s="595"/>
      <c r="KGP41" s="595"/>
      <c r="KGQ41" s="595"/>
      <c r="KGR41" s="595"/>
      <c r="KGS41" s="595"/>
      <c r="KGT41" s="595"/>
      <c r="KGU41" s="595"/>
      <c r="KGV41" s="595"/>
      <c r="KGW41" s="595"/>
      <c r="KGX41" s="595"/>
      <c r="KGY41" s="595"/>
      <c r="KGZ41" s="595"/>
      <c r="KHA41" s="595"/>
      <c r="KHB41" s="595"/>
      <c r="KHC41" s="595"/>
      <c r="KHD41" s="595"/>
      <c r="KHE41" s="595"/>
      <c r="KHF41" s="595"/>
      <c r="KHG41" s="595"/>
      <c r="KHH41" s="595"/>
      <c r="KHI41" s="595"/>
      <c r="KHJ41" s="595"/>
      <c r="KHK41" s="595"/>
      <c r="KHL41" s="595"/>
      <c r="KHM41" s="595"/>
      <c r="KHN41" s="595"/>
      <c r="KHO41" s="595"/>
      <c r="KHP41" s="595"/>
      <c r="KHQ41" s="595"/>
      <c r="KHR41" s="595"/>
      <c r="KHS41" s="595"/>
      <c r="KHT41" s="595"/>
      <c r="KHU41" s="595"/>
      <c r="KHV41" s="595"/>
      <c r="KHW41" s="595"/>
      <c r="KHX41" s="595"/>
      <c r="KHY41" s="595"/>
      <c r="KHZ41" s="595"/>
      <c r="KIA41" s="595"/>
      <c r="KIB41" s="595"/>
      <c r="KIC41" s="595"/>
      <c r="KID41" s="595"/>
      <c r="KIE41" s="595"/>
      <c r="KIF41" s="595"/>
      <c r="KIG41" s="595"/>
      <c r="KIH41" s="595"/>
      <c r="KII41" s="595"/>
      <c r="KIJ41" s="595"/>
      <c r="KIK41" s="595"/>
      <c r="KIL41" s="595"/>
      <c r="KIM41" s="595"/>
      <c r="KIN41" s="595"/>
      <c r="KIO41" s="595"/>
      <c r="KIP41" s="595"/>
      <c r="KIQ41" s="595"/>
      <c r="KIR41" s="595"/>
      <c r="KIS41" s="595"/>
      <c r="KIT41" s="595"/>
      <c r="KIU41" s="595"/>
      <c r="KIV41" s="595"/>
      <c r="KIW41" s="595"/>
      <c r="KIX41" s="595"/>
      <c r="KIY41" s="595"/>
      <c r="KIZ41" s="595"/>
      <c r="KJA41" s="595"/>
      <c r="KJB41" s="595"/>
      <c r="KJC41" s="595"/>
      <c r="KJD41" s="595"/>
      <c r="KJE41" s="595"/>
      <c r="KJF41" s="595"/>
      <c r="KJG41" s="595"/>
      <c r="KJH41" s="595"/>
      <c r="KJI41" s="595"/>
      <c r="KJJ41" s="595"/>
      <c r="KJK41" s="595"/>
      <c r="KJL41" s="595"/>
      <c r="KJM41" s="595"/>
      <c r="KJN41" s="595"/>
      <c r="KJO41" s="595"/>
      <c r="KJP41" s="595"/>
      <c r="KJQ41" s="595"/>
      <c r="KJR41" s="595"/>
      <c r="KJS41" s="595"/>
      <c r="KJT41" s="595"/>
      <c r="KJU41" s="595"/>
      <c r="KJV41" s="595"/>
      <c r="KJW41" s="595"/>
      <c r="KJX41" s="595"/>
      <c r="KJY41" s="595"/>
      <c r="KJZ41" s="595"/>
      <c r="KKA41" s="595"/>
      <c r="KKB41" s="595"/>
      <c r="KKC41" s="595"/>
      <c r="KKD41" s="595"/>
      <c r="KKE41" s="595"/>
      <c r="KKF41" s="595"/>
      <c r="KKG41" s="595"/>
      <c r="KKH41" s="595"/>
      <c r="KKI41" s="595"/>
      <c r="KKJ41" s="595"/>
      <c r="KKK41" s="595"/>
      <c r="KKL41" s="595"/>
      <c r="KKM41" s="595"/>
      <c r="KKN41" s="595"/>
      <c r="KKO41" s="595"/>
      <c r="KKP41" s="595"/>
      <c r="KKQ41" s="595"/>
      <c r="KKR41" s="595"/>
      <c r="KKS41" s="595"/>
      <c r="KKT41" s="595"/>
      <c r="KKU41" s="595"/>
      <c r="KKV41" s="595"/>
      <c r="KKW41" s="595"/>
      <c r="KKX41" s="595"/>
      <c r="KKY41" s="595"/>
      <c r="KKZ41" s="595"/>
      <c r="KLA41" s="595"/>
      <c r="KLB41" s="595"/>
      <c r="KLC41" s="595"/>
      <c r="KLD41" s="595"/>
      <c r="KLE41" s="595"/>
      <c r="KLF41" s="595"/>
      <c r="KLG41" s="595"/>
      <c r="KLH41" s="595"/>
      <c r="KLI41" s="595"/>
      <c r="KLJ41" s="595"/>
      <c r="KLK41" s="595"/>
      <c r="KLL41" s="595"/>
      <c r="KLM41" s="595"/>
      <c r="KLN41" s="595"/>
      <c r="KLO41" s="595"/>
      <c r="KLP41" s="595"/>
      <c r="KLQ41" s="595"/>
      <c r="KLR41" s="595"/>
      <c r="KLS41" s="595"/>
      <c r="KLT41" s="595"/>
      <c r="KLU41" s="595"/>
      <c r="KLV41" s="595"/>
      <c r="KLW41" s="595"/>
      <c r="KLX41" s="595"/>
      <c r="KLY41" s="595"/>
      <c r="KLZ41" s="595"/>
      <c r="KMA41" s="595"/>
      <c r="KMB41" s="595"/>
      <c r="KMC41" s="595"/>
      <c r="KMD41" s="595"/>
      <c r="KME41" s="595"/>
      <c r="KMF41" s="595"/>
      <c r="KMG41" s="595"/>
      <c r="KMH41" s="595"/>
      <c r="KMI41" s="595"/>
      <c r="KMJ41" s="595"/>
      <c r="KMK41" s="595"/>
      <c r="KML41" s="595"/>
      <c r="KMM41" s="595"/>
      <c r="KMN41" s="595"/>
      <c r="KMO41" s="595"/>
      <c r="KMP41" s="595"/>
      <c r="KMQ41" s="595"/>
      <c r="KMR41" s="595"/>
      <c r="KMS41" s="595"/>
      <c r="KMT41" s="595"/>
      <c r="KMU41" s="595"/>
      <c r="KMV41" s="595"/>
      <c r="KMW41" s="595"/>
      <c r="KMX41" s="595"/>
      <c r="KMY41" s="595"/>
      <c r="KMZ41" s="595"/>
      <c r="KNA41" s="595"/>
      <c r="KNB41" s="595"/>
      <c r="KNC41" s="595"/>
      <c r="KND41" s="595"/>
      <c r="KNE41" s="595"/>
      <c r="KNF41" s="595"/>
      <c r="KNG41" s="595"/>
      <c r="KNH41" s="595"/>
      <c r="KNI41" s="595"/>
      <c r="KNJ41" s="595"/>
      <c r="KNK41" s="595"/>
      <c r="KNL41" s="595"/>
      <c r="KNM41" s="595"/>
      <c r="KNN41" s="595"/>
      <c r="KNO41" s="595"/>
      <c r="KNP41" s="595"/>
      <c r="KNQ41" s="595"/>
      <c r="KNR41" s="595"/>
      <c r="KNS41" s="595"/>
      <c r="KNT41" s="595"/>
      <c r="KNU41" s="595"/>
      <c r="KNV41" s="595"/>
      <c r="KNW41" s="595"/>
      <c r="KNX41" s="595"/>
      <c r="KNY41" s="595"/>
      <c r="KNZ41" s="595"/>
      <c r="KOA41" s="595"/>
      <c r="KOB41" s="595"/>
      <c r="KOC41" s="595"/>
      <c r="KOD41" s="595"/>
      <c r="KOE41" s="595"/>
      <c r="KOF41" s="595"/>
      <c r="KOG41" s="595"/>
      <c r="KOH41" s="595"/>
      <c r="KOI41" s="595"/>
      <c r="KOJ41" s="595"/>
      <c r="KOK41" s="595"/>
      <c r="KOL41" s="595"/>
      <c r="KOM41" s="595"/>
      <c r="KON41" s="595"/>
      <c r="KOO41" s="595"/>
      <c r="KOP41" s="595"/>
      <c r="KOQ41" s="595"/>
      <c r="KOR41" s="595"/>
      <c r="KOS41" s="595"/>
      <c r="KOT41" s="595"/>
      <c r="KOU41" s="595"/>
      <c r="KOV41" s="595"/>
      <c r="KOW41" s="595"/>
      <c r="KOX41" s="595"/>
      <c r="KOY41" s="595"/>
      <c r="KOZ41" s="595"/>
      <c r="KPA41" s="595"/>
      <c r="KPB41" s="595"/>
      <c r="KPC41" s="595"/>
      <c r="KPD41" s="595"/>
      <c r="KPE41" s="595"/>
      <c r="KPF41" s="595"/>
      <c r="KPG41" s="595"/>
      <c r="KPH41" s="595"/>
      <c r="KPI41" s="595"/>
      <c r="KPJ41" s="595"/>
      <c r="KPK41" s="595"/>
      <c r="KPL41" s="595"/>
      <c r="KPM41" s="595"/>
      <c r="KPN41" s="595"/>
      <c r="KPO41" s="595"/>
      <c r="KPP41" s="595"/>
      <c r="KPQ41" s="595"/>
      <c r="KPR41" s="595"/>
      <c r="KPS41" s="595"/>
      <c r="KPT41" s="595"/>
      <c r="KPU41" s="595"/>
      <c r="KPV41" s="595"/>
      <c r="KPW41" s="595"/>
      <c r="KPX41" s="595"/>
      <c r="KPY41" s="595"/>
      <c r="KPZ41" s="595"/>
      <c r="KQA41" s="595"/>
      <c r="KQB41" s="595"/>
      <c r="KQC41" s="595"/>
      <c r="KQD41" s="595"/>
      <c r="KQE41" s="595"/>
      <c r="KQF41" s="595"/>
      <c r="KQG41" s="595"/>
      <c r="KQH41" s="595"/>
      <c r="KQI41" s="595"/>
      <c r="KQJ41" s="595"/>
      <c r="KQK41" s="595"/>
      <c r="KQL41" s="595"/>
      <c r="KQM41" s="595"/>
      <c r="KQN41" s="595"/>
      <c r="KQO41" s="595"/>
      <c r="KQP41" s="595"/>
      <c r="KQQ41" s="595"/>
      <c r="KQR41" s="595"/>
      <c r="KQS41" s="595"/>
      <c r="KQT41" s="595"/>
      <c r="KQU41" s="595"/>
      <c r="KQV41" s="595"/>
      <c r="KQW41" s="595"/>
      <c r="KQX41" s="595"/>
      <c r="KQY41" s="595"/>
      <c r="KQZ41" s="595"/>
      <c r="KRA41" s="595"/>
      <c r="KRB41" s="595"/>
      <c r="KRC41" s="595"/>
      <c r="KRD41" s="595"/>
      <c r="KRE41" s="595"/>
      <c r="KRF41" s="595"/>
      <c r="KRG41" s="595"/>
      <c r="KRH41" s="595"/>
      <c r="KRI41" s="595"/>
      <c r="KRJ41" s="595"/>
      <c r="KRK41" s="595"/>
      <c r="KRL41" s="595"/>
      <c r="KRM41" s="595"/>
      <c r="KRN41" s="595"/>
      <c r="KRO41" s="595"/>
      <c r="KRP41" s="595"/>
      <c r="KRQ41" s="595"/>
      <c r="KRR41" s="595"/>
      <c r="KRS41" s="595"/>
      <c r="KRT41" s="595"/>
      <c r="KRU41" s="595"/>
      <c r="KRV41" s="595"/>
      <c r="KRW41" s="595"/>
      <c r="KRX41" s="595"/>
      <c r="KRY41" s="595"/>
      <c r="KRZ41" s="595"/>
      <c r="KSA41" s="595"/>
      <c r="KSB41" s="595"/>
      <c r="KSC41" s="595"/>
      <c r="KSD41" s="595"/>
      <c r="KSE41" s="595"/>
      <c r="KSF41" s="595"/>
      <c r="KSG41" s="595"/>
      <c r="KSH41" s="595"/>
      <c r="KSI41" s="595"/>
      <c r="KSJ41" s="595"/>
      <c r="KSK41" s="595"/>
      <c r="KSL41" s="595"/>
      <c r="KSM41" s="595"/>
      <c r="KSN41" s="595"/>
      <c r="KSO41" s="595"/>
      <c r="KSP41" s="595"/>
      <c r="KSQ41" s="595"/>
      <c r="KSR41" s="595"/>
      <c r="KSS41" s="595"/>
      <c r="KST41" s="595"/>
      <c r="KSU41" s="595"/>
      <c r="KSV41" s="595"/>
      <c r="KSW41" s="595"/>
      <c r="KSX41" s="595"/>
      <c r="KSY41" s="595"/>
      <c r="KSZ41" s="595"/>
      <c r="KTA41" s="595"/>
      <c r="KTB41" s="595"/>
      <c r="KTC41" s="595"/>
      <c r="KTD41" s="595"/>
      <c r="KTE41" s="595"/>
      <c r="KTF41" s="595"/>
      <c r="KTG41" s="595"/>
      <c r="KTH41" s="595"/>
      <c r="KTI41" s="595"/>
      <c r="KTJ41" s="595"/>
      <c r="KTK41" s="595"/>
      <c r="KTL41" s="595"/>
      <c r="KTM41" s="595"/>
      <c r="KTN41" s="595"/>
      <c r="KTO41" s="595"/>
      <c r="KTP41" s="595"/>
      <c r="KTQ41" s="595"/>
      <c r="KTR41" s="595"/>
      <c r="KTS41" s="595"/>
      <c r="KTT41" s="595"/>
      <c r="KTU41" s="595"/>
      <c r="KTV41" s="595"/>
      <c r="KTW41" s="595"/>
      <c r="KTX41" s="595"/>
      <c r="KTY41" s="595"/>
      <c r="KTZ41" s="595"/>
      <c r="KUA41" s="595"/>
      <c r="KUB41" s="595"/>
      <c r="KUC41" s="595"/>
      <c r="KUD41" s="595"/>
      <c r="KUE41" s="595"/>
      <c r="KUF41" s="595"/>
      <c r="KUG41" s="595"/>
      <c r="KUH41" s="595"/>
      <c r="KUI41" s="595"/>
      <c r="KUJ41" s="595"/>
      <c r="KUK41" s="595"/>
      <c r="KUL41" s="595"/>
      <c r="KUM41" s="595"/>
      <c r="KUN41" s="595"/>
      <c r="KUO41" s="595"/>
      <c r="KUP41" s="595"/>
      <c r="KUQ41" s="595"/>
      <c r="KUR41" s="595"/>
      <c r="KUS41" s="595"/>
      <c r="KUT41" s="595"/>
      <c r="KUU41" s="595"/>
      <c r="KUV41" s="595"/>
      <c r="KUW41" s="595"/>
      <c r="KUX41" s="595"/>
      <c r="KUY41" s="595"/>
      <c r="KUZ41" s="595"/>
      <c r="KVA41" s="595"/>
      <c r="KVB41" s="595"/>
      <c r="KVC41" s="595"/>
      <c r="KVD41" s="595"/>
      <c r="KVE41" s="595"/>
      <c r="KVF41" s="595"/>
      <c r="KVG41" s="595"/>
      <c r="KVH41" s="595"/>
      <c r="KVI41" s="595"/>
      <c r="KVJ41" s="595"/>
      <c r="KVK41" s="595"/>
      <c r="KVL41" s="595"/>
      <c r="KVM41" s="595"/>
      <c r="KVN41" s="595"/>
      <c r="KVO41" s="595"/>
      <c r="KVP41" s="595"/>
      <c r="KVQ41" s="595"/>
      <c r="KVR41" s="595"/>
      <c r="KVS41" s="595"/>
      <c r="KVT41" s="595"/>
      <c r="KVU41" s="595"/>
      <c r="KVV41" s="595"/>
      <c r="KVW41" s="595"/>
      <c r="KVX41" s="595"/>
      <c r="KVY41" s="595"/>
      <c r="KVZ41" s="595"/>
      <c r="KWA41" s="595"/>
      <c r="KWB41" s="595"/>
      <c r="KWC41" s="595"/>
      <c r="KWD41" s="595"/>
      <c r="KWE41" s="595"/>
      <c r="KWF41" s="595"/>
      <c r="KWG41" s="595"/>
      <c r="KWH41" s="595"/>
      <c r="KWI41" s="595"/>
      <c r="KWJ41" s="595"/>
      <c r="KWK41" s="595"/>
      <c r="KWL41" s="595"/>
      <c r="KWM41" s="595"/>
      <c r="KWN41" s="595"/>
      <c r="KWO41" s="595"/>
      <c r="KWP41" s="595"/>
      <c r="KWQ41" s="595"/>
      <c r="KWR41" s="595"/>
      <c r="KWS41" s="595"/>
      <c r="KWT41" s="595"/>
      <c r="KWU41" s="595"/>
      <c r="KWV41" s="595"/>
      <c r="KWW41" s="595"/>
      <c r="KWX41" s="595"/>
      <c r="KWY41" s="595"/>
      <c r="KWZ41" s="595"/>
      <c r="KXA41" s="595"/>
      <c r="KXB41" s="595"/>
      <c r="KXC41" s="595"/>
      <c r="KXD41" s="595"/>
      <c r="KXE41" s="595"/>
      <c r="KXF41" s="595"/>
      <c r="KXG41" s="595"/>
      <c r="KXH41" s="595"/>
      <c r="KXI41" s="595"/>
      <c r="KXJ41" s="595"/>
      <c r="KXK41" s="595"/>
      <c r="KXL41" s="595"/>
      <c r="KXM41" s="595"/>
      <c r="KXN41" s="595"/>
      <c r="KXO41" s="595"/>
      <c r="KXP41" s="595"/>
      <c r="KXQ41" s="595"/>
      <c r="KXR41" s="595"/>
      <c r="KXS41" s="595"/>
      <c r="KXT41" s="595"/>
      <c r="KXU41" s="595"/>
      <c r="KXV41" s="595"/>
      <c r="KXW41" s="595"/>
      <c r="KXX41" s="595"/>
      <c r="KXY41" s="595"/>
      <c r="KXZ41" s="595"/>
      <c r="KYA41" s="595"/>
      <c r="KYB41" s="595"/>
      <c r="KYC41" s="595"/>
      <c r="KYD41" s="595"/>
      <c r="KYE41" s="595"/>
      <c r="KYF41" s="595"/>
      <c r="KYG41" s="595"/>
      <c r="KYH41" s="595"/>
      <c r="KYI41" s="595"/>
      <c r="KYJ41" s="595"/>
      <c r="KYK41" s="595"/>
      <c r="KYL41" s="595"/>
      <c r="KYM41" s="595"/>
      <c r="KYN41" s="595"/>
      <c r="KYO41" s="595"/>
      <c r="KYP41" s="595"/>
      <c r="KYQ41" s="595"/>
      <c r="KYR41" s="595"/>
      <c r="KYS41" s="595"/>
      <c r="KYT41" s="595"/>
      <c r="KYU41" s="595"/>
      <c r="KYV41" s="595"/>
      <c r="KYW41" s="595"/>
      <c r="KYX41" s="595"/>
      <c r="KYY41" s="595"/>
      <c r="KYZ41" s="595"/>
      <c r="KZA41" s="595"/>
      <c r="KZB41" s="595"/>
      <c r="KZC41" s="595"/>
      <c r="KZD41" s="595"/>
      <c r="KZE41" s="595"/>
      <c r="KZF41" s="595"/>
      <c r="KZG41" s="595"/>
      <c r="KZH41" s="595"/>
      <c r="KZI41" s="595"/>
      <c r="KZJ41" s="595"/>
      <c r="KZK41" s="595"/>
      <c r="KZL41" s="595"/>
      <c r="KZM41" s="595"/>
      <c r="KZN41" s="595"/>
      <c r="KZO41" s="595"/>
      <c r="KZP41" s="595"/>
      <c r="KZQ41" s="595"/>
      <c r="KZR41" s="595"/>
      <c r="KZS41" s="595"/>
      <c r="KZT41" s="595"/>
      <c r="KZU41" s="595"/>
      <c r="KZV41" s="595"/>
      <c r="KZW41" s="595"/>
      <c r="KZX41" s="595"/>
      <c r="KZY41" s="595"/>
      <c r="KZZ41" s="595"/>
      <c r="LAA41" s="595"/>
      <c r="LAB41" s="595"/>
      <c r="LAC41" s="595"/>
      <c r="LAD41" s="595"/>
      <c r="LAE41" s="595"/>
      <c r="LAF41" s="595"/>
      <c r="LAG41" s="595"/>
      <c r="LAH41" s="595"/>
      <c r="LAI41" s="595"/>
      <c r="LAJ41" s="595"/>
      <c r="LAK41" s="595"/>
      <c r="LAL41" s="595"/>
      <c r="LAM41" s="595"/>
      <c r="LAN41" s="595"/>
      <c r="LAO41" s="595"/>
      <c r="LAP41" s="595"/>
      <c r="LAQ41" s="595"/>
      <c r="LAR41" s="595"/>
      <c r="LAS41" s="595"/>
      <c r="LAT41" s="595"/>
      <c r="LAU41" s="595"/>
      <c r="LAV41" s="595"/>
      <c r="LAW41" s="595"/>
      <c r="LAX41" s="595"/>
      <c r="LAY41" s="595"/>
      <c r="LAZ41" s="595"/>
      <c r="LBA41" s="595"/>
      <c r="LBB41" s="595"/>
      <c r="LBC41" s="595"/>
      <c r="LBD41" s="595"/>
      <c r="LBE41" s="595"/>
      <c r="LBF41" s="595"/>
      <c r="LBG41" s="595"/>
      <c r="LBH41" s="595"/>
      <c r="LBI41" s="595"/>
      <c r="LBJ41" s="595"/>
      <c r="LBK41" s="595"/>
      <c r="LBL41" s="595"/>
      <c r="LBM41" s="595"/>
      <c r="LBN41" s="595"/>
      <c r="LBO41" s="595"/>
      <c r="LBP41" s="595"/>
      <c r="LBQ41" s="595"/>
      <c r="LBR41" s="595"/>
      <c r="LBS41" s="595"/>
      <c r="LBT41" s="595"/>
      <c r="LBU41" s="595"/>
      <c r="LBV41" s="595"/>
      <c r="LBW41" s="595"/>
      <c r="LBX41" s="595"/>
      <c r="LBY41" s="595"/>
      <c r="LBZ41" s="595"/>
      <c r="LCA41" s="595"/>
      <c r="LCB41" s="595"/>
      <c r="LCC41" s="595"/>
      <c r="LCD41" s="595"/>
      <c r="LCE41" s="595"/>
      <c r="LCF41" s="595"/>
      <c r="LCG41" s="595"/>
      <c r="LCH41" s="595"/>
      <c r="LCI41" s="595"/>
      <c r="LCJ41" s="595"/>
      <c r="LCK41" s="595"/>
      <c r="LCL41" s="595"/>
      <c r="LCM41" s="595"/>
      <c r="LCN41" s="595"/>
      <c r="LCO41" s="595"/>
      <c r="LCP41" s="595"/>
      <c r="LCQ41" s="595"/>
      <c r="LCR41" s="595"/>
      <c r="LCS41" s="595"/>
      <c r="LCT41" s="595"/>
      <c r="LCU41" s="595"/>
      <c r="LCV41" s="595"/>
      <c r="LCW41" s="595"/>
      <c r="LCX41" s="595"/>
      <c r="LCY41" s="595"/>
      <c r="LCZ41" s="595"/>
      <c r="LDA41" s="595"/>
      <c r="LDB41" s="595"/>
      <c r="LDC41" s="595"/>
      <c r="LDD41" s="595"/>
      <c r="LDE41" s="595"/>
      <c r="LDF41" s="595"/>
      <c r="LDG41" s="595"/>
      <c r="LDH41" s="595"/>
      <c r="LDI41" s="595"/>
      <c r="LDJ41" s="595"/>
      <c r="LDK41" s="595"/>
      <c r="LDL41" s="595"/>
      <c r="LDM41" s="595"/>
      <c r="LDN41" s="595"/>
      <c r="LDO41" s="595"/>
      <c r="LDP41" s="595"/>
      <c r="LDQ41" s="595"/>
      <c r="LDR41" s="595"/>
      <c r="LDS41" s="595"/>
      <c r="LDT41" s="595"/>
      <c r="LDU41" s="595"/>
      <c r="LDV41" s="595"/>
      <c r="LDW41" s="595"/>
      <c r="LDX41" s="595"/>
      <c r="LDY41" s="595"/>
      <c r="LDZ41" s="595"/>
      <c r="LEA41" s="595"/>
      <c r="LEB41" s="595"/>
      <c r="LEC41" s="595"/>
      <c r="LED41" s="595"/>
      <c r="LEE41" s="595"/>
      <c r="LEF41" s="595"/>
      <c r="LEG41" s="595"/>
      <c r="LEH41" s="595"/>
      <c r="LEI41" s="595"/>
      <c r="LEJ41" s="595"/>
      <c r="LEK41" s="595"/>
      <c r="LEL41" s="595"/>
      <c r="LEM41" s="595"/>
      <c r="LEN41" s="595"/>
      <c r="LEO41" s="595"/>
      <c r="LEP41" s="595"/>
      <c r="LEQ41" s="595"/>
      <c r="LER41" s="595"/>
      <c r="LES41" s="595"/>
      <c r="LET41" s="595"/>
      <c r="LEU41" s="595"/>
      <c r="LEV41" s="595"/>
      <c r="LEW41" s="595"/>
      <c r="LEX41" s="595"/>
      <c r="LEY41" s="595"/>
      <c r="LEZ41" s="595"/>
      <c r="LFA41" s="595"/>
      <c r="LFB41" s="595"/>
      <c r="LFC41" s="595"/>
      <c r="LFD41" s="595"/>
      <c r="LFE41" s="595"/>
      <c r="LFF41" s="595"/>
      <c r="LFG41" s="595"/>
      <c r="LFH41" s="595"/>
      <c r="LFI41" s="595"/>
      <c r="LFJ41" s="595"/>
      <c r="LFK41" s="595"/>
      <c r="LFL41" s="595"/>
      <c r="LFM41" s="595"/>
      <c r="LFN41" s="595"/>
      <c r="LFO41" s="595"/>
      <c r="LFP41" s="595"/>
      <c r="LFQ41" s="595"/>
      <c r="LFR41" s="595"/>
      <c r="LFS41" s="595"/>
      <c r="LFT41" s="595"/>
      <c r="LFU41" s="595"/>
      <c r="LFV41" s="595"/>
      <c r="LFW41" s="595"/>
      <c r="LFX41" s="595"/>
      <c r="LFY41" s="595"/>
      <c r="LFZ41" s="595"/>
      <c r="LGA41" s="595"/>
      <c r="LGB41" s="595"/>
      <c r="LGC41" s="595"/>
      <c r="LGD41" s="595"/>
      <c r="LGE41" s="595"/>
      <c r="LGF41" s="595"/>
      <c r="LGG41" s="595"/>
      <c r="LGH41" s="595"/>
      <c r="LGI41" s="595"/>
      <c r="LGJ41" s="595"/>
      <c r="LGK41" s="595"/>
      <c r="LGL41" s="595"/>
      <c r="LGM41" s="595"/>
      <c r="LGN41" s="595"/>
      <c r="LGO41" s="595"/>
      <c r="LGP41" s="595"/>
      <c r="LGQ41" s="595"/>
      <c r="LGR41" s="595"/>
      <c r="LGS41" s="595"/>
      <c r="LGT41" s="595"/>
      <c r="LGU41" s="595"/>
      <c r="LGV41" s="595"/>
      <c r="LGW41" s="595"/>
      <c r="LGX41" s="595"/>
      <c r="LGY41" s="595"/>
      <c r="LGZ41" s="595"/>
      <c r="LHA41" s="595"/>
      <c r="LHB41" s="595"/>
      <c r="LHC41" s="595"/>
      <c r="LHD41" s="595"/>
      <c r="LHE41" s="595"/>
      <c r="LHF41" s="595"/>
      <c r="LHG41" s="595"/>
      <c r="LHH41" s="595"/>
      <c r="LHI41" s="595"/>
      <c r="LHJ41" s="595"/>
      <c r="LHK41" s="595"/>
      <c r="LHL41" s="595"/>
      <c r="LHM41" s="595"/>
      <c r="LHN41" s="595"/>
      <c r="LHO41" s="595"/>
      <c r="LHP41" s="595"/>
      <c r="LHQ41" s="595"/>
      <c r="LHR41" s="595"/>
      <c r="LHS41" s="595"/>
      <c r="LHT41" s="595"/>
      <c r="LHU41" s="595"/>
      <c r="LHV41" s="595"/>
      <c r="LHW41" s="595"/>
      <c r="LHX41" s="595"/>
      <c r="LHY41" s="595"/>
      <c r="LHZ41" s="595"/>
      <c r="LIA41" s="595"/>
      <c r="LIB41" s="595"/>
      <c r="LIC41" s="595"/>
      <c r="LID41" s="595"/>
      <c r="LIE41" s="595"/>
      <c r="LIF41" s="595"/>
      <c r="LIG41" s="595"/>
      <c r="LIH41" s="595"/>
      <c r="LII41" s="595"/>
      <c r="LIJ41" s="595"/>
      <c r="LIK41" s="595"/>
      <c r="LIL41" s="595"/>
      <c r="LIM41" s="595"/>
      <c r="LIN41" s="595"/>
      <c r="LIO41" s="595"/>
      <c r="LIP41" s="595"/>
      <c r="LIQ41" s="595"/>
      <c r="LIR41" s="595"/>
      <c r="LIS41" s="595"/>
      <c r="LIT41" s="595"/>
      <c r="LIU41" s="595"/>
      <c r="LIV41" s="595"/>
      <c r="LIW41" s="595"/>
      <c r="LIX41" s="595"/>
      <c r="LIY41" s="595"/>
      <c r="LIZ41" s="595"/>
      <c r="LJA41" s="595"/>
      <c r="LJB41" s="595"/>
      <c r="LJC41" s="595"/>
      <c r="LJD41" s="595"/>
      <c r="LJE41" s="595"/>
      <c r="LJF41" s="595"/>
      <c r="LJG41" s="595"/>
      <c r="LJH41" s="595"/>
      <c r="LJI41" s="595"/>
      <c r="LJJ41" s="595"/>
      <c r="LJK41" s="595"/>
      <c r="LJL41" s="595"/>
      <c r="LJM41" s="595"/>
      <c r="LJN41" s="595"/>
      <c r="LJO41" s="595"/>
      <c r="LJP41" s="595"/>
      <c r="LJQ41" s="595"/>
      <c r="LJR41" s="595"/>
      <c r="LJS41" s="595"/>
      <c r="LJT41" s="595"/>
      <c r="LJU41" s="595"/>
      <c r="LJV41" s="595"/>
      <c r="LJW41" s="595"/>
      <c r="LJX41" s="595"/>
      <c r="LJY41" s="595"/>
      <c r="LJZ41" s="595"/>
      <c r="LKA41" s="595"/>
      <c r="LKB41" s="595"/>
      <c r="LKC41" s="595"/>
      <c r="LKD41" s="595"/>
      <c r="LKE41" s="595"/>
      <c r="LKF41" s="595"/>
      <c r="LKG41" s="595"/>
      <c r="LKH41" s="595"/>
      <c r="LKI41" s="595"/>
      <c r="LKJ41" s="595"/>
      <c r="LKK41" s="595"/>
      <c r="LKL41" s="595"/>
      <c r="LKM41" s="595"/>
      <c r="LKN41" s="595"/>
      <c r="LKO41" s="595"/>
      <c r="LKP41" s="595"/>
      <c r="LKQ41" s="595"/>
      <c r="LKR41" s="595"/>
      <c r="LKS41" s="595"/>
      <c r="LKT41" s="595"/>
      <c r="LKU41" s="595"/>
      <c r="LKV41" s="595"/>
      <c r="LKW41" s="595"/>
      <c r="LKX41" s="595"/>
      <c r="LKY41" s="595"/>
      <c r="LKZ41" s="595"/>
      <c r="LLA41" s="595"/>
      <c r="LLB41" s="595"/>
      <c r="LLC41" s="595"/>
      <c r="LLD41" s="595"/>
      <c r="LLE41" s="595"/>
      <c r="LLF41" s="595"/>
      <c r="LLG41" s="595"/>
      <c r="LLH41" s="595"/>
      <c r="LLI41" s="595"/>
      <c r="LLJ41" s="595"/>
      <c r="LLK41" s="595"/>
      <c r="LLL41" s="595"/>
      <c r="LLM41" s="595"/>
      <c r="LLN41" s="595"/>
      <c r="LLO41" s="595"/>
      <c r="LLP41" s="595"/>
      <c r="LLQ41" s="595"/>
      <c r="LLR41" s="595"/>
      <c r="LLS41" s="595"/>
      <c r="LLT41" s="595"/>
      <c r="LLU41" s="595"/>
      <c r="LLV41" s="595"/>
      <c r="LLW41" s="595"/>
      <c r="LLX41" s="595"/>
      <c r="LLY41" s="595"/>
      <c r="LLZ41" s="595"/>
      <c r="LMA41" s="595"/>
      <c r="LMB41" s="595"/>
      <c r="LMC41" s="595"/>
      <c r="LMD41" s="595"/>
      <c r="LME41" s="595"/>
      <c r="LMF41" s="595"/>
      <c r="LMG41" s="595"/>
      <c r="LMH41" s="595"/>
      <c r="LMI41" s="595"/>
      <c r="LMJ41" s="595"/>
      <c r="LMK41" s="595"/>
      <c r="LML41" s="595"/>
      <c r="LMM41" s="595"/>
      <c r="LMN41" s="595"/>
      <c r="LMO41" s="595"/>
      <c r="LMP41" s="595"/>
      <c r="LMQ41" s="595"/>
      <c r="LMR41" s="595"/>
      <c r="LMS41" s="595"/>
      <c r="LMT41" s="595"/>
      <c r="LMU41" s="595"/>
      <c r="LMV41" s="595"/>
      <c r="LMW41" s="595"/>
      <c r="LMX41" s="595"/>
      <c r="LMY41" s="595"/>
      <c r="LMZ41" s="595"/>
      <c r="LNA41" s="595"/>
      <c r="LNB41" s="595"/>
      <c r="LNC41" s="595"/>
      <c r="LND41" s="595"/>
      <c r="LNE41" s="595"/>
      <c r="LNF41" s="595"/>
      <c r="LNG41" s="595"/>
      <c r="LNH41" s="595"/>
      <c r="LNI41" s="595"/>
      <c r="LNJ41" s="595"/>
      <c r="LNK41" s="595"/>
      <c r="LNL41" s="595"/>
      <c r="LNM41" s="595"/>
      <c r="LNN41" s="595"/>
      <c r="LNO41" s="595"/>
      <c r="LNP41" s="595"/>
      <c r="LNQ41" s="595"/>
      <c r="LNR41" s="595"/>
      <c r="LNS41" s="595"/>
      <c r="LNT41" s="595"/>
      <c r="LNU41" s="595"/>
      <c r="LNV41" s="595"/>
      <c r="LNW41" s="595"/>
      <c r="LNX41" s="595"/>
      <c r="LNY41" s="595"/>
      <c r="LNZ41" s="595"/>
      <c r="LOA41" s="595"/>
      <c r="LOB41" s="595"/>
      <c r="LOC41" s="595"/>
      <c r="LOD41" s="595"/>
      <c r="LOE41" s="595"/>
      <c r="LOF41" s="595"/>
      <c r="LOG41" s="595"/>
      <c r="LOH41" s="595"/>
      <c r="LOI41" s="595"/>
      <c r="LOJ41" s="595"/>
      <c r="LOK41" s="595"/>
      <c r="LOL41" s="595"/>
      <c r="LOM41" s="595"/>
      <c r="LON41" s="595"/>
      <c r="LOO41" s="595"/>
      <c r="LOP41" s="595"/>
      <c r="LOQ41" s="595"/>
      <c r="LOR41" s="595"/>
      <c r="LOS41" s="595"/>
      <c r="LOT41" s="595"/>
      <c r="LOU41" s="595"/>
      <c r="LOV41" s="595"/>
      <c r="LOW41" s="595"/>
      <c r="LOX41" s="595"/>
      <c r="LOY41" s="595"/>
      <c r="LOZ41" s="595"/>
      <c r="LPA41" s="595"/>
      <c r="LPB41" s="595"/>
      <c r="LPC41" s="595"/>
      <c r="LPD41" s="595"/>
      <c r="LPE41" s="595"/>
      <c r="LPF41" s="595"/>
      <c r="LPG41" s="595"/>
      <c r="LPH41" s="595"/>
      <c r="LPI41" s="595"/>
      <c r="LPJ41" s="595"/>
      <c r="LPK41" s="595"/>
      <c r="LPL41" s="595"/>
      <c r="LPM41" s="595"/>
      <c r="LPN41" s="595"/>
      <c r="LPO41" s="595"/>
      <c r="LPP41" s="595"/>
      <c r="LPQ41" s="595"/>
      <c r="LPR41" s="595"/>
      <c r="LPS41" s="595"/>
      <c r="LPT41" s="595"/>
      <c r="LPU41" s="595"/>
      <c r="LPV41" s="595"/>
      <c r="LPW41" s="595"/>
      <c r="LPX41" s="595"/>
      <c r="LPY41" s="595"/>
      <c r="LPZ41" s="595"/>
      <c r="LQA41" s="595"/>
      <c r="LQB41" s="595"/>
      <c r="LQC41" s="595"/>
      <c r="LQD41" s="595"/>
      <c r="LQE41" s="595"/>
      <c r="LQF41" s="595"/>
      <c r="LQG41" s="595"/>
      <c r="LQH41" s="595"/>
      <c r="LQI41" s="595"/>
      <c r="LQJ41" s="595"/>
      <c r="LQK41" s="595"/>
      <c r="LQL41" s="595"/>
      <c r="LQM41" s="595"/>
      <c r="LQN41" s="595"/>
      <c r="LQO41" s="595"/>
      <c r="LQP41" s="595"/>
      <c r="LQQ41" s="595"/>
      <c r="LQR41" s="595"/>
      <c r="LQS41" s="595"/>
      <c r="LQT41" s="595"/>
      <c r="LQU41" s="595"/>
      <c r="LQV41" s="595"/>
      <c r="LQW41" s="595"/>
      <c r="LQX41" s="595"/>
      <c r="LQY41" s="595"/>
      <c r="LQZ41" s="595"/>
      <c r="LRA41" s="595"/>
      <c r="LRB41" s="595"/>
      <c r="LRC41" s="595"/>
      <c r="LRD41" s="595"/>
      <c r="LRE41" s="595"/>
      <c r="LRF41" s="595"/>
      <c r="LRG41" s="595"/>
      <c r="LRH41" s="595"/>
      <c r="LRI41" s="595"/>
      <c r="LRJ41" s="595"/>
      <c r="LRK41" s="595"/>
      <c r="LRL41" s="595"/>
      <c r="LRM41" s="595"/>
      <c r="LRN41" s="595"/>
      <c r="LRO41" s="595"/>
      <c r="LRP41" s="595"/>
      <c r="LRQ41" s="595"/>
      <c r="LRR41" s="595"/>
      <c r="LRS41" s="595"/>
      <c r="LRT41" s="595"/>
      <c r="LRU41" s="595"/>
      <c r="LRV41" s="595"/>
      <c r="LRW41" s="595"/>
      <c r="LRX41" s="595"/>
      <c r="LRY41" s="595"/>
      <c r="LRZ41" s="595"/>
      <c r="LSA41" s="595"/>
      <c r="LSB41" s="595"/>
      <c r="LSC41" s="595"/>
      <c r="LSD41" s="595"/>
      <c r="LSE41" s="595"/>
      <c r="LSF41" s="595"/>
      <c r="LSG41" s="595"/>
      <c r="LSH41" s="595"/>
      <c r="LSI41" s="595"/>
      <c r="LSJ41" s="595"/>
      <c r="LSK41" s="595"/>
      <c r="LSL41" s="595"/>
      <c r="LSM41" s="595"/>
      <c r="LSN41" s="595"/>
      <c r="LSO41" s="595"/>
      <c r="LSP41" s="595"/>
      <c r="LSQ41" s="595"/>
      <c r="LSR41" s="595"/>
      <c r="LSS41" s="595"/>
      <c r="LST41" s="595"/>
      <c r="LSU41" s="595"/>
      <c r="LSV41" s="595"/>
      <c r="LSW41" s="595"/>
      <c r="LSX41" s="595"/>
      <c r="LSY41" s="595"/>
      <c r="LSZ41" s="595"/>
      <c r="LTA41" s="595"/>
      <c r="LTB41" s="595"/>
      <c r="LTC41" s="595"/>
      <c r="LTD41" s="595"/>
      <c r="LTE41" s="595"/>
      <c r="LTF41" s="595"/>
      <c r="LTG41" s="595"/>
      <c r="LTH41" s="595"/>
      <c r="LTI41" s="595"/>
      <c r="LTJ41" s="595"/>
      <c r="LTK41" s="595"/>
      <c r="LTL41" s="595"/>
      <c r="LTM41" s="595"/>
      <c r="LTN41" s="595"/>
      <c r="LTO41" s="595"/>
      <c r="LTP41" s="595"/>
      <c r="LTQ41" s="595"/>
      <c r="LTR41" s="595"/>
      <c r="LTS41" s="595"/>
      <c r="LTT41" s="595"/>
      <c r="LTU41" s="595"/>
      <c r="LTV41" s="595"/>
      <c r="LTW41" s="595"/>
      <c r="LTX41" s="595"/>
      <c r="LTY41" s="595"/>
      <c r="LTZ41" s="595"/>
      <c r="LUA41" s="595"/>
      <c r="LUB41" s="595"/>
      <c r="LUC41" s="595"/>
      <c r="LUD41" s="595"/>
      <c r="LUE41" s="595"/>
      <c r="LUF41" s="595"/>
      <c r="LUG41" s="595"/>
      <c r="LUH41" s="595"/>
      <c r="LUI41" s="595"/>
      <c r="LUJ41" s="595"/>
      <c r="LUK41" s="595"/>
      <c r="LUL41" s="595"/>
      <c r="LUM41" s="595"/>
      <c r="LUN41" s="595"/>
      <c r="LUO41" s="595"/>
      <c r="LUP41" s="595"/>
      <c r="LUQ41" s="595"/>
      <c r="LUR41" s="595"/>
      <c r="LUS41" s="595"/>
      <c r="LUT41" s="595"/>
      <c r="LUU41" s="595"/>
      <c r="LUV41" s="595"/>
      <c r="LUW41" s="595"/>
      <c r="LUX41" s="595"/>
      <c r="LUY41" s="595"/>
      <c r="LUZ41" s="595"/>
      <c r="LVA41" s="595"/>
      <c r="LVB41" s="595"/>
      <c r="LVC41" s="595"/>
      <c r="LVD41" s="595"/>
      <c r="LVE41" s="595"/>
      <c r="LVF41" s="595"/>
      <c r="LVG41" s="595"/>
      <c r="LVH41" s="595"/>
      <c r="LVI41" s="595"/>
      <c r="LVJ41" s="595"/>
      <c r="LVK41" s="595"/>
      <c r="LVL41" s="595"/>
      <c r="LVM41" s="595"/>
      <c r="LVN41" s="595"/>
      <c r="LVO41" s="595"/>
      <c r="LVP41" s="595"/>
      <c r="LVQ41" s="595"/>
      <c r="LVR41" s="595"/>
      <c r="LVS41" s="595"/>
      <c r="LVT41" s="595"/>
      <c r="LVU41" s="595"/>
      <c r="LVV41" s="595"/>
      <c r="LVW41" s="595"/>
      <c r="LVX41" s="595"/>
      <c r="LVY41" s="595"/>
      <c r="LVZ41" s="595"/>
      <c r="LWA41" s="595"/>
      <c r="LWB41" s="595"/>
      <c r="LWC41" s="595"/>
      <c r="LWD41" s="595"/>
      <c r="LWE41" s="595"/>
      <c r="LWF41" s="595"/>
      <c r="LWG41" s="595"/>
      <c r="LWH41" s="595"/>
      <c r="LWI41" s="595"/>
      <c r="LWJ41" s="595"/>
      <c r="LWK41" s="595"/>
      <c r="LWL41" s="595"/>
      <c r="LWM41" s="595"/>
      <c r="LWN41" s="595"/>
      <c r="LWO41" s="595"/>
      <c r="LWP41" s="595"/>
      <c r="LWQ41" s="595"/>
      <c r="LWR41" s="595"/>
      <c r="LWS41" s="595"/>
      <c r="LWT41" s="595"/>
      <c r="LWU41" s="595"/>
      <c r="LWV41" s="595"/>
      <c r="LWW41" s="595"/>
      <c r="LWX41" s="595"/>
      <c r="LWY41" s="595"/>
      <c r="LWZ41" s="595"/>
      <c r="LXA41" s="595"/>
      <c r="LXB41" s="595"/>
      <c r="LXC41" s="595"/>
      <c r="LXD41" s="595"/>
      <c r="LXE41" s="595"/>
      <c r="LXF41" s="595"/>
      <c r="LXG41" s="595"/>
      <c r="LXH41" s="595"/>
      <c r="LXI41" s="595"/>
      <c r="LXJ41" s="595"/>
      <c r="LXK41" s="595"/>
      <c r="LXL41" s="595"/>
      <c r="LXM41" s="595"/>
      <c r="LXN41" s="595"/>
      <c r="LXO41" s="595"/>
      <c r="LXP41" s="595"/>
      <c r="LXQ41" s="595"/>
      <c r="LXR41" s="595"/>
      <c r="LXS41" s="595"/>
      <c r="LXT41" s="595"/>
      <c r="LXU41" s="595"/>
      <c r="LXV41" s="595"/>
      <c r="LXW41" s="595"/>
      <c r="LXX41" s="595"/>
      <c r="LXY41" s="595"/>
      <c r="LXZ41" s="595"/>
      <c r="LYA41" s="595"/>
      <c r="LYB41" s="595"/>
      <c r="LYC41" s="595"/>
      <c r="LYD41" s="595"/>
      <c r="LYE41" s="595"/>
      <c r="LYF41" s="595"/>
      <c r="LYG41" s="595"/>
      <c r="LYH41" s="595"/>
      <c r="LYI41" s="595"/>
      <c r="LYJ41" s="595"/>
      <c r="LYK41" s="595"/>
      <c r="LYL41" s="595"/>
      <c r="LYM41" s="595"/>
      <c r="LYN41" s="595"/>
      <c r="LYO41" s="595"/>
      <c r="LYP41" s="595"/>
      <c r="LYQ41" s="595"/>
      <c r="LYR41" s="595"/>
      <c r="LYS41" s="595"/>
      <c r="LYT41" s="595"/>
      <c r="LYU41" s="595"/>
      <c r="LYV41" s="595"/>
      <c r="LYW41" s="595"/>
      <c r="LYX41" s="595"/>
      <c r="LYY41" s="595"/>
      <c r="LYZ41" s="595"/>
      <c r="LZA41" s="595"/>
      <c r="LZB41" s="595"/>
      <c r="LZC41" s="595"/>
      <c r="LZD41" s="595"/>
      <c r="LZE41" s="595"/>
      <c r="LZF41" s="595"/>
      <c r="LZG41" s="595"/>
      <c r="LZH41" s="595"/>
      <c r="LZI41" s="595"/>
      <c r="LZJ41" s="595"/>
      <c r="LZK41" s="595"/>
      <c r="LZL41" s="595"/>
      <c r="LZM41" s="595"/>
      <c r="LZN41" s="595"/>
      <c r="LZO41" s="595"/>
      <c r="LZP41" s="595"/>
      <c r="LZQ41" s="595"/>
      <c r="LZR41" s="595"/>
      <c r="LZS41" s="595"/>
      <c r="LZT41" s="595"/>
      <c r="LZU41" s="595"/>
      <c r="LZV41" s="595"/>
      <c r="LZW41" s="595"/>
      <c r="LZX41" s="595"/>
      <c r="LZY41" s="595"/>
      <c r="LZZ41" s="595"/>
      <c r="MAA41" s="595"/>
      <c r="MAB41" s="595"/>
      <c r="MAC41" s="595"/>
      <c r="MAD41" s="595"/>
      <c r="MAE41" s="595"/>
      <c r="MAF41" s="595"/>
      <c r="MAG41" s="595"/>
      <c r="MAH41" s="595"/>
      <c r="MAI41" s="595"/>
      <c r="MAJ41" s="595"/>
      <c r="MAK41" s="595"/>
      <c r="MAL41" s="595"/>
      <c r="MAM41" s="595"/>
      <c r="MAN41" s="595"/>
      <c r="MAO41" s="595"/>
      <c r="MAP41" s="595"/>
      <c r="MAQ41" s="595"/>
      <c r="MAR41" s="595"/>
      <c r="MAS41" s="595"/>
      <c r="MAT41" s="595"/>
      <c r="MAU41" s="595"/>
      <c r="MAV41" s="595"/>
      <c r="MAW41" s="595"/>
      <c r="MAX41" s="595"/>
      <c r="MAY41" s="595"/>
      <c r="MAZ41" s="595"/>
      <c r="MBA41" s="595"/>
      <c r="MBB41" s="595"/>
      <c r="MBC41" s="595"/>
      <c r="MBD41" s="595"/>
      <c r="MBE41" s="595"/>
      <c r="MBF41" s="595"/>
      <c r="MBG41" s="595"/>
      <c r="MBH41" s="595"/>
      <c r="MBI41" s="595"/>
      <c r="MBJ41" s="595"/>
      <c r="MBK41" s="595"/>
      <c r="MBL41" s="595"/>
      <c r="MBM41" s="595"/>
      <c r="MBN41" s="595"/>
      <c r="MBO41" s="595"/>
      <c r="MBP41" s="595"/>
      <c r="MBQ41" s="595"/>
      <c r="MBR41" s="595"/>
      <c r="MBS41" s="595"/>
      <c r="MBT41" s="595"/>
      <c r="MBU41" s="595"/>
      <c r="MBV41" s="595"/>
      <c r="MBW41" s="595"/>
      <c r="MBX41" s="595"/>
      <c r="MBY41" s="595"/>
      <c r="MBZ41" s="595"/>
      <c r="MCA41" s="595"/>
      <c r="MCB41" s="595"/>
      <c r="MCC41" s="595"/>
      <c r="MCD41" s="595"/>
      <c r="MCE41" s="595"/>
      <c r="MCF41" s="595"/>
      <c r="MCG41" s="595"/>
      <c r="MCH41" s="595"/>
      <c r="MCI41" s="595"/>
      <c r="MCJ41" s="595"/>
      <c r="MCK41" s="595"/>
      <c r="MCL41" s="595"/>
      <c r="MCM41" s="595"/>
      <c r="MCN41" s="595"/>
      <c r="MCO41" s="595"/>
      <c r="MCP41" s="595"/>
      <c r="MCQ41" s="595"/>
      <c r="MCR41" s="595"/>
      <c r="MCS41" s="595"/>
      <c r="MCT41" s="595"/>
      <c r="MCU41" s="595"/>
      <c r="MCV41" s="595"/>
      <c r="MCW41" s="595"/>
      <c r="MCX41" s="595"/>
      <c r="MCY41" s="595"/>
      <c r="MCZ41" s="595"/>
      <c r="MDA41" s="595"/>
      <c r="MDB41" s="595"/>
      <c r="MDC41" s="595"/>
      <c r="MDD41" s="595"/>
      <c r="MDE41" s="595"/>
      <c r="MDF41" s="595"/>
      <c r="MDG41" s="595"/>
      <c r="MDH41" s="595"/>
      <c r="MDI41" s="595"/>
      <c r="MDJ41" s="595"/>
      <c r="MDK41" s="595"/>
      <c r="MDL41" s="595"/>
      <c r="MDM41" s="595"/>
      <c r="MDN41" s="595"/>
      <c r="MDO41" s="595"/>
      <c r="MDP41" s="595"/>
      <c r="MDQ41" s="595"/>
      <c r="MDR41" s="595"/>
      <c r="MDS41" s="595"/>
      <c r="MDT41" s="595"/>
      <c r="MDU41" s="595"/>
      <c r="MDV41" s="595"/>
      <c r="MDW41" s="595"/>
      <c r="MDX41" s="595"/>
      <c r="MDY41" s="595"/>
      <c r="MDZ41" s="595"/>
      <c r="MEA41" s="595"/>
      <c r="MEB41" s="595"/>
      <c r="MEC41" s="595"/>
      <c r="MED41" s="595"/>
      <c r="MEE41" s="595"/>
      <c r="MEF41" s="595"/>
      <c r="MEG41" s="595"/>
      <c r="MEH41" s="595"/>
      <c r="MEI41" s="595"/>
      <c r="MEJ41" s="595"/>
      <c r="MEK41" s="595"/>
      <c r="MEL41" s="595"/>
      <c r="MEM41" s="595"/>
      <c r="MEN41" s="595"/>
      <c r="MEO41" s="595"/>
      <c r="MEP41" s="595"/>
      <c r="MEQ41" s="595"/>
      <c r="MER41" s="595"/>
      <c r="MES41" s="595"/>
      <c r="MET41" s="595"/>
      <c r="MEU41" s="595"/>
      <c r="MEV41" s="595"/>
      <c r="MEW41" s="595"/>
      <c r="MEX41" s="595"/>
      <c r="MEY41" s="595"/>
      <c r="MEZ41" s="595"/>
      <c r="MFA41" s="595"/>
      <c r="MFB41" s="595"/>
      <c r="MFC41" s="595"/>
      <c r="MFD41" s="595"/>
      <c r="MFE41" s="595"/>
      <c r="MFF41" s="595"/>
      <c r="MFG41" s="595"/>
      <c r="MFH41" s="595"/>
      <c r="MFI41" s="595"/>
      <c r="MFJ41" s="595"/>
      <c r="MFK41" s="595"/>
      <c r="MFL41" s="595"/>
      <c r="MFM41" s="595"/>
      <c r="MFN41" s="595"/>
      <c r="MFO41" s="595"/>
      <c r="MFP41" s="595"/>
      <c r="MFQ41" s="595"/>
      <c r="MFR41" s="595"/>
      <c r="MFS41" s="595"/>
      <c r="MFT41" s="595"/>
      <c r="MFU41" s="595"/>
      <c r="MFV41" s="595"/>
      <c r="MFW41" s="595"/>
      <c r="MFX41" s="595"/>
      <c r="MFY41" s="595"/>
      <c r="MFZ41" s="595"/>
      <c r="MGA41" s="595"/>
      <c r="MGB41" s="595"/>
      <c r="MGC41" s="595"/>
      <c r="MGD41" s="595"/>
      <c r="MGE41" s="595"/>
      <c r="MGF41" s="595"/>
      <c r="MGG41" s="595"/>
      <c r="MGH41" s="595"/>
      <c r="MGI41" s="595"/>
      <c r="MGJ41" s="595"/>
      <c r="MGK41" s="595"/>
      <c r="MGL41" s="595"/>
      <c r="MGM41" s="595"/>
      <c r="MGN41" s="595"/>
      <c r="MGO41" s="595"/>
      <c r="MGP41" s="595"/>
      <c r="MGQ41" s="595"/>
      <c r="MGR41" s="595"/>
      <c r="MGS41" s="595"/>
      <c r="MGT41" s="595"/>
      <c r="MGU41" s="595"/>
      <c r="MGV41" s="595"/>
      <c r="MGW41" s="595"/>
      <c r="MGX41" s="595"/>
      <c r="MGY41" s="595"/>
      <c r="MGZ41" s="595"/>
      <c r="MHA41" s="595"/>
      <c r="MHB41" s="595"/>
      <c r="MHC41" s="595"/>
      <c r="MHD41" s="595"/>
      <c r="MHE41" s="595"/>
      <c r="MHF41" s="595"/>
      <c r="MHG41" s="595"/>
      <c r="MHH41" s="595"/>
      <c r="MHI41" s="595"/>
      <c r="MHJ41" s="595"/>
      <c r="MHK41" s="595"/>
      <c r="MHL41" s="595"/>
      <c r="MHM41" s="595"/>
      <c r="MHN41" s="595"/>
      <c r="MHO41" s="595"/>
      <c r="MHP41" s="595"/>
      <c r="MHQ41" s="595"/>
      <c r="MHR41" s="595"/>
      <c r="MHS41" s="595"/>
      <c r="MHT41" s="595"/>
      <c r="MHU41" s="595"/>
      <c r="MHV41" s="595"/>
      <c r="MHW41" s="595"/>
      <c r="MHX41" s="595"/>
      <c r="MHY41" s="595"/>
      <c r="MHZ41" s="595"/>
      <c r="MIA41" s="595"/>
      <c r="MIB41" s="595"/>
      <c r="MIC41" s="595"/>
      <c r="MID41" s="595"/>
      <c r="MIE41" s="595"/>
      <c r="MIF41" s="595"/>
      <c r="MIG41" s="595"/>
      <c r="MIH41" s="595"/>
      <c r="MII41" s="595"/>
      <c r="MIJ41" s="595"/>
      <c r="MIK41" s="595"/>
      <c r="MIL41" s="595"/>
      <c r="MIM41" s="595"/>
      <c r="MIN41" s="595"/>
      <c r="MIO41" s="595"/>
      <c r="MIP41" s="595"/>
      <c r="MIQ41" s="595"/>
      <c r="MIR41" s="595"/>
      <c r="MIS41" s="595"/>
      <c r="MIT41" s="595"/>
      <c r="MIU41" s="595"/>
      <c r="MIV41" s="595"/>
      <c r="MIW41" s="595"/>
      <c r="MIX41" s="595"/>
      <c r="MIY41" s="595"/>
      <c r="MIZ41" s="595"/>
      <c r="MJA41" s="595"/>
      <c r="MJB41" s="595"/>
      <c r="MJC41" s="595"/>
      <c r="MJD41" s="595"/>
      <c r="MJE41" s="595"/>
      <c r="MJF41" s="595"/>
      <c r="MJG41" s="595"/>
      <c r="MJH41" s="595"/>
      <c r="MJI41" s="595"/>
      <c r="MJJ41" s="595"/>
      <c r="MJK41" s="595"/>
      <c r="MJL41" s="595"/>
      <c r="MJM41" s="595"/>
      <c r="MJN41" s="595"/>
      <c r="MJO41" s="595"/>
      <c r="MJP41" s="595"/>
      <c r="MJQ41" s="595"/>
      <c r="MJR41" s="595"/>
      <c r="MJS41" s="595"/>
      <c r="MJT41" s="595"/>
      <c r="MJU41" s="595"/>
      <c r="MJV41" s="595"/>
      <c r="MJW41" s="595"/>
      <c r="MJX41" s="595"/>
      <c r="MJY41" s="595"/>
      <c r="MJZ41" s="595"/>
      <c r="MKA41" s="595"/>
      <c r="MKB41" s="595"/>
      <c r="MKC41" s="595"/>
      <c r="MKD41" s="595"/>
      <c r="MKE41" s="595"/>
      <c r="MKF41" s="595"/>
      <c r="MKG41" s="595"/>
      <c r="MKH41" s="595"/>
      <c r="MKI41" s="595"/>
      <c r="MKJ41" s="595"/>
      <c r="MKK41" s="595"/>
      <c r="MKL41" s="595"/>
      <c r="MKM41" s="595"/>
      <c r="MKN41" s="595"/>
      <c r="MKO41" s="595"/>
      <c r="MKP41" s="595"/>
      <c r="MKQ41" s="595"/>
      <c r="MKR41" s="595"/>
      <c r="MKS41" s="595"/>
      <c r="MKT41" s="595"/>
      <c r="MKU41" s="595"/>
      <c r="MKV41" s="595"/>
      <c r="MKW41" s="595"/>
      <c r="MKX41" s="595"/>
      <c r="MKY41" s="595"/>
      <c r="MKZ41" s="595"/>
      <c r="MLA41" s="595"/>
      <c r="MLB41" s="595"/>
      <c r="MLC41" s="595"/>
      <c r="MLD41" s="595"/>
      <c r="MLE41" s="595"/>
      <c r="MLF41" s="595"/>
      <c r="MLG41" s="595"/>
      <c r="MLH41" s="595"/>
      <c r="MLI41" s="595"/>
      <c r="MLJ41" s="595"/>
      <c r="MLK41" s="595"/>
      <c r="MLL41" s="595"/>
      <c r="MLM41" s="595"/>
      <c r="MLN41" s="595"/>
      <c r="MLO41" s="595"/>
      <c r="MLP41" s="595"/>
      <c r="MLQ41" s="595"/>
      <c r="MLR41" s="595"/>
      <c r="MLS41" s="595"/>
      <c r="MLT41" s="595"/>
      <c r="MLU41" s="595"/>
      <c r="MLV41" s="595"/>
      <c r="MLW41" s="595"/>
      <c r="MLX41" s="595"/>
      <c r="MLY41" s="595"/>
      <c r="MLZ41" s="595"/>
      <c r="MMA41" s="595"/>
      <c r="MMB41" s="595"/>
      <c r="MMC41" s="595"/>
      <c r="MMD41" s="595"/>
      <c r="MME41" s="595"/>
      <c r="MMF41" s="595"/>
      <c r="MMG41" s="595"/>
      <c r="MMH41" s="595"/>
      <c r="MMI41" s="595"/>
      <c r="MMJ41" s="595"/>
      <c r="MMK41" s="595"/>
      <c r="MML41" s="595"/>
      <c r="MMM41" s="595"/>
      <c r="MMN41" s="595"/>
      <c r="MMO41" s="595"/>
      <c r="MMP41" s="595"/>
      <c r="MMQ41" s="595"/>
      <c r="MMR41" s="595"/>
      <c r="MMS41" s="595"/>
      <c r="MMT41" s="595"/>
      <c r="MMU41" s="595"/>
      <c r="MMV41" s="595"/>
      <c r="MMW41" s="595"/>
      <c r="MMX41" s="595"/>
      <c r="MMY41" s="595"/>
      <c r="MMZ41" s="595"/>
      <c r="MNA41" s="595"/>
      <c r="MNB41" s="595"/>
      <c r="MNC41" s="595"/>
      <c r="MND41" s="595"/>
      <c r="MNE41" s="595"/>
      <c r="MNF41" s="595"/>
      <c r="MNG41" s="595"/>
      <c r="MNH41" s="595"/>
      <c r="MNI41" s="595"/>
      <c r="MNJ41" s="595"/>
      <c r="MNK41" s="595"/>
      <c r="MNL41" s="595"/>
      <c r="MNM41" s="595"/>
      <c r="MNN41" s="595"/>
      <c r="MNO41" s="595"/>
      <c r="MNP41" s="595"/>
      <c r="MNQ41" s="595"/>
      <c r="MNR41" s="595"/>
      <c r="MNS41" s="595"/>
      <c r="MNT41" s="595"/>
      <c r="MNU41" s="595"/>
      <c r="MNV41" s="595"/>
      <c r="MNW41" s="595"/>
      <c r="MNX41" s="595"/>
      <c r="MNY41" s="595"/>
      <c r="MNZ41" s="595"/>
      <c r="MOA41" s="595"/>
      <c r="MOB41" s="595"/>
      <c r="MOC41" s="595"/>
      <c r="MOD41" s="595"/>
      <c r="MOE41" s="595"/>
      <c r="MOF41" s="595"/>
      <c r="MOG41" s="595"/>
      <c r="MOH41" s="595"/>
      <c r="MOI41" s="595"/>
      <c r="MOJ41" s="595"/>
      <c r="MOK41" s="595"/>
      <c r="MOL41" s="595"/>
      <c r="MOM41" s="595"/>
      <c r="MON41" s="595"/>
      <c r="MOO41" s="595"/>
      <c r="MOP41" s="595"/>
      <c r="MOQ41" s="595"/>
      <c r="MOR41" s="595"/>
      <c r="MOS41" s="595"/>
      <c r="MOT41" s="595"/>
      <c r="MOU41" s="595"/>
      <c r="MOV41" s="595"/>
      <c r="MOW41" s="595"/>
      <c r="MOX41" s="595"/>
      <c r="MOY41" s="595"/>
      <c r="MOZ41" s="595"/>
      <c r="MPA41" s="595"/>
      <c r="MPB41" s="595"/>
      <c r="MPC41" s="595"/>
      <c r="MPD41" s="595"/>
      <c r="MPE41" s="595"/>
      <c r="MPF41" s="595"/>
      <c r="MPG41" s="595"/>
      <c r="MPH41" s="595"/>
      <c r="MPI41" s="595"/>
      <c r="MPJ41" s="595"/>
      <c r="MPK41" s="595"/>
      <c r="MPL41" s="595"/>
      <c r="MPM41" s="595"/>
      <c r="MPN41" s="595"/>
      <c r="MPO41" s="595"/>
      <c r="MPP41" s="595"/>
      <c r="MPQ41" s="595"/>
      <c r="MPR41" s="595"/>
      <c r="MPS41" s="595"/>
      <c r="MPT41" s="595"/>
      <c r="MPU41" s="595"/>
      <c r="MPV41" s="595"/>
      <c r="MPW41" s="595"/>
      <c r="MPX41" s="595"/>
      <c r="MPY41" s="595"/>
      <c r="MPZ41" s="595"/>
      <c r="MQA41" s="595"/>
      <c r="MQB41" s="595"/>
      <c r="MQC41" s="595"/>
      <c r="MQD41" s="595"/>
      <c r="MQE41" s="595"/>
      <c r="MQF41" s="595"/>
      <c r="MQG41" s="595"/>
      <c r="MQH41" s="595"/>
      <c r="MQI41" s="595"/>
      <c r="MQJ41" s="595"/>
      <c r="MQK41" s="595"/>
      <c r="MQL41" s="595"/>
      <c r="MQM41" s="595"/>
      <c r="MQN41" s="595"/>
      <c r="MQO41" s="595"/>
      <c r="MQP41" s="595"/>
      <c r="MQQ41" s="595"/>
      <c r="MQR41" s="595"/>
      <c r="MQS41" s="595"/>
      <c r="MQT41" s="595"/>
      <c r="MQU41" s="595"/>
      <c r="MQV41" s="595"/>
      <c r="MQW41" s="595"/>
      <c r="MQX41" s="595"/>
      <c r="MQY41" s="595"/>
      <c r="MQZ41" s="595"/>
      <c r="MRA41" s="595"/>
      <c r="MRB41" s="595"/>
      <c r="MRC41" s="595"/>
      <c r="MRD41" s="595"/>
      <c r="MRE41" s="595"/>
      <c r="MRF41" s="595"/>
      <c r="MRG41" s="595"/>
      <c r="MRH41" s="595"/>
      <c r="MRI41" s="595"/>
      <c r="MRJ41" s="595"/>
      <c r="MRK41" s="595"/>
      <c r="MRL41" s="595"/>
      <c r="MRM41" s="595"/>
      <c r="MRN41" s="595"/>
      <c r="MRO41" s="595"/>
      <c r="MRP41" s="595"/>
      <c r="MRQ41" s="595"/>
      <c r="MRR41" s="595"/>
      <c r="MRS41" s="595"/>
      <c r="MRT41" s="595"/>
      <c r="MRU41" s="595"/>
      <c r="MRV41" s="595"/>
      <c r="MRW41" s="595"/>
      <c r="MRX41" s="595"/>
      <c r="MRY41" s="595"/>
      <c r="MRZ41" s="595"/>
      <c r="MSA41" s="595"/>
      <c r="MSB41" s="595"/>
      <c r="MSC41" s="595"/>
      <c r="MSD41" s="595"/>
      <c r="MSE41" s="595"/>
      <c r="MSF41" s="595"/>
      <c r="MSG41" s="595"/>
      <c r="MSH41" s="595"/>
      <c r="MSI41" s="595"/>
      <c r="MSJ41" s="595"/>
      <c r="MSK41" s="595"/>
      <c r="MSL41" s="595"/>
      <c r="MSM41" s="595"/>
      <c r="MSN41" s="595"/>
      <c r="MSO41" s="595"/>
      <c r="MSP41" s="595"/>
      <c r="MSQ41" s="595"/>
      <c r="MSR41" s="595"/>
      <c r="MSS41" s="595"/>
      <c r="MST41" s="595"/>
      <c r="MSU41" s="595"/>
      <c r="MSV41" s="595"/>
      <c r="MSW41" s="595"/>
      <c r="MSX41" s="595"/>
      <c r="MSY41" s="595"/>
      <c r="MSZ41" s="595"/>
      <c r="MTA41" s="595"/>
      <c r="MTB41" s="595"/>
      <c r="MTC41" s="595"/>
      <c r="MTD41" s="595"/>
      <c r="MTE41" s="595"/>
      <c r="MTF41" s="595"/>
      <c r="MTG41" s="595"/>
      <c r="MTH41" s="595"/>
      <c r="MTI41" s="595"/>
      <c r="MTJ41" s="595"/>
      <c r="MTK41" s="595"/>
      <c r="MTL41" s="595"/>
      <c r="MTM41" s="595"/>
      <c r="MTN41" s="595"/>
      <c r="MTO41" s="595"/>
      <c r="MTP41" s="595"/>
      <c r="MTQ41" s="595"/>
      <c r="MTR41" s="595"/>
      <c r="MTS41" s="595"/>
      <c r="MTT41" s="595"/>
      <c r="MTU41" s="595"/>
      <c r="MTV41" s="595"/>
      <c r="MTW41" s="595"/>
      <c r="MTX41" s="595"/>
      <c r="MTY41" s="595"/>
      <c r="MTZ41" s="595"/>
      <c r="MUA41" s="595"/>
      <c r="MUB41" s="595"/>
      <c r="MUC41" s="595"/>
      <c r="MUD41" s="595"/>
      <c r="MUE41" s="595"/>
      <c r="MUF41" s="595"/>
      <c r="MUG41" s="595"/>
      <c r="MUH41" s="595"/>
      <c r="MUI41" s="595"/>
      <c r="MUJ41" s="595"/>
      <c r="MUK41" s="595"/>
      <c r="MUL41" s="595"/>
      <c r="MUM41" s="595"/>
      <c r="MUN41" s="595"/>
      <c r="MUO41" s="595"/>
      <c r="MUP41" s="595"/>
      <c r="MUQ41" s="595"/>
      <c r="MUR41" s="595"/>
      <c r="MUS41" s="595"/>
      <c r="MUT41" s="595"/>
      <c r="MUU41" s="595"/>
      <c r="MUV41" s="595"/>
      <c r="MUW41" s="595"/>
      <c r="MUX41" s="595"/>
      <c r="MUY41" s="595"/>
      <c r="MUZ41" s="595"/>
      <c r="MVA41" s="595"/>
      <c r="MVB41" s="595"/>
      <c r="MVC41" s="595"/>
      <c r="MVD41" s="595"/>
      <c r="MVE41" s="595"/>
      <c r="MVF41" s="595"/>
      <c r="MVG41" s="595"/>
      <c r="MVH41" s="595"/>
      <c r="MVI41" s="595"/>
      <c r="MVJ41" s="595"/>
      <c r="MVK41" s="595"/>
      <c r="MVL41" s="595"/>
      <c r="MVM41" s="595"/>
      <c r="MVN41" s="595"/>
      <c r="MVO41" s="595"/>
      <c r="MVP41" s="595"/>
      <c r="MVQ41" s="595"/>
      <c r="MVR41" s="595"/>
      <c r="MVS41" s="595"/>
      <c r="MVT41" s="595"/>
      <c r="MVU41" s="595"/>
      <c r="MVV41" s="595"/>
      <c r="MVW41" s="595"/>
      <c r="MVX41" s="595"/>
      <c r="MVY41" s="595"/>
      <c r="MVZ41" s="595"/>
      <c r="MWA41" s="595"/>
      <c r="MWB41" s="595"/>
      <c r="MWC41" s="595"/>
      <c r="MWD41" s="595"/>
      <c r="MWE41" s="595"/>
      <c r="MWF41" s="595"/>
      <c r="MWG41" s="595"/>
      <c r="MWH41" s="595"/>
      <c r="MWI41" s="595"/>
      <c r="MWJ41" s="595"/>
      <c r="MWK41" s="595"/>
      <c r="MWL41" s="595"/>
      <c r="MWM41" s="595"/>
      <c r="MWN41" s="595"/>
      <c r="MWO41" s="595"/>
      <c r="MWP41" s="595"/>
      <c r="MWQ41" s="595"/>
      <c r="MWR41" s="595"/>
      <c r="MWS41" s="595"/>
      <c r="MWT41" s="595"/>
      <c r="MWU41" s="595"/>
      <c r="MWV41" s="595"/>
      <c r="MWW41" s="595"/>
      <c r="MWX41" s="595"/>
      <c r="MWY41" s="595"/>
      <c r="MWZ41" s="595"/>
      <c r="MXA41" s="595"/>
      <c r="MXB41" s="595"/>
      <c r="MXC41" s="595"/>
      <c r="MXD41" s="595"/>
      <c r="MXE41" s="595"/>
      <c r="MXF41" s="595"/>
      <c r="MXG41" s="595"/>
      <c r="MXH41" s="595"/>
      <c r="MXI41" s="595"/>
      <c r="MXJ41" s="595"/>
      <c r="MXK41" s="595"/>
      <c r="MXL41" s="595"/>
      <c r="MXM41" s="595"/>
      <c r="MXN41" s="595"/>
      <c r="MXO41" s="595"/>
      <c r="MXP41" s="595"/>
      <c r="MXQ41" s="595"/>
      <c r="MXR41" s="595"/>
      <c r="MXS41" s="595"/>
      <c r="MXT41" s="595"/>
      <c r="MXU41" s="595"/>
      <c r="MXV41" s="595"/>
      <c r="MXW41" s="595"/>
      <c r="MXX41" s="595"/>
      <c r="MXY41" s="595"/>
      <c r="MXZ41" s="595"/>
      <c r="MYA41" s="595"/>
      <c r="MYB41" s="595"/>
      <c r="MYC41" s="595"/>
      <c r="MYD41" s="595"/>
      <c r="MYE41" s="595"/>
      <c r="MYF41" s="595"/>
      <c r="MYG41" s="595"/>
      <c r="MYH41" s="595"/>
      <c r="MYI41" s="595"/>
      <c r="MYJ41" s="595"/>
      <c r="MYK41" s="595"/>
      <c r="MYL41" s="595"/>
      <c r="MYM41" s="595"/>
      <c r="MYN41" s="595"/>
      <c r="MYO41" s="595"/>
      <c r="MYP41" s="595"/>
      <c r="MYQ41" s="595"/>
      <c r="MYR41" s="595"/>
      <c r="MYS41" s="595"/>
      <c r="MYT41" s="595"/>
      <c r="MYU41" s="595"/>
      <c r="MYV41" s="595"/>
      <c r="MYW41" s="595"/>
      <c r="MYX41" s="595"/>
      <c r="MYY41" s="595"/>
      <c r="MYZ41" s="595"/>
      <c r="MZA41" s="595"/>
      <c r="MZB41" s="595"/>
      <c r="MZC41" s="595"/>
      <c r="MZD41" s="595"/>
      <c r="MZE41" s="595"/>
      <c r="MZF41" s="595"/>
      <c r="MZG41" s="595"/>
      <c r="MZH41" s="595"/>
      <c r="MZI41" s="595"/>
      <c r="MZJ41" s="595"/>
      <c r="MZK41" s="595"/>
      <c r="MZL41" s="595"/>
      <c r="MZM41" s="595"/>
      <c r="MZN41" s="595"/>
      <c r="MZO41" s="595"/>
      <c r="MZP41" s="595"/>
      <c r="MZQ41" s="595"/>
      <c r="MZR41" s="595"/>
      <c r="MZS41" s="595"/>
      <c r="MZT41" s="595"/>
      <c r="MZU41" s="595"/>
      <c r="MZV41" s="595"/>
      <c r="MZW41" s="595"/>
      <c r="MZX41" s="595"/>
      <c r="MZY41" s="595"/>
      <c r="MZZ41" s="595"/>
      <c r="NAA41" s="595"/>
      <c r="NAB41" s="595"/>
      <c r="NAC41" s="595"/>
      <c r="NAD41" s="595"/>
      <c r="NAE41" s="595"/>
      <c r="NAF41" s="595"/>
      <c r="NAG41" s="595"/>
      <c r="NAH41" s="595"/>
      <c r="NAI41" s="595"/>
      <c r="NAJ41" s="595"/>
      <c r="NAK41" s="595"/>
      <c r="NAL41" s="595"/>
      <c r="NAM41" s="595"/>
      <c r="NAN41" s="595"/>
      <c r="NAO41" s="595"/>
      <c r="NAP41" s="595"/>
      <c r="NAQ41" s="595"/>
      <c r="NAR41" s="595"/>
      <c r="NAS41" s="595"/>
      <c r="NAT41" s="595"/>
      <c r="NAU41" s="595"/>
      <c r="NAV41" s="595"/>
      <c r="NAW41" s="595"/>
      <c r="NAX41" s="595"/>
      <c r="NAY41" s="595"/>
      <c r="NAZ41" s="595"/>
      <c r="NBA41" s="595"/>
      <c r="NBB41" s="595"/>
      <c r="NBC41" s="595"/>
      <c r="NBD41" s="595"/>
      <c r="NBE41" s="595"/>
      <c r="NBF41" s="595"/>
      <c r="NBG41" s="595"/>
      <c r="NBH41" s="595"/>
      <c r="NBI41" s="595"/>
      <c r="NBJ41" s="595"/>
      <c r="NBK41" s="595"/>
      <c r="NBL41" s="595"/>
      <c r="NBM41" s="595"/>
      <c r="NBN41" s="595"/>
      <c r="NBO41" s="595"/>
      <c r="NBP41" s="595"/>
      <c r="NBQ41" s="595"/>
      <c r="NBR41" s="595"/>
      <c r="NBS41" s="595"/>
      <c r="NBT41" s="595"/>
      <c r="NBU41" s="595"/>
      <c r="NBV41" s="595"/>
      <c r="NBW41" s="595"/>
      <c r="NBX41" s="595"/>
      <c r="NBY41" s="595"/>
      <c r="NBZ41" s="595"/>
      <c r="NCA41" s="595"/>
      <c r="NCB41" s="595"/>
      <c r="NCC41" s="595"/>
      <c r="NCD41" s="595"/>
      <c r="NCE41" s="595"/>
      <c r="NCF41" s="595"/>
      <c r="NCG41" s="595"/>
      <c r="NCH41" s="595"/>
      <c r="NCI41" s="595"/>
      <c r="NCJ41" s="595"/>
      <c r="NCK41" s="595"/>
      <c r="NCL41" s="595"/>
      <c r="NCM41" s="595"/>
      <c r="NCN41" s="595"/>
      <c r="NCO41" s="595"/>
      <c r="NCP41" s="595"/>
      <c r="NCQ41" s="595"/>
      <c r="NCR41" s="595"/>
      <c r="NCS41" s="595"/>
      <c r="NCT41" s="595"/>
      <c r="NCU41" s="595"/>
      <c r="NCV41" s="595"/>
      <c r="NCW41" s="595"/>
      <c r="NCX41" s="595"/>
      <c r="NCY41" s="595"/>
      <c r="NCZ41" s="595"/>
      <c r="NDA41" s="595"/>
      <c r="NDB41" s="595"/>
      <c r="NDC41" s="595"/>
      <c r="NDD41" s="595"/>
      <c r="NDE41" s="595"/>
      <c r="NDF41" s="595"/>
      <c r="NDG41" s="595"/>
      <c r="NDH41" s="595"/>
      <c r="NDI41" s="595"/>
      <c r="NDJ41" s="595"/>
      <c r="NDK41" s="595"/>
      <c r="NDL41" s="595"/>
      <c r="NDM41" s="595"/>
      <c r="NDN41" s="595"/>
      <c r="NDO41" s="595"/>
      <c r="NDP41" s="595"/>
      <c r="NDQ41" s="595"/>
      <c r="NDR41" s="595"/>
      <c r="NDS41" s="595"/>
      <c r="NDT41" s="595"/>
      <c r="NDU41" s="595"/>
      <c r="NDV41" s="595"/>
      <c r="NDW41" s="595"/>
      <c r="NDX41" s="595"/>
      <c r="NDY41" s="595"/>
      <c r="NDZ41" s="595"/>
      <c r="NEA41" s="595"/>
      <c r="NEB41" s="595"/>
      <c r="NEC41" s="595"/>
      <c r="NED41" s="595"/>
      <c r="NEE41" s="595"/>
      <c r="NEF41" s="595"/>
      <c r="NEG41" s="595"/>
      <c r="NEH41" s="595"/>
      <c r="NEI41" s="595"/>
      <c r="NEJ41" s="595"/>
      <c r="NEK41" s="595"/>
      <c r="NEL41" s="595"/>
      <c r="NEM41" s="595"/>
      <c r="NEN41" s="595"/>
      <c r="NEO41" s="595"/>
      <c r="NEP41" s="595"/>
      <c r="NEQ41" s="595"/>
      <c r="NER41" s="595"/>
      <c r="NES41" s="595"/>
      <c r="NET41" s="595"/>
      <c r="NEU41" s="595"/>
      <c r="NEV41" s="595"/>
      <c r="NEW41" s="595"/>
      <c r="NEX41" s="595"/>
      <c r="NEY41" s="595"/>
      <c r="NEZ41" s="595"/>
      <c r="NFA41" s="595"/>
      <c r="NFB41" s="595"/>
      <c r="NFC41" s="595"/>
      <c r="NFD41" s="595"/>
      <c r="NFE41" s="595"/>
      <c r="NFF41" s="595"/>
      <c r="NFG41" s="595"/>
      <c r="NFH41" s="595"/>
      <c r="NFI41" s="595"/>
      <c r="NFJ41" s="595"/>
      <c r="NFK41" s="595"/>
      <c r="NFL41" s="595"/>
      <c r="NFM41" s="595"/>
      <c r="NFN41" s="595"/>
      <c r="NFO41" s="595"/>
      <c r="NFP41" s="595"/>
      <c r="NFQ41" s="595"/>
      <c r="NFR41" s="595"/>
      <c r="NFS41" s="595"/>
      <c r="NFT41" s="595"/>
      <c r="NFU41" s="595"/>
      <c r="NFV41" s="595"/>
      <c r="NFW41" s="595"/>
      <c r="NFX41" s="595"/>
      <c r="NFY41" s="595"/>
      <c r="NFZ41" s="595"/>
      <c r="NGA41" s="595"/>
      <c r="NGB41" s="595"/>
      <c r="NGC41" s="595"/>
      <c r="NGD41" s="595"/>
      <c r="NGE41" s="595"/>
      <c r="NGF41" s="595"/>
      <c r="NGG41" s="595"/>
      <c r="NGH41" s="595"/>
      <c r="NGI41" s="595"/>
      <c r="NGJ41" s="595"/>
      <c r="NGK41" s="595"/>
      <c r="NGL41" s="595"/>
      <c r="NGM41" s="595"/>
      <c r="NGN41" s="595"/>
      <c r="NGO41" s="595"/>
      <c r="NGP41" s="595"/>
      <c r="NGQ41" s="595"/>
      <c r="NGR41" s="595"/>
      <c r="NGS41" s="595"/>
      <c r="NGT41" s="595"/>
      <c r="NGU41" s="595"/>
      <c r="NGV41" s="595"/>
      <c r="NGW41" s="595"/>
      <c r="NGX41" s="595"/>
      <c r="NGY41" s="595"/>
      <c r="NGZ41" s="595"/>
      <c r="NHA41" s="595"/>
      <c r="NHB41" s="595"/>
      <c r="NHC41" s="595"/>
      <c r="NHD41" s="595"/>
      <c r="NHE41" s="595"/>
      <c r="NHF41" s="595"/>
      <c r="NHG41" s="595"/>
      <c r="NHH41" s="595"/>
      <c r="NHI41" s="595"/>
      <c r="NHJ41" s="595"/>
      <c r="NHK41" s="595"/>
      <c r="NHL41" s="595"/>
      <c r="NHM41" s="595"/>
      <c r="NHN41" s="595"/>
      <c r="NHO41" s="595"/>
      <c r="NHP41" s="595"/>
      <c r="NHQ41" s="595"/>
      <c r="NHR41" s="595"/>
      <c r="NHS41" s="595"/>
      <c r="NHT41" s="595"/>
      <c r="NHU41" s="595"/>
      <c r="NHV41" s="595"/>
      <c r="NHW41" s="595"/>
      <c r="NHX41" s="595"/>
      <c r="NHY41" s="595"/>
      <c r="NHZ41" s="595"/>
      <c r="NIA41" s="595"/>
      <c r="NIB41" s="595"/>
      <c r="NIC41" s="595"/>
      <c r="NID41" s="595"/>
      <c r="NIE41" s="595"/>
      <c r="NIF41" s="595"/>
      <c r="NIG41" s="595"/>
      <c r="NIH41" s="595"/>
      <c r="NII41" s="595"/>
      <c r="NIJ41" s="595"/>
      <c r="NIK41" s="595"/>
      <c r="NIL41" s="595"/>
      <c r="NIM41" s="595"/>
      <c r="NIN41" s="595"/>
      <c r="NIO41" s="595"/>
      <c r="NIP41" s="595"/>
      <c r="NIQ41" s="595"/>
      <c r="NIR41" s="595"/>
      <c r="NIS41" s="595"/>
      <c r="NIT41" s="595"/>
      <c r="NIU41" s="595"/>
      <c r="NIV41" s="595"/>
      <c r="NIW41" s="595"/>
      <c r="NIX41" s="595"/>
      <c r="NIY41" s="595"/>
      <c r="NIZ41" s="595"/>
      <c r="NJA41" s="595"/>
      <c r="NJB41" s="595"/>
      <c r="NJC41" s="595"/>
      <c r="NJD41" s="595"/>
      <c r="NJE41" s="595"/>
      <c r="NJF41" s="595"/>
      <c r="NJG41" s="595"/>
      <c r="NJH41" s="595"/>
      <c r="NJI41" s="595"/>
      <c r="NJJ41" s="595"/>
      <c r="NJK41" s="595"/>
      <c r="NJL41" s="595"/>
      <c r="NJM41" s="595"/>
      <c r="NJN41" s="595"/>
      <c r="NJO41" s="595"/>
      <c r="NJP41" s="595"/>
      <c r="NJQ41" s="595"/>
      <c r="NJR41" s="595"/>
      <c r="NJS41" s="595"/>
      <c r="NJT41" s="595"/>
      <c r="NJU41" s="595"/>
      <c r="NJV41" s="595"/>
      <c r="NJW41" s="595"/>
      <c r="NJX41" s="595"/>
      <c r="NJY41" s="595"/>
      <c r="NJZ41" s="595"/>
      <c r="NKA41" s="595"/>
      <c r="NKB41" s="595"/>
      <c r="NKC41" s="595"/>
      <c r="NKD41" s="595"/>
      <c r="NKE41" s="595"/>
      <c r="NKF41" s="595"/>
      <c r="NKG41" s="595"/>
      <c r="NKH41" s="595"/>
      <c r="NKI41" s="595"/>
      <c r="NKJ41" s="595"/>
      <c r="NKK41" s="595"/>
      <c r="NKL41" s="595"/>
      <c r="NKM41" s="595"/>
      <c r="NKN41" s="595"/>
      <c r="NKO41" s="595"/>
      <c r="NKP41" s="595"/>
      <c r="NKQ41" s="595"/>
      <c r="NKR41" s="595"/>
      <c r="NKS41" s="595"/>
      <c r="NKT41" s="595"/>
      <c r="NKU41" s="595"/>
      <c r="NKV41" s="595"/>
      <c r="NKW41" s="595"/>
      <c r="NKX41" s="595"/>
      <c r="NKY41" s="595"/>
      <c r="NKZ41" s="595"/>
      <c r="NLA41" s="595"/>
      <c r="NLB41" s="595"/>
      <c r="NLC41" s="595"/>
      <c r="NLD41" s="595"/>
      <c r="NLE41" s="595"/>
      <c r="NLF41" s="595"/>
      <c r="NLG41" s="595"/>
      <c r="NLH41" s="595"/>
      <c r="NLI41" s="595"/>
      <c r="NLJ41" s="595"/>
      <c r="NLK41" s="595"/>
      <c r="NLL41" s="595"/>
      <c r="NLM41" s="595"/>
      <c r="NLN41" s="595"/>
      <c r="NLO41" s="595"/>
      <c r="NLP41" s="595"/>
      <c r="NLQ41" s="595"/>
      <c r="NLR41" s="595"/>
      <c r="NLS41" s="595"/>
      <c r="NLT41" s="595"/>
      <c r="NLU41" s="595"/>
      <c r="NLV41" s="595"/>
      <c r="NLW41" s="595"/>
      <c r="NLX41" s="595"/>
      <c r="NLY41" s="595"/>
      <c r="NLZ41" s="595"/>
      <c r="NMA41" s="595"/>
      <c r="NMB41" s="595"/>
      <c r="NMC41" s="595"/>
      <c r="NMD41" s="595"/>
      <c r="NME41" s="595"/>
      <c r="NMF41" s="595"/>
      <c r="NMG41" s="595"/>
      <c r="NMH41" s="595"/>
      <c r="NMI41" s="595"/>
      <c r="NMJ41" s="595"/>
      <c r="NMK41" s="595"/>
      <c r="NML41" s="595"/>
      <c r="NMM41" s="595"/>
      <c r="NMN41" s="595"/>
      <c r="NMO41" s="595"/>
      <c r="NMP41" s="595"/>
      <c r="NMQ41" s="595"/>
      <c r="NMR41" s="595"/>
      <c r="NMS41" s="595"/>
      <c r="NMT41" s="595"/>
      <c r="NMU41" s="595"/>
      <c r="NMV41" s="595"/>
      <c r="NMW41" s="595"/>
      <c r="NMX41" s="595"/>
      <c r="NMY41" s="595"/>
      <c r="NMZ41" s="595"/>
      <c r="NNA41" s="595"/>
      <c r="NNB41" s="595"/>
      <c r="NNC41" s="595"/>
      <c r="NND41" s="595"/>
      <c r="NNE41" s="595"/>
      <c r="NNF41" s="595"/>
      <c r="NNG41" s="595"/>
      <c r="NNH41" s="595"/>
      <c r="NNI41" s="595"/>
      <c r="NNJ41" s="595"/>
      <c r="NNK41" s="595"/>
      <c r="NNL41" s="595"/>
      <c r="NNM41" s="595"/>
      <c r="NNN41" s="595"/>
      <c r="NNO41" s="595"/>
      <c r="NNP41" s="595"/>
      <c r="NNQ41" s="595"/>
      <c r="NNR41" s="595"/>
      <c r="NNS41" s="595"/>
      <c r="NNT41" s="595"/>
      <c r="NNU41" s="595"/>
      <c r="NNV41" s="595"/>
      <c r="NNW41" s="595"/>
      <c r="NNX41" s="595"/>
      <c r="NNY41" s="595"/>
      <c r="NNZ41" s="595"/>
      <c r="NOA41" s="595"/>
      <c r="NOB41" s="595"/>
      <c r="NOC41" s="595"/>
      <c r="NOD41" s="595"/>
      <c r="NOE41" s="595"/>
      <c r="NOF41" s="595"/>
      <c r="NOG41" s="595"/>
      <c r="NOH41" s="595"/>
      <c r="NOI41" s="595"/>
      <c r="NOJ41" s="595"/>
      <c r="NOK41" s="595"/>
      <c r="NOL41" s="595"/>
      <c r="NOM41" s="595"/>
      <c r="NON41" s="595"/>
      <c r="NOO41" s="595"/>
      <c r="NOP41" s="595"/>
      <c r="NOQ41" s="595"/>
      <c r="NOR41" s="595"/>
      <c r="NOS41" s="595"/>
      <c r="NOT41" s="595"/>
      <c r="NOU41" s="595"/>
      <c r="NOV41" s="595"/>
      <c r="NOW41" s="595"/>
      <c r="NOX41" s="595"/>
      <c r="NOY41" s="595"/>
      <c r="NOZ41" s="595"/>
      <c r="NPA41" s="595"/>
      <c r="NPB41" s="595"/>
      <c r="NPC41" s="595"/>
      <c r="NPD41" s="595"/>
      <c r="NPE41" s="595"/>
      <c r="NPF41" s="595"/>
      <c r="NPG41" s="595"/>
      <c r="NPH41" s="595"/>
      <c r="NPI41" s="595"/>
      <c r="NPJ41" s="595"/>
      <c r="NPK41" s="595"/>
      <c r="NPL41" s="595"/>
      <c r="NPM41" s="595"/>
      <c r="NPN41" s="595"/>
      <c r="NPO41" s="595"/>
      <c r="NPP41" s="595"/>
      <c r="NPQ41" s="595"/>
      <c r="NPR41" s="595"/>
      <c r="NPS41" s="595"/>
      <c r="NPT41" s="595"/>
      <c r="NPU41" s="595"/>
      <c r="NPV41" s="595"/>
      <c r="NPW41" s="595"/>
      <c r="NPX41" s="595"/>
      <c r="NPY41" s="595"/>
      <c r="NPZ41" s="595"/>
      <c r="NQA41" s="595"/>
      <c r="NQB41" s="595"/>
      <c r="NQC41" s="595"/>
      <c r="NQD41" s="595"/>
      <c r="NQE41" s="595"/>
      <c r="NQF41" s="595"/>
      <c r="NQG41" s="595"/>
      <c r="NQH41" s="595"/>
      <c r="NQI41" s="595"/>
      <c r="NQJ41" s="595"/>
      <c r="NQK41" s="595"/>
      <c r="NQL41" s="595"/>
      <c r="NQM41" s="595"/>
      <c r="NQN41" s="595"/>
      <c r="NQO41" s="595"/>
      <c r="NQP41" s="595"/>
      <c r="NQQ41" s="595"/>
      <c r="NQR41" s="595"/>
      <c r="NQS41" s="595"/>
      <c r="NQT41" s="595"/>
      <c r="NQU41" s="595"/>
      <c r="NQV41" s="595"/>
      <c r="NQW41" s="595"/>
      <c r="NQX41" s="595"/>
      <c r="NQY41" s="595"/>
      <c r="NQZ41" s="595"/>
      <c r="NRA41" s="595"/>
      <c r="NRB41" s="595"/>
      <c r="NRC41" s="595"/>
      <c r="NRD41" s="595"/>
      <c r="NRE41" s="595"/>
      <c r="NRF41" s="595"/>
      <c r="NRG41" s="595"/>
      <c r="NRH41" s="595"/>
      <c r="NRI41" s="595"/>
      <c r="NRJ41" s="595"/>
      <c r="NRK41" s="595"/>
      <c r="NRL41" s="595"/>
      <c r="NRM41" s="595"/>
      <c r="NRN41" s="595"/>
      <c r="NRO41" s="595"/>
      <c r="NRP41" s="595"/>
      <c r="NRQ41" s="595"/>
      <c r="NRR41" s="595"/>
      <c r="NRS41" s="595"/>
      <c r="NRT41" s="595"/>
      <c r="NRU41" s="595"/>
      <c r="NRV41" s="595"/>
      <c r="NRW41" s="595"/>
      <c r="NRX41" s="595"/>
      <c r="NRY41" s="595"/>
      <c r="NRZ41" s="595"/>
      <c r="NSA41" s="595"/>
      <c r="NSB41" s="595"/>
      <c r="NSC41" s="595"/>
      <c r="NSD41" s="595"/>
      <c r="NSE41" s="595"/>
      <c r="NSF41" s="595"/>
      <c r="NSG41" s="595"/>
      <c r="NSH41" s="595"/>
      <c r="NSI41" s="595"/>
      <c r="NSJ41" s="595"/>
      <c r="NSK41" s="595"/>
      <c r="NSL41" s="595"/>
      <c r="NSM41" s="595"/>
      <c r="NSN41" s="595"/>
      <c r="NSO41" s="595"/>
      <c r="NSP41" s="595"/>
      <c r="NSQ41" s="595"/>
      <c r="NSR41" s="595"/>
      <c r="NSS41" s="595"/>
      <c r="NST41" s="595"/>
      <c r="NSU41" s="595"/>
      <c r="NSV41" s="595"/>
      <c r="NSW41" s="595"/>
      <c r="NSX41" s="595"/>
      <c r="NSY41" s="595"/>
      <c r="NSZ41" s="595"/>
      <c r="NTA41" s="595"/>
      <c r="NTB41" s="595"/>
      <c r="NTC41" s="595"/>
      <c r="NTD41" s="595"/>
      <c r="NTE41" s="595"/>
      <c r="NTF41" s="595"/>
      <c r="NTG41" s="595"/>
      <c r="NTH41" s="595"/>
      <c r="NTI41" s="595"/>
      <c r="NTJ41" s="595"/>
      <c r="NTK41" s="595"/>
      <c r="NTL41" s="595"/>
      <c r="NTM41" s="595"/>
      <c r="NTN41" s="595"/>
      <c r="NTO41" s="595"/>
      <c r="NTP41" s="595"/>
      <c r="NTQ41" s="595"/>
      <c r="NTR41" s="595"/>
      <c r="NTS41" s="595"/>
      <c r="NTT41" s="595"/>
      <c r="NTU41" s="595"/>
      <c r="NTV41" s="595"/>
      <c r="NTW41" s="595"/>
      <c r="NTX41" s="595"/>
      <c r="NTY41" s="595"/>
      <c r="NTZ41" s="595"/>
      <c r="NUA41" s="595"/>
      <c r="NUB41" s="595"/>
      <c r="NUC41" s="595"/>
      <c r="NUD41" s="595"/>
      <c r="NUE41" s="595"/>
      <c r="NUF41" s="595"/>
      <c r="NUG41" s="595"/>
      <c r="NUH41" s="595"/>
      <c r="NUI41" s="595"/>
      <c r="NUJ41" s="595"/>
      <c r="NUK41" s="595"/>
      <c r="NUL41" s="595"/>
      <c r="NUM41" s="595"/>
      <c r="NUN41" s="595"/>
      <c r="NUO41" s="595"/>
      <c r="NUP41" s="595"/>
      <c r="NUQ41" s="595"/>
      <c r="NUR41" s="595"/>
      <c r="NUS41" s="595"/>
      <c r="NUT41" s="595"/>
      <c r="NUU41" s="595"/>
      <c r="NUV41" s="595"/>
      <c r="NUW41" s="595"/>
      <c r="NUX41" s="595"/>
      <c r="NUY41" s="595"/>
      <c r="NUZ41" s="595"/>
      <c r="NVA41" s="595"/>
      <c r="NVB41" s="595"/>
      <c r="NVC41" s="595"/>
      <c r="NVD41" s="595"/>
      <c r="NVE41" s="595"/>
      <c r="NVF41" s="595"/>
      <c r="NVG41" s="595"/>
      <c r="NVH41" s="595"/>
      <c r="NVI41" s="595"/>
      <c r="NVJ41" s="595"/>
      <c r="NVK41" s="595"/>
      <c r="NVL41" s="595"/>
      <c r="NVM41" s="595"/>
      <c r="NVN41" s="595"/>
      <c r="NVO41" s="595"/>
      <c r="NVP41" s="595"/>
      <c r="NVQ41" s="595"/>
      <c r="NVR41" s="595"/>
      <c r="NVS41" s="595"/>
      <c r="NVT41" s="595"/>
      <c r="NVU41" s="595"/>
      <c r="NVV41" s="595"/>
      <c r="NVW41" s="595"/>
      <c r="NVX41" s="595"/>
      <c r="NVY41" s="595"/>
      <c r="NVZ41" s="595"/>
      <c r="NWA41" s="595"/>
      <c r="NWB41" s="595"/>
      <c r="NWC41" s="595"/>
      <c r="NWD41" s="595"/>
      <c r="NWE41" s="595"/>
      <c r="NWF41" s="595"/>
      <c r="NWG41" s="595"/>
      <c r="NWH41" s="595"/>
      <c r="NWI41" s="595"/>
      <c r="NWJ41" s="595"/>
      <c r="NWK41" s="595"/>
      <c r="NWL41" s="595"/>
      <c r="NWM41" s="595"/>
      <c r="NWN41" s="595"/>
      <c r="NWO41" s="595"/>
      <c r="NWP41" s="595"/>
      <c r="NWQ41" s="595"/>
      <c r="NWR41" s="595"/>
      <c r="NWS41" s="595"/>
      <c r="NWT41" s="595"/>
      <c r="NWU41" s="595"/>
      <c r="NWV41" s="595"/>
      <c r="NWW41" s="595"/>
      <c r="NWX41" s="595"/>
      <c r="NWY41" s="595"/>
      <c r="NWZ41" s="595"/>
      <c r="NXA41" s="595"/>
      <c r="NXB41" s="595"/>
      <c r="NXC41" s="595"/>
      <c r="NXD41" s="595"/>
      <c r="NXE41" s="595"/>
      <c r="NXF41" s="595"/>
      <c r="NXG41" s="595"/>
      <c r="NXH41" s="595"/>
      <c r="NXI41" s="595"/>
      <c r="NXJ41" s="595"/>
      <c r="NXK41" s="595"/>
      <c r="NXL41" s="595"/>
      <c r="NXM41" s="595"/>
      <c r="NXN41" s="595"/>
      <c r="NXO41" s="595"/>
      <c r="NXP41" s="595"/>
      <c r="NXQ41" s="595"/>
      <c r="NXR41" s="595"/>
      <c r="NXS41" s="595"/>
      <c r="NXT41" s="595"/>
      <c r="NXU41" s="595"/>
      <c r="NXV41" s="595"/>
      <c r="NXW41" s="595"/>
      <c r="NXX41" s="595"/>
      <c r="NXY41" s="595"/>
      <c r="NXZ41" s="595"/>
      <c r="NYA41" s="595"/>
      <c r="NYB41" s="595"/>
      <c r="NYC41" s="595"/>
      <c r="NYD41" s="595"/>
      <c r="NYE41" s="595"/>
      <c r="NYF41" s="595"/>
      <c r="NYG41" s="595"/>
      <c r="NYH41" s="595"/>
      <c r="NYI41" s="595"/>
      <c r="NYJ41" s="595"/>
      <c r="NYK41" s="595"/>
      <c r="NYL41" s="595"/>
      <c r="NYM41" s="595"/>
      <c r="NYN41" s="595"/>
      <c r="NYO41" s="595"/>
      <c r="NYP41" s="595"/>
      <c r="NYQ41" s="595"/>
      <c r="NYR41" s="595"/>
      <c r="NYS41" s="595"/>
      <c r="NYT41" s="595"/>
      <c r="NYU41" s="595"/>
      <c r="NYV41" s="595"/>
      <c r="NYW41" s="595"/>
      <c r="NYX41" s="595"/>
      <c r="NYY41" s="595"/>
      <c r="NYZ41" s="595"/>
      <c r="NZA41" s="595"/>
      <c r="NZB41" s="595"/>
      <c r="NZC41" s="595"/>
      <c r="NZD41" s="595"/>
      <c r="NZE41" s="595"/>
      <c r="NZF41" s="595"/>
      <c r="NZG41" s="595"/>
      <c r="NZH41" s="595"/>
      <c r="NZI41" s="595"/>
      <c r="NZJ41" s="595"/>
      <c r="NZK41" s="595"/>
      <c r="NZL41" s="595"/>
      <c r="NZM41" s="595"/>
      <c r="NZN41" s="595"/>
      <c r="NZO41" s="595"/>
      <c r="NZP41" s="595"/>
      <c r="NZQ41" s="595"/>
      <c r="NZR41" s="595"/>
      <c r="NZS41" s="595"/>
      <c r="NZT41" s="595"/>
      <c r="NZU41" s="595"/>
      <c r="NZV41" s="595"/>
      <c r="NZW41" s="595"/>
      <c r="NZX41" s="595"/>
      <c r="NZY41" s="595"/>
      <c r="NZZ41" s="595"/>
      <c r="OAA41" s="595"/>
      <c r="OAB41" s="595"/>
      <c r="OAC41" s="595"/>
      <c r="OAD41" s="595"/>
      <c r="OAE41" s="595"/>
      <c r="OAF41" s="595"/>
      <c r="OAG41" s="595"/>
      <c r="OAH41" s="595"/>
      <c r="OAI41" s="595"/>
      <c r="OAJ41" s="595"/>
      <c r="OAK41" s="595"/>
      <c r="OAL41" s="595"/>
      <c r="OAM41" s="595"/>
      <c r="OAN41" s="595"/>
      <c r="OAO41" s="595"/>
      <c r="OAP41" s="595"/>
      <c r="OAQ41" s="595"/>
      <c r="OAR41" s="595"/>
      <c r="OAS41" s="595"/>
      <c r="OAT41" s="595"/>
      <c r="OAU41" s="595"/>
      <c r="OAV41" s="595"/>
      <c r="OAW41" s="595"/>
      <c r="OAX41" s="595"/>
      <c r="OAY41" s="595"/>
      <c r="OAZ41" s="595"/>
      <c r="OBA41" s="595"/>
      <c r="OBB41" s="595"/>
      <c r="OBC41" s="595"/>
      <c r="OBD41" s="595"/>
      <c r="OBE41" s="595"/>
      <c r="OBF41" s="595"/>
      <c r="OBG41" s="595"/>
      <c r="OBH41" s="595"/>
      <c r="OBI41" s="595"/>
      <c r="OBJ41" s="595"/>
      <c r="OBK41" s="595"/>
      <c r="OBL41" s="595"/>
      <c r="OBM41" s="595"/>
      <c r="OBN41" s="595"/>
      <c r="OBO41" s="595"/>
      <c r="OBP41" s="595"/>
      <c r="OBQ41" s="595"/>
      <c r="OBR41" s="595"/>
      <c r="OBS41" s="595"/>
      <c r="OBT41" s="595"/>
      <c r="OBU41" s="595"/>
      <c r="OBV41" s="595"/>
      <c r="OBW41" s="595"/>
      <c r="OBX41" s="595"/>
      <c r="OBY41" s="595"/>
      <c r="OBZ41" s="595"/>
      <c r="OCA41" s="595"/>
      <c r="OCB41" s="595"/>
      <c r="OCC41" s="595"/>
      <c r="OCD41" s="595"/>
      <c r="OCE41" s="595"/>
      <c r="OCF41" s="595"/>
      <c r="OCG41" s="595"/>
      <c r="OCH41" s="595"/>
      <c r="OCI41" s="595"/>
      <c r="OCJ41" s="595"/>
      <c r="OCK41" s="595"/>
      <c r="OCL41" s="595"/>
      <c r="OCM41" s="595"/>
      <c r="OCN41" s="595"/>
      <c r="OCO41" s="595"/>
      <c r="OCP41" s="595"/>
      <c r="OCQ41" s="595"/>
      <c r="OCR41" s="595"/>
      <c r="OCS41" s="595"/>
      <c r="OCT41" s="595"/>
      <c r="OCU41" s="595"/>
      <c r="OCV41" s="595"/>
      <c r="OCW41" s="595"/>
      <c r="OCX41" s="595"/>
      <c r="OCY41" s="595"/>
      <c r="OCZ41" s="595"/>
      <c r="ODA41" s="595"/>
      <c r="ODB41" s="595"/>
      <c r="ODC41" s="595"/>
      <c r="ODD41" s="595"/>
      <c r="ODE41" s="595"/>
      <c r="ODF41" s="595"/>
      <c r="ODG41" s="595"/>
      <c r="ODH41" s="595"/>
      <c r="ODI41" s="595"/>
      <c r="ODJ41" s="595"/>
      <c r="ODK41" s="595"/>
      <c r="ODL41" s="595"/>
      <c r="ODM41" s="595"/>
      <c r="ODN41" s="595"/>
      <c r="ODO41" s="595"/>
      <c r="ODP41" s="595"/>
      <c r="ODQ41" s="595"/>
      <c r="ODR41" s="595"/>
      <c r="ODS41" s="595"/>
      <c r="ODT41" s="595"/>
      <c r="ODU41" s="595"/>
      <c r="ODV41" s="595"/>
      <c r="ODW41" s="595"/>
      <c r="ODX41" s="595"/>
      <c r="ODY41" s="595"/>
      <c r="ODZ41" s="595"/>
      <c r="OEA41" s="595"/>
      <c r="OEB41" s="595"/>
      <c r="OEC41" s="595"/>
      <c r="OED41" s="595"/>
      <c r="OEE41" s="595"/>
      <c r="OEF41" s="595"/>
      <c r="OEG41" s="595"/>
      <c r="OEH41" s="595"/>
      <c r="OEI41" s="595"/>
      <c r="OEJ41" s="595"/>
      <c r="OEK41" s="595"/>
      <c r="OEL41" s="595"/>
      <c r="OEM41" s="595"/>
      <c r="OEN41" s="595"/>
      <c r="OEO41" s="595"/>
      <c r="OEP41" s="595"/>
      <c r="OEQ41" s="595"/>
      <c r="OER41" s="595"/>
      <c r="OES41" s="595"/>
      <c r="OET41" s="595"/>
      <c r="OEU41" s="595"/>
      <c r="OEV41" s="595"/>
      <c r="OEW41" s="595"/>
      <c r="OEX41" s="595"/>
      <c r="OEY41" s="595"/>
      <c r="OEZ41" s="595"/>
      <c r="OFA41" s="595"/>
      <c r="OFB41" s="595"/>
      <c r="OFC41" s="595"/>
      <c r="OFD41" s="595"/>
      <c r="OFE41" s="595"/>
      <c r="OFF41" s="595"/>
      <c r="OFG41" s="595"/>
      <c r="OFH41" s="595"/>
      <c r="OFI41" s="595"/>
      <c r="OFJ41" s="595"/>
      <c r="OFK41" s="595"/>
      <c r="OFL41" s="595"/>
      <c r="OFM41" s="595"/>
      <c r="OFN41" s="595"/>
      <c r="OFO41" s="595"/>
      <c r="OFP41" s="595"/>
      <c r="OFQ41" s="595"/>
      <c r="OFR41" s="595"/>
      <c r="OFS41" s="595"/>
      <c r="OFT41" s="595"/>
      <c r="OFU41" s="595"/>
      <c r="OFV41" s="595"/>
      <c r="OFW41" s="595"/>
      <c r="OFX41" s="595"/>
      <c r="OFY41" s="595"/>
      <c r="OFZ41" s="595"/>
      <c r="OGA41" s="595"/>
      <c r="OGB41" s="595"/>
      <c r="OGC41" s="595"/>
      <c r="OGD41" s="595"/>
      <c r="OGE41" s="595"/>
      <c r="OGF41" s="595"/>
      <c r="OGG41" s="595"/>
      <c r="OGH41" s="595"/>
      <c r="OGI41" s="595"/>
      <c r="OGJ41" s="595"/>
      <c r="OGK41" s="595"/>
      <c r="OGL41" s="595"/>
      <c r="OGM41" s="595"/>
      <c r="OGN41" s="595"/>
      <c r="OGO41" s="595"/>
      <c r="OGP41" s="595"/>
      <c r="OGQ41" s="595"/>
      <c r="OGR41" s="595"/>
      <c r="OGS41" s="595"/>
      <c r="OGT41" s="595"/>
      <c r="OGU41" s="595"/>
      <c r="OGV41" s="595"/>
      <c r="OGW41" s="595"/>
      <c r="OGX41" s="595"/>
      <c r="OGY41" s="595"/>
      <c r="OGZ41" s="595"/>
      <c r="OHA41" s="595"/>
      <c r="OHB41" s="595"/>
      <c r="OHC41" s="595"/>
      <c r="OHD41" s="595"/>
      <c r="OHE41" s="595"/>
      <c r="OHF41" s="595"/>
      <c r="OHG41" s="595"/>
      <c r="OHH41" s="595"/>
      <c r="OHI41" s="595"/>
      <c r="OHJ41" s="595"/>
      <c r="OHK41" s="595"/>
      <c r="OHL41" s="595"/>
      <c r="OHM41" s="595"/>
      <c r="OHN41" s="595"/>
      <c r="OHO41" s="595"/>
      <c r="OHP41" s="595"/>
      <c r="OHQ41" s="595"/>
      <c r="OHR41" s="595"/>
      <c r="OHS41" s="595"/>
      <c r="OHT41" s="595"/>
      <c r="OHU41" s="595"/>
      <c r="OHV41" s="595"/>
      <c r="OHW41" s="595"/>
      <c r="OHX41" s="595"/>
      <c r="OHY41" s="595"/>
      <c r="OHZ41" s="595"/>
      <c r="OIA41" s="595"/>
      <c r="OIB41" s="595"/>
      <c r="OIC41" s="595"/>
      <c r="OID41" s="595"/>
      <c r="OIE41" s="595"/>
      <c r="OIF41" s="595"/>
      <c r="OIG41" s="595"/>
      <c r="OIH41" s="595"/>
      <c r="OII41" s="595"/>
      <c r="OIJ41" s="595"/>
      <c r="OIK41" s="595"/>
      <c r="OIL41" s="595"/>
      <c r="OIM41" s="595"/>
      <c r="OIN41" s="595"/>
      <c r="OIO41" s="595"/>
      <c r="OIP41" s="595"/>
      <c r="OIQ41" s="595"/>
      <c r="OIR41" s="595"/>
      <c r="OIS41" s="595"/>
      <c r="OIT41" s="595"/>
      <c r="OIU41" s="595"/>
      <c r="OIV41" s="595"/>
      <c r="OIW41" s="595"/>
      <c r="OIX41" s="595"/>
      <c r="OIY41" s="595"/>
      <c r="OIZ41" s="595"/>
      <c r="OJA41" s="595"/>
      <c r="OJB41" s="595"/>
      <c r="OJC41" s="595"/>
      <c r="OJD41" s="595"/>
      <c r="OJE41" s="595"/>
      <c r="OJF41" s="595"/>
      <c r="OJG41" s="595"/>
      <c r="OJH41" s="595"/>
      <c r="OJI41" s="595"/>
      <c r="OJJ41" s="595"/>
      <c r="OJK41" s="595"/>
      <c r="OJL41" s="595"/>
      <c r="OJM41" s="595"/>
      <c r="OJN41" s="595"/>
      <c r="OJO41" s="595"/>
      <c r="OJP41" s="595"/>
      <c r="OJQ41" s="595"/>
      <c r="OJR41" s="595"/>
      <c r="OJS41" s="595"/>
      <c r="OJT41" s="595"/>
      <c r="OJU41" s="595"/>
      <c r="OJV41" s="595"/>
      <c r="OJW41" s="595"/>
      <c r="OJX41" s="595"/>
      <c r="OJY41" s="595"/>
      <c r="OJZ41" s="595"/>
      <c r="OKA41" s="595"/>
      <c r="OKB41" s="595"/>
      <c r="OKC41" s="595"/>
      <c r="OKD41" s="595"/>
      <c r="OKE41" s="595"/>
      <c r="OKF41" s="595"/>
      <c r="OKG41" s="595"/>
      <c r="OKH41" s="595"/>
      <c r="OKI41" s="595"/>
      <c r="OKJ41" s="595"/>
      <c r="OKK41" s="595"/>
      <c r="OKL41" s="595"/>
      <c r="OKM41" s="595"/>
      <c r="OKN41" s="595"/>
      <c r="OKO41" s="595"/>
      <c r="OKP41" s="595"/>
      <c r="OKQ41" s="595"/>
      <c r="OKR41" s="595"/>
      <c r="OKS41" s="595"/>
      <c r="OKT41" s="595"/>
      <c r="OKU41" s="595"/>
      <c r="OKV41" s="595"/>
      <c r="OKW41" s="595"/>
      <c r="OKX41" s="595"/>
      <c r="OKY41" s="595"/>
      <c r="OKZ41" s="595"/>
      <c r="OLA41" s="595"/>
      <c r="OLB41" s="595"/>
      <c r="OLC41" s="595"/>
      <c r="OLD41" s="595"/>
      <c r="OLE41" s="595"/>
      <c r="OLF41" s="595"/>
      <c r="OLG41" s="595"/>
      <c r="OLH41" s="595"/>
      <c r="OLI41" s="595"/>
      <c r="OLJ41" s="595"/>
      <c r="OLK41" s="595"/>
      <c r="OLL41" s="595"/>
      <c r="OLM41" s="595"/>
      <c r="OLN41" s="595"/>
      <c r="OLO41" s="595"/>
      <c r="OLP41" s="595"/>
      <c r="OLQ41" s="595"/>
      <c r="OLR41" s="595"/>
      <c r="OLS41" s="595"/>
      <c r="OLT41" s="595"/>
      <c r="OLU41" s="595"/>
      <c r="OLV41" s="595"/>
      <c r="OLW41" s="595"/>
      <c r="OLX41" s="595"/>
      <c r="OLY41" s="595"/>
      <c r="OLZ41" s="595"/>
      <c r="OMA41" s="595"/>
      <c r="OMB41" s="595"/>
      <c r="OMC41" s="595"/>
      <c r="OMD41" s="595"/>
      <c r="OME41" s="595"/>
      <c r="OMF41" s="595"/>
      <c r="OMG41" s="595"/>
      <c r="OMH41" s="595"/>
      <c r="OMI41" s="595"/>
      <c r="OMJ41" s="595"/>
      <c r="OMK41" s="595"/>
      <c r="OML41" s="595"/>
      <c r="OMM41" s="595"/>
      <c r="OMN41" s="595"/>
      <c r="OMO41" s="595"/>
      <c r="OMP41" s="595"/>
      <c r="OMQ41" s="595"/>
      <c r="OMR41" s="595"/>
      <c r="OMS41" s="595"/>
      <c r="OMT41" s="595"/>
      <c r="OMU41" s="595"/>
      <c r="OMV41" s="595"/>
      <c r="OMW41" s="595"/>
      <c r="OMX41" s="595"/>
      <c r="OMY41" s="595"/>
      <c r="OMZ41" s="595"/>
      <c r="ONA41" s="595"/>
      <c r="ONB41" s="595"/>
      <c r="ONC41" s="595"/>
      <c r="OND41" s="595"/>
      <c r="ONE41" s="595"/>
      <c r="ONF41" s="595"/>
      <c r="ONG41" s="595"/>
      <c r="ONH41" s="595"/>
      <c r="ONI41" s="595"/>
      <c r="ONJ41" s="595"/>
      <c r="ONK41" s="595"/>
      <c r="ONL41" s="595"/>
      <c r="ONM41" s="595"/>
      <c r="ONN41" s="595"/>
      <c r="ONO41" s="595"/>
      <c r="ONP41" s="595"/>
      <c r="ONQ41" s="595"/>
      <c r="ONR41" s="595"/>
      <c r="ONS41" s="595"/>
      <c r="ONT41" s="595"/>
      <c r="ONU41" s="595"/>
      <c r="ONV41" s="595"/>
      <c r="ONW41" s="595"/>
      <c r="ONX41" s="595"/>
      <c r="ONY41" s="595"/>
      <c r="ONZ41" s="595"/>
      <c r="OOA41" s="595"/>
      <c r="OOB41" s="595"/>
      <c r="OOC41" s="595"/>
      <c r="OOD41" s="595"/>
      <c r="OOE41" s="595"/>
      <c r="OOF41" s="595"/>
      <c r="OOG41" s="595"/>
      <c r="OOH41" s="595"/>
      <c r="OOI41" s="595"/>
      <c r="OOJ41" s="595"/>
      <c r="OOK41" s="595"/>
      <c r="OOL41" s="595"/>
      <c r="OOM41" s="595"/>
      <c r="OON41" s="595"/>
      <c r="OOO41" s="595"/>
      <c r="OOP41" s="595"/>
      <c r="OOQ41" s="595"/>
      <c r="OOR41" s="595"/>
      <c r="OOS41" s="595"/>
      <c r="OOT41" s="595"/>
      <c r="OOU41" s="595"/>
      <c r="OOV41" s="595"/>
      <c r="OOW41" s="595"/>
      <c r="OOX41" s="595"/>
      <c r="OOY41" s="595"/>
      <c r="OOZ41" s="595"/>
      <c r="OPA41" s="595"/>
      <c r="OPB41" s="595"/>
      <c r="OPC41" s="595"/>
      <c r="OPD41" s="595"/>
      <c r="OPE41" s="595"/>
      <c r="OPF41" s="595"/>
      <c r="OPG41" s="595"/>
      <c r="OPH41" s="595"/>
      <c r="OPI41" s="595"/>
      <c r="OPJ41" s="595"/>
      <c r="OPK41" s="595"/>
      <c r="OPL41" s="595"/>
      <c r="OPM41" s="595"/>
      <c r="OPN41" s="595"/>
      <c r="OPO41" s="595"/>
      <c r="OPP41" s="595"/>
      <c r="OPQ41" s="595"/>
      <c r="OPR41" s="595"/>
      <c r="OPS41" s="595"/>
      <c r="OPT41" s="595"/>
      <c r="OPU41" s="595"/>
      <c r="OPV41" s="595"/>
      <c r="OPW41" s="595"/>
      <c r="OPX41" s="595"/>
      <c r="OPY41" s="595"/>
      <c r="OPZ41" s="595"/>
      <c r="OQA41" s="595"/>
      <c r="OQB41" s="595"/>
      <c r="OQC41" s="595"/>
      <c r="OQD41" s="595"/>
      <c r="OQE41" s="595"/>
      <c r="OQF41" s="595"/>
      <c r="OQG41" s="595"/>
      <c r="OQH41" s="595"/>
      <c r="OQI41" s="595"/>
      <c r="OQJ41" s="595"/>
      <c r="OQK41" s="595"/>
      <c r="OQL41" s="595"/>
      <c r="OQM41" s="595"/>
      <c r="OQN41" s="595"/>
      <c r="OQO41" s="595"/>
      <c r="OQP41" s="595"/>
      <c r="OQQ41" s="595"/>
      <c r="OQR41" s="595"/>
      <c r="OQS41" s="595"/>
      <c r="OQT41" s="595"/>
      <c r="OQU41" s="595"/>
      <c r="OQV41" s="595"/>
      <c r="OQW41" s="595"/>
      <c r="OQX41" s="595"/>
      <c r="OQY41" s="595"/>
      <c r="OQZ41" s="595"/>
      <c r="ORA41" s="595"/>
      <c r="ORB41" s="595"/>
      <c r="ORC41" s="595"/>
      <c r="ORD41" s="595"/>
      <c r="ORE41" s="595"/>
      <c r="ORF41" s="595"/>
      <c r="ORG41" s="595"/>
      <c r="ORH41" s="595"/>
      <c r="ORI41" s="595"/>
      <c r="ORJ41" s="595"/>
      <c r="ORK41" s="595"/>
      <c r="ORL41" s="595"/>
      <c r="ORM41" s="595"/>
      <c r="ORN41" s="595"/>
      <c r="ORO41" s="595"/>
      <c r="ORP41" s="595"/>
      <c r="ORQ41" s="595"/>
      <c r="ORR41" s="595"/>
      <c r="ORS41" s="595"/>
      <c r="ORT41" s="595"/>
      <c r="ORU41" s="595"/>
      <c r="ORV41" s="595"/>
      <c r="ORW41" s="595"/>
      <c r="ORX41" s="595"/>
      <c r="ORY41" s="595"/>
      <c r="ORZ41" s="595"/>
      <c r="OSA41" s="595"/>
      <c r="OSB41" s="595"/>
      <c r="OSC41" s="595"/>
      <c r="OSD41" s="595"/>
      <c r="OSE41" s="595"/>
      <c r="OSF41" s="595"/>
      <c r="OSG41" s="595"/>
      <c r="OSH41" s="595"/>
      <c r="OSI41" s="595"/>
      <c r="OSJ41" s="595"/>
      <c r="OSK41" s="595"/>
      <c r="OSL41" s="595"/>
      <c r="OSM41" s="595"/>
      <c r="OSN41" s="595"/>
      <c r="OSO41" s="595"/>
      <c r="OSP41" s="595"/>
      <c r="OSQ41" s="595"/>
      <c r="OSR41" s="595"/>
      <c r="OSS41" s="595"/>
      <c r="OST41" s="595"/>
      <c r="OSU41" s="595"/>
      <c r="OSV41" s="595"/>
      <c r="OSW41" s="595"/>
      <c r="OSX41" s="595"/>
      <c r="OSY41" s="595"/>
      <c r="OSZ41" s="595"/>
      <c r="OTA41" s="595"/>
      <c r="OTB41" s="595"/>
      <c r="OTC41" s="595"/>
      <c r="OTD41" s="595"/>
      <c r="OTE41" s="595"/>
      <c r="OTF41" s="595"/>
      <c r="OTG41" s="595"/>
      <c r="OTH41" s="595"/>
      <c r="OTI41" s="595"/>
      <c r="OTJ41" s="595"/>
      <c r="OTK41" s="595"/>
      <c r="OTL41" s="595"/>
      <c r="OTM41" s="595"/>
      <c r="OTN41" s="595"/>
      <c r="OTO41" s="595"/>
      <c r="OTP41" s="595"/>
      <c r="OTQ41" s="595"/>
      <c r="OTR41" s="595"/>
      <c r="OTS41" s="595"/>
      <c r="OTT41" s="595"/>
      <c r="OTU41" s="595"/>
      <c r="OTV41" s="595"/>
      <c r="OTW41" s="595"/>
      <c r="OTX41" s="595"/>
      <c r="OTY41" s="595"/>
      <c r="OTZ41" s="595"/>
      <c r="OUA41" s="595"/>
      <c r="OUB41" s="595"/>
      <c r="OUC41" s="595"/>
      <c r="OUD41" s="595"/>
      <c r="OUE41" s="595"/>
      <c r="OUF41" s="595"/>
      <c r="OUG41" s="595"/>
      <c r="OUH41" s="595"/>
      <c r="OUI41" s="595"/>
      <c r="OUJ41" s="595"/>
      <c r="OUK41" s="595"/>
      <c r="OUL41" s="595"/>
      <c r="OUM41" s="595"/>
      <c r="OUN41" s="595"/>
      <c r="OUO41" s="595"/>
      <c r="OUP41" s="595"/>
      <c r="OUQ41" s="595"/>
      <c r="OUR41" s="595"/>
      <c r="OUS41" s="595"/>
      <c r="OUT41" s="595"/>
      <c r="OUU41" s="595"/>
      <c r="OUV41" s="595"/>
      <c r="OUW41" s="595"/>
      <c r="OUX41" s="595"/>
      <c r="OUY41" s="595"/>
      <c r="OUZ41" s="595"/>
      <c r="OVA41" s="595"/>
      <c r="OVB41" s="595"/>
      <c r="OVC41" s="595"/>
      <c r="OVD41" s="595"/>
      <c r="OVE41" s="595"/>
      <c r="OVF41" s="595"/>
      <c r="OVG41" s="595"/>
      <c r="OVH41" s="595"/>
      <c r="OVI41" s="595"/>
      <c r="OVJ41" s="595"/>
      <c r="OVK41" s="595"/>
      <c r="OVL41" s="595"/>
      <c r="OVM41" s="595"/>
      <c r="OVN41" s="595"/>
      <c r="OVO41" s="595"/>
      <c r="OVP41" s="595"/>
      <c r="OVQ41" s="595"/>
      <c r="OVR41" s="595"/>
      <c r="OVS41" s="595"/>
      <c r="OVT41" s="595"/>
      <c r="OVU41" s="595"/>
      <c r="OVV41" s="595"/>
      <c r="OVW41" s="595"/>
      <c r="OVX41" s="595"/>
      <c r="OVY41" s="595"/>
      <c r="OVZ41" s="595"/>
      <c r="OWA41" s="595"/>
      <c r="OWB41" s="595"/>
      <c r="OWC41" s="595"/>
      <c r="OWD41" s="595"/>
      <c r="OWE41" s="595"/>
      <c r="OWF41" s="595"/>
      <c r="OWG41" s="595"/>
      <c r="OWH41" s="595"/>
      <c r="OWI41" s="595"/>
      <c r="OWJ41" s="595"/>
      <c r="OWK41" s="595"/>
      <c r="OWL41" s="595"/>
      <c r="OWM41" s="595"/>
      <c r="OWN41" s="595"/>
      <c r="OWO41" s="595"/>
      <c r="OWP41" s="595"/>
      <c r="OWQ41" s="595"/>
      <c r="OWR41" s="595"/>
      <c r="OWS41" s="595"/>
      <c r="OWT41" s="595"/>
      <c r="OWU41" s="595"/>
      <c r="OWV41" s="595"/>
      <c r="OWW41" s="595"/>
      <c r="OWX41" s="595"/>
      <c r="OWY41" s="595"/>
      <c r="OWZ41" s="595"/>
      <c r="OXA41" s="595"/>
      <c r="OXB41" s="595"/>
      <c r="OXC41" s="595"/>
      <c r="OXD41" s="595"/>
      <c r="OXE41" s="595"/>
      <c r="OXF41" s="595"/>
      <c r="OXG41" s="595"/>
      <c r="OXH41" s="595"/>
      <c r="OXI41" s="595"/>
      <c r="OXJ41" s="595"/>
      <c r="OXK41" s="595"/>
      <c r="OXL41" s="595"/>
      <c r="OXM41" s="595"/>
      <c r="OXN41" s="595"/>
      <c r="OXO41" s="595"/>
      <c r="OXP41" s="595"/>
      <c r="OXQ41" s="595"/>
      <c r="OXR41" s="595"/>
      <c r="OXS41" s="595"/>
      <c r="OXT41" s="595"/>
      <c r="OXU41" s="595"/>
      <c r="OXV41" s="595"/>
      <c r="OXW41" s="595"/>
      <c r="OXX41" s="595"/>
      <c r="OXY41" s="595"/>
      <c r="OXZ41" s="595"/>
      <c r="OYA41" s="595"/>
      <c r="OYB41" s="595"/>
      <c r="OYC41" s="595"/>
      <c r="OYD41" s="595"/>
      <c r="OYE41" s="595"/>
      <c r="OYF41" s="595"/>
      <c r="OYG41" s="595"/>
      <c r="OYH41" s="595"/>
      <c r="OYI41" s="595"/>
      <c r="OYJ41" s="595"/>
      <c r="OYK41" s="595"/>
      <c r="OYL41" s="595"/>
      <c r="OYM41" s="595"/>
      <c r="OYN41" s="595"/>
      <c r="OYO41" s="595"/>
      <c r="OYP41" s="595"/>
      <c r="OYQ41" s="595"/>
      <c r="OYR41" s="595"/>
      <c r="OYS41" s="595"/>
      <c r="OYT41" s="595"/>
      <c r="OYU41" s="595"/>
      <c r="OYV41" s="595"/>
      <c r="OYW41" s="595"/>
      <c r="OYX41" s="595"/>
      <c r="OYY41" s="595"/>
      <c r="OYZ41" s="595"/>
      <c r="OZA41" s="595"/>
      <c r="OZB41" s="595"/>
      <c r="OZC41" s="595"/>
      <c r="OZD41" s="595"/>
      <c r="OZE41" s="595"/>
      <c r="OZF41" s="595"/>
      <c r="OZG41" s="595"/>
      <c r="OZH41" s="595"/>
      <c r="OZI41" s="595"/>
      <c r="OZJ41" s="595"/>
      <c r="OZK41" s="595"/>
      <c r="OZL41" s="595"/>
      <c r="OZM41" s="595"/>
      <c r="OZN41" s="595"/>
      <c r="OZO41" s="595"/>
      <c r="OZP41" s="595"/>
      <c r="OZQ41" s="595"/>
      <c r="OZR41" s="595"/>
      <c r="OZS41" s="595"/>
      <c r="OZT41" s="595"/>
      <c r="OZU41" s="595"/>
      <c r="OZV41" s="595"/>
      <c r="OZW41" s="595"/>
      <c r="OZX41" s="595"/>
      <c r="OZY41" s="595"/>
      <c r="OZZ41" s="595"/>
      <c r="PAA41" s="595"/>
      <c r="PAB41" s="595"/>
      <c r="PAC41" s="595"/>
      <c r="PAD41" s="595"/>
      <c r="PAE41" s="595"/>
      <c r="PAF41" s="595"/>
      <c r="PAG41" s="595"/>
      <c r="PAH41" s="595"/>
      <c r="PAI41" s="595"/>
      <c r="PAJ41" s="595"/>
      <c r="PAK41" s="595"/>
      <c r="PAL41" s="595"/>
      <c r="PAM41" s="595"/>
      <c r="PAN41" s="595"/>
      <c r="PAO41" s="595"/>
      <c r="PAP41" s="595"/>
      <c r="PAQ41" s="595"/>
      <c r="PAR41" s="595"/>
      <c r="PAS41" s="595"/>
      <c r="PAT41" s="595"/>
      <c r="PAU41" s="595"/>
      <c r="PAV41" s="595"/>
      <c r="PAW41" s="595"/>
      <c r="PAX41" s="595"/>
      <c r="PAY41" s="595"/>
      <c r="PAZ41" s="595"/>
      <c r="PBA41" s="595"/>
      <c r="PBB41" s="595"/>
      <c r="PBC41" s="595"/>
      <c r="PBD41" s="595"/>
      <c r="PBE41" s="595"/>
      <c r="PBF41" s="595"/>
      <c r="PBG41" s="595"/>
      <c r="PBH41" s="595"/>
      <c r="PBI41" s="595"/>
      <c r="PBJ41" s="595"/>
      <c r="PBK41" s="595"/>
      <c r="PBL41" s="595"/>
      <c r="PBM41" s="595"/>
      <c r="PBN41" s="595"/>
      <c r="PBO41" s="595"/>
      <c r="PBP41" s="595"/>
      <c r="PBQ41" s="595"/>
      <c r="PBR41" s="595"/>
      <c r="PBS41" s="595"/>
      <c r="PBT41" s="595"/>
      <c r="PBU41" s="595"/>
      <c r="PBV41" s="595"/>
      <c r="PBW41" s="595"/>
      <c r="PBX41" s="595"/>
      <c r="PBY41" s="595"/>
      <c r="PBZ41" s="595"/>
      <c r="PCA41" s="595"/>
      <c r="PCB41" s="595"/>
      <c r="PCC41" s="595"/>
      <c r="PCD41" s="595"/>
      <c r="PCE41" s="595"/>
      <c r="PCF41" s="595"/>
      <c r="PCG41" s="595"/>
      <c r="PCH41" s="595"/>
      <c r="PCI41" s="595"/>
      <c r="PCJ41" s="595"/>
      <c r="PCK41" s="595"/>
      <c r="PCL41" s="595"/>
      <c r="PCM41" s="595"/>
      <c r="PCN41" s="595"/>
      <c r="PCO41" s="595"/>
      <c r="PCP41" s="595"/>
      <c r="PCQ41" s="595"/>
      <c r="PCR41" s="595"/>
      <c r="PCS41" s="595"/>
      <c r="PCT41" s="595"/>
      <c r="PCU41" s="595"/>
      <c r="PCV41" s="595"/>
      <c r="PCW41" s="595"/>
      <c r="PCX41" s="595"/>
      <c r="PCY41" s="595"/>
      <c r="PCZ41" s="595"/>
      <c r="PDA41" s="595"/>
      <c r="PDB41" s="595"/>
      <c r="PDC41" s="595"/>
      <c r="PDD41" s="595"/>
      <c r="PDE41" s="595"/>
      <c r="PDF41" s="595"/>
      <c r="PDG41" s="595"/>
      <c r="PDH41" s="595"/>
      <c r="PDI41" s="595"/>
      <c r="PDJ41" s="595"/>
      <c r="PDK41" s="595"/>
      <c r="PDL41" s="595"/>
      <c r="PDM41" s="595"/>
      <c r="PDN41" s="595"/>
      <c r="PDO41" s="595"/>
      <c r="PDP41" s="595"/>
      <c r="PDQ41" s="595"/>
      <c r="PDR41" s="595"/>
      <c r="PDS41" s="595"/>
      <c r="PDT41" s="595"/>
      <c r="PDU41" s="595"/>
      <c r="PDV41" s="595"/>
      <c r="PDW41" s="595"/>
      <c r="PDX41" s="595"/>
      <c r="PDY41" s="595"/>
      <c r="PDZ41" s="595"/>
      <c r="PEA41" s="595"/>
      <c r="PEB41" s="595"/>
      <c r="PEC41" s="595"/>
      <c r="PED41" s="595"/>
      <c r="PEE41" s="595"/>
      <c r="PEF41" s="595"/>
      <c r="PEG41" s="595"/>
      <c r="PEH41" s="595"/>
      <c r="PEI41" s="595"/>
      <c r="PEJ41" s="595"/>
      <c r="PEK41" s="595"/>
      <c r="PEL41" s="595"/>
      <c r="PEM41" s="595"/>
      <c r="PEN41" s="595"/>
      <c r="PEO41" s="595"/>
      <c r="PEP41" s="595"/>
      <c r="PEQ41" s="595"/>
      <c r="PER41" s="595"/>
      <c r="PES41" s="595"/>
      <c r="PET41" s="595"/>
      <c r="PEU41" s="595"/>
      <c r="PEV41" s="595"/>
      <c r="PEW41" s="595"/>
      <c r="PEX41" s="595"/>
      <c r="PEY41" s="595"/>
      <c r="PEZ41" s="595"/>
      <c r="PFA41" s="595"/>
      <c r="PFB41" s="595"/>
      <c r="PFC41" s="595"/>
      <c r="PFD41" s="595"/>
      <c r="PFE41" s="595"/>
      <c r="PFF41" s="595"/>
      <c r="PFG41" s="595"/>
      <c r="PFH41" s="595"/>
      <c r="PFI41" s="595"/>
      <c r="PFJ41" s="595"/>
      <c r="PFK41" s="595"/>
      <c r="PFL41" s="595"/>
      <c r="PFM41" s="595"/>
      <c r="PFN41" s="595"/>
      <c r="PFO41" s="595"/>
      <c r="PFP41" s="595"/>
      <c r="PFQ41" s="595"/>
      <c r="PFR41" s="595"/>
      <c r="PFS41" s="595"/>
      <c r="PFT41" s="595"/>
      <c r="PFU41" s="595"/>
      <c r="PFV41" s="595"/>
      <c r="PFW41" s="595"/>
      <c r="PFX41" s="595"/>
      <c r="PFY41" s="595"/>
      <c r="PFZ41" s="595"/>
      <c r="PGA41" s="595"/>
      <c r="PGB41" s="595"/>
      <c r="PGC41" s="595"/>
      <c r="PGD41" s="595"/>
      <c r="PGE41" s="595"/>
      <c r="PGF41" s="595"/>
      <c r="PGG41" s="595"/>
      <c r="PGH41" s="595"/>
      <c r="PGI41" s="595"/>
      <c r="PGJ41" s="595"/>
      <c r="PGK41" s="595"/>
      <c r="PGL41" s="595"/>
      <c r="PGM41" s="595"/>
      <c r="PGN41" s="595"/>
      <c r="PGO41" s="595"/>
      <c r="PGP41" s="595"/>
      <c r="PGQ41" s="595"/>
      <c r="PGR41" s="595"/>
      <c r="PGS41" s="595"/>
      <c r="PGT41" s="595"/>
      <c r="PGU41" s="595"/>
      <c r="PGV41" s="595"/>
      <c r="PGW41" s="595"/>
      <c r="PGX41" s="595"/>
      <c r="PGY41" s="595"/>
      <c r="PGZ41" s="595"/>
      <c r="PHA41" s="595"/>
      <c r="PHB41" s="595"/>
      <c r="PHC41" s="595"/>
      <c r="PHD41" s="595"/>
      <c r="PHE41" s="595"/>
      <c r="PHF41" s="595"/>
      <c r="PHG41" s="595"/>
      <c r="PHH41" s="595"/>
      <c r="PHI41" s="595"/>
      <c r="PHJ41" s="595"/>
      <c r="PHK41" s="595"/>
      <c r="PHL41" s="595"/>
      <c r="PHM41" s="595"/>
      <c r="PHN41" s="595"/>
      <c r="PHO41" s="595"/>
      <c r="PHP41" s="595"/>
      <c r="PHQ41" s="595"/>
      <c r="PHR41" s="595"/>
      <c r="PHS41" s="595"/>
      <c r="PHT41" s="595"/>
      <c r="PHU41" s="595"/>
      <c r="PHV41" s="595"/>
      <c r="PHW41" s="595"/>
      <c r="PHX41" s="595"/>
      <c r="PHY41" s="595"/>
      <c r="PHZ41" s="595"/>
      <c r="PIA41" s="595"/>
      <c r="PIB41" s="595"/>
      <c r="PIC41" s="595"/>
      <c r="PID41" s="595"/>
      <c r="PIE41" s="595"/>
      <c r="PIF41" s="595"/>
      <c r="PIG41" s="595"/>
      <c r="PIH41" s="595"/>
      <c r="PII41" s="595"/>
      <c r="PIJ41" s="595"/>
      <c r="PIK41" s="595"/>
      <c r="PIL41" s="595"/>
      <c r="PIM41" s="595"/>
      <c r="PIN41" s="595"/>
      <c r="PIO41" s="595"/>
      <c r="PIP41" s="595"/>
      <c r="PIQ41" s="595"/>
      <c r="PIR41" s="595"/>
      <c r="PIS41" s="595"/>
      <c r="PIT41" s="595"/>
      <c r="PIU41" s="595"/>
      <c r="PIV41" s="595"/>
      <c r="PIW41" s="595"/>
      <c r="PIX41" s="595"/>
      <c r="PIY41" s="595"/>
      <c r="PIZ41" s="595"/>
      <c r="PJA41" s="595"/>
      <c r="PJB41" s="595"/>
      <c r="PJC41" s="595"/>
      <c r="PJD41" s="595"/>
      <c r="PJE41" s="595"/>
      <c r="PJF41" s="595"/>
      <c r="PJG41" s="595"/>
      <c r="PJH41" s="595"/>
      <c r="PJI41" s="595"/>
      <c r="PJJ41" s="595"/>
      <c r="PJK41" s="595"/>
      <c r="PJL41" s="595"/>
      <c r="PJM41" s="595"/>
      <c r="PJN41" s="595"/>
      <c r="PJO41" s="595"/>
      <c r="PJP41" s="595"/>
      <c r="PJQ41" s="595"/>
      <c r="PJR41" s="595"/>
      <c r="PJS41" s="595"/>
      <c r="PJT41" s="595"/>
      <c r="PJU41" s="595"/>
      <c r="PJV41" s="595"/>
      <c r="PJW41" s="595"/>
      <c r="PJX41" s="595"/>
      <c r="PJY41" s="595"/>
      <c r="PJZ41" s="595"/>
      <c r="PKA41" s="595"/>
      <c r="PKB41" s="595"/>
      <c r="PKC41" s="595"/>
      <c r="PKD41" s="595"/>
      <c r="PKE41" s="595"/>
      <c r="PKF41" s="595"/>
      <c r="PKG41" s="595"/>
      <c r="PKH41" s="595"/>
      <c r="PKI41" s="595"/>
      <c r="PKJ41" s="595"/>
      <c r="PKK41" s="595"/>
      <c r="PKL41" s="595"/>
      <c r="PKM41" s="595"/>
      <c r="PKN41" s="595"/>
      <c r="PKO41" s="595"/>
      <c r="PKP41" s="595"/>
      <c r="PKQ41" s="595"/>
      <c r="PKR41" s="595"/>
      <c r="PKS41" s="595"/>
      <c r="PKT41" s="595"/>
      <c r="PKU41" s="595"/>
      <c r="PKV41" s="595"/>
      <c r="PKW41" s="595"/>
      <c r="PKX41" s="595"/>
      <c r="PKY41" s="595"/>
      <c r="PKZ41" s="595"/>
      <c r="PLA41" s="595"/>
      <c r="PLB41" s="595"/>
      <c r="PLC41" s="595"/>
      <c r="PLD41" s="595"/>
      <c r="PLE41" s="595"/>
      <c r="PLF41" s="595"/>
      <c r="PLG41" s="595"/>
      <c r="PLH41" s="595"/>
      <c r="PLI41" s="595"/>
      <c r="PLJ41" s="595"/>
      <c r="PLK41" s="595"/>
      <c r="PLL41" s="595"/>
      <c r="PLM41" s="595"/>
      <c r="PLN41" s="595"/>
      <c r="PLO41" s="595"/>
      <c r="PLP41" s="595"/>
      <c r="PLQ41" s="595"/>
      <c r="PLR41" s="595"/>
      <c r="PLS41" s="595"/>
      <c r="PLT41" s="595"/>
      <c r="PLU41" s="595"/>
      <c r="PLV41" s="595"/>
      <c r="PLW41" s="595"/>
      <c r="PLX41" s="595"/>
      <c r="PLY41" s="595"/>
      <c r="PLZ41" s="595"/>
      <c r="PMA41" s="595"/>
      <c r="PMB41" s="595"/>
      <c r="PMC41" s="595"/>
      <c r="PMD41" s="595"/>
      <c r="PME41" s="595"/>
      <c r="PMF41" s="595"/>
      <c r="PMG41" s="595"/>
      <c r="PMH41" s="595"/>
      <c r="PMI41" s="595"/>
      <c r="PMJ41" s="595"/>
      <c r="PMK41" s="595"/>
      <c r="PML41" s="595"/>
      <c r="PMM41" s="595"/>
      <c r="PMN41" s="595"/>
      <c r="PMO41" s="595"/>
      <c r="PMP41" s="595"/>
      <c r="PMQ41" s="595"/>
      <c r="PMR41" s="595"/>
      <c r="PMS41" s="595"/>
      <c r="PMT41" s="595"/>
      <c r="PMU41" s="595"/>
      <c r="PMV41" s="595"/>
      <c r="PMW41" s="595"/>
      <c r="PMX41" s="595"/>
      <c r="PMY41" s="595"/>
      <c r="PMZ41" s="595"/>
      <c r="PNA41" s="595"/>
      <c r="PNB41" s="595"/>
      <c r="PNC41" s="595"/>
      <c r="PND41" s="595"/>
      <c r="PNE41" s="595"/>
      <c r="PNF41" s="595"/>
      <c r="PNG41" s="595"/>
      <c r="PNH41" s="595"/>
      <c r="PNI41" s="595"/>
      <c r="PNJ41" s="595"/>
      <c r="PNK41" s="595"/>
      <c r="PNL41" s="595"/>
      <c r="PNM41" s="595"/>
      <c r="PNN41" s="595"/>
      <c r="PNO41" s="595"/>
      <c r="PNP41" s="595"/>
      <c r="PNQ41" s="595"/>
      <c r="PNR41" s="595"/>
      <c r="PNS41" s="595"/>
      <c r="PNT41" s="595"/>
      <c r="PNU41" s="595"/>
      <c r="PNV41" s="595"/>
      <c r="PNW41" s="595"/>
      <c r="PNX41" s="595"/>
      <c r="PNY41" s="595"/>
      <c r="PNZ41" s="595"/>
      <c r="POA41" s="595"/>
      <c r="POB41" s="595"/>
      <c r="POC41" s="595"/>
      <c r="POD41" s="595"/>
      <c r="POE41" s="595"/>
      <c r="POF41" s="595"/>
      <c r="POG41" s="595"/>
      <c r="POH41" s="595"/>
      <c r="POI41" s="595"/>
      <c r="POJ41" s="595"/>
      <c r="POK41" s="595"/>
      <c r="POL41" s="595"/>
      <c r="POM41" s="595"/>
      <c r="PON41" s="595"/>
      <c r="POO41" s="595"/>
      <c r="POP41" s="595"/>
      <c r="POQ41" s="595"/>
      <c r="POR41" s="595"/>
      <c r="POS41" s="595"/>
      <c r="POT41" s="595"/>
      <c r="POU41" s="595"/>
      <c r="POV41" s="595"/>
      <c r="POW41" s="595"/>
      <c r="POX41" s="595"/>
      <c r="POY41" s="595"/>
      <c r="POZ41" s="595"/>
      <c r="PPA41" s="595"/>
      <c r="PPB41" s="595"/>
      <c r="PPC41" s="595"/>
      <c r="PPD41" s="595"/>
      <c r="PPE41" s="595"/>
      <c r="PPF41" s="595"/>
      <c r="PPG41" s="595"/>
      <c r="PPH41" s="595"/>
      <c r="PPI41" s="595"/>
      <c r="PPJ41" s="595"/>
      <c r="PPK41" s="595"/>
      <c r="PPL41" s="595"/>
      <c r="PPM41" s="595"/>
      <c r="PPN41" s="595"/>
      <c r="PPO41" s="595"/>
      <c r="PPP41" s="595"/>
      <c r="PPQ41" s="595"/>
      <c r="PPR41" s="595"/>
      <c r="PPS41" s="595"/>
      <c r="PPT41" s="595"/>
      <c r="PPU41" s="595"/>
      <c r="PPV41" s="595"/>
      <c r="PPW41" s="595"/>
      <c r="PPX41" s="595"/>
      <c r="PPY41" s="595"/>
      <c r="PPZ41" s="595"/>
      <c r="PQA41" s="595"/>
      <c r="PQB41" s="595"/>
      <c r="PQC41" s="595"/>
      <c r="PQD41" s="595"/>
      <c r="PQE41" s="595"/>
      <c r="PQF41" s="595"/>
      <c r="PQG41" s="595"/>
      <c r="PQH41" s="595"/>
      <c r="PQI41" s="595"/>
      <c r="PQJ41" s="595"/>
      <c r="PQK41" s="595"/>
      <c r="PQL41" s="595"/>
      <c r="PQM41" s="595"/>
      <c r="PQN41" s="595"/>
      <c r="PQO41" s="595"/>
      <c r="PQP41" s="595"/>
      <c r="PQQ41" s="595"/>
      <c r="PQR41" s="595"/>
      <c r="PQS41" s="595"/>
      <c r="PQT41" s="595"/>
      <c r="PQU41" s="595"/>
      <c r="PQV41" s="595"/>
      <c r="PQW41" s="595"/>
      <c r="PQX41" s="595"/>
      <c r="PQY41" s="595"/>
      <c r="PQZ41" s="595"/>
      <c r="PRA41" s="595"/>
      <c r="PRB41" s="595"/>
      <c r="PRC41" s="595"/>
      <c r="PRD41" s="595"/>
      <c r="PRE41" s="595"/>
      <c r="PRF41" s="595"/>
      <c r="PRG41" s="595"/>
      <c r="PRH41" s="595"/>
      <c r="PRI41" s="595"/>
      <c r="PRJ41" s="595"/>
      <c r="PRK41" s="595"/>
      <c r="PRL41" s="595"/>
      <c r="PRM41" s="595"/>
      <c r="PRN41" s="595"/>
      <c r="PRO41" s="595"/>
      <c r="PRP41" s="595"/>
      <c r="PRQ41" s="595"/>
      <c r="PRR41" s="595"/>
      <c r="PRS41" s="595"/>
      <c r="PRT41" s="595"/>
      <c r="PRU41" s="595"/>
      <c r="PRV41" s="595"/>
      <c r="PRW41" s="595"/>
      <c r="PRX41" s="595"/>
      <c r="PRY41" s="595"/>
      <c r="PRZ41" s="595"/>
      <c r="PSA41" s="595"/>
      <c r="PSB41" s="595"/>
      <c r="PSC41" s="595"/>
      <c r="PSD41" s="595"/>
      <c r="PSE41" s="595"/>
      <c r="PSF41" s="595"/>
      <c r="PSG41" s="595"/>
      <c r="PSH41" s="595"/>
      <c r="PSI41" s="595"/>
      <c r="PSJ41" s="595"/>
      <c r="PSK41" s="595"/>
      <c r="PSL41" s="595"/>
      <c r="PSM41" s="595"/>
      <c r="PSN41" s="595"/>
      <c r="PSO41" s="595"/>
      <c r="PSP41" s="595"/>
      <c r="PSQ41" s="595"/>
      <c r="PSR41" s="595"/>
      <c r="PSS41" s="595"/>
      <c r="PST41" s="595"/>
      <c r="PSU41" s="595"/>
      <c r="PSV41" s="595"/>
      <c r="PSW41" s="595"/>
      <c r="PSX41" s="595"/>
      <c r="PSY41" s="595"/>
      <c r="PSZ41" s="595"/>
      <c r="PTA41" s="595"/>
      <c r="PTB41" s="595"/>
      <c r="PTC41" s="595"/>
      <c r="PTD41" s="595"/>
      <c r="PTE41" s="595"/>
      <c r="PTF41" s="595"/>
      <c r="PTG41" s="595"/>
      <c r="PTH41" s="595"/>
      <c r="PTI41" s="595"/>
      <c r="PTJ41" s="595"/>
      <c r="PTK41" s="595"/>
      <c r="PTL41" s="595"/>
      <c r="PTM41" s="595"/>
      <c r="PTN41" s="595"/>
      <c r="PTO41" s="595"/>
      <c r="PTP41" s="595"/>
      <c r="PTQ41" s="595"/>
      <c r="PTR41" s="595"/>
      <c r="PTS41" s="595"/>
      <c r="PTT41" s="595"/>
      <c r="PTU41" s="595"/>
      <c r="PTV41" s="595"/>
      <c r="PTW41" s="595"/>
      <c r="PTX41" s="595"/>
      <c r="PTY41" s="595"/>
      <c r="PTZ41" s="595"/>
      <c r="PUA41" s="595"/>
      <c r="PUB41" s="595"/>
      <c r="PUC41" s="595"/>
      <c r="PUD41" s="595"/>
      <c r="PUE41" s="595"/>
      <c r="PUF41" s="595"/>
      <c r="PUG41" s="595"/>
      <c r="PUH41" s="595"/>
      <c r="PUI41" s="595"/>
      <c r="PUJ41" s="595"/>
      <c r="PUK41" s="595"/>
      <c r="PUL41" s="595"/>
      <c r="PUM41" s="595"/>
      <c r="PUN41" s="595"/>
      <c r="PUO41" s="595"/>
      <c r="PUP41" s="595"/>
      <c r="PUQ41" s="595"/>
      <c r="PUR41" s="595"/>
      <c r="PUS41" s="595"/>
      <c r="PUT41" s="595"/>
      <c r="PUU41" s="595"/>
      <c r="PUV41" s="595"/>
      <c r="PUW41" s="595"/>
      <c r="PUX41" s="595"/>
      <c r="PUY41" s="595"/>
      <c r="PUZ41" s="595"/>
      <c r="PVA41" s="595"/>
      <c r="PVB41" s="595"/>
      <c r="PVC41" s="595"/>
      <c r="PVD41" s="595"/>
      <c r="PVE41" s="595"/>
      <c r="PVF41" s="595"/>
      <c r="PVG41" s="595"/>
      <c r="PVH41" s="595"/>
      <c r="PVI41" s="595"/>
      <c r="PVJ41" s="595"/>
      <c r="PVK41" s="595"/>
      <c r="PVL41" s="595"/>
      <c r="PVM41" s="595"/>
      <c r="PVN41" s="595"/>
      <c r="PVO41" s="595"/>
      <c r="PVP41" s="595"/>
      <c r="PVQ41" s="595"/>
      <c r="PVR41" s="595"/>
      <c r="PVS41" s="595"/>
      <c r="PVT41" s="595"/>
      <c r="PVU41" s="595"/>
      <c r="PVV41" s="595"/>
      <c r="PVW41" s="595"/>
      <c r="PVX41" s="595"/>
      <c r="PVY41" s="595"/>
      <c r="PVZ41" s="595"/>
      <c r="PWA41" s="595"/>
      <c r="PWB41" s="595"/>
      <c r="PWC41" s="595"/>
      <c r="PWD41" s="595"/>
      <c r="PWE41" s="595"/>
      <c r="PWF41" s="595"/>
      <c r="PWG41" s="595"/>
      <c r="PWH41" s="595"/>
      <c r="PWI41" s="595"/>
      <c r="PWJ41" s="595"/>
      <c r="PWK41" s="595"/>
      <c r="PWL41" s="595"/>
      <c r="PWM41" s="595"/>
      <c r="PWN41" s="595"/>
      <c r="PWO41" s="595"/>
      <c r="PWP41" s="595"/>
      <c r="PWQ41" s="595"/>
      <c r="PWR41" s="595"/>
      <c r="PWS41" s="595"/>
      <c r="PWT41" s="595"/>
      <c r="PWU41" s="595"/>
      <c r="PWV41" s="595"/>
      <c r="PWW41" s="595"/>
      <c r="PWX41" s="595"/>
      <c r="PWY41" s="595"/>
      <c r="PWZ41" s="595"/>
      <c r="PXA41" s="595"/>
      <c r="PXB41" s="595"/>
      <c r="PXC41" s="595"/>
      <c r="PXD41" s="595"/>
      <c r="PXE41" s="595"/>
      <c r="PXF41" s="595"/>
      <c r="PXG41" s="595"/>
      <c r="PXH41" s="595"/>
      <c r="PXI41" s="595"/>
      <c r="PXJ41" s="595"/>
      <c r="PXK41" s="595"/>
      <c r="PXL41" s="595"/>
      <c r="PXM41" s="595"/>
      <c r="PXN41" s="595"/>
      <c r="PXO41" s="595"/>
      <c r="PXP41" s="595"/>
      <c r="PXQ41" s="595"/>
      <c r="PXR41" s="595"/>
      <c r="PXS41" s="595"/>
      <c r="PXT41" s="595"/>
      <c r="PXU41" s="595"/>
      <c r="PXV41" s="595"/>
      <c r="PXW41" s="595"/>
      <c r="PXX41" s="595"/>
      <c r="PXY41" s="595"/>
      <c r="PXZ41" s="595"/>
      <c r="PYA41" s="595"/>
      <c r="PYB41" s="595"/>
      <c r="PYC41" s="595"/>
      <c r="PYD41" s="595"/>
      <c r="PYE41" s="595"/>
      <c r="PYF41" s="595"/>
      <c r="PYG41" s="595"/>
      <c r="PYH41" s="595"/>
      <c r="PYI41" s="595"/>
      <c r="PYJ41" s="595"/>
      <c r="PYK41" s="595"/>
      <c r="PYL41" s="595"/>
      <c r="PYM41" s="595"/>
      <c r="PYN41" s="595"/>
      <c r="PYO41" s="595"/>
      <c r="PYP41" s="595"/>
      <c r="PYQ41" s="595"/>
      <c r="PYR41" s="595"/>
      <c r="PYS41" s="595"/>
      <c r="PYT41" s="595"/>
      <c r="PYU41" s="595"/>
      <c r="PYV41" s="595"/>
      <c r="PYW41" s="595"/>
      <c r="PYX41" s="595"/>
      <c r="PYY41" s="595"/>
      <c r="PYZ41" s="595"/>
      <c r="PZA41" s="595"/>
      <c r="PZB41" s="595"/>
      <c r="PZC41" s="595"/>
      <c r="PZD41" s="595"/>
      <c r="PZE41" s="595"/>
      <c r="PZF41" s="595"/>
      <c r="PZG41" s="595"/>
      <c r="PZH41" s="595"/>
      <c r="PZI41" s="595"/>
      <c r="PZJ41" s="595"/>
      <c r="PZK41" s="595"/>
      <c r="PZL41" s="595"/>
      <c r="PZM41" s="595"/>
      <c r="PZN41" s="595"/>
      <c r="PZO41" s="595"/>
      <c r="PZP41" s="595"/>
      <c r="PZQ41" s="595"/>
      <c r="PZR41" s="595"/>
      <c r="PZS41" s="595"/>
      <c r="PZT41" s="595"/>
      <c r="PZU41" s="595"/>
      <c r="PZV41" s="595"/>
      <c r="PZW41" s="595"/>
      <c r="PZX41" s="595"/>
      <c r="PZY41" s="595"/>
      <c r="PZZ41" s="595"/>
      <c r="QAA41" s="595"/>
      <c r="QAB41" s="595"/>
      <c r="QAC41" s="595"/>
      <c r="QAD41" s="595"/>
      <c r="QAE41" s="595"/>
      <c r="QAF41" s="595"/>
      <c r="QAG41" s="595"/>
      <c r="QAH41" s="595"/>
      <c r="QAI41" s="595"/>
      <c r="QAJ41" s="595"/>
      <c r="QAK41" s="595"/>
      <c r="QAL41" s="595"/>
      <c r="QAM41" s="595"/>
      <c r="QAN41" s="595"/>
      <c r="QAO41" s="595"/>
      <c r="QAP41" s="595"/>
      <c r="QAQ41" s="595"/>
      <c r="QAR41" s="595"/>
      <c r="QAS41" s="595"/>
      <c r="QAT41" s="595"/>
      <c r="QAU41" s="595"/>
      <c r="QAV41" s="595"/>
      <c r="QAW41" s="595"/>
      <c r="QAX41" s="595"/>
      <c r="QAY41" s="595"/>
      <c r="QAZ41" s="595"/>
      <c r="QBA41" s="595"/>
      <c r="QBB41" s="595"/>
      <c r="QBC41" s="595"/>
      <c r="QBD41" s="595"/>
      <c r="QBE41" s="595"/>
      <c r="QBF41" s="595"/>
      <c r="QBG41" s="595"/>
      <c r="QBH41" s="595"/>
      <c r="QBI41" s="595"/>
      <c r="QBJ41" s="595"/>
      <c r="QBK41" s="595"/>
      <c r="QBL41" s="595"/>
      <c r="QBM41" s="595"/>
      <c r="QBN41" s="595"/>
      <c r="QBO41" s="595"/>
      <c r="QBP41" s="595"/>
      <c r="QBQ41" s="595"/>
      <c r="QBR41" s="595"/>
      <c r="QBS41" s="595"/>
      <c r="QBT41" s="595"/>
      <c r="QBU41" s="595"/>
      <c r="QBV41" s="595"/>
      <c r="QBW41" s="595"/>
      <c r="QBX41" s="595"/>
      <c r="QBY41" s="595"/>
      <c r="QBZ41" s="595"/>
      <c r="QCA41" s="595"/>
      <c r="QCB41" s="595"/>
      <c r="QCC41" s="595"/>
      <c r="QCD41" s="595"/>
      <c r="QCE41" s="595"/>
      <c r="QCF41" s="595"/>
      <c r="QCG41" s="595"/>
      <c r="QCH41" s="595"/>
      <c r="QCI41" s="595"/>
      <c r="QCJ41" s="595"/>
      <c r="QCK41" s="595"/>
      <c r="QCL41" s="595"/>
      <c r="QCM41" s="595"/>
      <c r="QCN41" s="595"/>
      <c r="QCO41" s="595"/>
      <c r="QCP41" s="595"/>
      <c r="QCQ41" s="595"/>
      <c r="QCR41" s="595"/>
      <c r="QCS41" s="595"/>
      <c r="QCT41" s="595"/>
      <c r="QCU41" s="595"/>
      <c r="QCV41" s="595"/>
      <c r="QCW41" s="595"/>
      <c r="QCX41" s="595"/>
      <c r="QCY41" s="595"/>
      <c r="QCZ41" s="595"/>
      <c r="QDA41" s="595"/>
      <c r="QDB41" s="595"/>
      <c r="QDC41" s="595"/>
      <c r="QDD41" s="595"/>
      <c r="QDE41" s="595"/>
      <c r="QDF41" s="595"/>
      <c r="QDG41" s="595"/>
      <c r="QDH41" s="595"/>
      <c r="QDI41" s="595"/>
      <c r="QDJ41" s="595"/>
      <c r="QDK41" s="595"/>
      <c r="QDL41" s="595"/>
      <c r="QDM41" s="595"/>
      <c r="QDN41" s="595"/>
      <c r="QDO41" s="595"/>
      <c r="QDP41" s="595"/>
      <c r="QDQ41" s="595"/>
      <c r="QDR41" s="595"/>
      <c r="QDS41" s="595"/>
      <c r="QDT41" s="595"/>
      <c r="QDU41" s="595"/>
      <c r="QDV41" s="595"/>
      <c r="QDW41" s="595"/>
      <c r="QDX41" s="595"/>
      <c r="QDY41" s="595"/>
      <c r="QDZ41" s="595"/>
      <c r="QEA41" s="595"/>
      <c r="QEB41" s="595"/>
      <c r="QEC41" s="595"/>
      <c r="QED41" s="595"/>
      <c r="QEE41" s="595"/>
      <c r="QEF41" s="595"/>
      <c r="QEG41" s="595"/>
      <c r="QEH41" s="595"/>
      <c r="QEI41" s="595"/>
      <c r="QEJ41" s="595"/>
      <c r="QEK41" s="595"/>
      <c r="QEL41" s="595"/>
      <c r="QEM41" s="595"/>
      <c r="QEN41" s="595"/>
      <c r="QEO41" s="595"/>
      <c r="QEP41" s="595"/>
      <c r="QEQ41" s="595"/>
      <c r="QER41" s="595"/>
      <c r="QES41" s="595"/>
      <c r="QET41" s="595"/>
      <c r="QEU41" s="595"/>
      <c r="QEV41" s="595"/>
      <c r="QEW41" s="595"/>
      <c r="QEX41" s="595"/>
      <c r="QEY41" s="595"/>
      <c r="QEZ41" s="595"/>
      <c r="QFA41" s="595"/>
      <c r="QFB41" s="595"/>
      <c r="QFC41" s="595"/>
      <c r="QFD41" s="595"/>
      <c r="QFE41" s="595"/>
      <c r="QFF41" s="595"/>
      <c r="QFG41" s="595"/>
      <c r="QFH41" s="595"/>
      <c r="QFI41" s="595"/>
      <c r="QFJ41" s="595"/>
      <c r="QFK41" s="595"/>
      <c r="QFL41" s="595"/>
      <c r="QFM41" s="595"/>
      <c r="QFN41" s="595"/>
      <c r="QFO41" s="595"/>
      <c r="QFP41" s="595"/>
      <c r="QFQ41" s="595"/>
      <c r="QFR41" s="595"/>
      <c r="QFS41" s="595"/>
      <c r="QFT41" s="595"/>
      <c r="QFU41" s="595"/>
      <c r="QFV41" s="595"/>
      <c r="QFW41" s="595"/>
      <c r="QFX41" s="595"/>
      <c r="QFY41" s="595"/>
      <c r="QFZ41" s="595"/>
      <c r="QGA41" s="595"/>
      <c r="QGB41" s="595"/>
      <c r="QGC41" s="595"/>
      <c r="QGD41" s="595"/>
      <c r="QGE41" s="595"/>
      <c r="QGF41" s="595"/>
      <c r="QGG41" s="595"/>
      <c r="QGH41" s="595"/>
      <c r="QGI41" s="595"/>
      <c r="QGJ41" s="595"/>
      <c r="QGK41" s="595"/>
      <c r="QGL41" s="595"/>
      <c r="QGM41" s="595"/>
      <c r="QGN41" s="595"/>
      <c r="QGO41" s="595"/>
      <c r="QGP41" s="595"/>
      <c r="QGQ41" s="595"/>
      <c r="QGR41" s="595"/>
      <c r="QGS41" s="595"/>
      <c r="QGT41" s="595"/>
      <c r="QGU41" s="595"/>
      <c r="QGV41" s="595"/>
      <c r="QGW41" s="595"/>
      <c r="QGX41" s="595"/>
      <c r="QGY41" s="595"/>
      <c r="QGZ41" s="595"/>
      <c r="QHA41" s="595"/>
      <c r="QHB41" s="595"/>
      <c r="QHC41" s="595"/>
      <c r="QHD41" s="595"/>
      <c r="QHE41" s="595"/>
      <c r="QHF41" s="595"/>
      <c r="QHG41" s="595"/>
      <c r="QHH41" s="595"/>
      <c r="QHI41" s="595"/>
      <c r="QHJ41" s="595"/>
      <c r="QHK41" s="595"/>
      <c r="QHL41" s="595"/>
      <c r="QHM41" s="595"/>
      <c r="QHN41" s="595"/>
      <c r="QHO41" s="595"/>
      <c r="QHP41" s="595"/>
      <c r="QHQ41" s="595"/>
      <c r="QHR41" s="595"/>
      <c r="QHS41" s="595"/>
      <c r="QHT41" s="595"/>
      <c r="QHU41" s="595"/>
      <c r="QHV41" s="595"/>
      <c r="QHW41" s="595"/>
      <c r="QHX41" s="595"/>
      <c r="QHY41" s="595"/>
      <c r="QHZ41" s="595"/>
      <c r="QIA41" s="595"/>
      <c r="QIB41" s="595"/>
      <c r="QIC41" s="595"/>
      <c r="QID41" s="595"/>
      <c r="QIE41" s="595"/>
      <c r="QIF41" s="595"/>
      <c r="QIG41" s="595"/>
      <c r="QIH41" s="595"/>
      <c r="QII41" s="595"/>
      <c r="QIJ41" s="595"/>
      <c r="QIK41" s="595"/>
      <c r="QIL41" s="595"/>
      <c r="QIM41" s="595"/>
      <c r="QIN41" s="595"/>
      <c r="QIO41" s="595"/>
      <c r="QIP41" s="595"/>
      <c r="QIQ41" s="595"/>
      <c r="QIR41" s="595"/>
      <c r="QIS41" s="595"/>
      <c r="QIT41" s="595"/>
      <c r="QIU41" s="595"/>
      <c r="QIV41" s="595"/>
      <c r="QIW41" s="595"/>
      <c r="QIX41" s="595"/>
      <c r="QIY41" s="595"/>
      <c r="QIZ41" s="595"/>
      <c r="QJA41" s="595"/>
      <c r="QJB41" s="595"/>
      <c r="QJC41" s="595"/>
      <c r="QJD41" s="595"/>
      <c r="QJE41" s="595"/>
      <c r="QJF41" s="595"/>
      <c r="QJG41" s="595"/>
      <c r="QJH41" s="595"/>
      <c r="QJI41" s="595"/>
      <c r="QJJ41" s="595"/>
      <c r="QJK41" s="595"/>
      <c r="QJL41" s="595"/>
      <c r="QJM41" s="595"/>
      <c r="QJN41" s="595"/>
      <c r="QJO41" s="595"/>
      <c r="QJP41" s="595"/>
      <c r="QJQ41" s="595"/>
      <c r="QJR41" s="595"/>
      <c r="QJS41" s="595"/>
      <c r="QJT41" s="595"/>
      <c r="QJU41" s="595"/>
      <c r="QJV41" s="595"/>
      <c r="QJW41" s="595"/>
      <c r="QJX41" s="595"/>
      <c r="QJY41" s="595"/>
      <c r="QJZ41" s="595"/>
      <c r="QKA41" s="595"/>
      <c r="QKB41" s="595"/>
      <c r="QKC41" s="595"/>
      <c r="QKD41" s="595"/>
      <c r="QKE41" s="595"/>
      <c r="QKF41" s="595"/>
      <c r="QKG41" s="595"/>
      <c r="QKH41" s="595"/>
      <c r="QKI41" s="595"/>
      <c r="QKJ41" s="595"/>
      <c r="QKK41" s="595"/>
      <c r="QKL41" s="595"/>
      <c r="QKM41" s="595"/>
      <c r="QKN41" s="595"/>
      <c r="QKO41" s="595"/>
      <c r="QKP41" s="595"/>
      <c r="QKQ41" s="595"/>
      <c r="QKR41" s="595"/>
      <c r="QKS41" s="595"/>
      <c r="QKT41" s="595"/>
      <c r="QKU41" s="595"/>
      <c r="QKV41" s="595"/>
      <c r="QKW41" s="595"/>
      <c r="QKX41" s="595"/>
      <c r="QKY41" s="595"/>
      <c r="QKZ41" s="595"/>
      <c r="QLA41" s="595"/>
      <c r="QLB41" s="595"/>
      <c r="QLC41" s="595"/>
      <c r="QLD41" s="595"/>
      <c r="QLE41" s="595"/>
      <c r="QLF41" s="595"/>
      <c r="QLG41" s="595"/>
      <c r="QLH41" s="595"/>
      <c r="QLI41" s="595"/>
      <c r="QLJ41" s="595"/>
      <c r="QLK41" s="595"/>
      <c r="QLL41" s="595"/>
      <c r="QLM41" s="595"/>
      <c r="QLN41" s="595"/>
      <c r="QLO41" s="595"/>
      <c r="QLP41" s="595"/>
      <c r="QLQ41" s="595"/>
      <c r="QLR41" s="595"/>
      <c r="QLS41" s="595"/>
      <c r="QLT41" s="595"/>
      <c r="QLU41" s="595"/>
      <c r="QLV41" s="595"/>
      <c r="QLW41" s="595"/>
      <c r="QLX41" s="595"/>
      <c r="QLY41" s="595"/>
      <c r="QLZ41" s="595"/>
      <c r="QMA41" s="595"/>
      <c r="QMB41" s="595"/>
      <c r="QMC41" s="595"/>
      <c r="QMD41" s="595"/>
      <c r="QME41" s="595"/>
      <c r="QMF41" s="595"/>
      <c r="QMG41" s="595"/>
      <c r="QMH41" s="595"/>
      <c r="QMI41" s="595"/>
      <c r="QMJ41" s="595"/>
      <c r="QMK41" s="595"/>
      <c r="QML41" s="595"/>
      <c r="QMM41" s="595"/>
      <c r="QMN41" s="595"/>
      <c r="QMO41" s="595"/>
      <c r="QMP41" s="595"/>
      <c r="QMQ41" s="595"/>
      <c r="QMR41" s="595"/>
      <c r="QMS41" s="595"/>
      <c r="QMT41" s="595"/>
      <c r="QMU41" s="595"/>
      <c r="QMV41" s="595"/>
      <c r="QMW41" s="595"/>
      <c r="QMX41" s="595"/>
      <c r="QMY41" s="595"/>
      <c r="QMZ41" s="595"/>
      <c r="QNA41" s="595"/>
      <c r="QNB41" s="595"/>
      <c r="QNC41" s="595"/>
      <c r="QND41" s="595"/>
      <c r="QNE41" s="595"/>
      <c r="QNF41" s="595"/>
      <c r="QNG41" s="595"/>
      <c r="QNH41" s="595"/>
      <c r="QNI41" s="595"/>
      <c r="QNJ41" s="595"/>
      <c r="QNK41" s="595"/>
      <c r="QNL41" s="595"/>
      <c r="QNM41" s="595"/>
      <c r="QNN41" s="595"/>
      <c r="QNO41" s="595"/>
      <c r="QNP41" s="595"/>
      <c r="QNQ41" s="595"/>
      <c r="QNR41" s="595"/>
      <c r="QNS41" s="595"/>
      <c r="QNT41" s="595"/>
      <c r="QNU41" s="595"/>
      <c r="QNV41" s="595"/>
      <c r="QNW41" s="595"/>
      <c r="QNX41" s="595"/>
      <c r="QNY41" s="595"/>
      <c r="QNZ41" s="595"/>
      <c r="QOA41" s="595"/>
      <c r="QOB41" s="595"/>
      <c r="QOC41" s="595"/>
      <c r="QOD41" s="595"/>
      <c r="QOE41" s="595"/>
      <c r="QOF41" s="595"/>
      <c r="QOG41" s="595"/>
      <c r="QOH41" s="595"/>
      <c r="QOI41" s="595"/>
      <c r="QOJ41" s="595"/>
      <c r="QOK41" s="595"/>
      <c r="QOL41" s="595"/>
      <c r="QOM41" s="595"/>
      <c r="QON41" s="595"/>
      <c r="QOO41" s="595"/>
      <c r="QOP41" s="595"/>
      <c r="QOQ41" s="595"/>
      <c r="QOR41" s="595"/>
      <c r="QOS41" s="595"/>
      <c r="QOT41" s="595"/>
      <c r="QOU41" s="595"/>
      <c r="QOV41" s="595"/>
      <c r="QOW41" s="595"/>
      <c r="QOX41" s="595"/>
      <c r="QOY41" s="595"/>
      <c r="QOZ41" s="595"/>
      <c r="QPA41" s="595"/>
      <c r="QPB41" s="595"/>
      <c r="QPC41" s="595"/>
      <c r="QPD41" s="595"/>
      <c r="QPE41" s="595"/>
      <c r="QPF41" s="595"/>
      <c r="QPG41" s="595"/>
      <c r="QPH41" s="595"/>
      <c r="QPI41" s="595"/>
      <c r="QPJ41" s="595"/>
      <c r="QPK41" s="595"/>
      <c r="QPL41" s="595"/>
      <c r="QPM41" s="595"/>
      <c r="QPN41" s="595"/>
      <c r="QPO41" s="595"/>
      <c r="QPP41" s="595"/>
      <c r="QPQ41" s="595"/>
      <c r="QPR41" s="595"/>
      <c r="QPS41" s="595"/>
      <c r="QPT41" s="595"/>
      <c r="QPU41" s="595"/>
      <c r="QPV41" s="595"/>
      <c r="QPW41" s="595"/>
      <c r="QPX41" s="595"/>
      <c r="QPY41" s="595"/>
      <c r="QPZ41" s="595"/>
      <c r="QQA41" s="595"/>
      <c r="QQB41" s="595"/>
      <c r="QQC41" s="595"/>
      <c r="QQD41" s="595"/>
      <c r="QQE41" s="595"/>
      <c r="QQF41" s="595"/>
      <c r="QQG41" s="595"/>
      <c r="QQH41" s="595"/>
      <c r="QQI41" s="595"/>
      <c r="QQJ41" s="595"/>
      <c r="QQK41" s="595"/>
      <c r="QQL41" s="595"/>
      <c r="QQM41" s="595"/>
      <c r="QQN41" s="595"/>
      <c r="QQO41" s="595"/>
      <c r="QQP41" s="595"/>
      <c r="QQQ41" s="595"/>
      <c r="QQR41" s="595"/>
      <c r="QQS41" s="595"/>
      <c r="QQT41" s="595"/>
      <c r="QQU41" s="595"/>
      <c r="QQV41" s="595"/>
      <c r="QQW41" s="595"/>
      <c r="QQX41" s="595"/>
      <c r="QQY41" s="595"/>
      <c r="QQZ41" s="595"/>
      <c r="QRA41" s="595"/>
      <c r="QRB41" s="595"/>
      <c r="QRC41" s="595"/>
      <c r="QRD41" s="595"/>
      <c r="QRE41" s="595"/>
      <c r="QRF41" s="595"/>
      <c r="QRG41" s="595"/>
      <c r="QRH41" s="595"/>
      <c r="QRI41" s="595"/>
      <c r="QRJ41" s="595"/>
      <c r="QRK41" s="595"/>
      <c r="QRL41" s="595"/>
      <c r="QRM41" s="595"/>
      <c r="QRN41" s="595"/>
      <c r="QRO41" s="595"/>
      <c r="QRP41" s="595"/>
      <c r="QRQ41" s="595"/>
      <c r="QRR41" s="595"/>
      <c r="QRS41" s="595"/>
      <c r="QRT41" s="595"/>
      <c r="QRU41" s="595"/>
      <c r="QRV41" s="595"/>
      <c r="QRW41" s="595"/>
      <c r="QRX41" s="595"/>
      <c r="QRY41" s="595"/>
      <c r="QRZ41" s="595"/>
      <c r="QSA41" s="595"/>
      <c r="QSB41" s="595"/>
      <c r="QSC41" s="595"/>
      <c r="QSD41" s="595"/>
      <c r="QSE41" s="595"/>
      <c r="QSF41" s="595"/>
      <c r="QSG41" s="595"/>
      <c r="QSH41" s="595"/>
      <c r="QSI41" s="595"/>
      <c r="QSJ41" s="595"/>
      <c r="QSK41" s="595"/>
      <c r="QSL41" s="595"/>
      <c r="QSM41" s="595"/>
      <c r="QSN41" s="595"/>
      <c r="QSO41" s="595"/>
      <c r="QSP41" s="595"/>
      <c r="QSQ41" s="595"/>
      <c r="QSR41" s="595"/>
      <c r="QSS41" s="595"/>
      <c r="QST41" s="595"/>
      <c r="QSU41" s="595"/>
      <c r="QSV41" s="595"/>
      <c r="QSW41" s="595"/>
      <c r="QSX41" s="595"/>
      <c r="QSY41" s="595"/>
      <c r="QSZ41" s="595"/>
      <c r="QTA41" s="595"/>
      <c r="QTB41" s="595"/>
      <c r="QTC41" s="595"/>
      <c r="QTD41" s="595"/>
      <c r="QTE41" s="595"/>
      <c r="QTF41" s="595"/>
      <c r="QTG41" s="595"/>
      <c r="QTH41" s="595"/>
      <c r="QTI41" s="595"/>
      <c r="QTJ41" s="595"/>
      <c r="QTK41" s="595"/>
      <c r="QTL41" s="595"/>
      <c r="QTM41" s="595"/>
      <c r="QTN41" s="595"/>
      <c r="QTO41" s="595"/>
      <c r="QTP41" s="595"/>
      <c r="QTQ41" s="595"/>
      <c r="QTR41" s="595"/>
      <c r="QTS41" s="595"/>
      <c r="QTT41" s="595"/>
      <c r="QTU41" s="595"/>
      <c r="QTV41" s="595"/>
      <c r="QTW41" s="595"/>
      <c r="QTX41" s="595"/>
      <c r="QTY41" s="595"/>
      <c r="QTZ41" s="595"/>
      <c r="QUA41" s="595"/>
      <c r="QUB41" s="595"/>
      <c r="QUC41" s="595"/>
      <c r="QUD41" s="595"/>
      <c r="QUE41" s="595"/>
      <c r="QUF41" s="595"/>
      <c r="QUG41" s="595"/>
      <c r="QUH41" s="595"/>
      <c r="QUI41" s="595"/>
      <c r="QUJ41" s="595"/>
      <c r="QUK41" s="595"/>
      <c r="QUL41" s="595"/>
      <c r="QUM41" s="595"/>
      <c r="QUN41" s="595"/>
      <c r="QUO41" s="595"/>
      <c r="QUP41" s="595"/>
      <c r="QUQ41" s="595"/>
      <c r="QUR41" s="595"/>
      <c r="QUS41" s="595"/>
      <c r="QUT41" s="595"/>
      <c r="QUU41" s="595"/>
      <c r="QUV41" s="595"/>
      <c r="QUW41" s="595"/>
      <c r="QUX41" s="595"/>
      <c r="QUY41" s="595"/>
      <c r="QUZ41" s="595"/>
      <c r="QVA41" s="595"/>
      <c r="QVB41" s="595"/>
      <c r="QVC41" s="595"/>
      <c r="QVD41" s="595"/>
      <c r="QVE41" s="595"/>
      <c r="QVF41" s="595"/>
      <c r="QVG41" s="595"/>
      <c r="QVH41" s="595"/>
      <c r="QVI41" s="595"/>
      <c r="QVJ41" s="595"/>
      <c r="QVK41" s="595"/>
      <c r="QVL41" s="595"/>
      <c r="QVM41" s="595"/>
      <c r="QVN41" s="595"/>
      <c r="QVO41" s="595"/>
      <c r="QVP41" s="595"/>
      <c r="QVQ41" s="595"/>
      <c r="QVR41" s="595"/>
      <c r="QVS41" s="595"/>
      <c r="QVT41" s="595"/>
      <c r="QVU41" s="595"/>
      <c r="QVV41" s="595"/>
      <c r="QVW41" s="595"/>
      <c r="QVX41" s="595"/>
      <c r="QVY41" s="595"/>
      <c r="QVZ41" s="595"/>
      <c r="QWA41" s="595"/>
      <c r="QWB41" s="595"/>
      <c r="QWC41" s="595"/>
      <c r="QWD41" s="595"/>
      <c r="QWE41" s="595"/>
      <c r="QWF41" s="595"/>
      <c r="QWG41" s="595"/>
      <c r="QWH41" s="595"/>
      <c r="QWI41" s="595"/>
      <c r="QWJ41" s="595"/>
      <c r="QWK41" s="595"/>
      <c r="QWL41" s="595"/>
      <c r="QWM41" s="595"/>
      <c r="QWN41" s="595"/>
      <c r="QWO41" s="595"/>
      <c r="QWP41" s="595"/>
      <c r="QWQ41" s="595"/>
      <c r="QWR41" s="595"/>
      <c r="QWS41" s="595"/>
      <c r="QWT41" s="595"/>
      <c r="QWU41" s="595"/>
      <c r="QWV41" s="595"/>
      <c r="QWW41" s="595"/>
      <c r="QWX41" s="595"/>
      <c r="QWY41" s="595"/>
      <c r="QWZ41" s="595"/>
      <c r="QXA41" s="595"/>
      <c r="QXB41" s="595"/>
      <c r="QXC41" s="595"/>
      <c r="QXD41" s="595"/>
      <c r="QXE41" s="595"/>
      <c r="QXF41" s="595"/>
      <c r="QXG41" s="595"/>
      <c r="QXH41" s="595"/>
      <c r="QXI41" s="595"/>
      <c r="QXJ41" s="595"/>
      <c r="QXK41" s="595"/>
      <c r="QXL41" s="595"/>
      <c r="QXM41" s="595"/>
      <c r="QXN41" s="595"/>
      <c r="QXO41" s="595"/>
      <c r="QXP41" s="595"/>
      <c r="QXQ41" s="595"/>
      <c r="QXR41" s="595"/>
      <c r="QXS41" s="595"/>
      <c r="QXT41" s="595"/>
      <c r="QXU41" s="595"/>
      <c r="QXV41" s="595"/>
      <c r="QXW41" s="595"/>
      <c r="QXX41" s="595"/>
      <c r="QXY41" s="595"/>
      <c r="QXZ41" s="595"/>
      <c r="QYA41" s="595"/>
      <c r="QYB41" s="595"/>
      <c r="QYC41" s="595"/>
      <c r="QYD41" s="595"/>
      <c r="QYE41" s="595"/>
      <c r="QYF41" s="595"/>
      <c r="QYG41" s="595"/>
      <c r="QYH41" s="595"/>
      <c r="QYI41" s="595"/>
      <c r="QYJ41" s="595"/>
      <c r="QYK41" s="595"/>
      <c r="QYL41" s="595"/>
      <c r="QYM41" s="595"/>
      <c r="QYN41" s="595"/>
      <c r="QYO41" s="595"/>
      <c r="QYP41" s="595"/>
      <c r="QYQ41" s="595"/>
      <c r="QYR41" s="595"/>
      <c r="QYS41" s="595"/>
      <c r="QYT41" s="595"/>
      <c r="QYU41" s="595"/>
      <c r="QYV41" s="595"/>
      <c r="QYW41" s="595"/>
      <c r="QYX41" s="595"/>
      <c r="QYY41" s="595"/>
      <c r="QYZ41" s="595"/>
      <c r="QZA41" s="595"/>
      <c r="QZB41" s="595"/>
      <c r="QZC41" s="595"/>
      <c r="QZD41" s="595"/>
      <c r="QZE41" s="595"/>
      <c r="QZF41" s="595"/>
      <c r="QZG41" s="595"/>
      <c r="QZH41" s="595"/>
      <c r="QZI41" s="595"/>
      <c r="QZJ41" s="595"/>
      <c r="QZK41" s="595"/>
      <c r="QZL41" s="595"/>
      <c r="QZM41" s="595"/>
      <c r="QZN41" s="595"/>
      <c r="QZO41" s="595"/>
      <c r="QZP41" s="595"/>
      <c r="QZQ41" s="595"/>
      <c r="QZR41" s="595"/>
      <c r="QZS41" s="595"/>
      <c r="QZT41" s="595"/>
      <c r="QZU41" s="595"/>
      <c r="QZV41" s="595"/>
      <c r="QZW41" s="595"/>
      <c r="QZX41" s="595"/>
      <c r="QZY41" s="595"/>
      <c r="QZZ41" s="595"/>
      <c r="RAA41" s="595"/>
      <c r="RAB41" s="595"/>
      <c r="RAC41" s="595"/>
      <c r="RAD41" s="595"/>
      <c r="RAE41" s="595"/>
      <c r="RAF41" s="595"/>
      <c r="RAG41" s="595"/>
      <c r="RAH41" s="595"/>
      <c r="RAI41" s="595"/>
      <c r="RAJ41" s="595"/>
      <c r="RAK41" s="595"/>
      <c r="RAL41" s="595"/>
      <c r="RAM41" s="595"/>
      <c r="RAN41" s="595"/>
      <c r="RAO41" s="595"/>
      <c r="RAP41" s="595"/>
      <c r="RAQ41" s="595"/>
      <c r="RAR41" s="595"/>
      <c r="RAS41" s="595"/>
      <c r="RAT41" s="595"/>
      <c r="RAU41" s="595"/>
      <c r="RAV41" s="595"/>
      <c r="RAW41" s="595"/>
      <c r="RAX41" s="595"/>
      <c r="RAY41" s="595"/>
      <c r="RAZ41" s="595"/>
      <c r="RBA41" s="595"/>
      <c r="RBB41" s="595"/>
      <c r="RBC41" s="595"/>
      <c r="RBD41" s="595"/>
      <c r="RBE41" s="595"/>
      <c r="RBF41" s="595"/>
      <c r="RBG41" s="595"/>
      <c r="RBH41" s="595"/>
      <c r="RBI41" s="595"/>
      <c r="RBJ41" s="595"/>
      <c r="RBK41" s="595"/>
      <c r="RBL41" s="595"/>
      <c r="RBM41" s="595"/>
      <c r="RBN41" s="595"/>
      <c r="RBO41" s="595"/>
      <c r="RBP41" s="595"/>
      <c r="RBQ41" s="595"/>
      <c r="RBR41" s="595"/>
      <c r="RBS41" s="595"/>
      <c r="RBT41" s="595"/>
      <c r="RBU41" s="595"/>
      <c r="RBV41" s="595"/>
      <c r="RBW41" s="595"/>
      <c r="RBX41" s="595"/>
      <c r="RBY41" s="595"/>
      <c r="RBZ41" s="595"/>
      <c r="RCA41" s="595"/>
      <c r="RCB41" s="595"/>
      <c r="RCC41" s="595"/>
      <c r="RCD41" s="595"/>
      <c r="RCE41" s="595"/>
      <c r="RCF41" s="595"/>
      <c r="RCG41" s="595"/>
      <c r="RCH41" s="595"/>
      <c r="RCI41" s="595"/>
      <c r="RCJ41" s="595"/>
      <c r="RCK41" s="595"/>
      <c r="RCL41" s="595"/>
      <c r="RCM41" s="595"/>
      <c r="RCN41" s="595"/>
      <c r="RCO41" s="595"/>
      <c r="RCP41" s="595"/>
      <c r="RCQ41" s="595"/>
      <c r="RCR41" s="595"/>
      <c r="RCS41" s="595"/>
      <c r="RCT41" s="595"/>
      <c r="RCU41" s="595"/>
      <c r="RCV41" s="595"/>
      <c r="RCW41" s="595"/>
      <c r="RCX41" s="595"/>
      <c r="RCY41" s="595"/>
      <c r="RCZ41" s="595"/>
      <c r="RDA41" s="595"/>
      <c r="RDB41" s="595"/>
      <c r="RDC41" s="595"/>
      <c r="RDD41" s="595"/>
      <c r="RDE41" s="595"/>
      <c r="RDF41" s="595"/>
      <c r="RDG41" s="595"/>
      <c r="RDH41" s="595"/>
      <c r="RDI41" s="595"/>
      <c r="RDJ41" s="595"/>
      <c r="RDK41" s="595"/>
      <c r="RDL41" s="595"/>
      <c r="RDM41" s="595"/>
      <c r="RDN41" s="595"/>
      <c r="RDO41" s="595"/>
      <c r="RDP41" s="595"/>
      <c r="RDQ41" s="595"/>
      <c r="RDR41" s="595"/>
      <c r="RDS41" s="595"/>
      <c r="RDT41" s="595"/>
      <c r="RDU41" s="595"/>
      <c r="RDV41" s="595"/>
      <c r="RDW41" s="595"/>
      <c r="RDX41" s="595"/>
      <c r="RDY41" s="595"/>
      <c r="RDZ41" s="595"/>
      <c r="REA41" s="595"/>
      <c r="REB41" s="595"/>
      <c r="REC41" s="595"/>
      <c r="RED41" s="595"/>
      <c r="REE41" s="595"/>
      <c r="REF41" s="595"/>
      <c r="REG41" s="595"/>
      <c r="REH41" s="595"/>
      <c r="REI41" s="595"/>
      <c r="REJ41" s="595"/>
      <c r="REK41" s="595"/>
      <c r="REL41" s="595"/>
      <c r="REM41" s="595"/>
      <c r="REN41" s="595"/>
      <c r="REO41" s="595"/>
      <c r="REP41" s="595"/>
      <c r="REQ41" s="595"/>
      <c r="RER41" s="595"/>
      <c r="RES41" s="595"/>
      <c r="RET41" s="595"/>
      <c r="REU41" s="595"/>
      <c r="REV41" s="595"/>
      <c r="REW41" s="595"/>
      <c r="REX41" s="595"/>
      <c r="REY41" s="595"/>
      <c r="REZ41" s="595"/>
      <c r="RFA41" s="595"/>
      <c r="RFB41" s="595"/>
      <c r="RFC41" s="595"/>
      <c r="RFD41" s="595"/>
      <c r="RFE41" s="595"/>
      <c r="RFF41" s="595"/>
      <c r="RFG41" s="595"/>
      <c r="RFH41" s="595"/>
      <c r="RFI41" s="595"/>
      <c r="RFJ41" s="595"/>
      <c r="RFK41" s="595"/>
      <c r="RFL41" s="595"/>
      <c r="RFM41" s="595"/>
      <c r="RFN41" s="595"/>
      <c r="RFO41" s="595"/>
      <c r="RFP41" s="595"/>
      <c r="RFQ41" s="595"/>
      <c r="RFR41" s="595"/>
      <c r="RFS41" s="595"/>
      <c r="RFT41" s="595"/>
      <c r="RFU41" s="595"/>
      <c r="RFV41" s="595"/>
      <c r="RFW41" s="595"/>
      <c r="RFX41" s="595"/>
      <c r="RFY41" s="595"/>
      <c r="RFZ41" s="595"/>
      <c r="RGA41" s="595"/>
      <c r="RGB41" s="595"/>
      <c r="RGC41" s="595"/>
      <c r="RGD41" s="595"/>
      <c r="RGE41" s="595"/>
      <c r="RGF41" s="595"/>
      <c r="RGG41" s="595"/>
      <c r="RGH41" s="595"/>
      <c r="RGI41" s="595"/>
      <c r="RGJ41" s="595"/>
      <c r="RGK41" s="595"/>
      <c r="RGL41" s="595"/>
      <c r="RGM41" s="595"/>
      <c r="RGN41" s="595"/>
      <c r="RGO41" s="595"/>
      <c r="RGP41" s="595"/>
      <c r="RGQ41" s="595"/>
      <c r="RGR41" s="595"/>
      <c r="RGS41" s="595"/>
      <c r="RGT41" s="595"/>
      <c r="RGU41" s="595"/>
      <c r="RGV41" s="595"/>
      <c r="RGW41" s="595"/>
      <c r="RGX41" s="595"/>
      <c r="RGY41" s="595"/>
      <c r="RGZ41" s="595"/>
      <c r="RHA41" s="595"/>
      <c r="RHB41" s="595"/>
      <c r="RHC41" s="595"/>
      <c r="RHD41" s="595"/>
      <c r="RHE41" s="595"/>
      <c r="RHF41" s="595"/>
      <c r="RHG41" s="595"/>
      <c r="RHH41" s="595"/>
      <c r="RHI41" s="595"/>
      <c r="RHJ41" s="595"/>
      <c r="RHK41" s="595"/>
      <c r="RHL41" s="595"/>
      <c r="RHM41" s="595"/>
      <c r="RHN41" s="595"/>
      <c r="RHO41" s="595"/>
      <c r="RHP41" s="595"/>
      <c r="RHQ41" s="595"/>
      <c r="RHR41" s="595"/>
      <c r="RHS41" s="595"/>
      <c r="RHT41" s="595"/>
      <c r="RHU41" s="595"/>
      <c r="RHV41" s="595"/>
      <c r="RHW41" s="595"/>
      <c r="RHX41" s="595"/>
      <c r="RHY41" s="595"/>
      <c r="RHZ41" s="595"/>
      <c r="RIA41" s="595"/>
      <c r="RIB41" s="595"/>
      <c r="RIC41" s="595"/>
      <c r="RID41" s="595"/>
      <c r="RIE41" s="595"/>
      <c r="RIF41" s="595"/>
      <c r="RIG41" s="595"/>
      <c r="RIH41" s="595"/>
      <c r="RII41" s="595"/>
      <c r="RIJ41" s="595"/>
      <c r="RIK41" s="595"/>
      <c r="RIL41" s="595"/>
      <c r="RIM41" s="595"/>
      <c r="RIN41" s="595"/>
      <c r="RIO41" s="595"/>
      <c r="RIP41" s="595"/>
      <c r="RIQ41" s="595"/>
      <c r="RIR41" s="595"/>
      <c r="RIS41" s="595"/>
      <c r="RIT41" s="595"/>
      <c r="RIU41" s="595"/>
      <c r="RIV41" s="595"/>
      <c r="RIW41" s="595"/>
      <c r="RIX41" s="595"/>
      <c r="RIY41" s="595"/>
      <c r="RIZ41" s="595"/>
      <c r="RJA41" s="595"/>
      <c r="RJB41" s="595"/>
      <c r="RJC41" s="595"/>
      <c r="RJD41" s="595"/>
      <c r="RJE41" s="595"/>
      <c r="RJF41" s="595"/>
      <c r="RJG41" s="595"/>
      <c r="RJH41" s="595"/>
      <c r="RJI41" s="595"/>
      <c r="RJJ41" s="595"/>
      <c r="RJK41" s="595"/>
      <c r="RJL41" s="595"/>
      <c r="RJM41" s="595"/>
      <c r="RJN41" s="595"/>
      <c r="RJO41" s="595"/>
      <c r="RJP41" s="595"/>
      <c r="RJQ41" s="595"/>
      <c r="RJR41" s="595"/>
      <c r="RJS41" s="595"/>
      <c r="RJT41" s="595"/>
      <c r="RJU41" s="595"/>
      <c r="RJV41" s="595"/>
      <c r="RJW41" s="595"/>
      <c r="RJX41" s="595"/>
      <c r="RJY41" s="595"/>
      <c r="RJZ41" s="595"/>
      <c r="RKA41" s="595"/>
      <c r="RKB41" s="595"/>
      <c r="RKC41" s="595"/>
      <c r="RKD41" s="595"/>
      <c r="RKE41" s="595"/>
      <c r="RKF41" s="595"/>
      <c r="RKG41" s="595"/>
      <c r="RKH41" s="595"/>
      <c r="RKI41" s="595"/>
      <c r="RKJ41" s="595"/>
      <c r="RKK41" s="595"/>
      <c r="RKL41" s="595"/>
      <c r="RKM41" s="595"/>
      <c r="RKN41" s="595"/>
      <c r="RKO41" s="595"/>
      <c r="RKP41" s="595"/>
      <c r="RKQ41" s="595"/>
      <c r="RKR41" s="595"/>
      <c r="RKS41" s="595"/>
      <c r="RKT41" s="595"/>
      <c r="RKU41" s="595"/>
      <c r="RKV41" s="595"/>
      <c r="RKW41" s="595"/>
      <c r="RKX41" s="595"/>
      <c r="RKY41" s="595"/>
      <c r="RKZ41" s="595"/>
      <c r="RLA41" s="595"/>
      <c r="RLB41" s="595"/>
      <c r="RLC41" s="595"/>
      <c r="RLD41" s="595"/>
      <c r="RLE41" s="595"/>
      <c r="RLF41" s="595"/>
      <c r="RLG41" s="595"/>
      <c r="RLH41" s="595"/>
      <c r="RLI41" s="595"/>
      <c r="RLJ41" s="595"/>
      <c r="RLK41" s="595"/>
      <c r="RLL41" s="595"/>
      <c r="RLM41" s="595"/>
      <c r="RLN41" s="595"/>
      <c r="RLO41" s="595"/>
      <c r="RLP41" s="595"/>
      <c r="RLQ41" s="595"/>
      <c r="RLR41" s="595"/>
      <c r="RLS41" s="595"/>
      <c r="RLT41" s="595"/>
      <c r="RLU41" s="595"/>
      <c r="RLV41" s="595"/>
      <c r="RLW41" s="595"/>
      <c r="RLX41" s="595"/>
      <c r="RLY41" s="595"/>
      <c r="RLZ41" s="595"/>
      <c r="RMA41" s="595"/>
      <c r="RMB41" s="595"/>
      <c r="RMC41" s="595"/>
      <c r="RMD41" s="595"/>
      <c r="RME41" s="595"/>
      <c r="RMF41" s="595"/>
      <c r="RMG41" s="595"/>
      <c r="RMH41" s="595"/>
      <c r="RMI41" s="595"/>
      <c r="RMJ41" s="595"/>
      <c r="RMK41" s="595"/>
      <c r="RML41" s="595"/>
      <c r="RMM41" s="595"/>
      <c r="RMN41" s="595"/>
      <c r="RMO41" s="595"/>
      <c r="RMP41" s="595"/>
      <c r="RMQ41" s="595"/>
      <c r="RMR41" s="595"/>
      <c r="RMS41" s="595"/>
      <c r="RMT41" s="595"/>
      <c r="RMU41" s="595"/>
      <c r="RMV41" s="595"/>
      <c r="RMW41" s="595"/>
      <c r="RMX41" s="595"/>
      <c r="RMY41" s="595"/>
      <c r="RMZ41" s="595"/>
      <c r="RNA41" s="595"/>
      <c r="RNB41" s="595"/>
      <c r="RNC41" s="595"/>
      <c r="RND41" s="595"/>
      <c r="RNE41" s="595"/>
      <c r="RNF41" s="595"/>
      <c r="RNG41" s="595"/>
      <c r="RNH41" s="595"/>
      <c r="RNI41" s="595"/>
      <c r="RNJ41" s="595"/>
      <c r="RNK41" s="595"/>
      <c r="RNL41" s="595"/>
      <c r="RNM41" s="595"/>
      <c r="RNN41" s="595"/>
      <c r="RNO41" s="595"/>
      <c r="RNP41" s="595"/>
      <c r="RNQ41" s="595"/>
      <c r="RNR41" s="595"/>
      <c r="RNS41" s="595"/>
      <c r="RNT41" s="595"/>
      <c r="RNU41" s="595"/>
      <c r="RNV41" s="595"/>
      <c r="RNW41" s="595"/>
      <c r="RNX41" s="595"/>
      <c r="RNY41" s="595"/>
      <c r="RNZ41" s="595"/>
      <c r="ROA41" s="595"/>
      <c r="ROB41" s="595"/>
      <c r="ROC41" s="595"/>
      <c r="ROD41" s="595"/>
      <c r="ROE41" s="595"/>
      <c r="ROF41" s="595"/>
      <c r="ROG41" s="595"/>
      <c r="ROH41" s="595"/>
      <c r="ROI41" s="595"/>
      <c r="ROJ41" s="595"/>
      <c r="ROK41" s="595"/>
      <c r="ROL41" s="595"/>
      <c r="ROM41" s="595"/>
      <c r="RON41" s="595"/>
      <c r="ROO41" s="595"/>
      <c r="ROP41" s="595"/>
      <c r="ROQ41" s="595"/>
      <c r="ROR41" s="595"/>
      <c r="ROS41" s="595"/>
      <c r="ROT41" s="595"/>
      <c r="ROU41" s="595"/>
      <c r="ROV41" s="595"/>
      <c r="ROW41" s="595"/>
      <c r="ROX41" s="595"/>
      <c r="ROY41" s="595"/>
      <c r="ROZ41" s="595"/>
      <c r="RPA41" s="595"/>
      <c r="RPB41" s="595"/>
      <c r="RPC41" s="595"/>
      <c r="RPD41" s="595"/>
      <c r="RPE41" s="595"/>
      <c r="RPF41" s="595"/>
      <c r="RPG41" s="595"/>
      <c r="RPH41" s="595"/>
      <c r="RPI41" s="595"/>
      <c r="RPJ41" s="595"/>
      <c r="RPK41" s="595"/>
      <c r="RPL41" s="595"/>
      <c r="RPM41" s="595"/>
      <c r="RPN41" s="595"/>
      <c r="RPO41" s="595"/>
      <c r="RPP41" s="595"/>
      <c r="RPQ41" s="595"/>
      <c r="RPR41" s="595"/>
      <c r="RPS41" s="595"/>
      <c r="RPT41" s="595"/>
      <c r="RPU41" s="595"/>
      <c r="RPV41" s="595"/>
      <c r="RPW41" s="595"/>
      <c r="RPX41" s="595"/>
      <c r="RPY41" s="595"/>
      <c r="RPZ41" s="595"/>
      <c r="RQA41" s="595"/>
      <c r="RQB41" s="595"/>
      <c r="RQC41" s="595"/>
      <c r="RQD41" s="595"/>
      <c r="RQE41" s="595"/>
      <c r="RQF41" s="595"/>
      <c r="RQG41" s="595"/>
      <c r="RQH41" s="595"/>
      <c r="RQI41" s="595"/>
      <c r="RQJ41" s="595"/>
      <c r="RQK41" s="595"/>
      <c r="RQL41" s="595"/>
      <c r="RQM41" s="595"/>
      <c r="RQN41" s="595"/>
      <c r="RQO41" s="595"/>
      <c r="RQP41" s="595"/>
      <c r="RQQ41" s="595"/>
      <c r="RQR41" s="595"/>
      <c r="RQS41" s="595"/>
      <c r="RQT41" s="595"/>
      <c r="RQU41" s="595"/>
      <c r="RQV41" s="595"/>
      <c r="RQW41" s="595"/>
      <c r="RQX41" s="595"/>
      <c r="RQY41" s="595"/>
      <c r="RQZ41" s="595"/>
      <c r="RRA41" s="595"/>
      <c r="RRB41" s="595"/>
      <c r="RRC41" s="595"/>
      <c r="RRD41" s="595"/>
      <c r="RRE41" s="595"/>
      <c r="RRF41" s="595"/>
      <c r="RRG41" s="595"/>
      <c r="RRH41" s="595"/>
      <c r="RRI41" s="595"/>
      <c r="RRJ41" s="595"/>
      <c r="RRK41" s="595"/>
      <c r="RRL41" s="595"/>
      <c r="RRM41" s="595"/>
      <c r="RRN41" s="595"/>
      <c r="RRO41" s="595"/>
      <c r="RRP41" s="595"/>
      <c r="RRQ41" s="595"/>
      <c r="RRR41" s="595"/>
      <c r="RRS41" s="595"/>
      <c r="RRT41" s="595"/>
      <c r="RRU41" s="595"/>
      <c r="RRV41" s="595"/>
      <c r="RRW41" s="595"/>
      <c r="RRX41" s="595"/>
      <c r="RRY41" s="595"/>
      <c r="RRZ41" s="595"/>
      <c r="RSA41" s="595"/>
      <c r="RSB41" s="595"/>
      <c r="RSC41" s="595"/>
      <c r="RSD41" s="595"/>
      <c r="RSE41" s="595"/>
      <c r="RSF41" s="595"/>
      <c r="RSG41" s="595"/>
      <c r="RSH41" s="595"/>
      <c r="RSI41" s="595"/>
      <c r="RSJ41" s="595"/>
      <c r="RSK41" s="595"/>
      <c r="RSL41" s="595"/>
      <c r="RSM41" s="595"/>
      <c r="RSN41" s="595"/>
      <c r="RSO41" s="595"/>
      <c r="RSP41" s="595"/>
      <c r="RSQ41" s="595"/>
      <c r="RSR41" s="595"/>
      <c r="RSS41" s="595"/>
      <c r="RST41" s="595"/>
      <c r="RSU41" s="595"/>
      <c r="RSV41" s="595"/>
      <c r="RSW41" s="595"/>
      <c r="RSX41" s="595"/>
      <c r="RSY41" s="595"/>
      <c r="RSZ41" s="595"/>
      <c r="RTA41" s="595"/>
      <c r="RTB41" s="595"/>
      <c r="RTC41" s="595"/>
      <c r="RTD41" s="595"/>
      <c r="RTE41" s="595"/>
      <c r="RTF41" s="595"/>
      <c r="RTG41" s="595"/>
      <c r="RTH41" s="595"/>
      <c r="RTI41" s="595"/>
      <c r="RTJ41" s="595"/>
      <c r="RTK41" s="595"/>
      <c r="RTL41" s="595"/>
      <c r="RTM41" s="595"/>
      <c r="RTN41" s="595"/>
      <c r="RTO41" s="595"/>
      <c r="RTP41" s="595"/>
      <c r="RTQ41" s="595"/>
      <c r="RTR41" s="595"/>
      <c r="RTS41" s="595"/>
      <c r="RTT41" s="595"/>
      <c r="RTU41" s="595"/>
      <c r="RTV41" s="595"/>
      <c r="RTW41" s="595"/>
      <c r="RTX41" s="595"/>
      <c r="RTY41" s="595"/>
      <c r="RTZ41" s="595"/>
      <c r="RUA41" s="595"/>
      <c r="RUB41" s="595"/>
      <c r="RUC41" s="595"/>
      <c r="RUD41" s="595"/>
      <c r="RUE41" s="595"/>
      <c r="RUF41" s="595"/>
      <c r="RUG41" s="595"/>
      <c r="RUH41" s="595"/>
      <c r="RUI41" s="595"/>
      <c r="RUJ41" s="595"/>
      <c r="RUK41" s="595"/>
      <c r="RUL41" s="595"/>
      <c r="RUM41" s="595"/>
      <c r="RUN41" s="595"/>
      <c r="RUO41" s="595"/>
      <c r="RUP41" s="595"/>
      <c r="RUQ41" s="595"/>
      <c r="RUR41" s="595"/>
      <c r="RUS41" s="595"/>
      <c r="RUT41" s="595"/>
      <c r="RUU41" s="595"/>
      <c r="RUV41" s="595"/>
      <c r="RUW41" s="595"/>
      <c r="RUX41" s="595"/>
      <c r="RUY41" s="595"/>
      <c r="RUZ41" s="595"/>
      <c r="RVA41" s="595"/>
      <c r="RVB41" s="595"/>
      <c r="RVC41" s="595"/>
      <c r="RVD41" s="595"/>
      <c r="RVE41" s="595"/>
      <c r="RVF41" s="595"/>
      <c r="RVG41" s="595"/>
      <c r="RVH41" s="595"/>
      <c r="RVI41" s="595"/>
      <c r="RVJ41" s="595"/>
      <c r="RVK41" s="595"/>
      <c r="RVL41" s="595"/>
      <c r="RVM41" s="595"/>
      <c r="RVN41" s="595"/>
      <c r="RVO41" s="595"/>
      <c r="RVP41" s="595"/>
      <c r="RVQ41" s="595"/>
      <c r="RVR41" s="595"/>
      <c r="RVS41" s="595"/>
      <c r="RVT41" s="595"/>
      <c r="RVU41" s="595"/>
      <c r="RVV41" s="595"/>
      <c r="RVW41" s="595"/>
      <c r="RVX41" s="595"/>
      <c r="RVY41" s="595"/>
      <c r="RVZ41" s="595"/>
      <c r="RWA41" s="595"/>
      <c r="RWB41" s="595"/>
      <c r="RWC41" s="595"/>
      <c r="RWD41" s="595"/>
      <c r="RWE41" s="595"/>
      <c r="RWF41" s="595"/>
      <c r="RWG41" s="595"/>
      <c r="RWH41" s="595"/>
      <c r="RWI41" s="595"/>
      <c r="RWJ41" s="595"/>
      <c r="RWK41" s="595"/>
      <c r="RWL41" s="595"/>
      <c r="RWM41" s="595"/>
      <c r="RWN41" s="595"/>
      <c r="RWO41" s="595"/>
      <c r="RWP41" s="595"/>
      <c r="RWQ41" s="595"/>
      <c r="RWR41" s="595"/>
      <c r="RWS41" s="595"/>
      <c r="RWT41" s="595"/>
      <c r="RWU41" s="595"/>
      <c r="RWV41" s="595"/>
      <c r="RWW41" s="595"/>
      <c r="RWX41" s="595"/>
      <c r="RWY41" s="595"/>
      <c r="RWZ41" s="595"/>
      <c r="RXA41" s="595"/>
      <c r="RXB41" s="595"/>
      <c r="RXC41" s="595"/>
      <c r="RXD41" s="595"/>
      <c r="RXE41" s="595"/>
      <c r="RXF41" s="595"/>
      <c r="RXG41" s="595"/>
      <c r="RXH41" s="595"/>
      <c r="RXI41" s="595"/>
      <c r="RXJ41" s="595"/>
      <c r="RXK41" s="595"/>
      <c r="RXL41" s="595"/>
      <c r="RXM41" s="595"/>
      <c r="RXN41" s="595"/>
      <c r="RXO41" s="595"/>
      <c r="RXP41" s="595"/>
      <c r="RXQ41" s="595"/>
      <c r="RXR41" s="595"/>
      <c r="RXS41" s="595"/>
      <c r="RXT41" s="595"/>
      <c r="RXU41" s="595"/>
      <c r="RXV41" s="595"/>
      <c r="RXW41" s="595"/>
      <c r="RXX41" s="595"/>
      <c r="RXY41" s="595"/>
      <c r="RXZ41" s="595"/>
      <c r="RYA41" s="595"/>
      <c r="RYB41" s="595"/>
      <c r="RYC41" s="595"/>
      <c r="RYD41" s="595"/>
      <c r="RYE41" s="595"/>
      <c r="RYF41" s="595"/>
      <c r="RYG41" s="595"/>
      <c r="RYH41" s="595"/>
      <c r="RYI41" s="595"/>
      <c r="RYJ41" s="595"/>
      <c r="RYK41" s="595"/>
      <c r="RYL41" s="595"/>
      <c r="RYM41" s="595"/>
      <c r="RYN41" s="595"/>
      <c r="RYO41" s="595"/>
      <c r="RYP41" s="595"/>
      <c r="RYQ41" s="595"/>
      <c r="RYR41" s="595"/>
      <c r="RYS41" s="595"/>
      <c r="RYT41" s="595"/>
      <c r="RYU41" s="595"/>
      <c r="RYV41" s="595"/>
      <c r="RYW41" s="595"/>
      <c r="RYX41" s="595"/>
      <c r="RYY41" s="595"/>
      <c r="RYZ41" s="595"/>
      <c r="RZA41" s="595"/>
      <c r="RZB41" s="595"/>
      <c r="RZC41" s="595"/>
      <c r="RZD41" s="595"/>
      <c r="RZE41" s="595"/>
      <c r="RZF41" s="595"/>
      <c r="RZG41" s="595"/>
      <c r="RZH41" s="595"/>
      <c r="RZI41" s="595"/>
      <c r="RZJ41" s="595"/>
      <c r="RZK41" s="595"/>
      <c r="RZL41" s="595"/>
      <c r="RZM41" s="595"/>
      <c r="RZN41" s="595"/>
      <c r="RZO41" s="595"/>
      <c r="RZP41" s="595"/>
      <c r="RZQ41" s="595"/>
      <c r="RZR41" s="595"/>
      <c r="RZS41" s="595"/>
      <c r="RZT41" s="595"/>
      <c r="RZU41" s="595"/>
      <c r="RZV41" s="595"/>
      <c r="RZW41" s="595"/>
      <c r="RZX41" s="595"/>
      <c r="RZY41" s="595"/>
      <c r="RZZ41" s="595"/>
      <c r="SAA41" s="595"/>
      <c r="SAB41" s="595"/>
      <c r="SAC41" s="595"/>
      <c r="SAD41" s="595"/>
      <c r="SAE41" s="595"/>
      <c r="SAF41" s="595"/>
      <c r="SAG41" s="595"/>
      <c r="SAH41" s="595"/>
      <c r="SAI41" s="595"/>
      <c r="SAJ41" s="595"/>
      <c r="SAK41" s="595"/>
      <c r="SAL41" s="595"/>
      <c r="SAM41" s="595"/>
      <c r="SAN41" s="595"/>
      <c r="SAO41" s="595"/>
      <c r="SAP41" s="595"/>
      <c r="SAQ41" s="595"/>
      <c r="SAR41" s="595"/>
      <c r="SAS41" s="595"/>
      <c r="SAT41" s="595"/>
      <c r="SAU41" s="595"/>
      <c r="SAV41" s="595"/>
      <c r="SAW41" s="595"/>
      <c r="SAX41" s="595"/>
      <c r="SAY41" s="595"/>
      <c r="SAZ41" s="595"/>
      <c r="SBA41" s="595"/>
      <c r="SBB41" s="595"/>
      <c r="SBC41" s="595"/>
      <c r="SBD41" s="595"/>
      <c r="SBE41" s="595"/>
      <c r="SBF41" s="595"/>
      <c r="SBG41" s="595"/>
      <c r="SBH41" s="595"/>
      <c r="SBI41" s="595"/>
      <c r="SBJ41" s="595"/>
      <c r="SBK41" s="595"/>
      <c r="SBL41" s="595"/>
      <c r="SBM41" s="595"/>
      <c r="SBN41" s="595"/>
      <c r="SBO41" s="595"/>
      <c r="SBP41" s="595"/>
      <c r="SBQ41" s="595"/>
      <c r="SBR41" s="595"/>
      <c r="SBS41" s="595"/>
      <c r="SBT41" s="595"/>
      <c r="SBU41" s="595"/>
      <c r="SBV41" s="595"/>
      <c r="SBW41" s="595"/>
      <c r="SBX41" s="595"/>
      <c r="SBY41" s="595"/>
      <c r="SBZ41" s="595"/>
      <c r="SCA41" s="595"/>
      <c r="SCB41" s="595"/>
      <c r="SCC41" s="595"/>
      <c r="SCD41" s="595"/>
      <c r="SCE41" s="595"/>
      <c r="SCF41" s="595"/>
      <c r="SCG41" s="595"/>
      <c r="SCH41" s="595"/>
      <c r="SCI41" s="595"/>
      <c r="SCJ41" s="595"/>
      <c r="SCK41" s="595"/>
      <c r="SCL41" s="595"/>
      <c r="SCM41" s="595"/>
      <c r="SCN41" s="595"/>
      <c r="SCO41" s="595"/>
      <c r="SCP41" s="595"/>
      <c r="SCQ41" s="595"/>
      <c r="SCR41" s="595"/>
      <c r="SCS41" s="595"/>
      <c r="SCT41" s="595"/>
      <c r="SCU41" s="595"/>
      <c r="SCV41" s="595"/>
      <c r="SCW41" s="595"/>
      <c r="SCX41" s="595"/>
      <c r="SCY41" s="595"/>
      <c r="SCZ41" s="595"/>
      <c r="SDA41" s="595"/>
      <c r="SDB41" s="595"/>
      <c r="SDC41" s="595"/>
      <c r="SDD41" s="595"/>
      <c r="SDE41" s="595"/>
      <c r="SDF41" s="595"/>
      <c r="SDG41" s="595"/>
      <c r="SDH41" s="595"/>
      <c r="SDI41" s="595"/>
      <c r="SDJ41" s="595"/>
      <c r="SDK41" s="595"/>
      <c r="SDL41" s="595"/>
      <c r="SDM41" s="595"/>
      <c r="SDN41" s="595"/>
      <c r="SDO41" s="595"/>
      <c r="SDP41" s="595"/>
      <c r="SDQ41" s="595"/>
      <c r="SDR41" s="595"/>
      <c r="SDS41" s="595"/>
      <c r="SDT41" s="595"/>
      <c r="SDU41" s="595"/>
      <c r="SDV41" s="595"/>
      <c r="SDW41" s="595"/>
      <c r="SDX41" s="595"/>
      <c r="SDY41" s="595"/>
      <c r="SDZ41" s="595"/>
      <c r="SEA41" s="595"/>
      <c r="SEB41" s="595"/>
      <c r="SEC41" s="595"/>
      <c r="SED41" s="595"/>
      <c r="SEE41" s="595"/>
      <c r="SEF41" s="595"/>
      <c r="SEG41" s="595"/>
      <c r="SEH41" s="595"/>
      <c r="SEI41" s="595"/>
      <c r="SEJ41" s="595"/>
      <c r="SEK41" s="595"/>
      <c r="SEL41" s="595"/>
      <c r="SEM41" s="595"/>
      <c r="SEN41" s="595"/>
      <c r="SEO41" s="595"/>
      <c r="SEP41" s="595"/>
      <c r="SEQ41" s="595"/>
      <c r="SER41" s="595"/>
      <c r="SES41" s="595"/>
      <c r="SET41" s="595"/>
      <c r="SEU41" s="595"/>
      <c r="SEV41" s="595"/>
      <c r="SEW41" s="595"/>
      <c r="SEX41" s="595"/>
      <c r="SEY41" s="595"/>
      <c r="SEZ41" s="595"/>
      <c r="SFA41" s="595"/>
      <c r="SFB41" s="595"/>
      <c r="SFC41" s="595"/>
      <c r="SFD41" s="595"/>
      <c r="SFE41" s="595"/>
      <c r="SFF41" s="595"/>
      <c r="SFG41" s="595"/>
      <c r="SFH41" s="595"/>
      <c r="SFI41" s="595"/>
      <c r="SFJ41" s="595"/>
      <c r="SFK41" s="595"/>
      <c r="SFL41" s="595"/>
      <c r="SFM41" s="595"/>
      <c r="SFN41" s="595"/>
      <c r="SFO41" s="595"/>
      <c r="SFP41" s="595"/>
      <c r="SFQ41" s="595"/>
      <c r="SFR41" s="595"/>
      <c r="SFS41" s="595"/>
      <c r="SFT41" s="595"/>
      <c r="SFU41" s="595"/>
      <c r="SFV41" s="595"/>
      <c r="SFW41" s="595"/>
      <c r="SFX41" s="595"/>
      <c r="SFY41" s="595"/>
      <c r="SFZ41" s="595"/>
      <c r="SGA41" s="595"/>
      <c r="SGB41" s="595"/>
      <c r="SGC41" s="595"/>
      <c r="SGD41" s="595"/>
      <c r="SGE41" s="595"/>
      <c r="SGF41" s="595"/>
      <c r="SGG41" s="595"/>
      <c r="SGH41" s="595"/>
      <c r="SGI41" s="595"/>
      <c r="SGJ41" s="595"/>
      <c r="SGK41" s="595"/>
      <c r="SGL41" s="595"/>
      <c r="SGM41" s="595"/>
      <c r="SGN41" s="595"/>
      <c r="SGO41" s="595"/>
      <c r="SGP41" s="595"/>
      <c r="SGQ41" s="595"/>
      <c r="SGR41" s="595"/>
      <c r="SGS41" s="595"/>
      <c r="SGT41" s="595"/>
      <c r="SGU41" s="595"/>
      <c r="SGV41" s="595"/>
      <c r="SGW41" s="595"/>
      <c r="SGX41" s="595"/>
      <c r="SGY41" s="595"/>
      <c r="SGZ41" s="595"/>
      <c r="SHA41" s="595"/>
      <c r="SHB41" s="595"/>
      <c r="SHC41" s="595"/>
      <c r="SHD41" s="595"/>
      <c r="SHE41" s="595"/>
      <c r="SHF41" s="595"/>
      <c r="SHG41" s="595"/>
      <c r="SHH41" s="595"/>
      <c r="SHI41" s="595"/>
      <c r="SHJ41" s="595"/>
      <c r="SHK41" s="595"/>
      <c r="SHL41" s="595"/>
      <c r="SHM41" s="595"/>
      <c r="SHN41" s="595"/>
      <c r="SHO41" s="595"/>
      <c r="SHP41" s="595"/>
      <c r="SHQ41" s="595"/>
      <c r="SHR41" s="595"/>
      <c r="SHS41" s="595"/>
      <c r="SHT41" s="595"/>
      <c r="SHU41" s="595"/>
      <c r="SHV41" s="595"/>
      <c r="SHW41" s="595"/>
      <c r="SHX41" s="595"/>
      <c r="SHY41" s="595"/>
      <c r="SHZ41" s="595"/>
      <c r="SIA41" s="595"/>
      <c r="SIB41" s="595"/>
      <c r="SIC41" s="595"/>
      <c r="SID41" s="595"/>
      <c r="SIE41" s="595"/>
      <c r="SIF41" s="595"/>
      <c r="SIG41" s="595"/>
      <c r="SIH41" s="595"/>
      <c r="SII41" s="595"/>
      <c r="SIJ41" s="595"/>
      <c r="SIK41" s="595"/>
      <c r="SIL41" s="595"/>
      <c r="SIM41" s="595"/>
      <c r="SIN41" s="595"/>
      <c r="SIO41" s="595"/>
      <c r="SIP41" s="595"/>
      <c r="SIQ41" s="595"/>
      <c r="SIR41" s="595"/>
      <c r="SIS41" s="595"/>
      <c r="SIT41" s="595"/>
      <c r="SIU41" s="595"/>
      <c r="SIV41" s="595"/>
      <c r="SIW41" s="595"/>
      <c r="SIX41" s="595"/>
      <c r="SIY41" s="595"/>
      <c r="SIZ41" s="595"/>
      <c r="SJA41" s="595"/>
      <c r="SJB41" s="595"/>
      <c r="SJC41" s="595"/>
      <c r="SJD41" s="595"/>
      <c r="SJE41" s="595"/>
      <c r="SJF41" s="595"/>
      <c r="SJG41" s="595"/>
      <c r="SJH41" s="595"/>
      <c r="SJI41" s="595"/>
      <c r="SJJ41" s="595"/>
      <c r="SJK41" s="595"/>
      <c r="SJL41" s="595"/>
      <c r="SJM41" s="595"/>
      <c r="SJN41" s="595"/>
      <c r="SJO41" s="595"/>
      <c r="SJP41" s="595"/>
      <c r="SJQ41" s="595"/>
      <c r="SJR41" s="595"/>
      <c r="SJS41" s="595"/>
      <c r="SJT41" s="595"/>
      <c r="SJU41" s="595"/>
      <c r="SJV41" s="595"/>
      <c r="SJW41" s="595"/>
      <c r="SJX41" s="595"/>
      <c r="SJY41" s="595"/>
      <c r="SJZ41" s="595"/>
      <c r="SKA41" s="595"/>
      <c r="SKB41" s="595"/>
      <c r="SKC41" s="595"/>
      <c r="SKD41" s="595"/>
      <c r="SKE41" s="595"/>
      <c r="SKF41" s="595"/>
      <c r="SKG41" s="595"/>
      <c r="SKH41" s="595"/>
      <c r="SKI41" s="595"/>
      <c r="SKJ41" s="595"/>
      <c r="SKK41" s="595"/>
      <c r="SKL41" s="595"/>
      <c r="SKM41" s="595"/>
      <c r="SKN41" s="595"/>
      <c r="SKO41" s="595"/>
      <c r="SKP41" s="595"/>
      <c r="SKQ41" s="595"/>
      <c r="SKR41" s="595"/>
      <c r="SKS41" s="595"/>
      <c r="SKT41" s="595"/>
      <c r="SKU41" s="595"/>
      <c r="SKV41" s="595"/>
      <c r="SKW41" s="595"/>
      <c r="SKX41" s="595"/>
      <c r="SKY41" s="595"/>
      <c r="SKZ41" s="595"/>
      <c r="SLA41" s="595"/>
      <c r="SLB41" s="595"/>
      <c r="SLC41" s="595"/>
      <c r="SLD41" s="595"/>
      <c r="SLE41" s="595"/>
      <c r="SLF41" s="595"/>
      <c r="SLG41" s="595"/>
      <c r="SLH41" s="595"/>
      <c r="SLI41" s="595"/>
      <c r="SLJ41" s="595"/>
      <c r="SLK41" s="595"/>
      <c r="SLL41" s="595"/>
      <c r="SLM41" s="595"/>
      <c r="SLN41" s="595"/>
      <c r="SLO41" s="595"/>
      <c r="SLP41" s="595"/>
      <c r="SLQ41" s="595"/>
      <c r="SLR41" s="595"/>
      <c r="SLS41" s="595"/>
      <c r="SLT41" s="595"/>
      <c r="SLU41" s="595"/>
      <c r="SLV41" s="595"/>
      <c r="SLW41" s="595"/>
      <c r="SLX41" s="595"/>
      <c r="SLY41" s="595"/>
      <c r="SLZ41" s="595"/>
      <c r="SMA41" s="595"/>
      <c r="SMB41" s="595"/>
      <c r="SMC41" s="595"/>
      <c r="SMD41" s="595"/>
      <c r="SME41" s="595"/>
      <c r="SMF41" s="595"/>
      <c r="SMG41" s="595"/>
      <c r="SMH41" s="595"/>
      <c r="SMI41" s="595"/>
      <c r="SMJ41" s="595"/>
      <c r="SMK41" s="595"/>
      <c r="SML41" s="595"/>
      <c r="SMM41" s="595"/>
      <c r="SMN41" s="595"/>
      <c r="SMO41" s="595"/>
      <c r="SMP41" s="595"/>
      <c r="SMQ41" s="595"/>
      <c r="SMR41" s="595"/>
      <c r="SMS41" s="595"/>
      <c r="SMT41" s="595"/>
      <c r="SMU41" s="595"/>
      <c r="SMV41" s="595"/>
      <c r="SMW41" s="595"/>
      <c r="SMX41" s="595"/>
      <c r="SMY41" s="595"/>
      <c r="SMZ41" s="595"/>
      <c r="SNA41" s="595"/>
      <c r="SNB41" s="595"/>
      <c r="SNC41" s="595"/>
      <c r="SND41" s="595"/>
      <c r="SNE41" s="595"/>
      <c r="SNF41" s="595"/>
      <c r="SNG41" s="595"/>
      <c r="SNH41" s="595"/>
      <c r="SNI41" s="595"/>
      <c r="SNJ41" s="595"/>
      <c r="SNK41" s="595"/>
      <c r="SNL41" s="595"/>
      <c r="SNM41" s="595"/>
      <c r="SNN41" s="595"/>
      <c r="SNO41" s="595"/>
      <c r="SNP41" s="595"/>
      <c r="SNQ41" s="595"/>
      <c r="SNR41" s="595"/>
      <c r="SNS41" s="595"/>
      <c r="SNT41" s="595"/>
      <c r="SNU41" s="595"/>
      <c r="SNV41" s="595"/>
      <c r="SNW41" s="595"/>
      <c r="SNX41" s="595"/>
      <c r="SNY41" s="595"/>
      <c r="SNZ41" s="595"/>
      <c r="SOA41" s="595"/>
      <c r="SOB41" s="595"/>
      <c r="SOC41" s="595"/>
      <c r="SOD41" s="595"/>
      <c r="SOE41" s="595"/>
      <c r="SOF41" s="595"/>
      <c r="SOG41" s="595"/>
      <c r="SOH41" s="595"/>
      <c r="SOI41" s="595"/>
      <c r="SOJ41" s="595"/>
      <c r="SOK41" s="595"/>
      <c r="SOL41" s="595"/>
      <c r="SOM41" s="595"/>
      <c r="SON41" s="595"/>
      <c r="SOO41" s="595"/>
      <c r="SOP41" s="595"/>
      <c r="SOQ41" s="595"/>
      <c r="SOR41" s="595"/>
      <c r="SOS41" s="595"/>
      <c r="SOT41" s="595"/>
      <c r="SOU41" s="595"/>
      <c r="SOV41" s="595"/>
      <c r="SOW41" s="595"/>
      <c r="SOX41" s="595"/>
      <c r="SOY41" s="595"/>
      <c r="SOZ41" s="595"/>
      <c r="SPA41" s="595"/>
      <c r="SPB41" s="595"/>
      <c r="SPC41" s="595"/>
      <c r="SPD41" s="595"/>
      <c r="SPE41" s="595"/>
      <c r="SPF41" s="595"/>
      <c r="SPG41" s="595"/>
      <c r="SPH41" s="595"/>
      <c r="SPI41" s="595"/>
      <c r="SPJ41" s="595"/>
      <c r="SPK41" s="595"/>
      <c r="SPL41" s="595"/>
      <c r="SPM41" s="595"/>
      <c r="SPN41" s="595"/>
      <c r="SPO41" s="595"/>
      <c r="SPP41" s="595"/>
      <c r="SPQ41" s="595"/>
      <c r="SPR41" s="595"/>
      <c r="SPS41" s="595"/>
      <c r="SPT41" s="595"/>
      <c r="SPU41" s="595"/>
      <c r="SPV41" s="595"/>
      <c r="SPW41" s="595"/>
      <c r="SPX41" s="595"/>
      <c r="SPY41" s="595"/>
      <c r="SPZ41" s="595"/>
      <c r="SQA41" s="595"/>
      <c r="SQB41" s="595"/>
      <c r="SQC41" s="595"/>
      <c r="SQD41" s="595"/>
      <c r="SQE41" s="595"/>
      <c r="SQF41" s="595"/>
      <c r="SQG41" s="595"/>
      <c r="SQH41" s="595"/>
      <c r="SQI41" s="595"/>
      <c r="SQJ41" s="595"/>
      <c r="SQK41" s="595"/>
      <c r="SQL41" s="595"/>
      <c r="SQM41" s="595"/>
      <c r="SQN41" s="595"/>
      <c r="SQO41" s="595"/>
      <c r="SQP41" s="595"/>
      <c r="SQQ41" s="595"/>
      <c r="SQR41" s="595"/>
      <c r="SQS41" s="595"/>
      <c r="SQT41" s="595"/>
      <c r="SQU41" s="595"/>
      <c r="SQV41" s="595"/>
      <c r="SQW41" s="595"/>
      <c r="SQX41" s="595"/>
      <c r="SQY41" s="595"/>
      <c r="SQZ41" s="595"/>
      <c r="SRA41" s="595"/>
      <c r="SRB41" s="595"/>
      <c r="SRC41" s="595"/>
      <c r="SRD41" s="595"/>
      <c r="SRE41" s="595"/>
      <c r="SRF41" s="595"/>
      <c r="SRG41" s="595"/>
      <c r="SRH41" s="595"/>
      <c r="SRI41" s="595"/>
      <c r="SRJ41" s="595"/>
      <c r="SRK41" s="595"/>
      <c r="SRL41" s="595"/>
      <c r="SRM41" s="595"/>
      <c r="SRN41" s="595"/>
      <c r="SRO41" s="595"/>
      <c r="SRP41" s="595"/>
      <c r="SRQ41" s="595"/>
      <c r="SRR41" s="595"/>
      <c r="SRS41" s="595"/>
      <c r="SRT41" s="595"/>
      <c r="SRU41" s="595"/>
      <c r="SRV41" s="595"/>
      <c r="SRW41" s="595"/>
      <c r="SRX41" s="595"/>
      <c r="SRY41" s="595"/>
      <c r="SRZ41" s="595"/>
      <c r="SSA41" s="595"/>
      <c r="SSB41" s="595"/>
      <c r="SSC41" s="595"/>
      <c r="SSD41" s="595"/>
      <c r="SSE41" s="595"/>
      <c r="SSF41" s="595"/>
      <c r="SSG41" s="595"/>
      <c r="SSH41" s="595"/>
      <c r="SSI41" s="595"/>
      <c r="SSJ41" s="595"/>
      <c r="SSK41" s="595"/>
      <c r="SSL41" s="595"/>
      <c r="SSM41" s="595"/>
      <c r="SSN41" s="595"/>
      <c r="SSO41" s="595"/>
      <c r="SSP41" s="595"/>
      <c r="SSQ41" s="595"/>
      <c r="SSR41" s="595"/>
      <c r="SSS41" s="595"/>
      <c r="SST41" s="595"/>
      <c r="SSU41" s="595"/>
      <c r="SSV41" s="595"/>
      <c r="SSW41" s="595"/>
      <c r="SSX41" s="595"/>
      <c r="SSY41" s="595"/>
      <c r="SSZ41" s="595"/>
      <c r="STA41" s="595"/>
      <c r="STB41" s="595"/>
      <c r="STC41" s="595"/>
      <c r="STD41" s="595"/>
      <c r="STE41" s="595"/>
      <c r="STF41" s="595"/>
      <c r="STG41" s="595"/>
      <c r="STH41" s="595"/>
      <c r="STI41" s="595"/>
      <c r="STJ41" s="595"/>
      <c r="STK41" s="595"/>
      <c r="STL41" s="595"/>
      <c r="STM41" s="595"/>
      <c r="STN41" s="595"/>
      <c r="STO41" s="595"/>
      <c r="STP41" s="595"/>
      <c r="STQ41" s="595"/>
      <c r="STR41" s="595"/>
      <c r="STS41" s="595"/>
      <c r="STT41" s="595"/>
      <c r="STU41" s="595"/>
      <c r="STV41" s="595"/>
      <c r="STW41" s="595"/>
      <c r="STX41" s="595"/>
      <c r="STY41" s="595"/>
      <c r="STZ41" s="595"/>
      <c r="SUA41" s="595"/>
      <c r="SUB41" s="595"/>
      <c r="SUC41" s="595"/>
      <c r="SUD41" s="595"/>
      <c r="SUE41" s="595"/>
      <c r="SUF41" s="595"/>
      <c r="SUG41" s="595"/>
      <c r="SUH41" s="595"/>
      <c r="SUI41" s="595"/>
      <c r="SUJ41" s="595"/>
      <c r="SUK41" s="595"/>
      <c r="SUL41" s="595"/>
      <c r="SUM41" s="595"/>
      <c r="SUN41" s="595"/>
      <c r="SUO41" s="595"/>
      <c r="SUP41" s="595"/>
      <c r="SUQ41" s="595"/>
      <c r="SUR41" s="595"/>
      <c r="SUS41" s="595"/>
      <c r="SUT41" s="595"/>
      <c r="SUU41" s="595"/>
      <c r="SUV41" s="595"/>
      <c r="SUW41" s="595"/>
      <c r="SUX41" s="595"/>
      <c r="SUY41" s="595"/>
      <c r="SUZ41" s="595"/>
      <c r="SVA41" s="595"/>
      <c r="SVB41" s="595"/>
      <c r="SVC41" s="595"/>
      <c r="SVD41" s="595"/>
      <c r="SVE41" s="595"/>
      <c r="SVF41" s="595"/>
      <c r="SVG41" s="595"/>
      <c r="SVH41" s="595"/>
      <c r="SVI41" s="595"/>
      <c r="SVJ41" s="595"/>
      <c r="SVK41" s="595"/>
      <c r="SVL41" s="595"/>
      <c r="SVM41" s="595"/>
      <c r="SVN41" s="595"/>
      <c r="SVO41" s="595"/>
      <c r="SVP41" s="595"/>
      <c r="SVQ41" s="595"/>
      <c r="SVR41" s="595"/>
      <c r="SVS41" s="595"/>
      <c r="SVT41" s="595"/>
      <c r="SVU41" s="595"/>
      <c r="SVV41" s="595"/>
      <c r="SVW41" s="595"/>
      <c r="SVX41" s="595"/>
      <c r="SVY41" s="595"/>
      <c r="SVZ41" s="595"/>
      <c r="SWA41" s="595"/>
      <c r="SWB41" s="595"/>
      <c r="SWC41" s="595"/>
      <c r="SWD41" s="595"/>
      <c r="SWE41" s="595"/>
      <c r="SWF41" s="595"/>
      <c r="SWG41" s="595"/>
      <c r="SWH41" s="595"/>
      <c r="SWI41" s="595"/>
      <c r="SWJ41" s="595"/>
      <c r="SWK41" s="595"/>
      <c r="SWL41" s="595"/>
      <c r="SWM41" s="595"/>
      <c r="SWN41" s="595"/>
      <c r="SWO41" s="595"/>
      <c r="SWP41" s="595"/>
      <c r="SWQ41" s="595"/>
      <c r="SWR41" s="595"/>
      <c r="SWS41" s="595"/>
      <c r="SWT41" s="595"/>
      <c r="SWU41" s="595"/>
      <c r="SWV41" s="595"/>
      <c r="SWW41" s="595"/>
      <c r="SWX41" s="595"/>
      <c r="SWY41" s="595"/>
      <c r="SWZ41" s="595"/>
      <c r="SXA41" s="595"/>
      <c r="SXB41" s="595"/>
      <c r="SXC41" s="595"/>
      <c r="SXD41" s="595"/>
      <c r="SXE41" s="595"/>
      <c r="SXF41" s="595"/>
      <c r="SXG41" s="595"/>
      <c r="SXH41" s="595"/>
      <c r="SXI41" s="595"/>
      <c r="SXJ41" s="595"/>
      <c r="SXK41" s="595"/>
      <c r="SXL41" s="595"/>
      <c r="SXM41" s="595"/>
      <c r="SXN41" s="595"/>
      <c r="SXO41" s="595"/>
      <c r="SXP41" s="595"/>
      <c r="SXQ41" s="595"/>
      <c r="SXR41" s="595"/>
      <c r="SXS41" s="595"/>
      <c r="SXT41" s="595"/>
      <c r="SXU41" s="595"/>
      <c r="SXV41" s="595"/>
      <c r="SXW41" s="595"/>
      <c r="SXX41" s="595"/>
      <c r="SXY41" s="595"/>
      <c r="SXZ41" s="595"/>
      <c r="SYA41" s="595"/>
      <c r="SYB41" s="595"/>
      <c r="SYC41" s="595"/>
      <c r="SYD41" s="595"/>
      <c r="SYE41" s="595"/>
      <c r="SYF41" s="595"/>
      <c r="SYG41" s="595"/>
      <c r="SYH41" s="595"/>
      <c r="SYI41" s="595"/>
      <c r="SYJ41" s="595"/>
      <c r="SYK41" s="595"/>
      <c r="SYL41" s="595"/>
      <c r="SYM41" s="595"/>
      <c r="SYN41" s="595"/>
      <c r="SYO41" s="595"/>
      <c r="SYP41" s="595"/>
      <c r="SYQ41" s="595"/>
      <c r="SYR41" s="595"/>
      <c r="SYS41" s="595"/>
      <c r="SYT41" s="595"/>
      <c r="SYU41" s="595"/>
      <c r="SYV41" s="595"/>
      <c r="SYW41" s="595"/>
      <c r="SYX41" s="595"/>
      <c r="SYY41" s="595"/>
      <c r="SYZ41" s="595"/>
      <c r="SZA41" s="595"/>
      <c r="SZB41" s="595"/>
      <c r="SZC41" s="595"/>
      <c r="SZD41" s="595"/>
      <c r="SZE41" s="595"/>
      <c r="SZF41" s="595"/>
      <c r="SZG41" s="595"/>
      <c r="SZH41" s="595"/>
      <c r="SZI41" s="595"/>
      <c r="SZJ41" s="595"/>
      <c r="SZK41" s="595"/>
      <c r="SZL41" s="595"/>
      <c r="SZM41" s="595"/>
      <c r="SZN41" s="595"/>
      <c r="SZO41" s="595"/>
      <c r="SZP41" s="595"/>
      <c r="SZQ41" s="595"/>
      <c r="SZR41" s="595"/>
      <c r="SZS41" s="595"/>
      <c r="SZT41" s="595"/>
      <c r="SZU41" s="595"/>
      <c r="SZV41" s="595"/>
      <c r="SZW41" s="595"/>
      <c r="SZX41" s="595"/>
      <c r="SZY41" s="595"/>
      <c r="SZZ41" s="595"/>
      <c r="TAA41" s="595"/>
      <c r="TAB41" s="595"/>
      <c r="TAC41" s="595"/>
      <c r="TAD41" s="595"/>
      <c r="TAE41" s="595"/>
      <c r="TAF41" s="595"/>
      <c r="TAG41" s="595"/>
      <c r="TAH41" s="595"/>
      <c r="TAI41" s="595"/>
      <c r="TAJ41" s="595"/>
      <c r="TAK41" s="595"/>
      <c r="TAL41" s="595"/>
      <c r="TAM41" s="595"/>
      <c r="TAN41" s="595"/>
      <c r="TAO41" s="595"/>
      <c r="TAP41" s="595"/>
      <c r="TAQ41" s="595"/>
      <c r="TAR41" s="595"/>
      <c r="TAS41" s="595"/>
      <c r="TAT41" s="595"/>
      <c r="TAU41" s="595"/>
      <c r="TAV41" s="595"/>
      <c r="TAW41" s="595"/>
      <c r="TAX41" s="595"/>
      <c r="TAY41" s="595"/>
      <c r="TAZ41" s="595"/>
      <c r="TBA41" s="595"/>
      <c r="TBB41" s="595"/>
      <c r="TBC41" s="595"/>
      <c r="TBD41" s="595"/>
      <c r="TBE41" s="595"/>
      <c r="TBF41" s="595"/>
      <c r="TBG41" s="595"/>
      <c r="TBH41" s="595"/>
      <c r="TBI41" s="595"/>
      <c r="TBJ41" s="595"/>
      <c r="TBK41" s="595"/>
      <c r="TBL41" s="595"/>
      <c r="TBM41" s="595"/>
      <c r="TBN41" s="595"/>
      <c r="TBO41" s="595"/>
      <c r="TBP41" s="595"/>
      <c r="TBQ41" s="595"/>
      <c r="TBR41" s="595"/>
      <c r="TBS41" s="595"/>
      <c r="TBT41" s="595"/>
      <c r="TBU41" s="595"/>
      <c r="TBV41" s="595"/>
      <c r="TBW41" s="595"/>
      <c r="TBX41" s="595"/>
      <c r="TBY41" s="595"/>
      <c r="TBZ41" s="595"/>
      <c r="TCA41" s="595"/>
      <c r="TCB41" s="595"/>
      <c r="TCC41" s="595"/>
      <c r="TCD41" s="595"/>
      <c r="TCE41" s="595"/>
      <c r="TCF41" s="595"/>
      <c r="TCG41" s="595"/>
      <c r="TCH41" s="595"/>
      <c r="TCI41" s="595"/>
      <c r="TCJ41" s="595"/>
      <c r="TCK41" s="595"/>
      <c r="TCL41" s="595"/>
      <c r="TCM41" s="595"/>
      <c r="TCN41" s="595"/>
      <c r="TCO41" s="595"/>
      <c r="TCP41" s="595"/>
      <c r="TCQ41" s="595"/>
      <c r="TCR41" s="595"/>
      <c r="TCS41" s="595"/>
      <c r="TCT41" s="595"/>
      <c r="TCU41" s="595"/>
      <c r="TCV41" s="595"/>
      <c r="TCW41" s="595"/>
      <c r="TCX41" s="595"/>
      <c r="TCY41" s="595"/>
      <c r="TCZ41" s="595"/>
      <c r="TDA41" s="595"/>
      <c r="TDB41" s="595"/>
      <c r="TDC41" s="595"/>
      <c r="TDD41" s="595"/>
      <c r="TDE41" s="595"/>
      <c r="TDF41" s="595"/>
      <c r="TDG41" s="595"/>
      <c r="TDH41" s="595"/>
      <c r="TDI41" s="595"/>
      <c r="TDJ41" s="595"/>
      <c r="TDK41" s="595"/>
      <c r="TDL41" s="595"/>
      <c r="TDM41" s="595"/>
      <c r="TDN41" s="595"/>
      <c r="TDO41" s="595"/>
      <c r="TDP41" s="595"/>
      <c r="TDQ41" s="595"/>
      <c r="TDR41" s="595"/>
      <c r="TDS41" s="595"/>
      <c r="TDT41" s="595"/>
      <c r="TDU41" s="595"/>
      <c r="TDV41" s="595"/>
      <c r="TDW41" s="595"/>
      <c r="TDX41" s="595"/>
      <c r="TDY41" s="595"/>
      <c r="TDZ41" s="595"/>
      <c r="TEA41" s="595"/>
      <c r="TEB41" s="595"/>
      <c r="TEC41" s="595"/>
      <c r="TED41" s="595"/>
      <c r="TEE41" s="595"/>
      <c r="TEF41" s="595"/>
      <c r="TEG41" s="595"/>
      <c r="TEH41" s="595"/>
      <c r="TEI41" s="595"/>
      <c r="TEJ41" s="595"/>
      <c r="TEK41" s="595"/>
      <c r="TEL41" s="595"/>
      <c r="TEM41" s="595"/>
      <c r="TEN41" s="595"/>
      <c r="TEO41" s="595"/>
      <c r="TEP41" s="595"/>
      <c r="TEQ41" s="595"/>
      <c r="TER41" s="595"/>
      <c r="TES41" s="595"/>
      <c r="TET41" s="595"/>
      <c r="TEU41" s="595"/>
      <c r="TEV41" s="595"/>
      <c r="TEW41" s="595"/>
      <c r="TEX41" s="595"/>
      <c r="TEY41" s="595"/>
      <c r="TEZ41" s="595"/>
      <c r="TFA41" s="595"/>
      <c r="TFB41" s="595"/>
      <c r="TFC41" s="595"/>
      <c r="TFD41" s="595"/>
      <c r="TFE41" s="595"/>
      <c r="TFF41" s="595"/>
      <c r="TFG41" s="595"/>
      <c r="TFH41" s="595"/>
      <c r="TFI41" s="595"/>
      <c r="TFJ41" s="595"/>
      <c r="TFK41" s="595"/>
      <c r="TFL41" s="595"/>
      <c r="TFM41" s="595"/>
      <c r="TFN41" s="595"/>
      <c r="TFO41" s="595"/>
      <c r="TFP41" s="595"/>
      <c r="TFQ41" s="595"/>
      <c r="TFR41" s="595"/>
      <c r="TFS41" s="595"/>
      <c r="TFT41" s="595"/>
      <c r="TFU41" s="595"/>
      <c r="TFV41" s="595"/>
      <c r="TFW41" s="595"/>
      <c r="TFX41" s="595"/>
      <c r="TFY41" s="595"/>
      <c r="TFZ41" s="595"/>
      <c r="TGA41" s="595"/>
      <c r="TGB41" s="595"/>
      <c r="TGC41" s="595"/>
      <c r="TGD41" s="595"/>
      <c r="TGE41" s="595"/>
      <c r="TGF41" s="595"/>
      <c r="TGG41" s="595"/>
      <c r="TGH41" s="595"/>
      <c r="TGI41" s="595"/>
      <c r="TGJ41" s="595"/>
      <c r="TGK41" s="595"/>
      <c r="TGL41" s="595"/>
      <c r="TGM41" s="595"/>
      <c r="TGN41" s="595"/>
      <c r="TGO41" s="595"/>
      <c r="TGP41" s="595"/>
      <c r="TGQ41" s="595"/>
      <c r="TGR41" s="595"/>
      <c r="TGS41" s="595"/>
      <c r="TGT41" s="595"/>
      <c r="TGU41" s="595"/>
      <c r="TGV41" s="595"/>
      <c r="TGW41" s="595"/>
      <c r="TGX41" s="595"/>
      <c r="TGY41" s="595"/>
      <c r="TGZ41" s="595"/>
      <c r="THA41" s="595"/>
      <c r="THB41" s="595"/>
      <c r="THC41" s="595"/>
      <c r="THD41" s="595"/>
      <c r="THE41" s="595"/>
      <c r="THF41" s="595"/>
      <c r="THG41" s="595"/>
      <c r="THH41" s="595"/>
      <c r="THI41" s="595"/>
      <c r="THJ41" s="595"/>
      <c r="THK41" s="595"/>
      <c r="THL41" s="595"/>
      <c r="THM41" s="595"/>
      <c r="THN41" s="595"/>
      <c r="THO41" s="595"/>
      <c r="THP41" s="595"/>
      <c r="THQ41" s="595"/>
      <c r="THR41" s="595"/>
      <c r="THS41" s="595"/>
      <c r="THT41" s="595"/>
      <c r="THU41" s="595"/>
      <c r="THV41" s="595"/>
      <c r="THW41" s="595"/>
      <c r="THX41" s="595"/>
      <c r="THY41" s="595"/>
      <c r="THZ41" s="595"/>
      <c r="TIA41" s="595"/>
      <c r="TIB41" s="595"/>
      <c r="TIC41" s="595"/>
      <c r="TID41" s="595"/>
      <c r="TIE41" s="595"/>
      <c r="TIF41" s="595"/>
      <c r="TIG41" s="595"/>
      <c r="TIH41" s="595"/>
      <c r="TII41" s="595"/>
      <c r="TIJ41" s="595"/>
      <c r="TIK41" s="595"/>
      <c r="TIL41" s="595"/>
      <c r="TIM41" s="595"/>
      <c r="TIN41" s="595"/>
      <c r="TIO41" s="595"/>
      <c r="TIP41" s="595"/>
      <c r="TIQ41" s="595"/>
      <c r="TIR41" s="595"/>
      <c r="TIS41" s="595"/>
      <c r="TIT41" s="595"/>
      <c r="TIU41" s="595"/>
      <c r="TIV41" s="595"/>
      <c r="TIW41" s="595"/>
      <c r="TIX41" s="595"/>
      <c r="TIY41" s="595"/>
      <c r="TIZ41" s="595"/>
      <c r="TJA41" s="595"/>
      <c r="TJB41" s="595"/>
      <c r="TJC41" s="595"/>
      <c r="TJD41" s="595"/>
      <c r="TJE41" s="595"/>
      <c r="TJF41" s="595"/>
      <c r="TJG41" s="595"/>
      <c r="TJH41" s="595"/>
      <c r="TJI41" s="595"/>
      <c r="TJJ41" s="595"/>
      <c r="TJK41" s="595"/>
      <c r="TJL41" s="595"/>
      <c r="TJM41" s="595"/>
      <c r="TJN41" s="595"/>
      <c r="TJO41" s="595"/>
      <c r="TJP41" s="595"/>
      <c r="TJQ41" s="595"/>
      <c r="TJR41" s="595"/>
      <c r="TJS41" s="595"/>
      <c r="TJT41" s="595"/>
      <c r="TJU41" s="595"/>
      <c r="TJV41" s="595"/>
      <c r="TJW41" s="595"/>
      <c r="TJX41" s="595"/>
      <c r="TJY41" s="595"/>
      <c r="TJZ41" s="595"/>
      <c r="TKA41" s="595"/>
      <c r="TKB41" s="595"/>
      <c r="TKC41" s="595"/>
      <c r="TKD41" s="595"/>
      <c r="TKE41" s="595"/>
      <c r="TKF41" s="595"/>
      <c r="TKG41" s="595"/>
      <c r="TKH41" s="595"/>
      <c r="TKI41" s="595"/>
      <c r="TKJ41" s="595"/>
      <c r="TKK41" s="595"/>
      <c r="TKL41" s="595"/>
      <c r="TKM41" s="595"/>
      <c r="TKN41" s="595"/>
      <c r="TKO41" s="595"/>
      <c r="TKP41" s="595"/>
      <c r="TKQ41" s="595"/>
      <c r="TKR41" s="595"/>
      <c r="TKS41" s="595"/>
      <c r="TKT41" s="595"/>
      <c r="TKU41" s="595"/>
      <c r="TKV41" s="595"/>
      <c r="TKW41" s="595"/>
      <c r="TKX41" s="595"/>
      <c r="TKY41" s="595"/>
      <c r="TKZ41" s="595"/>
      <c r="TLA41" s="595"/>
      <c r="TLB41" s="595"/>
      <c r="TLC41" s="595"/>
      <c r="TLD41" s="595"/>
      <c r="TLE41" s="595"/>
      <c r="TLF41" s="595"/>
      <c r="TLG41" s="595"/>
      <c r="TLH41" s="595"/>
      <c r="TLI41" s="595"/>
      <c r="TLJ41" s="595"/>
      <c r="TLK41" s="595"/>
      <c r="TLL41" s="595"/>
      <c r="TLM41" s="595"/>
      <c r="TLN41" s="595"/>
      <c r="TLO41" s="595"/>
      <c r="TLP41" s="595"/>
      <c r="TLQ41" s="595"/>
      <c r="TLR41" s="595"/>
      <c r="TLS41" s="595"/>
      <c r="TLT41" s="595"/>
      <c r="TLU41" s="595"/>
      <c r="TLV41" s="595"/>
      <c r="TLW41" s="595"/>
      <c r="TLX41" s="595"/>
      <c r="TLY41" s="595"/>
      <c r="TLZ41" s="595"/>
      <c r="TMA41" s="595"/>
      <c r="TMB41" s="595"/>
      <c r="TMC41" s="595"/>
      <c r="TMD41" s="595"/>
      <c r="TME41" s="595"/>
      <c r="TMF41" s="595"/>
      <c r="TMG41" s="595"/>
      <c r="TMH41" s="595"/>
      <c r="TMI41" s="595"/>
      <c r="TMJ41" s="595"/>
      <c r="TMK41" s="595"/>
      <c r="TML41" s="595"/>
      <c r="TMM41" s="595"/>
      <c r="TMN41" s="595"/>
      <c r="TMO41" s="595"/>
      <c r="TMP41" s="595"/>
      <c r="TMQ41" s="595"/>
      <c r="TMR41" s="595"/>
      <c r="TMS41" s="595"/>
      <c r="TMT41" s="595"/>
      <c r="TMU41" s="595"/>
      <c r="TMV41" s="595"/>
      <c r="TMW41" s="595"/>
      <c r="TMX41" s="595"/>
      <c r="TMY41" s="595"/>
      <c r="TMZ41" s="595"/>
      <c r="TNA41" s="595"/>
      <c r="TNB41" s="595"/>
      <c r="TNC41" s="595"/>
      <c r="TND41" s="595"/>
      <c r="TNE41" s="595"/>
      <c r="TNF41" s="595"/>
      <c r="TNG41" s="595"/>
      <c r="TNH41" s="595"/>
      <c r="TNI41" s="595"/>
      <c r="TNJ41" s="595"/>
      <c r="TNK41" s="595"/>
      <c r="TNL41" s="595"/>
      <c r="TNM41" s="595"/>
      <c r="TNN41" s="595"/>
      <c r="TNO41" s="595"/>
      <c r="TNP41" s="595"/>
      <c r="TNQ41" s="595"/>
      <c r="TNR41" s="595"/>
      <c r="TNS41" s="595"/>
      <c r="TNT41" s="595"/>
      <c r="TNU41" s="595"/>
      <c r="TNV41" s="595"/>
      <c r="TNW41" s="595"/>
      <c r="TNX41" s="595"/>
      <c r="TNY41" s="595"/>
      <c r="TNZ41" s="595"/>
      <c r="TOA41" s="595"/>
      <c r="TOB41" s="595"/>
      <c r="TOC41" s="595"/>
      <c r="TOD41" s="595"/>
      <c r="TOE41" s="595"/>
      <c r="TOF41" s="595"/>
      <c r="TOG41" s="595"/>
      <c r="TOH41" s="595"/>
      <c r="TOI41" s="595"/>
      <c r="TOJ41" s="595"/>
      <c r="TOK41" s="595"/>
      <c r="TOL41" s="595"/>
      <c r="TOM41" s="595"/>
      <c r="TON41" s="595"/>
      <c r="TOO41" s="595"/>
      <c r="TOP41" s="595"/>
      <c r="TOQ41" s="595"/>
      <c r="TOR41" s="595"/>
      <c r="TOS41" s="595"/>
      <c r="TOT41" s="595"/>
      <c r="TOU41" s="595"/>
      <c r="TOV41" s="595"/>
      <c r="TOW41" s="595"/>
      <c r="TOX41" s="595"/>
      <c r="TOY41" s="595"/>
      <c r="TOZ41" s="595"/>
      <c r="TPA41" s="595"/>
      <c r="TPB41" s="595"/>
      <c r="TPC41" s="595"/>
      <c r="TPD41" s="595"/>
      <c r="TPE41" s="595"/>
      <c r="TPF41" s="595"/>
      <c r="TPG41" s="595"/>
      <c r="TPH41" s="595"/>
      <c r="TPI41" s="595"/>
      <c r="TPJ41" s="595"/>
      <c r="TPK41" s="595"/>
      <c r="TPL41" s="595"/>
      <c r="TPM41" s="595"/>
      <c r="TPN41" s="595"/>
      <c r="TPO41" s="595"/>
      <c r="TPP41" s="595"/>
      <c r="TPQ41" s="595"/>
      <c r="TPR41" s="595"/>
      <c r="TPS41" s="595"/>
      <c r="TPT41" s="595"/>
      <c r="TPU41" s="595"/>
      <c r="TPV41" s="595"/>
      <c r="TPW41" s="595"/>
      <c r="TPX41" s="595"/>
      <c r="TPY41" s="595"/>
      <c r="TPZ41" s="595"/>
      <c r="TQA41" s="595"/>
      <c r="TQB41" s="595"/>
      <c r="TQC41" s="595"/>
      <c r="TQD41" s="595"/>
      <c r="TQE41" s="595"/>
      <c r="TQF41" s="595"/>
      <c r="TQG41" s="595"/>
      <c r="TQH41" s="595"/>
      <c r="TQI41" s="595"/>
      <c r="TQJ41" s="595"/>
      <c r="TQK41" s="595"/>
      <c r="TQL41" s="595"/>
      <c r="TQM41" s="595"/>
      <c r="TQN41" s="595"/>
      <c r="TQO41" s="595"/>
      <c r="TQP41" s="595"/>
      <c r="TQQ41" s="595"/>
      <c r="TQR41" s="595"/>
      <c r="TQS41" s="595"/>
      <c r="TQT41" s="595"/>
      <c r="TQU41" s="595"/>
      <c r="TQV41" s="595"/>
      <c r="TQW41" s="595"/>
      <c r="TQX41" s="595"/>
      <c r="TQY41" s="595"/>
      <c r="TQZ41" s="595"/>
      <c r="TRA41" s="595"/>
      <c r="TRB41" s="595"/>
      <c r="TRC41" s="595"/>
      <c r="TRD41" s="595"/>
      <c r="TRE41" s="595"/>
      <c r="TRF41" s="595"/>
      <c r="TRG41" s="595"/>
      <c r="TRH41" s="595"/>
      <c r="TRI41" s="595"/>
      <c r="TRJ41" s="595"/>
      <c r="TRK41" s="595"/>
      <c r="TRL41" s="595"/>
      <c r="TRM41" s="595"/>
      <c r="TRN41" s="595"/>
      <c r="TRO41" s="595"/>
      <c r="TRP41" s="595"/>
      <c r="TRQ41" s="595"/>
      <c r="TRR41" s="595"/>
      <c r="TRS41" s="595"/>
      <c r="TRT41" s="595"/>
      <c r="TRU41" s="595"/>
      <c r="TRV41" s="595"/>
      <c r="TRW41" s="595"/>
      <c r="TRX41" s="595"/>
      <c r="TRY41" s="595"/>
      <c r="TRZ41" s="595"/>
      <c r="TSA41" s="595"/>
      <c r="TSB41" s="595"/>
      <c r="TSC41" s="595"/>
      <c r="TSD41" s="595"/>
      <c r="TSE41" s="595"/>
      <c r="TSF41" s="595"/>
      <c r="TSG41" s="595"/>
      <c r="TSH41" s="595"/>
      <c r="TSI41" s="595"/>
      <c r="TSJ41" s="595"/>
      <c r="TSK41" s="595"/>
      <c r="TSL41" s="595"/>
      <c r="TSM41" s="595"/>
      <c r="TSN41" s="595"/>
      <c r="TSO41" s="595"/>
      <c r="TSP41" s="595"/>
      <c r="TSQ41" s="595"/>
      <c r="TSR41" s="595"/>
      <c r="TSS41" s="595"/>
      <c r="TST41" s="595"/>
      <c r="TSU41" s="595"/>
      <c r="TSV41" s="595"/>
      <c r="TSW41" s="595"/>
      <c r="TSX41" s="595"/>
      <c r="TSY41" s="595"/>
      <c r="TSZ41" s="595"/>
      <c r="TTA41" s="595"/>
      <c r="TTB41" s="595"/>
      <c r="TTC41" s="595"/>
      <c r="TTD41" s="595"/>
      <c r="TTE41" s="595"/>
      <c r="TTF41" s="595"/>
      <c r="TTG41" s="595"/>
      <c r="TTH41" s="595"/>
      <c r="TTI41" s="595"/>
      <c r="TTJ41" s="595"/>
      <c r="TTK41" s="595"/>
      <c r="TTL41" s="595"/>
      <c r="TTM41" s="595"/>
      <c r="TTN41" s="595"/>
      <c r="TTO41" s="595"/>
      <c r="TTP41" s="595"/>
      <c r="TTQ41" s="595"/>
      <c r="TTR41" s="595"/>
      <c r="TTS41" s="595"/>
      <c r="TTT41" s="595"/>
      <c r="TTU41" s="595"/>
      <c r="TTV41" s="595"/>
      <c r="TTW41" s="595"/>
      <c r="TTX41" s="595"/>
      <c r="TTY41" s="595"/>
      <c r="TTZ41" s="595"/>
      <c r="TUA41" s="595"/>
      <c r="TUB41" s="595"/>
      <c r="TUC41" s="595"/>
      <c r="TUD41" s="595"/>
      <c r="TUE41" s="595"/>
      <c r="TUF41" s="595"/>
      <c r="TUG41" s="595"/>
      <c r="TUH41" s="595"/>
      <c r="TUI41" s="595"/>
      <c r="TUJ41" s="595"/>
      <c r="TUK41" s="595"/>
      <c r="TUL41" s="595"/>
      <c r="TUM41" s="595"/>
      <c r="TUN41" s="595"/>
      <c r="TUO41" s="595"/>
      <c r="TUP41" s="595"/>
      <c r="TUQ41" s="595"/>
      <c r="TUR41" s="595"/>
      <c r="TUS41" s="595"/>
      <c r="TUT41" s="595"/>
      <c r="TUU41" s="595"/>
      <c r="TUV41" s="595"/>
      <c r="TUW41" s="595"/>
      <c r="TUX41" s="595"/>
      <c r="TUY41" s="595"/>
      <c r="TUZ41" s="595"/>
      <c r="TVA41" s="595"/>
      <c r="TVB41" s="595"/>
      <c r="TVC41" s="595"/>
      <c r="TVD41" s="595"/>
      <c r="TVE41" s="595"/>
      <c r="TVF41" s="595"/>
      <c r="TVG41" s="595"/>
      <c r="TVH41" s="595"/>
      <c r="TVI41" s="595"/>
      <c r="TVJ41" s="595"/>
      <c r="TVK41" s="595"/>
      <c r="TVL41" s="595"/>
      <c r="TVM41" s="595"/>
      <c r="TVN41" s="595"/>
      <c r="TVO41" s="595"/>
      <c r="TVP41" s="595"/>
      <c r="TVQ41" s="595"/>
      <c r="TVR41" s="595"/>
      <c r="TVS41" s="595"/>
      <c r="TVT41" s="595"/>
      <c r="TVU41" s="595"/>
      <c r="TVV41" s="595"/>
      <c r="TVW41" s="595"/>
      <c r="TVX41" s="595"/>
      <c r="TVY41" s="595"/>
      <c r="TVZ41" s="595"/>
      <c r="TWA41" s="595"/>
      <c r="TWB41" s="595"/>
      <c r="TWC41" s="595"/>
      <c r="TWD41" s="595"/>
      <c r="TWE41" s="595"/>
      <c r="TWF41" s="595"/>
      <c r="TWG41" s="595"/>
      <c r="TWH41" s="595"/>
      <c r="TWI41" s="595"/>
      <c r="TWJ41" s="595"/>
      <c r="TWK41" s="595"/>
      <c r="TWL41" s="595"/>
      <c r="TWM41" s="595"/>
      <c r="TWN41" s="595"/>
      <c r="TWO41" s="595"/>
      <c r="TWP41" s="595"/>
      <c r="TWQ41" s="595"/>
      <c r="TWR41" s="595"/>
      <c r="TWS41" s="595"/>
      <c r="TWT41" s="595"/>
      <c r="TWU41" s="595"/>
      <c r="TWV41" s="595"/>
      <c r="TWW41" s="595"/>
      <c r="TWX41" s="595"/>
      <c r="TWY41" s="595"/>
      <c r="TWZ41" s="595"/>
      <c r="TXA41" s="595"/>
      <c r="TXB41" s="595"/>
      <c r="TXC41" s="595"/>
      <c r="TXD41" s="595"/>
      <c r="TXE41" s="595"/>
      <c r="TXF41" s="595"/>
      <c r="TXG41" s="595"/>
      <c r="TXH41" s="595"/>
      <c r="TXI41" s="595"/>
      <c r="TXJ41" s="595"/>
      <c r="TXK41" s="595"/>
      <c r="TXL41" s="595"/>
      <c r="TXM41" s="595"/>
      <c r="TXN41" s="595"/>
      <c r="TXO41" s="595"/>
      <c r="TXP41" s="595"/>
      <c r="TXQ41" s="595"/>
      <c r="TXR41" s="595"/>
      <c r="TXS41" s="595"/>
      <c r="TXT41" s="595"/>
      <c r="TXU41" s="595"/>
      <c r="TXV41" s="595"/>
      <c r="TXW41" s="595"/>
      <c r="TXX41" s="595"/>
      <c r="TXY41" s="595"/>
      <c r="TXZ41" s="595"/>
      <c r="TYA41" s="595"/>
      <c r="TYB41" s="595"/>
      <c r="TYC41" s="595"/>
      <c r="TYD41" s="595"/>
      <c r="TYE41" s="595"/>
      <c r="TYF41" s="595"/>
      <c r="TYG41" s="595"/>
      <c r="TYH41" s="595"/>
      <c r="TYI41" s="595"/>
      <c r="TYJ41" s="595"/>
      <c r="TYK41" s="595"/>
      <c r="TYL41" s="595"/>
      <c r="TYM41" s="595"/>
      <c r="TYN41" s="595"/>
      <c r="TYO41" s="595"/>
      <c r="TYP41" s="595"/>
      <c r="TYQ41" s="595"/>
      <c r="TYR41" s="595"/>
      <c r="TYS41" s="595"/>
      <c r="TYT41" s="595"/>
      <c r="TYU41" s="595"/>
      <c r="TYV41" s="595"/>
      <c r="TYW41" s="595"/>
      <c r="TYX41" s="595"/>
      <c r="TYY41" s="595"/>
      <c r="TYZ41" s="595"/>
      <c r="TZA41" s="595"/>
      <c r="TZB41" s="595"/>
      <c r="TZC41" s="595"/>
      <c r="TZD41" s="595"/>
      <c r="TZE41" s="595"/>
      <c r="TZF41" s="595"/>
      <c r="TZG41" s="595"/>
      <c r="TZH41" s="595"/>
      <c r="TZI41" s="595"/>
      <c r="TZJ41" s="595"/>
      <c r="TZK41" s="595"/>
      <c r="TZL41" s="595"/>
      <c r="TZM41" s="595"/>
      <c r="TZN41" s="595"/>
      <c r="TZO41" s="595"/>
      <c r="TZP41" s="595"/>
      <c r="TZQ41" s="595"/>
      <c r="TZR41" s="595"/>
      <c r="TZS41" s="595"/>
      <c r="TZT41" s="595"/>
      <c r="TZU41" s="595"/>
      <c r="TZV41" s="595"/>
      <c r="TZW41" s="595"/>
      <c r="TZX41" s="595"/>
      <c r="TZY41" s="595"/>
      <c r="TZZ41" s="595"/>
      <c r="UAA41" s="595"/>
      <c r="UAB41" s="595"/>
      <c r="UAC41" s="595"/>
      <c r="UAD41" s="595"/>
      <c r="UAE41" s="595"/>
      <c r="UAF41" s="595"/>
      <c r="UAG41" s="595"/>
      <c r="UAH41" s="595"/>
      <c r="UAI41" s="595"/>
      <c r="UAJ41" s="595"/>
      <c r="UAK41" s="595"/>
      <c r="UAL41" s="595"/>
      <c r="UAM41" s="595"/>
      <c r="UAN41" s="595"/>
      <c r="UAO41" s="595"/>
      <c r="UAP41" s="595"/>
      <c r="UAQ41" s="595"/>
      <c r="UAR41" s="595"/>
      <c r="UAS41" s="595"/>
      <c r="UAT41" s="595"/>
      <c r="UAU41" s="595"/>
      <c r="UAV41" s="595"/>
      <c r="UAW41" s="595"/>
      <c r="UAX41" s="595"/>
      <c r="UAY41" s="595"/>
      <c r="UAZ41" s="595"/>
      <c r="UBA41" s="595"/>
      <c r="UBB41" s="595"/>
      <c r="UBC41" s="595"/>
      <c r="UBD41" s="595"/>
      <c r="UBE41" s="595"/>
      <c r="UBF41" s="595"/>
      <c r="UBG41" s="595"/>
      <c r="UBH41" s="595"/>
      <c r="UBI41" s="595"/>
      <c r="UBJ41" s="595"/>
      <c r="UBK41" s="595"/>
      <c r="UBL41" s="595"/>
      <c r="UBM41" s="595"/>
      <c r="UBN41" s="595"/>
      <c r="UBO41" s="595"/>
      <c r="UBP41" s="595"/>
      <c r="UBQ41" s="595"/>
      <c r="UBR41" s="595"/>
      <c r="UBS41" s="595"/>
      <c r="UBT41" s="595"/>
      <c r="UBU41" s="595"/>
      <c r="UBV41" s="595"/>
      <c r="UBW41" s="595"/>
      <c r="UBX41" s="595"/>
      <c r="UBY41" s="595"/>
      <c r="UBZ41" s="595"/>
      <c r="UCA41" s="595"/>
      <c r="UCB41" s="595"/>
      <c r="UCC41" s="595"/>
      <c r="UCD41" s="595"/>
      <c r="UCE41" s="595"/>
      <c r="UCF41" s="595"/>
      <c r="UCG41" s="595"/>
      <c r="UCH41" s="595"/>
      <c r="UCI41" s="595"/>
      <c r="UCJ41" s="595"/>
      <c r="UCK41" s="595"/>
      <c r="UCL41" s="595"/>
      <c r="UCM41" s="595"/>
      <c r="UCN41" s="595"/>
      <c r="UCO41" s="595"/>
      <c r="UCP41" s="595"/>
      <c r="UCQ41" s="595"/>
      <c r="UCR41" s="595"/>
      <c r="UCS41" s="595"/>
      <c r="UCT41" s="595"/>
      <c r="UCU41" s="595"/>
      <c r="UCV41" s="595"/>
      <c r="UCW41" s="595"/>
      <c r="UCX41" s="595"/>
      <c r="UCY41" s="595"/>
      <c r="UCZ41" s="595"/>
      <c r="UDA41" s="595"/>
      <c r="UDB41" s="595"/>
      <c r="UDC41" s="595"/>
      <c r="UDD41" s="595"/>
      <c r="UDE41" s="595"/>
      <c r="UDF41" s="595"/>
      <c r="UDG41" s="595"/>
      <c r="UDH41" s="595"/>
      <c r="UDI41" s="595"/>
      <c r="UDJ41" s="595"/>
      <c r="UDK41" s="595"/>
      <c r="UDL41" s="595"/>
      <c r="UDM41" s="595"/>
      <c r="UDN41" s="595"/>
      <c r="UDO41" s="595"/>
      <c r="UDP41" s="595"/>
      <c r="UDQ41" s="595"/>
      <c r="UDR41" s="595"/>
      <c r="UDS41" s="595"/>
      <c r="UDT41" s="595"/>
      <c r="UDU41" s="595"/>
      <c r="UDV41" s="595"/>
      <c r="UDW41" s="595"/>
      <c r="UDX41" s="595"/>
      <c r="UDY41" s="595"/>
      <c r="UDZ41" s="595"/>
      <c r="UEA41" s="595"/>
      <c r="UEB41" s="595"/>
      <c r="UEC41" s="595"/>
      <c r="UED41" s="595"/>
      <c r="UEE41" s="595"/>
      <c r="UEF41" s="595"/>
      <c r="UEG41" s="595"/>
      <c r="UEH41" s="595"/>
      <c r="UEI41" s="595"/>
      <c r="UEJ41" s="595"/>
      <c r="UEK41" s="595"/>
      <c r="UEL41" s="595"/>
      <c r="UEM41" s="595"/>
      <c r="UEN41" s="595"/>
      <c r="UEO41" s="595"/>
      <c r="UEP41" s="595"/>
      <c r="UEQ41" s="595"/>
      <c r="UER41" s="595"/>
      <c r="UES41" s="595"/>
      <c r="UET41" s="595"/>
      <c r="UEU41" s="595"/>
      <c r="UEV41" s="595"/>
      <c r="UEW41" s="595"/>
      <c r="UEX41" s="595"/>
      <c r="UEY41" s="595"/>
      <c r="UEZ41" s="595"/>
      <c r="UFA41" s="595"/>
      <c r="UFB41" s="595"/>
      <c r="UFC41" s="595"/>
      <c r="UFD41" s="595"/>
      <c r="UFE41" s="595"/>
      <c r="UFF41" s="595"/>
      <c r="UFG41" s="595"/>
      <c r="UFH41" s="595"/>
      <c r="UFI41" s="595"/>
      <c r="UFJ41" s="595"/>
      <c r="UFK41" s="595"/>
      <c r="UFL41" s="595"/>
      <c r="UFM41" s="595"/>
      <c r="UFN41" s="595"/>
      <c r="UFO41" s="595"/>
      <c r="UFP41" s="595"/>
      <c r="UFQ41" s="595"/>
      <c r="UFR41" s="595"/>
      <c r="UFS41" s="595"/>
      <c r="UFT41" s="595"/>
      <c r="UFU41" s="595"/>
      <c r="UFV41" s="595"/>
      <c r="UFW41" s="595"/>
      <c r="UFX41" s="595"/>
      <c r="UFY41" s="595"/>
      <c r="UFZ41" s="595"/>
      <c r="UGA41" s="595"/>
      <c r="UGB41" s="595"/>
      <c r="UGC41" s="595"/>
      <c r="UGD41" s="595"/>
      <c r="UGE41" s="595"/>
      <c r="UGF41" s="595"/>
      <c r="UGG41" s="595"/>
      <c r="UGH41" s="595"/>
      <c r="UGI41" s="595"/>
      <c r="UGJ41" s="595"/>
      <c r="UGK41" s="595"/>
      <c r="UGL41" s="595"/>
      <c r="UGM41" s="595"/>
      <c r="UGN41" s="595"/>
      <c r="UGO41" s="595"/>
      <c r="UGP41" s="595"/>
      <c r="UGQ41" s="595"/>
      <c r="UGR41" s="595"/>
      <c r="UGS41" s="595"/>
      <c r="UGT41" s="595"/>
      <c r="UGU41" s="595"/>
      <c r="UGV41" s="595"/>
      <c r="UGW41" s="595"/>
      <c r="UGX41" s="595"/>
      <c r="UGY41" s="595"/>
      <c r="UGZ41" s="595"/>
      <c r="UHA41" s="595"/>
      <c r="UHB41" s="595"/>
      <c r="UHC41" s="595"/>
      <c r="UHD41" s="595"/>
      <c r="UHE41" s="595"/>
      <c r="UHF41" s="595"/>
      <c r="UHG41" s="595"/>
      <c r="UHH41" s="595"/>
      <c r="UHI41" s="595"/>
      <c r="UHJ41" s="595"/>
      <c r="UHK41" s="595"/>
      <c r="UHL41" s="595"/>
      <c r="UHM41" s="595"/>
      <c r="UHN41" s="595"/>
      <c r="UHO41" s="595"/>
      <c r="UHP41" s="595"/>
      <c r="UHQ41" s="595"/>
      <c r="UHR41" s="595"/>
      <c r="UHS41" s="595"/>
      <c r="UHT41" s="595"/>
      <c r="UHU41" s="595"/>
      <c r="UHV41" s="595"/>
      <c r="UHW41" s="595"/>
      <c r="UHX41" s="595"/>
      <c r="UHY41" s="595"/>
      <c r="UHZ41" s="595"/>
      <c r="UIA41" s="595"/>
      <c r="UIB41" s="595"/>
      <c r="UIC41" s="595"/>
      <c r="UID41" s="595"/>
      <c r="UIE41" s="595"/>
      <c r="UIF41" s="595"/>
      <c r="UIG41" s="595"/>
      <c r="UIH41" s="595"/>
      <c r="UII41" s="595"/>
      <c r="UIJ41" s="595"/>
      <c r="UIK41" s="595"/>
      <c r="UIL41" s="595"/>
      <c r="UIM41" s="595"/>
      <c r="UIN41" s="595"/>
      <c r="UIO41" s="595"/>
      <c r="UIP41" s="595"/>
      <c r="UIQ41" s="595"/>
      <c r="UIR41" s="595"/>
      <c r="UIS41" s="595"/>
      <c r="UIT41" s="595"/>
      <c r="UIU41" s="595"/>
      <c r="UIV41" s="595"/>
      <c r="UIW41" s="595"/>
      <c r="UIX41" s="595"/>
      <c r="UIY41" s="595"/>
      <c r="UIZ41" s="595"/>
      <c r="UJA41" s="595"/>
      <c r="UJB41" s="595"/>
      <c r="UJC41" s="595"/>
      <c r="UJD41" s="595"/>
      <c r="UJE41" s="595"/>
      <c r="UJF41" s="595"/>
      <c r="UJG41" s="595"/>
      <c r="UJH41" s="595"/>
      <c r="UJI41" s="595"/>
      <c r="UJJ41" s="595"/>
      <c r="UJK41" s="595"/>
      <c r="UJL41" s="595"/>
      <c r="UJM41" s="595"/>
      <c r="UJN41" s="595"/>
      <c r="UJO41" s="595"/>
      <c r="UJP41" s="595"/>
      <c r="UJQ41" s="595"/>
      <c r="UJR41" s="595"/>
      <c r="UJS41" s="595"/>
      <c r="UJT41" s="595"/>
      <c r="UJU41" s="595"/>
      <c r="UJV41" s="595"/>
      <c r="UJW41" s="595"/>
      <c r="UJX41" s="595"/>
      <c r="UJY41" s="595"/>
      <c r="UJZ41" s="595"/>
      <c r="UKA41" s="595"/>
      <c r="UKB41" s="595"/>
      <c r="UKC41" s="595"/>
      <c r="UKD41" s="595"/>
      <c r="UKE41" s="595"/>
      <c r="UKF41" s="595"/>
      <c r="UKG41" s="595"/>
      <c r="UKH41" s="595"/>
      <c r="UKI41" s="595"/>
      <c r="UKJ41" s="595"/>
      <c r="UKK41" s="595"/>
      <c r="UKL41" s="595"/>
      <c r="UKM41" s="595"/>
      <c r="UKN41" s="595"/>
      <c r="UKO41" s="595"/>
      <c r="UKP41" s="595"/>
      <c r="UKQ41" s="595"/>
      <c r="UKR41" s="595"/>
      <c r="UKS41" s="595"/>
      <c r="UKT41" s="595"/>
      <c r="UKU41" s="595"/>
      <c r="UKV41" s="595"/>
      <c r="UKW41" s="595"/>
      <c r="UKX41" s="595"/>
      <c r="UKY41" s="595"/>
      <c r="UKZ41" s="595"/>
      <c r="ULA41" s="595"/>
      <c r="ULB41" s="595"/>
      <c r="ULC41" s="595"/>
      <c r="ULD41" s="595"/>
      <c r="ULE41" s="595"/>
      <c r="ULF41" s="595"/>
      <c r="ULG41" s="595"/>
      <c r="ULH41" s="595"/>
      <c r="ULI41" s="595"/>
      <c r="ULJ41" s="595"/>
      <c r="ULK41" s="595"/>
      <c r="ULL41" s="595"/>
      <c r="ULM41" s="595"/>
      <c r="ULN41" s="595"/>
      <c r="ULO41" s="595"/>
      <c r="ULP41" s="595"/>
      <c r="ULQ41" s="595"/>
      <c r="ULR41" s="595"/>
      <c r="ULS41" s="595"/>
      <c r="ULT41" s="595"/>
      <c r="ULU41" s="595"/>
      <c r="ULV41" s="595"/>
      <c r="ULW41" s="595"/>
      <c r="ULX41" s="595"/>
      <c r="ULY41" s="595"/>
      <c r="ULZ41" s="595"/>
      <c r="UMA41" s="595"/>
      <c r="UMB41" s="595"/>
      <c r="UMC41" s="595"/>
      <c r="UMD41" s="595"/>
      <c r="UME41" s="595"/>
      <c r="UMF41" s="595"/>
      <c r="UMG41" s="595"/>
      <c r="UMH41" s="595"/>
      <c r="UMI41" s="595"/>
      <c r="UMJ41" s="595"/>
      <c r="UMK41" s="595"/>
      <c r="UML41" s="595"/>
      <c r="UMM41" s="595"/>
      <c r="UMN41" s="595"/>
      <c r="UMO41" s="595"/>
      <c r="UMP41" s="595"/>
      <c r="UMQ41" s="595"/>
      <c r="UMR41" s="595"/>
      <c r="UMS41" s="595"/>
      <c r="UMT41" s="595"/>
      <c r="UMU41" s="595"/>
      <c r="UMV41" s="595"/>
      <c r="UMW41" s="595"/>
      <c r="UMX41" s="595"/>
      <c r="UMY41" s="595"/>
      <c r="UMZ41" s="595"/>
      <c r="UNA41" s="595"/>
      <c r="UNB41" s="595"/>
      <c r="UNC41" s="595"/>
      <c r="UND41" s="595"/>
      <c r="UNE41" s="595"/>
      <c r="UNF41" s="595"/>
      <c r="UNG41" s="595"/>
      <c r="UNH41" s="595"/>
      <c r="UNI41" s="595"/>
      <c r="UNJ41" s="595"/>
      <c r="UNK41" s="595"/>
      <c r="UNL41" s="595"/>
      <c r="UNM41" s="595"/>
      <c r="UNN41" s="595"/>
      <c r="UNO41" s="595"/>
      <c r="UNP41" s="595"/>
      <c r="UNQ41" s="595"/>
      <c r="UNR41" s="595"/>
      <c r="UNS41" s="595"/>
      <c r="UNT41" s="595"/>
      <c r="UNU41" s="595"/>
      <c r="UNV41" s="595"/>
      <c r="UNW41" s="595"/>
      <c r="UNX41" s="595"/>
      <c r="UNY41" s="595"/>
      <c r="UNZ41" s="595"/>
      <c r="UOA41" s="595"/>
      <c r="UOB41" s="595"/>
      <c r="UOC41" s="595"/>
      <c r="UOD41" s="595"/>
      <c r="UOE41" s="595"/>
      <c r="UOF41" s="595"/>
      <c r="UOG41" s="595"/>
      <c r="UOH41" s="595"/>
      <c r="UOI41" s="595"/>
      <c r="UOJ41" s="595"/>
      <c r="UOK41" s="595"/>
      <c r="UOL41" s="595"/>
      <c r="UOM41" s="595"/>
      <c r="UON41" s="595"/>
      <c r="UOO41" s="595"/>
      <c r="UOP41" s="595"/>
      <c r="UOQ41" s="595"/>
      <c r="UOR41" s="595"/>
      <c r="UOS41" s="595"/>
      <c r="UOT41" s="595"/>
      <c r="UOU41" s="595"/>
      <c r="UOV41" s="595"/>
      <c r="UOW41" s="595"/>
      <c r="UOX41" s="595"/>
      <c r="UOY41" s="595"/>
      <c r="UOZ41" s="595"/>
      <c r="UPA41" s="595"/>
      <c r="UPB41" s="595"/>
      <c r="UPC41" s="595"/>
      <c r="UPD41" s="595"/>
      <c r="UPE41" s="595"/>
      <c r="UPF41" s="595"/>
      <c r="UPG41" s="595"/>
      <c r="UPH41" s="595"/>
      <c r="UPI41" s="595"/>
      <c r="UPJ41" s="595"/>
      <c r="UPK41" s="595"/>
      <c r="UPL41" s="595"/>
      <c r="UPM41" s="595"/>
      <c r="UPN41" s="595"/>
      <c r="UPO41" s="595"/>
      <c r="UPP41" s="595"/>
      <c r="UPQ41" s="595"/>
      <c r="UPR41" s="595"/>
      <c r="UPS41" s="595"/>
      <c r="UPT41" s="595"/>
      <c r="UPU41" s="595"/>
      <c r="UPV41" s="595"/>
      <c r="UPW41" s="595"/>
      <c r="UPX41" s="595"/>
      <c r="UPY41" s="595"/>
      <c r="UPZ41" s="595"/>
      <c r="UQA41" s="595"/>
      <c r="UQB41" s="595"/>
      <c r="UQC41" s="595"/>
      <c r="UQD41" s="595"/>
      <c r="UQE41" s="595"/>
      <c r="UQF41" s="595"/>
      <c r="UQG41" s="595"/>
      <c r="UQH41" s="595"/>
      <c r="UQI41" s="595"/>
      <c r="UQJ41" s="595"/>
      <c r="UQK41" s="595"/>
      <c r="UQL41" s="595"/>
      <c r="UQM41" s="595"/>
      <c r="UQN41" s="595"/>
      <c r="UQO41" s="595"/>
      <c r="UQP41" s="595"/>
      <c r="UQQ41" s="595"/>
      <c r="UQR41" s="595"/>
      <c r="UQS41" s="595"/>
      <c r="UQT41" s="595"/>
      <c r="UQU41" s="595"/>
      <c r="UQV41" s="595"/>
      <c r="UQW41" s="595"/>
      <c r="UQX41" s="595"/>
      <c r="UQY41" s="595"/>
      <c r="UQZ41" s="595"/>
      <c r="URA41" s="595"/>
      <c r="URB41" s="595"/>
      <c r="URC41" s="595"/>
      <c r="URD41" s="595"/>
      <c r="URE41" s="595"/>
      <c r="URF41" s="595"/>
      <c r="URG41" s="595"/>
      <c r="URH41" s="595"/>
      <c r="URI41" s="595"/>
      <c r="URJ41" s="595"/>
      <c r="URK41" s="595"/>
      <c r="URL41" s="595"/>
      <c r="URM41" s="595"/>
      <c r="URN41" s="595"/>
      <c r="URO41" s="595"/>
      <c r="URP41" s="595"/>
      <c r="URQ41" s="595"/>
      <c r="URR41" s="595"/>
      <c r="URS41" s="595"/>
      <c r="URT41" s="595"/>
      <c r="URU41" s="595"/>
      <c r="URV41" s="595"/>
      <c r="URW41" s="595"/>
      <c r="URX41" s="595"/>
      <c r="URY41" s="595"/>
      <c r="URZ41" s="595"/>
      <c r="USA41" s="595"/>
      <c r="USB41" s="595"/>
      <c r="USC41" s="595"/>
      <c r="USD41" s="595"/>
      <c r="USE41" s="595"/>
      <c r="USF41" s="595"/>
      <c r="USG41" s="595"/>
      <c r="USH41" s="595"/>
      <c r="USI41" s="595"/>
      <c r="USJ41" s="595"/>
      <c r="USK41" s="595"/>
      <c r="USL41" s="595"/>
      <c r="USM41" s="595"/>
      <c r="USN41" s="595"/>
      <c r="USO41" s="595"/>
      <c r="USP41" s="595"/>
      <c r="USQ41" s="595"/>
      <c r="USR41" s="595"/>
      <c r="USS41" s="595"/>
      <c r="UST41" s="595"/>
      <c r="USU41" s="595"/>
      <c r="USV41" s="595"/>
      <c r="USW41" s="595"/>
      <c r="USX41" s="595"/>
      <c r="USY41" s="595"/>
      <c r="USZ41" s="595"/>
      <c r="UTA41" s="595"/>
      <c r="UTB41" s="595"/>
      <c r="UTC41" s="595"/>
      <c r="UTD41" s="595"/>
      <c r="UTE41" s="595"/>
      <c r="UTF41" s="595"/>
      <c r="UTG41" s="595"/>
      <c r="UTH41" s="595"/>
      <c r="UTI41" s="595"/>
      <c r="UTJ41" s="595"/>
      <c r="UTK41" s="595"/>
      <c r="UTL41" s="595"/>
      <c r="UTM41" s="595"/>
      <c r="UTN41" s="595"/>
      <c r="UTO41" s="595"/>
      <c r="UTP41" s="595"/>
      <c r="UTQ41" s="595"/>
      <c r="UTR41" s="595"/>
      <c r="UTS41" s="595"/>
      <c r="UTT41" s="595"/>
      <c r="UTU41" s="595"/>
      <c r="UTV41" s="595"/>
      <c r="UTW41" s="595"/>
      <c r="UTX41" s="595"/>
      <c r="UTY41" s="595"/>
      <c r="UTZ41" s="595"/>
      <c r="UUA41" s="595"/>
      <c r="UUB41" s="595"/>
      <c r="UUC41" s="595"/>
      <c r="UUD41" s="595"/>
      <c r="UUE41" s="595"/>
      <c r="UUF41" s="595"/>
      <c r="UUG41" s="595"/>
      <c r="UUH41" s="595"/>
      <c r="UUI41" s="595"/>
      <c r="UUJ41" s="595"/>
      <c r="UUK41" s="595"/>
      <c r="UUL41" s="595"/>
      <c r="UUM41" s="595"/>
      <c r="UUN41" s="595"/>
      <c r="UUO41" s="595"/>
      <c r="UUP41" s="595"/>
      <c r="UUQ41" s="595"/>
      <c r="UUR41" s="595"/>
      <c r="UUS41" s="595"/>
      <c r="UUT41" s="595"/>
      <c r="UUU41" s="595"/>
      <c r="UUV41" s="595"/>
      <c r="UUW41" s="595"/>
      <c r="UUX41" s="595"/>
      <c r="UUY41" s="595"/>
      <c r="UUZ41" s="595"/>
      <c r="UVA41" s="595"/>
      <c r="UVB41" s="595"/>
      <c r="UVC41" s="595"/>
      <c r="UVD41" s="595"/>
      <c r="UVE41" s="595"/>
      <c r="UVF41" s="595"/>
      <c r="UVG41" s="595"/>
      <c r="UVH41" s="595"/>
      <c r="UVI41" s="595"/>
      <c r="UVJ41" s="595"/>
      <c r="UVK41" s="595"/>
      <c r="UVL41" s="595"/>
      <c r="UVM41" s="595"/>
      <c r="UVN41" s="595"/>
      <c r="UVO41" s="595"/>
      <c r="UVP41" s="595"/>
      <c r="UVQ41" s="595"/>
      <c r="UVR41" s="595"/>
      <c r="UVS41" s="595"/>
      <c r="UVT41" s="595"/>
      <c r="UVU41" s="595"/>
      <c r="UVV41" s="595"/>
      <c r="UVW41" s="595"/>
      <c r="UVX41" s="595"/>
      <c r="UVY41" s="595"/>
      <c r="UVZ41" s="595"/>
      <c r="UWA41" s="595"/>
      <c r="UWB41" s="595"/>
      <c r="UWC41" s="595"/>
      <c r="UWD41" s="595"/>
      <c r="UWE41" s="595"/>
      <c r="UWF41" s="595"/>
      <c r="UWG41" s="595"/>
      <c r="UWH41" s="595"/>
      <c r="UWI41" s="595"/>
      <c r="UWJ41" s="595"/>
      <c r="UWK41" s="595"/>
      <c r="UWL41" s="595"/>
      <c r="UWM41" s="595"/>
      <c r="UWN41" s="595"/>
      <c r="UWO41" s="595"/>
      <c r="UWP41" s="595"/>
      <c r="UWQ41" s="595"/>
      <c r="UWR41" s="595"/>
      <c r="UWS41" s="595"/>
      <c r="UWT41" s="595"/>
      <c r="UWU41" s="595"/>
      <c r="UWV41" s="595"/>
      <c r="UWW41" s="595"/>
      <c r="UWX41" s="595"/>
      <c r="UWY41" s="595"/>
      <c r="UWZ41" s="595"/>
      <c r="UXA41" s="595"/>
      <c r="UXB41" s="595"/>
      <c r="UXC41" s="595"/>
      <c r="UXD41" s="595"/>
      <c r="UXE41" s="595"/>
      <c r="UXF41" s="595"/>
      <c r="UXG41" s="595"/>
      <c r="UXH41" s="595"/>
      <c r="UXI41" s="595"/>
      <c r="UXJ41" s="595"/>
      <c r="UXK41" s="595"/>
      <c r="UXL41" s="595"/>
      <c r="UXM41" s="595"/>
      <c r="UXN41" s="595"/>
      <c r="UXO41" s="595"/>
      <c r="UXP41" s="595"/>
      <c r="UXQ41" s="595"/>
      <c r="UXR41" s="595"/>
      <c r="UXS41" s="595"/>
      <c r="UXT41" s="595"/>
      <c r="UXU41" s="595"/>
      <c r="UXV41" s="595"/>
      <c r="UXW41" s="595"/>
      <c r="UXX41" s="595"/>
      <c r="UXY41" s="595"/>
      <c r="UXZ41" s="595"/>
      <c r="UYA41" s="595"/>
      <c r="UYB41" s="595"/>
      <c r="UYC41" s="595"/>
      <c r="UYD41" s="595"/>
      <c r="UYE41" s="595"/>
      <c r="UYF41" s="595"/>
      <c r="UYG41" s="595"/>
      <c r="UYH41" s="595"/>
      <c r="UYI41" s="595"/>
      <c r="UYJ41" s="595"/>
      <c r="UYK41" s="595"/>
      <c r="UYL41" s="595"/>
      <c r="UYM41" s="595"/>
      <c r="UYN41" s="595"/>
      <c r="UYO41" s="595"/>
      <c r="UYP41" s="595"/>
      <c r="UYQ41" s="595"/>
      <c r="UYR41" s="595"/>
      <c r="UYS41" s="595"/>
      <c r="UYT41" s="595"/>
      <c r="UYU41" s="595"/>
      <c r="UYV41" s="595"/>
      <c r="UYW41" s="595"/>
      <c r="UYX41" s="595"/>
      <c r="UYY41" s="595"/>
      <c r="UYZ41" s="595"/>
      <c r="UZA41" s="595"/>
      <c r="UZB41" s="595"/>
      <c r="UZC41" s="595"/>
      <c r="UZD41" s="595"/>
      <c r="UZE41" s="595"/>
      <c r="UZF41" s="595"/>
      <c r="UZG41" s="595"/>
      <c r="UZH41" s="595"/>
      <c r="UZI41" s="595"/>
      <c r="UZJ41" s="595"/>
      <c r="UZK41" s="595"/>
      <c r="UZL41" s="595"/>
      <c r="UZM41" s="595"/>
      <c r="UZN41" s="595"/>
      <c r="UZO41" s="595"/>
      <c r="UZP41" s="595"/>
      <c r="UZQ41" s="595"/>
      <c r="UZR41" s="595"/>
      <c r="UZS41" s="595"/>
      <c r="UZT41" s="595"/>
      <c r="UZU41" s="595"/>
      <c r="UZV41" s="595"/>
      <c r="UZW41" s="595"/>
      <c r="UZX41" s="595"/>
      <c r="UZY41" s="595"/>
      <c r="UZZ41" s="595"/>
      <c r="VAA41" s="595"/>
      <c r="VAB41" s="595"/>
      <c r="VAC41" s="595"/>
      <c r="VAD41" s="595"/>
      <c r="VAE41" s="595"/>
      <c r="VAF41" s="595"/>
      <c r="VAG41" s="595"/>
      <c r="VAH41" s="595"/>
      <c r="VAI41" s="595"/>
      <c r="VAJ41" s="595"/>
      <c r="VAK41" s="595"/>
      <c r="VAL41" s="595"/>
      <c r="VAM41" s="595"/>
      <c r="VAN41" s="595"/>
      <c r="VAO41" s="595"/>
      <c r="VAP41" s="595"/>
      <c r="VAQ41" s="595"/>
      <c r="VAR41" s="595"/>
      <c r="VAS41" s="595"/>
      <c r="VAT41" s="595"/>
      <c r="VAU41" s="595"/>
      <c r="VAV41" s="595"/>
      <c r="VAW41" s="595"/>
      <c r="VAX41" s="595"/>
      <c r="VAY41" s="595"/>
      <c r="VAZ41" s="595"/>
      <c r="VBA41" s="595"/>
      <c r="VBB41" s="595"/>
      <c r="VBC41" s="595"/>
      <c r="VBD41" s="595"/>
      <c r="VBE41" s="595"/>
      <c r="VBF41" s="595"/>
      <c r="VBG41" s="595"/>
      <c r="VBH41" s="595"/>
      <c r="VBI41" s="595"/>
      <c r="VBJ41" s="595"/>
      <c r="VBK41" s="595"/>
      <c r="VBL41" s="595"/>
      <c r="VBM41" s="595"/>
      <c r="VBN41" s="595"/>
      <c r="VBO41" s="595"/>
      <c r="VBP41" s="595"/>
      <c r="VBQ41" s="595"/>
      <c r="VBR41" s="595"/>
      <c r="VBS41" s="595"/>
      <c r="VBT41" s="595"/>
      <c r="VBU41" s="595"/>
      <c r="VBV41" s="595"/>
      <c r="VBW41" s="595"/>
      <c r="VBX41" s="595"/>
      <c r="VBY41" s="595"/>
      <c r="VBZ41" s="595"/>
      <c r="VCA41" s="595"/>
      <c r="VCB41" s="595"/>
      <c r="VCC41" s="595"/>
      <c r="VCD41" s="595"/>
      <c r="VCE41" s="595"/>
      <c r="VCF41" s="595"/>
      <c r="VCG41" s="595"/>
      <c r="VCH41" s="595"/>
      <c r="VCI41" s="595"/>
      <c r="VCJ41" s="595"/>
      <c r="VCK41" s="595"/>
      <c r="VCL41" s="595"/>
      <c r="VCM41" s="595"/>
      <c r="VCN41" s="595"/>
      <c r="VCO41" s="595"/>
      <c r="VCP41" s="595"/>
      <c r="VCQ41" s="595"/>
      <c r="VCR41" s="595"/>
      <c r="VCS41" s="595"/>
      <c r="VCT41" s="595"/>
      <c r="VCU41" s="595"/>
      <c r="VCV41" s="595"/>
      <c r="VCW41" s="595"/>
      <c r="VCX41" s="595"/>
      <c r="VCY41" s="595"/>
      <c r="VCZ41" s="595"/>
      <c r="VDA41" s="595"/>
      <c r="VDB41" s="595"/>
      <c r="VDC41" s="595"/>
      <c r="VDD41" s="595"/>
      <c r="VDE41" s="595"/>
      <c r="VDF41" s="595"/>
      <c r="VDG41" s="595"/>
      <c r="VDH41" s="595"/>
      <c r="VDI41" s="595"/>
      <c r="VDJ41" s="595"/>
      <c r="VDK41" s="595"/>
      <c r="VDL41" s="595"/>
      <c r="VDM41" s="595"/>
      <c r="VDN41" s="595"/>
      <c r="VDO41" s="595"/>
      <c r="VDP41" s="595"/>
      <c r="VDQ41" s="595"/>
      <c r="VDR41" s="595"/>
      <c r="VDS41" s="595"/>
      <c r="VDT41" s="595"/>
      <c r="VDU41" s="595"/>
      <c r="VDV41" s="595"/>
      <c r="VDW41" s="595"/>
      <c r="VDX41" s="595"/>
      <c r="VDY41" s="595"/>
      <c r="VDZ41" s="595"/>
      <c r="VEA41" s="595"/>
      <c r="VEB41" s="595"/>
      <c r="VEC41" s="595"/>
      <c r="VED41" s="595"/>
      <c r="VEE41" s="595"/>
      <c r="VEF41" s="595"/>
      <c r="VEG41" s="595"/>
      <c r="VEH41" s="595"/>
      <c r="VEI41" s="595"/>
      <c r="VEJ41" s="595"/>
      <c r="VEK41" s="595"/>
      <c r="VEL41" s="595"/>
      <c r="VEM41" s="595"/>
      <c r="VEN41" s="595"/>
      <c r="VEO41" s="595"/>
      <c r="VEP41" s="595"/>
      <c r="VEQ41" s="595"/>
      <c r="VER41" s="595"/>
      <c r="VES41" s="595"/>
      <c r="VET41" s="595"/>
      <c r="VEU41" s="595"/>
      <c r="VEV41" s="595"/>
      <c r="VEW41" s="595"/>
      <c r="VEX41" s="595"/>
      <c r="VEY41" s="595"/>
      <c r="VEZ41" s="595"/>
      <c r="VFA41" s="595"/>
      <c r="VFB41" s="595"/>
      <c r="VFC41" s="595"/>
      <c r="VFD41" s="595"/>
      <c r="VFE41" s="595"/>
      <c r="VFF41" s="595"/>
      <c r="VFG41" s="595"/>
      <c r="VFH41" s="595"/>
      <c r="VFI41" s="595"/>
      <c r="VFJ41" s="595"/>
      <c r="VFK41" s="595"/>
      <c r="VFL41" s="595"/>
      <c r="VFM41" s="595"/>
      <c r="VFN41" s="595"/>
      <c r="VFO41" s="595"/>
      <c r="VFP41" s="595"/>
      <c r="VFQ41" s="595"/>
      <c r="VFR41" s="595"/>
      <c r="VFS41" s="595"/>
      <c r="VFT41" s="595"/>
      <c r="VFU41" s="595"/>
      <c r="VFV41" s="595"/>
      <c r="VFW41" s="595"/>
      <c r="VFX41" s="595"/>
      <c r="VFY41" s="595"/>
      <c r="VFZ41" s="595"/>
      <c r="VGA41" s="595"/>
      <c r="VGB41" s="595"/>
      <c r="VGC41" s="595"/>
      <c r="VGD41" s="595"/>
      <c r="VGE41" s="595"/>
      <c r="VGF41" s="595"/>
      <c r="VGG41" s="595"/>
      <c r="VGH41" s="595"/>
      <c r="VGI41" s="595"/>
      <c r="VGJ41" s="595"/>
      <c r="VGK41" s="595"/>
      <c r="VGL41" s="595"/>
      <c r="VGM41" s="595"/>
      <c r="VGN41" s="595"/>
      <c r="VGO41" s="595"/>
      <c r="VGP41" s="595"/>
      <c r="VGQ41" s="595"/>
      <c r="VGR41" s="595"/>
      <c r="VGS41" s="595"/>
      <c r="VGT41" s="595"/>
      <c r="VGU41" s="595"/>
      <c r="VGV41" s="595"/>
      <c r="VGW41" s="595"/>
      <c r="VGX41" s="595"/>
      <c r="VGY41" s="595"/>
      <c r="VGZ41" s="595"/>
      <c r="VHA41" s="595"/>
      <c r="VHB41" s="595"/>
      <c r="VHC41" s="595"/>
      <c r="VHD41" s="595"/>
      <c r="VHE41" s="595"/>
      <c r="VHF41" s="595"/>
      <c r="VHG41" s="595"/>
      <c r="VHH41" s="595"/>
      <c r="VHI41" s="595"/>
      <c r="VHJ41" s="595"/>
      <c r="VHK41" s="595"/>
      <c r="VHL41" s="595"/>
      <c r="VHM41" s="595"/>
      <c r="VHN41" s="595"/>
      <c r="VHO41" s="595"/>
      <c r="VHP41" s="595"/>
      <c r="VHQ41" s="595"/>
      <c r="VHR41" s="595"/>
      <c r="VHS41" s="595"/>
      <c r="VHT41" s="595"/>
      <c r="VHU41" s="595"/>
      <c r="VHV41" s="595"/>
      <c r="VHW41" s="595"/>
      <c r="VHX41" s="595"/>
      <c r="VHY41" s="595"/>
      <c r="VHZ41" s="595"/>
      <c r="VIA41" s="595"/>
      <c r="VIB41" s="595"/>
      <c r="VIC41" s="595"/>
      <c r="VID41" s="595"/>
      <c r="VIE41" s="595"/>
      <c r="VIF41" s="595"/>
      <c r="VIG41" s="595"/>
      <c r="VIH41" s="595"/>
      <c r="VII41" s="595"/>
      <c r="VIJ41" s="595"/>
      <c r="VIK41" s="595"/>
      <c r="VIL41" s="595"/>
      <c r="VIM41" s="595"/>
      <c r="VIN41" s="595"/>
      <c r="VIO41" s="595"/>
      <c r="VIP41" s="595"/>
      <c r="VIQ41" s="595"/>
      <c r="VIR41" s="595"/>
      <c r="VIS41" s="595"/>
      <c r="VIT41" s="595"/>
      <c r="VIU41" s="595"/>
      <c r="VIV41" s="595"/>
      <c r="VIW41" s="595"/>
      <c r="VIX41" s="595"/>
      <c r="VIY41" s="595"/>
      <c r="VIZ41" s="595"/>
      <c r="VJA41" s="595"/>
      <c r="VJB41" s="595"/>
      <c r="VJC41" s="595"/>
      <c r="VJD41" s="595"/>
      <c r="VJE41" s="595"/>
      <c r="VJF41" s="595"/>
      <c r="VJG41" s="595"/>
      <c r="VJH41" s="595"/>
      <c r="VJI41" s="595"/>
      <c r="VJJ41" s="595"/>
      <c r="VJK41" s="595"/>
      <c r="VJL41" s="595"/>
      <c r="VJM41" s="595"/>
      <c r="VJN41" s="595"/>
      <c r="VJO41" s="595"/>
      <c r="VJP41" s="595"/>
      <c r="VJQ41" s="595"/>
      <c r="VJR41" s="595"/>
      <c r="VJS41" s="595"/>
      <c r="VJT41" s="595"/>
      <c r="VJU41" s="595"/>
      <c r="VJV41" s="595"/>
      <c r="VJW41" s="595"/>
      <c r="VJX41" s="595"/>
      <c r="VJY41" s="595"/>
      <c r="VJZ41" s="595"/>
      <c r="VKA41" s="595"/>
      <c r="VKB41" s="595"/>
      <c r="VKC41" s="595"/>
      <c r="VKD41" s="595"/>
      <c r="VKE41" s="595"/>
      <c r="VKF41" s="595"/>
      <c r="VKG41" s="595"/>
      <c r="VKH41" s="595"/>
      <c r="VKI41" s="595"/>
      <c r="VKJ41" s="595"/>
      <c r="VKK41" s="595"/>
      <c r="VKL41" s="595"/>
      <c r="VKM41" s="595"/>
      <c r="VKN41" s="595"/>
      <c r="VKO41" s="595"/>
      <c r="VKP41" s="595"/>
      <c r="VKQ41" s="595"/>
      <c r="VKR41" s="595"/>
      <c r="VKS41" s="595"/>
      <c r="VKT41" s="595"/>
      <c r="VKU41" s="595"/>
      <c r="VKV41" s="595"/>
      <c r="VKW41" s="595"/>
      <c r="VKX41" s="595"/>
      <c r="VKY41" s="595"/>
      <c r="VKZ41" s="595"/>
      <c r="VLA41" s="595"/>
      <c r="VLB41" s="595"/>
      <c r="VLC41" s="595"/>
      <c r="VLD41" s="595"/>
      <c r="VLE41" s="595"/>
      <c r="VLF41" s="595"/>
      <c r="VLG41" s="595"/>
      <c r="VLH41" s="595"/>
      <c r="VLI41" s="595"/>
      <c r="VLJ41" s="595"/>
      <c r="VLK41" s="595"/>
      <c r="VLL41" s="595"/>
      <c r="VLM41" s="595"/>
      <c r="VLN41" s="595"/>
      <c r="VLO41" s="595"/>
      <c r="VLP41" s="595"/>
      <c r="VLQ41" s="595"/>
      <c r="VLR41" s="595"/>
      <c r="VLS41" s="595"/>
      <c r="VLT41" s="595"/>
      <c r="VLU41" s="595"/>
      <c r="VLV41" s="595"/>
      <c r="VLW41" s="595"/>
      <c r="VLX41" s="595"/>
      <c r="VLY41" s="595"/>
      <c r="VLZ41" s="595"/>
      <c r="VMA41" s="595"/>
      <c r="VMB41" s="595"/>
      <c r="VMC41" s="595"/>
      <c r="VMD41" s="595"/>
      <c r="VME41" s="595"/>
      <c r="VMF41" s="595"/>
      <c r="VMG41" s="595"/>
      <c r="VMH41" s="595"/>
      <c r="VMI41" s="595"/>
      <c r="VMJ41" s="595"/>
      <c r="VMK41" s="595"/>
      <c r="VML41" s="595"/>
      <c r="VMM41" s="595"/>
      <c r="VMN41" s="595"/>
      <c r="VMO41" s="595"/>
      <c r="VMP41" s="595"/>
      <c r="VMQ41" s="595"/>
      <c r="VMR41" s="595"/>
      <c r="VMS41" s="595"/>
      <c r="VMT41" s="595"/>
      <c r="VMU41" s="595"/>
      <c r="VMV41" s="595"/>
      <c r="VMW41" s="595"/>
      <c r="VMX41" s="595"/>
      <c r="VMY41" s="595"/>
      <c r="VMZ41" s="595"/>
      <c r="VNA41" s="595"/>
      <c r="VNB41" s="595"/>
      <c r="VNC41" s="595"/>
      <c r="VND41" s="595"/>
      <c r="VNE41" s="595"/>
      <c r="VNF41" s="595"/>
      <c r="VNG41" s="595"/>
      <c r="VNH41" s="595"/>
      <c r="VNI41" s="595"/>
      <c r="VNJ41" s="595"/>
      <c r="VNK41" s="595"/>
      <c r="VNL41" s="595"/>
      <c r="VNM41" s="595"/>
      <c r="VNN41" s="595"/>
      <c r="VNO41" s="595"/>
      <c r="VNP41" s="595"/>
      <c r="VNQ41" s="595"/>
      <c r="VNR41" s="595"/>
      <c r="VNS41" s="595"/>
      <c r="VNT41" s="595"/>
      <c r="VNU41" s="595"/>
      <c r="VNV41" s="595"/>
      <c r="VNW41" s="595"/>
      <c r="VNX41" s="595"/>
      <c r="VNY41" s="595"/>
      <c r="VNZ41" s="595"/>
      <c r="VOA41" s="595"/>
      <c r="VOB41" s="595"/>
      <c r="VOC41" s="595"/>
      <c r="VOD41" s="595"/>
      <c r="VOE41" s="595"/>
      <c r="VOF41" s="595"/>
      <c r="VOG41" s="595"/>
      <c r="VOH41" s="595"/>
      <c r="VOI41" s="595"/>
      <c r="VOJ41" s="595"/>
      <c r="VOK41" s="595"/>
      <c r="VOL41" s="595"/>
      <c r="VOM41" s="595"/>
      <c r="VON41" s="595"/>
      <c r="VOO41" s="595"/>
      <c r="VOP41" s="595"/>
      <c r="VOQ41" s="595"/>
      <c r="VOR41" s="595"/>
      <c r="VOS41" s="595"/>
      <c r="VOT41" s="595"/>
      <c r="VOU41" s="595"/>
      <c r="VOV41" s="595"/>
      <c r="VOW41" s="595"/>
      <c r="VOX41" s="595"/>
      <c r="VOY41" s="595"/>
      <c r="VOZ41" s="595"/>
      <c r="VPA41" s="595"/>
      <c r="VPB41" s="595"/>
      <c r="VPC41" s="595"/>
      <c r="VPD41" s="595"/>
      <c r="VPE41" s="595"/>
      <c r="VPF41" s="595"/>
      <c r="VPG41" s="595"/>
      <c r="VPH41" s="595"/>
      <c r="VPI41" s="595"/>
      <c r="VPJ41" s="595"/>
      <c r="VPK41" s="595"/>
      <c r="VPL41" s="595"/>
      <c r="VPM41" s="595"/>
      <c r="VPN41" s="595"/>
      <c r="VPO41" s="595"/>
      <c r="VPP41" s="595"/>
      <c r="VPQ41" s="595"/>
      <c r="VPR41" s="595"/>
      <c r="VPS41" s="595"/>
      <c r="VPT41" s="595"/>
      <c r="VPU41" s="595"/>
      <c r="VPV41" s="595"/>
      <c r="VPW41" s="595"/>
      <c r="VPX41" s="595"/>
      <c r="VPY41" s="595"/>
      <c r="VPZ41" s="595"/>
      <c r="VQA41" s="595"/>
      <c r="VQB41" s="595"/>
      <c r="VQC41" s="595"/>
      <c r="VQD41" s="595"/>
      <c r="VQE41" s="595"/>
      <c r="VQF41" s="595"/>
      <c r="VQG41" s="595"/>
      <c r="VQH41" s="595"/>
      <c r="VQI41" s="595"/>
      <c r="VQJ41" s="595"/>
      <c r="VQK41" s="595"/>
      <c r="VQL41" s="595"/>
      <c r="VQM41" s="595"/>
      <c r="VQN41" s="595"/>
      <c r="VQO41" s="595"/>
      <c r="VQP41" s="595"/>
      <c r="VQQ41" s="595"/>
      <c r="VQR41" s="595"/>
      <c r="VQS41" s="595"/>
      <c r="VQT41" s="595"/>
      <c r="VQU41" s="595"/>
      <c r="VQV41" s="595"/>
      <c r="VQW41" s="595"/>
      <c r="VQX41" s="595"/>
      <c r="VQY41" s="595"/>
      <c r="VQZ41" s="595"/>
      <c r="VRA41" s="595"/>
      <c r="VRB41" s="595"/>
      <c r="VRC41" s="595"/>
      <c r="VRD41" s="595"/>
      <c r="VRE41" s="595"/>
      <c r="VRF41" s="595"/>
      <c r="VRG41" s="595"/>
      <c r="VRH41" s="595"/>
      <c r="VRI41" s="595"/>
      <c r="VRJ41" s="595"/>
      <c r="VRK41" s="595"/>
      <c r="VRL41" s="595"/>
      <c r="VRM41" s="595"/>
      <c r="VRN41" s="595"/>
      <c r="VRO41" s="595"/>
      <c r="VRP41" s="595"/>
      <c r="VRQ41" s="595"/>
      <c r="VRR41" s="595"/>
      <c r="VRS41" s="595"/>
      <c r="VRT41" s="595"/>
      <c r="VRU41" s="595"/>
      <c r="VRV41" s="595"/>
      <c r="VRW41" s="595"/>
      <c r="VRX41" s="595"/>
      <c r="VRY41" s="595"/>
      <c r="VRZ41" s="595"/>
      <c r="VSA41" s="595"/>
      <c r="VSB41" s="595"/>
      <c r="VSC41" s="595"/>
      <c r="VSD41" s="595"/>
      <c r="VSE41" s="595"/>
      <c r="VSF41" s="595"/>
      <c r="VSG41" s="595"/>
      <c r="VSH41" s="595"/>
      <c r="VSI41" s="595"/>
      <c r="VSJ41" s="595"/>
      <c r="VSK41" s="595"/>
      <c r="VSL41" s="595"/>
      <c r="VSM41" s="595"/>
      <c r="VSN41" s="595"/>
      <c r="VSO41" s="595"/>
      <c r="VSP41" s="595"/>
      <c r="VSQ41" s="595"/>
      <c r="VSR41" s="595"/>
      <c r="VSS41" s="595"/>
      <c r="VST41" s="595"/>
      <c r="VSU41" s="595"/>
      <c r="VSV41" s="595"/>
      <c r="VSW41" s="595"/>
      <c r="VSX41" s="595"/>
      <c r="VSY41" s="595"/>
      <c r="VSZ41" s="595"/>
      <c r="VTA41" s="595"/>
      <c r="VTB41" s="595"/>
      <c r="VTC41" s="595"/>
      <c r="VTD41" s="595"/>
      <c r="VTE41" s="595"/>
      <c r="VTF41" s="595"/>
      <c r="VTG41" s="595"/>
      <c r="VTH41" s="595"/>
      <c r="VTI41" s="595"/>
      <c r="VTJ41" s="595"/>
      <c r="VTK41" s="595"/>
      <c r="VTL41" s="595"/>
      <c r="VTM41" s="595"/>
      <c r="VTN41" s="595"/>
      <c r="VTO41" s="595"/>
      <c r="VTP41" s="595"/>
      <c r="VTQ41" s="595"/>
      <c r="VTR41" s="595"/>
      <c r="VTS41" s="595"/>
      <c r="VTT41" s="595"/>
      <c r="VTU41" s="595"/>
      <c r="VTV41" s="595"/>
      <c r="VTW41" s="595"/>
      <c r="VTX41" s="595"/>
      <c r="VTY41" s="595"/>
      <c r="VTZ41" s="595"/>
      <c r="VUA41" s="595"/>
      <c r="VUB41" s="595"/>
      <c r="VUC41" s="595"/>
      <c r="VUD41" s="595"/>
      <c r="VUE41" s="595"/>
      <c r="VUF41" s="595"/>
      <c r="VUG41" s="595"/>
      <c r="VUH41" s="595"/>
      <c r="VUI41" s="595"/>
      <c r="VUJ41" s="595"/>
      <c r="VUK41" s="595"/>
      <c r="VUL41" s="595"/>
      <c r="VUM41" s="595"/>
      <c r="VUN41" s="595"/>
      <c r="VUO41" s="595"/>
      <c r="VUP41" s="595"/>
      <c r="VUQ41" s="595"/>
      <c r="VUR41" s="595"/>
      <c r="VUS41" s="595"/>
      <c r="VUT41" s="595"/>
      <c r="VUU41" s="595"/>
      <c r="VUV41" s="595"/>
      <c r="VUW41" s="595"/>
      <c r="VUX41" s="595"/>
      <c r="VUY41" s="595"/>
      <c r="VUZ41" s="595"/>
      <c r="VVA41" s="595"/>
      <c r="VVB41" s="595"/>
      <c r="VVC41" s="595"/>
      <c r="VVD41" s="595"/>
      <c r="VVE41" s="595"/>
      <c r="VVF41" s="595"/>
      <c r="VVG41" s="595"/>
      <c r="VVH41" s="595"/>
      <c r="VVI41" s="595"/>
      <c r="VVJ41" s="595"/>
      <c r="VVK41" s="595"/>
      <c r="VVL41" s="595"/>
      <c r="VVM41" s="595"/>
      <c r="VVN41" s="595"/>
      <c r="VVO41" s="595"/>
      <c r="VVP41" s="595"/>
      <c r="VVQ41" s="595"/>
      <c r="VVR41" s="595"/>
      <c r="VVS41" s="595"/>
      <c r="VVT41" s="595"/>
      <c r="VVU41" s="595"/>
      <c r="VVV41" s="595"/>
      <c r="VVW41" s="595"/>
      <c r="VVX41" s="595"/>
      <c r="VVY41" s="595"/>
      <c r="VVZ41" s="595"/>
      <c r="VWA41" s="595"/>
      <c r="VWB41" s="595"/>
      <c r="VWC41" s="595"/>
      <c r="VWD41" s="595"/>
      <c r="VWE41" s="595"/>
      <c r="VWF41" s="595"/>
      <c r="VWG41" s="595"/>
      <c r="VWH41" s="595"/>
      <c r="VWI41" s="595"/>
      <c r="VWJ41" s="595"/>
      <c r="VWK41" s="595"/>
      <c r="VWL41" s="595"/>
      <c r="VWM41" s="595"/>
      <c r="VWN41" s="595"/>
      <c r="VWO41" s="595"/>
      <c r="VWP41" s="595"/>
      <c r="VWQ41" s="595"/>
      <c r="VWR41" s="595"/>
      <c r="VWS41" s="595"/>
      <c r="VWT41" s="595"/>
      <c r="VWU41" s="595"/>
      <c r="VWV41" s="595"/>
      <c r="VWW41" s="595"/>
      <c r="VWX41" s="595"/>
      <c r="VWY41" s="595"/>
      <c r="VWZ41" s="595"/>
      <c r="VXA41" s="595"/>
      <c r="VXB41" s="595"/>
      <c r="VXC41" s="595"/>
      <c r="VXD41" s="595"/>
      <c r="VXE41" s="595"/>
      <c r="VXF41" s="595"/>
      <c r="VXG41" s="595"/>
      <c r="VXH41" s="595"/>
      <c r="VXI41" s="595"/>
      <c r="VXJ41" s="595"/>
      <c r="VXK41" s="595"/>
      <c r="VXL41" s="595"/>
      <c r="VXM41" s="595"/>
      <c r="VXN41" s="595"/>
      <c r="VXO41" s="595"/>
      <c r="VXP41" s="595"/>
      <c r="VXQ41" s="595"/>
      <c r="VXR41" s="595"/>
      <c r="VXS41" s="595"/>
      <c r="VXT41" s="595"/>
      <c r="VXU41" s="595"/>
      <c r="VXV41" s="595"/>
      <c r="VXW41" s="595"/>
      <c r="VXX41" s="595"/>
      <c r="VXY41" s="595"/>
      <c r="VXZ41" s="595"/>
      <c r="VYA41" s="595"/>
      <c r="VYB41" s="595"/>
      <c r="VYC41" s="595"/>
      <c r="VYD41" s="595"/>
      <c r="VYE41" s="595"/>
      <c r="VYF41" s="595"/>
      <c r="VYG41" s="595"/>
      <c r="VYH41" s="595"/>
      <c r="VYI41" s="595"/>
      <c r="VYJ41" s="595"/>
      <c r="VYK41" s="595"/>
      <c r="VYL41" s="595"/>
      <c r="VYM41" s="595"/>
      <c r="VYN41" s="595"/>
      <c r="VYO41" s="595"/>
      <c r="VYP41" s="595"/>
      <c r="VYQ41" s="595"/>
      <c r="VYR41" s="595"/>
      <c r="VYS41" s="595"/>
      <c r="VYT41" s="595"/>
      <c r="VYU41" s="595"/>
      <c r="VYV41" s="595"/>
      <c r="VYW41" s="595"/>
      <c r="VYX41" s="595"/>
      <c r="VYY41" s="595"/>
      <c r="VYZ41" s="595"/>
      <c r="VZA41" s="595"/>
      <c r="VZB41" s="595"/>
      <c r="VZC41" s="595"/>
      <c r="VZD41" s="595"/>
      <c r="VZE41" s="595"/>
      <c r="VZF41" s="595"/>
      <c r="VZG41" s="595"/>
      <c r="VZH41" s="595"/>
      <c r="VZI41" s="595"/>
      <c r="VZJ41" s="595"/>
      <c r="VZK41" s="595"/>
      <c r="VZL41" s="595"/>
      <c r="VZM41" s="595"/>
      <c r="VZN41" s="595"/>
      <c r="VZO41" s="595"/>
      <c r="VZP41" s="595"/>
      <c r="VZQ41" s="595"/>
      <c r="VZR41" s="595"/>
      <c r="VZS41" s="595"/>
      <c r="VZT41" s="595"/>
      <c r="VZU41" s="595"/>
      <c r="VZV41" s="595"/>
      <c r="VZW41" s="595"/>
      <c r="VZX41" s="595"/>
      <c r="VZY41" s="595"/>
      <c r="VZZ41" s="595"/>
      <c r="WAA41" s="595"/>
      <c r="WAB41" s="595"/>
      <c r="WAC41" s="595"/>
      <c r="WAD41" s="595"/>
      <c r="WAE41" s="595"/>
      <c r="WAF41" s="595"/>
      <c r="WAG41" s="595"/>
      <c r="WAH41" s="595"/>
      <c r="WAI41" s="595"/>
      <c r="WAJ41" s="595"/>
      <c r="WAK41" s="595"/>
      <c r="WAL41" s="595"/>
      <c r="WAM41" s="595"/>
      <c r="WAN41" s="595"/>
      <c r="WAO41" s="595"/>
      <c r="WAP41" s="595"/>
      <c r="WAQ41" s="595"/>
      <c r="WAR41" s="595"/>
      <c r="WAS41" s="595"/>
      <c r="WAT41" s="595"/>
      <c r="WAU41" s="595"/>
      <c r="WAV41" s="595"/>
      <c r="WAW41" s="595"/>
      <c r="WAX41" s="595"/>
      <c r="WAY41" s="595"/>
      <c r="WAZ41" s="595"/>
      <c r="WBA41" s="595"/>
      <c r="WBB41" s="595"/>
      <c r="WBC41" s="595"/>
      <c r="WBD41" s="595"/>
      <c r="WBE41" s="595"/>
      <c r="WBF41" s="595"/>
      <c r="WBG41" s="595"/>
      <c r="WBH41" s="595"/>
      <c r="WBI41" s="595"/>
      <c r="WBJ41" s="595"/>
      <c r="WBK41" s="595"/>
      <c r="WBL41" s="595"/>
      <c r="WBM41" s="595"/>
      <c r="WBN41" s="595"/>
      <c r="WBO41" s="595"/>
      <c r="WBP41" s="595"/>
      <c r="WBQ41" s="595"/>
      <c r="WBR41" s="595"/>
      <c r="WBS41" s="595"/>
      <c r="WBT41" s="595"/>
      <c r="WBU41" s="595"/>
      <c r="WBV41" s="595"/>
      <c r="WBW41" s="595"/>
      <c r="WBX41" s="595"/>
      <c r="WBY41" s="595"/>
      <c r="WBZ41" s="595"/>
      <c r="WCA41" s="595"/>
      <c r="WCB41" s="595"/>
      <c r="WCC41" s="595"/>
      <c r="WCD41" s="595"/>
      <c r="WCE41" s="595"/>
      <c r="WCF41" s="595"/>
      <c r="WCG41" s="595"/>
      <c r="WCH41" s="595"/>
      <c r="WCI41" s="595"/>
      <c r="WCJ41" s="595"/>
      <c r="WCK41" s="595"/>
      <c r="WCL41" s="595"/>
      <c r="WCM41" s="595"/>
      <c r="WCN41" s="595"/>
      <c r="WCO41" s="595"/>
      <c r="WCP41" s="595"/>
      <c r="WCQ41" s="595"/>
      <c r="WCR41" s="595"/>
      <c r="WCS41" s="595"/>
      <c r="WCT41" s="595"/>
      <c r="WCU41" s="595"/>
      <c r="WCV41" s="595"/>
      <c r="WCW41" s="595"/>
      <c r="WCX41" s="595"/>
      <c r="WCY41" s="595"/>
      <c r="WCZ41" s="595"/>
      <c r="WDA41" s="595"/>
      <c r="WDB41" s="595"/>
      <c r="WDC41" s="595"/>
      <c r="WDD41" s="595"/>
      <c r="WDE41" s="595"/>
      <c r="WDF41" s="595"/>
      <c r="WDG41" s="595"/>
      <c r="WDH41" s="595"/>
      <c r="WDI41" s="595"/>
      <c r="WDJ41" s="595"/>
      <c r="WDK41" s="595"/>
      <c r="WDL41" s="595"/>
      <c r="WDM41" s="595"/>
      <c r="WDN41" s="595"/>
      <c r="WDO41" s="595"/>
      <c r="WDP41" s="595"/>
      <c r="WDQ41" s="595"/>
      <c r="WDR41" s="595"/>
      <c r="WDS41" s="595"/>
      <c r="WDT41" s="595"/>
      <c r="WDU41" s="595"/>
      <c r="WDV41" s="595"/>
      <c r="WDW41" s="595"/>
      <c r="WDX41" s="595"/>
      <c r="WDY41" s="595"/>
      <c r="WDZ41" s="595"/>
      <c r="WEA41" s="595"/>
      <c r="WEB41" s="595"/>
      <c r="WEC41" s="595"/>
      <c r="WED41" s="595"/>
      <c r="WEE41" s="595"/>
      <c r="WEF41" s="595"/>
      <c r="WEG41" s="595"/>
      <c r="WEH41" s="595"/>
      <c r="WEI41" s="595"/>
      <c r="WEJ41" s="595"/>
      <c r="WEK41" s="595"/>
      <c r="WEL41" s="595"/>
      <c r="WEM41" s="595"/>
      <c r="WEN41" s="595"/>
      <c r="WEO41" s="595"/>
      <c r="WEP41" s="595"/>
      <c r="WEQ41" s="595"/>
      <c r="WER41" s="595"/>
      <c r="WES41" s="595"/>
      <c r="WET41" s="595"/>
      <c r="WEU41" s="595"/>
      <c r="WEV41" s="595"/>
      <c r="WEW41" s="595"/>
      <c r="WEX41" s="595"/>
      <c r="WEY41" s="595"/>
      <c r="WEZ41" s="595"/>
      <c r="WFA41" s="595"/>
      <c r="WFB41" s="595"/>
      <c r="WFC41" s="595"/>
      <c r="WFD41" s="595"/>
      <c r="WFE41" s="595"/>
      <c r="WFF41" s="595"/>
      <c r="WFG41" s="595"/>
      <c r="WFH41" s="595"/>
      <c r="WFI41" s="595"/>
      <c r="WFJ41" s="595"/>
      <c r="WFK41" s="595"/>
      <c r="WFL41" s="595"/>
      <c r="WFM41" s="595"/>
      <c r="WFN41" s="595"/>
      <c r="WFO41" s="595"/>
      <c r="WFP41" s="595"/>
      <c r="WFQ41" s="595"/>
      <c r="WFR41" s="595"/>
      <c r="WFS41" s="595"/>
      <c r="WFT41" s="595"/>
      <c r="WFU41" s="595"/>
      <c r="WFV41" s="595"/>
      <c r="WFW41" s="595"/>
      <c r="WFX41" s="595"/>
      <c r="WFY41" s="595"/>
      <c r="WFZ41" s="595"/>
      <c r="WGA41" s="595"/>
      <c r="WGB41" s="595"/>
      <c r="WGC41" s="595"/>
      <c r="WGD41" s="595"/>
      <c r="WGE41" s="595"/>
      <c r="WGF41" s="595"/>
      <c r="WGG41" s="595"/>
      <c r="WGH41" s="595"/>
      <c r="WGI41" s="595"/>
      <c r="WGJ41" s="595"/>
      <c r="WGK41" s="595"/>
      <c r="WGL41" s="595"/>
      <c r="WGM41" s="595"/>
      <c r="WGN41" s="595"/>
      <c r="WGO41" s="595"/>
      <c r="WGP41" s="595"/>
      <c r="WGQ41" s="595"/>
      <c r="WGR41" s="595"/>
      <c r="WGS41" s="595"/>
      <c r="WGT41" s="595"/>
      <c r="WGU41" s="595"/>
      <c r="WGV41" s="595"/>
      <c r="WGW41" s="595"/>
      <c r="WGX41" s="595"/>
      <c r="WGY41" s="595"/>
      <c r="WGZ41" s="595"/>
      <c r="WHA41" s="595"/>
      <c r="WHB41" s="595"/>
      <c r="WHC41" s="595"/>
      <c r="WHD41" s="595"/>
      <c r="WHE41" s="595"/>
      <c r="WHF41" s="595"/>
      <c r="WHG41" s="595"/>
      <c r="WHH41" s="595"/>
      <c r="WHI41" s="595"/>
      <c r="WHJ41" s="595"/>
      <c r="WHK41" s="595"/>
      <c r="WHL41" s="595"/>
      <c r="WHM41" s="595"/>
      <c r="WHN41" s="595"/>
      <c r="WHO41" s="595"/>
      <c r="WHP41" s="595"/>
      <c r="WHQ41" s="595"/>
      <c r="WHR41" s="595"/>
      <c r="WHS41" s="595"/>
      <c r="WHT41" s="595"/>
      <c r="WHU41" s="595"/>
      <c r="WHV41" s="595"/>
      <c r="WHW41" s="595"/>
      <c r="WHX41" s="595"/>
      <c r="WHY41" s="595"/>
      <c r="WHZ41" s="595"/>
      <c r="WIA41" s="595"/>
      <c r="WIB41" s="595"/>
      <c r="WIC41" s="595"/>
      <c r="WID41" s="595"/>
      <c r="WIE41" s="595"/>
      <c r="WIF41" s="595"/>
      <c r="WIG41" s="595"/>
      <c r="WIH41" s="595"/>
      <c r="WII41" s="595"/>
      <c r="WIJ41" s="595"/>
      <c r="WIK41" s="595"/>
      <c r="WIL41" s="595"/>
      <c r="WIM41" s="595"/>
      <c r="WIN41" s="595"/>
      <c r="WIO41" s="595"/>
      <c r="WIP41" s="595"/>
      <c r="WIQ41" s="595"/>
      <c r="WIR41" s="595"/>
      <c r="WIS41" s="595"/>
      <c r="WIT41" s="595"/>
      <c r="WIU41" s="595"/>
      <c r="WIV41" s="595"/>
      <c r="WIW41" s="595"/>
      <c r="WIX41" s="595"/>
      <c r="WIY41" s="595"/>
      <c r="WIZ41" s="595"/>
      <c r="WJA41" s="595"/>
      <c r="WJB41" s="595"/>
      <c r="WJC41" s="595"/>
      <c r="WJD41" s="595"/>
      <c r="WJE41" s="595"/>
      <c r="WJF41" s="595"/>
      <c r="WJG41" s="595"/>
      <c r="WJH41" s="595"/>
      <c r="WJI41" s="595"/>
      <c r="WJJ41" s="595"/>
      <c r="WJK41" s="595"/>
      <c r="WJL41" s="595"/>
      <c r="WJM41" s="595"/>
      <c r="WJN41" s="595"/>
      <c r="WJO41" s="595"/>
      <c r="WJP41" s="595"/>
      <c r="WJQ41" s="595"/>
      <c r="WJR41" s="595"/>
      <c r="WJS41" s="595"/>
      <c r="WJT41" s="595"/>
      <c r="WJU41" s="595"/>
      <c r="WJV41" s="595"/>
      <c r="WJW41" s="595"/>
      <c r="WJX41" s="595"/>
      <c r="WJY41" s="595"/>
      <c r="WJZ41" s="595"/>
      <c r="WKA41" s="595"/>
      <c r="WKB41" s="595"/>
      <c r="WKC41" s="595"/>
      <c r="WKD41" s="595"/>
      <c r="WKE41" s="595"/>
      <c r="WKF41" s="595"/>
      <c r="WKG41" s="595"/>
      <c r="WKH41" s="595"/>
      <c r="WKI41" s="595"/>
      <c r="WKJ41" s="595"/>
      <c r="WKK41" s="595"/>
      <c r="WKL41" s="595"/>
      <c r="WKM41" s="595"/>
      <c r="WKN41" s="595"/>
      <c r="WKO41" s="595"/>
      <c r="WKP41" s="595"/>
      <c r="WKQ41" s="595"/>
      <c r="WKR41" s="595"/>
      <c r="WKS41" s="595"/>
      <c r="WKT41" s="595"/>
      <c r="WKU41" s="595"/>
      <c r="WKV41" s="595"/>
      <c r="WKW41" s="595"/>
      <c r="WKX41" s="595"/>
      <c r="WKY41" s="595"/>
      <c r="WKZ41" s="595"/>
      <c r="WLA41" s="595"/>
      <c r="WLB41" s="595"/>
      <c r="WLC41" s="595"/>
      <c r="WLD41" s="595"/>
      <c r="WLE41" s="595"/>
      <c r="WLF41" s="595"/>
      <c r="WLG41" s="595"/>
      <c r="WLH41" s="595"/>
      <c r="WLI41" s="595"/>
      <c r="WLJ41" s="595"/>
      <c r="WLK41" s="595"/>
      <c r="WLL41" s="595"/>
      <c r="WLM41" s="595"/>
      <c r="WLN41" s="595"/>
      <c r="WLO41" s="595"/>
      <c r="WLP41" s="595"/>
      <c r="WLQ41" s="595"/>
      <c r="WLR41" s="595"/>
      <c r="WLS41" s="595"/>
      <c r="WLT41" s="595"/>
      <c r="WLU41" s="595"/>
      <c r="WLV41" s="595"/>
      <c r="WLW41" s="595"/>
      <c r="WLX41" s="595"/>
      <c r="WLY41" s="595"/>
      <c r="WLZ41" s="595"/>
      <c r="WMA41" s="595"/>
      <c r="WMB41" s="595"/>
      <c r="WMC41" s="595"/>
      <c r="WMD41" s="595"/>
      <c r="WME41" s="595"/>
      <c r="WMF41" s="595"/>
      <c r="WMG41" s="595"/>
      <c r="WMH41" s="595"/>
      <c r="WMI41" s="595"/>
      <c r="WMJ41" s="595"/>
      <c r="WMK41" s="595"/>
      <c r="WML41" s="595"/>
      <c r="WMM41" s="595"/>
      <c r="WMN41" s="595"/>
      <c r="WMO41" s="595"/>
      <c r="WMP41" s="595"/>
      <c r="WMQ41" s="595"/>
      <c r="WMR41" s="595"/>
      <c r="WMS41" s="595"/>
      <c r="WMT41" s="595"/>
      <c r="WMU41" s="595"/>
      <c r="WMV41" s="595"/>
      <c r="WMW41" s="595"/>
      <c r="WMX41" s="595"/>
      <c r="WMY41" s="595"/>
      <c r="WMZ41" s="595"/>
      <c r="WNA41" s="595"/>
      <c r="WNB41" s="595"/>
      <c r="WNC41" s="595"/>
      <c r="WND41" s="595"/>
      <c r="WNE41" s="595"/>
      <c r="WNF41" s="595"/>
      <c r="WNG41" s="595"/>
      <c r="WNH41" s="595"/>
      <c r="WNI41" s="595"/>
      <c r="WNJ41" s="595"/>
      <c r="WNK41" s="595"/>
      <c r="WNL41" s="595"/>
      <c r="WNM41" s="595"/>
      <c r="WNN41" s="595"/>
      <c r="WNO41" s="595"/>
      <c r="WNP41" s="595"/>
      <c r="WNQ41" s="595"/>
      <c r="WNR41" s="595"/>
      <c r="WNS41" s="595"/>
      <c r="WNT41" s="595"/>
      <c r="WNU41" s="595"/>
      <c r="WNV41" s="595"/>
      <c r="WNW41" s="595"/>
      <c r="WNX41" s="595"/>
      <c r="WNY41" s="595"/>
      <c r="WNZ41" s="595"/>
      <c r="WOA41" s="595"/>
      <c r="WOB41" s="595"/>
      <c r="WOC41" s="595"/>
      <c r="WOD41" s="595"/>
      <c r="WOE41" s="595"/>
      <c r="WOF41" s="595"/>
      <c r="WOG41" s="595"/>
      <c r="WOH41" s="595"/>
      <c r="WOI41" s="595"/>
      <c r="WOJ41" s="595"/>
      <c r="WOK41" s="595"/>
      <c r="WOL41" s="595"/>
      <c r="WOM41" s="595"/>
      <c r="WON41" s="595"/>
      <c r="WOO41" s="595"/>
      <c r="WOP41" s="595"/>
      <c r="WOQ41" s="595"/>
      <c r="WOR41" s="595"/>
      <c r="WOS41" s="595"/>
      <c r="WOT41" s="595"/>
      <c r="WOU41" s="595"/>
      <c r="WOV41" s="595"/>
      <c r="WOW41" s="595"/>
      <c r="WOX41" s="595"/>
      <c r="WOY41" s="595"/>
      <c r="WOZ41" s="595"/>
      <c r="WPA41" s="595"/>
      <c r="WPB41" s="595"/>
      <c r="WPC41" s="595"/>
      <c r="WPD41" s="595"/>
      <c r="WPE41" s="595"/>
      <c r="WPF41" s="595"/>
      <c r="WPG41" s="595"/>
      <c r="WPH41" s="595"/>
      <c r="WPI41" s="595"/>
      <c r="WPJ41" s="595"/>
      <c r="WPK41" s="595"/>
      <c r="WPL41" s="595"/>
      <c r="WPM41" s="595"/>
      <c r="WPN41" s="595"/>
      <c r="WPO41" s="595"/>
      <c r="WPP41" s="595"/>
      <c r="WPQ41" s="595"/>
      <c r="WPR41" s="595"/>
      <c r="WPS41" s="595"/>
      <c r="WPT41" s="595"/>
      <c r="WPU41" s="595"/>
      <c r="WPV41" s="595"/>
      <c r="WPW41" s="595"/>
      <c r="WPX41" s="595"/>
      <c r="WPY41" s="595"/>
      <c r="WPZ41" s="595"/>
      <c r="WQA41" s="595"/>
      <c r="WQB41" s="595"/>
      <c r="WQC41" s="595"/>
      <c r="WQD41" s="595"/>
      <c r="WQE41" s="595"/>
      <c r="WQF41" s="595"/>
      <c r="WQG41" s="595"/>
      <c r="WQH41" s="595"/>
      <c r="WQI41" s="595"/>
      <c r="WQJ41" s="595"/>
      <c r="WQK41" s="595"/>
      <c r="WQL41" s="595"/>
      <c r="WQM41" s="595"/>
      <c r="WQN41" s="595"/>
      <c r="WQO41" s="595"/>
      <c r="WQP41" s="595"/>
      <c r="WQQ41" s="595"/>
      <c r="WQR41" s="595"/>
      <c r="WQS41" s="595"/>
      <c r="WQT41" s="595"/>
      <c r="WQU41" s="595"/>
      <c r="WQV41" s="595"/>
      <c r="WQW41" s="595"/>
      <c r="WQX41" s="595"/>
      <c r="WQY41" s="595"/>
      <c r="WQZ41" s="595"/>
      <c r="WRA41" s="595"/>
      <c r="WRB41" s="595"/>
      <c r="WRC41" s="595"/>
      <c r="WRD41" s="595"/>
      <c r="WRE41" s="595"/>
      <c r="WRF41" s="595"/>
      <c r="WRG41" s="595"/>
      <c r="WRH41" s="595"/>
      <c r="WRI41" s="595"/>
      <c r="WRJ41" s="595"/>
      <c r="WRK41" s="595"/>
      <c r="WRL41" s="595"/>
      <c r="WRM41" s="595"/>
      <c r="WRN41" s="595"/>
      <c r="WRO41" s="595"/>
      <c r="WRP41" s="595"/>
      <c r="WRQ41" s="595"/>
      <c r="WRR41" s="595"/>
      <c r="WRS41" s="595"/>
      <c r="WRT41" s="595"/>
      <c r="WRU41" s="595"/>
      <c r="WRV41" s="595"/>
      <c r="WRW41" s="595"/>
      <c r="WRX41" s="595"/>
      <c r="WRY41" s="595"/>
      <c r="WRZ41" s="595"/>
      <c r="WSA41" s="595"/>
      <c r="WSB41" s="595"/>
      <c r="WSC41" s="595"/>
      <c r="WSD41" s="595"/>
      <c r="WSE41" s="595"/>
      <c r="WSF41" s="595"/>
      <c r="WSG41" s="595"/>
      <c r="WSH41" s="595"/>
      <c r="WSI41" s="595"/>
      <c r="WSJ41" s="595"/>
      <c r="WSK41" s="595"/>
      <c r="WSL41" s="595"/>
      <c r="WSM41" s="595"/>
      <c r="WSN41" s="595"/>
      <c r="WSO41" s="595"/>
      <c r="WSP41" s="595"/>
      <c r="WSQ41" s="595"/>
      <c r="WSR41" s="595"/>
      <c r="WSS41" s="595"/>
      <c r="WST41" s="595"/>
      <c r="WSU41" s="595"/>
      <c r="WSV41" s="595"/>
      <c r="WSW41" s="595"/>
      <c r="WSX41" s="595"/>
      <c r="WSY41" s="595"/>
      <c r="WSZ41" s="595"/>
      <c r="WTA41" s="595"/>
      <c r="WTB41" s="595"/>
      <c r="WTC41" s="595"/>
      <c r="WTD41" s="595"/>
      <c r="WTE41" s="595"/>
      <c r="WTF41" s="595"/>
      <c r="WTG41" s="595"/>
      <c r="WTH41" s="595"/>
      <c r="WTI41" s="595"/>
      <c r="WTJ41" s="595"/>
      <c r="WTK41" s="595"/>
      <c r="WTL41" s="595"/>
      <c r="WTM41" s="595"/>
      <c r="WTN41" s="595"/>
      <c r="WTO41" s="595"/>
      <c r="WTP41" s="595"/>
      <c r="WTQ41" s="595"/>
      <c r="WTR41" s="595"/>
      <c r="WTS41" s="595"/>
      <c r="WTT41" s="595"/>
      <c r="WTU41" s="595"/>
      <c r="WTV41" s="595"/>
      <c r="WTW41" s="595"/>
      <c r="WTX41" s="595"/>
      <c r="WTY41" s="595"/>
      <c r="WTZ41" s="595"/>
      <c r="WUA41" s="595"/>
      <c r="WUB41" s="595"/>
      <c r="WUC41" s="595"/>
      <c r="WUD41" s="595"/>
      <c r="WUE41" s="595"/>
      <c r="WUF41" s="595"/>
      <c r="WUG41" s="595"/>
      <c r="WUH41" s="595"/>
      <c r="WUI41" s="595"/>
      <c r="WUJ41" s="595"/>
      <c r="WUK41" s="595"/>
      <c r="WUL41" s="595"/>
      <c r="WUM41" s="595"/>
      <c r="WUN41" s="595"/>
      <c r="WUO41" s="595"/>
      <c r="WUP41" s="595"/>
      <c r="WUQ41" s="595"/>
      <c r="WUR41" s="595"/>
      <c r="WUS41" s="595"/>
      <c r="WUT41" s="595"/>
      <c r="WUU41" s="595"/>
      <c r="WUV41" s="595"/>
      <c r="WUW41" s="595"/>
      <c r="WUX41" s="595"/>
      <c r="WUY41" s="595"/>
      <c r="WUZ41" s="595"/>
      <c r="WVA41" s="595"/>
      <c r="WVB41" s="595"/>
      <c r="WVC41" s="595"/>
      <c r="WVD41" s="595"/>
      <c r="WVE41" s="595"/>
      <c r="WVF41" s="595"/>
      <c r="WVG41" s="595"/>
      <c r="WVH41" s="595"/>
      <c r="WVI41" s="595"/>
      <c r="WVJ41" s="595"/>
      <c r="WVK41" s="595"/>
      <c r="WVL41" s="595"/>
      <c r="WVM41" s="595"/>
      <c r="WVN41" s="595"/>
      <c r="WVO41" s="595"/>
      <c r="WVP41" s="595"/>
      <c r="WVQ41" s="595"/>
    </row>
    <row r="42" spans="1:16137" s="601" customFormat="1" ht="17.25" customHeight="1">
      <c r="A42" s="952"/>
      <c r="B42" s="962"/>
      <c r="C42" s="962"/>
      <c r="D42" s="595"/>
      <c r="E42" s="595"/>
      <c r="F42" s="954"/>
      <c r="G42" s="954"/>
      <c r="H42" s="595"/>
      <c r="I42" s="595"/>
      <c r="J42" s="595"/>
      <c r="CF42" s="595"/>
      <c r="CG42" s="595"/>
      <c r="CH42" s="595"/>
      <c r="CI42" s="595"/>
      <c r="CJ42" s="595"/>
      <c r="CK42" s="595"/>
      <c r="CL42" s="595"/>
      <c r="CM42" s="595"/>
      <c r="CN42" s="595"/>
      <c r="CO42" s="595"/>
      <c r="CP42" s="595"/>
      <c r="CQ42" s="595"/>
      <c r="CR42" s="595"/>
      <c r="CS42" s="595"/>
      <c r="CT42" s="595"/>
      <c r="CU42" s="595"/>
      <c r="CV42" s="595"/>
      <c r="CW42" s="595"/>
      <c r="CX42" s="595"/>
      <c r="CY42" s="595"/>
      <c r="CZ42" s="595"/>
      <c r="DA42" s="595"/>
      <c r="DB42" s="595"/>
      <c r="DC42" s="595"/>
      <c r="DD42" s="595"/>
      <c r="DE42" s="595"/>
      <c r="DF42" s="595"/>
      <c r="DG42" s="595"/>
      <c r="DH42" s="595"/>
      <c r="DI42" s="595"/>
      <c r="DJ42" s="595"/>
      <c r="DK42" s="595"/>
      <c r="DL42" s="595"/>
      <c r="DM42" s="595"/>
      <c r="DN42" s="595"/>
      <c r="DO42" s="595"/>
      <c r="DP42" s="595"/>
      <c r="DQ42" s="595"/>
      <c r="DR42" s="595"/>
      <c r="DS42" s="595"/>
      <c r="DT42" s="595"/>
      <c r="DU42" s="595"/>
      <c r="DV42" s="595"/>
      <c r="DW42" s="595"/>
      <c r="DX42" s="595"/>
      <c r="DY42" s="595"/>
      <c r="DZ42" s="595"/>
      <c r="EA42" s="595"/>
      <c r="EB42" s="595"/>
      <c r="EC42" s="595"/>
      <c r="ED42" s="595"/>
      <c r="EE42" s="595"/>
      <c r="EF42" s="595"/>
      <c r="EG42" s="595"/>
      <c r="EH42" s="595"/>
      <c r="EI42" s="595"/>
      <c r="EJ42" s="595"/>
      <c r="EK42" s="595"/>
      <c r="EL42" s="595"/>
      <c r="EM42" s="595"/>
      <c r="EN42" s="595"/>
      <c r="EO42" s="595"/>
      <c r="EP42" s="595"/>
      <c r="EQ42" s="595"/>
      <c r="ER42" s="595"/>
      <c r="ES42" s="595"/>
      <c r="ET42" s="595"/>
      <c r="EU42" s="595"/>
      <c r="EV42" s="595"/>
      <c r="EW42" s="595"/>
      <c r="EX42" s="595"/>
      <c r="EY42" s="595"/>
      <c r="EZ42" s="595"/>
      <c r="FA42" s="595"/>
      <c r="FB42" s="595"/>
      <c r="FC42" s="595"/>
      <c r="FD42" s="595"/>
      <c r="FE42" s="595"/>
      <c r="FF42" s="595"/>
      <c r="FG42" s="595"/>
      <c r="FH42" s="595"/>
      <c r="FI42" s="595"/>
      <c r="FJ42" s="595"/>
      <c r="FK42" s="595"/>
      <c r="FL42" s="595"/>
      <c r="FM42" s="595"/>
      <c r="FN42" s="595"/>
      <c r="FO42" s="595"/>
      <c r="FP42" s="595"/>
      <c r="FQ42" s="595"/>
      <c r="FR42" s="595"/>
      <c r="FS42" s="595"/>
      <c r="FT42" s="595"/>
      <c r="FU42" s="595"/>
      <c r="FV42" s="595"/>
      <c r="FW42" s="595"/>
      <c r="FX42" s="595"/>
      <c r="FY42" s="595"/>
      <c r="FZ42" s="595"/>
      <c r="GA42" s="595"/>
      <c r="GB42" s="595"/>
      <c r="GC42" s="595"/>
      <c r="GD42" s="595"/>
      <c r="GE42" s="595"/>
      <c r="GF42" s="595"/>
      <c r="GG42" s="595"/>
      <c r="GH42" s="595"/>
      <c r="GI42" s="595"/>
      <c r="GJ42" s="595"/>
      <c r="GK42" s="595"/>
      <c r="GL42" s="595"/>
      <c r="GM42" s="595"/>
      <c r="GN42" s="595"/>
      <c r="GO42" s="595"/>
      <c r="GP42" s="595"/>
      <c r="GQ42" s="595"/>
      <c r="GR42" s="595"/>
      <c r="GS42" s="595"/>
      <c r="GT42" s="595"/>
      <c r="GU42" s="595"/>
      <c r="GV42" s="595"/>
      <c r="GW42" s="595"/>
      <c r="GX42" s="595"/>
      <c r="GY42" s="595"/>
      <c r="GZ42" s="595"/>
      <c r="HA42" s="595"/>
      <c r="HB42" s="595"/>
      <c r="HC42" s="595"/>
      <c r="HD42" s="595"/>
      <c r="HE42" s="595"/>
      <c r="HF42" s="595"/>
      <c r="HG42" s="595"/>
      <c r="HH42" s="595"/>
      <c r="HI42" s="595"/>
      <c r="HJ42" s="595"/>
      <c r="HK42" s="595"/>
      <c r="HL42" s="595"/>
      <c r="HM42" s="595"/>
      <c r="HN42" s="595"/>
      <c r="HO42" s="595"/>
      <c r="HP42" s="595"/>
      <c r="HQ42" s="595"/>
      <c r="HR42" s="595"/>
      <c r="HS42" s="595"/>
      <c r="HT42" s="595"/>
      <c r="HU42" s="595"/>
      <c r="HV42" s="595"/>
      <c r="HW42" s="595"/>
      <c r="HX42" s="595"/>
      <c r="HY42" s="595"/>
      <c r="HZ42" s="595"/>
      <c r="IA42" s="595"/>
      <c r="IB42" s="595"/>
      <c r="IC42" s="595"/>
      <c r="ID42" s="595"/>
      <c r="IE42" s="595"/>
      <c r="IF42" s="595"/>
      <c r="IG42" s="595"/>
      <c r="IH42" s="595"/>
      <c r="II42" s="595"/>
      <c r="IJ42" s="595"/>
      <c r="IK42" s="595"/>
      <c r="IL42" s="595"/>
      <c r="IM42" s="595"/>
      <c r="IN42" s="595"/>
      <c r="IO42" s="595"/>
      <c r="IP42" s="595"/>
      <c r="IQ42" s="595"/>
      <c r="IR42" s="595"/>
      <c r="IS42" s="595"/>
      <c r="IT42" s="595"/>
      <c r="IU42" s="595"/>
      <c r="IV42" s="595"/>
      <c r="IW42" s="595"/>
      <c r="IX42" s="595"/>
      <c r="IY42" s="595"/>
      <c r="IZ42" s="595"/>
      <c r="JA42" s="595"/>
      <c r="JB42" s="595"/>
      <c r="JC42" s="595"/>
      <c r="JD42" s="595"/>
      <c r="JE42" s="595"/>
      <c r="JF42" s="595"/>
      <c r="JG42" s="595"/>
      <c r="JH42" s="595"/>
      <c r="JI42" s="595"/>
      <c r="JJ42" s="595"/>
      <c r="JK42" s="595"/>
      <c r="JL42" s="595"/>
      <c r="JM42" s="595"/>
      <c r="JN42" s="595"/>
      <c r="JO42" s="595"/>
      <c r="JP42" s="595"/>
      <c r="JQ42" s="595"/>
      <c r="JR42" s="595"/>
      <c r="JS42" s="595"/>
      <c r="JT42" s="595"/>
      <c r="JU42" s="595"/>
      <c r="JV42" s="595"/>
      <c r="JW42" s="595"/>
      <c r="JX42" s="595"/>
      <c r="JY42" s="595"/>
      <c r="JZ42" s="595"/>
      <c r="KA42" s="595"/>
      <c r="KB42" s="595"/>
      <c r="KC42" s="595"/>
      <c r="KD42" s="595"/>
      <c r="KE42" s="595"/>
      <c r="KF42" s="595"/>
      <c r="KG42" s="595"/>
      <c r="KH42" s="595"/>
      <c r="KI42" s="595"/>
      <c r="KJ42" s="595"/>
      <c r="KK42" s="595"/>
      <c r="KL42" s="595"/>
      <c r="KM42" s="595"/>
      <c r="KN42" s="595"/>
      <c r="KO42" s="595"/>
      <c r="KP42" s="595"/>
      <c r="KQ42" s="595"/>
      <c r="KR42" s="595"/>
      <c r="KS42" s="595"/>
      <c r="KT42" s="595"/>
      <c r="KU42" s="595"/>
      <c r="KV42" s="595"/>
      <c r="KW42" s="595"/>
      <c r="KX42" s="595"/>
      <c r="KY42" s="595"/>
      <c r="KZ42" s="595"/>
      <c r="LA42" s="595"/>
      <c r="LB42" s="595"/>
      <c r="LC42" s="595"/>
      <c r="LD42" s="595"/>
      <c r="LE42" s="595"/>
      <c r="LF42" s="595"/>
      <c r="LG42" s="595"/>
      <c r="LH42" s="595"/>
      <c r="LI42" s="595"/>
      <c r="LJ42" s="595"/>
      <c r="LK42" s="595"/>
      <c r="LL42" s="595"/>
      <c r="LM42" s="595"/>
      <c r="LN42" s="595"/>
      <c r="LO42" s="595"/>
      <c r="LP42" s="595"/>
      <c r="LQ42" s="595"/>
      <c r="LR42" s="595"/>
      <c r="LS42" s="595"/>
      <c r="LT42" s="595"/>
      <c r="LU42" s="595"/>
      <c r="LV42" s="595"/>
      <c r="LW42" s="595"/>
      <c r="LX42" s="595"/>
      <c r="LY42" s="595"/>
      <c r="LZ42" s="595"/>
      <c r="MA42" s="595"/>
      <c r="MB42" s="595"/>
      <c r="MC42" s="595"/>
      <c r="MD42" s="595"/>
      <c r="ME42" s="595"/>
      <c r="MF42" s="595"/>
      <c r="MG42" s="595"/>
      <c r="MH42" s="595"/>
      <c r="MI42" s="595"/>
      <c r="MJ42" s="595"/>
      <c r="MK42" s="595"/>
      <c r="ML42" s="595"/>
      <c r="MM42" s="595"/>
      <c r="MN42" s="595"/>
      <c r="MO42" s="595"/>
      <c r="MP42" s="595"/>
      <c r="MQ42" s="595"/>
      <c r="MR42" s="595"/>
      <c r="MS42" s="595"/>
      <c r="MT42" s="595"/>
      <c r="MU42" s="595"/>
      <c r="MV42" s="595"/>
      <c r="MW42" s="595"/>
      <c r="MX42" s="595"/>
      <c r="MY42" s="595"/>
      <c r="MZ42" s="595"/>
      <c r="NA42" s="595"/>
      <c r="NB42" s="595"/>
      <c r="NC42" s="595"/>
      <c r="ND42" s="595"/>
      <c r="NE42" s="595"/>
      <c r="NF42" s="595"/>
      <c r="NG42" s="595"/>
      <c r="NH42" s="595"/>
      <c r="NI42" s="595"/>
      <c r="NJ42" s="595"/>
      <c r="NK42" s="595"/>
      <c r="NL42" s="595"/>
      <c r="NM42" s="595"/>
      <c r="NN42" s="595"/>
      <c r="NO42" s="595"/>
      <c r="NP42" s="595"/>
      <c r="NQ42" s="595"/>
      <c r="NR42" s="595"/>
      <c r="NS42" s="595"/>
      <c r="NT42" s="595"/>
      <c r="NU42" s="595"/>
      <c r="NV42" s="595"/>
      <c r="NW42" s="595"/>
      <c r="NX42" s="595"/>
      <c r="NY42" s="595"/>
      <c r="NZ42" s="595"/>
      <c r="OA42" s="595"/>
      <c r="OB42" s="595"/>
      <c r="OC42" s="595"/>
      <c r="OD42" s="595"/>
      <c r="OE42" s="595"/>
      <c r="OF42" s="595"/>
      <c r="OG42" s="595"/>
      <c r="OH42" s="595"/>
      <c r="OI42" s="595"/>
      <c r="OJ42" s="595"/>
      <c r="OK42" s="595"/>
      <c r="OL42" s="595"/>
      <c r="OM42" s="595"/>
      <c r="ON42" s="595"/>
      <c r="OO42" s="595"/>
      <c r="OP42" s="595"/>
      <c r="OQ42" s="595"/>
      <c r="OR42" s="595"/>
      <c r="OS42" s="595"/>
      <c r="OT42" s="595"/>
      <c r="OU42" s="595"/>
      <c r="OV42" s="595"/>
      <c r="OW42" s="595"/>
      <c r="OX42" s="595"/>
      <c r="OY42" s="595"/>
      <c r="OZ42" s="595"/>
      <c r="PA42" s="595"/>
      <c r="PB42" s="595"/>
      <c r="PC42" s="595"/>
      <c r="PD42" s="595"/>
      <c r="PE42" s="595"/>
      <c r="PF42" s="595"/>
      <c r="PG42" s="595"/>
      <c r="PH42" s="595"/>
      <c r="PI42" s="595"/>
      <c r="PJ42" s="595"/>
      <c r="PK42" s="595"/>
      <c r="PL42" s="595"/>
      <c r="PM42" s="595"/>
      <c r="PN42" s="595"/>
      <c r="PO42" s="595"/>
      <c r="PP42" s="595"/>
      <c r="PQ42" s="595"/>
      <c r="PR42" s="595"/>
      <c r="PS42" s="595"/>
      <c r="PT42" s="595"/>
      <c r="PU42" s="595"/>
      <c r="PV42" s="595"/>
      <c r="PW42" s="595"/>
      <c r="PX42" s="595"/>
      <c r="PY42" s="595"/>
      <c r="PZ42" s="595"/>
      <c r="QA42" s="595"/>
      <c r="QB42" s="595"/>
      <c r="QC42" s="595"/>
      <c r="QD42" s="595"/>
      <c r="QE42" s="595"/>
      <c r="QF42" s="595"/>
      <c r="QG42" s="595"/>
      <c r="QH42" s="595"/>
      <c r="QI42" s="595"/>
      <c r="QJ42" s="595"/>
      <c r="QK42" s="595"/>
      <c r="QL42" s="595"/>
      <c r="QM42" s="595"/>
      <c r="QN42" s="595"/>
      <c r="QO42" s="595"/>
      <c r="QP42" s="595"/>
      <c r="QQ42" s="595"/>
      <c r="QR42" s="595"/>
      <c r="QS42" s="595"/>
      <c r="QT42" s="595"/>
      <c r="QU42" s="595"/>
      <c r="QV42" s="595"/>
      <c r="QW42" s="595"/>
      <c r="QX42" s="595"/>
      <c r="QY42" s="595"/>
      <c r="QZ42" s="595"/>
      <c r="RA42" s="595"/>
      <c r="RB42" s="595"/>
      <c r="RC42" s="595"/>
      <c r="RD42" s="595"/>
      <c r="RE42" s="595"/>
      <c r="RF42" s="595"/>
      <c r="RG42" s="595"/>
      <c r="RH42" s="595"/>
      <c r="RI42" s="595"/>
      <c r="RJ42" s="595"/>
      <c r="RK42" s="595"/>
      <c r="RL42" s="595"/>
      <c r="RM42" s="595"/>
      <c r="RN42" s="595"/>
      <c r="RO42" s="595"/>
      <c r="RP42" s="595"/>
      <c r="RQ42" s="595"/>
      <c r="RR42" s="595"/>
      <c r="RS42" s="595"/>
      <c r="RT42" s="595"/>
      <c r="RU42" s="595"/>
      <c r="RV42" s="595"/>
      <c r="RW42" s="595"/>
      <c r="RX42" s="595"/>
      <c r="RY42" s="595"/>
      <c r="RZ42" s="595"/>
      <c r="SA42" s="595"/>
      <c r="SB42" s="595"/>
      <c r="SC42" s="595"/>
      <c r="SD42" s="595"/>
      <c r="SE42" s="595"/>
      <c r="SF42" s="595"/>
      <c r="SG42" s="595"/>
      <c r="SH42" s="595"/>
      <c r="SI42" s="595"/>
      <c r="SJ42" s="595"/>
      <c r="SK42" s="595"/>
      <c r="SL42" s="595"/>
      <c r="SM42" s="595"/>
      <c r="SN42" s="595"/>
      <c r="SO42" s="595"/>
      <c r="SP42" s="595"/>
      <c r="SQ42" s="595"/>
      <c r="SR42" s="595"/>
      <c r="SS42" s="595"/>
      <c r="ST42" s="595"/>
      <c r="SU42" s="595"/>
      <c r="SV42" s="595"/>
      <c r="SW42" s="595"/>
      <c r="SX42" s="595"/>
      <c r="SY42" s="595"/>
      <c r="SZ42" s="595"/>
      <c r="TA42" s="595"/>
      <c r="TB42" s="595"/>
      <c r="TC42" s="595"/>
      <c r="TD42" s="595"/>
      <c r="TE42" s="595"/>
      <c r="TF42" s="595"/>
      <c r="TG42" s="595"/>
      <c r="TH42" s="595"/>
      <c r="TI42" s="595"/>
      <c r="TJ42" s="595"/>
      <c r="TK42" s="595"/>
      <c r="TL42" s="595"/>
      <c r="TM42" s="595"/>
      <c r="TN42" s="595"/>
      <c r="TO42" s="595"/>
      <c r="TP42" s="595"/>
      <c r="TQ42" s="595"/>
      <c r="TR42" s="595"/>
      <c r="TS42" s="595"/>
      <c r="TT42" s="595"/>
      <c r="TU42" s="595"/>
      <c r="TV42" s="595"/>
      <c r="TW42" s="595"/>
      <c r="TX42" s="595"/>
      <c r="TY42" s="595"/>
      <c r="TZ42" s="595"/>
      <c r="UA42" s="595"/>
      <c r="UB42" s="595"/>
      <c r="UC42" s="595"/>
      <c r="UD42" s="595"/>
      <c r="UE42" s="595"/>
      <c r="UF42" s="595"/>
      <c r="UG42" s="595"/>
      <c r="UH42" s="595"/>
      <c r="UI42" s="595"/>
      <c r="UJ42" s="595"/>
      <c r="UK42" s="595"/>
      <c r="UL42" s="595"/>
      <c r="UM42" s="595"/>
      <c r="UN42" s="595"/>
      <c r="UO42" s="595"/>
      <c r="UP42" s="595"/>
      <c r="UQ42" s="595"/>
      <c r="UR42" s="595"/>
      <c r="US42" s="595"/>
      <c r="UT42" s="595"/>
      <c r="UU42" s="595"/>
      <c r="UV42" s="595"/>
      <c r="UW42" s="595"/>
      <c r="UX42" s="595"/>
      <c r="UY42" s="595"/>
      <c r="UZ42" s="595"/>
      <c r="VA42" s="595"/>
      <c r="VB42" s="595"/>
      <c r="VC42" s="595"/>
      <c r="VD42" s="595"/>
      <c r="VE42" s="595"/>
      <c r="VF42" s="595"/>
      <c r="VG42" s="595"/>
      <c r="VH42" s="595"/>
      <c r="VI42" s="595"/>
      <c r="VJ42" s="595"/>
      <c r="VK42" s="595"/>
      <c r="VL42" s="595"/>
      <c r="VM42" s="595"/>
      <c r="VN42" s="595"/>
      <c r="VO42" s="595"/>
      <c r="VP42" s="595"/>
      <c r="VQ42" s="595"/>
      <c r="VR42" s="595"/>
      <c r="VS42" s="595"/>
      <c r="VT42" s="595"/>
      <c r="VU42" s="595"/>
      <c r="VV42" s="595"/>
      <c r="VW42" s="595"/>
      <c r="VX42" s="595"/>
      <c r="VY42" s="595"/>
      <c r="VZ42" s="595"/>
      <c r="WA42" s="595"/>
      <c r="WB42" s="595"/>
      <c r="WC42" s="595"/>
      <c r="WD42" s="595"/>
      <c r="WE42" s="595"/>
      <c r="WF42" s="595"/>
      <c r="WG42" s="595"/>
      <c r="WH42" s="595"/>
      <c r="WI42" s="595"/>
      <c r="WJ42" s="595"/>
      <c r="WK42" s="595"/>
      <c r="WL42" s="595"/>
      <c r="WM42" s="595"/>
      <c r="WN42" s="595"/>
      <c r="WO42" s="595"/>
      <c r="WP42" s="595"/>
      <c r="WQ42" s="595"/>
      <c r="WR42" s="595"/>
      <c r="WS42" s="595"/>
      <c r="WT42" s="595"/>
      <c r="WU42" s="595"/>
      <c r="WV42" s="595"/>
      <c r="WW42" s="595"/>
      <c r="WX42" s="595"/>
      <c r="WY42" s="595"/>
      <c r="WZ42" s="595"/>
      <c r="XA42" s="595"/>
      <c r="XB42" s="595"/>
      <c r="XC42" s="595"/>
      <c r="XD42" s="595"/>
      <c r="XE42" s="595"/>
      <c r="XF42" s="595"/>
      <c r="XG42" s="595"/>
      <c r="XH42" s="595"/>
      <c r="XI42" s="595"/>
      <c r="XJ42" s="595"/>
      <c r="XK42" s="595"/>
      <c r="XL42" s="595"/>
      <c r="XM42" s="595"/>
      <c r="XN42" s="595"/>
      <c r="XO42" s="595"/>
      <c r="XP42" s="595"/>
      <c r="XQ42" s="595"/>
      <c r="XR42" s="595"/>
      <c r="XS42" s="595"/>
      <c r="XT42" s="595"/>
      <c r="XU42" s="595"/>
      <c r="XV42" s="595"/>
      <c r="XW42" s="595"/>
      <c r="XX42" s="595"/>
      <c r="XY42" s="595"/>
      <c r="XZ42" s="595"/>
      <c r="YA42" s="595"/>
      <c r="YB42" s="595"/>
      <c r="YC42" s="595"/>
      <c r="YD42" s="595"/>
      <c r="YE42" s="595"/>
      <c r="YF42" s="595"/>
      <c r="YG42" s="595"/>
      <c r="YH42" s="595"/>
      <c r="YI42" s="595"/>
      <c r="YJ42" s="595"/>
      <c r="YK42" s="595"/>
      <c r="YL42" s="595"/>
      <c r="YM42" s="595"/>
      <c r="YN42" s="595"/>
      <c r="YO42" s="595"/>
      <c r="YP42" s="595"/>
      <c r="YQ42" s="595"/>
      <c r="YR42" s="595"/>
      <c r="YS42" s="595"/>
      <c r="YT42" s="595"/>
      <c r="YU42" s="595"/>
      <c r="YV42" s="595"/>
      <c r="YW42" s="595"/>
      <c r="YX42" s="595"/>
      <c r="YY42" s="595"/>
      <c r="YZ42" s="595"/>
      <c r="ZA42" s="595"/>
      <c r="ZB42" s="595"/>
      <c r="ZC42" s="595"/>
      <c r="ZD42" s="595"/>
      <c r="ZE42" s="595"/>
      <c r="ZF42" s="595"/>
      <c r="ZG42" s="595"/>
      <c r="ZH42" s="595"/>
      <c r="ZI42" s="595"/>
      <c r="ZJ42" s="595"/>
      <c r="ZK42" s="595"/>
      <c r="ZL42" s="595"/>
      <c r="ZM42" s="595"/>
      <c r="ZN42" s="595"/>
      <c r="ZO42" s="595"/>
      <c r="ZP42" s="595"/>
      <c r="ZQ42" s="595"/>
      <c r="ZR42" s="595"/>
      <c r="ZS42" s="595"/>
      <c r="ZT42" s="595"/>
      <c r="ZU42" s="595"/>
      <c r="ZV42" s="595"/>
      <c r="ZW42" s="595"/>
      <c r="ZX42" s="595"/>
      <c r="ZY42" s="595"/>
      <c r="ZZ42" s="595"/>
      <c r="AAA42" s="595"/>
      <c r="AAB42" s="595"/>
      <c r="AAC42" s="595"/>
      <c r="AAD42" s="595"/>
      <c r="AAE42" s="595"/>
      <c r="AAF42" s="595"/>
      <c r="AAG42" s="595"/>
      <c r="AAH42" s="595"/>
      <c r="AAI42" s="595"/>
      <c r="AAJ42" s="595"/>
      <c r="AAK42" s="595"/>
      <c r="AAL42" s="595"/>
      <c r="AAM42" s="595"/>
      <c r="AAN42" s="595"/>
      <c r="AAO42" s="595"/>
      <c r="AAP42" s="595"/>
      <c r="AAQ42" s="595"/>
      <c r="AAR42" s="595"/>
      <c r="AAS42" s="595"/>
      <c r="AAT42" s="595"/>
      <c r="AAU42" s="595"/>
      <c r="AAV42" s="595"/>
      <c r="AAW42" s="595"/>
      <c r="AAX42" s="595"/>
      <c r="AAY42" s="595"/>
      <c r="AAZ42" s="595"/>
      <c r="ABA42" s="595"/>
      <c r="ABB42" s="595"/>
      <c r="ABC42" s="595"/>
      <c r="ABD42" s="595"/>
      <c r="ABE42" s="595"/>
      <c r="ABF42" s="595"/>
      <c r="ABG42" s="595"/>
      <c r="ABH42" s="595"/>
      <c r="ABI42" s="595"/>
      <c r="ABJ42" s="595"/>
      <c r="ABK42" s="595"/>
      <c r="ABL42" s="595"/>
      <c r="ABM42" s="595"/>
      <c r="ABN42" s="595"/>
      <c r="ABO42" s="595"/>
      <c r="ABP42" s="595"/>
      <c r="ABQ42" s="595"/>
      <c r="ABR42" s="595"/>
      <c r="ABS42" s="595"/>
      <c r="ABT42" s="595"/>
      <c r="ABU42" s="595"/>
      <c r="ABV42" s="595"/>
      <c r="ABW42" s="595"/>
      <c r="ABX42" s="595"/>
      <c r="ABY42" s="595"/>
      <c r="ABZ42" s="595"/>
      <c r="ACA42" s="595"/>
      <c r="ACB42" s="595"/>
      <c r="ACC42" s="595"/>
      <c r="ACD42" s="595"/>
      <c r="ACE42" s="595"/>
      <c r="ACF42" s="595"/>
      <c r="ACG42" s="595"/>
      <c r="ACH42" s="595"/>
      <c r="ACI42" s="595"/>
      <c r="ACJ42" s="595"/>
      <c r="ACK42" s="595"/>
      <c r="ACL42" s="595"/>
      <c r="ACM42" s="595"/>
      <c r="ACN42" s="595"/>
      <c r="ACO42" s="595"/>
      <c r="ACP42" s="595"/>
      <c r="ACQ42" s="595"/>
      <c r="ACR42" s="595"/>
      <c r="ACS42" s="595"/>
      <c r="ACT42" s="595"/>
      <c r="ACU42" s="595"/>
      <c r="ACV42" s="595"/>
      <c r="ACW42" s="595"/>
      <c r="ACX42" s="595"/>
      <c r="ACY42" s="595"/>
      <c r="ACZ42" s="595"/>
      <c r="ADA42" s="595"/>
      <c r="ADB42" s="595"/>
      <c r="ADC42" s="595"/>
      <c r="ADD42" s="595"/>
      <c r="ADE42" s="595"/>
      <c r="ADF42" s="595"/>
      <c r="ADG42" s="595"/>
      <c r="ADH42" s="595"/>
      <c r="ADI42" s="595"/>
      <c r="ADJ42" s="595"/>
      <c r="ADK42" s="595"/>
      <c r="ADL42" s="595"/>
      <c r="ADM42" s="595"/>
      <c r="ADN42" s="595"/>
      <c r="ADO42" s="595"/>
      <c r="ADP42" s="595"/>
      <c r="ADQ42" s="595"/>
      <c r="ADR42" s="595"/>
      <c r="ADS42" s="595"/>
      <c r="ADT42" s="595"/>
      <c r="ADU42" s="595"/>
      <c r="ADV42" s="595"/>
      <c r="ADW42" s="595"/>
      <c r="ADX42" s="595"/>
      <c r="ADY42" s="595"/>
      <c r="ADZ42" s="595"/>
      <c r="AEA42" s="595"/>
      <c r="AEB42" s="595"/>
      <c r="AEC42" s="595"/>
      <c r="AED42" s="595"/>
      <c r="AEE42" s="595"/>
      <c r="AEF42" s="595"/>
      <c r="AEG42" s="595"/>
      <c r="AEH42" s="595"/>
      <c r="AEI42" s="595"/>
      <c r="AEJ42" s="595"/>
      <c r="AEK42" s="595"/>
      <c r="AEL42" s="595"/>
      <c r="AEM42" s="595"/>
      <c r="AEN42" s="595"/>
      <c r="AEO42" s="595"/>
      <c r="AEP42" s="595"/>
      <c r="AEQ42" s="595"/>
      <c r="AER42" s="595"/>
      <c r="AES42" s="595"/>
      <c r="AET42" s="595"/>
      <c r="AEU42" s="595"/>
      <c r="AEV42" s="595"/>
      <c r="AEW42" s="595"/>
      <c r="AEX42" s="595"/>
      <c r="AEY42" s="595"/>
      <c r="AEZ42" s="595"/>
      <c r="AFA42" s="595"/>
      <c r="AFB42" s="595"/>
      <c r="AFC42" s="595"/>
      <c r="AFD42" s="595"/>
      <c r="AFE42" s="595"/>
      <c r="AFF42" s="595"/>
      <c r="AFG42" s="595"/>
      <c r="AFH42" s="595"/>
      <c r="AFI42" s="595"/>
      <c r="AFJ42" s="595"/>
      <c r="AFK42" s="595"/>
      <c r="AFL42" s="595"/>
      <c r="AFM42" s="595"/>
      <c r="AFN42" s="595"/>
      <c r="AFO42" s="595"/>
      <c r="AFP42" s="595"/>
      <c r="AFQ42" s="595"/>
      <c r="AFR42" s="595"/>
      <c r="AFS42" s="595"/>
      <c r="AFT42" s="595"/>
      <c r="AFU42" s="595"/>
      <c r="AFV42" s="595"/>
      <c r="AFW42" s="595"/>
      <c r="AFX42" s="595"/>
      <c r="AFY42" s="595"/>
      <c r="AFZ42" s="595"/>
      <c r="AGA42" s="595"/>
      <c r="AGB42" s="595"/>
      <c r="AGC42" s="595"/>
      <c r="AGD42" s="595"/>
      <c r="AGE42" s="595"/>
      <c r="AGF42" s="595"/>
      <c r="AGG42" s="595"/>
      <c r="AGH42" s="595"/>
      <c r="AGI42" s="595"/>
      <c r="AGJ42" s="595"/>
      <c r="AGK42" s="595"/>
      <c r="AGL42" s="595"/>
      <c r="AGM42" s="595"/>
      <c r="AGN42" s="595"/>
      <c r="AGO42" s="595"/>
      <c r="AGP42" s="595"/>
      <c r="AGQ42" s="595"/>
      <c r="AGR42" s="595"/>
      <c r="AGS42" s="595"/>
      <c r="AGT42" s="595"/>
      <c r="AGU42" s="595"/>
      <c r="AGV42" s="595"/>
      <c r="AGW42" s="595"/>
      <c r="AGX42" s="595"/>
      <c r="AGY42" s="595"/>
      <c r="AGZ42" s="595"/>
      <c r="AHA42" s="595"/>
      <c r="AHB42" s="595"/>
      <c r="AHC42" s="595"/>
      <c r="AHD42" s="595"/>
      <c r="AHE42" s="595"/>
      <c r="AHF42" s="595"/>
      <c r="AHG42" s="595"/>
      <c r="AHH42" s="595"/>
      <c r="AHI42" s="595"/>
      <c r="AHJ42" s="595"/>
      <c r="AHK42" s="595"/>
      <c r="AHL42" s="595"/>
      <c r="AHM42" s="595"/>
      <c r="AHN42" s="595"/>
      <c r="AHO42" s="595"/>
      <c r="AHP42" s="595"/>
      <c r="AHQ42" s="595"/>
      <c r="AHR42" s="595"/>
      <c r="AHS42" s="595"/>
      <c r="AHT42" s="595"/>
      <c r="AHU42" s="595"/>
      <c r="AHV42" s="595"/>
      <c r="AHW42" s="595"/>
      <c r="AHX42" s="595"/>
      <c r="AHY42" s="595"/>
      <c r="AHZ42" s="595"/>
      <c r="AIA42" s="595"/>
      <c r="AIB42" s="595"/>
      <c r="AIC42" s="595"/>
      <c r="AID42" s="595"/>
      <c r="AIE42" s="595"/>
      <c r="AIF42" s="595"/>
      <c r="AIG42" s="595"/>
      <c r="AIH42" s="595"/>
      <c r="AII42" s="595"/>
      <c r="AIJ42" s="595"/>
      <c r="AIK42" s="595"/>
      <c r="AIL42" s="595"/>
      <c r="AIM42" s="595"/>
      <c r="AIN42" s="595"/>
      <c r="AIO42" s="595"/>
      <c r="AIP42" s="595"/>
      <c r="AIQ42" s="595"/>
      <c r="AIR42" s="595"/>
      <c r="AIS42" s="595"/>
      <c r="AIT42" s="595"/>
      <c r="AIU42" s="595"/>
      <c r="AIV42" s="595"/>
      <c r="AIW42" s="595"/>
      <c r="AIX42" s="595"/>
      <c r="AIY42" s="595"/>
      <c r="AIZ42" s="595"/>
      <c r="AJA42" s="595"/>
      <c r="AJB42" s="595"/>
      <c r="AJC42" s="595"/>
      <c r="AJD42" s="595"/>
      <c r="AJE42" s="595"/>
      <c r="AJF42" s="595"/>
      <c r="AJG42" s="595"/>
      <c r="AJH42" s="595"/>
      <c r="AJI42" s="595"/>
      <c r="AJJ42" s="595"/>
      <c r="AJK42" s="595"/>
      <c r="AJL42" s="595"/>
      <c r="AJM42" s="595"/>
      <c r="AJN42" s="595"/>
      <c r="AJO42" s="595"/>
      <c r="AJP42" s="595"/>
      <c r="AJQ42" s="595"/>
      <c r="AJR42" s="595"/>
      <c r="AJS42" s="595"/>
      <c r="AJT42" s="595"/>
      <c r="AJU42" s="595"/>
      <c r="AJV42" s="595"/>
      <c r="AJW42" s="595"/>
      <c r="AJX42" s="595"/>
      <c r="AJY42" s="595"/>
      <c r="AJZ42" s="595"/>
      <c r="AKA42" s="595"/>
      <c r="AKB42" s="595"/>
      <c r="AKC42" s="595"/>
      <c r="AKD42" s="595"/>
      <c r="AKE42" s="595"/>
      <c r="AKF42" s="595"/>
      <c r="AKG42" s="595"/>
      <c r="AKH42" s="595"/>
      <c r="AKI42" s="595"/>
      <c r="AKJ42" s="595"/>
      <c r="AKK42" s="595"/>
      <c r="AKL42" s="595"/>
      <c r="AKM42" s="595"/>
      <c r="AKN42" s="595"/>
      <c r="AKO42" s="595"/>
      <c r="AKP42" s="595"/>
      <c r="AKQ42" s="595"/>
      <c r="AKR42" s="595"/>
      <c r="AKS42" s="595"/>
      <c r="AKT42" s="595"/>
      <c r="AKU42" s="595"/>
      <c r="AKV42" s="595"/>
      <c r="AKW42" s="595"/>
      <c r="AKX42" s="595"/>
      <c r="AKY42" s="595"/>
      <c r="AKZ42" s="595"/>
      <c r="ALA42" s="595"/>
      <c r="ALB42" s="595"/>
      <c r="ALC42" s="595"/>
      <c r="ALD42" s="595"/>
      <c r="ALE42" s="595"/>
      <c r="ALF42" s="595"/>
      <c r="ALG42" s="595"/>
      <c r="ALH42" s="595"/>
      <c r="ALI42" s="595"/>
      <c r="ALJ42" s="595"/>
      <c r="ALK42" s="595"/>
      <c r="ALL42" s="595"/>
      <c r="ALM42" s="595"/>
      <c r="ALN42" s="595"/>
      <c r="ALO42" s="595"/>
      <c r="ALP42" s="595"/>
      <c r="ALQ42" s="595"/>
      <c r="ALR42" s="595"/>
      <c r="ALS42" s="595"/>
      <c r="ALT42" s="595"/>
      <c r="ALU42" s="595"/>
      <c r="ALV42" s="595"/>
      <c r="ALW42" s="595"/>
      <c r="ALX42" s="595"/>
      <c r="ALY42" s="595"/>
      <c r="ALZ42" s="595"/>
      <c r="AMA42" s="595"/>
      <c r="AMB42" s="595"/>
      <c r="AMC42" s="595"/>
      <c r="AMD42" s="595"/>
      <c r="AME42" s="595"/>
      <c r="AMF42" s="595"/>
      <c r="AMG42" s="595"/>
      <c r="AMH42" s="595"/>
      <c r="AMI42" s="595"/>
      <c r="AMJ42" s="595"/>
      <c r="AMK42" s="595"/>
      <c r="AML42" s="595"/>
      <c r="AMM42" s="595"/>
      <c r="AMN42" s="595"/>
      <c r="AMO42" s="595"/>
      <c r="AMP42" s="595"/>
      <c r="AMQ42" s="595"/>
      <c r="AMR42" s="595"/>
      <c r="AMS42" s="595"/>
      <c r="AMT42" s="595"/>
      <c r="AMU42" s="595"/>
      <c r="AMV42" s="595"/>
      <c r="AMW42" s="595"/>
      <c r="AMX42" s="595"/>
      <c r="AMY42" s="595"/>
      <c r="AMZ42" s="595"/>
      <c r="ANA42" s="595"/>
      <c r="ANB42" s="595"/>
      <c r="ANC42" s="595"/>
      <c r="AND42" s="595"/>
      <c r="ANE42" s="595"/>
      <c r="ANF42" s="595"/>
      <c r="ANG42" s="595"/>
      <c r="ANH42" s="595"/>
      <c r="ANI42" s="595"/>
      <c r="ANJ42" s="595"/>
      <c r="ANK42" s="595"/>
      <c r="ANL42" s="595"/>
      <c r="ANM42" s="595"/>
      <c r="ANN42" s="595"/>
      <c r="ANO42" s="595"/>
      <c r="ANP42" s="595"/>
      <c r="ANQ42" s="595"/>
      <c r="ANR42" s="595"/>
      <c r="ANS42" s="595"/>
      <c r="ANT42" s="595"/>
      <c r="ANU42" s="595"/>
      <c r="ANV42" s="595"/>
      <c r="ANW42" s="595"/>
      <c r="ANX42" s="595"/>
      <c r="ANY42" s="595"/>
      <c r="ANZ42" s="595"/>
      <c r="AOA42" s="595"/>
      <c r="AOB42" s="595"/>
      <c r="AOC42" s="595"/>
      <c r="AOD42" s="595"/>
      <c r="AOE42" s="595"/>
      <c r="AOF42" s="595"/>
      <c r="AOG42" s="595"/>
      <c r="AOH42" s="595"/>
      <c r="AOI42" s="595"/>
      <c r="AOJ42" s="595"/>
      <c r="AOK42" s="595"/>
      <c r="AOL42" s="595"/>
      <c r="AOM42" s="595"/>
      <c r="AON42" s="595"/>
      <c r="AOO42" s="595"/>
      <c r="AOP42" s="595"/>
      <c r="AOQ42" s="595"/>
      <c r="AOR42" s="595"/>
      <c r="AOS42" s="595"/>
      <c r="AOT42" s="595"/>
      <c r="AOU42" s="595"/>
      <c r="AOV42" s="595"/>
      <c r="AOW42" s="595"/>
      <c r="AOX42" s="595"/>
      <c r="AOY42" s="595"/>
      <c r="AOZ42" s="595"/>
      <c r="APA42" s="595"/>
      <c r="APB42" s="595"/>
      <c r="APC42" s="595"/>
      <c r="APD42" s="595"/>
      <c r="APE42" s="595"/>
      <c r="APF42" s="595"/>
      <c r="APG42" s="595"/>
      <c r="APH42" s="595"/>
      <c r="API42" s="595"/>
      <c r="APJ42" s="595"/>
      <c r="APK42" s="595"/>
      <c r="APL42" s="595"/>
      <c r="APM42" s="595"/>
      <c r="APN42" s="595"/>
      <c r="APO42" s="595"/>
      <c r="APP42" s="595"/>
      <c r="APQ42" s="595"/>
      <c r="APR42" s="595"/>
      <c r="APS42" s="595"/>
      <c r="APT42" s="595"/>
      <c r="APU42" s="595"/>
      <c r="APV42" s="595"/>
      <c r="APW42" s="595"/>
      <c r="APX42" s="595"/>
      <c r="APY42" s="595"/>
      <c r="APZ42" s="595"/>
      <c r="AQA42" s="595"/>
      <c r="AQB42" s="595"/>
      <c r="AQC42" s="595"/>
      <c r="AQD42" s="595"/>
      <c r="AQE42" s="595"/>
      <c r="AQF42" s="595"/>
      <c r="AQG42" s="595"/>
      <c r="AQH42" s="595"/>
      <c r="AQI42" s="595"/>
      <c r="AQJ42" s="595"/>
      <c r="AQK42" s="595"/>
      <c r="AQL42" s="595"/>
      <c r="AQM42" s="595"/>
      <c r="AQN42" s="595"/>
      <c r="AQO42" s="595"/>
      <c r="AQP42" s="595"/>
      <c r="AQQ42" s="595"/>
      <c r="AQR42" s="595"/>
      <c r="AQS42" s="595"/>
      <c r="AQT42" s="595"/>
      <c r="AQU42" s="595"/>
      <c r="AQV42" s="595"/>
      <c r="AQW42" s="595"/>
      <c r="AQX42" s="595"/>
      <c r="AQY42" s="595"/>
      <c r="AQZ42" s="595"/>
      <c r="ARA42" s="595"/>
      <c r="ARB42" s="595"/>
      <c r="ARC42" s="595"/>
      <c r="ARD42" s="595"/>
      <c r="ARE42" s="595"/>
      <c r="ARF42" s="595"/>
      <c r="ARG42" s="595"/>
      <c r="ARH42" s="595"/>
      <c r="ARI42" s="595"/>
      <c r="ARJ42" s="595"/>
      <c r="ARK42" s="595"/>
      <c r="ARL42" s="595"/>
      <c r="ARM42" s="595"/>
      <c r="ARN42" s="595"/>
      <c r="ARO42" s="595"/>
      <c r="ARP42" s="595"/>
      <c r="ARQ42" s="595"/>
      <c r="ARR42" s="595"/>
      <c r="ARS42" s="595"/>
      <c r="ART42" s="595"/>
      <c r="ARU42" s="595"/>
      <c r="ARV42" s="595"/>
      <c r="ARW42" s="595"/>
      <c r="ARX42" s="595"/>
      <c r="ARY42" s="595"/>
      <c r="ARZ42" s="595"/>
      <c r="ASA42" s="595"/>
      <c r="ASB42" s="595"/>
      <c r="ASC42" s="595"/>
      <c r="ASD42" s="595"/>
      <c r="ASE42" s="595"/>
      <c r="ASF42" s="595"/>
      <c r="ASG42" s="595"/>
      <c r="ASH42" s="595"/>
      <c r="ASI42" s="595"/>
      <c r="ASJ42" s="595"/>
      <c r="ASK42" s="595"/>
      <c r="ASL42" s="595"/>
      <c r="ASM42" s="595"/>
      <c r="ASN42" s="595"/>
      <c r="ASO42" s="595"/>
      <c r="ASP42" s="595"/>
      <c r="ASQ42" s="595"/>
      <c r="ASR42" s="595"/>
      <c r="ASS42" s="595"/>
      <c r="AST42" s="595"/>
      <c r="ASU42" s="595"/>
      <c r="ASV42" s="595"/>
      <c r="ASW42" s="595"/>
      <c r="ASX42" s="595"/>
      <c r="ASY42" s="595"/>
      <c r="ASZ42" s="595"/>
      <c r="ATA42" s="595"/>
      <c r="ATB42" s="595"/>
      <c r="ATC42" s="595"/>
      <c r="ATD42" s="595"/>
      <c r="ATE42" s="595"/>
      <c r="ATF42" s="595"/>
      <c r="ATG42" s="595"/>
      <c r="ATH42" s="595"/>
      <c r="ATI42" s="595"/>
      <c r="ATJ42" s="595"/>
      <c r="ATK42" s="595"/>
      <c r="ATL42" s="595"/>
      <c r="ATM42" s="595"/>
      <c r="ATN42" s="595"/>
      <c r="ATO42" s="595"/>
      <c r="ATP42" s="595"/>
      <c r="ATQ42" s="595"/>
      <c r="ATR42" s="595"/>
      <c r="ATS42" s="595"/>
      <c r="ATT42" s="595"/>
      <c r="ATU42" s="595"/>
      <c r="ATV42" s="595"/>
      <c r="ATW42" s="595"/>
      <c r="ATX42" s="595"/>
      <c r="ATY42" s="595"/>
      <c r="ATZ42" s="595"/>
      <c r="AUA42" s="595"/>
      <c r="AUB42" s="595"/>
      <c r="AUC42" s="595"/>
      <c r="AUD42" s="595"/>
      <c r="AUE42" s="595"/>
      <c r="AUF42" s="595"/>
      <c r="AUG42" s="595"/>
      <c r="AUH42" s="595"/>
      <c r="AUI42" s="595"/>
      <c r="AUJ42" s="595"/>
      <c r="AUK42" s="595"/>
      <c r="AUL42" s="595"/>
      <c r="AUM42" s="595"/>
      <c r="AUN42" s="595"/>
      <c r="AUO42" s="595"/>
      <c r="AUP42" s="595"/>
      <c r="AUQ42" s="595"/>
      <c r="AUR42" s="595"/>
      <c r="AUS42" s="595"/>
      <c r="AUT42" s="595"/>
      <c r="AUU42" s="595"/>
      <c r="AUV42" s="595"/>
      <c r="AUW42" s="595"/>
      <c r="AUX42" s="595"/>
      <c r="AUY42" s="595"/>
      <c r="AUZ42" s="595"/>
      <c r="AVA42" s="595"/>
      <c r="AVB42" s="595"/>
      <c r="AVC42" s="595"/>
      <c r="AVD42" s="595"/>
      <c r="AVE42" s="595"/>
      <c r="AVF42" s="595"/>
      <c r="AVG42" s="595"/>
      <c r="AVH42" s="595"/>
      <c r="AVI42" s="595"/>
      <c r="AVJ42" s="595"/>
      <c r="AVK42" s="595"/>
      <c r="AVL42" s="595"/>
      <c r="AVM42" s="595"/>
      <c r="AVN42" s="595"/>
      <c r="AVO42" s="595"/>
      <c r="AVP42" s="595"/>
      <c r="AVQ42" s="595"/>
      <c r="AVR42" s="595"/>
      <c r="AVS42" s="595"/>
      <c r="AVT42" s="595"/>
      <c r="AVU42" s="595"/>
      <c r="AVV42" s="595"/>
      <c r="AVW42" s="595"/>
      <c r="AVX42" s="595"/>
      <c r="AVY42" s="595"/>
      <c r="AVZ42" s="595"/>
      <c r="AWA42" s="595"/>
      <c r="AWB42" s="595"/>
      <c r="AWC42" s="595"/>
      <c r="AWD42" s="595"/>
      <c r="AWE42" s="595"/>
      <c r="AWF42" s="595"/>
      <c r="AWG42" s="595"/>
      <c r="AWH42" s="595"/>
      <c r="AWI42" s="595"/>
      <c r="AWJ42" s="595"/>
      <c r="AWK42" s="595"/>
      <c r="AWL42" s="595"/>
      <c r="AWM42" s="595"/>
      <c r="AWN42" s="595"/>
      <c r="AWO42" s="595"/>
      <c r="AWP42" s="595"/>
      <c r="AWQ42" s="595"/>
      <c r="AWR42" s="595"/>
      <c r="AWS42" s="595"/>
      <c r="AWT42" s="595"/>
      <c r="AWU42" s="595"/>
      <c r="AWV42" s="595"/>
      <c r="AWW42" s="595"/>
      <c r="AWX42" s="595"/>
      <c r="AWY42" s="595"/>
      <c r="AWZ42" s="595"/>
      <c r="AXA42" s="595"/>
      <c r="AXB42" s="595"/>
      <c r="AXC42" s="595"/>
      <c r="AXD42" s="595"/>
      <c r="AXE42" s="595"/>
      <c r="AXF42" s="595"/>
      <c r="AXG42" s="595"/>
      <c r="AXH42" s="595"/>
      <c r="AXI42" s="595"/>
      <c r="AXJ42" s="595"/>
      <c r="AXK42" s="595"/>
      <c r="AXL42" s="595"/>
      <c r="AXM42" s="595"/>
      <c r="AXN42" s="595"/>
      <c r="AXO42" s="595"/>
      <c r="AXP42" s="595"/>
      <c r="AXQ42" s="595"/>
      <c r="AXR42" s="595"/>
      <c r="AXS42" s="595"/>
      <c r="AXT42" s="595"/>
      <c r="AXU42" s="595"/>
      <c r="AXV42" s="595"/>
      <c r="AXW42" s="595"/>
      <c r="AXX42" s="595"/>
      <c r="AXY42" s="595"/>
      <c r="AXZ42" s="595"/>
      <c r="AYA42" s="595"/>
      <c r="AYB42" s="595"/>
      <c r="AYC42" s="595"/>
      <c r="AYD42" s="595"/>
      <c r="AYE42" s="595"/>
      <c r="AYF42" s="595"/>
      <c r="AYG42" s="595"/>
      <c r="AYH42" s="595"/>
      <c r="AYI42" s="595"/>
      <c r="AYJ42" s="595"/>
      <c r="AYK42" s="595"/>
      <c r="AYL42" s="595"/>
      <c r="AYM42" s="595"/>
      <c r="AYN42" s="595"/>
      <c r="AYO42" s="595"/>
      <c r="AYP42" s="595"/>
      <c r="AYQ42" s="595"/>
      <c r="AYR42" s="595"/>
      <c r="AYS42" s="595"/>
      <c r="AYT42" s="595"/>
      <c r="AYU42" s="595"/>
      <c r="AYV42" s="595"/>
      <c r="AYW42" s="595"/>
      <c r="AYX42" s="595"/>
      <c r="AYY42" s="595"/>
      <c r="AYZ42" s="595"/>
      <c r="AZA42" s="595"/>
      <c r="AZB42" s="595"/>
      <c r="AZC42" s="595"/>
      <c r="AZD42" s="595"/>
      <c r="AZE42" s="595"/>
      <c r="AZF42" s="595"/>
      <c r="AZG42" s="595"/>
      <c r="AZH42" s="595"/>
      <c r="AZI42" s="595"/>
      <c r="AZJ42" s="595"/>
      <c r="AZK42" s="595"/>
      <c r="AZL42" s="595"/>
      <c r="AZM42" s="595"/>
      <c r="AZN42" s="595"/>
      <c r="AZO42" s="595"/>
      <c r="AZP42" s="595"/>
      <c r="AZQ42" s="595"/>
      <c r="AZR42" s="595"/>
      <c r="AZS42" s="595"/>
      <c r="AZT42" s="595"/>
      <c r="AZU42" s="595"/>
      <c r="AZV42" s="595"/>
      <c r="AZW42" s="595"/>
      <c r="AZX42" s="595"/>
      <c r="AZY42" s="595"/>
      <c r="AZZ42" s="595"/>
      <c r="BAA42" s="595"/>
      <c r="BAB42" s="595"/>
      <c r="BAC42" s="595"/>
      <c r="BAD42" s="595"/>
      <c r="BAE42" s="595"/>
      <c r="BAF42" s="595"/>
      <c r="BAG42" s="595"/>
      <c r="BAH42" s="595"/>
      <c r="BAI42" s="595"/>
      <c r="BAJ42" s="595"/>
      <c r="BAK42" s="595"/>
      <c r="BAL42" s="595"/>
      <c r="BAM42" s="595"/>
      <c r="BAN42" s="595"/>
      <c r="BAO42" s="595"/>
      <c r="BAP42" s="595"/>
      <c r="BAQ42" s="595"/>
      <c r="BAR42" s="595"/>
      <c r="BAS42" s="595"/>
      <c r="BAT42" s="595"/>
      <c r="BAU42" s="595"/>
      <c r="BAV42" s="595"/>
      <c r="BAW42" s="595"/>
      <c r="BAX42" s="595"/>
      <c r="BAY42" s="595"/>
      <c r="BAZ42" s="595"/>
      <c r="BBA42" s="595"/>
      <c r="BBB42" s="595"/>
      <c r="BBC42" s="595"/>
      <c r="BBD42" s="595"/>
      <c r="BBE42" s="595"/>
      <c r="BBF42" s="595"/>
      <c r="BBG42" s="595"/>
      <c r="BBH42" s="595"/>
      <c r="BBI42" s="595"/>
      <c r="BBJ42" s="595"/>
      <c r="BBK42" s="595"/>
      <c r="BBL42" s="595"/>
      <c r="BBM42" s="595"/>
      <c r="BBN42" s="595"/>
      <c r="BBO42" s="595"/>
      <c r="BBP42" s="595"/>
      <c r="BBQ42" s="595"/>
      <c r="BBR42" s="595"/>
      <c r="BBS42" s="595"/>
      <c r="BBT42" s="595"/>
      <c r="BBU42" s="595"/>
      <c r="BBV42" s="595"/>
      <c r="BBW42" s="595"/>
      <c r="BBX42" s="595"/>
      <c r="BBY42" s="595"/>
      <c r="BBZ42" s="595"/>
      <c r="BCA42" s="595"/>
      <c r="BCB42" s="595"/>
      <c r="BCC42" s="595"/>
      <c r="BCD42" s="595"/>
      <c r="BCE42" s="595"/>
      <c r="BCF42" s="595"/>
      <c r="BCG42" s="595"/>
      <c r="BCH42" s="595"/>
      <c r="BCI42" s="595"/>
      <c r="BCJ42" s="595"/>
      <c r="BCK42" s="595"/>
      <c r="BCL42" s="595"/>
      <c r="BCM42" s="595"/>
      <c r="BCN42" s="595"/>
      <c r="BCO42" s="595"/>
      <c r="BCP42" s="595"/>
      <c r="BCQ42" s="595"/>
      <c r="BCR42" s="595"/>
      <c r="BCS42" s="595"/>
      <c r="BCT42" s="595"/>
      <c r="BCU42" s="595"/>
      <c r="BCV42" s="595"/>
      <c r="BCW42" s="595"/>
      <c r="BCX42" s="595"/>
      <c r="BCY42" s="595"/>
      <c r="BCZ42" s="595"/>
      <c r="BDA42" s="595"/>
      <c r="BDB42" s="595"/>
      <c r="BDC42" s="595"/>
      <c r="BDD42" s="595"/>
      <c r="BDE42" s="595"/>
      <c r="BDF42" s="595"/>
      <c r="BDG42" s="595"/>
      <c r="BDH42" s="595"/>
      <c r="BDI42" s="595"/>
      <c r="BDJ42" s="595"/>
      <c r="BDK42" s="595"/>
      <c r="BDL42" s="595"/>
      <c r="BDM42" s="595"/>
      <c r="BDN42" s="595"/>
      <c r="BDO42" s="595"/>
      <c r="BDP42" s="595"/>
      <c r="BDQ42" s="595"/>
      <c r="BDR42" s="595"/>
      <c r="BDS42" s="595"/>
      <c r="BDT42" s="595"/>
      <c r="BDU42" s="595"/>
      <c r="BDV42" s="595"/>
      <c r="BDW42" s="595"/>
      <c r="BDX42" s="595"/>
      <c r="BDY42" s="595"/>
      <c r="BDZ42" s="595"/>
      <c r="BEA42" s="595"/>
      <c r="BEB42" s="595"/>
      <c r="BEC42" s="595"/>
      <c r="BED42" s="595"/>
      <c r="BEE42" s="595"/>
      <c r="BEF42" s="595"/>
      <c r="BEG42" s="595"/>
      <c r="BEH42" s="595"/>
      <c r="BEI42" s="595"/>
      <c r="BEJ42" s="595"/>
      <c r="BEK42" s="595"/>
      <c r="BEL42" s="595"/>
      <c r="BEM42" s="595"/>
      <c r="BEN42" s="595"/>
      <c r="BEO42" s="595"/>
      <c r="BEP42" s="595"/>
      <c r="BEQ42" s="595"/>
      <c r="BER42" s="595"/>
      <c r="BES42" s="595"/>
      <c r="BET42" s="595"/>
      <c r="BEU42" s="595"/>
      <c r="BEV42" s="595"/>
      <c r="BEW42" s="595"/>
      <c r="BEX42" s="595"/>
      <c r="BEY42" s="595"/>
      <c r="BEZ42" s="595"/>
      <c r="BFA42" s="595"/>
      <c r="BFB42" s="595"/>
      <c r="BFC42" s="595"/>
      <c r="BFD42" s="595"/>
      <c r="BFE42" s="595"/>
      <c r="BFF42" s="595"/>
      <c r="BFG42" s="595"/>
      <c r="BFH42" s="595"/>
      <c r="BFI42" s="595"/>
      <c r="BFJ42" s="595"/>
      <c r="BFK42" s="595"/>
      <c r="BFL42" s="595"/>
      <c r="BFM42" s="595"/>
      <c r="BFN42" s="595"/>
      <c r="BFO42" s="595"/>
      <c r="BFP42" s="595"/>
      <c r="BFQ42" s="595"/>
      <c r="BFR42" s="595"/>
      <c r="BFS42" s="595"/>
      <c r="BFT42" s="595"/>
      <c r="BFU42" s="595"/>
      <c r="BFV42" s="595"/>
      <c r="BFW42" s="595"/>
      <c r="BFX42" s="595"/>
      <c r="BFY42" s="595"/>
      <c r="BFZ42" s="595"/>
      <c r="BGA42" s="595"/>
      <c r="BGB42" s="595"/>
      <c r="BGC42" s="595"/>
      <c r="BGD42" s="595"/>
      <c r="BGE42" s="595"/>
      <c r="BGF42" s="595"/>
      <c r="BGG42" s="595"/>
      <c r="BGH42" s="595"/>
      <c r="BGI42" s="595"/>
      <c r="BGJ42" s="595"/>
      <c r="BGK42" s="595"/>
      <c r="BGL42" s="595"/>
      <c r="BGM42" s="595"/>
      <c r="BGN42" s="595"/>
      <c r="BGO42" s="595"/>
      <c r="BGP42" s="595"/>
      <c r="BGQ42" s="595"/>
      <c r="BGR42" s="595"/>
      <c r="BGS42" s="595"/>
      <c r="BGT42" s="595"/>
      <c r="BGU42" s="595"/>
      <c r="BGV42" s="595"/>
      <c r="BGW42" s="595"/>
      <c r="BGX42" s="595"/>
      <c r="BGY42" s="595"/>
      <c r="BGZ42" s="595"/>
      <c r="BHA42" s="595"/>
      <c r="BHB42" s="595"/>
      <c r="BHC42" s="595"/>
      <c r="BHD42" s="595"/>
      <c r="BHE42" s="595"/>
      <c r="BHF42" s="595"/>
      <c r="BHG42" s="595"/>
      <c r="BHH42" s="595"/>
      <c r="BHI42" s="595"/>
      <c r="BHJ42" s="595"/>
      <c r="BHK42" s="595"/>
      <c r="BHL42" s="595"/>
      <c r="BHM42" s="595"/>
      <c r="BHN42" s="595"/>
      <c r="BHO42" s="595"/>
      <c r="BHP42" s="595"/>
      <c r="BHQ42" s="595"/>
      <c r="BHR42" s="595"/>
      <c r="BHS42" s="595"/>
      <c r="BHT42" s="595"/>
      <c r="BHU42" s="595"/>
      <c r="BHV42" s="595"/>
      <c r="BHW42" s="595"/>
      <c r="BHX42" s="595"/>
      <c r="BHY42" s="595"/>
      <c r="BHZ42" s="595"/>
      <c r="BIA42" s="595"/>
      <c r="BIB42" s="595"/>
      <c r="BIC42" s="595"/>
      <c r="BID42" s="595"/>
      <c r="BIE42" s="595"/>
      <c r="BIF42" s="595"/>
      <c r="BIG42" s="595"/>
      <c r="BIH42" s="595"/>
      <c r="BII42" s="595"/>
      <c r="BIJ42" s="595"/>
      <c r="BIK42" s="595"/>
      <c r="BIL42" s="595"/>
      <c r="BIM42" s="595"/>
      <c r="BIN42" s="595"/>
      <c r="BIO42" s="595"/>
      <c r="BIP42" s="595"/>
      <c r="BIQ42" s="595"/>
      <c r="BIR42" s="595"/>
      <c r="BIS42" s="595"/>
      <c r="BIT42" s="595"/>
      <c r="BIU42" s="595"/>
      <c r="BIV42" s="595"/>
      <c r="BIW42" s="595"/>
      <c r="BIX42" s="595"/>
      <c r="BIY42" s="595"/>
      <c r="BIZ42" s="595"/>
      <c r="BJA42" s="595"/>
      <c r="BJB42" s="595"/>
      <c r="BJC42" s="595"/>
      <c r="BJD42" s="595"/>
      <c r="BJE42" s="595"/>
      <c r="BJF42" s="595"/>
      <c r="BJG42" s="595"/>
      <c r="BJH42" s="595"/>
      <c r="BJI42" s="595"/>
      <c r="BJJ42" s="595"/>
      <c r="BJK42" s="595"/>
      <c r="BJL42" s="595"/>
      <c r="BJM42" s="595"/>
      <c r="BJN42" s="595"/>
      <c r="BJO42" s="595"/>
      <c r="BJP42" s="595"/>
      <c r="BJQ42" s="595"/>
      <c r="BJR42" s="595"/>
      <c r="BJS42" s="595"/>
      <c r="BJT42" s="595"/>
      <c r="BJU42" s="595"/>
      <c r="BJV42" s="595"/>
      <c r="BJW42" s="595"/>
      <c r="BJX42" s="595"/>
      <c r="BJY42" s="595"/>
      <c r="BJZ42" s="595"/>
      <c r="BKA42" s="595"/>
      <c r="BKB42" s="595"/>
      <c r="BKC42" s="595"/>
      <c r="BKD42" s="595"/>
      <c r="BKE42" s="595"/>
      <c r="BKF42" s="595"/>
      <c r="BKG42" s="595"/>
      <c r="BKH42" s="595"/>
      <c r="BKI42" s="595"/>
      <c r="BKJ42" s="595"/>
      <c r="BKK42" s="595"/>
      <c r="BKL42" s="595"/>
      <c r="BKM42" s="595"/>
      <c r="BKN42" s="595"/>
      <c r="BKO42" s="595"/>
      <c r="BKP42" s="595"/>
      <c r="BKQ42" s="595"/>
      <c r="BKR42" s="595"/>
      <c r="BKS42" s="595"/>
      <c r="BKT42" s="595"/>
      <c r="BKU42" s="595"/>
      <c r="BKV42" s="595"/>
      <c r="BKW42" s="595"/>
      <c r="BKX42" s="595"/>
      <c r="BKY42" s="595"/>
      <c r="BKZ42" s="595"/>
      <c r="BLA42" s="595"/>
      <c r="BLB42" s="595"/>
      <c r="BLC42" s="595"/>
      <c r="BLD42" s="595"/>
      <c r="BLE42" s="595"/>
      <c r="BLF42" s="595"/>
      <c r="BLG42" s="595"/>
      <c r="BLH42" s="595"/>
      <c r="BLI42" s="595"/>
      <c r="BLJ42" s="595"/>
      <c r="BLK42" s="595"/>
      <c r="BLL42" s="595"/>
      <c r="BLM42" s="595"/>
      <c r="BLN42" s="595"/>
      <c r="BLO42" s="595"/>
      <c r="BLP42" s="595"/>
      <c r="BLQ42" s="595"/>
      <c r="BLR42" s="595"/>
      <c r="BLS42" s="595"/>
      <c r="BLT42" s="595"/>
      <c r="BLU42" s="595"/>
      <c r="BLV42" s="595"/>
      <c r="BLW42" s="595"/>
      <c r="BLX42" s="595"/>
      <c r="BLY42" s="595"/>
      <c r="BLZ42" s="595"/>
      <c r="BMA42" s="595"/>
      <c r="BMB42" s="595"/>
      <c r="BMC42" s="595"/>
      <c r="BMD42" s="595"/>
      <c r="BME42" s="595"/>
      <c r="BMF42" s="595"/>
      <c r="BMG42" s="595"/>
      <c r="BMH42" s="595"/>
      <c r="BMI42" s="595"/>
      <c r="BMJ42" s="595"/>
      <c r="BMK42" s="595"/>
      <c r="BML42" s="595"/>
      <c r="BMM42" s="595"/>
      <c r="BMN42" s="595"/>
      <c r="BMO42" s="595"/>
      <c r="BMP42" s="595"/>
      <c r="BMQ42" s="595"/>
      <c r="BMR42" s="595"/>
      <c r="BMS42" s="595"/>
      <c r="BMT42" s="595"/>
      <c r="BMU42" s="595"/>
      <c r="BMV42" s="595"/>
      <c r="BMW42" s="595"/>
      <c r="BMX42" s="595"/>
      <c r="BMY42" s="595"/>
      <c r="BMZ42" s="595"/>
      <c r="BNA42" s="595"/>
      <c r="BNB42" s="595"/>
      <c r="BNC42" s="595"/>
      <c r="BND42" s="595"/>
      <c r="BNE42" s="595"/>
      <c r="BNF42" s="595"/>
      <c r="BNG42" s="595"/>
      <c r="BNH42" s="595"/>
      <c r="BNI42" s="595"/>
      <c r="BNJ42" s="595"/>
      <c r="BNK42" s="595"/>
      <c r="BNL42" s="595"/>
      <c r="BNM42" s="595"/>
      <c r="BNN42" s="595"/>
      <c r="BNO42" s="595"/>
      <c r="BNP42" s="595"/>
      <c r="BNQ42" s="595"/>
      <c r="BNR42" s="595"/>
      <c r="BNS42" s="595"/>
      <c r="BNT42" s="595"/>
      <c r="BNU42" s="595"/>
      <c r="BNV42" s="595"/>
      <c r="BNW42" s="595"/>
      <c r="BNX42" s="595"/>
      <c r="BNY42" s="595"/>
      <c r="BNZ42" s="595"/>
      <c r="BOA42" s="595"/>
      <c r="BOB42" s="595"/>
      <c r="BOC42" s="595"/>
      <c r="BOD42" s="595"/>
      <c r="BOE42" s="595"/>
      <c r="BOF42" s="595"/>
      <c r="BOG42" s="595"/>
      <c r="BOH42" s="595"/>
      <c r="BOI42" s="595"/>
      <c r="BOJ42" s="595"/>
      <c r="BOK42" s="595"/>
      <c r="BOL42" s="595"/>
      <c r="BOM42" s="595"/>
      <c r="BON42" s="595"/>
      <c r="BOO42" s="595"/>
      <c r="BOP42" s="595"/>
      <c r="BOQ42" s="595"/>
      <c r="BOR42" s="595"/>
      <c r="BOS42" s="595"/>
      <c r="BOT42" s="595"/>
      <c r="BOU42" s="595"/>
      <c r="BOV42" s="595"/>
      <c r="BOW42" s="595"/>
      <c r="BOX42" s="595"/>
      <c r="BOY42" s="595"/>
      <c r="BOZ42" s="595"/>
      <c r="BPA42" s="595"/>
      <c r="BPB42" s="595"/>
      <c r="BPC42" s="595"/>
      <c r="BPD42" s="595"/>
      <c r="BPE42" s="595"/>
      <c r="BPF42" s="595"/>
      <c r="BPG42" s="595"/>
      <c r="BPH42" s="595"/>
      <c r="BPI42" s="595"/>
      <c r="BPJ42" s="595"/>
      <c r="BPK42" s="595"/>
      <c r="BPL42" s="595"/>
      <c r="BPM42" s="595"/>
      <c r="BPN42" s="595"/>
      <c r="BPO42" s="595"/>
      <c r="BPP42" s="595"/>
      <c r="BPQ42" s="595"/>
      <c r="BPR42" s="595"/>
      <c r="BPS42" s="595"/>
      <c r="BPT42" s="595"/>
      <c r="BPU42" s="595"/>
      <c r="BPV42" s="595"/>
      <c r="BPW42" s="595"/>
      <c r="BPX42" s="595"/>
      <c r="BPY42" s="595"/>
      <c r="BPZ42" s="595"/>
      <c r="BQA42" s="595"/>
      <c r="BQB42" s="595"/>
      <c r="BQC42" s="595"/>
      <c r="BQD42" s="595"/>
      <c r="BQE42" s="595"/>
      <c r="BQF42" s="595"/>
      <c r="BQG42" s="595"/>
      <c r="BQH42" s="595"/>
      <c r="BQI42" s="595"/>
      <c r="BQJ42" s="595"/>
      <c r="BQK42" s="595"/>
      <c r="BQL42" s="595"/>
      <c r="BQM42" s="595"/>
      <c r="BQN42" s="595"/>
      <c r="BQO42" s="595"/>
      <c r="BQP42" s="595"/>
      <c r="BQQ42" s="595"/>
      <c r="BQR42" s="595"/>
      <c r="BQS42" s="595"/>
      <c r="BQT42" s="595"/>
      <c r="BQU42" s="595"/>
      <c r="BQV42" s="595"/>
      <c r="BQW42" s="595"/>
      <c r="BQX42" s="595"/>
      <c r="BQY42" s="595"/>
      <c r="BQZ42" s="595"/>
      <c r="BRA42" s="595"/>
      <c r="BRB42" s="595"/>
      <c r="BRC42" s="595"/>
      <c r="BRD42" s="595"/>
      <c r="BRE42" s="595"/>
      <c r="BRF42" s="595"/>
      <c r="BRG42" s="595"/>
      <c r="BRH42" s="595"/>
      <c r="BRI42" s="595"/>
      <c r="BRJ42" s="595"/>
      <c r="BRK42" s="595"/>
      <c r="BRL42" s="595"/>
      <c r="BRM42" s="595"/>
      <c r="BRN42" s="595"/>
      <c r="BRO42" s="595"/>
      <c r="BRP42" s="595"/>
      <c r="BRQ42" s="595"/>
      <c r="BRR42" s="595"/>
      <c r="BRS42" s="595"/>
      <c r="BRT42" s="595"/>
      <c r="BRU42" s="595"/>
      <c r="BRV42" s="595"/>
      <c r="BRW42" s="595"/>
      <c r="BRX42" s="595"/>
      <c r="BRY42" s="595"/>
      <c r="BRZ42" s="595"/>
      <c r="BSA42" s="595"/>
      <c r="BSB42" s="595"/>
      <c r="BSC42" s="595"/>
      <c r="BSD42" s="595"/>
      <c r="BSE42" s="595"/>
      <c r="BSF42" s="595"/>
      <c r="BSG42" s="595"/>
      <c r="BSH42" s="595"/>
      <c r="BSI42" s="595"/>
      <c r="BSJ42" s="595"/>
      <c r="BSK42" s="595"/>
      <c r="BSL42" s="595"/>
      <c r="BSM42" s="595"/>
      <c r="BSN42" s="595"/>
      <c r="BSO42" s="595"/>
      <c r="BSP42" s="595"/>
      <c r="BSQ42" s="595"/>
      <c r="BSR42" s="595"/>
      <c r="BSS42" s="595"/>
      <c r="BST42" s="595"/>
      <c r="BSU42" s="595"/>
      <c r="BSV42" s="595"/>
      <c r="BSW42" s="595"/>
      <c r="BSX42" s="595"/>
      <c r="BSY42" s="595"/>
      <c r="BSZ42" s="595"/>
      <c r="BTA42" s="595"/>
      <c r="BTB42" s="595"/>
      <c r="BTC42" s="595"/>
      <c r="BTD42" s="595"/>
      <c r="BTE42" s="595"/>
      <c r="BTF42" s="595"/>
      <c r="BTG42" s="595"/>
      <c r="BTH42" s="595"/>
      <c r="BTI42" s="595"/>
      <c r="BTJ42" s="595"/>
      <c r="BTK42" s="595"/>
      <c r="BTL42" s="595"/>
      <c r="BTM42" s="595"/>
      <c r="BTN42" s="595"/>
      <c r="BTO42" s="595"/>
      <c r="BTP42" s="595"/>
      <c r="BTQ42" s="595"/>
      <c r="BTR42" s="595"/>
      <c r="BTS42" s="595"/>
      <c r="BTT42" s="595"/>
      <c r="BTU42" s="595"/>
      <c r="BTV42" s="595"/>
      <c r="BTW42" s="595"/>
      <c r="BTX42" s="595"/>
      <c r="BTY42" s="595"/>
      <c r="BTZ42" s="595"/>
      <c r="BUA42" s="595"/>
      <c r="BUB42" s="595"/>
      <c r="BUC42" s="595"/>
      <c r="BUD42" s="595"/>
      <c r="BUE42" s="595"/>
      <c r="BUF42" s="595"/>
      <c r="BUG42" s="595"/>
      <c r="BUH42" s="595"/>
      <c r="BUI42" s="595"/>
      <c r="BUJ42" s="595"/>
      <c r="BUK42" s="595"/>
      <c r="BUL42" s="595"/>
      <c r="BUM42" s="595"/>
      <c r="BUN42" s="595"/>
      <c r="BUO42" s="595"/>
      <c r="BUP42" s="595"/>
      <c r="BUQ42" s="595"/>
      <c r="BUR42" s="595"/>
      <c r="BUS42" s="595"/>
      <c r="BUT42" s="595"/>
      <c r="BUU42" s="595"/>
      <c r="BUV42" s="595"/>
      <c r="BUW42" s="595"/>
      <c r="BUX42" s="595"/>
      <c r="BUY42" s="595"/>
      <c r="BUZ42" s="595"/>
      <c r="BVA42" s="595"/>
      <c r="BVB42" s="595"/>
      <c r="BVC42" s="595"/>
      <c r="BVD42" s="595"/>
      <c r="BVE42" s="595"/>
      <c r="BVF42" s="595"/>
      <c r="BVG42" s="595"/>
      <c r="BVH42" s="595"/>
      <c r="BVI42" s="595"/>
      <c r="BVJ42" s="595"/>
      <c r="BVK42" s="595"/>
      <c r="BVL42" s="595"/>
      <c r="BVM42" s="595"/>
      <c r="BVN42" s="595"/>
      <c r="BVO42" s="595"/>
      <c r="BVP42" s="595"/>
      <c r="BVQ42" s="595"/>
      <c r="BVR42" s="595"/>
      <c r="BVS42" s="595"/>
      <c r="BVT42" s="595"/>
      <c r="BVU42" s="595"/>
      <c r="BVV42" s="595"/>
      <c r="BVW42" s="595"/>
      <c r="BVX42" s="595"/>
      <c r="BVY42" s="595"/>
      <c r="BVZ42" s="595"/>
      <c r="BWA42" s="595"/>
      <c r="BWB42" s="595"/>
      <c r="BWC42" s="595"/>
      <c r="BWD42" s="595"/>
      <c r="BWE42" s="595"/>
      <c r="BWF42" s="595"/>
      <c r="BWG42" s="595"/>
      <c r="BWH42" s="595"/>
      <c r="BWI42" s="595"/>
      <c r="BWJ42" s="595"/>
      <c r="BWK42" s="595"/>
      <c r="BWL42" s="595"/>
      <c r="BWM42" s="595"/>
      <c r="BWN42" s="595"/>
      <c r="BWO42" s="595"/>
      <c r="BWP42" s="595"/>
      <c r="BWQ42" s="595"/>
      <c r="BWR42" s="595"/>
      <c r="BWS42" s="595"/>
      <c r="BWT42" s="595"/>
      <c r="BWU42" s="595"/>
      <c r="BWV42" s="595"/>
      <c r="BWW42" s="595"/>
      <c r="BWX42" s="595"/>
      <c r="BWY42" s="595"/>
      <c r="BWZ42" s="595"/>
      <c r="BXA42" s="595"/>
      <c r="BXB42" s="595"/>
      <c r="BXC42" s="595"/>
      <c r="BXD42" s="595"/>
      <c r="BXE42" s="595"/>
      <c r="BXF42" s="595"/>
      <c r="BXG42" s="595"/>
      <c r="BXH42" s="595"/>
      <c r="BXI42" s="595"/>
      <c r="BXJ42" s="595"/>
      <c r="BXK42" s="595"/>
      <c r="BXL42" s="595"/>
      <c r="BXM42" s="595"/>
      <c r="BXN42" s="595"/>
      <c r="BXO42" s="595"/>
      <c r="BXP42" s="595"/>
      <c r="BXQ42" s="595"/>
      <c r="BXR42" s="595"/>
      <c r="BXS42" s="595"/>
      <c r="BXT42" s="595"/>
      <c r="BXU42" s="595"/>
      <c r="BXV42" s="595"/>
      <c r="BXW42" s="595"/>
      <c r="BXX42" s="595"/>
      <c r="BXY42" s="595"/>
      <c r="BXZ42" s="595"/>
      <c r="BYA42" s="595"/>
      <c r="BYB42" s="595"/>
      <c r="BYC42" s="595"/>
      <c r="BYD42" s="595"/>
      <c r="BYE42" s="595"/>
      <c r="BYF42" s="595"/>
      <c r="BYG42" s="595"/>
      <c r="BYH42" s="595"/>
      <c r="BYI42" s="595"/>
      <c r="BYJ42" s="595"/>
      <c r="BYK42" s="595"/>
      <c r="BYL42" s="595"/>
      <c r="BYM42" s="595"/>
      <c r="BYN42" s="595"/>
      <c r="BYO42" s="595"/>
      <c r="BYP42" s="595"/>
      <c r="BYQ42" s="595"/>
      <c r="BYR42" s="595"/>
      <c r="BYS42" s="595"/>
      <c r="BYT42" s="595"/>
      <c r="BYU42" s="595"/>
      <c r="BYV42" s="595"/>
      <c r="BYW42" s="595"/>
      <c r="BYX42" s="595"/>
      <c r="BYY42" s="595"/>
      <c r="BYZ42" s="595"/>
      <c r="BZA42" s="595"/>
      <c r="BZB42" s="595"/>
      <c r="BZC42" s="595"/>
      <c r="BZD42" s="595"/>
      <c r="BZE42" s="595"/>
      <c r="BZF42" s="595"/>
      <c r="BZG42" s="595"/>
      <c r="BZH42" s="595"/>
      <c r="BZI42" s="595"/>
      <c r="BZJ42" s="595"/>
      <c r="BZK42" s="595"/>
      <c r="BZL42" s="595"/>
      <c r="BZM42" s="595"/>
      <c r="BZN42" s="595"/>
      <c r="BZO42" s="595"/>
      <c r="BZP42" s="595"/>
      <c r="BZQ42" s="595"/>
      <c r="BZR42" s="595"/>
      <c r="BZS42" s="595"/>
      <c r="BZT42" s="595"/>
      <c r="BZU42" s="595"/>
      <c r="BZV42" s="595"/>
      <c r="BZW42" s="595"/>
      <c r="BZX42" s="595"/>
      <c r="BZY42" s="595"/>
      <c r="BZZ42" s="595"/>
      <c r="CAA42" s="595"/>
      <c r="CAB42" s="595"/>
      <c r="CAC42" s="595"/>
      <c r="CAD42" s="595"/>
      <c r="CAE42" s="595"/>
      <c r="CAF42" s="595"/>
      <c r="CAG42" s="595"/>
      <c r="CAH42" s="595"/>
      <c r="CAI42" s="595"/>
      <c r="CAJ42" s="595"/>
      <c r="CAK42" s="595"/>
      <c r="CAL42" s="595"/>
      <c r="CAM42" s="595"/>
      <c r="CAN42" s="595"/>
      <c r="CAO42" s="595"/>
      <c r="CAP42" s="595"/>
      <c r="CAQ42" s="595"/>
      <c r="CAR42" s="595"/>
      <c r="CAS42" s="595"/>
      <c r="CAT42" s="595"/>
      <c r="CAU42" s="595"/>
      <c r="CAV42" s="595"/>
      <c r="CAW42" s="595"/>
      <c r="CAX42" s="595"/>
      <c r="CAY42" s="595"/>
      <c r="CAZ42" s="595"/>
      <c r="CBA42" s="595"/>
      <c r="CBB42" s="595"/>
      <c r="CBC42" s="595"/>
      <c r="CBD42" s="595"/>
      <c r="CBE42" s="595"/>
      <c r="CBF42" s="595"/>
      <c r="CBG42" s="595"/>
      <c r="CBH42" s="595"/>
      <c r="CBI42" s="595"/>
      <c r="CBJ42" s="595"/>
      <c r="CBK42" s="595"/>
      <c r="CBL42" s="595"/>
      <c r="CBM42" s="595"/>
      <c r="CBN42" s="595"/>
      <c r="CBO42" s="595"/>
      <c r="CBP42" s="595"/>
      <c r="CBQ42" s="595"/>
      <c r="CBR42" s="595"/>
      <c r="CBS42" s="595"/>
      <c r="CBT42" s="595"/>
      <c r="CBU42" s="595"/>
      <c r="CBV42" s="595"/>
      <c r="CBW42" s="595"/>
      <c r="CBX42" s="595"/>
      <c r="CBY42" s="595"/>
      <c r="CBZ42" s="595"/>
      <c r="CCA42" s="595"/>
      <c r="CCB42" s="595"/>
      <c r="CCC42" s="595"/>
      <c r="CCD42" s="595"/>
      <c r="CCE42" s="595"/>
      <c r="CCF42" s="595"/>
      <c r="CCG42" s="595"/>
      <c r="CCH42" s="595"/>
      <c r="CCI42" s="595"/>
      <c r="CCJ42" s="595"/>
      <c r="CCK42" s="595"/>
      <c r="CCL42" s="595"/>
      <c r="CCM42" s="595"/>
      <c r="CCN42" s="595"/>
      <c r="CCO42" s="595"/>
      <c r="CCP42" s="595"/>
      <c r="CCQ42" s="595"/>
      <c r="CCR42" s="595"/>
      <c r="CCS42" s="595"/>
      <c r="CCT42" s="595"/>
      <c r="CCU42" s="595"/>
      <c r="CCV42" s="595"/>
      <c r="CCW42" s="595"/>
      <c r="CCX42" s="595"/>
      <c r="CCY42" s="595"/>
      <c r="CCZ42" s="595"/>
      <c r="CDA42" s="595"/>
      <c r="CDB42" s="595"/>
      <c r="CDC42" s="595"/>
      <c r="CDD42" s="595"/>
      <c r="CDE42" s="595"/>
      <c r="CDF42" s="595"/>
      <c r="CDG42" s="595"/>
      <c r="CDH42" s="595"/>
      <c r="CDI42" s="595"/>
      <c r="CDJ42" s="595"/>
      <c r="CDK42" s="595"/>
      <c r="CDL42" s="595"/>
      <c r="CDM42" s="595"/>
      <c r="CDN42" s="595"/>
      <c r="CDO42" s="595"/>
      <c r="CDP42" s="595"/>
      <c r="CDQ42" s="595"/>
      <c r="CDR42" s="595"/>
      <c r="CDS42" s="595"/>
      <c r="CDT42" s="595"/>
      <c r="CDU42" s="595"/>
      <c r="CDV42" s="595"/>
      <c r="CDW42" s="595"/>
      <c r="CDX42" s="595"/>
      <c r="CDY42" s="595"/>
      <c r="CDZ42" s="595"/>
      <c r="CEA42" s="595"/>
      <c r="CEB42" s="595"/>
      <c r="CEC42" s="595"/>
      <c r="CED42" s="595"/>
      <c r="CEE42" s="595"/>
      <c r="CEF42" s="595"/>
      <c r="CEG42" s="595"/>
      <c r="CEH42" s="595"/>
      <c r="CEI42" s="595"/>
      <c r="CEJ42" s="595"/>
      <c r="CEK42" s="595"/>
      <c r="CEL42" s="595"/>
      <c r="CEM42" s="595"/>
      <c r="CEN42" s="595"/>
      <c r="CEO42" s="595"/>
      <c r="CEP42" s="595"/>
      <c r="CEQ42" s="595"/>
      <c r="CER42" s="595"/>
      <c r="CES42" s="595"/>
      <c r="CET42" s="595"/>
      <c r="CEU42" s="595"/>
      <c r="CEV42" s="595"/>
      <c r="CEW42" s="595"/>
      <c r="CEX42" s="595"/>
      <c r="CEY42" s="595"/>
      <c r="CEZ42" s="595"/>
      <c r="CFA42" s="595"/>
      <c r="CFB42" s="595"/>
      <c r="CFC42" s="595"/>
      <c r="CFD42" s="595"/>
      <c r="CFE42" s="595"/>
      <c r="CFF42" s="595"/>
      <c r="CFG42" s="595"/>
      <c r="CFH42" s="595"/>
      <c r="CFI42" s="595"/>
      <c r="CFJ42" s="595"/>
      <c r="CFK42" s="595"/>
      <c r="CFL42" s="595"/>
      <c r="CFM42" s="595"/>
      <c r="CFN42" s="595"/>
      <c r="CFO42" s="595"/>
      <c r="CFP42" s="595"/>
      <c r="CFQ42" s="595"/>
      <c r="CFR42" s="595"/>
      <c r="CFS42" s="595"/>
      <c r="CFT42" s="595"/>
      <c r="CFU42" s="595"/>
      <c r="CFV42" s="595"/>
      <c r="CFW42" s="595"/>
      <c r="CFX42" s="595"/>
      <c r="CFY42" s="595"/>
      <c r="CFZ42" s="595"/>
      <c r="CGA42" s="595"/>
      <c r="CGB42" s="595"/>
      <c r="CGC42" s="595"/>
      <c r="CGD42" s="595"/>
      <c r="CGE42" s="595"/>
      <c r="CGF42" s="595"/>
      <c r="CGG42" s="595"/>
      <c r="CGH42" s="595"/>
      <c r="CGI42" s="595"/>
      <c r="CGJ42" s="595"/>
      <c r="CGK42" s="595"/>
      <c r="CGL42" s="595"/>
      <c r="CGM42" s="595"/>
      <c r="CGN42" s="595"/>
      <c r="CGO42" s="595"/>
      <c r="CGP42" s="595"/>
      <c r="CGQ42" s="595"/>
      <c r="CGR42" s="595"/>
      <c r="CGS42" s="595"/>
      <c r="CGT42" s="595"/>
      <c r="CGU42" s="595"/>
      <c r="CGV42" s="595"/>
      <c r="CGW42" s="595"/>
      <c r="CGX42" s="595"/>
      <c r="CGY42" s="595"/>
      <c r="CGZ42" s="595"/>
      <c r="CHA42" s="595"/>
      <c r="CHB42" s="595"/>
      <c r="CHC42" s="595"/>
      <c r="CHD42" s="595"/>
      <c r="CHE42" s="595"/>
      <c r="CHF42" s="595"/>
      <c r="CHG42" s="595"/>
      <c r="CHH42" s="595"/>
      <c r="CHI42" s="595"/>
      <c r="CHJ42" s="595"/>
      <c r="CHK42" s="595"/>
      <c r="CHL42" s="595"/>
      <c r="CHM42" s="595"/>
      <c r="CHN42" s="595"/>
      <c r="CHO42" s="595"/>
      <c r="CHP42" s="595"/>
      <c r="CHQ42" s="595"/>
      <c r="CHR42" s="595"/>
      <c r="CHS42" s="595"/>
      <c r="CHT42" s="595"/>
      <c r="CHU42" s="595"/>
      <c r="CHV42" s="595"/>
      <c r="CHW42" s="595"/>
      <c r="CHX42" s="595"/>
      <c r="CHY42" s="595"/>
      <c r="CHZ42" s="595"/>
      <c r="CIA42" s="595"/>
      <c r="CIB42" s="595"/>
      <c r="CIC42" s="595"/>
      <c r="CID42" s="595"/>
      <c r="CIE42" s="595"/>
      <c r="CIF42" s="595"/>
      <c r="CIG42" s="595"/>
      <c r="CIH42" s="595"/>
      <c r="CII42" s="595"/>
      <c r="CIJ42" s="595"/>
      <c r="CIK42" s="595"/>
      <c r="CIL42" s="595"/>
      <c r="CIM42" s="595"/>
      <c r="CIN42" s="595"/>
      <c r="CIO42" s="595"/>
      <c r="CIP42" s="595"/>
      <c r="CIQ42" s="595"/>
      <c r="CIR42" s="595"/>
      <c r="CIS42" s="595"/>
      <c r="CIT42" s="595"/>
      <c r="CIU42" s="595"/>
      <c r="CIV42" s="595"/>
      <c r="CIW42" s="595"/>
      <c r="CIX42" s="595"/>
      <c r="CIY42" s="595"/>
      <c r="CIZ42" s="595"/>
      <c r="CJA42" s="595"/>
      <c r="CJB42" s="595"/>
      <c r="CJC42" s="595"/>
      <c r="CJD42" s="595"/>
      <c r="CJE42" s="595"/>
      <c r="CJF42" s="595"/>
      <c r="CJG42" s="595"/>
      <c r="CJH42" s="595"/>
      <c r="CJI42" s="595"/>
      <c r="CJJ42" s="595"/>
      <c r="CJK42" s="595"/>
      <c r="CJL42" s="595"/>
      <c r="CJM42" s="595"/>
      <c r="CJN42" s="595"/>
      <c r="CJO42" s="595"/>
      <c r="CJP42" s="595"/>
      <c r="CJQ42" s="595"/>
      <c r="CJR42" s="595"/>
      <c r="CJS42" s="595"/>
      <c r="CJT42" s="595"/>
      <c r="CJU42" s="595"/>
      <c r="CJV42" s="595"/>
      <c r="CJW42" s="595"/>
      <c r="CJX42" s="595"/>
      <c r="CJY42" s="595"/>
      <c r="CJZ42" s="595"/>
      <c r="CKA42" s="595"/>
      <c r="CKB42" s="595"/>
      <c r="CKC42" s="595"/>
      <c r="CKD42" s="595"/>
      <c r="CKE42" s="595"/>
      <c r="CKF42" s="595"/>
      <c r="CKG42" s="595"/>
      <c r="CKH42" s="595"/>
      <c r="CKI42" s="595"/>
      <c r="CKJ42" s="595"/>
      <c r="CKK42" s="595"/>
      <c r="CKL42" s="595"/>
      <c r="CKM42" s="595"/>
      <c r="CKN42" s="595"/>
      <c r="CKO42" s="595"/>
      <c r="CKP42" s="595"/>
      <c r="CKQ42" s="595"/>
      <c r="CKR42" s="595"/>
      <c r="CKS42" s="595"/>
      <c r="CKT42" s="595"/>
      <c r="CKU42" s="595"/>
      <c r="CKV42" s="595"/>
      <c r="CKW42" s="595"/>
      <c r="CKX42" s="595"/>
      <c r="CKY42" s="595"/>
      <c r="CKZ42" s="595"/>
      <c r="CLA42" s="595"/>
      <c r="CLB42" s="595"/>
      <c r="CLC42" s="595"/>
      <c r="CLD42" s="595"/>
      <c r="CLE42" s="595"/>
      <c r="CLF42" s="595"/>
      <c r="CLG42" s="595"/>
      <c r="CLH42" s="595"/>
      <c r="CLI42" s="595"/>
      <c r="CLJ42" s="595"/>
      <c r="CLK42" s="595"/>
      <c r="CLL42" s="595"/>
      <c r="CLM42" s="595"/>
      <c r="CLN42" s="595"/>
      <c r="CLO42" s="595"/>
      <c r="CLP42" s="595"/>
      <c r="CLQ42" s="595"/>
      <c r="CLR42" s="595"/>
      <c r="CLS42" s="595"/>
      <c r="CLT42" s="595"/>
      <c r="CLU42" s="595"/>
      <c r="CLV42" s="595"/>
      <c r="CLW42" s="595"/>
      <c r="CLX42" s="595"/>
      <c r="CLY42" s="595"/>
      <c r="CLZ42" s="595"/>
      <c r="CMA42" s="595"/>
      <c r="CMB42" s="595"/>
      <c r="CMC42" s="595"/>
      <c r="CMD42" s="595"/>
      <c r="CME42" s="595"/>
      <c r="CMF42" s="595"/>
      <c r="CMG42" s="595"/>
      <c r="CMH42" s="595"/>
      <c r="CMI42" s="595"/>
      <c r="CMJ42" s="595"/>
      <c r="CMK42" s="595"/>
      <c r="CML42" s="595"/>
      <c r="CMM42" s="595"/>
      <c r="CMN42" s="595"/>
      <c r="CMO42" s="595"/>
      <c r="CMP42" s="595"/>
      <c r="CMQ42" s="595"/>
      <c r="CMR42" s="595"/>
      <c r="CMS42" s="595"/>
      <c r="CMT42" s="595"/>
      <c r="CMU42" s="595"/>
      <c r="CMV42" s="595"/>
      <c r="CMW42" s="595"/>
      <c r="CMX42" s="595"/>
      <c r="CMY42" s="595"/>
      <c r="CMZ42" s="595"/>
      <c r="CNA42" s="595"/>
      <c r="CNB42" s="595"/>
      <c r="CNC42" s="595"/>
      <c r="CND42" s="595"/>
      <c r="CNE42" s="595"/>
      <c r="CNF42" s="595"/>
      <c r="CNG42" s="595"/>
      <c r="CNH42" s="595"/>
      <c r="CNI42" s="595"/>
      <c r="CNJ42" s="595"/>
      <c r="CNK42" s="595"/>
      <c r="CNL42" s="595"/>
      <c r="CNM42" s="595"/>
      <c r="CNN42" s="595"/>
      <c r="CNO42" s="595"/>
      <c r="CNP42" s="595"/>
      <c r="CNQ42" s="595"/>
      <c r="CNR42" s="595"/>
      <c r="CNS42" s="595"/>
      <c r="CNT42" s="595"/>
      <c r="CNU42" s="595"/>
      <c r="CNV42" s="595"/>
      <c r="CNW42" s="595"/>
      <c r="CNX42" s="595"/>
      <c r="CNY42" s="595"/>
      <c r="CNZ42" s="595"/>
      <c r="COA42" s="595"/>
      <c r="COB42" s="595"/>
      <c r="COC42" s="595"/>
      <c r="COD42" s="595"/>
      <c r="COE42" s="595"/>
      <c r="COF42" s="595"/>
      <c r="COG42" s="595"/>
      <c r="COH42" s="595"/>
      <c r="COI42" s="595"/>
      <c r="COJ42" s="595"/>
      <c r="COK42" s="595"/>
      <c r="COL42" s="595"/>
      <c r="COM42" s="595"/>
      <c r="CON42" s="595"/>
      <c r="COO42" s="595"/>
      <c r="COP42" s="595"/>
      <c r="COQ42" s="595"/>
      <c r="COR42" s="595"/>
      <c r="COS42" s="595"/>
      <c r="COT42" s="595"/>
      <c r="COU42" s="595"/>
      <c r="COV42" s="595"/>
      <c r="COW42" s="595"/>
      <c r="COX42" s="595"/>
      <c r="COY42" s="595"/>
      <c r="COZ42" s="595"/>
      <c r="CPA42" s="595"/>
      <c r="CPB42" s="595"/>
      <c r="CPC42" s="595"/>
      <c r="CPD42" s="595"/>
      <c r="CPE42" s="595"/>
      <c r="CPF42" s="595"/>
      <c r="CPG42" s="595"/>
      <c r="CPH42" s="595"/>
      <c r="CPI42" s="595"/>
      <c r="CPJ42" s="595"/>
      <c r="CPK42" s="595"/>
      <c r="CPL42" s="595"/>
      <c r="CPM42" s="595"/>
      <c r="CPN42" s="595"/>
      <c r="CPO42" s="595"/>
      <c r="CPP42" s="595"/>
      <c r="CPQ42" s="595"/>
      <c r="CPR42" s="595"/>
      <c r="CPS42" s="595"/>
      <c r="CPT42" s="595"/>
      <c r="CPU42" s="595"/>
      <c r="CPV42" s="595"/>
      <c r="CPW42" s="595"/>
      <c r="CPX42" s="595"/>
      <c r="CPY42" s="595"/>
      <c r="CPZ42" s="595"/>
      <c r="CQA42" s="595"/>
      <c r="CQB42" s="595"/>
      <c r="CQC42" s="595"/>
      <c r="CQD42" s="595"/>
      <c r="CQE42" s="595"/>
      <c r="CQF42" s="595"/>
      <c r="CQG42" s="595"/>
      <c r="CQH42" s="595"/>
      <c r="CQI42" s="595"/>
      <c r="CQJ42" s="595"/>
      <c r="CQK42" s="595"/>
      <c r="CQL42" s="595"/>
      <c r="CQM42" s="595"/>
      <c r="CQN42" s="595"/>
      <c r="CQO42" s="595"/>
      <c r="CQP42" s="595"/>
      <c r="CQQ42" s="595"/>
      <c r="CQR42" s="595"/>
      <c r="CQS42" s="595"/>
      <c r="CQT42" s="595"/>
      <c r="CQU42" s="595"/>
      <c r="CQV42" s="595"/>
      <c r="CQW42" s="595"/>
      <c r="CQX42" s="595"/>
      <c r="CQY42" s="595"/>
      <c r="CQZ42" s="595"/>
      <c r="CRA42" s="595"/>
      <c r="CRB42" s="595"/>
      <c r="CRC42" s="595"/>
      <c r="CRD42" s="595"/>
      <c r="CRE42" s="595"/>
      <c r="CRF42" s="595"/>
      <c r="CRG42" s="595"/>
      <c r="CRH42" s="595"/>
      <c r="CRI42" s="595"/>
      <c r="CRJ42" s="595"/>
      <c r="CRK42" s="595"/>
      <c r="CRL42" s="595"/>
      <c r="CRM42" s="595"/>
      <c r="CRN42" s="595"/>
      <c r="CRO42" s="595"/>
      <c r="CRP42" s="595"/>
      <c r="CRQ42" s="595"/>
      <c r="CRR42" s="595"/>
      <c r="CRS42" s="595"/>
      <c r="CRT42" s="595"/>
      <c r="CRU42" s="595"/>
      <c r="CRV42" s="595"/>
      <c r="CRW42" s="595"/>
      <c r="CRX42" s="595"/>
      <c r="CRY42" s="595"/>
      <c r="CRZ42" s="595"/>
      <c r="CSA42" s="595"/>
      <c r="CSB42" s="595"/>
      <c r="CSC42" s="595"/>
      <c r="CSD42" s="595"/>
      <c r="CSE42" s="595"/>
      <c r="CSF42" s="595"/>
      <c r="CSG42" s="595"/>
      <c r="CSH42" s="595"/>
      <c r="CSI42" s="595"/>
      <c r="CSJ42" s="595"/>
      <c r="CSK42" s="595"/>
      <c r="CSL42" s="595"/>
      <c r="CSM42" s="595"/>
      <c r="CSN42" s="595"/>
      <c r="CSO42" s="595"/>
      <c r="CSP42" s="595"/>
      <c r="CSQ42" s="595"/>
      <c r="CSR42" s="595"/>
      <c r="CSS42" s="595"/>
      <c r="CST42" s="595"/>
      <c r="CSU42" s="595"/>
      <c r="CSV42" s="595"/>
      <c r="CSW42" s="595"/>
      <c r="CSX42" s="595"/>
      <c r="CSY42" s="595"/>
      <c r="CSZ42" s="595"/>
      <c r="CTA42" s="595"/>
      <c r="CTB42" s="595"/>
      <c r="CTC42" s="595"/>
      <c r="CTD42" s="595"/>
      <c r="CTE42" s="595"/>
      <c r="CTF42" s="595"/>
      <c r="CTG42" s="595"/>
      <c r="CTH42" s="595"/>
      <c r="CTI42" s="595"/>
      <c r="CTJ42" s="595"/>
      <c r="CTK42" s="595"/>
      <c r="CTL42" s="595"/>
      <c r="CTM42" s="595"/>
      <c r="CTN42" s="595"/>
      <c r="CTO42" s="595"/>
      <c r="CTP42" s="595"/>
      <c r="CTQ42" s="595"/>
      <c r="CTR42" s="595"/>
      <c r="CTS42" s="595"/>
      <c r="CTT42" s="595"/>
      <c r="CTU42" s="595"/>
      <c r="CTV42" s="595"/>
      <c r="CTW42" s="595"/>
      <c r="CTX42" s="595"/>
      <c r="CTY42" s="595"/>
      <c r="CTZ42" s="595"/>
      <c r="CUA42" s="595"/>
      <c r="CUB42" s="595"/>
      <c r="CUC42" s="595"/>
      <c r="CUD42" s="595"/>
      <c r="CUE42" s="595"/>
      <c r="CUF42" s="595"/>
      <c r="CUG42" s="595"/>
      <c r="CUH42" s="595"/>
      <c r="CUI42" s="595"/>
      <c r="CUJ42" s="595"/>
      <c r="CUK42" s="595"/>
      <c r="CUL42" s="595"/>
      <c r="CUM42" s="595"/>
      <c r="CUN42" s="595"/>
      <c r="CUO42" s="595"/>
      <c r="CUP42" s="595"/>
      <c r="CUQ42" s="595"/>
      <c r="CUR42" s="595"/>
      <c r="CUS42" s="595"/>
      <c r="CUT42" s="595"/>
      <c r="CUU42" s="595"/>
      <c r="CUV42" s="595"/>
      <c r="CUW42" s="595"/>
      <c r="CUX42" s="595"/>
      <c r="CUY42" s="595"/>
      <c r="CUZ42" s="595"/>
      <c r="CVA42" s="595"/>
      <c r="CVB42" s="595"/>
      <c r="CVC42" s="595"/>
      <c r="CVD42" s="595"/>
      <c r="CVE42" s="595"/>
      <c r="CVF42" s="595"/>
      <c r="CVG42" s="595"/>
      <c r="CVH42" s="595"/>
      <c r="CVI42" s="595"/>
      <c r="CVJ42" s="595"/>
      <c r="CVK42" s="595"/>
      <c r="CVL42" s="595"/>
      <c r="CVM42" s="595"/>
      <c r="CVN42" s="595"/>
      <c r="CVO42" s="595"/>
      <c r="CVP42" s="595"/>
      <c r="CVQ42" s="595"/>
      <c r="CVR42" s="595"/>
      <c r="CVS42" s="595"/>
      <c r="CVT42" s="595"/>
      <c r="CVU42" s="595"/>
      <c r="CVV42" s="595"/>
      <c r="CVW42" s="595"/>
      <c r="CVX42" s="595"/>
      <c r="CVY42" s="595"/>
      <c r="CVZ42" s="595"/>
      <c r="CWA42" s="595"/>
      <c r="CWB42" s="595"/>
      <c r="CWC42" s="595"/>
      <c r="CWD42" s="595"/>
      <c r="CWE42" s="595"/>
      <c r="CWF42" s="595"/>
      <c r="CWG42" s="595"/>
      <c r="CWH42" s="595"/>
      <c r="CWI42" s="595"/>
      <c r="CWJ42" s="595"/>
      <c r="CWK42" s="595"/>
      <c r="CWL42" s="595"/>
      <c r="CWM42" s="595"/>
      <c r="CWN42" s="595"/>
      <c r="CWO42" s="595"/>
      <c r="CWP42" s="595"/>
      <c r="CWQ42" s="595"/>
      <c r="CWR42" s="595"/>
      <c r="CWS42" s="595"/>
      <c r="CWT42" s="595"/>
      <c r="CWU42" s="595"/>
      <c r="CWV42" s="595"/>
      <c r="CWW42" s="595"/>
      <c r="CWX42" s="595"/>
      <c r="CWY42" s="595"/>
      <c r="CWZ42" s="595"/>
      <c r="CXA42" s="595"/>
      <c r="CXB42" s="595"/>
      <c r="CXC42" s="595"/>
      <c r="CXD42" s="595"/>
      <c r="CXE42" s="595"/>
      <c r="CXF42" s="595"/>
      <c r="CXG42" s="595"/>
      <c r="CXH42" s="595"/>
      <c r="CXI42" s="595"/>
      <c r="CXJ42" s="595"/>
      <c r="CXK42" s="595"/>
      <c r="CXL42" s="595"/>
      <c r="CXM42" s="595"/>
      <c r="CXN42" s="595"/>
      <c r="CXO42" s="595"/>
      <c r="CXP42" s="595"/>
      <c r="CXQ42" s="595"/>
      <c r="CXR42" s="595"/>
      <c r="CXS42" s="595"/>
      <c r="CXT42" s="595"/>
      <c r="CXU42" s="595"/>
      <c r="CXV42" s="595"/>
      <c r="CXW42" s="595"/>
      <c r="CXX42" s="595"/>
      <c r="CXY42" s="595"/>
      <c r="CXZ42" s="595"/>
      <c r="CYA42" s="595"/>
      <c r="CYB42" s="595"/>
      <c r="CYC42" s="595"/>
      <c r="CYD42" s="595"/>
      <c r="CYE42" s="595"/>
      <c r="CYF42" s="595"/>
      <c r="CYG42" s="595"/>
      <c r="CYH42" s="595"/>
      <c r="CYI42" s="595"/>
      <c r="CYJ42" s="595"/>
      <c r="CYK42" s="595"/>
      <c r="CYL42" s="595"/>
      <c r="CYM42" s="595"/>
      <c r="CYN42" s="595"/>
      <c r="CYO42" s="595"/>
      <c r="CYP42" s="595"/>
      <c r="CYQ42" s="595"/>
      <c r="CYR42" s="595"/>
      <c r="CYS42" s="595"/>
      <c r="CYT42" s="595"/>
      <c r="CYU42" s="595"/>
      <c r="CYV42" s="595"/>
      <c r="CYW42" s="595"/>
      <c r="CYX42" s="595"/>
      <c r="CYY42" s="595"/>
      <c r="CYZ42" s="595"/>
      <c r="CZA42" s="595"/>
      <c r="CZB42" s="595"/>
      <c r="CZC42" s="595"/>
      <c r="CZD42" s="595"/>
      <c r="CZE42" s="595"/>
      <c r="CZF42" s="595"/>
      <c r="CZG42" s="595"/>
      <c r="CZH42" s="595"/>
      <c r="CZI42" s="595"/>
      <c r="CZJ42" s="595"/>
      <c r="CZK42" s="595"/>
      <c r="CZL42" s="595"/>
      <c r="CZM42" s="595"/>
      <c r="CZN42" s="595"/>
      <c r="CZO42" s="595"/>
      <c r="CZP42" s="595"/>
      <c r="CZQ42" s="595"/>
      <c r="CZR42" s="595"/>
      <c r="CZS42" s="595"/>
      <c r="CZT42" s="595"/>
      <c r="CZU42" s="595"/>
      <c r="CZV42" s="595"/>
      <c r="CZW42" s="595"/>
      <c r="CZX42" s="595"/>
      <c r="CZY42" s="595"/>
      <c r="CZZ42" s="595"/>
      <c r="DAA42" s="595"/>
      <c r="DAB42" s="595"/>
      <c r="DAC42" s="595"/>
      <c r="DAD42" s="595"/>
      <c r="DAE42" s="595"/>
      <c r="DAF42" s="595"/>
      <c r="DAG42" s="595"/>
      <c r="DAH42" s="595"/>
      <c r="DAI42" s="595"/>
      <c r="DAJ42" s="595"/>
      <c r="DAK42" s="595"/>
      <c r="DAL42" s="595"/>
      <c r="DAM42" s="595"/>
      <c r="DAN42" s="595"/>
      <c r="DAO42" s="595"/>
      <c r="DAP42" s="595"/>
      <c r="DAQ42" s="595"/>
      <c r="DAR42" s="595"/>
      <c r="DAS42" s="595"/>
      <c r="DAT42" s="595"/>
      <c r="DAU42" s="595"/>
      <c r="DAV42" s="595"/>
      <c r="DAW42" s="595"/>
      <c r="DAX42" s="595"/>
      <c r="DAY42" s="595"/>
      <c r="DAZ42" s="595"/>
      <c r="DBA42" s="595"/>
      <c r="DBB42" s="595"/>
      <c r="DBC42" s="595"/>
      <c r="DBD42" s="595"/>
      <c r="DBE42" s="595"/>
      <c r="DBF42" s="595"/>
      <c r="DBG42" s="595"/>
      <c r="DBH42" s="595"/>
      <c r="DBI42" s="595"/>
      <c r="DBJ42" s="595"/>
      <c r="DBK42" s="595"/>
      <c r="DBL42" s="595"/>
      <c r="DBM42" s="595"/>
      <c r="DBN42" s="595"/>
      <c r="DBO42" s="595"/>
      <c r="DBP42" s="595"/>
      <c r="DBQ42" s="595"/>
      <c r="DBR42" s="595"/>
      <c r="DBS42" s="595"/>
      <c r="DBT42" s="595"/>
      <c r="DBU42" s="595"/>
      <c r="DBV42" s="595"/>
      <c r="DBW42" s="595"/>
      <c r="DBX42" s="595"/>
      <c r="DBY42" s="595"/>
      <c r="DBZ42" s="595"/>
      <c r="DCA42" s="595"/>
      <c r="DCB42" s="595"/>
      <c r="DCC42" s="595"/>
      <c r="DCD42" s="595"/>
      <c r="DCE42" s="595"/>
      <c r="DCF42" s="595"/>
      <c r="DCG42" s="595"/>
      <c r="DCH42" s="595"/>
      <c r="DCI42" s="595"/>
      <c r="DCJ42" s="595"/>
      <c r="DCK42" s="595"/>
      <c r="DCL42" s="595"/>
      <c r="DCM42" s="595"/>
      <c r="DCN42" s="595"/>
      <c r="DCO42" s="595"/>
      <c r="DCP42" s="595"/>
      <c r="DCQ42" s="595"/>
      <c r="DCR42" s="595"/>
      <c r="DCS42" s="595"/>
      <c r="DCT42" s="595"/>
      <c r="DCU42" s="595"/>
      <c r="DCV42" s="595"/>
      <c r="DCW42" s="595"/>
      <c r="DCX42" s="595"/>
      <c r="DCY42" s="595"/>
      <c r="DCZ42" s="595"/>
      <c r="DDA42" s="595"/>
      <c r="DDB42" s="595"/>
      <c r="DDC42" s="595"/>
      <c r="DDD42" s="595"/>
      <c r="DDE42" s="595"/>
      <c r="DDF42" s="595"/>
      <c r="DDG42" s="595"/>
      <c r="DDH42" s="595"/>
      <c r="DDI42" s="595"/>
      <c r="DDJ42" s="595"/>
      <c r="DDK42" s="595"/>
      <c r="DDL42" s="595"/>
      <c r="DDM42" s="595"/>
      <c r="DDN42" s="595"/>
      <c r="DDO42" s="595"/>
      <c r="DDP42" s="595"/>
      <c r="DDQ42" s="595"/>
      <c r="DDR42" s="595"/>
      <c r="DDS42" s="595"/>
      <c r="DDT42" s="595"/>
      <c r="DDU42" s="595"/>
      <c r="DDV42" s="595"/>
      <c r="DDW42" s="595"/>
      <c r="DDX42" s="595"/>
      <c r="DDY42" s="595"/>
      <c r="DDZ42" s="595"/>
      <c r="DEA42" s="595"/>
      <c r="DEB42" s="595"/>
      <c r="DEC42" s="595"/>
      <c r="DED42" s="595"/>
      <c r="DEE42" s="595"/>
      <c r="DEF42" s="595"/>
      <c r="DEG42" s="595"/>
      <c r="DEH42" s="595"/>
      <c r="DEI42" s="595"/>
      <c r="DEJ42" s="595"/>
      <c r="DEK42" s="595"/>
      <c r="DEL42" s="595"/>
      <c r="DEM42" s="595"/>
      <c r="DEN42" s="595"/>
      <c r="DEO42" s="595"/>
      <c r="DEP42" s="595"/>
      <c r="DEQ42" s="595"/>
      <c r="DER42" s="595"/>
      <c r="DES42" s="595"/>
      <c r="DET42" s="595"/>
      <c r="DEU42" s="595"/>
      <c r="DEV42" s="595"/>
      <c r="DEW42" s="595"/>
      <c r="DEX42" s="595"/>
      <c r="DEY42" s="595"/>
      <c r="DEZ42" s="595"/>
      <c r="DFA42" s="595"/>
      <c r="DFB42" s="595"/>
      <c r="DFC42" s="595"/>
      <c r="DFD42" s="595"/>
      <c r="DFE42" s="595"/>
      <c r="DFF42" s="595"/>
      <c r="DFG42" s="595"/>
      <c r="DFH42" s="595"/>
      <c r="DFI42" s="595"/>
      <c r="DFJ42" s="595"/>
      <c r="DFK42" s="595"/>
      <c r="DFL42" s="595"/>
      <c r="DFM42" s="595"/>
      <c r="DFN42" s="595"/>
      <c r="DFO42" s="595"/>
      <c r="DFP42" s="595"/>
      <c r="DFQ42" s="595"/>
      <c r="DFR42" s="595"/>
      <c r="DFS42" s="595"/>
      <c r="DFT42" s="595"/>
      <c r="DFU42" s="595"/>
      <c r="DFV42" s="595"/>
      <c r="DFW42" s="595"/>
      <c r="DFX42" s="595"/>
      <c r="DFY42" s="595"/>
      <c r="DFZ42" s="595"/>
      <c r="DGA42" s="595"/>
      <c r="DGB42" s="595"/>
      <c r="DGC42" s="595"/>
      <c r="DGD42" s="595"/>
      <c r="DGE42" s="595"/>
      <c r="DGF42" s="595"/>
      <c r="DGG42" s="595"/>
      <c r="DGH42" s="595"/>
      <c r="DGI42" s="595"/>
      <c r="DGJ42" s="595"/>
      <c r="DGK42" s="595"/>
      <c r="DGL42" s="595"/>
      <c r="DGM42" s="595"/>
      <c r="DGN42" s="595"/>
      <c r="DGO42" s="595"/>
      <c r="DGP42" s="595"/>
      <c r="DGQ42" s="595"/>
      <c r="DGR42" s="595"/>
      <c r="DGS42" s="595"/>
      <c r="DGT42" s="595"/>
      <c r="DGU42" s="595"/>
      <c r="DGV42" s="595"/>
      <c r="DGW42" s="595"/>
      <c r="DGX42" s="595"/>
      <c r="DGY42" s="595"/>
      <c r="DGZ42" s="595"/>
      <c r="DHA42" s="595"/>
      <c r="DHB42" s="595"/>
      <c r="DHC42" s="595"/>
      <c r="DHD42" s="595"/>
      <c r="DHE42" s="595"/>
      <c r="DHF42" s="595"/>
      <c r="DHG42" s="595"/>
      <c r="DHH42" s="595"/>
      <c r="DHI42" s="595"/>
      <c r="DHJ42" s="595"/>
      <c r="DHK42" s="595"/>
      <c r="DHL42" s="595"/>
      <c r="DHM42" s="595"/>
      <c r="DHN42" s="595"/>
      <c r="DHO42" s="595"/>
      <c r="DHP42" s="595"/>
      <c r="DHQ42" s="595"/>
      <c r="DHR42" s="595"/>
      <c r="DHS42" s="595"/>
      <c r="DHT42" s="595"/>
      <c r="DHU42" s="595"/>
      <c r="DHV42" s="595"/>
      <c r="DHW42" s="595"/>
      <c r="DHX42" s="595"/>
      <c r="DHY42" s="595"/>
      <c r="DHZ42" s="595"/>
      <c r="DIA42" s="595"/>
      <c r="DIB42" s="595"/>
      <c r="DIC42" s="595"/>
      <c r="DID42" s="595"/>
      <c r="DIE42" s="595"/>
      <c r="DIF42" s="595"/>
      <c r="DIG42" s="595"/>
      <c r="DIH42" s="595"/>
      <c r="DII42" s="595"/>
      <c r="DIJ42" s="595"/>
      <c r="DIK42" s="595"/>
      <c r="DIL42" s="595"/>
      <c r="DIM42" s="595"/>
      <c r="DIN42" s="595"/>
      <c r="DIO42" s="595"/>
      <c r="DIP42" s="595"/>
      <c r="DIQ42" s="595"/>
      <c r="DIR42" s="595"/>
      <c r="DIS42" s="595"/>
      <c r="DIT42" s="595"/>
      <c r="DIU42" s="595"/>
      <c r="DIV42" s="595"/>
      <c r="DIW42" s="595"/>
      <c r="DIX42" s="595"/>
      <c r="DIY42" s="595"/>
      <c r="DIZ42" s="595"/>
      <c r="DJA42" s="595"/>
      <c r="DJB42" s="595"/>
      <c r="DJC42" s="595"/>
      <c r="DJD42" s="595"/>
      <c r="DJE42" s="595"/>
      <c r="DJF42" s="595"/>
      <c r="DJG42" s="595"/>
      <c r="DJH42" s="595"/>
      <c r="DJI42" s="595"/>
      <c r="DJJ42" s="595"/>
      <c r="DJK42" s="595"/>
      <c r="DJL42" s="595"/>
      <c r="DJM42" s="595"/>
      <c r="DJN42" s="595"/>
      <c r="DJO42" s="595"/>
      <c r="DJP42" s="595"/>
      <c r="DJQ42" s="595"/>
      <c r="DJR42" s="595"/>
      <c r="DJS42" s="595"/>
      <c r="DJT42" s="595"/>
      <c r="DJU42" s="595"/>
      <c r="DJV42" s="595"/>
      <c r="DJW42" s="595"/>
      <c r="DJX42" s="595"/>
      <c r="DJY42" s="595"/>
      <c r="DJZ42" s="595"/>
      <c r="DKA42" s="595"/>
      <c r="DKB42" s="595"/>
      <c r="DKC42" s="595"/>
      <c r="DKD42" s="595"/>
      <c r="DKE42" s="595"/>
      <c r="DKF42" s="595"/>
      <c r="DKG42" s="595"/>
      <c r="DKH42" s="595"/>
      <c r="DKI42" s="595"/>
      <c r="DKJ42" s="595"/>
      <c r="DKK42" s="595"/>
      <c r="DKL42" s="595"/>
      <c r="DKM42" s="595"/>
      <c r="DKN42" s="595"/>
      <c r="DKO42" s="595"/>
      <c r="DKP42" s="595"/>
      <c r="DKQ42" s="595"/>
      <c r="DKR42" s="595"/>
      <c r="DKS42" s="595"/>
      <c r="DKT42" s="595"/>
      <c r="DKU42" s="595"/>
      <c r="DKV42" s="595"/>
      <c r="DKW42" s="595"/>
      <c r="DKX42" s="595"/>
      <c r="DKY42" s="595"/>
      <c r="DKZ42" s="595"/>
      <c r="DLA42" s="595"/>
      <c r="DLB42" s="595"/>
      <c r="DLC42" s="595"/>
      <c r="DLD42" s="595"/>
      <c r="DLE42" s="595"/>
      <c r="DLF42" s="595"/>
      <c r="DLG42" s="595"/>
      <c r="DLH42" s="595"/>
      <c r="DLI42" s="595"/>
      <c r="DLJ42" s="595"/>
      <c r="DLK42" s="595"/>
      <c r="DLL42" s="595"/>
      <c r="DLM42" s="595"/>
      <c r="DLN42" s="595"/>
      <c r="DLO42" s="595"/>
      <c r="DLP42" s="595"/>
      <c r="DLQ42" s="595"/>
      <c r="DLR42" s="595"/>
      <c r="DLS42" s="595"/>
      <c r="DLT42" s="595"/>
      <c r="DLU42" s="595"/>
      <c r="DLV42" s="595"/>
      <c r="DLW42" s="595"/>
      <c r="DLX42" s="595"/>
      <c r="DLY42" s="595"/>
      <c r="DLZ42" s="595"/>
      <c r="DMA42" s="595"/>
      <c r="DMB42" s="595"/>
      <c r="DMC42" s="595"/>
      <c r="DMD42" s="595"/>
      <c r="DME42" s="595"/>
      <c r="DMF42" s="595"/>
      <c r="DMG42" s="595"/>
      <c r="DMH42" s="595"/>
      <c r="DMI42" s="595"/>
      <c r="DMJ42" s="595"/>
      <c r="DMK42" s="595"/>
      <c r="DML42" s="595"/>
      <c r="DMM42" s="595"/>
      <c r="DMN42" s="595"/>
      <c r="DMO42" s="595"/>
      <c r="DMP42" s="595"/>
      <c r="DMQ42" s="595"/>
      <c r="DMR42" s="595"/>
      <c r="DMS42" s="595"/>
      <c r="DMT42" s="595"/>
      <c r="DMU42" s="595"/>
      <c r="DMV42" s="595"/>
      <c r="DMW42" s="595"/>
      <c r="DMX42" s="595"/>
      <c r="DMY42" s="595"/>
      <c r="DMZ42" s="595"/>
      <c r="DNA42" s="595"/>
      <c r="DNB42" s="595"/>
      <c r="DNC42" s="595"/>
      <c r="DND42" s="595"/>
      <c r="DNE42" s="595"/>
      <c r="DNF42" s="595"/>
      <c r="DNG42" s="595"/>
      <c r="DNH42" s="595"/>
      <c r="DNI42" s="595"/>
      <c r="DNJ42" s="595"/>
      <c r="DNK42" s="595"/>
      <c r="DNL42" s="595"/>
      <c r="DNM42" s="595"/>
      <c r="DNN42" s="595"/>
      <c r="DNO42" s="595"/>
      <c r="DNP42" s="595"/>
      <c r="DNQ42" s="595"/>
      <c r="DNR42" s="595"/>
      <c r="DNS42" s="595"/>
      <c r="DNT42" s="595"/>
      <c r="DNU42" s="595"/>
      <c r="DNV42" s="595"/>
      <c r="DNW42" s="595"/>
      <c r="DNX42" s="595"/>
      <c r="DNY42" s="595"/>
      <c r="DNZ42" s="595"/>
      <c r="DOA42" s="595"/>
      <c r="DOB42" s="595"/>
      <c r="DOC42" s="595"/>
      <c r="DOD42" s="595"/>
      <c r="DOE42" s="595"/>
      <c r="DOF42" s="595"/>
      <c r="DOG42" s="595"/>
      <c r="DOH42" s="595"/>
      <c r="DOI42" s="595"/>
      <c r="DOJ42" s="595"/>
      <c r="DOK42" s="595"/>
      <c r="DOL42" s="595"/>
      <c r="DOM42" s="595"/>
      <c r="DON42" s="595"/>
      <c r="DOO42" s="595"/>
      <c r="DOP42" s="595"/>
      <c r="DOQ42" s="595"/>
      <c r="DOR42" s="595"/>
      <c r="DOS42" s="595"/>
      <c r="DOT42" s="595"/>
      <c r="DOU42" s="595"/>
      <c r="DOV42" s="595"/>
      <c r="DOW42" s="595"/>
      <c r="DOX42" s="595"/>
      <c r="DOY42" s="595"/>
      <c r="DOZ42" s="595"/>
      <c r="DPA42" s="595"/>
      <c r="DPB42" s="595"/>
      <c r="DPC42" s="595"/>
      <c r="DPD42" s="595"/>
      <c r="DPE42" s="595"/>
      <c r="DPF42" s="595"/>
      <c r="DPG42" s="595"/>
      <c r="DPH42" s="595"/>
      <c r="DPI42" s="595"/>
      <c r="DPJ42" s="595"/>
      <c r="DPK42" s="595"/>
      <c r="DPL42" s="595"/>
      <c r="DPM42" s="595"/>
      <c r="DPN42" s="595"/>
      <c r="DPO42" s="595"/>
      <c r="DPP42" s="595"/>
      <c r="DPQ42" s="595"/>
      <c r="DPR42" s="595"/>
      <c r="DPS42" s="595"/>
      <c r="DPT42" s="595"/>
      <c r="DPU42" s="595"/>
      <c r="DPV42" s="595"/>
      <c r="DPW42" s="595"/>
      <c r="DPX42" s="595"/>
      <c r="DPY42" s="595"/>
      <c r="DPZ42" s="595"/>
      <c r="DQA42" s="595"/>
      <c r="DQB42" s="595"/>
      <c r="DQC42" s="595"/>
      <c r="DQD42" s="595"/>
      <c r="DQE42" s="595"/>
      <c r="DQF42" s="595"/>
      <c r="DQG42" s="595"/>
      <c r="DQH42" s="595"/>
      <c r="DQI42" s="595"/>
      <c r="DQJ42" s="595"/>
      <c r="DQK42" s="595"/>
      <c r="DQL42" s="595"/>
      <c r="DQM42" s="595"/>
      <c r="DQN42" s="595"/>
      <c r="DQO42" s="595"/>
      <c r="DQP42" s="595"/>
      <c r="DQQ42" s="595"/>
      <c r="DQR42" s="595"/>
      <c r="DQS42" s="595"/>
      <c r="DQT42" s="595"/>
      <c r="DQU42" s="595"/>
      <c r="DQV42" s="595"/>
      <c r="DQW42" s="595"/>
      <c r="DQX42" s="595"/>
      <c r="DQY42" s="595"/>
      <c r="DQZ42" s="595"/>
      <c r="DRA42" s="595"/>
      <c r="DRB42" s="595"/>
      <c r="DRC42" s="595"/>
      <c r="DRD42" s="595"/>
      <c r="DRE42" s="595"/>
      <c r="DRF42" s="595"/>
      <c r="DRG42" s="595"/>
      <c r="DRH42" s="595"/>
      <c r="DRI42" s="595"/>
      <c r="DRJ42" s="595"/>
      <c r="DRK42" s="595"/>
      <c r="DRL42" s="595"/>
      <c r="DRM42" s="595"/>
      <c r="DRN42" s="595"/>
      <c r="DRO42" s="595"/>
      <c r="DRP42" s="595"/>
      <c r="DRQ42" s="595"/>
      <c r="DRR42" s="595"/>
      <c r="DRS42" s="595"/>
      <c r="DRT42" s="595"/>
      <c r="DRU42" s="595"/>
      <c r="DRV42" s="595"/>
      <c r="DRW42" s="595"/>
      <c r="DRX42" s="595"/>
      <c r="DRY42" s="595"/>
      <c r="DRZ42" s="595"/>
      <c r="DSA42" s="595"/>
      <c r="DSB42" s="595"/>
      <c r="DSC42" s="595"/>
      <c r="DSD42" s="595"/>
      <c r="DSE42" s="595"/>
      <c r="DSF42" s="595"/>
      <c r="DSG42" s="595"/>
      <c r="DSH42" s="595"/>
      <c r="DSI42" s="595"/>
      <c r="DSJ42" s="595"/>
      <c r="DSK42" s="595"/>
      <c r="DSL42" s="595"/>
      <c r="DSM42" s="595"/>
      <c r="DSN42" s="595"/>
      <c r="DSO42" s="595"/>
      <c r="DSP42" s="595"/>
      <c r="DSQ42" s="595"/>
      <c r="DSR42" s="595"/>
      <c r="DSS42" s="595"/>
      <c r="DST42" s="595"/>
      <c r="DSU42" s="595"/>
      <c r="DSV42" s="595"/>
      <c r="DSW42" s="595"/>
      <c r="DSX42" s="595"/>
      <c r="DSY42" s="595"/>
      <c r="DSZ42" s="595"/>
      <c r="DTA42" s="595"/>
      <c r="DTB42" s="595"/>
      <c r="DTC42" s="595"/>
      <c r="DTD42" s="595"/>
      <c r="DTE42" s="595"/>
      <c r="DTF42" s="595"/>
      <c r="DTG42" s="595"/>
      <c r="DTH42" s="595"/>
      <c r="DTI42" s="595"/>
      <c r="DTJ42" s="595"/>
      <c r="DTK42" s="595"/>
      <c r="DTL42" s="595"/>
      <c r="DTM42" s="595"/>
      <c r="DTN42" s="595"/>
      <c r="DTO42" s="595"/>
      <c r="DTP42" s="595"/>
      <c r="DTQ42" s="595"/>
      <c r="DTR42" s="595"/>
      <c r="DTS42" s="595"/>
      <c r="DTT42" s="595"/>
      <c r="DTU42" s="595"/>
      <c r="DTV42" s="595"/>
      <c r="DTW42" s="595"/>
      <c r="DTX42" s="595"/>
      <c r="DTY42" s="595"/>
      <c r="DTZ42" s="595"/>
      <c r="DUA42" s="595"/>
      <c r="DUB42" s="595"/>
      <c r="DUC42" s="595"/>
      <c r="DUD42" s="595"/>
      <c r="DUE42" s="595"/>
      <c r="DUF42" s="595"/>
      <c r="DUG42" s="595"/>
      <c r="DUH42" s="595"/>
      <c r="DUI42" s="595"/>
      <c r="DUJ42" s="595"/>
      <c r="DUK42" s="595"/>
      <c r="DUL42" s="595"/>
      <c r="DUM42" s="595"/>
      <c r="DUN42" s="595"/>
      <c r="DUO42" s="595"/>
      <c r="DUP42" s="595"/>
      <c r="DUQ42" s="595"/>
      <c r="DUR42" s="595"/>
      <c r="DUS42" s="595"/>
      <c r="DUT42" s="595"/>
      <c r="DUU42" s="595"/>
      <c r="DUV42" s="595"/>
      <c r="DUW42" s="595"/>
      <c r="DUX42" s="595"/>
      <c r="DUY42" s="595"/>
      <c r="DUZ42" s="595"/>
      <c r="DVA42" s="595"/>
      <c r="DVB42" s="595"/>
      <c r="DVC42" s="595"/>
      <c r="DVD42" s="595"/>
      <c r="DVE42" s="595"/>
      <c r="DVF42" s="595"/>
      <c r="DVG42" s="595"/>
      <c r="DVH42" s="595"/>
      <c r="DVI42" s="595"/>
      <c r="DVJ42" s="595"/>
      <c r="DVK42" s="595"/>
      <c r="DVL42" s="595"/>
      <c r="DVM42" s="595"/>
      <c r="DVN42" s="595"/>
      <c r="DVO42" s="595"/>
      <c r="DVP42" s="595"/>
      <c r="DVQ42" s="595"/>
      <c r="DVR42" s="595"/>
      <c r="DVS42" s="595"/>
      <c r="DVT42" s="595"/>
      <c r="DVU42" s="595"/>
      <c r="DVV42" s="595"/>
      <c r="DVW42" s="595"/>
      <c r="DVX42" s="595"/>
      <c r="DVY42" s="595"/>
      <c r="DVZ42" s="595"/>
      <c r="DWA42" s="595"/>
      <c r="DWB42" s="595"/>
      <c r="DWC42" s="595"/>
      <c r="DWD42" s="595"/>
      <c r="DWE42" s="595"/>
      <c r="DWF42" s="595"/>
      <c r="DWG42" s="595"/>
      <c r="DWH42" s="595"/>
      <c r="DWI42" s="595"/>
      <c r="DWJ42" s="595"/>
      <c r="DWK42" s="595"/>
      <c r="DWL42" s="595"/>
      <c r="DWM42" s="595"/>
      <c r="DWN42" s="595"/>
      <c r="DWO42" s="595"/>
      <c r="DWP42" s="595"/>
      <c r="DWQ42" s="595"/>
      <c r="DWR42" s="595"/>
      <c r="DWS42" s="595"/>
      <c r="DWT42" s="595"/>
      <c r="DWU42" s="595"/>
      <c r="DWV42" s="595"/>
      <c r="DWW42" s="595"/>
      <c r="DWX42" s="595"/>
      <c r="DWY42" s="595"/>
      <c r="DWZ42" s="595"/>
      <c r="DXA42" s="595"/>
      <c r="DXB42" s="595"/>
      <c r="DXC42" s="595"/>
      <c r="DXD42" s="595"/>
      <c r="DXE42" s="595"/>
      <c r="DXF42" s="595"/>
      <c r="DXG42" s="595"/>
      <c r="DXH42" s="595"/>
      <c r="DXI42" s="595"/>
      <c r="DXJ42" s="595"/>
      <c r="DXK42" s="595"/>
      <c r="DXL42" s="595"/>
      <c r="DXM42" s="595"/>
      <c r="DXN42" s="595"/>
      <c r="DXO42" s="595"/>
      <c r="DXP42" s="595"/>
      <c r="DXQ42" s="595"/>
      <c r="DXR42" s="595"/>
      <c r="DXS42" s="595"/>
      <c r="DXT42" s="595"/>
      <c r="DXU42" s="595"/>
      <c r="DXV42" s="595"/>
      <c r="DXW42" s="595"/>
      <c r="DXX42" s="595"/>
      <c r="DXY42" s="595"/>
      <c r="DXZ42" s="595"/>
      <c r="DYA42" s="595"/>
      <c r="DYB42" s="595"/>
      <c r="DYC42" s="595"/>
      <c r="DYD42" s="595"/>
      <c r="DYE42" s="595"/>
      <c r="DYF42" s="595"/>
      <c r="DYG42" s="595"/>
      <c r="DYH42" s="595"/>
      <c r="DYI42" s="595"/>
      <c r="DYJ42" s="595"/>
      <c r="DYK42" s="595"/>
      <c r="DYL42" s="595"/>
      <c r="DYM42" s="595"/>
      <c r="DYN42" s="595"/>
      <c r="DYO42" s="595"/>
      <c r="DYP42" s="595"/>
      <c r="DYQ42" s="595"/>
      <c r="DYR42" s="595"/>
      <c r="DYS42" s="595"/>
      <c r="DYT42" s="595"/>
      <c r="DYU42" s="595"/>
      <c r="DYV42" s="595"/>
      <c r="DYW42" s="595"/>
      <c r="DYX42" s="595"/>
      <c r="DYY42" s="595"/>
      <c r="DYZ42" s="595"/>
      <c r="DZA42" s="595"/>
      <c r="DZB42" s="595"/>
      <c r="DZC42" s="595"/>
      <c r="DZD42" s="595"/>
      <c r="DZE42" s="595"/>
      <c r="DZF42" s="595"/>
      <c r="DZG42" s="595"/>
      <c r="DZH42" s="595"/>
      <c r="DZI42" s="595"/>
      <c r="DZJ42" s="595"/>
      <c r="DZK42" s="595"/>
      <c r="DZL42" s="595"/>
      <c r="DZM42" s="595"/>
      <c r="DZN42" s="595"/>
      <c r="DZO42" s="595"/>
      <c r="DZP42" s="595"/>
      <c r="DZQ42" s="595"/>
      <c r="DZR42" s="595"/>
      <c r="DZS42" s="595"/>
      <c r="DZT42" s="595"/>
      <c r="DZU42" s="595"/>
      <c r="DZV42" s="595"/>
      <c r="DZW42" s="595"/>
      <c r="DZX42" s="595"/>
      <c r="DZY42" s="595"/>
      <c r="DZZ42" s="595"/>
      <c r="EAA42" s="595"/>
      <c r="EAB42" s="595"/>
      <c r="EAC42" s="595"/>
      <c r="EAD42" s="595"/>
      <c r="EAE42" s="595"/>
      <c r="EAF42" s="595"/>
      <c r="EAG42" s="595"/>
      <c r="EAH42" s="595"/>
      <c r="EAI42" s="595"/>
      <c r="EAJ42" s="595"/>
      <c r="EAK42" s="595"/>
      <c r="EAL42" s="595"/>
      <c r="EAM42" s="595"/>
      <c r="EAN42" s="595"/>
      <c r="EAO42" s="595"/>
      <c r="EAP42" s="595"/>
      <c r="EAQ42" s="595"/>
      <c r="EAR42" s="595"/>
      <c r="EAS42" s="595"/>
      <c r="EAT42" s="595"/>
      <c r="EAU42" s="595"/>
      <c r="EAV42" s="595"/>
      <c r="EAW42" s="595"/>
      <c r="EAX42" s="595"/>
      <c r="EAY42" s="595"/>
      <c r="EAZ42" s="595"/>
      <c r="EBA42" s="595"/>
      <c r="EBB42" s="595"/>
      <c r="EBC42" s="595"/>
      <c r="EBD42" s="595"/>
      <c r="EBE42" s="595"/>
      <c r="EBF42" s="595"/>
      <c r="EBG42" s="595"/>
      <c r="EBH42" s="595"/>
      <c r="EBI42" s="595"/>
      <c r="EBJ42" s="595"/>
      <c r="EBK42" s="595"/>
      <c r="EBL42" s="595"/>
      <c r="EBM42" s="595"/>
      <c r="EBN42" s="595"/>
      <c r="EBO42" s="595"/>
      <c r="EBP42" s="595"/>
      <c r="EBQ42" s="595"/>
      <c r="EBR42" s="595"/>
      <c r="EBS42" s="595"/>
      <c r="EBT42" s="595"/>
      <c r="EBU42" s="595"/>
      <c r="EBV42" s="595"/>
      <c r="EBW42" s="595"/>
      <c r="EBX42" s="595"/>
      <c r="EBY42" s="595"/>
      <c r="EBZ42" s="595"/>
      <c r="ECA42" s="595"/>
      <c r="ECB42" s="595"/>
      <c r="ECC42" s="595"/>
      <c r="ECD42" s="595"/>
      <c r="ECE42" s="595"/>
      <c r="ECF42" s="595"/>
      <c r="ECG42" s="595"/>
      <c r="ECH42" s="595"/>
      <c r="ECI42" s="595"/>
      <c r="ECJ42" s="595"/>
      <c r="ECK42" s="595"/>
      <c r="ECL42" s="595"/>
      <c r="ECM42" s="595"/>
      <c r="ECN42" s="595"/>
      <c r="ECO42" s="595"/>
      <c r="ECP42" s="595"/>
      <c r="ECQ42" s="595"/>
      <c r="ECR42" s="595"/>
      <c r="ECS42" s="595"/>
      <c r="ECT42" s="595"/>
      <c r="ECU42" s="595"/>
      <c r="ECV42" s="595"/>
      <c r="ECW42" s="595"/>
      <c r="ECX42" s="595"/>
      <c r="ECY42" s="595"/>
      <c r="ECZ42" s="595"/>
      <c r="EDA42" s="595"/>
      <c r="EDB42" s="595"/>
      <c r="EDC42" s="595"/>
      <c r="EDD42" s="595"/>
      <c r="EDE42" s="595"/>
      <c r="EDF42" s="595"/>
      <c r="EDG42" s="595"/>
      <c r="EDH42" s="595"/>
      <c r="EDI42" s="595"/>
      <c r="EDJ42" s="595"/>
      <c r="EDK42" s="595"/>
      <c r="EDL42" s="595"/>
      <c r="EDM42" s="595"/>
      <c r="EDN42" s="595"/>
      <c r="EDO42" s="595"/>
      <c r="EDP42" s="595"/>
      <c r="EDQ42" s="595"/>
      <c r="EDR42" s="595"/>
      <c r="EDS42" s="595"/>
      <c r="EDT42" s="595"/>
      <c r="EDU42" s="595"/>
      <c r="EDV42" s="595"/>
      <c r="EDW42" s="595"/>
      <c r="EDX42" s="595"/>
      <c r="EDY42" s="595"/>
      <c r="EDZ42" s="595"/>
      <c r="EEA42" s="595"/>
      <c r="EEB42" s="595"/>
      <c r="EEC42" s="595"/>
      <c r="EED42" s="595"/>
      <c r="EEE42" s="595"/>
      <c r="EEF42" s="595"/>
      <c r="EEG42" s="595"/>
      <c r="EEH42" s="595"/>
      <c r="EEI42" s="595"/>
      <c r="EEJ42" s="595"/>
      <c r="EEK42" s="595"/>
      <c r="EEL42" s="595"/>
      <c r="EEM42" s="595"/>
      <c r="EEN42" s="595"/>
      <c r="EEO42" s="595"/>
      <c r="EEP42" s="595"/>
      <c r="EEQ42" s="595"/>
      <c r="EER42" s="595"/>
      <c r="EES42" s="595"/>
      <c r="EET42" s="595"/>
      <c r="EEU42" s="595"/>
      <c r="EEV42" s="595"/>
      <c r="EEW42" s="595"/>
      <c r="EEX42" s="595"/>
      <c r="EEY42" s="595"/>
      <c r="EEZ42" s="595"/>
      <c r="EFA42" s="595"/>
      <c r="EFB42" s="595"/>
      <c r="EFC42" s="595"/>
      <c r="EFD42" s="595"/>
      <c r="EFE42" s="595"/>
      <c r="EFF42" s="595"/>
      <c r="EFG42" s="595"/>
      <c r="EFH42" s="595"/>
      <c r="EFI42" s="595"/>
      <c r="EFJ42" s="595"/>
      <c r="EFK42" s="595"/>
      <c r="EFL42" s="595"/>
      <c r="EFM42" s="595"/>
      <c r="EFN42" s="595"/>
      <c r="EFO42" s="595"/>
      <c r="EFP42" s="595"/>
      <c r="EFQ42" s="595"/>
      <c r="EFR42" s="595"/>
      <c r="EFS42" s="595"/>
      <c r="EFT42" s="595"/>
      <c r="EFU42" s="595"/>
      <c r="EFV42" s="595"/>
      <c r="EFW42" s="595"/>
      <c r="EFX42" s="595"/>
      <c r="EFY42" s="595"/>
      <c r="EFZ42" s="595"/>
      <c r="EGA42" s="595"/>
      <c r="EGB42" s="595"/>
      <c r="EGC42" s="595"/>
      <c r="EGD42" s="595"/>
      <c r="EGE42" s="595"/>
      <c r="EGF42" s="595"/>
      <c r="EGG42" s="595"/>
      <c r="EGH42" s="595"/>
      <c r="EGI42" s="595"/>
      <c r="EGJ42" s="595"/>
      <c r="EGK42" s="595"/>
      <c r="EGL42" s="595"/>
      <c r="EGM42" s="595"/>
      <c r="EGN42" s="595"/>
      <c r="EGO42" s="595"/>
      <c r="EGP42" s="595"/>
      <c r="EGQ42" s="595"/>
      <c r="EGR42" s="595"/>
      <c r="EGS42" s="595"/>
      <c r="EGT42" s="595"/>
      <c r="EGU42" s="595"/>
      <c r="EGV42" s="595"/>
      <c r="EGW42" s="595"/>
      <c r="EGX42" s="595"/>
      <c r="EGY42" s="595"/>
      <c r="EGZ42" s="595"/>
      <c r="EHA42" s="595"/>
      <c r="EHB42" s="595"/>
      <c r="EHC42" s="595"/>
      <c r="EHD42" s="595"/>
      <c r="EHE42" s="595"/>
      <c r="EHF42" s="595"/>
      <c r="EHG42" s="595"/>
      <c r="EHH42" s="595"/>
      <c r="EHI42" s="595"/>
      <c r="EHJ42" s="595"/>
      <c r="EHK42" s="595"/>
      <c r="EHL42" s="595"/>
      <c r="EHM42" s="595"/>
      <c r="EHN42" s="595"/>
      <c r="EHO42" s="595"/>
      <c r="EHP42" s="595"/>
      <c r="EHQ42" s="595"/>
      <c r="EHR42" s="595"/>
      <c r="EHS42" s="595"/>
      <c r="EHT42" s="595"/>
      <c r="EHU42" s="595"/>
      <c r="EHV42" s="595"/>
      <c r="EHW42" s="595"/>
      <c r="EHX42" s="595"/>
      <c r="EHY42" s="595"/>
      <c r="EHZ42" s="595"/>
      <c r="EIA42" s="595"/>
      <c r="EIB42" s="595"/>
      <c r="EIC42" s="595"/>
      <c r="EID42" s="595"/>
      <c r="EIE42" s="595"/>
      <c r="EIF42" s="595"/>
      <c r="EIG42" s="595"/>
      <c r="EIH42" s="595"/>
      <c r="EII42" s="595"/>
      <c r="EIJ42" s="595"/>
      <c r="EIK42" s="595"/>
      <c r="EIL42" s="595"/>
      <c r="EIM42" s="595"/>
      <c r="EIN42" s="595"/>
      <c r="EIO42" s="595"/>
      <c r="EIP42" s="595"/>
      <c r="EIQ42" s="595"/>
      <c r="EIR42" s="595"/>
      <c r="EIS42" s="595"/>
      <c r="EIT42" s="595"/>
      <c r="EIU42" s="595"/>
      <c r="EIV42" s="595"/>
      <c r="EIW42" s="595"/>
      <c r="EIX42" s="595"/>
      <c r="EIY42" s="595"/>
      <c r="EIZ42" s="595"/>
      <c r="EJA42" s="595"/>
      <c r="EJB42" s="595"/>
      <c r="EJC42" s="595"/>
      <c r="EJD42" s="595"/>
      <c r="EJE42" s="595"/>
      <c r="EJF42" s="595"/>
      <c r="EJG42" s="595"/>
      <c r="EJH42" s="595"/>
      <c r="EJI42" s="595"/>
      <c r="EJJ42" s="595"/>
      <c r="EJK42" s="595"/>
      <c r="EJL42" s="595"/>
      <c r="EJM42" s="595"/>
      <c r="EJN42" s="595"/>
      <c r="EJO42" s="595"/>
      <c r="EJP42" s="595"/>
      <c r="EJQ42" s="595"/>
      <c r="EJR42" s="595"/>
      <c r="EJS42" s="595"/>
      <c r="EJT42" s="595"/>
      <c r="EJU42" s="595"/>
      <c r="EJV42" s="595"/>
      <c r="EJW42" s="595"/>
      <c r="EJX42" s="595"/>
      <c r="EJY42" s="595"/>
      <c r="EJZ42" s="595"/>
      <c r="EKA42" s="595"/>
      <c r="EKB42" s="595"/>
      <c r="EKC42" s="595"/>
      <c r="EKD42" s="595"/>
      <c r="EKE42" s="595"/>
      <c r="EKF42" s="595"/>
      <c r="EKG42" s="595"/>
      <c r="EKH42" s="595"/>
      <c r="EKI42" s="595"/>
      <c r="EKJ42" s="595"/>
      <c r="EKK42" s="595"/>
      <c r="EKL42" s="595"/>
      <c r="EKM42" s="595"/>
      <c r="EKN42" s="595"/>
      <c r="EKO42" s="595"/>
      <c r="EKP42" s="595"/>
      <c r="EKQ42" s="595"/>
      <c r="EKR42" s="595"/>
      <c r="EKS42" s="595"/>
      <c r="EKT42" s="595"/>
      <c r="EKU42" s="595"/>
      <c r="EKV42" s="595"/>
      <c r="EKW42" s="595"/>
      <c r="EKX42" s="595"/>
      <c r="EKY42" s="595"/>
      <c r="EKZ42" s="595"/>
      <c r="ELA42" s="595"/>
      <c r="ELB42" s="595"/>
      <c r="ELC42" s="595"/>
      <c r="ELD42" s="595"/>
      <c r="ELE42" s="595"/>
      <c r="ELF42" s="595"/>
      <c r="ELG42" s="595"/>
      <c r="ELH42" s="595"/>
      <c r="ELI42" s="595"/>
      <c r="ELJ42" s="595"/>
      <c r="ELK42" s="595"/>
      <c r="ELL42" s="595"/>
      <c r="ELM42" s="595"/>
      <c r="ELN42" s="595"/>
      <c r="ELO42" s="595"/>
      <c r="ELP42" s="595"/>
      <c r="ELQ42" s="595"/>
      <c r="ELR42" s="595"/>
      <c r="ELS42" s="595"/>
      <c r="ELT42" s="595"/>
      <c r="ELU42" s="595"/>
      <c r="ELV42" s="595"/>
      <c r="ELW42" s="595"/>
      <c r="ELX42" s="595"/>
      <c r="ELY42" s="595"/>
      <c r="ELZ42" s="595"/>
      <c r="EMA42" s="595"/>
      <c r="EMB42" s="595"/>
      <c r="EMC42" s="595"/>
      <c r="EMD42" s="595"/>
      <c r="EME42" s="595"/>
      <c r="EMF42" s="595"/>
      <c r="EMG42" s="595"/>
      <c r="EMH42" s="595"/>
      <c r="EMI42" s="595"/>
      <c r="EMJ42" s="595"/>
      <c r="EMK42" s="595"/>
      <c r="EML42" s="595"/>
      <c r="EMM42" s="595"/>
      <c r="EMN42" s="595"/>
      <c r="EMO42" s="595"/>
      <c r="EMP42" s="595"/>
      <c r="EMQ42" s="595"/>
      <c r="EMR42" s="595"/>
      <c r="EMS42" s="595"/>
      <c r="EMT42" s="595"/>
      <c r="EMU42" s="595"/>
      <c r="EMV42" s="595"/>
      <c r="EMW42" s="595"/>
      <c r="EMX42" s="595"/>
      <c r="EMY42" s="595"/>
      <c r="EMZ42" s="595"/>
      <c r="ENA42" s="595"/>
      <c r="ENB42" s="595"/>
      <c r="ENC42" s="595"/>
      <c r="END42" s="595"/>
      <c r="ENE42" s="595"/>
      <c r="ENF42" s="595"/>
      <c r="ENG42" s="595"/>
      <c r="ENH42" s="595"/>
      <c r="ENI42" s="595"/>
      <c r="ENJ42" s="595"/>
      <c r="ENK42" s="595"/>
      <c r="ENL42" s="595"/>
      <c r="ENM42" s="595"/>
      <c r="ENN42" s="595"/>
      <c r="ENO42" s="595"/>
      <c r="ENP42" s="595"/>
      <c r="ENQ42" s="595"/>
      <c r="ENR42" s="595"/>
      <c r="ENS42" s="595"/>
      <c r="ENT42" s="595"/>
      <c r="ENU42" s="595"/>
      <c r="ENV42" s="595"/>
      <c r="ENW42" s="595"/>
      <c r="ENX42" s="595"/>
      <c r="ENY42" s="595"/>
      <c r="ENZ42" s="595"/>
      <c r="EOA42" s="595"/>
      <c r="EOB42" s="595"/>
      <c r="EOC42" s="595"/>
      <c r="EOD42" s="595"/>
      <c r="EOE42" s="595"/>
      <c r="EOF42" s="595"/>
      <c r="EOG42" s="595"/>
      <c r="EOH42" s="595"/>
      <c r="EOI42" s="595"/>
      <c r="EOJ42" s="595"/>
      <c r="EOK42" s="595"/>
      <c r="EOL42" s="595"/>
      <c r="EOM42" s="595"/>
      <c r="EON42" s="595"/>
      <c r="EOO42" s="595"/>
      <c r="EOP42" s="595"/>
      <c r="EOQ42" s="595"/>
      <c r="EOR42" s="595"/>
      <c r="EOS42" s="595"/>
      <c r="EOT42" s="595"/>
      <c r="EOU42" s="595"/>
      <c r="EOV42" s="595"/>
      <c r="EOW42" s="595"/>
      <c r="EOX42" s="595"/>
      <c r="EOY42" s="595"/>
      <c r="EOZ42" s="595"/>
      <c r="EPA42" s="595"/>
      <c r="EPB42" s="595"/>
      <c r="EPC42" s="595"/>
      <c r="EPD42" s="595"/>
      <c r="EPE42" s="595"/>
      <c r="EPF42" s="595"/>
      <c r="EPG42" s="595"/>
      <c r="EPH42" s="595"/>
      <c r="EPI42" s="595"/>
      <c r="EPJ42" s="595"/>
      <c r="EPK42" s="595"/>
      <c r="EPL42" s="595"/>
      <c r="EPM42" s="595"/>
      <c r="EPN42" s="595"/>
      <c r="EPO42" s="595"/>
      <c r="EPP42" s="595"/>
      <c r="EPQ42" s="595"/>
      <c r="EPR42" s="595"/>
      <c r="EPS42" s="595"/>
      <c r="EPT42" s="595"/>
      <c r="EPU42" s="595"/>
      <c r="EPV42" s="595"/>
      <c r="EPW42" s="595"/>
      <c r="EPX42" s="595"/>
      <c r="EPY42" s="595"/>
      <c r="EPZ42" s="595"/>
      <c r="EQA42" s="595"/>
      <c r="EQB42" s="595"/>
      <c r="EQC42" s="595"/>
      <c r="EQD42" s="595"/>
      <c r="EQE42" s="595"/>
      <c r="EQF42" s="595"/>
      <c r="EQG42" s="595"/>
      <c r="EQH42" s="595"/>
      <c r="EQI42" s="595"/>
      <c r="EQJ42" s="595"/>
      <c r="EQK42" s="595"/>
      <c r="EQL42" s="595"/>
      <c r="EQM42" s="595"/>
      <c r="EQN42" s="595"/>
      <c r="EQO42" s="595"/>
      <c r="EQP42" s="595"/>
      <c r="EQQ42" s="595"/>
      <c r="EQR42" s="595"/>
      <c r="EQS42" s="595"/>
      <c r="EQT42" s="595"/>
      <c r="EQU42" s="595"/>
      <c r="EQV42" s="595"/>
      <c r="EQW42" s="595"/>
      <c r="EQX42" s="595"/>
      <c r="EQY42" s="595"/>
      <c r="EQZ42" s="595"/>
      <c r="ERA42" s="595"/>
      <c r="ERB42" s="595"/>
      <c r="ERC42" s="595"/>
      <c r="ERD42" s="595"/>
      <c r="ERE42" s="595"/>
      <c r="ERF42" s="595"/>
      <c r="ERG42" s="595"/>
      <c r="ERH42" s="595"/>
      <c r="ERI42" s="595"/>
      <c r="ERJ42" s="595"/>
      <c r="ERK42" s="595"/>
      <c r="ERL42" s="595"/>
      <c r="ERM42" s="595"/>
      <c r="ERN42" s="595"/>
      <c r="ERO42" s="595"/>
      <c r="ERP42" s="595"/>
      <c r="ERQ42" s="595"/>
      <c r="ERR42" s="595"/>
      <c r="ERS42" s="595"/>
      <c r="ERT42" s="595"/>
      <c r="ERU42" s="595"/>
      <c r="ERV42" s="595"/>
      <c r="ERW42" s="595"/>
      <c r="ERX42" s="595"/>
      <c r="ERY42" s="595"/>
      <c r="ERZ42" s="595"/>
      <c r="ESA42" s="595"/>
      <c r="ESB42" s="595"/>
      <c r="ESC42" s="595"/>
      <c r="ESD42" s="595"/>
      <c r="ESE42" s="595"/>
      <c r="ESF42" s="595"/>
      <c r="ESG42" s="595"/>
      <c r="ESH42" s="595"/>
      <c r="ESI42" s="595"/>
      <c r="ESJ42" s="595"/>
      <c r="ESK42" s="595"/>
      <c r="ESL42" s="595"/>
      <c r="ESM42" s="595"/>
      <c r="ESN42" s="595"/>
      <c r="ESO42" s="595"/>
      <c r="ESP42" s="595"/>
      <c r="ESQ42" s="595"/>
      <c r="ESR42" s="595"/>
      <c r="ESS42" s="595"/>
      <c r="EST42" s="595"/>
      <c r="ESU42" s="595"/>
      <c r="ESV42" s="595"/>
      <c r="ESW42" s="595"/>
      <c r="ESX42" s="595"/>
      <c r="ESY42" s="595"/>
      <c r="ESZ42" s="595"/>
      <c r="ETA42" s="595"/>
      <c r="ETB42" s="595"/>
      <c r="ETC42" s="595"/>
      <c r="ETD42" s="595"/>
      <c r="ETE42" s="595"/>
      <c r="ETF42" s="595"/>
      <c r="ETG42" s="595"/>
      <c r="ETH42" s="595"/>
      <c r="ETI42" s="595"/>
      <c r="ETJ42" s="595"/>
      <c r="ETK42" s="595"/>
      <c r="ETL42" s="595"/>
      <c r="ETM42" s="595"/>
      <c r="ETN42" s="595"/>
      <c r="ETO42" s="595"/>
      <c r="ETP42" s="595"/>
      <c r="ETQ42" s="595"/>
      <c r="ETR42" s="595"/>
      <c r="ETS42" s="595"/>
      <c r="ETT42" s="595"/>
      <c r="ETU42" s="595"/>
      <c r="ETV42" s="595"/>
      <c r="ETW42" s="595"/>
      <c r="ETX42" s="595"/>
      <c r="ETY42" s="595"/>
      <c r="ETZ42" s="595"/>
      <c r="EUA42" s="595"/>
      <c r="EUB42" s="595"/>
      <c r="EUC42" s="595"/>
      <c r="EUD42" s="595"/>
      <c r="EUE42" s="595"/>
      <c r="EUF42" s="595"/>
      <c r="EUG42" s="595"/>
      <c r="EUH42" s="595"/>
      <c r="EUI42" s="595"/>
      <c r="EUJ42" s="595"/>
      <c r="EUK42" s="595"/>
      <c r="EUL42" s="595"/>
      <c r="EUM42" s="595"/>
      <c r="EUN42" s="595"/>
      <c r="EUO42" s="595"/>
      <c r="EUP42" s="595"/>
      <c r="EUQ42" s="595"/>
      <c r="EUR42" s="595"/>
      <c r="EUS42" s="595"/>
      <c r="EUT42" s="595"/>
      <c r="EUU42" s="595"/>
      <c r="EUV42" s="595"/>
      <c r="EUW42" s="595"/>
      <c r="EUX42" s="595"/>
      <c r="EUY42" s="595"/>
      <c r="EUZ42" s="595"/>
      <c r="EVA42" s="595"/>
      <c r="EVB42" s="595"/>
      <c r="EVC42" s="595"/>
      <c r="EVD42" s="595"/>
      <c r="EVE42" s="595"/>
      <c r="EVF42" s="595"/>
      <c r="EVG42" s="595"/>
      <c r="EVH42" s="595"/>
      <c r="EVI42" s="595"/>
      <c r="EVJ42" s="595"/>
      <c r="EVK42" s="595"/>
      <c r="EVL42" s="595"/>
      <c r="EVM42" s="595"/>
      <c r="EVN42" s="595"/>
      <c r="EVO42" s="595"/>
      <c r="EVP42" s="595"/>
      <c r="EVQ42" s="595"/>
      <c r="EVR42" s="595"/>
      <c r="EVS42" s="595"/>
      <c r="EVT42" s="595"/>
      <c r="EVU42" s="595"/>
      <c r="EVV42" s="595"/>
      <c r="EVW42" s="595"/>
      <c r="EVX42" s="595"/>
      <c r="EVY42" s="595"/>
      <c r="EVZ42" s="595"/>
      <c r="EWA42" s="595"/>
      <c r="EWB42" s="595"/>
      <c r="EWC42" s="595"/>
      <c r="EWD42" s="595"/>
      <c r="EWE42" s="595"/>
      <c r="EWF42" s="595"/>
      <c r="EWG42" s="595"/>
      <c r="EWH42" s="595"/>
      <c r="EWI42" s="595"/>
      <c r="EWJ42" s="595"/>
      <c r="EWK42" s="595"/>
      <c r="EWL42" s="595"/>
      <c r="EWM42" s="595"/>
      <c r="EWN42" s="595"/>
      <c r="EWO42" s="595"/>
      <c r="EWP42" s="595"/>
      <c r="EWQ42" s="595"/>
      <c r="EWR42" s="595"/>
      <c r="EWS42" s="595"/>
      <c r="EWT42" s="595"/>
      <c r="EWU42" s="595"/>
      <c r="EWV42" s="595"/>
      <c r="EWW42" s="595"/>
      <c r="EWX42" s="595"/>
      <c r="EWY42" s="595"/>
      <c r="EWZ42" s="595"/>
      <c r="EXA42" s="595"/>
      <c r="EXB42" s="595"/>
      <c r="EXC42" s="595"/>
      <c r="EXD42" s="595"/>
      <c r="EXE42" s="595"/>
      <c r="EXF42" s="595"/>
      <c r="EXG42" s="595"/>
      <c r="EXH42" s="595"/>
      <c r="EXI42" s="595"/>
      <c r="EXJ42" s="595"/>
      <c r="EXK42" s="595"/>
      <c r="EXL42" s="595"/>
      <c r="EXM42" s="595"/>
      <c r="EXN42" s="595"/>
      <c r="EXO42" s="595"/>
      <c r="EXP42" s="595"/>
      <c r="EXQ42" s="595"/>
      <c r="EXR42" s="595"/>
      <c r="EXS42" s="595"/>
      <c r="EXT42" s="595"/>
      <c r="EXU42" s="595"/>
      <c r="EXV42" s="595"/>
      <c r="EXW42" s="595"/>
      <c r="EXX42" s="595"/>
      <c r="EXY42" s="595"/>
      <c r="EXZ42" s="595"/>
      <c r="EYA42" s="595"/>
      <c r="EYB42" s="595"/>
      <c r="EYC42" s="595"/>
      <c r="EYD42" s="595"/>
      <c r="EYE42" s="595"/>
      <c r="EYF42" s="595"/>
      <c r="EYG42" s="595"/>
      <c r="EYH42" s="595"/>
      <c r="EYI42" s="595"/>
      <c r="EYJ42" s="595"/>
      <c r="EYK42" s="595"/>
      <c r="EYL42" s="595"/>
      <c r="EYM42" s="595"/>
      <c r="EYN42" s="595"/>
      <c r="EYO42" s="595"/>
      <c r="EYP42" s="595"/>
      <c r="EYQ42" s="595"/>
      <c r="EYR42" s="595"/>
      <c r="EYS42" s="595"/>
      <c r="EYT42" s="595"/>
      <c r="EYU42" s="595"/>
      <c r="EYV42" s="595"/>
      <c r="EYW42" s="595"/>
      <c r="EYX42" s="595"/>
      <c r="EYY42" s="595"/>
      <c r="EYZ42" s="595"/>
      <c r="EZA42" s="595"/>
      <c r="EZB42" s="595"/>
      <c r="EZC42" s="595"/>
      <c r="EZD42" s="595"/>
      <c r="EZE42" s="595"/>
      <c r="EZF42" s="595"/>
      <c r="EZG42" s="595"/>
      <c r="EZH42" s="595"/>
      <c r="EZI42" s="595"/>
      <c r="EZJ42" s="595"/>
      <c r="EZK42" s="595"/>
      <c r="EZL42" s="595"/>
      <c r="EZM42" s="595"/>
      <c r="EZN42" s="595"/>
      <c r="EZO42" s="595"/>
      <c r="EZP42" s="595"/>
      <c r="EZQ42" s="595"/>
      <c r="EZR42" s="595"/>
      <c r="EZS42" s="595"/>
      <c r="EZT42" s="595"/>
      <c r="EZU42" s="595"/>
      <c r="EZV42" s="595"/>
      <c r="EZW42" s="595"/>
      <c r="EZX42" s="595"/>
      <c r="EZY42" s="595"/>
      <c r="EZZ42" s="595"/>
      <c r="FAA42" s="595"/>
      <c r="FAB42" s="595"/>
      <c r="FAC42" s="595"/>
      <c r="FAD42" s="595"/>
      <c r="FAE42" s="595"/>
      <c r="FAF42" s="595"/>
      <c r="FAG42" s="595"/>
      <c r="FAH42" s="595"/>
      <c r="FAI42" s="595"/>
      <c r="FAJ42" s="595"/>
      <c r="FAK42" s="595"/>
      <c r="FAL42" s="595"/>
      <c r="FAM42" s="595"/>
      <c r="FAN42" s="595"/>
      <c r="FAO42" s="595"/>
      <c r="FAP42" s="595"/>
      <c r="FAQ42" s="595"/>
      <c r="FAR42" s="595"/>
      <c r="FAS42" s="595"/>
      <c r="FAT42" s="595"/>
      <c r="FAU42" s="595"/>
      <c r="FAV42" s="595"/>
      <c r="FAW42" s="595"/>
      <c r="FAX42" s="595"/>
      <c r="FAY42" s="595"/>
      <c r="FAZ42" s="595"/>
      <c r="FBA42" s="595"/>
      <c r="FBB42" s="595"/>
      <c r="FBC42" s="595"/>
      <c r="FBD42" s="595"/>
      <c r="FBE42" s="595"/>
      <c r="FBF42" s="595"/>
      <c r="FBG42" s="595"/>
      <c r="FBH42" s="595"/>
      <c r="FBI42" s="595"/>
      <c r="FBJ42" s="595"/>
      <c r="FBK42" s="595"/>
      <c r="FBL42" s="595"/>
      <c r="FBM42" s="595"/>
      <c r="FBN42" s="595"/>
      <c r="FBO42" s="595"/>
      <c r="FBP42" s="595"/>
      <c r="FBQ42" s="595"/>
      <c r="FBR42" s="595"/>
      <c r="FBS42" s="595"/>
      <c r="FBT42" s="595"/>
      <c r="FBU42" s="595"/>
      <c r="FBV42" s="595"/>
      <c r="FBW42" s="595"/>
      <c r="FBX42" s="595"/>
      <c r="FBY42" s="595"/>
      <c r="FBZ42" s="595"/>
      <c r="FCA42" s="595"/>
      <c r="FCB42" s="595"/>
      <c r="FCC42" s="595"/>
      <c r="FCD42" s="595"/>
      <c r="FCE42" s="595"/>
      <c r="FCF42" s="595"/>
      <c r="FCG42" s="595"/>
      <c r="FCH42" s="595"/>
      <c r="FCI42" s="595"/>
      <c r="FCJ42" s="595"/>
      <c r="FCK42" s="595"/>
      <c r="FCL42" s="595"/>
      <c r="FCM42" s="595"/>
      <c r="FCN42" s="595"/>
      <c r="FCO42" s="595"/>
      <c r="FCP42" s="595"/>
      <c r="FCQ42" s="595"/>
      <c r="FCR42" s="595"/>
      <c r="FCS42" s="595"/>
      <c r="FCT42" s="595"/>
      <c r="FCU42" s="595"/>
      <c r="FCV42" s="595"/>
      <c r="FCW42" s="595"/>
      <c r="FCX42" s="595"/>
      <c r="FCY42" s="595"/>
      <c r="FCZ42" s="595"/>
      <c r="FDA42" s="595"/>
      <c r="FDB42" s="595"/>
      <c r="FDC42" s="595"/>
      <c r="FDD42" s="595"/>
      <c r="FDE42" s="595"/>
      <c r="FDF42" s="595"/>
      <c r="FDG42" s="595"/>
      <c r="FDH42" s="595"/>
      <c r="FDI42" s="595"/>
      <c r="FDJ42" s="595"/>
      <c r="FDK42" s="595"/>
      <c r="FDL42" s="595"/>
      <c r="FDM42" s="595"/>
      <c r="FDN42" s="595"/>
      <c r="FDO42" s="595"/>
      <c r="FDP42" s="595"/>
      <c r="FDQ42" s="595"/>
      <c r="FDR42" s="595"/>
      <c r="FDS42" s="595"/>
      <c r="FDT42" s="595"/>
      <c r="FDU42" s="595"/>
      <c r="FDV42" s="595"/>
      <c r="FDW42" s="595"/>
      <c r="FDX42" s="595"/>
      <c r="FDY42" s="595"/>
      <c r="FDZ42" s="595"/>
      <c r="FEA42" s="595"/>
      <c r="FEB42" s="595"/>
      <c r="FEC42" s="595"/>
      <c r="FED42" s="595"/>
      <c r="FEE42" s="595"/>
      <c r="FEF42" s="595"/>
      <c r="FEG42" s="595"/>
      <c r="FEH42" s="595"/>
      <c r="FEI42" s="595"/>
      <c r="FEJ42" s="595"/>
      <c r="FEK42" s="595"/>
      <c r="FEL42" s="595"/>
      <c r="FEM42" s="595"/>
      <c r="FEN42" s="595"/>
      <c r="FEO42" s="595"/>
      <c r="FEP42" s="595"/>
      <c r="FEQ42" s="595"/>
      <c r="FER42" s="595"/>
      <c r="FES42" s="595"/>
      <c r="FET42" s="595"/>
      <c r="FEU42" s="595"/>
      <c r="FEV42" s="595"/>
      <c r="FEW42" s="595"/>
      <c r="FEX42" s="595"/>
      <c r="FEY42" s="595"/>
      <c r="FEZ42" s="595"/>
      <c r="FFA42" s="595"/>
      <c r="FFB42" s="595"/>
      <c r="FFC42" s="595"/>
      <c r="FFD42" s="595"/>
      <c r="FFE42" s="595"/>
      <c r="FFF42" s="595"/>
      <c r="FFG42" s="595"/>
      <c r="FFH42" s="595"/>
      <c r="FFI42" s="595"/>
      <c r="FFJ42" s="595"/>
      <c r="FFK42" s="595"/>
      <c r="FFL42" s="595"/>
      <c r="FFM42" s="595"/>
      <c r="FFN42" s="595"/>
      <c r="FFO42" s="595"/>
      <c r="FFP42" s="595"/>
      <c r="FFQ42" s="595"/>
      <c r="FFR42" s="595"/>
      <c r="FFS42" s="595"/>
      <c r="FFT42" s="595"/>
      <c r="FFU42" s="595"/>
      <c r="FFV42" s="595"/>
      <c r="FFW42" s="595"/>
      <c r="FFX42" s="595"/>
      <c r="FFY42" s="595"/>
      <c r="FFZ42" s="595"/>
      <c r="FGA42" s="595"/>
      <c r="FGB42" s="595"/>
      <c r="FGC42" s="595"/>
      <c r="FGD42" s="595"/>
      <c r="FGE42" s="595"/>
      <c r="FGF42" s="595"/>
      <c r="FGG42" s="595"/>
      <c r="FGH42" s="595"/>
      <c r="FGI42" s="595"/>
      <c r="FGJ42" s="595"/>
      <c r="FGK42" s="595"/>
      <c r="FGL42" s="595"/>
      <c r="FGM42" s="595"/>
      <c r="FGN42" s="595"/>
      <c r="FGO42" s="595"/>
      <c r="FGP42" s="595"/>
      <c r="FGQ42" s="595"/>
      <c r="FGR42" s="595"/>
      <c r="FGS42" s="595"/>
      <c r="FGT42" s="595"/>
      <c r="FGU42" s="595"/>
      <c r="FGV42" s="595"/>
      <c r="FGW42" s="595"/>
      <c r="FGX42" s="595"/>
      <c r="FGY42" s="595"/>
      <c r="FGZ42" s="595"/>
      <c r="FHA42" s="595"/>
      <c r="FHB42" s="595"/>
      <c r="FHC42" s="595"/>
      <c r="FHD42" s="595"/>
      <c r="FHE42" s="595"/>
      <c r="FHF42" s="595"/>
      <c r="FHG42" s="595"/>
      <c r="FHH42" s="595"/>
      <c r="FHI42" s="595"/>
      <c r="FHJ42" s="595"/>
      <c r="FHK42" s="595"/>
      <c r="FHL42" s="595"/>
      <c r="FHM42" s="595"/>
      <c r="FHN42" s="595"/>
      <c r="FHO42" s="595"/>
      <c r="FHP42" s="595"/>
      <c r="FHQ42" s="595"/>
      <c r="FHR42" s="595"/>
      <c r="FHS42" s="595"/>
      <c r="FHT42" s="595"/>
      <c r="FHU42" s="595"/>
      <c r="FHV42" s="595"/>
      <c r="FHW42" s="595"/>
      <c r="FHX42" s="595"/>
      <c r="FHY42" s="595"/>
      <c r="FHZ42" s="595"/>
      <c r="FIA42" s="595"/>
      <c r="FIB42" s="595"/>
      <c r="FIC42" s="595"/>
      <c r="FID42" s="595"/>
      <c r="FIE42" s="595"/>
      <c r="FIF42" s="595"/>
      <c r="FIG42" s="595"/>
      <c r="FIH42" s="595"/>
      <c r="FII42" s="595"/>
      <c r="FIJ42" s="595"/>
      <c r="FIK42" s="595"/>
      <c r="FIL42" s="595"/>
      <c r="FIM42" s="595"/>
      <c r="FIN42" s="595"/>
      <c r="FIO42" s="595"/>
      <c r="FIP42" s="595"/>
      <c r="FIQ42" s="595"/>
      <c r="FIR42" s="595"/>
      <c r="FIS42" s="595"/>
      <c r="FIT42" s="595"/>
      <c r="FIU42" s="595"/>
      <c r="FIV42" s="595"/>
      <c r="FIW42" s="595"/>
      <c r="FIX42" s="595"/>
      <c r="FIY42" s="595"/>
      <c r="FIZ42" s="595"/>
      <c r="FJA42" s="595"/>
      <c r="FJB42" s="595"/>
      <c r="FJC42" s="595"/>
      <c r="FJD42" s="595"/>
      <c r="FJE42" s="595"/>
      <c r="FJF42" s="595"/>
      <c r="FJG42" s="595"/>
      <c r="FJH42" s="595"/>
      <c r="FJI42" s="595"/>
      <c r="FJJ42" s="595"/>
      <c r="FJK42" s="595"/>
      <c r="FJL42" s="595"/>
      <c r="FJM42" s="595"/>
      <c r="FJN42" s="595"/>
      <c r="FJO42" s="595"/>
      <c r="FJP42" s="595"/>
      <c r="FJQ42" s="595"/>
      <c r="FJR42" s="595"/>
      <c r="FJS42" s="595"/>
      <c r="FJT42" s="595"/>
      <c r="FJU42" s="595"/>
      <c r="FJV42" s="595"/>
      <c r="FJW42" s="595"/>
      <c r="FJX42" s="595"/>
      <c r="FJY42" s="595"/>
      <c r="FJZ42" s="595"/>
      <c r="FKA42" s="595"/>
      <c r="FKB42" s="595"/>
      <c r="FKC42" s="595"/>
      <c r="FKD42" s="595"/>
      <c r="FKE42" s="595"/>
      <c r="FKF42" s="595"/>
      <c r="FKG42" s="595"/>
      <c r="FKH42" s="595"/>
      <c r="FKI42" s="595"/>
      <c r="FKJ42" s="595"/>
      <c r="FKK42" s="595"/>
      <c r="FKL42" s="595"/>
      <c r="FKM42" s="595"/>
      <c r="FKN42" s="595"/>
      <c r="FKO42" s="595"/>
      <c r="FKP42" s="595"/>
      <c r="FKQ42" s="595"/>
      <c r="FKR42" s="595"/>
      <c r="FKS42" s="595"/>
      <c r="FKT42" s="595"/>
      <c r="FKU42" s="595"/>
      <c r="FKV42" s="595"/>
      <c r="FKW42" s="595"/>
      <c r="FKX42" s="595"/>
      <c r="FKY42" s="595"/>
      <c r="FKZ42" s="595"/>
      <c r="FLA42" s="595"/>
      <c r="FLB42" s="595"/>
      <c r="FLC42" s="595"/>
      <c r="FLD42" s="595"/>
      <c r="FLE42" s="595"/>
      <c r="FLF42" s="595"/>
      <c r="FLG42" s="595"/>
      <c r="FLH42" s="595"/>
      <c r="FLI42" s="595"/>
      <c r="FLJ42" s="595"/>
      <c r="FLK42" s="595"/>
      <c r="FLL42" s="595"/>
      <c r="FLM42" s="595"/>
      <c r="FLN42" s="595"/>
      <c r="FLO42" s="595"/>
      <c r="FLP42" s="595"/>
      <c r="FLQ42" s="595"/>
      <c r="FLR42" s="595"/>
      <c r="FLS42" s="595"/>
      <c r="FLT42" s="595"/>
      <c r="FLU42" s="595"/>
      <c r="FLV42" s="595"/>
      <c r="FLW42" s="595"/>
      <c r="FLX42" s="595"/>
      <c r="FLY42" s="595"/>
      <c r="FLZ42" s="595"/>
      <c r="FMA42" s="595"/>
      <c r="FMB42" s="595"/>
      <c r="FMC42" s="595"/>
      <c r="FMD42" s="595"/>
      <c r="FME42" s="595"/>
      <c r="FMF42" s="595"/>
      <c r="FMG42" s="595"/>
      <c r="FMH42" s="595"/>
      <c r="FMI42" s="595"/>
      <c r="FMJ42" s="595"/>
      <c r="FMK42" s="595"/>
      <c r="FML42" s="595"/>
      <c r="FMM42" s="595"/>
      <c r="FMN42" s="595"/>
      <c r="FMO42" s="595"/>
      <c r="FMP42" s="595"/>
      <c r="FMQ42" s="595"/>
      <c r="FMR42" s="595"/>
      <c r="FMS42" s="595"/>
      <c r="FMT42" s="595"/>
      <c r="FMU42" s="595"/>
      <c r="FMV42" s="595"/>
      <c r="FMW42" s="595"/>
      <c r="FMX42" s="595"/>
      <c r="FMY42" s="595"/>
      <c r="FMZ42" s="595"/>
      <c r="FNA42" s="595"/>
      <c r="FNB42" s="595"/>
      <c r="FNC42" s="595"/>
      <c r="FND42" s="595"/>
      <c r="FNE42" s="595"/>
      <c r="FNF42" s="595"/>
      <c r="FNG42" s="595"/>
      <c r="FNH42" s="595"/>
      <c r="FNI42" s="595"/>
      <c r="FNJ42" s="595"/>
      <c r="FNK42" s="595"/>
      <c r="FNL42" s="595"/>
      <c r="FNM42" s="595"/>
      <c r="FNN42" s="595"/>
      <c r="FNO42" s="595"/>
      <c r="FNP42" s="595"/>
      <c r="FNQ42" s="595"/>
      <c r="FNR42" s="595"/>
      <c r="FNS42" s="595"/>
      <c r="FNT42" s="595"/>
      <c r="FNU42" s="595"/>
      <c r="FNV42" s="595"/>
      <c r="FNW42" s="595"/>
      <c r="FNX42" s="595"/>
      <c r="FNY42" s="595"/>
      <c r="FNZ42" s="595"/>
      <c r="FOA42" s="595"/>
      <c r="FOB42" s="595"/>
      <c r="FOC42" s="595"/>
      <c r="FOD42" s="595"/>
      <c r="FOE42" s="595"/>
      <c r="FOF42" s="595"/>
      <c r="FOG42" s="595"/>
      <c r="FOH42" s="595"/>
      <c r="FOI42" s="595"/>
      <c r="FOJ42" s="595"/>
      <c r="FOK42" s="595"/>
      <c r="FOL42" s="595"/>
      <c r="FOM42" s="595"/>
      <c r="FON42" s="595"/>
      <c r="FOO42" s="595"/>
      <c r="FOP42" s="595"/>
      <c r="FOQ42" s="595"/>
      <c r="FOR42" s="595"/>
      <c r="FOS42" s="595"/>
      <c r="FOT42" s="595"/>
      <c r="FOU42" s="595"/>
      <c r="FOV42" s="595"/>
      <c r="FOW42" s="595"/>
      <c r="FOX42" s="595"/>
      <c r="FOY42" s="595"/>
      <c r="FOZ42" s="595"/>
      <c r="FPA42" s="595"/>
      <c r="FPB42" s="595"/>
      <c r="FPC42" s="595"/>
      <c r="FPD42" s="595"/>
      <c r="FPE42" s="595"/>
      <c r="FPF42" s="595"/>
      <c r="FPG42" s="595"/>
      <c r="FPH42" s="595"/>
      <c r="FPI42" s="595"/>
      <c r="FPJ42" s="595"/>
      <c r="FPK42" s="595"/>
      <c r="FPL42" s="595"/>
      <c r="FPM42" s="595"/>
      <c r="FPN42" s="595"/>
      <c r="FPO42" s="595"/>
      <c r="FPP42" s="595"/>
      <c r="FPQ42" s="595"/>
      <c r="FPR42" s="595"/>
      <c r="FPS42" s="595"/>
      <c r="FPT42" s="595"/>
      <c r="FPU42" s="595"/>
      <c r="FPV42" s="595"/>
      <c r="FPW42" s="595"/>
      <c r="FPX42" s="595"/>
      <c r="FPY42" s="595"/>
      <c r="FPZ42" s="595"/>
      <c r="FQA42" s="595"/>
      <c r="FQB42" s="595"/>
      <c r="FQC42" s="595"/>
      <c r="FQD42" s="595"/>
      <c r="FQE42" s="595"/>
      <c r="FQF42" s="595"/>
      <c r="FQG42" s="595"/>
      <c r="FQH42" s="595"/>
      <c r="FQI42" s="595"/>
      <c r="FQJ42" s="595"/>
      <c r="FQK42" s="595"/>
      <c r="FQL42" s="595"/>
      <c r="FQM42" s="595"/>
      <c r="FQN42" s="595"/>
      <c r="FQO42" s="595"/>
      <c r="FQP42" s="595"/>
      <c r="FQQ42" s="595"/>
      <c r="FQR42" s="595"/>
      <c r="FQS42" s="595"/>
      <c r="FQT42" s="595"/>
      <c r="FQU42" s="595"/>
      <c r="FQV42" s="595"/>
      <c r="FQW42" s="595"/>
      <c r="FQX42" s="595"/>
      <c r="FQY42" s="595"/>
      <c r="FQZ42" s="595"/>
      <c r="FRA42" s="595"/>
      <c r="FRB42" s="595"/>
      <c r="FRC42" s="595"/>
      <c r="FRD42" s="595"/>
      <c r="FRE42" s="595"/>
      <c r="FRF42" s="595"/>
      <c r="FRG42" s="595"/>
      <c r="FRH42" s="595"/>
      <c r="FRI42" s="595"/>
      <c r="FRJ42" s="595"/>
      <c r="FRK42" s="595"/>
      <c r="FRL42" s="595"/>
      <c r="FRM42" s="595"/>
      <c r="FRN42" s="595"/>
      <c r="FRO42" s="595"/>
      <c r="FRP42" s="595"/>
      <c r="FRQ42" s="595"/>
      <c r="FRR42" s="595"/>
      <c r="FRS42" s="595"/>
      <c r="FRT42" s="595"/>
      <c r="FRU42" s="595"/>
      <c r="FRV42" s="595"/>
      <c r="FRW42" s="595"/>
      <c r="FRX42" s="595"/>
      <c r="FRY42" s="595"/>
      <c r="FRZ42" s="595"/>
      <c r="FSA42" s="595"/>
      <c r="FSB42" s="595"/>
      <c r="FSC42" s="595"/>
      <c r="FSD42" s="595"/>
      <c r="FSE42" s="595"/>
      <c r="FSF42" s="595"/>
      <c r="FSG42" s="595"/>
      <c r="FSH42" s="595"/>
      <c r="FSI42" s="595"/>
      <c r="FSJ42" s="595"/>
      <c r="FSK42" s="595"/>
      <c r="FSL42" s="595"/>
      <c r="FSM42" s="595"/>
      <c r="FSN42" s="595"/>
      <c r="FSO42" s="595"/>
      <c r="FSP42" s="595"/>
      <c r="FSQ42" s="595"/>
      <c r="FSR42" s="595"/>
      <c r="FSS42" s="595"/>
      <c r="FST42" s="595"/>
      <c r="FSU42" s="595"/>
      <c r="FSV42" s="595"/>
      <c r="FSW42" s="595"/>
      <c r="FSX42" s="595"/>
      <c r="FSY42" s="595"/>
      <c r="FSZ42" s="595"/>
      <c r="FTA42" s="595"/>
      <c r="FTB42" s="595"/>
      <c r="FTC42" s="595"/>
      <c r="FTD42" s="595"/>
      <c r="FTE42" s="595"/>
      <c r="FTF42" s="595"/>
      <c r="FTG42" s="595"/>
      <c r="FTH42" s="595"/>
      <c r="FTI42" s="595"/>
      <c r="FTJ42" s="595"/>
      <c r="FTK42" s="595"/>
      <c r="FTL42" s="595"/>
      <c r="FTM42" s="595"/>
      <c r="FTN42" s="595"/>
      <c r="FTO42" s="595"/>
      <c r="FTP42" s="595"/>
      <c r="FTQ42" s="595"/>
      <c r="FTR42" s="595"/>
      <c r="FTS42" s="595"/>
      <c r="FTT42" s="595"/>
      <c r="FTU42" s="595"/>
      <c r="FTV42" s="595"/>
      <c r="FTW42" s="595"/>
      <c r="FTX42" s="595"/>
      <c r="FTY42" s="595"/>
      <c r="FTZ42" s="595"/>
      <c r="FUA42" s="595"/>
      <c r="FUB42" s="595"/>
      <c r="FUC42" s="595"/>
      <c r="FUD42" s="595"/>
      <c r="FUE42" s="595"/>
      <c r="FUF42" s="595"/>
      <c r="FUG42" s="595"/>
      <c r="FUH42" s="595"/>
      <c r="FUI42" s="595"/>
      <c r="FUJ42" s="595"/>
      <c r="FUK42" s="595"/>
      <c r="FUL42" s="595"/>
      <c r="FUM42" s="595"/>
      <c r="FUN42" s="595"/>
      <c r="FUO42" s="595"/>
      <c r="FUP42" s="595"/>
      <c r="FUQ42" s="595"/>
      <c r="FUR42" s="595"/>
      <c r="FUS42" s="595"/>
      <c r="FUT42" s="595"/>
      <c r="FUU42" s="595"/>
      <c r="FUV42" s="595"/>
      <c r="FUW42" s="595"/>
      <c r="FUX42" s="595"/>
      <c r="FUY42" s="595"/>
      <c r="FUZ42" s="595"/>
      <c r="FVA42" s="595"/>
      <c r="FVB42" s="595"/>
      <c r="FVC42" s="595"/>
      <c r="FVD42" s="595"/>
      <c r="FVE42" s="595"/>
      <c r="FVF42" s="595"/>
      <c r="FVG42" s="595"/>
      <c r="FVH42" s="595"/>
      <c r="FVI42" s="595"/>
      <c r="FVJ42" s="595"/>
      <c r="FVK42" s="595"/>
      <c r="FVL42" s="595"/>
      <c r="FVM42" s="595"/>
      <c r="FVN42" s="595"/>
      <c r="FVO42" s="595"/>
      <c r="FVP42" s="595"/>
      <c r="FVQ42" s="595"/>
      <c r="FVR42" s="595"/>
      <c r="FVS42" s="595"/>
      <c r="FVT42" s="595"/>
      <c r="FVU42" s="595"/>
      <c r="FVV42" s="595"/>
      <c r="FVW42" s="595"/>
      <c r="FVX42" s="595"/>
      <c r="FVY42" s="595"/>
      <c r="FVZ42" s="595"/>
      <c r="FWA42" s="595"/>
      <c r="FWB42" s="595"/>
      <c r="FWC42" s="595"/>
      <c r="FWD42" s="595"/>
      <c r="FWE42" s="595"/>
      <c r="FWF42" s="595"/>
      <c r="FWG42" s="595"/>
      <c r="FWH42" s="595"/>
      <c r="FWI42" s="595"/>
      <c r="FWJ42" s="595"/>
      <c r="FWK42" s="595"/>
      <c r="FWL42" s="595"/>
      <c r="FWM42" s="595"/>
      <c r="FWN42" s="595"/>
      <c r="FWO42" s="595"/>
      <c r="FWP42" s="595"/>
      <c r="FWQ42" s="595"/>
      <c r="FWR42" s="595"/>
      <c r="FWS42" s="595"/>
      <c r="FWT42" s="595"/>
      <c r="FWU42" s="595"/>
      <c r="FWV42" s="595"/>
      <c r="FWW42" s="595"/>
      <c r="FWX42" s="595"/>
      <c r="FWY42" s="595"/>
      <c r="FWZ42" s="595"/>
      <c r="FXA42" s="595"/>
      <c r="FXB42" s="595"/>
      <c r="FXC42" s="595"/>
      <c r="FXD42" s="595"/>
      <c r="FXE42" s="595"/>
      <c r="FXF42" s="595"/>
      <c r="FXG42" s="595"/>
      <c r="FXH42" s="595"/>
      <c r="FXI42" s="595"/>
      <c r="FXJ42" s="595"/>
      <c r="FXK42" s="595"/>
      <c r="FXL42" s="595"/>
      <c r="FXM42" s="595"/>
      <c r="FXN42" s="595"/>
      <c r="FXO42" s="595"/>
      <c r="FXP42" s="595"/>
      <c r="FXQ42" s="595"/>
      <c r="FXR42" s="595"/>
      <c r="FXS42" s="595"/>
      <c r="FXT42" s="595"/>
      <c r="FXU42" s="595"/>
      <c r="FXV42" s="595"/>
      <c r="FXW42" s="595"/>
      <c r="FXX42" s="595"/>
      <c r="FXY42" s="595"/>
      <c r="FXZ42" s="595"/>
      <c r="FYA42" s="595"/>
      <c r="FYB42" s="595"/>
      <c r="FYC42" s="595"/>
      <c r="FYD42" s="595"/>
      <c r="FYE42" s="595"/>
      <c r="FYF42" s="595"/>
      <c r="FYG42" s="595"/>
      <c r="FYH42" s="595"/>
      <c r="FYI42" s="595"/>
      <c r="FYJ42" s="595"/>
      <c r="FYK42" s="595"/>
      <c r="FYL42" s="595"/>
      <c r="FYM42" s="595"/>
      <c r="FYN42" s="595"/>
      <c r="FYO42" s="595"/>
      <c r="FYP42" s="595"/>
      <c r="FYQ42" s="595"/>
      <c r="FYR42" s="595"/>
      <c r="FYS42" s="595"/>
      <c r="FYT42" s="595"/>
      <c r="FYU42" s="595"/>
      <c r="FYV42" s="595"/>
      <c r="FYW42" s="595"/>
      <c r="FYX42" s="595"/>
      <c r="FYY42" s="595"/>
      <c r="FYZ42" s="595"/>
      <c r="FZA42" s="595"/>
      <c r="FZB42" s="595"/>
      <c r="FZC42" s="595"/>
      <c r="FZD42" s="595"/>
      <c r="FZE42" s="595"/>
      <c r="FZF42" s="595"/>
      <c r="FZG42" s="595"/>
      <c r="FZH42" s="595"/>
      <c r="FZI42" s="595"/>
      <c r="FZJ42" s="595"/>
      <c r="FZK42" s="595"/>
      <c r="FZL42" s="595"/>
      <c r="FZM42" s="595"/>
      <c r="FZN42" s="595"/>
      <c r="FZO42" s="595"/>
      <c r="FZP42" s="595"/>
      <c r="FZQ42" s="595"/>
      <c r="FZR42" s="595"/>
      <c r="FZS42" s="595"/>
      <c r="FZT42" s="595"/>
      <c r="FZU42" s="595"/>
      <c r="FZV42" s="595"/>
      <c r="FZW42" s="595"/>
      <c r="FZX42" s="595"/>
      <c r="FZY42" s="595"/>
      <c r="FZZ42" s="595"/>
      <c r="GAA42" s="595"/>
      <c r="GAB42" s="595"/>
      <c r="GAC42" s="595"/>
      <c r="GAD42" s="595"/>
      <c r="GAE42" s="595"/>
      <c r="GAF42" s="595"/>
      <c r="GAG42" s="595"/>
      <c r="GAH42" s="595"/>
      <c r="GAI42" s="595"/>
      <c r="GAJ42" s="595"/>
      <c r="GAK42" s="595"/>
      <c r="GAL42" s="595"/>
      <c r="GAM42" s="595"/>
      <c r="GAN42" s="595"/>
      <c r="GAO42" s="595"/>
      <c r="GAP42" s="595"/>
      <c r="GAQ42" s="595"/>
      <c r="GAR42" s="595"/>
      <c r="GAS42" s="595"/>
      <c r="GAT42" s="595"/>
      <c r="GAU42" s="595"/>
      <c r="GAV42" s="595"/>
      <c r="GAW42" s="595"/>
      <c r="GAX42" s="595"/>
      <c r="GAY42" s="595"/>
      <c r="GAZ42" s="595"/>
      <c r="GBA42" s="595"/>
      <c r="GBB42" s="595"/>
      <c r="GBC42" s="595"/>
      <c r="GBD42" s="595"/>
      <c r="GBE42" s="595"/>
      <c r="GBF42" s="595"/>
      <c r="GBG42" s="595"/>
      <c r="GBH42" s="595"/>
      <c r="GBI42" s="595"/>
      <c r="GBJ42" s="595"/>
      <c r="GBK42" s="595"/>
      <c r="GBL42" s="595"/>
      <c r="GBM42" s="595"/>
      <c r="GBN42" s="595"/>
      <c r="GBO42" s="595"/>
      <c r="GBP42" s="595"/>
      <c r="GBQ42" s="595"/>
      <c r="GBR42" s="595"/>
      <c r="GBS42" s="595"/>
      <c r="GBT42" s="595"/>
      <c r="GBU42" s="595"/>
      <c r="GBV42" s="595"/>
      <c r="GBW42" s="595"/>
      <c r="GBX42" s="595"/>
      <c r="GBY42" s="595"/>
      <c r="GBZ42" s="595"/>
      <c r="GCA42" s="595"/>
      <c r="GCB42" s="595"/>
      <c r="GCC42" s="595"/>
      <c r="GCD42" s="595"/>
      <c r="GCE42" s="595"/>
      <c r="GCF42" s="595"/>
      <c r="GCG42" s="595"/>
      <c r="GCH42" s="595"/>
      <c r="GCI42" s="595"/>
      <c r="GCJ42" s="595"/>
      <c r="GCK42" s="595"/>
      <c r="GCL42" s="595"/>
      <c r="GCM42" s="595"/>
      <c r="GCN42" s="595"/>
      <c r="GCO42" s="595"/>
      <c r="GCP42" s="595"/>
      <c r="GCQ42" s="595"/>
      <c r="GCR42" s="595"/>
      <c r="GCS42" s="595"/>
      <c r="GCT42" s="595"/>
      <c r="GCU42" s="595"/>
      <c r="GCV42" s="595"/>
      <c r="GCW42" s="595"/>
      <c r="GCX42" s="595"/>
      <c r="GCY42" s="595"/>
      <c r="GCZ42" s="595"/>
      <c r="GDA42" s="595"/>
      <c r="GDB42" s="595"/>
      <c r="GDC42" s="595"/>
      <c r="GDD42" s="595"/>
      <c r="GDE42" s="595"/>
      <c r="GDF42" s="595"/>
      <c r="GDG42" s="595"/>
      <c r="GDH42" s="595"/>
      <c r="GDI42" s="595"/>
      <c r="GDJ42" s="595"/>
      <c r="GDK42" s="595"/>
      <c r="GDL42" s="595"/>
      <c r="GDM42" s="595"/>
      <c r="GDN42" s="595"/>
      <c r="GDO42" s="595"/>
      <c r="GDP42" s="595"/>
      <c r="GDQ42" s="595"/>
      <c r="GDR42" s="595"/>
      <c r="GDS42" s="595"/>
      <c r="GDT42" s="595"/>
      <c r="GDU42" s="595"/>
      <c r="GDV42" s="595"/>
      <c r="GDW42" s="595"/>
      <c r="GDX42" s="595"/>
      <c r="GDY42" s="595"/>
      <c r="GDZ42" s="595"/>
      <c r="GEA42" s="595"/>
      <c r="GEB42" s="595"/>
      <c r="GEC42" s="595"/>
      <c r="GED42" s="595"/>
      <c r="GEE42" s="595"/>
      <c r="GEF42" s="595"/>
      <c r="GEG42" s="595"/>
      <c r="GEH42" s="595"/>
      <c r="GEI42" s="595"/>
      <c r="GEJ42" s="595"/>
      <c r="GEK42" s="595"/>
      <c r="GEL42" s="595"/>
      <c r="GEM42" s="595"/>
      <c r="GEN42" s="595"/>
      <c r="GEO42" s="595"/>
      <c r="GEP42" s="595"/>
      <c r="GEQ42" s="595"/>
      <c r="GER42" s="595"/>
      <c r="GES42" s="595"/>
      <c r="GET42" s="595"/>
      <c r="GEU42" s="595"/>
      <c r="GEV42" s="595"/>
      <c r="GEW42" s="595"/>
      <c r="GEX42" s="595"/>
      <c r="GEY42" s="595"/>
      <c r="GEZ42" s="595"/>
      <c r="GFA42" s="595"/>
      <c r="GFB42" s="595"/>
      <c r="GFC42" s="595"/>
      <c r="GFD42" s="595"/>
      <c r="GFE42" s="595"/>
      <c r="GFF42" s="595"/>
      <c r="GFG42" s="595"/>
      <c r="GFH42" s="595"/>
      <c r="GFI42" s="595"/>
      <c r="GFJ42" s="595"/>
      <c r="GFK42" s="595"/>
      <c r="GFL42" s="595"/>
      <c r="GFM42" s="595"/>
      <c r="GFN42" s="595"/>
      <c r="GFO42" s="595"/>
      <c r="GFP42" s="595"/>
      <c r="GFQ42" s="595"/>
      <c r="GFR42" s="595"/>
      <c r="GFS42" s="595"/>
      <c r="GFT42" s="595"/>
      <c r="GFU42" s="595"/>
      <c r="GFV42" s="595"/>
      <c r="GFW42" s="595"/>
      <c r="GFX42" s="595"/>
      <c r="GFY42" s="595"/>
      <c r="GFZ42" s="595"/>
      <c r="GGA42" s="595"/>
      <c r="GGB42" s="595"/>
      <c r="GGC42" s="595"/>
      <c r="GGD42" s="595"/>
      <c r="GGE42" s="595"/>
      <c r="GGF42" s="595"/>
      <c r="GGG42" s="595"/>
      <c r="GGH42" s="595"/>
      <c r="GGI42" s="595"/>
      <c r="GGJ42" s="595"/>
      <c r="GGK42" s="595"/>
      <c r="GGL42" s="595"/>
      <c r="GGM42" s="595"/>
      <c r="GGN42" s="595"/>
      <c r="GGO42" s="595"/>
      <c r="GGP42" s="595"/>
      <c r="GGQ42" s="595"/>
      <c r="GGR42" s="595"/>
      <c r="GGS42" s="595"/>
      <c r="GGT42" s="595"/>
      <c r="GGU42" s="595"/>
      <c r="GGV42" s="595"/>
      <c r="GGW42" s="595"/>
      <c r="GGX42" s="595"/>
      <c r="GGY42" s="595"/>
      <c r="GGZ42" s="595"/>
      <c r="GHA42" s="595"/>
      <c r="GHB42" s="595"/>
      <c r="GHC42" s="595"/>
      <c r="GHD42" s="595"/>
      <c r="GHE42" s="595"/>
      <c r="GHF42" s="595"/>
      <c r="GHG42" s="595"/>
      <c r="GHH42" s="595"/>
      <c r="GHI42" s="595"/>
      <c r="GHJ42" s="595"/>
      <c r="GHK42" s="595"/>
      <c r="GHL42" s="595"/>
      <c r="GHM42" s="595"/>
      <c r="GHN42" s="595"/>
      <c r="GHO42" s="595"/>
      <c r="GHP42" s="595"/>
      <c r="GHQ42" s="595"/>
      <c r="GHR42" s="595"/>
      <c r="GHS42" s="595"/>
      <c r="GHT42" s="595"/>
      <c r="GHU42" s="595"/>
      <c r="GHV42" s="595"/>
      <c r="GHW42" s="595"/>
      <c r="GHX42" s="595"/>
      <c r="GHY42" s="595"/>
      <c r="GHZ42" s="595"/>
      <c r="GIA42" s="595"/>
      <c r="GIB42" s="595"/>
      <c r="GIC42" s="595"/>
      <c r="GID42" s="595"/>
      <c r="GIE42" s="595"/>
      <c r="GIF42" s="595"/>
      <c r="GIG42" s="595"/>
      <c r="GIH42" s="595"/>
      <c r="GII42" s="595"/>
      <c r="GIJ42" s="595"/>
      <c r="GIK42" s="595"/>
      <c r="GIL42" s="595"/>
      <c r="GIM42" s="595"/>
      <c r="GIN42" s="595"/>
      <c r="GIO42" s="595"/>
      <c r="GIP42" s="595"/>
      <c r="GIQ42" s="595"/>
      <c r="GIR42" s="595"/>
      <c r="GIS42" s="595"/>
      <c r="GIT42" s="595"/>
      <c r="GIU42" s="595"/>
      <c r="GIV42" s="595"/>
      <c r="GIW42" s="595"/>
      <c r="GIX42" s="595"/>
      <c r="GIY42" s="595"/>
      <c r="GIZ42" s="595"/>
      <c r="GJA42" s="595"/>
      <c r="GJB42" s="595"/>
      <c r="GJC42" s="595"/>
      <c r="GJD42" s="595"/>
      <c r="GJE42" s="595"/>
      <c r="GJF42" s="595"/>
      <c r="GJG42" s="595"/>
      <c r="GJH42" s="595"/>
      <c r="GJI42" s="595"/>
      <c r="GJJ42" s="595"/>
      <c r="GJK42" s="595"/>
      <c r="GJL42" s="595"/>
      <c r="GJM42" s="595"/>
      <c r="GJN42" s="595"/>
      <c r="GJO42" s="595"/>
      <c r="GJP42" s="595"/>
      <c r="GJQ42" s="595"/>
      <c r="GJR42" s="595"/>
      <c r="GJS42" s="595"/>
      <c r="GJT42" s="595"/>
      <c r="GJU42" s="595"/>
      <c r="GJV42" s="595"/>
      <c r="GJW42" s="595"/>
      <c r="GJX42" s="595"/>
      <c r="GJY42" s="595"/>
      <c r="GJZ42" s="595"/>
      <c r="GKA42" s="595"/>
      <c r="GKB42" s="595"/>
      <c r="GKC42" s="595"/>
      <c r="GKD42" s="595"/>
      <c r="GKE42" s="595"/>
      <c r="GKF42" s="595"/>
      <c r="GKG42" s="595"/>
      <c r="GKH42" s="595"/>
      <c r="GKI42" s="595"/>
      <c r="GKJ42" s="595"/>
      <c r="GKK42" s="595"/>
      <c r="GKL42" s="595"/>
      <c r="GKM42" s="595"/>
      <c r="GKN42" s="595"/>
      <c r="GKO42" s="595"/>
      <c r="GKP42" s="595"/>
      <c r="GKQ42" s="595"/>
      <c r="GKR42" s="595"/>
      <c r="GKS42" s="595"/>
      <c r="GKT42" s="595"/>
      <c r="GKU42" s="595"/>
      <c r="GKV42" s="595"/>
      <c r="GKW42" s="595"/>
      <c r="GKX42" s="595"/>
      <c r="GKY42" s="595"/>
      <c r="GKZ42" s="595"/>
      <c r="GLA42" s="595"/>
      <c r="GLB42" s="595"/>
      <c r="GLC42" s="595"/>
      <c r="GLD42" s="595"/>
      <c r="GLE42" s="595"/>
      <c r="GLF42" s="595"/>
      <c r="GLG42" s="595"/>
      <c r="GLH42" s="595"/>
      <c r="GLI42" s="595"/>
      <c r="GLJ42" s="595"/>
      <c r="GLK42" s="595"/>
      <c r="GLL42" s="595"/>
      <c r="GLM42" s="595"/>
      <c r="GLN42" s="595"/>
      <c r="GLO42" s="595"/>
      <c r="GLP42" s="595"/>
      <c r="GLQ42" s="595"/>
      <c r="GLR42" s="595"/>
      <c r="GLS42" s="595"/>
      <c r="GLT42" s="595"/>
      <c r="GLU42" s="595"/>
      <c r="GLV42" s="595"/>
      <c r="GLW42" s="595"/>
      <c r="GLX42" s="595"/>
      <c r="GLY42" s="595"/>
      <c r="GLZ42" s="595"/>
      <c r="GMA42" s="595"/>
      <c r="GMB42" s="595"/>
      <c r="GMC42" s="595"/>
      <c r="GMD42" s="595"/>
      <c r="GME42" s="595"/>
      <c r="GMF42" s="595"/>
      <c r="GMG42" s="595"/>
      <c r="GMH42" s="595"/>
      <c r="GMI42" s="595"/>
      <c r="GMJ42" s="595"/>
      <c r="GMK42" s="595"/>
      <c r="GML42" s="595"/>
      <c r="GMM42" s="595"/>
      <c r="GMN42" s="595"/>
      <c r="GMO42" s="595"/>
      <c r="GMP42" s="595"/>
      <c r="GMQ42" s="595"/>
      <c r="GMR42" s="595"/>
      <c r="GMS42" s="595"/>
      <c r="GMT42" s="595"/>
      <c r="GMU42" s="595"/>
      <c r="GMV42" s="595"/>
      <c r="GMW42" s="595"/>
      <c r="GMX42" s="595"/>
      <c r="GMY42" s="595"/>
      <c r="GMZ42" s="595"/>
      <c r="GNA42" s="595"/>
      <c r="GNB42" s="595"/>
      <c r="GNC42" s="595"/>
      <c r="GND42" s="595"/>
      <c r="GNE42" s="595"/>
      <c r="GNF42" s="595"/>
      <c r="GNG42" s="595"/>
      <c r="GNH42" s="595"/>
      <c r="GNI42" s="595"/>
      <c r="GNJ42" s="595"/>
      <c r="GNK42" s="595"/>
      <c r="GNL42" s="595"/>
      <c r="GNM42" s="595"/>
      <c r="GNN42" s="595"/>
      <c r="GNO42" s="595"/>
      <c r="GNP42" s="595"/>
      <c r="GNQ42" s="595"/>
      <c r="GNR42" s="595"/>
      <c r="GNS42" s="595"/>
      <c r="GNT42" s="595"/>
      <c r="GNU42" s="595"/>
      <c r="GNV42" s="595"/>
      <c r="GNW42" s="595"/>
      <c r="GNX42" s="595"/>
      <c r="GNY42" s="595"/>
      <c r="GNZ42" s="595"/>
      <c r="GOA42" s="595"/>
      <c r="GOB42" s="595"/>
      <c r="GOC42" s="595"/>
      <c r="GOD42" s="595"/>
      <c r="GOE42" s="595"/>
      <c r="GOF42" s="595"/>
      <c r="GOG42" s="595"/>
      <c r="GOH42" s="595"/>
      <c r="GOI42" s="595"/>
      <c r="GOJ42" s="595"/>
      <c r="GOK42" s="595"/>
      <c r="GOL42" s="595"/>
      <c r="GOM42" s="595"/>
      <c r="GON42" s="595"/>
      <c r="GOO42" s="595"/>
      <c r="GOP42" s="595"/>
      <c r="GOQ42" s="595"/>
      <c r="GOR42" s="595"/>
      <c r="GOS42" s="595"/>
      <c r="GOT42" s="595"/>
      <c r="GOU42" s="595"/>
      <c r="GOV42" s="595"/>
      <c r="GOW42" s="595"/>
      <c r="GOX42" s="595"/>
      <c r="GOY42" s="595"/>
      <c r="GOZ42" s="595"/>
      <c r="GPA42" s="595"/>
      <c r="GPB42" s="595"/>
      <c r="GPC42" s="595"/>
      <c r="GPD42" s="595"/>
      <c r="GPE42" s="595"/>
      <c r="GPF42" s="595"/>
      <c r="GPG42" s="595"/>
      <c r="GPH42" s="595"/>
      <c r="GPI42" s="595"/>
      <c r="GPJ42" s="595"/>
      <c r="GPK42" s="595"/>
      <c r="GPL42" s="595"/>
      <c r="GPM42" s="595"/>
      <c r="GPN42" s="595"/>
      <c r="GPO42" s="595"/>
      <c r="GPP42" s="595"/>
      <c r="GPQ42" s="595"/>
      <c r="GPR42" s="595"/>
      <c r="GPS42" s="595"/>
      <c r="GPT42" s="595"/>
      <c r="GPU42" s="595"/>
      <c r="GPV42" s="595"/>
      <c r="GPW42" s="595"/>
      <c r="GPX42" s="595"/>
      <c r="GPY42" s="595"/>
      <c r="GPZ42" s="595"/>
      <c r="GQA42" s="595"/>
      <c r="GQB42" s="595"/>
      <c r="GQC42" s="595"/>
      <c r="GQD42" s="595"/>
      <c r="GQE42" s="595"/>
      <c r="GQF42" s="595"/>
      <c r="GQG42" s="595"/>
      <c r="GQH42" s="595"/>
      <c r="GQI42" s="595"/>
      <c r="GQJ42" s="595"/>
      <c r="GQK42" s="595"/>
      <c r="GQL42" s="595"/>
      <c r="GQM42" s="595"/>
      <c r="GQN42" s="595"/>
      <c r="GQO42" s="595"/>
      <c r="GQP42" s="595"/>
      <c r="GQQ42" s="595"/>
      <c r="GQR42" s="595"/>
      <c r="GQS42" s="595"/>
      <c r="GQT42" s="595"/>
      <c r="GQU42" s="595"/>
      <c r="GQV42" s="595"/>
      <c r="GQW42" s="595"/>
      <c r="GQX42" s="595"/>
      <c r="GQY42" s="595"/>
      <c r="GQZ42" s="595"/>
      <c r="GRA42" s="595"/>
      <c r="GRB42" s="595"/>
      <c r="GRC42" s="595"/>
      <c r="GRD42" s="595"/>
      <c r="GRE42" s="595"/>
      <c r="GRF42" s="595"/>
      <c r="GRG42" s="595"/>
      <c r="GRH42" s="595"/>
      <c r="GRI42" s="595"/>
      <c r="GRJ42" s="595"/>
      <c r="GRK42" s="595"/>
      <c r="GRL42" s="595"/>
      <c r="GRM42" s="595"/>
      <c r="GRN42" s="595"/>
      <c r="GRO42" s="595"/>
      <c r="GRP42" s="595"/>
      <c r="GRQ42" s="595"/>
      <c r="GRR42" s="595"/>
      <c r="GRS42" s="595"/>
      <c r="GRT42" s="595"/>
      <c r="GRU42" s="595"/>
      <c r="GRV42" s="595"/>
      <c r="GRW42" s="595"/>
      <c r="GRX42" s="595"/>
      <c r="GRY42" s="595"/>
      <c r="GRZ42" s="595"/>
      <c r="GSA42" s="595"/>
      <c r="GSB42" s="595"/>
      <c r="GSC42" s="595"/>
      <c r="GSD42" s="595"/>
      <c r="GSE42" s="595"/>
      <c r="GSF42" s="595"/>
      <c r="GSG42" s="595"/>
      <c r="GSH42" s="595"/>
      <c r="GSI42" s="595"/>
      <c r="GSJ42" s="595"/>
      <c r="GSK42" s="595"/>
      <c r="GSL42" s="595"/>
      <c r="GSM42" s="595"/>
      <c r="GSN42" s="595"/>
      <c r="GSO42" s="595"/>
      <c r="GSP42" s="595"/>
      <c r="GSQ42" s="595"/>
      <c r="GSR42" s="595"/>
      <c r="GSS42" s="595"/>
      <c r="GST42" s="595"/>
      <c r="GSU42" s="595"/>
      <c r="GSV42" s="595"/>
      <c r="GSW42" s="595"/>
      <c r="GSX42" s="595"/>
      <c r="GSY42" s="595"/>
      <c r="GSZ42" s="595"/>
      <c r="GTA42" s="595"/>
      <c r="GTB42" s="595"/>
      <c r="GTC42" s="595"/>
      <c r="GTD42" s="595"/>
      <c r="GTE42" s="595"/>
      <c r="GTF42" s="595"/>
      <c r="GTG42" s="595"/>
      <c r="GTH42" s="595"/>
      <c r="GTI42" s="595"/>
      <c r="GTJ42" s="595"/>
      <c r="GTK42" s="595"/>
      <c r="GTL42" s="595"/>
      <c r="GTM42" s="595"/>
      <c r="GTN42" s="595"/>
      <c r="GTO42" s="595"/>
      <c r="GTP42" s="595"/>
      <c r="GTQ42" s="595"/>
      <c r="GTR42" s="595"/>
      <c r="GTS42" s="595"/>
      <c r="GTT42" s="595"/>
      <c r="GTU42" s="595"/>
      <c r="GTV42" s="595"/>
      <c r="GTW42" s="595"/>
      <c r="GTX42" s="595"/>
      <c r="GTY42" s="595"/>
      <c r="GTZ42" s="595"/>
      <c r="GUA42" s="595"/>
      <c r="GUB42" s="595"/>
      <c r="GUC42" s="595"/>
      <c r="GUD42" s="595"/>
      <c r="GUE42" s="595"/>
      <c r="GUF42" s="595"/>
      <c r="GUG42" s="595"/>
      <c r="GUH42" s="595"/>
      <c r="GUI42" s="595"/>
      <c r="GUJ42" s="595"/>
      <c r="GUK42" s="595"/>
      <c r="GUL42" s="595"/>
      <c r="GUM42" s="595"/>
      <c r="GUN42" s="595"/>
      <c r="GUO42" s="595"/>
      <c r="GUP42" s="595"/>
      <c r="GUQ42" s="595"/>
      <c r="GUR42" s="595"/>
      <c r="GUS42" s="595"/>
      <c r="GUT42" s="595"/>
      <c r="GUU42" s="595"/>
      <c r="GUV42" s="595"/>
      <c r="GUW42" s="595"/>
      <c r="GUX42" s="595"/>
      <c r="GUY42" s="595"/>
      <c r="GUZ42" s="595"/>
      <c r="GVA42" s="595"/>
      <c r="GVB42" s="595"/>
      <c r="GVC42" s="595"/>
      <c r="GVD42" s="595"/>
      <c r="GVE42" s="595"/>
      <c r="GVF42" s="595"/>
      <c r="GVG42" s="595"/>
      <c r="GVH42" s="595"/>
      <c r="GVI42" s="595"/>
      <c r="GVJ42" s="595"/>
      <c r="GVK42" s="595"/>
      <c r="GVL42" s="595"/>
      <c r="GVM42" s="595"/>
      <c r="GVN42" s="595"/>
      <c r="GVO42" s="595"/>
      <c r="GVP42" s="595"/>
      <c r="GVQ42" s="595"/>
      <c r="GVR42" s="595"/>
      <c r="GVS42" s="595"/>
      <c r="GVT42" s="595"/>
      <c r="GVU42" s="595"/>
      <c r="GVV42" s="595"/>
      <c r="GVW42" s="595"/>
      <c r="GVX42" s="595"/>
      <c r="GVY42" s="595"/>
      <c r="GVZ42" s="595"/>
      <c r="GWA42" s="595"/>
      <c r="GWB42" s="595"/>
      <c r="GWC42" s="595"/>
      <c r="GWD42" s="595"/>
      <c r="GWE42" s="595"/>
      <c r="GWF42" s="595"/>
      <c r="GWG42" s="595"/>
      <c r="GWH42" s="595"/>
      <c r="GWI42" s="595"/>
      <c r="GWJ42" s="595"/>
      <c r="GWK42" s="595"/>
      <c r="GWL42" s="595"/>
      <c r="GWM42" s="595"/>
      <c r="GWN42" s="595"/>
      <c r="GWO42" s="595"/>
      <c r="GWP42" s="595"/>
      <c r="GWQ42" s="595"/>
      <c r="GWR42" s="595"/>
      <c r="GWS42" s="595"/>
      <c r="GWT42" s="595"/>
      <c r="GWU42" s="595"/>
      <c r="GWV42" s="595"/>
      <c r="GWW42" s="595"/>
      <c r="GWX42" s="595"/>
      <c r="GWY42" s="595"/>
      <c r="GWZ42" s="595"/>
      <c r="GXA42" s="595"/>
      <c r="GXB42" s="595"/>
      <c r="GXC42" s="595"/>
      <c r="GXD42" s="595"/>
      <c r="GXE42" s="595"/>
      <c r="GXF42" s="595"/>
      <c r="GXG42" s="595"/>
      <c r="GXH42" s="595"/>
      <c r="GXI42" s="595"/>
      <c r="GXJ42" s="595"/>
      <c r="GXK42" s="595"/>
      <c r="GXL42" s="595"/>
      <c r="GXM42" s="595"/>
      <c r="GXN42" s="595"/>
      <c r="GXO42" s="595"/>
      <c r="GXP42" s="595"/>
      <c r="GXQ42" s="595"/>
      <c r="GXR42" s="595"/>
      <c r="GXS42" s="595"/>
      <c r="GXT42" s="595"/>
      <c r="GXU42" s="595"/>
      <c r="GXV42" s="595"/>
      <c r="GXW42" s="595"/>
      <c r="GXX42" s="595"/>
      <c r="GXY42" s="595"/>
      <c r="GXZ42" s="595"/>
      <c r="GYA42" s="595"/>
      <c r="GYB42" s="595"/>
      <c r="GYC42" s="595"/>
      <c r="GYD42" s="595"/>
      <c r="GYE42" s="595"/>
      <c r="GYF42" s="595"/>
      <c r="GYG42" s="595"/>
      <c r="GYH42" s="595"/>
      <c r="GYI42" s="595"/>
      <c r="GYJ42" s="595"/>
      <c r="GYK42" s="595"/>
      <c r="GYL42" s="595"/>
      <c r="GYM42" s="595"/>
      <c r="GYN42" s="595"/>
      <c r="GYO42" s="595"/>
      <c r="GYP42" s="595"/>
      <c r="GYQ42" s="595"/>
      <c r="GYR42" s="595"/>
      <c r="GYS42" s="595"/>
      <c r="GYT42" s="595"/>
      <c r="GYU42" s="595"/>
      <c r="GYV42" s="595"/>
      <c r="GYW42" s="595"/>
      <c r="GYX42" s="595"/>
      <c r="GYY42" s="595"/>
      <c r="GYZ42" s="595"/>
      <c r="GZA42" s="595"/>
      <c r="GZB42" s="595"/>
      <c r="GZC42" s="595"/>
      <c r="GZD42" s="595"/>
      <c r="GZE42" s="595"/>
      <c r="GZF42" s="595"/>
      <c r="GZG42" s="595"/>
      <c r="GZH42" s="595"/>
      <c r="GZI42" s="595"/>
      <c r="GZJ42" s="595"/>
      <c r="GZK42" s="595"/>
      <c r="GZL42" s="595"/>
      <c r="GZM42" s="595"/>
      <c r="GZN42" s="595"/>
      <c r="GZO42" s="595"/>
      <c r="GZP42" s="595"/>
      <c r="GZQ42" s="595"/>
      <c r="GZR42" s="595"/>
      <c r="GZS42" s="595"/>
      <c r="GZT42" s="595"/>
      <c r="GZU42" s="595"/>
      <c r="GZV42" s="595"/>
      <c r="GZW42" s="595"/>
      <c r="GZX42" s="595"/>
      <c r="GZY42" s="595"/>
      <c r="GZZ42" s="595"/>
      <c r="HAA42" s="595"/>
      <c r="HAB42" s="595"/>
      <c r="HAC42" s="595"/>
      <c r="HAD42" s="595"/>
      <c r="HAE42" s="595"/>
      <c r="HAF42" s="595"/>
      <c r="HAG42" s="595"/>
      <c r="HAH42" s="595"/>
      <c r="HAI42" s="595"/>
      <c r="HAJ42" s="595"/>
      <c r="HAK42" s="595"/>
      <c r="HAL42" s="595"/>
      <c r="HAM42" s="595"/>
      <c r="HAN42" s="595"/>
      <c r="HAO42" s="595"/>
      <c r="HAP42" s="595"/>
      <c r="HAQ42" s="595"/>
      <c r="HAR42" s="595"/>
      <c r="HAS42" s="595"/>
      <c r="HAT42" s="595"/>
      <c r="HAU42" s="595"/>
      <c r="HAV42" s="595"/>
      <c r="HAW42" s="595"/>
      <c r="HAX42" s="595"/>
      <c r="HAY42" s="595"/>
      <c r="HAZ42" s="595"/>
      <c r="HBA42" s="595"/>
      <c r="HBB42" s="595"/>
      <c r="HBC42" s="595"/>
      <c r="HBD42" s="595"/>
      <c r="HBE42" s="595"/>
      <c r="HBF42" s="595"/>
      <c r="HBG42" s="595"/>
      <c r="HBH42" s="595"/>
      <c r="HBI42" s="595"/>
      <c r="HBJ42" s="595"/>
      <c r="HBK42" s="595"/>
      <c r="HBL42" s="595"/>
      <c r="HBM42" s="595"/>
      <c r="HBN42" s="595"/>
      <c r="HBO42" s="595"/>
      <c r="HBP42" s="595"/>
      <c r="HBQ42" s="595"/>
      <c r="HBR42" s="595"/>
      <c r="HBS42" s="595"/>
      <c r="HBT42" s="595"/>
      <c r="HBU42" s="595"/>
      <c r="HBV42" s="595"/>
      <c r="HBW42" s="595"/>
      <c r="HBX42" s="595"/>
      <c r="HBY42" s="595"/>
      <c r="HBZ42" s="595"/>
      <c r="HCA42" s="595"/>
      <c r="HCB42" s="595"/>
      <c r="HCC42" s="595"/>
      <c r="HCD42" s="595"/>
      <c r="HCE42" s="595"/>
      <c r="HCF42" s="595"/>
      <c r="HCG42" s="595"/>
      <c r="HCH42" s="595"/>
      <c r="HCI42" s="595"/>
      <c r="HCJ42" s="595"/>
      <c r="HCK42" s="595"/>
      <c r="HCL42" s="595"/>
      <c r="HCM42" s="595"/>
      <c r="HCN42" s="595"/>
      <c r="HCO42" s="595"/>
      <c r="HCP42" s="595"/>
      <c r="HCQ42" s="595"/>
      <c r="HCR42" s="595"/>
      <c r="HCS42" s="595"/>
      <c r="HCT42" s="595"/>
      <c r="HCU42" s="595"/>
      <c r="HCV42" s="595"/>
      <c r="HCW42" s="595"/>
      <c r="HCX42" s="595"/>
      <c r="HCY42" s="595"/>
      <c r="HCZ42" s="595"/>
      <c r="HDA42" s="595"/>
      <c r="HDB42" s="595"/>
      <c r="HDC42" s="595"/>
      <c r="HDD42" s="595"/>
      <c r="HDE42" s="595"/>
      <c r="HDF42" s="595"/>
      <c r="HDG42" s="595"/>
      <c r="HDH42" s="595"/>
      <c r="HDI42" s="595"/>
      <c r="HDJ42" s="595"/>
      <c r="HDK42" s="595"/>
      <c r="HDL42" s="595"/>
      <c r="HDM42" s="595"/>
      <c r="HDN42" s="595"/>
      <c r="HDO42" s="595"/>
      <c r="HDP42" s="595"/>
      <c r="HDQ42" s="595"/>
      <c r="HDR42" s="595"/>
      <c r="HDS42" s="595"/>
      <c r="HDT42" s="595"/>
      <c r="HDU42" s="595"/>
      <c r="HDV42" s="595"/>
      <c r="HDW42" s="595"/>
      <c r="HDX42" s="595"/>
      <c r="HDY42" s="595"/>
      <c r="HDZ42" s="595"/>
      <c r="HEA42" s="595"/>
      <c r="HEB42" s="595"/>
      <c r="HEC42" s="595"/>
      <c r="HED42" s="595"/>
      <c r="HEE42" s="595"/>
      <c r="HEF42" s="595"/>
      <c r="HEG42" s="595"/>
      <c r="HEH42" s="595"/>
      <c r="HEI42" s="595"/>
      <c r="HEJ42" s="595"/>
      <c r="HEK42" s="595"/>
      <c r="HEL42" s="595"/>
      <c r="HEM42" s="595"/>
      <c r="HEN42" s="595"/>
      <c r="HEO42" s="595"/>
      <c r="HEP42" s="595"/>
      <c r="HEQ42" s="595"/>
      <c r="HER42" s="595"/>
      <c r="HES42" s="595"/>
      <c r="HET42" s="595"/>
      <c r="HEU42" s="595"/>
      <c r="HEV42" s="595"/>
      <c r="HEW42" s="595"/>
      <c r="HEX42" s="595"/>
      <c r="HEY42" s="595"/>
      <c r="HEZ42" s="595"/>
      <c r="HFA42" s="595"/>
      <c r="HFB42" s="595"/>
      <c r="HFC42" s="595"/>
      <c r="HFD42" s="595"/>
      <c r="HFE42" s="595"/>
      <c r="HFF42" s="595"/>
      <c r="HFG42" s="595"/>
      <c r="HFH42" s="595"/>
      <c r="HFI42" s="595"/>
      <c r="HFJ42" s="595"/>
      <c r="HFK42" s="595"/>
      <c r="HFL42" s="595"/>
      <c r="HFM42" s="595"/>
      <c r="HFN42" s="595"/>
      <c r="HFO42" s="595"/>
      <c r="HFP42" s="595"/>
      <c r="HFQ42" s="595"/>
      <c r="HFR42" s="595"/>
      <c r="HFS42" s="595"/>
      <c r="HFT42" s="595"/>
      <c r="HFU42" s="595"/>
      <c r="HFV42" s="595"/>
      <c r="HFW42" s="595"/>
      <c r="HFX42" s="595"/>
      <c r="HFY42" s="595"/>
      <c r="HFZ42" s="595"/>
      <c r="HGA42" s="595"/>
      <c r="HGB42" s="595"/>
      <c r="HGC42" s="595"/>
      <c r="HGD42" s="595"/>
      <c r="HGE42" s="595"/>
      <c r="HGF42" s="595"/>
      <c r="HGG42" s="595"/>
      <c r="HGH42" s="595"/>
      <c r="HGI42" s="595"/>
      <c r="HGJ42" s="595"/>
      <c r="HGK42" s="595"/>
      <c r="HGL42" s="595"/>
      <c r="HGM42" s="595"/>
      <c r="HGN42" s="595"/>
      <c r="HGO42" s="595"/>
      <c r="HGP42" s="595"/>
      <c r="HGQ42" s="595"/>
      <c r="HGR42" s="595"/>
      <c r="HGS42" s="595"/>
      <c r="HGT42" s="595"/>
      <c r="HGU42" s="595"/>
      <c r="HGV42" s="595"/>
      <c r="HGW42" s="595"/>
      <c r="HGX42" s="595"/>
      <c r="HGY42" s="595"/>
      <c r="HGZ42" s="595"/>
      <c r="HHA42" s="595"/>
      <c r="HHB42" s="595"/>
      <c r="HHC42" s="595"/>
      <c r="HHD42" s="595"/>
      <c r="HHE42" s="595"/>
      <c r="HHF42" s="595"/>
      <c r="HHG42" s="595"/>
      <c r="HHH42" s="595"/>
      <c r="HHI42" s="595"/>
      <c r="HHJ42" s="595"/>
      <c r="HHK42" s="595"/>
      <c r="HHL42" s="595"/>
      <c r="HHM42" s="595"/>
      <c r="HHN42" s="595"/>
      <c r="HHO42" s="595"/>
      <c r="HHP42" s="595"/>
      <c r="HHQ42" s="595"/>
      <c r="HHR42" s="595"/>
      <c r="HHS42" s="595"/>
      <c r="HHT42" s="595"/>
      <c r="HHU42" s="595"/>
      <c r="HHV42" s="595"/>
      <c r="HHW42" s="595"/>
      <c r="HHX42" s="595"/>
      <c r="HHY42" s="595"/>
      <c r="HHZ42" s="595"/>
      <c r="HIA42" s="595"/>
      <c r="HIB42" s="595"/>
      <c r="HIC42" s="595"/>
      <c r="HID42" s="595"/>
      <c r="HIE42" s="595"/>
      <c r="HIF42" s="595"/>
      <c r="HIG42" s="595"/>
      <c r="HIH42" s="595"/>
      <c r="HII42" s="595"/>
      <c r="HIJ42" s="595"/>
      <c r="HIK42" s="595"/>
      <c r="HIL42" s="595"/>
      <c r="HIM42" s="595"/>
      <c r="HIN42" s="595"/>
      <c r="HIO42" s="595"/>
      <c r="HIP42" s="595"/>
      <c r="HIQ42" s="595"/>
      <c r="HIR42" s="595"/>
      <c r="HIS42" s="595"/>
      <c r="HIT42" s="595"/>
      <c r="HIU42" s="595"/>
      <c r="HIV42" s="595"/>
      <c r="HIW42" s="595"/>
      <c r="HIX42" s="595"/>
      <c r="HIY42" s="595"/>
      <c r="HIZ42" s="595"/>
      <c r="HJA42" s="595"/>
      <c r="HJB42" s="595"/>
      <c r="HJC42" s="595"/>
      <c r="HJD42" s="595"/>
      <c r="HJE42" s="595"/>
      <c r="HJF42" s="595"/>
      <c r="HJG42" s="595"/>
      <c r="HJH42" s="595"/>
      <c r="HJI42" s="595"/>
      <c r="HJJ42" s="595"/>
      <c r="HJK42" s="595"/>
      <c r="HJL42" s="595"/>
      <c r="HJM42" s="595"/>
      <c r="HJN42" s="595"/>
      <c r="HJO42" s="595"/>
      <c r="HJP42" s="595"/>
      <c r="HJQ42" s="595"/>
      <c r="HJR42" s="595"/>
      <c r="HJS42" s="595"/>
      <c r="HJT42" s="595"/>
      <c r="HJU42" s="595"/>
      <c r="HJV42" s="595"/>
      <c r="HJW42" s="595"/>
      <c r="HJX42" s="595"/>
      <c r="HJY42" s="595"/>
      <c r="HJZ42" s="595"/>
      <c r="HKA42" s="595"/>
      <c r="HKB42" s="595"/>
      <c r="HKC42" s="595"/>
      <c r="HKD42" s="595"/>
      <c r="HKE42" s="595"/>
      <c r="HKF42" s="595"/>
      <c r="HKG42" s="595"/>
      <c r="HKH42" s="595"/>
      <c r="HKI42" s="595"/>
      <c r="HKJ42" s="595"/>
      <c r="HKK42" s="595"/>
      <c r="HKL42" s="595"/>
      <c r="HKM42" s="595"/>
      <c r="HKN42" s="595"/>
      <c r="HKO42" s="595"/>
      <c r="HKP42" s="595"/>
      <c r="HKQ42" s="595"/>
      <c r="HKR42" s="595"/>
      <c r="HKS42" s="595"/>
      <c r="HKT42" s="595"/>
      <c r="HKU42" s="595"/>
      <c r="HKV42" s="595"/>
      <c r="HKW42" s="595"/>
      <c r="HKX42" s="595"/>
      <c r="HKY42" s="595"/>
      <c r="HKZ42" s="595"/>
      <c r="HLA42" s="595"/>
      <c r="HLB42" s="595"/>
      <c r="HLC42" s="595"/>
      <c r="HLD42" s="595"/>
      <c r="HLE42" s="595"/>
      <c r="HLF42" s="595"/>
      <c r="HLG42" s="595"/>
      <c r="HLH42" s="595"/>
      <c r="HLI42" s="595"/>
      <c r="HLJ42" s="595"/>
      <c r="HLK42" s="595"/>
      <c r="HLL42" s="595"/>
      <c r="HLM42" s="595"/>
      <c r="HLN42" s="595"/>
      <c r="HLO42" s="595"/>
      <c r="HLP42" s="595"/>
      <c r="HLQ42" s="595"/>
      <c r="HLR42" s="595"/>
      <c r="HLS42" s="595"/>
      <c r="HLT42" s="595"/>
      <c r="HLU42" s="595"/>
      <c r="HLV42" s="595"/>
      <c r="HLW42" s="595"/>
      <c r="HLX42" s="595"/>
      <c r="HLY42" s="595"/>
      <c r="HLZ42" s="595"/>
      <c r="HMA42" s="595"/>
      <c r="HMB42" s="595"/>
      <c r="HMC42" s="595"/>
      <c r="HMD42" s="595"/>
      <c r="HME42" s="595"/>
      <c r="HMF42" s="595"/>
      <c r="HMG42" s="595"/>
      <c r="HMH42" s="595"/>
      <c r="HMI42" s="595"/>
      <c r="HMJ42" s="595"/>
      <c r="HMK42" s="595"/>
      <c r="HML42" s="595"/>
      <c r="HMM42" s="595"/>
      <c r="HMN42" s="595"/>
      <c r="HMO42" s="595"/>
      <c r="HMP42" s="595"/>
      <c r="HMQ42" s="595"/>
      <c r="HMR42" s="595"/>
      <c r="HMS42" s="595"/>
      <c r="HMT42" s="595"/>
      <c r="HMU42" s="595"/>
      <c r="HMV42" s="595"/>
      <c r="HMW42" s="595"/>
      <c r="HMX42" s="595"/>
      <c r="HMY42" s="595"/>
      <c r="HMZ42" s="595"/>
      <c r="HNA42" s="595"/>
      <c r="HNB42" s="595"/>
      <c r="HNC42" s="595"/>
      <c r="HND42" s="595"/>
      <c r="HNE42" s="595"/>
      <c r="HNF42" s="595"/>
      <c r="HNG42" s="595"/>
      <c r="HNH42" s="595"/>
      <c r="HNI42" s="595"/>
      <c r="HNJ42" s="595"/>
      <c r="HNK42" s="595"/>
      <c r="HNL42" s="595"/>
      <c r="HNM42" s="595"/>
      <c r="HNN42" s="595"/>
      <c r="HNO42" s="595"/>
      <c r="HNP42" s="595"/>
      <c r="HNQ42" s="595"/>
      <c r="HNR42" s="595"/>
      <c r="HNS42" s="595"/>
      <c r="HNT42" s="595"/>
      <c r="HNU42" s="595"/>
      <c r="HNV42" s="595"/>
      <c r="HNW42" s="595"/>
      <c r="HNX42" s="595"/>
      <c r="HNY42" s="595"/>
      <c r="HNZ42" s="595"/>
      <c r="HOA42" s="595"/>
      <c r="HOB42" s="595"/>
      <c r="HOC42" s="595"/>
      <c r="HOD42" s="595"/>
      <c r="HOE42" s="595"/>
      <c r="HOF42" s="595"/>
      <c r="HOG42" s="595"/>
      <c r="HOH42" s="595"/>
      <c r="HOI42" s="595"/>
      <c r="HOJ42" s="595"/>
      <c r="HOK42" s="595"/>
      <c r="HOL42" s="595"/>
      <c r="HOM42" s="595"/>
      <c r="HON42" s="595"/>
      <c r="HOO42" s="595"/>
      <c r="HOP42" s="595"/>
      <c r="HOQ42" s="595"/>
      <c r="HOR42" s="595"/>
      <c r="HOS42" s="595"/>
      <c r="HOT42" s="595"/>
      <c r="HOU42" s="595"/>
      <c r="HOV42" s="595"/>
      <c r="HOW42" s="595"/>
      <c r="HOX42" s="595"/>
      <c r="HOY42" s="595"/>
      <c r="HOZ42" s="595"/>
      <c r="HPA42" s="595"/>
      <c r="HPB42" s="595"/>
      <c r="HPC42" s="595"/>
      <c r="HPD42" s="595"/>
      <c r="HPE42" s="595"/>
      <c r="HPF42" s="595"/>
      <c r="HPG42" s="595"/>
      <c r="HPH42" s="595"/>
      <c r="HPI42" s="595"/>
      <c r="HPJ42" s="595"/>
      <c r="HPK42" s="595"/>
      <c r="HPL42" s="595"/>
      <c r="HPM42" s="595"/>
      <c r="HPN42" s="595"/>
      <c r="HPO42" s="595"/>
      <c r="HPP42" s="595"/>
      <c r="HPQ42" s="595"/>
      <c r="HPR42" s="595"/>
      <c r="HPS42" s="595"/>
      <c r="HPT42" s="595"/>
      <c r="HPU42" s="595"/>
      <c r="HPV42" s="595"/>
      <c r="HPW42" s="595"/>
      <c r="HPX42" s="595"/>
      <c r="HPY42" s="595"/>
      <c r="HPZ42" s="595"/>
      <c r="HQA42" s="595"/>
      <c r="HQB42" s="595"/>
      <c r="HQC42" s="595"/>
      <c r="HQD42" s="595"/>
      <c r="HQE42" s="595"/>
      <c r="HQF42" s="595"/>
      <c r="HQG42" s="595"/>
      <c r="HQH42" s="595"/>
      <c r="HQI42" s="595"/>
      <c r="HQJ42" s="595"/>
      <c r="HQK42" s="595"/>
      <c r="HQL42" s="595"/>
      <c r="HQM42" s="595"/>
      <c r="HQN42" s="595"/>
      <c r="HQO42" s="595"/>
      <c r="HQP42" s="595"/>
      <c r="HQQ42" s="595"/>
      <c r="HQR42" s="595"/>
      <c r="HQS42" s="595"/>
      <c r="HQT42" s="595"/>
      <c r="HQU42" s="595"/>
      <c r="HQV42" s="595"/>
      <c r="HQW42" s="595"/>
      <c r="HQX42" s="595"/>
      <c r="HQY42" s="595"/>
      <c r="HQZ42" s="595"/>
      <c r="HRA42" s="595"/>
      <c r="HRB42" s="595"/>
      <c r="HRC42" s="595"/>
      <c r="HRD42" s="595"/>
      <c r="HRE42" s="595"/>
      <c r="HRF42" s="595"/>
      <c r="HRG42" s="595"/>
      <c r="HRH42" s="595"/>
      <c r="HRI42" s="595"/>
      <c r="HRJ42" s="595"/>
      <c r="HRK42" s="595"/>
      <c r="HRL42" s="595"/>
      <c r="HRM42" s="595"/>
      <c r="HRN42" s="595"/>
      <c r="HRO42" s="595"/>
      <c r="HRP42" s="595"/>
      <c r="HRQ42" s="595"/>
      <c r="HRR42" s="595"/>
      <c r="HRS42" s="595"/>
      <c r="HRT42" s="595"/>
      <c r="HRU42" s="595"/>
      <c r="HRV42" s="595"/>
      <c r="HRW42" s="595"/>
      <c r="HRX42" s="595"/>
      <c r="HRY42" s="595"/>
      <c r="HRZ42" s="595"/>
      <c r="HSA42" s="595"/>
      <c r="HSB42" s="595"/>
      <c r="HSC42" s="595"/>
      <c r="HSD42" s="595"/>
      <c r="HSE42" s="595"/>
      <c r="HSF42" s="595"/>
      <c r="HSG42" s="595"/>
      <c r="HSH42" s="595"/>
      <c r="HSI42" s="595"/>
      <c r="HSJ42" s="595"/>
      <c r="HSK42" s="595"/>
      <c r="HSL42" s="595"/>
      <c r="HSM42" s="595"/>
      <c r="HSN42" s="595"/>
      <c r="HSO42" s="595"/>
      <c r="HSP42" s="595"/>
      <c r="HSQ42" s="595"/>
      <c r="HSR42" s="595"/>
      <c r="HSS42" s="595"/>
      <c r="HST42" s="595"/>
      <c r="HSU42" s="595"/>
      <c r="HSV42" s="595"/>
      <c r="HSW42" s="595"/>
      <c r="HSX42" s="595"/>
      <c r="HSY42" s="595"/>
      <c r="HSZ42" s="595"/>
      <c r="HTA42" s="595"/>
      <c r="HTB42" s="595"/>
      <c r="HTC42" s="595"/>
      <c r="HTD42" s="595"/>
      <c r="HTE42" s="595"/>
      <c r="HTF42" s="595"/>
      <c r="HTG42" s="595"/>
      <c r="HTH42" s="595"/>
      <c r="HTI42" s="595"/>
      <c r="HTJ42" s="595"/>
      <c r="HTK42" s="595"/>
      <c r="HTL42" s="595"/>
      <c r="HTM42" s="595"/>
      <c r="HTN42" s="595"/>
      <c r="HTO42" s="595"/>
      <c r="HTP42" s="595"/>
      <c r="HTQ42" s="595"/>
      <c r="HTR42" s="595"/>
      <c r="HTS42" s="595"/>
      <c r="HTT42" s="595"/>
      <c r="HTU42" s="595"/>
      <c r="HTV42" s="595"/>
      <c r="HTW42" s="595"/>
      <c r="HTX42" s="595"/>
      <c r="HTY42" s="595"/>
      <c r="HTZ42" s="595"/>
      <c r="HUA42" s="595"/>
      <c r="HUB42" s="595"/>
      <c r="HUC42" s="595"/>
      <c r="HUD42" s="595"/>
      <c r="HUE42" s="595"/>
      <c r="HUF42" s="595"/>
      <c r="HUG42" s="595"/>
      <c r="HUH42" s="595"/>
      <c r="HUI42" s="595"/>
      <c r="HUJ42" s="595"/>
      <c r="HUK42" s="595"/>
      <c r="HUL42" s="595"/>
      <c r="HUM42" s="595"/>
      <c r="HUN42" s="595"/>
      <c r="HUO42" s="595"/>
      <c r="HUP42" s="595"/>
      <c r="HUQ42" s="595"/>
      <c r="HUR42" s="595"/>
      <c r="HUS42" s="595"/>
      <c r="HUT42" s="595"/>
      <c r="HUU42" s="595"/>
      <c r="HUV42" s="595"/>
      <c r="HUW42" s="595"/>
      <c r="HUX42" s="595"/>
      <c r="HUY42" s="595"/>
      <c r="HUZ42" s="595"/>
      <c r="HVA42" s="595"/>
      <c r="HVB42" s="595"/>
      <c r="HVC42" s="595"/>
      <c r="HVD42" s="595"/>
      <c r="HVE42" s="595"/>
      <c r="HVF42" s="595"/>
      <c r="HVG42" s="595"/>
      <c r="HVH42" s="595"/>
      <c r="HVI42" s="595"/>
      <c r="HVJ42" s="595"/>
      <c r="HVK42" s="595"/>
      <c r="HVL42" s="595"/>
      <c r="HVM42" s="595"/>
      <c r="HVN42" s="595"/>
      <c r="HVO42" s="595"/>
      <c r="HVP42" s="595"/>
      <c r="HVQ42" s="595"/>
      <c r="HVR42" s="595"/>
      <c r="HVS42" s="595"/>
      <c r="HVT42" s="595"/>
      <c r="HVU42" s="595"/>
      <c r="HVV42" s="595"/>
      <c r="HVW42" s="595"/>
      <c r="HVX42" s="595"/>
      <c r="HVY42" s="595"/>
      <c r="HVZ42" s="595"/>
      <c r="HWA42" s="595"/>
      <c r="HWB42" s="595"/>
      <c r="HWC42" s="595"/>
      <c r="HWD42" s="595"/>
      <c r="HWE42" s="595"/>
      <c r="HWF42" s="595"/>
      <c r="HWG42" s="595"/>
      <c r="HWH42" s="595"/>
      <c r="HWI42" s="595"/>
      <c r="HWJ42" s="595"/>
      <c r="HWK42" s="595"/>
      <c r="HWL42" s="595"/>
      <c r="HWM42" s="595"/>
      <c r="HWN42" s="595"/>
      <c r="HWO42" s="595"/>
      <c r="HWP42" s="595"/>
      <c r="HWQ42" s="595"/>
      <c r="HWR42" s="595"/>
      <c r="HWS42" s="595"/>
      <c r="HWT42" s="595"/>
      <c r="HWU42" s="595"/>
      <c r="HWV42" s="595"/>
      <c r="HWW42" s="595"/>
      <c r="HWX42" s="595"/>
      <c r="HWY42" s="595"/>
      <c r="HWZ42" s="595"/>
      <c r="HXA42" s="595"/>
      <c r="HXB42" s="595"/>
      <c r="HXC42" s="595"/>
      <c r="HXD42" s="595"/>
      <c r="HXE42" s="595"/>
      <c r="HXF42" s="595"/>
      <c r="HXG42" s="595"/>
      <c r="HXH42" s="595"/>
      <c r="HXI42" s="595"/>
      <c r="HXJ42" s="595"/>
      <c r="HXK42" s="595"/>
      <c r="HXL42" s="595"/>
      <c r="HXM42" s="595"/>
      <c r="HXN42" s="595"/>
      <c r="HXO42" s="595"/>
      <c r="HXP42" s="595"/>
      <c r="HXQ42" s="595"/>
      <c r="HXR42" s="595"/>
      <c r="HXS42" s="595"/>
      <c r="HXT42" s="595"/>
      <c r="HXU42" s="595"/>
      <c r="HXV42" s="595"/>
      <c r="HXW42" s="595"/>
      <c r="HXX42" s="595"/>
      <c r="HXY42" s="595"/>
      <c r="HXZ42" s="595"/>
      <c r="HYA42" s="595"/>
      <c r="HYB42" s="595"/>
      <c r="HYC42" s="595"/>
      <c r="HYD42" s="595"/>
      <c r="HYE42" s="595"/>
      <c r="HYF42" s="595"/>
      <c r="HYG42" s="595"/>
      <c r="HYH42" s="595"/>
      <c r="HYI42" s="595"/>
      <c r="HYJ42" s="595"/>
      <c r="HYK42" s="595"/>
      <c r="HYL42" s="595"/>
      <c r="HYM42" s="595"/>
      <c r="HYN42" s="595"/>
      <c r="HYO42" s="595"/>
      <c r="HYP42" s="595"/>
      <c r="HYQ42" s="595"/>
      <c r="HYR42" s="595"/>
      <c r="HYS42" s="595"/>
      <c r="HYT42" s="595"/>
      <c r="HYU42" s="595"/>
      <c r="HYV42" s="595"/>
      <c r="HYW42" s="595"/>
      <c r="HYX42" s="595"/>
      <c r="HYY42" s="595"/>
      <c r="HYZ42" s="595"/>
      <c r="HZA42" s="595"/>
      <c r="HZB42" s="595"/>
      <c r="HZC42" s="595"/>
      <c r="HZD42" s="595"/>
      <c r="HZE42" s="595"/>
      <c r="HZF42" s="595"/>
      <c r="HZG42" s="595"/>
      <c r="HZH42" s="595"/>
      <c r="HZI42" s="595"/>
      <c r="HZJ42" s="595"/>
      <c r="HZK42" s="595"/>
      <c r="HZL42" s="595"/>
      <c r="HZM42" s="595"/>
      <c r="HZN42" s="595"/>
      <c r="HZO42" s="595"/>
      <c r="HZP42" s="595"/>
      <c r="HZQ42" s="595"/>
      <c r="HZR42" s="595"/>
      <c r="HZS42" s="595"/>
      <c r="HZT42" s="595"/>
      <c r="HZU42" s="595"/>
      <c r="HZV42" s="595"/>
      <c r="HZW42" s="595"/>
      <c r="HZX42" s="595"/>
      <c r="HZY42" s="595"/>
      <c r="HZZ42" s="595"/>
      <c r="IAA42" s="595"/>
      <c r="IAB42" s="595"/>
      <c r="IAC42" s="595"/>
      <c r="IAD42" s="595"/>
      <c r="IAE42" s="595"/>
      <c r="IAF42" s="595"/>
      <c r="IAG42" s="595"/>
      <c r="IAH42" s="595"/>
      <c r="IAI42" s="595"/>
      <c r="IAJ42" s="595"/>
      <c r="IAK42" s="595"/>
      <c r="IAL42" s="595"/>
      <c r="IAM42" s="595"/>
      <c r="IAN42" s="595"/>
      <c r="IAO42" s="595"/>
      <c r="IAP42" s="595"/>
      <c r="IAQ42" s="595"/>
      <c r="IAR42" s="595"/>
      <c r="IAS42" s="595"/>
      <c r="IAT42" s="595"/>
      <c r="IAU42" s="595"/>
      <c r="IAV42" s="595"/>
      <c r="IAW42" s="595"/>
      <c r="IAX42" s="595"/>
      <c r="IAY42" s="595"/>
      <c r="IAZ42" s="595"/>
      <c r="IBA42" s="595"/>
      <c r="IBB42" s="595"/>
      <c r="IBC42" s="595"/>
      <c r="IBD42" s="595"/>
      <c r="IBE42" s="595"/>
      <c r="IBF42" s="595"/>
      <c r="IBG42" s="595"/>
      <c r="IBH42" s="595"/>
      <c r="IBI42" s="595"/>
      <c r="IBJ42" s="595"/>
      <c r="IBK42" s="595"/>
      <c r="IBL42" s="595"/>
      <c r="IBM42" s="595"/>
      <c r="IBN42" s="595"/>
      <c r="IBO42" s="595"/>
      <c r="IBP42" s="595"/>
      <c r="IBQ42" s="595"/>
      <c r="IBR42" s="595"/>
      <c r="IBS42" s="595"/>
      <c r="IBT42" s="595"/>
      <c r="IBU42" s="595"/>
      <c r="IBV42" s="595"/>
      <c r="IBW42" s="595"/>
      <c r="IBX42" s="595"/>
      <c r="IBY42" s="595"/>
      <c r="IBZ42" s="595"/>
      <c r="ICA42" s="595"/>
      <c r="ICB42" s="595"/>
      <c r="ICC42" s="595"/>
      <c r="ICD42" s="595"/>
      <c r="ICE42" s="595"/>
      <c r="ICF42" s="595"/>
      <c r="ICG42" s="595"/>
      <c r="ICH42" s="595"/>
      <c r="ICI42" s="595"/>
      <c r="ICJ42" s="595"/>
      <c r="ICK42" s="595"/>
      <c r="ICL42" s="595"/>
      <c r="ICM42" s="595"/>
      <c r="ICN42" s="595"/>
      <c r="ICO42" s="595"/>
      <c r="ICP42" s="595"/>
      <c r="ICQ42" s="595"/>
      <c r="ICR42" s="595"/>
      <c r="ICS42" s="595"/>
      <c r="ICT42" s="595"/>
      <c r="ICU42" s="595"/>
      <c r="ICV42" s="595"/>
      <c r="ICW42" s="595"/>
      <c r="ICX42" s="595"/>
      <c r="ICY42" s="595"/>
      <c r="ICZ42" s="595"/>
      <c r="IDA42" s="595"/>
      <c r="IDB42" s="595"/>
      <c r="IDC42" s="595"/>
      <c r="IDD42" s="595"/>
      <c r="IDE42" s="595"/>
      <c r="IDF42" s="595"/>
      <c r="IDG42" s="595"/>
      <c r="IDH42" s="595"/>
      <c r="IDI42" s="595"/>
      <c r="IDJ42" s="595"/>
      <c r="IDK42" s="595"/>
      <c r="IDL42" s="595"/>
      <c r="IDM42" s="595"/>
      <c r="IDN42" s="595"/>
      <c r="IDO42" s="595"/>
      <c r="IDP42" s="595"/>
      <c r="IDQ42" s="595"/>
      <c r="IDR42" s="595"/>
      <c r="IDS42" s="595"/>
      <c r="IDT42" s="595"/>
      <c r="IDU42" s="595"/>
      <c r="IDV42" s="595"/>
      <c r="IDW42" s="595"/>
      <c r="IDX42" s="595"/>
      <c r="IDY42" s="595"/>
      <c r="IDZ42" s="595"/>
      <c r="IEA42" s="595"/>
      <c r="IEB42" s="595"/>
      <c r="IEC42" s="595"/>
      <c r="IED42" s="595"/>
      <c r="IEE42" s="595"/>
      <c r="IEF42" s="595"/>
      <c r="IEG42" s="595"/>
      <c r="IEH42" s="595"/>
      <c r="IEI42" s="595"/>
      <c r="IEJ42" s="595"/>
      <c r="IEK42" s="595"/>
      <c r="IEL42" s="595"/>
      <c r="IEM42" s="595"/>
      <c r="IEN42" s="595"/>
      <c r="IEO42" s="595"/>
      <c r="IEP42" s="595"/>
      <c r="IEQ42" s="595"/>
      <c r="IER42" s="595"/>
      <c r="IES42" s="595"/>
      <c r="IET42" s="595"/>
      <c r="IEU42" s="595"/>
      <c r="IEV42" s="595"/>
      <c r="IEW42" s="595"/>
      <c r="IEX42" s="595"/>
      <c r="IEY42" s="595"/>
      <c r="IEZ42" s="595"/>
      <c r="IFA42" s="595"/>
      <c r="IFB42" s="595"/>
      <c r="IFC42" s="595"/>
      <c r="IFD42" s="595"/>
      <c r="IFE42" s="595"/>
      <c r="IFF42" s="595"/>
      <c r="IFG42" s="595"/>
      <c r="IFH42" s="595"/>
      <c r="IFI42" s="595"/>
      <c r="IFJ42" s="595"/>
      <c r="IFK42" s="595"/>
      <c r="IFL42" s="595"/>
      <c r="IFM42" s="595"/>
      <c r="IFN42" s="595"/>
      <c r="IFO42" s="595"/>
      <c r="IFP42" s="595"/>
      <c r="IFQ42" s="595"/>
      <c r="IFR42" s="595"/>
      <c r="IFS42" s="595"/>
      <c r="IFT42" s="595"/>
      <c r="IFU42" s="595"/>
      <c r="IFV42" s="595"/>
      <c r="IFW42" s="595"/>
      <c r="IFX42" s="595"/>
      <c r="IFY42" s="595"/>
      <c r="IFZ42" s="595"/>
      <c r="IGA42" s="595"/>
      <c r="IGB42" s="595"/>
      <c r="IGC42" s="595"/>
      <c r="IGD42" s="595"/>
      <c r="IGE42" s="595"/>
      <c r="IGF42" s="595"/>
      <c r="IGG42" s="595"/>
      <c r="IGH42" s="595"/>
      <c r="IGI42" s="595"/>
      <c r="IGJ42" s="595"/>
      <c r="IGK42" s="595"/>
      <c r="IGL42" s="595"/>
      <c r="IGM42" s="595"/>
      <c r="IGN42" s="595"/>
      <c r="IGO42" s="595"/>
      <c r="IGP42" s="595"/>
      <c r="IGQ42" s="595"/>
      <c r="IGR42" s="595"/>
      <c r="IGS42" s="595"/>
      <c r="IGT42" s="595"/>
      <c r="IGU42" s="595"/>
      <c r="IGV42" s="595"/>
      <c r="IGW42" s="595"/>
      <c r="IGX42" s="595"/>
      <c r="IGY42" s="595"/>
      <c r="IGZ42" s="595"/>
      <c r="IHA42" s="595"/>
      <c r="IHB42" s="595"/>
      <c r="IHC42" s="595"/>
      <c r="IHD42" s="595"/>
      <c r="IHE42" s="595"/>
      <c r="IHF42" s="595"/>
      <c r="IHG42" s="595"/>
      <c r="IHH42" s="595"/>
      <c r="IHI42" s="595"/>
      <c r="IHJ42" s="595"/>
      <c r="IHK42" s="595"/>
      <c r="IHL42" s="595"/>
      <c r="IHM42" s="595"/>
      <c r="IHN42" s="595"/>
      <c r="IHO42" s="595"/>
      <c r="IHP42" s="595"/>
      <c r="IHQ42" s="595"/>
      <c r="IHR42" s="595"/>
      <c r="IHS42" s="595"/>
      <c r="IHT42" s="595"/>
      <c r="IHU42" s="595"/>
      <c r="IHV42" s="595"/>
      <c r="IHW42" s="595"/>
      <c r="IHX42" s="595"/>
      <c r="IHY42" s="595"/>
      <c r="IHZ42" s="595"/>
      <c r="IIA42" s="595"/>
      <c r="IIB42" s="595"/>
      <c r="IIC42" s="595"/>
      <c r="IID42" s="595"/>
      <c r="IIE42" s="595"/>
      <c r="IIF42" s="595"/>
      <c r="IIG42" s="595"/>
      <c r="IIH42" s="595"/>
      <c r="III42" s="595"/>
      <c r="IIJ42" s="595"/>
      <c r="IIK42" s="595"/>
      <c r="IIL42" s="595"/>
      <c r="IIM42" s="595"/>
      <c r="IIN42" s="595"/>
      <c r="IIO42" s="595"/>
      <c r="IIP42" s="595"/>
      <c r="IIQ42" s="595"/>
      <c r="IIR42" s="595"/>
      <c r="IIS42" s="595"/>
      <c r="IIT42" s="595"/>
      <c r="IIU42" s="595"/>
      <c r="IIV42" s="595"/>
      <c r="IIW42" s="595"/>
      <c r="IIX42" s="595"/>
      <c r="IIY42" s="595"/>
      <c r="IIZ42" s="595"/>
      <c r="IJA42" s="595"/>
      <c r="IJB42" s="595"/>
      <c r="IJC42" s="595"/>
      <c r="IJD42" s="595"/>
      <c r="IJE42" s="595"/>
      <c r="IJF42" s="595"/>
      <c r="IJG42" s="595"/>
      <c r="IJH42" s="595"/>
      <c r="IJI42" s="595"/>
      <c r="IJJ42" s="595"/>
      <c r="IJK42" s="595"/>
      <c r="IJL42" s="595"/>
      <c r="IJM42" s="595"/>
      <c r="IJN42" s="595"/>
      <c r="IJO42" s="595"/>
      <c r="IJP42" s="595"/>
      <c r="IJQ42" s="595"/>
      <c r="IJR42" s="595"/>
      <c r="IJS42" s="595"/>
      <c r="IJT42" s="595"/>
      <c r="IJU42" s="595"/>
      <c r="IJV42" s="595"/>
      <c r="IJW42" s="595"/>
      <c r="IJX42" s="595"/>
      <c r="IJY42" s="595"/>
      <c r="IJZ42" s="595"/>
      <c r="IKA42" s="595"/>
      <c r="IKB42" s="595"/>
      <c r="IKC42" s="595"/>
      <c r="IKD42" s="595"/>
      <c r="IKE42" s="595"/>
      <c r="IKF42" s="595"/>
      <c r="IKG42" s="595"/>
      <c r="IKH42" s="595"/>
      <c r="IKI42" s="595"/>
      <c r="IKJ42" s="595"/>
      <c r="IKK42" s="595"/>
      <c r="IKL42" s="595"/>
      <c r="IKM42" s="595"/>
      <c r="IKN42" s="595"/>
      <c r="IKO42" s="595"/>
      <c r="IKP42" s="595"/>
      <c r="IKQ42" s="595"/>
      <c r="IKR42" s="595"/>
      <c r="IKS42" s="595"/>
      <c r="IKT42" s="595"/>
      <c r="IKU42" s="595"/>
      <c r="IKV42" s="595"/>
      <c r="IKW42" s="595"/>
      <c r="IKX42" s="595"/>
      <c r="IKY42" s="595"/>
      <c r="IKZ42" s="595"/>
      <c r="ILA42" s="595"/>
      <c r="ILB42" s="595"/>
      <c r="ILC42" s="595"/>
      <c r="ILD42" s="595"/>
      <c r="ILE42" s="595"/>
      <c r="ILF42" s="595"/>
      <c r="ILG42" s="595"/>
      <c r="ILH42" s="595"/>
      <c r="ILI42" s="595"/>
      <c r="ILJ42" s="595"/>
      <c r="ILK42" s="595"/>
      <c r="ILL42" s="595"/>
      <c r="ILM42" s="595"/>
      <c r="ILN42" s="595"/>
      <c r="ILO42" s="595"/>
      <c r="ILP42" s="595"/>
      <c r="ILQ42" s="595"/>
      <c r="ILR42" s="595"/>
      <c r="ILS42" s="595"/>
      <c r="ILT42" s="595"/>
      <c r="ILU42" s="595"/>
      <c r="ILV42" s="595"/>
      <c r="ILW42" s="595"/>
      <c r="ILX42" s="595"/>
      <c r="ILY42" s="595"/>
      <c r="ILZ42" s="595"/>
      <c r="IMA42" s="595"/>
      <c r="IMB42" s="595"/>
      <c r="IMC42" s="595"/>
      <c r="IMD42" s="595"/>
      <c r="IME42" s="595"/>
      <c r="IMF42" s="595"/>
      <c r="IMG42" s="595"/>
      <c r="IMH42" s="595"/>
      <c r="IMI42" s="595"/>
      <c r="IMJ42" s="595"/>
      <c r="IMK42" s="595"/>
      <c r="IML42" s="595"/>
      <c r="IMM42" s="595"/>
      <c r="IMN42" s="595"/>
      <c r="IMO42" s="595"/>
      <c r="IMP42" s="595"/>
      <c r="IMQ42" s="595"/>
      <c r="IMR42" s="595"/>
      <c r="IMS42" s="595"/>
      <c r="IMT42" s="595"/>
      <c r="IMU42" s="595"/>
      <c r="IMV42" s="595"/>
      <c r="IMW42" s="595"/>
      <c r="IMX42" s="595"/>
      <c r="IMY42" s="595"/>
      <c r="IMZ42" s="595"/>
      <c r="INA42" s="595"/>
      <c r="INB42" s="595"/>
      <c r="INC42" s="595"/>
      <c r="IND42" s="595"/>
      <c r="INE42" s="595"/>
      <c r="INF42" s="595"/>
      <c r="ING42" s="595"/>
      <c r="INH42" s="595"/>
      <c r="INI42" s="595"/>
      <c r="INJ42" s="595"/>
      <c r="INK42" s="595"/>
      <c r="INL42" s="595"/>
      <c r="INM42" s="595"/>
      <c r="INN42" s="595"/>
      <c r="INO42" s="595"/>
      <c r="INP42" s="595"/>
      <c r="INQ42" s="595"/>
      <c r="INR42" s="595"/>
      <c r="INS42" s="595"/>
      <c r="INT42" s="595"/>
      <c r="INU42" s="595"/>
      <c r="INV42" s="595"/>
      <c r="INW42" s="595"/>
      <c r="INX42" s="595"/>
      <c r="INY42" s="595"/>
      <c r="INZ42" s="595"/>
      <c r="IOA42" s="595"/>
      <c r="IOB42" s="595"/>
      <c r="IOC42" s="595"/>
      <c r="IOD42" s="595"/>
      <c r="IOE42" s="595"/>
      <c r="IOF42" s="595"/>
      <c r="IOG42" s="595"/>
      <c r="IOH42" s="595"/>
      <c r="IOI42" s="595"/>
      <c r="IOJ42" s="595"/>
      <c r="IOK42" s="595"/>
      <c r="IOL42" s="595"/>
      <c r="IOM42" s="595"/>
      <c r="ION42" s="595"/>
      <c r="IOO42" s="595"/>
      <c r="IOP42" s="595"/>
      <c r="IOQ42" s="595"/>
      <c r="IOR42" s="595"/>
      <c r="IOS42" s="595"/>
      <c r="IOT42" s="595"/>
      <c r="IOU42" s="595"/>
      <c r="IOV42" s="595"/>
      <c r="IOW42" s="595"/>
      <c r="IOX42" s="595"/>
      <c r="IOY42" s="595"/>
      <c r="IOZ42" s="595"/>
      <c r="IPA42" s="595"/>
      <c r="IPB42" s="595"/>
      <c r="IPC42" s="595"/>
      <c r="IPD42" s="595"/>
      <c r="IPE42" s="595"/>
      <c r="IPF42" s="595"/>
      <c r="IPG42" s="595"/>
      <c r="IPH42" s="595"/>
      <c r="IPI42" s="595"/>
      <c r="IPJ42" s="595"/>
      <c r="IPK42" s="595"/>
      <c r="IPL42" s="595"/>
      <c r="IPM42" s="595"/>
      <c r="IPN42" s="595"/>
      <c r="IPO42" s="595"/>
      <c r="IPP42" s="595"/>
      <c r="IPQ42" s="595"/>
      <c r="IPR42" s="595"/>
      <c r="IPS42" s="595"/>
      <c r="IPT42" s="595"/>
      <c r="IPU42" s="595"/>
      <c r="IPV42" s="595"/>
      <c r="IPW42" s="595"/>
      <c r="IPX42" s="595"/>
      <c r="IPY42" s="595"/>
      <c r="IPZ42" s="595"/>
      <c r="IQA42" s="595"/>
      <c r="IQB42" s="595"/>
      <c r="IQC42" s="595"/>
      <c r="IQD42" s="595"/>
      <c r="IQE42" s="595"/>
      <c r="IQF42" s="595"/>
      <c r="IQG42" s="595"/>
      <c r="IQH42" s="595"/>
      <c r="IQI42" s="595"/>
      <c r="IQJ42" s="595"/>
      <c r="IQK42" s="595"/>
      <c r="IQL42" s="595"/>
      <c r="IQM42" s="595"/>
      <c r="IQN42" s="595"/>
      <c r="IQO42" s="595"/>
      <c r="IQP42" s="595"/>
      <c r="IQQ42" s="595"/>
      <c r="IQR42" s="595"/>
      <c r="IQS42" s="595"/>
      <c r="IQT42" s="595"/>
      <c r="IQU42" s="595"/>
      <c r="IQV42" s="595"/>
      <c r="IQW42" s="595"/>
      <c r="IQX42" s="595"/>
      <c r="IQY42" s="595"/>
      <c r="IQZ42" s="595"/>
      <c r="IRA42" s="595"/>
      <c r="IRB42" s="595"/>
      <c r="IRC42" s="595"/>
      <c r="IRD42" s="595"/>
      <c r="IRE42" s="595"/>
      <c r="IRF42" s="595"/>
      <c r="IRG42" s="595"/>
      <c r="IRH42" s="595"/>
      <c r="IRI42" s="595"/>
      <c r="IRJ42" s="595"/>
      <c r="IRK42" s="595"/>
      <c r="IRL42" s="595"/>
      <c r="IRM42" s="595"/>
      <c r="IRN42" s="595"/>
      <c r="IRO42" s="595"/>
      <c r="IRP42" s="595"/>
      <c r="IRQ42" s="595"/>
      <c r="IRR42" s="595"/>
      <c r="IRS42" s="595"/>
      <c r="IRT42" s="595"/>
      <c r="IRU42" s="595"/>
      <c r="IRV42" s="595"/>
      <c r="IRW42" s="595"/>
      <c r="IRX42" s="595"/>
      <c r="IRY42" s="595"/>
      <c r="IRZ42" s="595"/>
      <c r="ISA42" s="595"/>
      <c r="ISB42" s="595"/>
      <c r="ISC42" s="595"/>
      <c r="ISD42" s="595"/>
      <c r="ISE42" s="595"/>
      <c r="ISF42" s="595"/>
      <c r="ISG42" s="595"/>
      <c r="ISH42" s="595"/>
      <c r="ISI42" s="595"/>
      <c r="ISJ42" s="595"/>
      <c r="ISK42" s="595"/>
      <c r="ISL42" s="595"/>
      <c r="ISM42" s="595"/>
      <c r="ISN42" s="595"/>
      <c r="ISO42" s="595"/>
      <c r="ISP42" s="595"/>
      <c r="ISQ42" s="595"/>
      <c r="ISR42" s="595"/>
      <c r="ISS42" s="595"/>
      <c r="IST42" s="595"/>
      <c r="ISU42" s="595"/>
      <c r="ISV42" s="595"/>
      <c r="ISW42" s="595"/>
      <c r="ISX42" s="595"/>
      <c r="ISY42" s="595"/>
      <c r="ISZ42" s="595"/>
      <c r="ITA42" s="595"/>
      <c r="ITB42" s="595"/>
      <c r="ITC42" s="595"/>
      <c r="ITD42" s="595"/>
      <c r="ITE42" s="595"/>
      <c r="ITF42" s="595"/>
      <c r="ITG42" s="595"/>
      <c r="ITH42" s="595"/>
      <c r="ITI42" s="595"/>
      <c r="ITJ42" s="595"/>
      <c r="ITK42" s="595"/>
      <c r="ITL42" s="595"/>
      <c r="ITM42" s="595"/>
      <c r="ITN42" s="595"/>
      <c r="ITO42" s="595"/>
      <c r="ITP42" s="595"/>
      <c r="ITQ42" s="595"/>
      <c r="ITR42" s="595"/>
      <c r="ITS42" s="595"/>
      <c r="ITT42" s="595"/>
      <c r="ITU42" s="595"/>
      <c r="ITV42" s="595"/>
      <c r="ITW42" s="595"/>
      <c r="ITX42" s="595"/>
      <c r="ITY42" s="595"/>
      <c r="ITZ42" s="595"/>
      <c r="IUA42" s="595"/>
      <c r="IUB42" s="595"/>
      <c r="IUC42" s="595"/>
      <c r="IUD42" s="595"/>
      <c r="IUE42" s="595"/>
      <c r="IUF42" s="595"/>
      <c r="IUG42" s="595"/>
      <c r="IUH42" s="595"/>
      <c r="IUI42" s="595"/>
      <c r="IUJ42" s="595"/>
      <c r="IUK42" s="595"/>
      <c r="IUL42" s="595"/>
      <c r="IUM42" s="595"/>
      <c r="IUN42" s="595"/>
      <c r="IUO42" s="595"/>
      <c r="IUP42" s="595"/>
      <c r="IUQ42" s="595"/>
      <c r="IUR42" s="595"/>
      <c r="IUS42" s="595"/>
      <c r="IUT42" s="595"/>
      <c r="IUU42" s="595"/>
      <c r="IUV42" s="595"/>
      <c r="IUW42" s="595"/>
      <c r="IUX42" s="595"/>
      <c r="IUY42" s="595"/>
      <c r="IUZ42" s="595"/>
      <c r="IVA42" s="595"/>
      <c r="IVB42" s="595"/>
      <c r="IVC42" s="595"/>
      <c r="IVD42" s="595"/>
      <c r="IVE42" s="595"/>
      <c r="IVF42" s="595"/>
      <c r="IVG42" s="595"/>
      <c r="IVH42" s="595"/>
      <c r="IVI42" s="595"/>
      <c r="IVJ42" s="595"/>
      <c r="IVK42" s="595"/>
      <c r="IVL42" s="595"/>
      <c r="IVM42" s="595"/>
      <c r="IVN42" s="595"/>
      <c r="IVO42" s="595"/>
      <c r="IVP42" s="595"/>
      <c r="IVQ42" s="595"/>
      <c r="IVR42" s="595"/>
      <c r="IVS42" s="595"/>
      <c r="IVT42" s="595"/>
      <c r="IVU42" s="595"/>
      <c r="IVV42" s="595"/>
      <c r="IVW42" s="595"/>
      <c r="IVX42" s="595"/>
      <c r="IVY42" s="595"/>
      <c r="IVZ42" s="595"/>
      <c r="IWA42" s="595"/>
      <c r="IWB42" s="595"/>
      <c r="IWC42" s="595"/>
      <c r="IWD42" s="595"/>
      <c r="IWE42" s="595"/>
      <c r="IWF42" s="595"/>
      <c r="IWG42" s="595"/>
      <c r="IWH42" s="595"/>
      <c r="IWI42" s="595"/>
      <c r="IWJ42" s="595"/>
      <c r="IWK42" s="595"/>
      <c r="IWL42" s="595"/>
      <c r="IWM42" s="595"/>
      <c r="IWN42" s="595"/>
      <c r="IWO42" s="595"/>
      <c r="IWP42" s="595"/>
      <c r="IWQ42" s="595"/>
      <c r="IWR42" s="595"/>
      <c r="IWS42" s="595"/>
      <c r="IWT42" s="595"/>
      <c r="IWU42" s="595"/>
      <c r="IWV42" s="595"/>
      <c r="IWW42" s="595"/>
      <c r="IWX42" s="595"/>
      <c r="IWY42" s="595"/>
      <c r="IWZ42" s="595"/>
      <c r="IXA42" s="595"/>
      <c r="IXB42" s="595"/>
      <c r="IXC42" s="595"/>
      <c r="IXD42" s="595"/>
      <c r="IXE42" s="595"/>
      <c r="IXF42" s="595"/>
      <c r="IXG42" s="595"/>
      <c r="IXH42" s="595"/>
      <c r="IXI42" s="595"/>
      <c r="IXJ42" s="595"/>
      <c r="IXK42" s="595"/>
      <c r="IXL42" s="595"/>
      <c r="IXM42" s="595"/>
      <c r="IXN42" s="595"/>
      <c r="IXO42" s="595"/>
      <c r="IXP42" s="595"/>
      <c r="IXQ42" s="595"/>
      <c r="IXR42" s="595"/>
      <c r="IXS42" s="595"/>
      <c r="IXT42" s="595"/>
      <c r="IXU42" s="595"/>
      <c r="IXV42" s="595"/>
      <c r="IXW42" s="595"/>
      <c r="IXX42" s="595"/>
      <c r="IXY42" s="595"/>
      <c r="IXZ42" s="595"/>
      <c r="IYA42" s="595"/>
      <c r="IYB42" s="595"/>
      <c r="IYC42" s="595"/>
      <c r="IYD42" s="595"/>
      <c r="IYE42" s="595"/>
      <c r="IYF42" s="595"/>
      <c r="IYG42" s="595"/>
      <c r="IYH42" s="595"/>
      <c r="IYI42" s="595"/>
      <c r="IYJ42" s="595"/>
      <c r="IYK42" s="595"/>
      <c r="IYL42" s="595"/>
      <c r="IYM42" s="595"/>
      <c r="IYN42" s="595"/>
      <c r="IYO42" s="595"/>
      <c r="IYP42" s="595"/>
      <c r="IYQ42" s="595"/>
      <c r="IYR42" s="595"/>
      <c r="IYS42" s="595"/>
      <c r="IYT42" s="595"/>
      <c r="IYU42" s="595"/>
      <c r="IYV42" s="595"/>
      <c r="IYW42" s="595"/>
      <c r="IYX42" s="595"/>
      <c r="IYY42" s="595"/>
      <c r="IYZ42" s="595"/>
      <c r="IZA42" s="595"/>
      <c r="IZB42" s="595"/>
      <c r="IZC42" s="595"/>
      <c r="IZD42" s="595"/>
      <c r="IZE42" s="595"/>
      <c r="IZF42" s="595"/>
      <c r="IZG42" s="595"/>
      <c r="IZH42" s="595"/>
      <c r="IZI42" s="595"/>
      <c r="IZJ42" s="595"/>
      <c r="IZK42" s="595"/>
      <c r="IZL42" s="595"/>
      <c r="IZM42" s="595"/>
      <c r="IZN42" s="595"/>
      <c r="IZO42" s="595"/>
      <c r="IZP42" s="595"/>
      <c r="IZQ42" s="595"/>
      <c r="IZR42" s="595"/>
      <c r="IZS42" s="595"/>
      <c r="IZT42" s="595"/>
      <c r="IZU42" s="595"/>
      <c r="IZV42" s="595"/>
      <c r="IZW42" s="595"/>
      <c r="IZX42" s="595"/>
      <c r="IZY42" s="595"/>
      <c r="IZZ42" s="595"/>
      <c r="JAA42" s="595"/>
      <c r="JAB42" s="595"/>
      <c r="JAC42" s="595"/>
      <c r="JAD42" s="595"/>
      <c r="JAE42" s="595"/>
      <c r="JAF42" s="595"/>
      <c r="JAG42" s="595"/>
      <c r="JAH42" s="595"/>
      <c r="JAI42" s="595"/>
      <c r="JAJ42" s="595"/>
      <c r="JAK42" s="595"/>
      <c r="JAL42" s="595"/>
      <c r="JAM42" s="595"/>
      <c r="JAN42" s="595"/>
      <c r="JAO42" s="595"/>
      <c r="JAP42" s="595"/>
      <c r="JAQ42" s="595"/>
      <c r="JAR42" s="595"/>
      <c r="JAS42" s="595"/>
      <c r="JAT42" s="595"/>
      <c r="JAU42" s="595"/>
      <c r="JAV42" s="595"/>
      <c r="JAW42" s="595"/>
      <c r="JAX42" s="595"/>
      <c r="JAY42" s="595"/>
      <c r="JAZ42" s="595"/>
      <c r="JBA42" s="595"/>
      <c r="JBB42" s="595"/>
      <c r="JBC42" s="595"/>
      <c r="JBD42" s="595"/>
      <c r="JBE42" s="595"/>
      <c r="JBF42" s="595"/>
      <c r="JBG42" s="595"/>
      <c r="JBH42" s="595"/>
      <c r="JBI42" s="595"/>
      <c r="JBJ42" s="595"/>
      <c r="JBK42" s="595"/>
      <c r="JBL42" s="595"/>
      <c r="JBM42" s="595"/>
      <c r="JBN42" s="595"/>
      <c r="JBO42" s="595"/>
      <c r="JBP42" s="595"/>
      <c r="JBQ42" s="595"/>
      <c r="JBR42" s="595"/>
      <c r="JBS42" s="595"/>
      <c r="JBT42" s="595"/>
      <c r="JBU42" s="595"/>
      <c r="JBV42" s="595"/>
      <c r="JBW42" s="595"/>
      <c r="JBX42" s="595"/>
      <c r="JBY42" s="595"/>
      <c r="JBZ42" s="595"/>
      <c r="JCA42" s="595"/>
      <c r="JCB42" s="595"/>
      <c r="JCC42" s="595"/>
      <c r="JCD42" s="595"/>
      <c r="JCE42" s="595"/>
      <c r="JCF42" s="595"/>
      <c r="JCG42" s="595"/>
      <c r="JCH42" s="595"/>
      <c r="JCI42" s="595"/>
      <c r="JCJ42" s="595"/>
      <c r="JCK42" s="595"/>
      <c r="JCL42" s="595"/>
      <c r="JCM42" s="595"/>
      <c r="JCN42" s="595"/>
      <c r="JCO42" s="595"/>
      <c r="JCP42" s="595"/>
      <c r="JCQ42" s="595"/>
      <c r="JCR42" s="595"/>
      <c r="JCS42" s="595"/>
      <c r="JCT42" s="595"/>
      <c r="JCU42" s="595"/>
      <c r="JCV42" s="595"/>
      <c r="JCW42" s="595"/>
      <c r="JCX42" s="595"/>
      <c r="JCY42" s="595"/>
      <c r="JCZ42" s="595"/>
      <c r="JDA42" s="595"/>
      <c r="JDB42" s="595"/>
      <c r="JDC42" s="595"/>
      <c r="JDD42" s="595"/>
      <c r="JDE42" s="595"/>
      <c r="JDF42" s="595"/>
      <c r="JDG42" s="595"/>
      <c r="JDH42" s="595"/>
      <c r="JDI42" s="595"/>
      <c r="JDJ42" s="595"/>
      <c r="JDK42" s="595"/>
      <c r="JDL42" s="595"/>
      <c r="JDM42" s="595"/>
      <c r="JDN42" s="595"/>
      <c r="JDO42" s="595"/>
      <c r="JDP42" s="595"/>
      <c r="JDQ42" s="595"/>
      <c r="JDR42" s="595"/>
      <c r="JDS42" s="595"/>
      <c r="JDT42" s="595"/>
      <c r="JDU42" s="595"/>
      <c r="JDV42" s="595"/>
      <c r="JDW42" s="595"/>
      <c r="JDX42" s="595"/>
      <c r="JDY42" s="595"/>
      <c r="JDZ42" s="595"/>
      <c r="JEA42" s="595"/>
      <c r="JEB42" s="595"/>
      <c r="JEC42" s="595"/>
      <c r="JED42" s="595"/>
      <c r="JEE42" s="595"/>
      <c r="JEF42" s="595"/>
      <c r="JEG42" s="595"/>
      <c r="JEH42" s="595"/>
      <c r="JEI42" s="595"/>
      <c r="JEJ42" s="595"/>
      <c r="JEK42" s="595"/>
      <c r="JEL42" s="595"/>
      <c r="JEM42" s="595"/>
      <c r="JEN42" s="595"/>
      <c r="JEO42" s="595"/>
      <c r="JEP42" s="595"/>
      <c r="JEQ42" s="595"/>
      <c r="JER42" s="595"/>
      <c r="JES42" s="595"/>
      <c r="JET42" s="595"/>
      <c r="JEU42" s="595"/>
      <c r="JEV42" s="595"/>
      <c r="JEW42" s="595"/>
      <c r="JEX42" s="595"/>
      <c r="JEY42" s="595"/>
      <c r="JEZ42" s="595"/>
      <c r="JFA42" s="595"/>
      <c r="JFB42" s="595"/>
      <c r="JFC42" s="595"/>
      <c r="JFD42" s="595"/>
      <c r="JFE42" s="595"/>
      <c r="JFF42" s="595"/>
      <c r="JFG42" s="595"/>
      <c r="JFH42" s="595"/>
      <c r="JFI42" s="595"/>
      <c r="JFJ42" s="595"/>
      <c r="JFK42" s="595"/>
      <c r="JFL42" s="595"/>
      <c r="JFM42" s="595"/>
      <c r="JFN42" s="595"/>
      <c r="JFO42" s="595"/>
      <c r="JFP42" s="595"/>
      <c r="JFQ42" s="595"/>
      <c r="JFR42" s="595"/>
      <c r="JFS42" s="595"/>
      <c r="JFT42" s="595"/>
      <c r="JFU42" s="595"/>
      <c r="JFV42" s="595"/>
      <c r="JFW42" s="595"/>
      <c r="JFX42" s="595"/>
      <c r="JFY42" s="595"/>
      <c r="JFZ42" s="595"/>
      <c r="JGA42" s="595"/>
      <c r="JGB42" s="595"/>
      <c r="JGC42" s="595"/>
      <c r="JGD42" s="595"/>
      <c r="JGE42" s="595"/>
      <c r="JGF42" s="595"/>
      <c r="JGG42" s="595"/>
      <c r="JGH42" s="595"/>
      <c r="JGI42" s="595"/>
      <c r="JGJ42" s="595"/>
      <c r="JGK42" s="595"/>
      <c r="JGL42" s="595"/>
      <c r="JGM42" s="595"/>
      <c r="JGN42" s="595"/>
      <c r="JGO42" s="595"/>
      <c r="JGP42" s="595"/>
      <c r="JGQ42" s="595"/>
      <c r="JGR42" s="595"/>
      <c r="JGS42" s="595"/>
      <c r="JGT42" s="595"/>
      <c r="JGU42" s="595"/>
      <c r="JGV42" s="595"/>
      <c r="JGW42" s="595"/>
      <c r="JGX42" s="595"/>
      <c r="JGY42" s="595"/>
      <c r="JGZ42" s="595"/>
      <c r="JHA42" s="595"/>
      <c r="JHB42" s="595"/>
      <c r="JHC42" s="595"/>
      <c r="JHD42" s="595"/>
      <c r="JHE42" s="595"/>
      <c r="JHF42" s="595"/>
      <c r="JHG42" s="595"/>
      <c r="JHH42" s="595"/>
      <c r="JHI42" s="595"/>
      <c r="JHJ42" s="595"/>
      <c r="JHK42" s="595"/>
      <c r="JHL42" s="595"/>
      <c r="JHM42" s="595"/>
      <c r="JHN42" s="595"/>
      <c r="JHO42" s="595"/>
      <c r="JHP42" s="595"/>
      <c r="JHQ42" s="595"/>
      <c r="JHR42" s="595"/>
      <c r="JHS42" s="595"/>
      <c r="JHT42" s="595"/>
      <c r="JHU42" s="595"/>
      <c r="JHV42" s="595"/>
      <c r="JHW42" s="595"/>
      <c r="JHX42" s="595"/>
      <c r="JHY42" s="595"/>
      <c r="JHZ42" s="595"/>
      <c r="JIA42" s="595"/>
      <c r="JIB42" s="595"/>
      <c r="JIC42" s="595"/>
      <c r="JID42" s="595"/>
      <c r="JIE42" s="595"/>
      <c r="JIF42" s="595"/>
      <c r="JIG42" s="595"/>
      <c r="JIH42" s="595"/>
      <c r="JII42" s="595"/>
      <c r="JIJ42" s="595"/>
      <c r="JIK42" s="595"/>
      <c r="JIL42" s="595"/>
      <c r="JIM42" s="595"/>
      <c r="JIN42" s="595"/>
      <c r="JIO42" s="595"/>
      <c r="JIP42" s="595"/>
      <c r="JIQ42" s="595"/>
      <c r="JIR42" s="595"/>
      <c r="JIS42" s="595"/>
      <c r="JIT42" s="595"/>
      <c r="JIU42" s="595"/>
      <c r="JIV42" s="595"/>
      <c r="JIW42" s="595"/>
      <c r="JIX42" s="595"/>
      <c r="JIY42" s="595"/>
      <c r="JIZ42" s="595"/>
      <c r="JJA42" s="595"/>
      <c r="JJB42" s="595"/>
      <c r="JJC42" s="595"/>
      <c r="JJD42" s="595"/>
      <c r="JJE42" s="595"/>
      <c r="JJF42" s="595"/>
      <c r="JJG42" s="595"/>
      <c r="JJH42" s="595"/>
      <c r="JJI42" s="595"/>
      <c r="JJJ42" s="595"/>
      <c r="JJK42" s="595"/>
      <c r="JJL42" s="595"/>
      <c r="JJM42" s="595"/>
      <c r="JJN42" s="595"/>
      <c r="JJO42" s="595"/>
      <c r="JJP42" s="595"/>
      <c r="JJQ42" s="595"/>
      <c r="JJR42" s="595"/>
      <c r="JJS42" s="595"/>
      <c r="JJT42" s="595"/>
      <c r="JJU42" s="595"/>
      <c r="JJV42" s="595"/>
      <c r="JJW42" s="595"/>
      <c r="JJX42" s="595"/>
      <c r="JJY42" s="595"/>
      <c r="JJZ42" s="595"/>
      <c r="JKA42" s="595"/>
      <c r="JKB42" s="595"/>
      <c r="JKC42" s="595"/>
      <c r="JKD42" s="595"/>
      <c r="JKE42" s="595"/>
      <c r="JKF42" s="595"/>
      <c r="JKG42" s="595"/>
      <c r="JKH42" s="595"/>
      <c r="JKI42" s="595"/>
      <c r="JKJ42" s="595"/>
      <c r="JKK42" s="595"/>
      <c r="JKL42" s="595"/>
      <c r="JKM42" s="595"/>
      <c r="JKN42" s="595"/>
      <c r="JKO42" s="595"/>
      <c r="JKP42" s="595"/>
      <c r="JKQ42" s="595"/>
      <c r="JKR42" s="595"/>
      <c r="JKS42" s="595"/>
      <c r="JKT42" s="595"/>
      <c r="JKU42" s="595"/>
      <c r="JKV42" s="595"/>
      <c r="JKW42" s="595"/>
      <c r="JKX42" s="595"/>
      <c r="JKY42" s="595"/>
      <c r="JKZ42" s="595"/>
      <c r="JLA42" s="595"/>
      <c r="JLB42" s="595"/>
      <c r="JLC42" s="595"/>
      <c r="JLD42" s="595"/>
      <c r="JLE42" s="595"/>
      <c r="JLF42" s="595"/>
      <c r="JLG42" s="595"/>
      <c r="JLH42" s="595"/>
      <c r="JLI42" s="595"/>
      <c r="JLJ42" s="595"/>
      <c r="JLK42" s="595"/>
      <c r="JLL42" s="595"/>
      <c r="JLM42" s="595"/>
      <c r="JLN42" s="595"/>
      <c r="JLO42" s="595"/>
      <c r="JLP42" s="595"/>
      <c r="JLQ42" s="595"/>
      <c r="JLR42" s="595"/>
      <c r="JLS42" s="595"/>
      <c r="JLT42" s="595"/>
      <c r="JLU42" s="595"/>
      <c r="JLV42" s="595"/>
      <c r="JLW42" s="595"/>
      <c r="JLX42" s="595"/>
      <c r="JLY42" s="595"/>
      <c r="JLZ42" s="595"/>
      <c r="JMA42" s="595"/>
      <c r="JMB42" s="595"/>
      <c r="JMC42" s="595"/>
      <c r="JMD42" s="595"/>
      <c r="JME42" s="595"/>
      <c r="JMF42" s="595"/>
      <c r="JMG42" s="595"/>
      <c r="JMH42" s="595"/>
      <c r="JMI42" s="595"/>
      <c r="JMJ42" s="595"/>
      <c r="JMK42" s="595"/>
      <c r="JML42" s="595"/>
      <c r="JMM42" s="595"/>
      <c r="JMN42" s="595"/>
      <c r="JMO42" s="595"/>
      <c r="JMP42" s="595"/>
      <c r="JMQ42" s="595"/>
      <c r="JMR42" s="595"/>
      <c r="JMS42" s="595"/>
      <c r="JMT42" s="595"/>
      <c r="JMU42" s="595"/>
      <c r="JMV42" s="595"/>
      <c r="JMW42" s="595"/>
      <c r="JMX42" s="595"/>
      <c r="JMY42" s="595"/>
      <c r="JMZ42" s="595"/>
      <c r="JNA42" s="595"/>
      <c r="JNB42" s="595"/>
      <c r="JNC42" s="595"/>
      <c r="JND42" s="595"/>
      <c r="JNE42" s="595"/>
      <c r="JNF42" s="595"/>
      <c r="JNG42" s="595"/>
      <c r="JNH42" s="595"/>
      <c r="JNI42" s="595"/>
      <c r="JNJ42" s="595"/>
      <c r="JNK42" s="595"/>
      <c r="JNL42" s="595"/>
      <c r="JNM42" s="595"/>
      <c r="JNN42" s="595"/>
      <c r="JNO42" s="595"/>
      <c r="JNP42" s="595"/>
      <c r="JNQ42" s="595"/>
      <c r="JNR42" s="595"/>
      <c r="JNS42" s="595"/>
      <c r="JNT42" s="595"/>
      <c r="JNU42" s="595"/>
      <c r="JNV42" s="595"/>
      <c r="JNW42" s="595"/>
      <c r="JNX42" s="595"/>
      <c r="JNY42" s="595"/>
      <c r="JNZ42" s="595"/>
      <c r="JOA42" s="595"/>
      <c r="JOB42" s="595"/>
      <c r="JOC42" s="595"/>
      <c r="JOD42" s="595"/>
      <c r="JOE42" s="595"/>
      <c r="JOF42" s="595"/>
      <c r="JOG42" s="595"/>
      <c r="JOH42" s="595"/>
      <c r="JOI42" s="595"/>
      <c r="JOJ42" s="595"/>
      <c r="JOK42" s="595"/>
      <c r="JOL42" s="595"/>
      <c r="JOM42" s="595"/>
      <c r="JON42" s="595"/>
      <c r="JOO42" s="595"/>
      <c r="JOP42" s="595"/>
      <c r="JOQ42" s="595"/>
      <c r="JOR42" s="595"/>
      <c r="JOS42" s="595"/>
      <c r="JOT42" s="595"/>
      <c r="JOU42" s="595"/>
      <c r="JOV42" s="595"/>
      <c r="JOW42" s="595"/>
      <c r="JOX42" s="595"/>
      <c r="JOY42" s="595"/>
      <c r="JOZ42" s="595"/>
      <c r="JPA42" s="595"/>
      <c r="JPB42" s="595"/>
      <c r="JPC42" s="595"/>
      <c r="JPD42" s="595"/>
      <c r="JPE42" s="595"/>
      <c r="JPF42" s="595"/>
      <c r="JPG42" s="595"/>
      <c r="JPH42" s="595"/>
      <c r="JPI42" s="595"/>
      <c r="JPJ42" s="595"/>
      <c r="JPK42" s="595"/>
      <c r="JPL42" s="595"/>
      <c r="JPM42" s="595"/>
      <c r="JPN42" s="595"/>
      <c r="JPO42" s="595"/>
      <c r="JPP42" s="595"/>
      <c r="JPQ42" s="595"/>
      <c r="JPR42" s="595"/>
      <c r="JPS42" s="595"/>
      <c r="JPT42" s="595"/>
      <c r="JPU42" s="595"/>
      <c r="JPV42" s="595"/>
      <c r="JPW42" s="595"/>
      <c r="JPX42" s="595"/>
      <c r="JPY42" s="595"/>
      <c r="JPZ42" s="595"/>
      <c r="JQA42" s="595"/>
      <c r="JQB42" s="595"/>
      <c r="JQC42" s="595"/>
      <c r="JQD42" s="595"/>
      <c r="JQE42" s="595"/>
      <c r="JQF42" s="595"/>
      <c r="JQG42" s="595"/>
      <c r="JQH42" s="595"/>
      <c r="JQI42" s="595"/>
      <c r="JQJ42" s="595"/>
      <c r="JQK42" s="595"/>
      <c r="JQL42" s="595"/>
      <c r="JQM42" s="595"/>
      <c r="JQN42" s="595"/>
      <c r="JQO42" s="595"/>
      <c r="JQP42" s="595"/>
      <c r="JQQ42" s="595"/>
      <c r="JQR42" s="595"/>
      <c r="JQS42" s="595"/>
      <c r="JQT42" s="595"/>
      <c r="JQU42" s="595"/>
      <c r="JQV42" s="595"/>
      <c r="JQW42" s="595"/>
      <c r="JQX42" s="595"/>
      <c r="JQY42" s="595"/>
      <c r="JQZ42" s="595"/>
      <c r="JRA42" s="595"/>
      <c r="JRB42" s="595"/>
      <c r="JRC42" s="595"/>
      <c r="JRD42" s="595"/>
      <c r="JRE42" s="595"/>
      <c r="JRF42" s="595"/>
      <c r="JRG42" s="595"/>
      <c r="JRH42" s="595"/>
      <c r="JRI42" s="595"/>
      <c r="JRJ42" s="595"/>
      <c r="JRK42" s="595"/>
      <c r="JRL42" s="595"/>
      <c r="JRM42" s="595"/>
      <c r="JRN42" s="595"/>
      <c r="JRO42" s="595"/>
      <c r="JRP42" s="595"/>
      <c r="JRQ42" s="595"/>
      <c r="JRR42" s="595"/>
      <c r="JRS42" s="595"/>
      <c r="JRT42" s="595"/>
      <c r="JRU42" s="595"/>
      <c r="JRV42" s="595"/>
      <c r="JRW42" s="595"/>
      <c r="JRX42" s="595"/>
      <c r="JRY42" s="595"/>
      <c r="JRZ42" s="595"/>
      <c r="JSA42" s="595"/>
      <c r="JSB42" s="595"/>
      <c r="JSC42" s="595"/>
      <c r="JSD42" s="595"/>
      <c r="JSE42" s="595"/>
      <c r="JSF42" s="595"/>
      <c r="JSG42" s="595"/>
      <c r="JSH42" s="595"/>
      <c r="JSI42" s="595"/>
      <c r="JSJ42" s="595"/>
      <c r="JSK42" s="595"/>
      <c r="JSL42" s="595"/>
      <c r="JSM42" s="595"/>
      <c r="JSN42" s="595"/>
      <c r="JSO42" s="595"/>
      <c r="JSP42" s="595"/>
      <c r="JSQ42" s="595"/>
      <c r="JSR42" s="595"/>
      <c r="JSS42" s="595"/>
      <c r="JST42" s="595"/>
      <c r="JSU42" s="595"/>
      <c r="JSV42" s="595"/>
      <c r="JSW42" s="595"/>
      <c r="JSX42" s="595"/>
      <c r="JSY42" s="595"/>
      <c r="JSZ42" s="595"/>
      <c r="JTA42" s="595"/>
      <c r="JTB42" s="595"/>
      <c r="JTC42" s="595"/>
      <c r="JTD42" s="595"/>
      <c r="JTE42" s="595"/>
      <c r="JTF42" s="595"/>
      <c r="JTG42" s="595"/>
      <c r="JTH42" s="595"/>
      <c r="JTI42" s="595"/>
      <c r="JTJ42" s="595"/>
      <c r="JTK42" s="595"/>
      <c r="JTL42" s="595"/>
      <c r="JTM42" s="595"/>
      <c r="JTN42" s="595"/>
      <c r="JTO42" s="595"/>
      <c r="JTP42" s="595"/>
      <c r="JTQ42" s="595"/>
      <c r="JTR42" s="595"/>
      <c r="JTS42" s="595"/>
      <c r="JTT42" s="595"/>
      <c r="JTU42" s="595"/>
      <c r="JTV42" s="595"/>
      <c r="JTW42" s="595"/>
      <c r="JTX42" s="595"/>
      <c r="JTY42" s="595"/>
      <c r="JTZ42" s="595"/>
      <c r="JUA42" s="595"/>
      <c r="JUB42" s="595"/>
      <c r="JUC42" s="595"/>
      <c r="JUD42" s="595"/>
      <c r="JUE42" s="595"/>
      <c r="JUF42" s="595"/>
      <c r="JUG42" s="595"/>
      <c r="JUH42" s="595"/>
      <c r="JUI42" s="595"/>
      <c r="JUJ42" s="595"/>
      <c r="JUK42" s="595"/>
      <c r="JUL42" s="595"/>
      <c r="JUM42" s="595"/>
      <c r="JUN42" s="595"/>
      <c r="JUO42" s="595"/>
      <c r="JUP42" s="595"/>
      <c r="JUQ42" s="595"/>
      <c r="JUR42" s="595"/>
      <c r="JUS42" s="595"/>
      <c r="JUT42" s="595"/>
      <c r="JUU42" s="595"/>
      <c r="JUV42" s="595"/>
      <c r="JUW42" s="595"/>
      <c r="JUX42" s="595"/>
      <c r="JUY42" s="595"/>
      <c r="JUZ42" s="595"/>
      <c r="JVA42" s="595"/>
      <c r="JVB42" s="595"/>
      <c r="JVC42" s="595"/>
      <c r="JVD42" s="595"/>
      <c r="JVE42" s="595"/>
      <c r="JVF42" s="595"/>
      <c r="JVG42" s="595"/>
      <c r="JVH42" s="595"/>
      <c r="JVI42" s="595"/>
      <c r="JVJ42" s="595"/>
      <c r="JVK42" s="595"/>
      <c r="JVL42" s="595"/>
      <c r="JVM42" s="595"/>
      <c r="JVN42" s="595"/>
      <c r="JVO42" s="595"/>
      <c r="JVP42" s="595"/>
      <c r="JVQ42" s="595"/>
      <c r="JVR42" s="595"/>
      <c r="JVS42" s="595"/>
      <c r="JVT42" s="595"/>
      <c r="JVU42" s="595"/>
      <c r="JVV42" s="595"/>
      <c r="JVW42" s="595"/>
      <c r="JVX42" s="595"/>
      <c r="JVY42" s="595"/>
      <c r="JVZ42" s="595"/>
      <c r="JWA42" s="595"/>
      <c r="JWB42" s="595"/>
      <c r="JWC42" s="595"/>
      <c r="JWD42" s="595"/>
      <c r="JWE42" s="595"/>
      <c r="JWF42" s="595"/>
      <c r="JWG42" s="595"/>
      <c r="JWH42" s="595"/>
      <c r="JWI42" s="595"/>
      <c r="JWJ42" s="595"/>
      <c r="JWK42" s="595"/>
      <c r="JWL42" s="595"/>
      <c r="JWM42" s="595"/>
      <c r="JWN42" s="595"/>
      <c r="JWO42" s="595"/>
      <c r="JWP42" s="595"/>
      <c r="JWQ42" s="595"/>
      <c r="JWR42" s="595"/>
      <c r="JWS42" s="595"/>
      <c r="JWT42" s="595"/>
      <c r="JWU42" s="595"/>
      <c r="JWV42" s="595"/>
      <c r="JWW42" s="595"/>
      <c r="JWX42" s="595"/>
      <c r="JWY42" s="595"/>
      <c r="JWZ42" s="595"/>
      <c r="JXA42" s="595"/>
      <c r="JXB42" s="595"/>
      <c r="JXC42" s="595"/>
      <c r="JXD42" s="595"/>
      <c r="JXE42" s="595"/>
      <c r="JXF42" s="595"/>
      <c r="JXG42" s="595"/>
      <c r="JXH42" s="595"/>
      <c r="JXI42" s="595"/>
      <c r="JXJ42" s="595"/>
      <c r="JXK42" s="595"/>
      <c r="JXL42" s="595"/>
      <c r="JXM42" s="595"/>
      <c r="JXN42" s="595"/>
      <c r="JXO42" s="595"/>
      <c r="JXP42" s="595"/>
      <c r="JXQ42" s="595"/>
      <c r="JXR42" s="595"/>
      <c r="JXS42" s="595"/>
      <c r="JXT42" s="595"/>
      <c r="JXU42" s="595"/>
      <c r="JXV42" s="595"/>
      <c r="JXW42" s="595"/>
      <c r="JXX42" s="595"/>
      <c r="JXY42" s="595"/>
      <c r="JXZ42" s="595"/>
      <c r="JYA42" s="595"/>
      <c r="JYB42" s="595"/>
      <c r="JYC42" s="595"/>
      <c r="JYD42" s="595"/>
      <c r="JYE42" s="595"/>
      <c r="JYF42" s="595"/>
      <c r="JYG42" s="595"/>
      <c r="JYH42" s="595"/>
      <c r="JYI42" s="595"/>
      <c r="JYJ42" s="595"/>
      <c r="JYK42" s="595"/>
      <c r="JYL42" s="595"/>
      <c r="JYM42" s="595"/>
      <c r="JYN42" s="595"/>
      <c r="JYO42" s="595"/>
      <c r="JYP42" s="595"/>
      <c r="JYQ42" s="595"/>
      <c r="JYR42" s="595"/>
      <c r="JYS42" s="595"/>
      <c r="JYT42" s="595"/>
      <c r="JYU42" s="595"/>
      <c r="JYV42" s="595"/>
      <c r="JYW42" s="595"/>
      <c r="JYX42" s="595"/>
      <c r="JYY42" s="595"/>
      <c r="JYZ42" s="595"/>
      <c r="JZA42" s="595"/>
      <c r="JZB42" s="595"/>
      <c r="JZC42" s="595"/>
      <c r="JZD42" s="595"/>
      <c r="JZE42" s="595"/>
      <c r="JZF42" s="595"/>
      <c r="JZG42" s="595"/>
      <c r="JZH42" s="595"/>
      <c r="JZI42" s="595"/>
      <c r="JZJ42" s="595"/>
      <c r="JZK42" s="595"/>
      <c r="JZL42" s="595"/>
      <c r="JZM42" s="595"/>
      <c r="JZN42" s="595"/>
      <c r="JZO42" s="595"/>
      <c r="JZP42" s="595"/>
      <c r="JZQ42" s="595"/>
      <c r="JZR42" s="595"/>
      <c r="JZS42" s="595"/>
      <c r="JZT42" s="595"/>
      <c r="JZU42" s="595"/>
      <c r="JZV42" s="595"/>
      <c r="JZW42" s="595"/>
      <c r="JZX42" s="595"/>
      <c r="JZY42" s="595"/>
      <c r="JZZ42" s="595"/>
      <c r="KAA42" s="595"/>
      <c r="KAB42" s="595"/>
      <c r="KAC42" s="595"/>
      <c r="KAD42" s="595"/>
      <c r="KAE42" s="595"/>
      <c r="KAF42" s="595"/>
      <c r="KAG42" s="595"/>
      <c r="KAH42" s="595"/>
      <c r="KAI42" s="595"/>
      <c r="KAJ42" s="595"/>
      <c r="KAK42" s="595"/>
      <c r="KAL42" s="595"/>
      <c r="KAM42" s="595"/>
      <c r="KAN42" s="595"/>
      <c r="KAO42" s="595"/>
      <c r="KAP42" s="595"/>
      <c r="KAQ42" s="595"/>
      <c r="KAR42" s="595"/>
      <c r="KAS42" s="595"/>
      <c r="KAT42" s="595"/>
      <c r="KAU42" s="595"/>
      <c r="KAV42" s="595"/>
      <c r="KAW42" s="595"/>
      <c r="KAX42" s="595"/>
      <c r="KAY42" s="595"/>
      <c r="KAZ42" s="595"/>
      <c r="KBA42" s="595"/>
      <c r="KBB42" s="595"/>
      <c r="KBC42" s="595"/>
      <c r="KBD42" s="595"/>
      <c r="KBE42" s="595"/>
      <c r="KBF42" s="595"/>
      <c r="KBG42" s="595"/>
      <c r="KBH42" s="595"/>
      <c r="KBI42" s="595"/>
      <c r="KBJ42" s="595"/>
      <c r="KBK42" s="595"/>
      <c r="KBL42" s="595"/>
      <c r="KBM42" s="595"/>
      <c r="KBN42" s="595"/>
      <c r="KBO42" s="595"/>
      <c r="KBP42" s="595"/>
      <c r="KBQ42" s="595"/>
      <c r="KBR42" s="595"/>
      <c r="KBS42" s="595"/>
      <c r="KBT42" s="595"/>
      <c r="KBU42" s="595"/>
      <c r="KBV42" s="595"/>
      <c r="KBW42" s="595"/>
      <c r="KBX42" s="595"/>
      <c r="KBY42" s="595"/>
      <c r="KBZ42" s="595"/>
      <c r="KCA42" s="595"/>
      <c r="KCB42" s="595"/>
      <c r="KCC42" s="595"/>
      <c r="KCD42" s="595"/>
      <c r="KCE42" s="595"/>
      <c r="KCF42" s="595"/>
      <c r="KCG42" s="595"/>
      <c r="KCH42" s="595"/>
      <c r="KCI42" s="595"/>
      <c r="KCJ42" s="595"/>
      <c r="KCK42" s="595"/>
      <c r="KCL42" s="595"/>
      <c r="KCM42" s="595"/>
      <c r="KCN42" s="595"/>
      <c r="KCO42" s="595"/>
      <c r="KCP42" s="595"/>
      <c r="KCQ42" s="595"/>
      <c r="KCR42" s="595"/>
      <c r="KCS42" s="595"/>
      <c r="KCT42" s="595"/>
      <c r="KCU42" s="595"/>
      <c r="KCV42" s="595"/>
      <c r="KCW42" s="595"/>
      <c r="KCX42" s="595"/>
      <c r="KCY42" s="595"/>
      <c r="KCZ42" s="595"/>
      <c r="KDA42" s="595"/>
      <c r="KDB42" s="595"/>
      <c r="KDC42" s="595"/>
      <c r="KDD42" s="595"/>
      <c r="KDE42" s="595"/>
      <c r="KDF42" s="595"/>
      <c r="KDG42" s="595"/>
      <c r="KDH42" s="595"/>
      <c r="KDI42" s="595"/>
      <c r="KDJ42" s="595"/>
      <c r="KDK42" s="595"/>
      <c r="KDL42" s="595"/>
      <c r="KDM42" s="595"/>
      <c r="KDN42" s="595"/>
      <c r="KDO42" s="595"/>
      <c r="KDP42" s="595"/>
      <c r="KDQ42" s="595"/>
      <c r="KDR42" s="595"/>
      <c r="KDS42" s="595"/>
      <c r="KDT42" s="595"/>
      <c r="KDU42" s="595"/>
      <c r="KDV42" s="595"/>
      <c r="KDW42" s="595"/>
      <c r="KDX42" s="595"/>
      <c r="KDY42" s="595"/>
      <c r="KDZ42" s="595"/>
      <c r="KEA42" s="595"/>
      <c r="KEB42" s="595"/>
      <c r="KEC42" s="595"/>
      <c r="KED42" s="595"/>
      <c r="KEE42" s="595"/>
      <c r="KEF42" s="595"/>
      <c r="KEG42" s="595"/>
      <c r="KEH42" s="595"/>
      <c r="KEI42" s="595"/>
      <c r="KEJ42" s="595"/>
      <c r="KEK42" s="595"/>
      <c r="KEL42" s="595"/>
      <c r="KEM42" s="595"/>
      <c r="KEN42" s="595"/>
      <c r="KEO42" s="595"/>
      <c r="KEP42" s="595"/>
      <c r="KEQ42" s="595"/>
      <c r="KER42" s="595"/>
      <c r="KES42" s="595"/>
      <c r="KET42" s="595"/>
      <c r="KEU42" s="595"/>
      <c r="KEV42" s="595"/>
      <c r="KEW42" s="595"/>
      <c r="KEX42" s="595"/>
      <c r="KEY42" s="595"/>
      <c r="KEZ42" s="595"/>
      <c r="KFA42" s="595"/>
      <c r="KFB42" s="595"/>
      <c r="KFC42" s="595"/>
      <c r="KFD42" s="595"/>
      <c r="KFE42" s="595"/>
      <c r="KFF42" s="595"/>
      <c r="KFG42" s="595"/>
      <c r="KFH42" s="595"/>
      <c r="KFI42" s="595"/>
      <c r="KFJ42" s="595"/>
      <c r="KFK42" s="595"/>
      <c r="KFL42" s="595"/>
      <c r="KFM42" s="595"/>
      <c r="KFN42" s="595"/>
      <c r="KFO42" s="595"/>
      <c r="KFP42" s="595"/>
      <c r="KFQ42" s="595"/>
      <c r="KFR42" s="595"/>
      <c r="KFS42" s="595"/>
      <c r="KFT42" s="595"/>
      <c r="KFU42" s="595"/>
      <c r="KFV42" s="595"/>
      <c r="KFW42" s="595"/>
      <c r="KFX42" s="595"/>
      <c r="KFY42" s="595"/>
      <c r="KFZ42" s="595"/>
      <c r="KGA42" s="595"/>
      <c r="KGB42" s="595"/>
      <c r="KGC42" s="595"/>
      <c r="KGD42" s="595"/>
      <c r="KGE42" s="595"/>
      <c r="KGF42" s="595"/>
      <c r="KGG42" s="595"/>
      <c r="KGH42" s="595"/>
      <c r="KGI42" s="595"/>
      <c r="KGJ42" s="595"/>
      <c r="KGK42" s="595"/>
      <c r="KGL42" s="595"/>
      <c r="KGM42" s="595"/>
      <c r="KGN42" s="595"/>
      <c r="KGO42" s="595"/>
      <c r="KGP42" s="595"/>
      <c r="KGQ42" s="595"/>
      <c r="KGR42" s="595"/>
      <c r="KGS42" s="595"/>
      <c r="KGT42" s="595"/>
      <c r="KGU42" s="595"/>
      <c r="KGV42" s="595"/>
      <c r="KGW42" s="595"/>
      <c r="KGX42" s="595"/>
      <c r="KGY42" s="595"/>
      <c r="KGZ42" s="595"/>
      <c r="KHA42" s="595"/>
      <c r="KHB42" s="595"/>
      <c r="KHC42" s="595"/>
      <c r="KHD42" s="595"/>
      <c r="KHE42" s="595"/>
      <c r="KHF42" s="595"/>
      <c r="KHG42" s="595"/>
      <c r="KHH42" s="595"/>
      <c r="KHI42" s="595"/>
      <c r="KHJ42" s="595"/>
      <c r="KHK42" s="595"/>
      <c r="KHL42" s="595"/>
      <c r="KHM42" s="595"/>
      <c r="KHN42" s="595"/>
      <c r="KHO42" s="595"/>
      <c r="KHP42" s="595"/>
      <c r="KHQ42" s="595"/>
      <c r="KHR42" s="595"/>
      <c r="KHS42" s="595"/>
      <c r="KHT42" s="595"/>
      <c r="KHU42" s="595"/>
      <c r="KHV42" s="595"/>
      <c r="KHW42" s="595"/>
      <c r="KHX42" s="595"/>
      <c r="KHY42" s="595"/>
      <c r="KHZ42" s="595"/>
      <c r="KIA42" s="595"/>
      <c r="KIB42" s="595"/>
      <c r="KIC42" s="595"/>
      <c r="KID42" s="595"/>
      <c r="KIE42" s="595"/>
      <c r="KIF42" s="595"/>
      <c r="KIG42" s="595"/>
      <c r="KIH42" s="595"/>
      <c r="KII42" s="595"/>
      <c r="KIJ42" s="595"/>
      <c r="KIK42" s="595"/>
      <c r="KIL42" s="595"/>
      <c r="KIM42" s="595"/>
      <c r="KIN42" s="595"/>
      <c r="KIO42" s="595"/>
      <c r="KIP42" s="595"/>
      <c r="KIQ42" s="595"/>
      <c r="KIR42" s="595"/>
      <c r="KIS42" s="595"/>
      <c r="KIT42" s="595"/>
      <c r="KIU42" s="595"/>
      <c r="KIV42" s="595"/>
      <c r="KIW42" s="595"/>
      <c r="KIX42" s="595"/>
      <c r="KIY42" s="595"/>
      <c r="KIZ42" s="595"/>
      <c r="KJA42" s="595"/>
      <c r="KJB42" s="595"/>
      <c r="KJC42" s="595"/>
      <c r="KJD42" s="595"/>
      <c r="KJE42" s="595"/>
      <c r="KJF42" s="595"/>
      <c r="KJG42" s="595"/>
      <c r="KJH42" s="595"/>
      <c r="KJI42" s="595"/>
      <c r="KJJ42" s="595"/>
      <c r="KJK42" s="595"/>
      <c r="KJL42" s="595"/>
      <c r="KJM42" s="595"/>
      <c r="KJN42" s="595"/>
      <c r="KJO42" s="595"/>
      <c r="KJP42" s="595"/>
      <c r="KJQ42" s="595"/>
      <c r="KJR42" s="595"/>
      <c r="KJS42" s="595"/>
      <c r="KJT42" s="595"/>
      <c r="KJU42" s="595"/>
      <c r="KJV42" s="595"/>
      <c r="KJW42" s="595"/>
      <c r="KJX42" s="595"/>
      <c r="KJY42" s="595"/>
      <c r="KJZ42" s="595"/>
      <c r="KKA42" s="595"/>
      <c r="KKB42" s="595"/>
      <c r="KKC42" s="595"/>
      <c r="KKD42" s="595"/>
      <c r="KKE42" s="595"/>
      <c r="KKF42" s="595"/>
      <c r="KKG42" s="595"/>
      <c r="KKH42" s="595"/>
      <c r="KKI42" s="595"/>
      <c r="KKJ42" s="595"/>
      <c r="KKK42" s="595"/>
      <c r="KKL42" s="595"/>
      <c r="KKM42" s="595"/>
      <c r="KKN42" s="595"/>
      <c r="KKO42" s="595"/>
      <c r="KKP42" s="595"/>
      <c r="KKQ42" s="595"/>
      <c r="KKR42" s="595"/>
      <c r="KKS42" s="595"/>
      <c r="KKT42" s="595"/>
      <c r="KKU42" s="595"/>
      <c r="KKV42" s="595"/>
      <c r="KKW42" s="595"/>
      <c r="KKX42" s="595"/>
      <c r="KKY42" s="595"/>
      <c r="KKZ42" s="595"/>
      <c r="KLA42" s="595"/>
      <c r="KLB42" s="595"/>
      <c r="KLC42" s="595"/>
      <c r="KLD42" s="595"/>
      <c r="KLE42" s="595"/>
      <c r="KLF42" s="595"/>
      <c r="KLG42" s="595"/>
      <c r="KLH42" s="595"/>
      <c r="KLI42" s="595"/>
      <c r="KLJ42" s="595"/>
      <c r="KLK42" s="595"/>
      <c r="KLL42" s="595"/>
      <c r="KLM42" s="595"/>
      <c r="KLN42" s="595"/>
      <c r="KLO42" s="595"/>
      <c r="KLP42" s="595"/>
      <c r="KLQ42" s="595"/>
      <c r="KLR42" s="595"/>
      <c r="KLS42" s="595"/>
      <c r="KLT42" s="595"/>
      <c r="KLU42" s="595"/>
      <c r="KLV42" s="595"/>
      <c r="KLW42" s="595"/>
      <c r="KLX42" s="595"/>
      <c r="KLY42" s="595"/>
      <c r="KLZ42" s="595"/>
      <c r="KMA42" s="595"/>
      <c r="KMB42" s="595"/>
      <c r="KMC42" s="595"/>
      <c r="KMD42" s="595"/>
      <c r="KME42" s="595"/>
      <c r="KMF42" s="595"/>
      <c r="KMG42" s="595"/>
      <c r="KMH42" s="595"/>
      <c r="KMI42" s="595"/>
      <c r="KMJ42" s="595"/>
      <c r="KMK42" s="595"/>
      <c r="KML42" s="595"/>
      <c r="KMM42" s="595"/>
      <c r="KMN42" s="595"/>
      <c r="KMO42" s="595"/>
      <c r="KMP42" s="595"/>
      <c r="KMQ42" s="595"/>
      <c r="KMR42" s="595"/>
      <c r="KMS42" s="595"/>
      <c r="KMT42" s="595"/>
      <c r="KMU42" s="595"/>
      <c r="KMV42" s="595"/>
      <c r="KMW42" s="595"/>
      <c r="KMX42" s="595"/>
      <c r="KMY42" s="595"/>
      <c r="KMZ42" s="595"/>
      <c r="KNA42" s="595"/>
      <c r="KNB42" s="595"/>
      <c r="KNC42" s="595"/>
      <c r="KND42" s="595"/>
      <c r="KNE42" s="595"/>
      <c r="KNF42" s="595"/>
      <c r="KNG42" s="595"/>
      <c r="KNH42" s="595"/>
      <c r="KNI42" s="595"/>
      <c r="KNJ42" s="595"/>
      <c r="KNK42" s="595"/>
      <c r="KNL42" s="595"/>
      <c r="KNM42" s="595"/>
      <c r="KNN42" s="595"/>
      <c r="KNO42" s="595"/>
      <c r="KNP42" s="595"/>
      <c r="KNQ42" s="595"/>
      <c r="KNR42" s="595"/>
      <c r="KNS42" s="595"/>
      <c r="KNT42" s="595"/>
      <c r="KNU42" s="595"/>
      <c r="KNV42" s="595"/>
      <c r="KNW42" s="595"/>
      <c r="KNX42" s="595"/>
      <c r="KNY42" s="595"/>
      <c r="KNZ42" s="595"/>
      <c r="KOA42" s="595"/>
      <c r="KOB42" s="595"/>
      <c r="KOC42" s="595"/>
      <c r="KOD42" s="595"/>
      <c r="KOE42" s="595"/>
      <c r="KOF42" s="595"/>
      <c r="KOG42" s="595"/>
      <c r="KOH42" s="595"/>
      <c r="KOI42" s="595"/>
      <c r="KOJ42" s="595"/>
      <c r="KOK42" s="595"/>
      <c r="KOL42" s="595"/>
      <c r="KOM42" s="595"/>
      <c r="KON42" s="595"/>
      <c r="KOO42" s="595"/>
      <c r="KOP42" s="595"/>
      <c r="KOQ42" s="595"/>
      <c r="KOR42" s="595"/>
      <c r="KOS42" s="595"/>
      <c r="KOT42" s="595"/>
      <c r="KOU42" s="595"/>
      <c r="KOV42" s="595"/>
      <c r="KOW42" s="595"/>
      <c r="KOX42" s="595"/>
      <c r="KOY42" s="595"/>
      <c r="KOZ42" s="595"/>
      <c r="KPA42" s="595"/>
      <c r="KPB42" s="595"/>
      <c r="KPC42" s="595"/>
      <c r="KPD42" s="595"/>
      <c r="KPE42" s="595"/>
      <c r="KPF42" s="595"/>
      <c r="KPG42" s="595"/>
      <c r="KPH42" s="595"/>
      <c r="KPI42" s="595"/>
      <c r="KPJ42" s="595"/>
      <c r="KPK42" s="595"/>
      <c r="KPL42" s="595"/>
      <c r="KPM42" s="595"/>
      <c r="KPN42" s="595"/>
      <c r="KPO42" s="595"/>
      <c r="KPP42" s="595"/>
      <c r="KPQ42" s="595"/>
      <c r="KPR42" s="595"/>
      <c r="KPS42" s="595"/>
      <c r="KPT42" s="595"/>
      <c r="KPU42" s="595"/>
      <c r="KPV42" s="595"/>
      <c r="KPW42" s="595"/>
      <c r="KPX42" s="595"/>
      <c r="KPY42" s="595"/>
      <c r="KPZ42" s="595"/>
      <c r="KQA42" s="595"/>
      <c r="KQB42" s="595"/>
      <c r="KQC42" s="595"/>
      <c r="KQD42" s="595"/>
      <c r="KQE42" s="595"/>
      <c r="KQF42" s="595"/>
      <c r="KQG42" s="595"/>
      <c r="KQH42" s="595"/>
      <c r="KQI42" s="595"/>
      <c r="KQJ42" s="595"/>
      <c r="KQK42" s="595"/>
      <c r="KQL42" s="595"/>
      <c r="KQM42" s="595"/>
      <c r="KQN42" s="595"/>
      <c r="KQO42" s="595"/>
      <c r="KQP42" s="595"/>
      <c r="KQQ42" s="595"/>
      <c r="KQR42" s="595"/>
      <c r="KQS42" s="595"/>
      <c r="KQT42" s="595"/>
      <c r="KQU42" s="595"/>
      <c r="KQV42" s="595"/>
      <c r="KQW42" s="595"/>
      <c r="KQX42" s="595"/>
      <c r="KQY42" s="595"/>
      <c r="KQZ42" s="595"/>
      <c r="KRA42" s="595"/>
      <c r="KRB42" s="595"/>
      <c r="KRC42" s="595"/>
      <c r="KRD42" s="595"/>
      <c r="KRE42" s="595"/>
      <c r="KRF42" s="595"/>
      <c r="KRG42" s="595"/>
      <c r="KRH42" s="595"/>
      <c r="KRI42" s="595"/>
      <c r="KRJ42" s="595"/>
      <c r="KRK42" s="595"/>
      <c r="KRL42" s="595"/>
      <c r="KRM42" s="595"/>
      <c r="KRN42" s="595"/>
      <c r="KRO42" s="595"/>
      <c r="KRP42" s="595"/>
      <c r="KRQ42" s="595"/>
      <c r="KRR42" s="595"/>
      <c r="KRS42" s="595"/>
      <c r="KRT42" s="595"/>
      <c r="KRU42" s="595"/>
      <c r="KRV42" s="595"/>
      <c r="KRW42" s="595"/>
      <c r="KRX42" s="595"/>
      <c r="KRY42" s="595"/>
      <c r="KRZ42" s="595"/>
      <c r="KSA42" s="595"/>
      <c r="KSB42" s="595"/>
      <c r="KSC42" s="595"/>
      <c r="KSD42" s="595"/>
      <c r="KSE42" s="595"/>
      <c r="KSF42" s="595"/>
      <c r="KSG42" s="595"/>
      <c r="KSH42" s="595"/>
      <c r="KSI42" s="595"/>
      <c r="KSJ42" s="595"/>
      <c r="KSK42" s="595"/>
      <c r="KSL42" s="595"/>
      <c r="KSM42" s="595"/>
      <c r="KSN42" s="595"/>
      <c r="KSO42" s="595"/>
      <c r="KSP42" s="595"/>
      <c r="KSQ42" s="595"/>
      <c r="KSR42" s="595"/>
      <c r="KSS42" s="595"/>
      <c r="KST42" s="595"/>
      <c r="KSU42" s="595"/>
      <c r="KSV42" s="595"/>
      <c r="KSW42" s="595"/>
      <c r="KSX42" s="595"/>
      <c r="KSY42" s="595"/>
      <c r="KSZ42" s="595"/>
      <c r="KTA42" s="595"/>
      <c r="KTB42" s="595"/>
      <c r="KTC42" s="595"/>
      <c r="KTD42" s="595"/>
      <c r="KTE42" s="595"/>
      <c r="KTF42" s="595"/>
      <c r="KTG42" s="595"/>
      <c r="KTH42" s="595"/>
      <c r="KTI42" s="595"/>
      <c r="KTJ42" s="595"/>
      <c r="KTK42" s="595"/>
      <c r="KTL42" s="595"/>
      <c r="KTM42" s="595"/>
      <c r="KTN42" s="595"/>
      <c r="KTO42" s="595"/>
      <c r="KTP42" s="595"/>
      <c r="KTQ42" s="595"/>
      <c r="KTR42" s="595"/>
      <c r="KTS42" s="595"/>
      <c r="KTT42" s="595"/>
      <c r="KTU42" s="595"/>
      <c r="KTV42" s="595"/>
      <c r="KTW42" s="595"/>
      <c r="KTX42" s="595"/>
      <c r="KTY42" s="595"/>
      <c r="KTZ42" s="595"/>
      <c r="KUA42" s="595"/>
      <c r="KUB42" s="595"/>
      <c r="KUC42" s="595"/>
      <c r="KUD42" s="595"/>
      <c r="KUE42" s="595"/>
      <c r="KUF42" s="595"/>
      <c r="KUG42" s="595"/>
      <c r="KUH42" s="595"/>
      <c r="KUI42" s="595"/>
      <c r="KUJ42" s="595"/>
      <c r="KUK42" s="595"/>
      <c r="KUL42" s="595"/>
      <c r="KUM42" s="595"/>
      <c r="KUN42" s="595"/>
      <c r="KUO42" s="595"/>
      <c r="KUP42" s="595"/>
      <c r="KUQ42" s="595"/>
      <c r="KUR42" s="595"/>
      <c r="KUS42" s="595"/>
      <c r="KUT42" s="595"/>
      <c r="KUU42" s="595"/>
      <c r="KUV42" s="595"/>
      <c r="KUW42" s="595"/>
      <c r="KUX42" s="595"/>
      <c r="KUY42" s="595"/>
      <c r="KUZ42" s="595"/>
      <c r="KVA42" s="595"/>
      <c r="KVB42" s="595"/>
      <c r="KVC42" s="595"/>
      <c r="KVD42" s="595"/>
      <c r="KVE42" s="595"/>
      <c r="KVF42" s="595"/>
      <c r="KVG42" s="595"/>
      <c r="KVH42" s="595"/>
      <c r="KVI42" s="595"/>
      <c r="KVJ42" s="595"/>
      <c r="KVK42" s="595"/>
      <c r="KVL42" s="595"/>
      <c r="KVM42" s="595"/>
      <c r="KVN42" s="595"/>
      <c r="KVO42" s="595"/>
      <c r="KVP42" s="595"/>
      <c r="KVQ42" s="595"/>
      <c r="KVR42" s="595"/>
      <c r="KVS42" s="595"/>
      <c r="KVT42" s="595"/>
      <c r="KVU42" s="595"/>
      <c r="KVV42" s="595"/>
      <c r="KVW42" s="595"/>
      <c r="KVX42" s="595"/>
      <c r="KVY42" s="595"/>
      <c r="KVZ42" s="595"/>
      <c r="KWA42" s="595"/>
      <c r="KWB42" s="595"/>
      <c r="KWC42" s="595"/>
      <c r="KWD42" s="595"/>
      <c r="KWE42" s="595"/>
      <c r="KWF42" s="595"/>
      <c r="KWG42" s="595"/>
      <c r="KWH42" s="595"/>
      <c r="KWI42" s="595"/>
      <c r="KWJ42" s="595"/>
      <c r="KWK42" s="595"/>
      <c r="KWL42" s="595"/>
      <c r="KWM42" s="595"/>
      <c r="KWN42" s="595"/>
      <c r="KWO42" s="595"/>
      <c r="KWP42" s="595"/>
      <c r="KWQ42" s="595"/>
      <c r="KWR42" s="595"/>
      <c r="KWS42" s="595"/>
      <c r="KWT42" s="595"/>
      <c r="KWU42" s="595"/>
      <c r="KWV42" s="595"/>
      <c r="KWW42" s="595"/>
      <c r="KWX42" s="595"/>
      <c r="KWY42" s="595"/>
      <c r="KWZ42" s="595"/>
      <c r="KXA42" s="595"/>
      <c r="KXB42" s="595"/>
      <c r="KXC42" s="595"/>
      <c r="KXD42" s="595"/>
      <c r="KXE42" s="595"/>
      <c r="KXF42" s="595"/>
      <c r="KXG42" s="595"/>
      <c r="KXH42" s="595"/>
      <c r="KXI42" s="595"/>
      <c r="KXJ42" s="595"/>
      <c r="KXK42" s="595"/>
      <c r="KXL42" s="595"/>
      <c r="KXM42" s="595"/>
      <c r="KXN42" s="595"/>
      <c r="KXO42" s="595"/>
      <c r="KXP42" s="595"/>
      <c r="KXQ42" s="595"/>
      <c r="KXR42" s="595"/>
      <c r="KXS42" s="595"/>
      <c r="KXT42" s="595"/>
      <c r="KXU42" s="595"/>
      <c r="KXV42" s="595"/>
      <c r="KXW42" s="595"/>
      <c r="KXX42" s="595"/>
      <c r="KXY42" s="595"/>
      <c r="KXZ42" s="595"/>
      <c r="KYA42" s="595"/>
      <c r="KYB42" s="595"/>
      <c r="KYC42" s="595"/>
      <c r="KYD42" s="595"/>
      <c r="KYE42" s="595"/>
      <c r="KYF42" s="595"/>
      <c r="KYG42" s="595"/>
      <c r="KYH42" s="595"/>
      <c r="KYI42" s="595"/>
      <c r="KYJ42" s="595"/>
      <c r="KYK42" s="595"/>
      <c r="KYL42" s="595"/>
      <c r="KYM42" s="595"/>
      <c r="KYN42" s="595"/>
      <c r="KYO42" s="595"/>
      <c r="KYP42" s="595"/>
      <c r="KYQ42" s="595"/>
      <c r="KYR42" s="595"/>
      <c r="KYS42" s="595"/>
      <c r="KYT42" s="595"/>
      <c r="KYU42" s="595"/>
      <c r="KYV42" s="595"/>
      <c r="KYW42" s="595"/>
      <c r="KYX42" s="595"/>
      <c r="KYY42" s="595"/>
      <c r="KYZ42" s="595"/>
      <c r="KZA42" s="595"/>
      <c r="KZB42" s="595"/>
      <c r="KZC42" s="595"/>
      <c r="KZD42" s="595"/>
      <c r="KZE42" s="595"/>
      <c r="KZF42" s="595"/>
      <c r="KZG42" s="595"/>
      <c r="KZH42" s="595"/>
      <c r="KZI42" s="595"/>
      <c r="KZJ42" s="595"/>
      <c r="KZK42" s="595"/>
      <c r="KZL42" s="595"/>
      <c r="KZM42" s="595"/>
      <c r="KZN42" s="595"/>
      <c r="KZO42" s="595"/>
      <c r="KZP42" s="595"/>
      <c r="KZQ42" s="595"/>
      <c r="KZR42" s="595"/>
      <c r="KZS42" s="595"/>
      <c r="KZT42" s="595"/>
      <c r="KZU42" s="595"/>
      <c r="KZV42" s="595"/>
      <c r="KZW42" s="595"/>
      <c r="KZX42" s="595"/>
      <c r="KZY42" s="595"/>
      <c r="KZZ42" s="595"/>
      <c r="LAA42" s="595"/>
      <c r="LAB42" s="595"/>
      <c r="LAC42" s="595"/>
      <c r="LAD42" s="595"/>
      <c r="LAE42" s="595"/>
      <c r="LAF42" s="595"/>
      <c r="LAG42" s="595"/>
      <c r="LAH42" s="595"/>
      <c r="LAI42" s="595"/>
      <c r="LAJ42" s="595"/>
      <c r="LAK42" s="595"/>
      <c r="LAL42" s="595"/>
      <c r="LAM42" s="595"/>
      <c r="LAN42" s="595"/>
      <c r="LAO42" s="595"/>
      <c r="LAP42" s="595"/>
      <c r="LAQ42" s="595"/>
      <c r="LAR42" s="595"/>
      <c r="LAS42" s="595"/>
      <c r="LAT42" s="595"/>
      <c r="LAU42" s="595"/>
      <c r="LAV42" s="595"/>
      <c r="LAW42" s="595"/>
      <c r="LAX42" s="595"/>
      <c r="LAY42" s="595"/>
      <c r="LAZ42" s="595"/>
      <c r="LBA42" s="595"/>
      <c r="LBB42" s="595"/>
      <c r="LBC42" s="595"/>
      <c r="LBD42" s="595"/>
      <c r="LBE42" s="595"/>
      <c r="LBF42" s="595"/>
      <c r="LBG42" s="595"/>
      <c r="LBH42" s="595"/>
      <c r="LBI42" s="595"/>
      <c r="LBJ42" s="595"/>
      <c r="LBK42" s="595"/>
      <c r="LBL42" s="595"/>
      <c r="LBM42" s="595"/>
      <c r="LBN42" s="595"/>
      <c r="LBO42" s="595"/>
      <c r="LBP42" s="595"/>
      <c r="LBQ42" s="595"/>
      <c r="LBR42" s="595"/>
      <c r="LBS42" s="595"/>
      <c r="LBT42" s="595"/>
      <c r="LBU42" s="595"/>
      <c r="LBV42" s="595"/>
      <c r="LBW42" s="595"/>
      <c r="LBX42" s="595"/>
      <c r="LBY42" s="595"/>
      <c r="LBZ42" s="595"/>
      <c r="LCA42" s="595"/>
      <c r="LCB42" s="595"/>
      <c r="LCC42" s="595"/>
      <c r="LCD42" s="595"/>
      <c r="LCE42" s="595"/>
      <c r="LCF42" s="595"/>
      <c r="LCG42" s="595"/>
      <c r="LCH42" s="595"/>
      <c r="LCI42" s="595"/>
      <c r="LCJ42" s="595"/>
      <c r="LCK42" s="595"/>
      <c r="LCL42" s="595"/>
      <c r="LCM42" s="595"/>
      <c r="LCN42" s="595"/>
      <c r="LCO42" s="595"/>
      <c r="LCP42" s="595"/>
      <c r="LCQ42" s="595"/>
      <c r="LCR42" s="595"/>
      <c r="LCS42" s="595"/>
      <c r="LCT42" s="595"/>
      <c r="LCU42" s="595"/>
      <c r="LCV42" s="595"/>
      <c r="LCW42" s="595"/>
      <c r="LCX42" s="595"/>
      <c r="LCY42" s="595"/>
      <c r="LCZ42" s="595"/>
      <c r="LDA42" s="595"/>
      <c r="LDB42" s="595"/>
      <c r="LDC42" s="595"/>
      <c r="LDD42" s="595"/>
      <c r="LDE42" s="595"/>
      <c r="LDF42" s="595"/>
      <c r="LDG42" s="595"/>
      <c r="LDH42" s="595"/>
      <c r="LDI42" s="595"/>
      <c r="LDJ42" s="595"/>
      <c r="LDK42" s="595"/>
      <c r="LDL42" s="595"/>
      <c r="LDM42" s="595"/>
      <c r="LDN42" s="595"/>
      <c r="LDO42" s="595"/>
      <c r="LDP42" s="595"/>
      <c r="LDQ42" s="595"/>
      <c r="LDR42" s="595"/>
      <c r="LDS42" s="595"/>
      <c r="LDT42" s="595"/>
      <c r="LDU42" s="595"/>
      <c r="LDV42" s="595"/>
      <c r="LDW42" s="595"/>
      <c r="LDX42" s="595"/>
      <c r="LDY42" s="595"/>
      <c r="LDZ42" s="595"/>
      <c r="LEA42" s="595"/>
      <c r="LEB42" s="595"/>
      <c r="LEC42" s="595"/>
      <c r="LED42" s="595"/>
      <c r="LEE42" s="595"/>
      <c r="LEF42" s="595"/>
      <c r="LEG42" s="595"/>
      <c r="LEH42" s="595"/>
      <c r="LEI42" s="595"/>
      <c r="LEJ42" s="595"/>
      <c r="LEK42" s="595"/>
      <c r="LEL42" s="595"/>
      <c r="LEM42" s="595"/>
      <c r="LEN42" s="595"/>
      <c r="LEO42" s="595"/>
      <c r="LEP42" s="595"/>
      <c r="LEQ42" s="595"/>
      <c r="LER42" s="595"/>
      <c r="LES42" s="595"/>
      <c r="LET42" s="595"/>
      <c r="LEU42" s="595"/>
      <c r="LEV42" s="595"/>
      <c r="LEW42" s="595"/>
      <c r="LEX42" s="595"/>
      <c r="LEY42" s="595"/>
      <c r="LEZ42" s="595"/>
      <c r="LFA42" s="595"/>
      <c r="LFB42" s="595"/>
      <c r="LFC42" s="595"/>
      <c r="LFD42" s="595"/>
      <c r="LFE42" s="595"/>
      <c r="LFF42" s="595"/>
      <c r="LFG42" s="595"/>
      <c r="LFH42" s="595"/>
      <c r="LFI42" s="595"/>
      <c r="LFJ42" s="595"/>
      <c r="LFK42" s="595"/>
      <c r="LFL42" s="595"/>
      <c r="LFM42" s="595"/>
      <c r="LFN42" s="595"/>
      <c r="LFO42" s="595"/>
      <c r="LFP42" s="595"/>
      <c r="LFQ42" s="595"/>
      <c r="LFR42" s="595"/>
      <c r="LFS42" s="595"/>
      <c r="LFT42" s="595"/>
      <c r="LFU42" s="595"/>
      <c r="LFV42" s="595"/>
      <c r="LFW42" s="595"/>
      <c r="LFX42" s="595"/>
      <c r="LFY42" s="595"/>
      <c r="LFZ42" s="595"/>
      <c r="LGA42" s="595"/>
      <c r="LGB42" s="595"/>
      <c r="LGC42" s="595"/>
      <c r="LGD42" s="595"/>
      <c r="LGE42" s="595"/>
      <c r="LGF42" s="595"/>
      <c r="LGG42" s="595"/>
      <c r="LGH42" s="595"/>
      <c r="LGI42" s="595"/>
      <c r="LGJ42" s="595"/>
      <c r="LGK42" s="595"/>
      <c r="LGL42" s="595"/>
      <c r="LGM42" s="595"/>
      <c r="LGN42" s="595"/>
      <c r="LGO42" s="595"/>
      <c r="LGP42" s="595"/>
      <c r="LGQ42" s="595"/>
      <c r="LGR42" s="595"/>
      <c r="LGS42" s="595"/>
      <c r="LGT42" s="595"/>
      <c r="LGU42" s="595"/>
      <c r="LGV42" s="595"/>
      <c r="LGW42" s="595"/>
      <c r="LGX42" s="595"/>
      <c r="LGY42" s="595"/>
      <c r="LGZ42" s="595"/>
      <c r="LHA42" s="595"/>
      <c r="LHB42" s="595"/>
      <c r="LHC42" s="595"/>
      <c r="LHD42" s="595"/>
      <c r="LHE42" s="595"/>
      <c r="LHF42" s="595"/>
      <c r="LHG42" s="595"/>
      <c r="LHH42" s="595"/>
      <c r="LHI42" s="595"/>
      <c r="LHJ42" s="595"/>
      <c r="LHK42" s="595"/>
      <c r="LHL42" s="595"/>
      <c r="LHM42" s="595"/>
      <c r="LHN42" s="595"/>
      <c r="LHO42" s="595"/>
      <c r="LHP42" s="595"/>
      <c r="LHQ42" s="595"/>
      <c r="LHR42" s="595"/>
      <c r="LHS42" s="595"/>
      <c r="LHT42" s="595"/>
      <c r="LHU42" s="595"/>
      <c r="LHV42" s="595"/>
      <c r="LHW42" s="595"/>
      <c r="LHX42" s="595"/>
      <c r="LHY42" s="595"/>
      <c r="LHZ42" s="595"/>
      <c r="LIA42" s="595"/>
      <c r="LIB42" s="595"/>
      <c r="LIC42" s="595"/>
      <c r="LID42" s="595"/>
      <c r="LIE42" s="595"/>
      <c r="LIF42" s="595"/>
      <c r="LIG42" s="595"/>
      <c r="LIH42" s="595"/>
      <c r="LII42" s="595"/>
      <c r="LIJ42" s="595"/>
      <c r="LIK42" s="595"/>
      <c r="LIL42" s="595"/>
      <c r="LIM42" s="595"/>
      <c r="LIN42" s="595"/>
      <c r="LIO42" s="595"/>
      <c r="LIP42" s="595"/>
      <c r="LIQ42" s="595"/>
      <c r="LIR42" s="595"/>
      <c r="LIS42" s="595"/>
      <c r="LIT42" s="595"/>
      <c r="LIU42" s="595"/>
      <c r="LIV42" s="595"/>
      <c r="LIW42" s="595"/>
      <c r="LIX42" s="595"/>
      <c r="LIY42" s="595"/>
      <c r="LIZ42" s="595"/>
      <c r="LJA42" s="595"/>
      <c r="LJB42" s="595"/>
      <c r="LJC42" s="595"/>
      <c r="LJD42" s="595"/>
      <c r="LJE42" s="595"/>
      <c r="LJF42" s="595"/>
      <c r="LJG42" s="595"/>
      <c r="LJH42" s="595"/>
      <c r="LJI42" s="595"/>
      <c r="LJJ42" s="595"/>
      <c r="LJK42" s="595"/>
      <c r="LJL42" s="595"/>
      <c r="LJM42" s="595"/>
      <c r="LJN42" s="595"/>
      <c r="LJO42" s="595"/>
      <c r="LJP42" s="595"/>
      <c r="LJQ42" s="595"/>
      <c r="LJR42" s="595"/>
      <c r="LJS42" s="595"/>
      <c r="LJT42" s="595"/>
      <c r="LJU42" s="595"/>
      <c r="LJV42" s="595"/>
      <c r="LJW42" s="595"/>
      <c r="LJX42" s="595"/>
      <c r="LJY42" s="595"/>
      <c r="LJZ42" s="595"/>
      <c r="LKA42" s="595"/>
      <c r="LKB42" s="595"/>
      <c r="LKC42" s="595"/>
      <c r="LKD42" s="595"/>
      <c r="LKE42" s="595"/>
      <c r="LKF42" s="595"/>
      <c r="LKG42" s="595"/>
      <c r="LKH42" s="595"/>
      <c r="LKI42" s="595"/>
      <c r="LKJ42" s="595"/>
      <c r="LKK42" s="595"/>
      <c r="LKL42" s="595"/>
      <c r="LKM42" s="595"/>
      <c r="LKN42" s="595"/>
      <c r="LKO42" s="595"/>
      <c r="LKP42" s="595"/>
      <c r="LKQ42" s="595"/>
      <c r="LKR42" s="595"/>
      <c r="LKS42" s="595"/>
      <c r="LKT42" s="595"/>
      <c r="LKU42" s="595"/>
      <c r="LKV42" s="595"/>
      <c r="LKW42" s="595"/>
      <c r="LKX42" s="595"/>
      <c r="LKY42" s="595"/>
      <c r="LKZ42" s="595"/>
      <c r="LLA42" s="595"/>
      <c r="LLB42" s="595"/>
      <c r="LLC42" s="595"/>
      <c r="LLD42" s="595"/>
      <c r="LLE42" s="595"/>
      <c r="LLF42" s="595"/>
      <c r="LLG42" s="595"/>
      <c r="LLH42" s="595"/>
      <c r="LLI42" s="595"/>
      <c r="LLJ42" s="595"/>
      <c r="LLK42" s="595"/>
      <c r="LLL42" s="595"/>
      <c r="LLM42" s="595"/>
      <c r="LLN42" s="595"/>
      <c r="LLO42" s="595"/>
      <c r="LLP42" s="595"/>
      <c r="LLQ42" s="595"/>
      <c r="LLR42" s="595"/>
      <c r="LLS42" s="595"/>
      <c r="LLT42" s="595"/>
      <c r="LLU42" s="595"/>
      <c r="LLV42" s="595"/>
      <c r="LLW42" s="595"/>
      <c r="LLX42" s="595"/>
      <c r="LLY42" s="595"/>
      <c r="LLZ42" s="595"/>
      <c r="LMA42" s="595"/>
      <c r="LMB42" s="595"/>
      <c r="LMC42" s="595"/>
      <c r="LMD42" s="595"/>
      <c r="LME42" s="595"/>
      <c r="LMF42" s="595"/>
      <c r="LMG42" s="595"/>
      <c r="LMH42" s="595"/>
      <c r="LMI42" s="595"/>
      <c r="LMJ42" s="595"/>
      <c r="LMK42" s="595"/>
      <c r="LML42" s="595"/>
      <c r="LMM42" s="595"/>
      <c r="LMN42" s="595"/>
      <c r="LMO42" s="595"/>
      <c r="LMP42" s="595"/>
      <c r="LMQ42" s="595"/>
      <c r="LMR42" s="595"/>
      <c r="LMS42" s="595"/>
      <c r="LMT42" s="595"/>
      <c r="LMU42" s="595"/>
      <c r="LMV42" s="595"/>
      <c r="LMW42" s="595"/>
      <c r="LMX42" s="595"/>
      <c r="LMY42" s="595"/>
      <c r="LMZ42" s="595"/>
      <c r="LNA42" s="595"/>
      <c r="LNB42" s="595"/>
      <c r="LNC42" s="595"/>
      <c r="LND42" s="595"/>
      <c r="LNE42" s="595"/>
      <c r="LNF42" s="595"/>
      <c r="LNG42" s="595"/>
      <c r="LNH42" s="595"/>
      <c r="LNI42" s="595"/>
      <c r="LNJ42" s="595"/>
      <c r="LNK42" s="595"/>
      <c r="LNL42" s="595"/>
      <c r="LNM42" s="595"/>
      <c r="LNN42" s="595"/>
      <c r="LNO42" s="595"/>
      <c r="LNP42" s="595"/>
      <c r="LNQ42" s="595"/>
      <c r="LNR42" s="595"/>
      <c r="LNS42" s="595"/>
      <c r="LNT42" s="595"/>
      <c r="LNU42" s="595"/>
      <c r="LNV42" s="595"/>
      <c r="LNW42" s="595"/>
      <c r="LNX42" s="595"/>
      <c r="LNY42" s="595"/>
      <c r="LNZ42" s="595"/>
      <c r="LOA42" s="595"/>
      <c r="LOB42" s="595"/>
      <c r="LOC42" s="595"/>
      <c r="LOD42" s="595"/>
      <c r="LOE42" s="595"/>
      <c r="LOF42" s="595"/>
      <c r="LOG42" s="595"/>
      <c r="LOH42" s="595"/>
      <c r="LOI42" s="595"/>
      <c r="LOJ42" s="595"/>
      <c r="LOK42" s="595"/>
      <c r="LOL42" s="595"/>
      <c r="LOM42" s="595"/>
      <c r="LON42" s="595"/>
      <c r="LOO42" s="595"/>
      <c r="LOP42" s="595"/>
      <c r="LOQ42" s="595"/>
      <c r="LOR42" s="595"/>
      <c r="LOS42" s="595"/>
      <c r="LOT42" s="595"/>
      <c r="LOU42" s="595"/>
      <c r="LOV42" s="595"/>
      <c r="LOW42" s="595"/>
      <c r="LOX42" s="595"/>
      <c r="LOY42" s="595"/>
      <c r="LOZ42" s="595"/>
      <c r="LPA42" s="595"/>
      <c r="LPB42" s="595"/>
      <c r="LPC42" s="595"/>
      <c r="LPD42" s="595"/>
      <c r="LPE42" s="595"/>
      <c r="LPF42" s="595"/>
      <c r="LPG42" s="595"/>
      <c r="LPH42" s="595"/>
      <c r="LPI42" s="595"/>
      <c r="LPJ42" s="595"/>
      <c r="LPK42" s="595"/>
      <c r="LPL42" s="595"/>
      <c r="LPM42" s="595"/>
      <c r="LPN42" s="595"/>
      <c r="LPO42" s="595"/>
      <c r="LPP42" s="595"/>
      <c r="LPQ42" s="595"/>
      <c r="LPR42" s="595"/>
      <c r="LPS42" s="595"/>
      <c r="LPT42" s="595"/>
      <c r="LPU42" s="595"/>
      <c r="LPV42" s="595"/>
      <c r="LPW42" s="595"/>
      <c r="LPX42" s="595"/>
      <c r="LPY42" s="595"/>
      <c r="LPZ42" s="595"/>
      <c r="LQA42" s="595"/>
      <c r="LQB42" s="595"/>
      <c r="LQC42" s="595"/>
      <c r="LQD42" s="595"/>
      <c r="LQE42" s="595"/>
      <c r="LQF42" s="595"/>
      <c r="LQG42" s="595"/>
      <c r="LQH42" s="595"/>
      <c r="LQI42" s="595"/>
      <c r="LQJ42" s="595"/>
      <c r="LQK42" s="595"/>
      <c r="LQL42" s="595"/>
      <c r="LQM42" s="595"/>
      <c r="LQN42" s="595"/>
      <c r="LQO42" s="595"/>
      <c r="LQP42" s="595"/>
      <c r="LQQ42" s="595"/>
      <c r="LQR42" s="595"/>
      <c r="LQS42" s="595"/>
      <c r="LQT42" s="595"/>
      <c r="LQU42" s="595"/>
      <c r="LQV42" s="595"/>
      <c r="LQW42" s="595"/>
      <c r="LQX42" s="595"/>
      <c r="LQY42" s="595"/>
      <c r="LQZ42" s="595"/>
      <c r="LRA42" s="595"/>
      <c r="LRB42" s="595"/>
      <c r="LRC42" s="595"/>
      <c r="LRD42" s="595"/>
      <c r="LRE42" s="595"/>
      <c r="LRF42" s="595"/>
      <c r="LRG42" s="595"/>
      <c r="LRH42" s="595"/>
      <c r="LRI42" s="595"/>
      <c r="LRJ42" s="595"/>
      <c r="LRK42" s="595"/>
      <c r="LRL42" s="595"/>
      <c r="LRM42" s="595"/>
      <c r="LRN42" s="595"/>
      <c r="LRO42" s="595"/>
      <c r="LRP42" s="595"/>
      <c r="LRQ42" s="595"/>
      <c r="LRR42" s="595"/>
      <c r="LRS42" s="595"/>
      <c r="LRT42" s="595"/>
      <c r="LRU42" s="595"/>
      <c r="LRV42" s="595"/>
      <c r="LRW42" s="595"/>
      <c r="LRX42" s="595"/>
      <c r="LRY42" s="595"/>
      <c r="LRZ42" s="595"/>
      <c r="LSA42" s="595"/>
      <c r="LSB42" s="595"/>
      <c r="LSC42" s="595"/>
      <c r="LSD42" s="595"/>
      <c r="LSE42" s="595"/>
      <c r="LSF42" s="595"/>
      <c r="LSG42" s="595"/>
      <c r="LSH42" s="595"/>
      <c r="LSI42" s="595"/>
      <c r="LSJ42" s="595"/>
      <c r="LSK42" s="595"/>
      <c r="LSL42" s="595"/>
      <c r="LSM42" s="595"/>
      <c r="LSN42" s="595"/>
      <c r="LSO42" s="595"/>
      <c r="LSP42" s="595"/>
      <c r="LSQ42" s="595"/>
      <c r="LSR42" s="595"/>
      <c r="LSS42" s="595"/>
      <c r="LST42" s="595"/>
      <c r="LSU42" s="595"/>
      <c r="LSV42" s="595"/>
      <c r="LSW42" s="595"/>
      <c r="LSX42" s="595"/>
      <c r="LSY42" s="595"/>
      <c r="LSZ42" s="595"/>
      <c r="LTA42" s="595"/>
      <c r="LTB42" s="595"/>
      <c r="LTC42" s="595"/>
      <c r="LTD42" s="595"/>
      <c r="LTE42" s="595"/>
      <c r="LTF42" s="595"/>
      <c r="LTG42" s="595"/>
      <c r="LTH42" s="595"/>
      <c r="LTI42" s="595"/>
      <c r="LTJ42" s="595"/>
      <c r="LTK42" s="595"/>
      <c r="LTL42" s="595"/>
      <c r="LTM42" s="595"/>
      <c r="LTN42" s="595"/>
      <c r="LTO42" s="595"/>
      <c r="LTP42" s="595"/>
      <c r="LTQ42" s="595"/>
      <c r="LTR42" s="595"/>
      <c r="LTS42" s="595"/>
      <c r="LTT42" s="595"/>
      <c r="LTU42" s="595"/>
      <c r="LTV42" s="595"/>
      <c r="LTW42" s="595"/>
      <c r="LTX42" s="595"/>
      <c r="LTY42" s="595"/>
      <c r="LTZ42" s="595"/>
      <c r="LUA42" s="595"/>
      <c r="LUB42" s="595"/>
      <c r="LUC42" s="595"/>
      <c r="LUD42" s="595"/>
      <c r="LUE42" s="595"/>
      <c r="LUF42" s="595"/>
      <c r="LUG42" s="595"/>
      <c r="LUH42" s="595"/>
      <c r="LUI42" s="595"/>
      <c r="LUJ42" s="595"/>
      <c r="LUK42" s="595"/>
      <c r="LUL42" s="595"/>
      <c r="LUM42" s="595"/>
      <c r="LUN42" s="595"/>
      <c r="LUO42" s="595"/>
      <c r="LUP42" s="595"/>
      <c r="LUQ42" s="595"/>
      <c r="LUR42" s="595"/>
      <c r="LUS42" s="595"/>
      <c r="LUT42" s="595"/>
      <c r="LUU42" s="595"/>
      <c r="LUV42" s="595"/>
      <c r="LUW42" s="595"/>
      <c r="LUX42" s="595"/>
      <c r="LUY42" s="595"/>
      <c r="LUZ42" s="595"/>
      <c r="LVA42" s="595"/>
      <c r="LVB42" s="595"/>
      <c r="LVC42" s="595"/>
      <c r="LVD42" s="595"/>
      <c r="LVE42" s="595"/>
      <c r="LVF42" s="595"/>
      <c r="LVG42" s="595"/>
      <c r="LVH42" s="595"/>
      <c r="LVI42" s="595"/>
      <c r="LVJ42" s="595"/>
      <c r="LVK42" s="595"/>
      <c r="LVL42" s="595"/>
      <c r="LVM42" s="595"/>
      <c r="LVN42" s="595"/>
      <c r="LVO42" s="595"/>
      <c r="LVP42" s="595"/>
      <c r="LVQ42" s="595"/>
      <c r="LVR42" s="595"/>
      <c r="LVS42" s="595"/>
      <c r="LVT42" s="595"/>
      <c r="LVU42" s="595"/>
      <c r="LVV42" s="595"/>
      <c r="LVW42" s="595"/>
      <c r="LVX42" s="595"/>
      <c r="LVY42" s="595"/>
      <c r="LVZ42" s="595"/>
      <c r="LWA42" s="595"/>
      <c r="LWB42" s="595"/>
      <c r="LWC42" s="595"/>
      <c r="LWD42" s="595"/>
      <c r="LWE42" s="595"/>
      <c r="LWF42" s="595"/>
      <c r="LWG42" s="595"/>
      <c r="LWH42" s="595"/>
      <c r="LWI42" s="595"/>
      <c r="LWJ42" s="595"/>
      <c r="LWK42" s="595"/>
      <c r="LWL42" s="595"/>
      <c r="LWM42" s="595"/>
      <c r="LWN42" s="595"/>
      <c r="LWO42" s="595"/>
      <c r="LWP42" s="595"/>
      <c r="LWQ42" s="595"/>
      <c r="LWR42" s="595"/>
      <c r="LWS42" s="595"/>
      <c r="LWT42" s="595"/>
      <c r="LWU42" s="595"/>
      <c r="LWV42" s="595"/>
      <c r="LWW42" s="595"/>
      <c r="LWX42" s="595"/>
      <c r="LWY42" s="595"/>
      <c r="LWZ42" s="595"/>
      <c r="LXA42" s="595"/>
      <c r="LXB42" s="595"/>
      <c r="LXC42" s="595"/>
      <c r="LXD42" s="595"/>
      <c r="LXE42" s="595"/>
      <c r="LXF42" s="595"/>
      <c r="LXG42" s="595"/>
      <c r="LXH42" s="595"/>
      <c r="LXI42" s="595"/>
      <c r="LXJ42" s="595"/>
      <c r="LXK42" s="595"/>
      <c r="LXL42" s="595"/>
      <c r="LXM42" s="595"/>
      <c r="LXN42" s="595"/>
      <c r="LXO42" s="595"/>
      <c r="LXP42" s="595"/>
      <c r="LXQ42" s="595"/>
      <c r="LXR42" s="595"/>
      <c r="LXS42" s="595"/>
      <c r="LXT42" s="595"/>
      <c r="LXU42" s="595"/>
      <c r="LXV42" s="595"/>
      <c r="LXW42" s="595"/>
      <c r="LXX42" s="595"/>
      <c r="LXY42" s="595"/>
      <c r="LXZ42" s="595"/>
      <c r="LYA42" s="595"/>
      <c r="LYB42" s="595"/>
      <c r="LYC42" s="595"/>
      <c r="LYD42" s="595"/>
      <c r="LYE42" s="595"/>
      <c r="LYF42" s="595"/>
      <c r="LYG42" s="595"/>
      <c r="LYH42" s="595"/>
      <c r="LYI42" s="595"/>
      <c r="LYJ42" s="595"/>
      <c r="LYK42" s="595"/>
      <c r="LYL42" s="595"/>
      <c r="LYM42" s="595"/>
      <c r="LYN42" s="595"/>
      <c r="LYO42" s="595"/>
      <c r="LYP42" s="595"/>
      <c r="LYQ42" s="595"/>
      <c r="LYR42" s="595"/>
      <c r="LYS42" s="595"/>
      <c r="LYT42" s="595"/>
      <c r="LYU42" s="595"/>
      <c r="LYV42" s="595"/>
      <c r="LYW42" s="595"/>
      <c r="LYX42" s="595"/>
      <c r="LYY42" s="595"/>
      <c r="LYZ42" s="595"/>
      <c r="LZA42" s="595"/>
      <c r="LZB42" s="595"/>
      <c r="LZC42" s="595"/>
      <c r="LZD42" s="595"/>
      <c r="LZE42" s="595"/>
      <c r="LZF42" s="595"/>
      <c r="LZG42" s="595"/>
      <c r="LZH42" s="595"/>
      <c r="LZI42" s="595"/>
      <c r="LZJ42" s="595"/>
      <c r="LZK42" s="595"/>
      <c r="LZL42" s="595"/>
      <c r="LZM42" s="595"/>
      <c r="LZN42" s="595"/>
      <c r="LZO42" s="595"/>
      <c r="LZP42" s="595"/>
      <c r="LZQ42" s="595"/>
      <c r="LZR42" s="595"/>
      <c r="LZS42" s="595"/>
      <c r="LZT42" s="595"/>
      <c r="LZU42" s="595"/>
      <c r="LZV42" s="595"/>
      <c r="LZW42" s="595"/>
      <c r="LZX42" s="595"/>
      <c r="LZY42" s="595"/>
      <c r="LZZ42" s="595"/>
      <c r="MAA42" s="595"/>
      <c r="MAB42" s="595"/>
      <c r="MAC42" s="595"/>
      <c r="MAD42" s="595"/>
      <c r="MAE42" s="595"/>
      <c r="MAF42" s="595"/>
      <c r="MAG42" s="595"/>
      <c r="MAH42" s="595"/>
      <c r="MAI42" s="595"/>
      <c r="MAJ42" s="595"/>
      <c r="MAK42" s="595"/>
      <c r="MAL42" s="595"/>
      <c r="MAM42" s="595"/>
      <c r="MAN42" s="595"/>
      <c r="MAO42" s="595"/>
      <c r="MAP42" s="595"/>
      <c r="MAQ42" s="595"/>
      <c r="MAR42" s="595"/>
      <c r="MAS42" s="595"/>
      <c r="MAT42" s="595"/>
      <c r="MAU42" s="595"/>
      <c r="MAV42" s="595"/>
      <c r="MAW42" s="595"/>
      <c r="MAX42" s="595"/>
      <c r="MAY42" s="595"/>
      <c r="MAZ42" s="595"/>
      <c r="MBA42" s="595"/>
      <c r="MBB42" s="595"/>
      <c r="MBC42" s="595"/>
      <c r="MBD42" s="595"/>
      <c r="MBE42" s="595"/>
      <c r="MBF42" s="595"/>
      <c r="MBG42" s="595"/>
      <c r="MBH42" s="595"/>
      <c r="MBI42" s="595"/>
      <c r="MBJ42" s="595"/>
      <c r="MBK42" s="595"/>
      <c r="MBL42" s="595"/>
      <c r="MBM42" s="595"/>
      <c r="MBN42" s="595"/>
      <c r="MBO42" s="595"/>
      <c r="MBP42" s="595"/>
      <c r="MBQ42" s="595"/>
      <c r="MBR42" s="595"/>
      <c r="MBS42" s="595"/>
      <c r="MBT42" s="595"/>
      <c r="MBU42" s="595"/>
      <c r="MBV42" s="595"/>
      <c r="MBW42" s="595"/>
      <c r="MBX42" s="595"/>
      <c r="MBY42" s="595"/>
      <c r="MBZ42" s="595"/>
      <c r="MCA42" s="595"/>
      <c r="MCB42" s="595"/>
      <c r="MCC42" s="595"/>
      <c r="MCD42" s="595"/>
      <c r="MCE42" s="595"/>
      <c r="MCF42" s="595"/>
      <c r="MCG42" s="595"/>
      <c r="MCH42" s="595"/>
      <c r="MCI42" s="595"/>
      <c r="MCJ42" s="595"/>
      <c r="MCK42" s="595"/>
      <c r="MCL42" s="595"/>
      <c r="MCM42" s="595"/>
      <c r="MCN42" s="595"/>
      <c r="MCO42" s="595"/>
      <c r="MCP42" s="595"/>
      <c r="MCQ42" s="595"/>
      <c r="MCR42" s="595"/>
      <c r="MCS42" s="595"/>
      <c r="MCT42" s="595"/>
      <c r="MCU42" s="595"/>
      <c r="MCV42" s="595"/>
      <c r="MCW42" s="595"/>
      <c r="MCX42" s="595"/>
      <c r="MCY42" s="595"/>
      <c r="MCZ42" s="595"/>
      <c r="MDA42" s="595"/>
      <c r="MDB42" s="595"/>
      <c r="MDC42" s="595"/>
      <c r="MDD42" s="595"/>
      <c r="MDE42" s="595"/>
      <c r="MDF42" s="595"/>
      <c r="MDG42" s="595"/>
      <c r="MDH42" s="595"/>
      <c r="MDI42" s="595"/>
      <c r="MDJ42" s="595"/>
      <c r="MDK42" s="595"/>
      <c r="MDL42" s="595"/>
      <c r="MDM42" s="595"/>
      <c r="MDN42" s="595"/>
      <c r="MDO42" s="595"/>
      <c r="MDP42" s="595"/>
      <c r="MDQ42" s="595"/>
      <c r="MDR42" s="595"/>
      <c r="MDS42" s="595"/>
      <c r="MDT42" s="595"/>
      <c r="MDU42" s="595"/>
      <c r="MDV42" s="595"/>
      <c r="MDW42" s="595"/>
      <c r="MDX42" s="595"/>
      <c r="MDY42" s="595"/>
      <c r="MDZ42" s="595"/>
      <c r="MEA42" s="595"/>
      <c r="MEB42" s="595"/>
      <c r="MEC42" s="595"/>
      <c r="MED42" s="595"/>
      <c r="MEE42" s="595"/>
      <c r="MEF42" s="595"/>
      <c r="MEG42" s="595"/>
      <c r="MEH42" s="595"/>
      <c r="MEI42" s="595"/>
      <c r="MEJ42" s="595"/>
      <c r="MEK42" s="595"/>
      <c r="MEL42" s="595"/>
      <c r="MEM42" s="595"/>
      <c r="MEN42" s="595"/>
      <c r="MEO42" s="595"/>
      <c r="MEP42" s="595"/>
      <c r="MEQ42" s="595"/>
      <c r="MER42" s="595"/>
      <c r="MES42" s="595"/>
      <c r="MET42" s="595"/>
      <c r="MEU42" s="595"/>
      <c r="MEV42" s="595"/>
      <c r="MEW42" s="595"/>
      <c r="MEX42" s="595"/>
      <c r="MEY42" s="595"/>
      <c r="MEZ42" s="595"/>
      <c r="MFA42" s="595"/>
      <c r="MFB42" s="595"/>
      <c r="MFC42" s="595"/>
      <c r="MFD42" s="595"/>
      <c r="MFE42" s="595"/>
      <c r="MFF42" s="595"/>
      <c r="MFG42" s="595"/>
      <c r="MFH42" s="595"/>
      <c r="MFI42" s="595"/>
      <c r="MFJ42" s="595"/>
      <c r="MFK42" s="595"/>
      <c r="MFL42" s="595"/>
      <c r="MFM42" s="595"/>
      <c r="MFN42" s="595"/>
      <c r="MFO42" s="595"/>
      <c r="MFP42" s="595"/>
      <c r="MFQ42" s="595"/>
      <c r="MFR42" s="595"/>
      <c r="MFS42" s="595"/>
      <c r="MFT42" s="595"/>
      <c r="MFU42" s="595"/>
      <c r="MFV42" s="595"/>
      <c r="MFW42" s="595"/>
      <c r="MFX42" s="595"/>
      <c r="MFY42" s="595"/>
      <c r="MFZ42" s="595"/>
      <c r="MGA42" s="595"/>
      <c r="MGB42" s="595"/>
      <c r="MGC42" s="595"/>
      <c r="MGD42" s="595"/>
      <c r="MGE42" s="595"/>
      <c r="MGF42" s="595"/>
      <c r="MGG42" s="595"/>
      <c r="MGH42" s="595"/>
      <c r="MGI42" s="595"/>
      <c r="MGJ42" s="595"/>
      <c r="MGK42" s="595"/>
      <c r="MGL42" s="595"/>
      <c r="MGM42" s="595"/>
      <c r="MGN42" s="595"/>
      <c r="MGO42" s="595"/>
      <c r="MGP42" s="595"/>
      <c r="MGQ42" s="595"/>
      <c r="MGR42" s="595"/>
      <c r="MGS42" s="595"/>
      <c r="MGT42" s="595"/>
      <c r="MGU42" s="595"/>
      <c r="MGV42" s="595"/>
      <c r="MGW42" s="595"/>
      <c r="MGX42" s="595"/>
      <c r="MGY42" s="595"/>
      <c r="MGZ42" s="595"/>
      <c r="MHA42" s="595"/>
      <c r="MHB42" s="595"/>
      <c r="MHC42" s="595"/>
      <c r="MHD42" s="595"/>
      <c r="MHE42" s="595"/>
      <c r="MHF42" s="595"/>
      <c r="MHG42" s="595"/>
      <c r="MHH42" s="595"/>
      <c r="MHI42" s="595"/>
      <c r="MHJ42" s="595"/>
      <c r="MHK42" s="595"/>
      <c r="MHL42" s="595"/>
      <c r="MHM42" s="595"/>
      <c r="MHN42" s="595"/>
      <c r="MHO42" s="595"/>
      <c r="MHP42" s="595"/>
      <c r="MHQ42" s="595"/>
      <c r="MHR42" s="595"/>
      <c r="MHS42" s="595"/>
      <c r="MHT42" s="595"/>
      <c r="MHU42" s="595"/>
      <c r="MHV42" s="595"/>
      <c r="MHW42" s="595"/>
      <c r="MHX42" s="595"/>
      <c r="MHY42" s="595"/>
      <c r="MHZ42" s="595"/>
      <c r="MIA42" s="595"/>
      <c r="MIB42" s="595"/>
      <c r="MIC42" s="595"/>
      <c r="MID42" s="595"/>
      <c r="MIE42" s="595"/>
      <c r="MIF42" s="595"/>
      <c r="MIG42" s="595"/>
      <c r="MIH42" s="595"/>
      <c r="MII42" s="595"/>
      <c r="MIJ42" s="595"/>
      <c r="MIK42" s="595"/>
      <c r="MIL42" s="595"/>
      <c r="MIM42" s="595"/>
      <c r="MIN42" s="595"/>
      <c r="MIO42" s="595"/>
      <c r="MIP42" s="595"/>
      <c r="MIQ42" s="595"/>
      <c r="MIR42" s="595"/>
      <c r="MIS42" s="595"/>
      <c r="MIT42" s="595"/>
      <c r="MIU42" s="595"/>
      <c r="MIV42" s="595"/>
      <c r="MIW42" s="595"/>
      <c r="MIX42" s="595"/>
      <c r="MIY42" s="595"/>
      <c r="MIZ42" s="595"/>
      <c r="MJA42" s="595"/>
      <c r="MJB42" s="595"/>
      <c r="MJC42" s="595"/>
      <c r="MJD42" s="595"/>
      <c r="MJE42" s="595"/>
      <c r="MJF42" s="595"/>
      <c r="MJG42" s="595"/>
      <c r="MJH42" s="595"/>
      <c r="MJI42" s="595"/>
      <c r="MJJ42" s="595"/>
      <c r="MJK42" s="595"/>
      <c r="MJL42" s="595"/>
      <c r="MJM42" s="595"/>
      <c r="MJN42" s="595"/>
      <c r="MJO42" s="595"/>
      <c r="MJP42" s="595"/>
      <c r="MJQ42" s="595"/>
      <c r="MJR42" s="595"/>
      <c r="MJS42" s="595"/>
      <c r="MJT42" s="595"/>
      <c r="MJU42" s="595"/>
      <c r="MJV42" s="595"/>
      <c r="MJW42" s="595"/>
      <c r="MJX42" s="595"/>
      <c r="MJY42" s="595"/>
      <c r="MJZ42" s="595"/>
      <c r="MKA42" s="595"/>
      <c r="MKB42" s="595"/>
      <c r="MKC42" s="595"/>
      <c r="MKD42" s="595"/>
      <c r="MKE42" s="595"/>
      <c r="MKF42" s="595"/>
      <c r="MKG42" s="595"/>
      <c r="MKH42" s="595"/>
      <c r="MKI42" s="595"/>
      <c r="MKJ42" s="595"/>
      <c r="MKK42" s="595"/>
      <c r="MKL42" s="595"/>
      <c r="MKM42" s="595"/>
      <c r="MKN42" s="595"/>
      <c r="MKO42" s="595"/>
      <c r="MKP42" s="595"/>
      <c r="MKQ42" s="595"/>
      <c r="MKR42" s="595"/>
      <c r="MKS42" s="595"/>
      <c r="MKT42" s="595"/>
      <c r="MKU42" s="595"/>
      <c r="MKV42" s="595"/>
      <c r="MKW42" s="595"/>
      <c r="MKX42" s="595"/>
      <c r="MKY42" s="595"/>
      <c r="MKZ42" s="595"/>
      <c r="MLA42" s="595"/>
      <c r="MLB42" s="595"/>
      <c r="MLC42" s="595"/>
      <c r="MLD42" s="595"/>
      <c r="MLE42" s="595"/>
      <c r="MLF42" s="595"/>
      <c r="MLG42" s="595"/>
      <c r="MLH42" s="595"/>
      <c r="MLI42" s="595"/>
      <c r="MLJ42" s="595"/>
      <c r="MLK42" s="595"/>
      <c r="MLL42" s="595"/>
      <c r="MLM42" s="595"/>
      <c r="MLN42" s="595"/>
      <c r="MLO42" s="595"/>
      <c r="MLP42" s="595"/>
      <c r="MLQ42" s="595"/>
      <c r="MLR42" s="595"/>
      <c r="MLS42" s="595"/>
      <c r="MLT42" s="595"/>
      <c r="MLU42" s="595"/>
      <c r="MLV42" s="595"/>
      <c r="MLW42" s="595"/>
      <c r="MLX42" s="595"/>
      <c r="MLY42" s="595"/>
      <c r="MLZ42" s="595"/>
      <c r="MMA42" s="595"/>
      <c r="MMB42" s="595"/>
      <c r="MMC42" s="595"/>
      <c r="MMD42" s="595"/>
      <c r="MME42" s="595"/>
      <c r="MMF42" s="595"/>
      <c r="MMG42" s="595"/>
      <c r="MMH42" s="595"/>
      <c r="MMI42" s="595"/>
      <c r="MMJ42" s="595"/>
      <c r="MMK42" s="595"/>
      <c r="MML42" s="595"/>
      <c r="MMM42" s="595"/>
      <c r="MMN42" s="595"/>
      <c r="MMO42" s="595"/>
      <c r="MMP42" s="595"/>
      <c r="MMQ42" s="595"/>
      <c r="MMR42" s="595"/>
      <c r="MMS42" s="595"/>
      <c r="MMT42" s="595"/>
      <c r="MMU42" s="595"/>
      <c r="MMV42" s="595"/>
      <c r="MMW42" s="595"/>
      <c r="MMX42" s="595"/>
      <c r="MMY42" s="595"/>
      <c r="MMZ42" s="595"/>
      <c r="MNA42" s="595"/>
      <c r="MNB42" s="595"/>
      <c r="MNC42" s="595"/>
      <c r="MND42" s="595"/>
      <c r="MNE42" s="595"/>
      <c r="MNF42" s="595"/>
      <c r="MNG42" s="595"/>
      <c r="MNH42" s="595"/>
      <c r="MNI42" s="595"/>
      <c r="MNJ42" s="595"/>
      <c r="MNK42" s="595"/>
      <c r="MNL42" s="595"/>
      <c r="MNM42" s="595"/>
      <c r="MNN42" s="595"/>
      <c r="MNO42" s="595"/>
      <c r="MNP42" s="595"/>
      <c r="MNQ42" s="595"/>
      <c r="MNR42" s="595"/>
      <c r="MNS42" s="595"/>
      <c r="MNT42" s="595"/>
      <c r="MNU42" s="595"/>
      <c r="MNV42" s="595"/>
      <c r="MNW42" s="595"/>
      <c r="MNX42" s="595"/>
      <c r="MNY42" s="595"/>
      <c r="MNZ42" s="595"/>
      <c r="MOA42" s="595"/>
      <c r="MOB42" s="595"/>
      <c r="MOC42" s="595"/>
      <c r="MOD42" s="595"/>
      <c r="MOE42" s="595"/>
      <c r="MOF42" s="595"/>
      <c r="MOG42" s="595"/>
      <c r="MOH42" s="595"/>
      <c r="MOI42" s="595"/>
      <c r="MOJ42" s="595"/>
      <c r="MOK42" s="595"/>
      <c r="MOL42" s="595"/>
      <c r="MOM42" s="595"/>
      <c r="MON42" s="595"/>
      <c r="MOO42" s="595"/>
      <c r="MOP42" s="595"/>
      <c r="MOQ42" s="595"/>
      <c r="MOR42" s="595"/>
      <c r="MOS42" s="595"/>
      <c r="MOT42" s="595"/>
      <c r="MOU42" s="595"/>
      <c r="MOV42" s="595"/>
      <c r="MOW42" s="595"/>
      <c r="MOX42" s="595"/>
      <c r="MOY42" s="595"/>
      <c r="MOZ42" s="595"/>
      <c r="MPA42" s="595"/>
      <c r="MPB42" s="595"/>
      <c r="MPC42" s="595"/>
      <c r="MPD42" s="595"/>
      <c r="MPE42" s="595"/>
      <c r="MPF42" s="595"/>
      <c r="MPG42" s="595"/>
      <c r="MPH42" s="595"/>
      <c r="MPI42" s="595"/>
      <c r="MPJ42" s="595"/>
      <c r="MPK42" s="595"/>
      <c r="MPL42" s="595"/>
      <c r="MPM42" s="595"/>
      <c r="MPN42" s="595"/>
      <c r="MPO42" s="595"/>
      <c r="MPP42" s="595"/>
      <c r="MPQ42" s="595"/>
      <c r="MPR42" s="595"/>
      <c r="MPS42" s="595"/>
      <c r="MPT42" s="595"/>
      <c r="MPU42" s="595"/>
      <c r="MPV42" s="595"/>
      <c r="MPW42" s="595"/>
      <c r="MPX42" s="595"/>
      <c r="MPY42" s="595"/>
      <c r="MPZ42" s="595"/>
      <c r="MQA42" s="595"/>
      <c r="MQB42" s="595"/>
      <c r="MQC42" s="595"/>
      <c r="MQD42" s="595"/>
      <c r="MQE42" s="595"/>
      <c r="MQF42" s="595"/>
      <c r="MQG42" s="595"/>
      <c r="MQH42" s="595"/>
      <c r="MQI42" s="595"/>
      <c r="MQJ42" s="595"/>
      <c r="MQK42" s="595"/>
      <c r="MQL42" s="595"/>
      <c r="MQM42" s="595"/>
      <c r="MQN42" s="595"/>
      <c r="MQO42" s="595"/>
      <c r="MQP42" s="595"/>
      <c r="MQQ42" s="595"/>
      <c r="MQR42" s="595"/>
      <c r="MQS42" s="595"/>
      <c r="MQT42" s="595"/>
      <c r="MQU42" s="595"/>
      <c r="MQV42" s="595"/>
      <c r="MQW42" s="595"/>
      <c r="MQX42" s="595"/>
      <c r="MQY42" s="595"/>
      <c r="MQZ42" s="595"/>
      <c r="MRA42" s="595"/>
      <c r="MRB42" s="595"/>
      <c r="MRC42" s="595"/>
      <c r="MRD42" s="595"/>
      <c r="MRE42" s="595"/>
      <c r="MRF42" s="595"/>
      <c r="MRG42" s="595"/>
      <c r="MRH42" s="595"/>
      <c r="MRI42" s="595"/>
      <c r="MRJ42" s="595"/>
      <c r="MRK42" s="595"/>
      <c r="MRL42" s="595"/>
      <c r="MRM42" s="595"/>
      <c r="MRN42" s="595"/>
      <c r="MRO42" s="595"/>
      <c r="MRP42" s="595"/>
      <c r="MRQ42" s="595"/>
      <c r="MRR42" s="595"/>
      <c r="MRS42" s="595"/>
      <c r="MRT42" s="595"/>
      <c r="MRU42" s="595"/>
      <c r="MRV42" s="595"/>
      <c r="MRW42" s="595"/>
      <c r="MRX42" s="595"/>
      <c r="MRY42" s="595"/>
      <c r="MRZ42" s="595"/>
      <c r="MSA42" s="595"/>
      <c r="MSB42" s="595"/>
      <c r="MSC42" s="595"/>
      <c r="MSD42" s="595"/>
      <c r="MSE42" s="595"/>
      <c r="MSF42" s="595"/>
      <c r="MSG42" s="595"/>
      <c r="MSH42" s="595"/>
      <c r="MSI42" s="595"/>
      <c r="MSJ42" s="595"/>
      <c r="MSK42" s="595"/>
      <c r="MSL42" s="595"/>
      <c r="MSM42" s="595"/>
      <c r="MSN42" s="595"/>
      <c r="MSO42" s="595"/>
      <c r="MSP42" s="595"/>
      <c r="MSQ42" s="595"/>
      <c r="MSR42" s="595"/>
      <c r="MSS42" s="595"/>
      <c r="MST42" s="595"/>
      <c r="MSU42" s="595"/>
      <c r="MSV42" s="595"/>
      <c r="MSW42" s="595"/>
      <c r="MSX42" s="595"/>
      <c r="MSY42" s="595"/>
      <c r="MSZ42" s="595"/>
      <c r="MTA42" s="595"/>
      <c r="MTB42" s="595"/>
      <c r="MTC42" s="595"/>
      <c r="MTD42" s="595"/>
      <c r="MTE42" s="595"/>
      <c r="MTF42" s="595"/>
      <c r="MTG42" s="595"/>
      <c r="MTH42" s="595"/>
      <c r="MTI42" s="595"/>
      <c r="MTJ42" s="595"/>
      <c r="MTK42" s="595"/>
      <c r="MTL42" s="595"/>
      <c r="MTM42" s="595"/>
      <c r="MTN42" s="595"/>
      <c r="MTO42" s="595"/>
      <c r="MTP42" s="595"/>
      <c r="MTQ42" s="595"/>
      <c r="MTR42" s="595"/>
      <c r="MTS42" s="595"/>
      <c r="MTT42" s="595"/>
      <c r="MTU42" s="595"/>
      <c r="MTV42" s="595"/>
      <c r="MTW42" s="595"/>
      <c r="MTX42" s="595"/>
      <c r="MTY42" s="595"/>
      <c r="MTZ42" s="595"/>
      <c r="MUA42" s="595"/>
      <c r="MUB42" s="595"/>
      <c r="MUC42" s="595"/>
      <c r="MUD42" s="595"/>
      <c r="MUE42" s="595"/>
      <c r="MUF42" s="595"/>
      <c r="MUG42" s="595"/>
      <c r="MUH42" s="595"/>
      <c r="MUI42" s="595"/>
      <c r="MUJ42" s="595"/>
      <c r="MUK42" s="595"/>
      <c r="MUL42" s="595"/>
      <c r="MUM42" s="595"/>
      <c r="MUN42" s="595"/>
      <c r="MUO42" s="595"/>
      <c r="MUP42" s="595"/>
      <c r="MUQ42" s="595"/>
      <c r="MUR42" s="595"/>
      <c r="MUS42" s="595"/>
      <c r="MUT42" s="595"/>
      <c r="MUU42" s="595"/>
      <c r="MUV42" s="595"/>
      <c r="MUW42" s="595"/>
      <c r="MUX42" s="595"/>
      <c r="MUY42" s="595"/>
      <c r="MUZ42" s="595"/>
      <c r="MVA42" s="595"/>
      <c r="MVB42" s="595"/>
      <c r="MVC42" s="595"/>
      <c r="MVD42" s="595"/>
      <c r="MVE42" s="595"/>
      <c r="MVF42" s="595"/>
      <c r="MVG42" s="595"/>
      <c r="MVH42" s="595"/>
      <c r="MVI42" s="595"/>
      <c r="MVJ42" s="595"/>
      <c r="MVK42" s="595"/>
      <c r="MVL42" s="595"/>
      <c r="MVM42" s="595"/>
      <c r="MVN42" s="595"/>
      <c r="MVO42" s="595"/>
      <c r="MVP42" s="595"/>
      <c r="MVQ42" s="595"/>
      <c r="MVR42" s="595"/>
      <c r="MVS42" s="595"/>
      <c r="MVT42" s="595"/>
      <c r="MVU42" s="595"/>
      <c r="MVV42" s="595"/>
      <c r="MVW42" s="595"/>
      <c r="MVX42" s="595"/>
      <c r="MVY42" s="595"/>
      <c r="MVZ42" s="595"/>
      <c r="MWA42" s="595"/>
      <c r="MWB42" s="595"/>
      <c r="MWC42" s="595"/>
      <c r="MWD42" s="595"/>
      <c r="MWE42" s="595"/>
      <c r="MWF42" s="595"/>
      <c r="MWG42" s="595"/>
      <c r="MWH42" s="595"/>
      <c r="MWI42" s="595"/>
      <c r="MWJ42" s="595"/>
      <c r="MWK42" s="595"/>
      <c r="MWL42" s="595"/>
      <c r="MWM42" s="595"/>
      <c r="MWN42" s="595"/>
      <c r="MWO42" s="595"/>
      <c r="MWP42" s="595"/>
      <c r="MWQ42" s="595"/>
      <c r="MWR42" s="595"/>
      <c r="MWS42" s="595"/>
      <c r="MWT42" s="595"/>
      <c r="MWU42" s="595"/>
      <c r="MWV42" s="595"/>
      <c r="MWW42" s="595"/>
      <c r="MWX42" s="595"/>
      <c r="MWY42" s="595"/>
      <c r="MWZ42" s="595"/>
      <c r="MXA42" s="595"/>
      <c r="MXB42" s="595"/>
      <c r="MXC42" s="595"/>
      <c r="MXD42" s="595"/>
      <c r="MXE42" s="595"/>
      <c r="MXF42" s="595"/>
      <c r="MXG42" s="595"/>
      <c r="MXH42" s="595"/>
      <c r="MXI42" s="595"/>
      <c r="MXJ42" s="595"/>
      <c r="MXK42" s="595"/>
      <c r="MXL42" s="595"/>
      <c r="MXM42" s="595"/>
      <c r="MXN42" s="595"/>
      <c r="MXO42" s="595"/>
      <c r="MXP42" s="595"/>
      <c r="MXQ42" s="595"/>
      <c r="MXR42" s="595"/>
      <c r="MXS42" s="595"/>
      <c r="MXT42" s="595"/>
      <c r="MXU42" s="595"/>
      <c r="MXV42" s="595"/>
      <c r="MXW42" s="595"/>
      <c r="MXX42" s="595"/>
      <c r="MXY42" s="595"/>
      <c r="MXZ42" s="595"/>
      <c r="MYA42" s="595"/>
      <c r="MYB42" s="595"/>
      <c r="MYC42" s="595"/>
      <c r="MYD42" s="595"/>
      <c r="MYE42" s="595"/>
      <c r="MYF42" s="595"/>
      <c r="MYG42" s="595"/>
      <c r="MYH42" s="595"/>
      <c r="MYI42" s="595"/>
      <c r="MYJ42" s="595"/>
      <c r="MYK42" s="595"/>
      <c r="MYL42" s="595"/>
      <c r="MYM42" s="595"/>
      <c r="MYN42" s="595"/>
      <c r="MYO42" s="595"/>
      <c r="MYP42" s="595"/>
      <c r="MYQ42" s="595"/>
      <c r="MYR42" s="595"/>
      <c r="MYS42" s="595"/>
      <c r="MYT42" s="595"/>
      <c r="MYU42" s="595"/>
      <c r="MYV42" s="595"/>
      <c r="MYW42" s="595"/>
      <c r="MYX42" s="595"/>
      <c r="MYY42" s="595"/>
      <c r="MYZ42" s="595"/>
      <c r="MZA42" s="595"/>
      <c r="MZB42" s="595"/>
      <c r="MZC42" s="595"/>
      <c r="MZD42" s="595"/>
      <c r="MZE42" s="595"/>
      <c r="MZF42" s="595"/>
      <c r="MZG42" s="595"/>
      <c r="MZH42" s="595"/>
      <c r="MZI42" s="595"/>
      <c r="MZJ42" s="595"/>
      <c r="MZK42" s="595"/>
      <c r="MZL42" s="595"/>
      <c r="MZM42" s="595"/>
      <c r="MZN42" s="595"/>
      <c r="MZO42" s="595"/>
      <c r="MZP42" s="595"/>
      <c r="MZQ42" s="595"/>
      <c r="MZR42" s="595"/>
      <c r="MZS42" s="595"/>
      <c r="MZT42" s="595"/>
      <c r="MZU42" s="595"/>
      <c r="MZV42" s="595"/>
      <c r="MZW42" s="595"/>
      <c r="MZX42" s="595"/>
      <c r="MZY42" s="595"/>
      <c r="MZZ42" s="595"/>
      <c r="NAA42" s="595"/>
      <c r="NAB42" s="595"/>
      <c r="NAC42" s="595"/>
      <c r="NAD42" s="595"/>
      <c r="NAE42" s="595"/>
      <c r="NAF42" s="595"/>
      <c r="NAG42" s="595"/>
      <c r="NAH42" s="595"/>
      <c r="NAI42" s="595"/>
      <c r="NAJ42" s="595"/>
      <c r="NAK42" s="595"/>
      <c r="NAL42" s="595"/>
      <c r="NAM42" s="595"/>
      <c r="NAN42" s="595"/>
      <c r="NAO42" s="595"/>
      <c r="NAP42" s="595"/>
      <c r="NAQ42" s="595"/>
      <c r="NAR42" s="595"/>
      <c r="NAS42" s="595"/>
      <c r="NAT42" s="595"/>
      <c r="NAU42" s="595"/>
      <c r="NAV42" s="595"/>
      <c r="NAW42" s="595"/>
      <c r="NAX42" s="595"/>
      <c r="NAY42" s="595"/>
      <c r="NAZ42" s="595"/>
      <c r="NBA42" s="595"/>
      <c r="NBB42" s="595"/>
      <c r="NBC42" s="595"/>
      <c r="NBD42" s="595"/>
      <c r="NBE42" s="595"/>
      <c r="NBF42" s="595"/>
      <c r="NBG42" s="595"/>
      <c r="NBH42" s="595"/>
      <c r="NBI42" s="595"/>
      <c r="NBJ42" s="595"/>
      <c r="NBK42" s="595"/>
      <c r="NBL42" s="595"/>
      <c r="NBM42" s="595"/>
      <c r="NBN42" s="595"/>
      <c r="NBO42" s="595"/>
      <c r="NBP42" s="595"/>
      <c r="NBQ42" s="595"/>
      <c r="NBR42" s="595"/>
      <c r="NBS42" s="595"/>
      <c r="NBT42" s="595"/>
      <c r="NBU42" s="595"/>
      <c r="NBV42" s="595"/>
      <c r="NBW42" s="595"/>
      <c r="NBX42" s="595"/>
      <c r="NBY42" s="595"/>
      <c r="NBZ42" s="595"/>
      <c r="NCA42" s="595"/>
      <c r="NCB42" s="595"/>
      <c r="NCC42" s="595"/>
      <c r="NCD42" s="595"/>
      <c r="NCE42" s="595"/>
      <c r="NCF42" s="595"/>
      <c r="NCG42" s="595"/>
      <c r="NCH42" s="595"/>
      <c r="NCI42" s="595"/>
      <c r="NCJ42" s="595"/>
      <c r="NCK42" s="595"/>
      <c r="NCL42" s="595"/>
      <c r="NCM42" s="595"/>
      <c r="NCN42" s="595"/>
      <c r="NCO42" s="595"/>
      <c r="NCP42" s="595"/>
      <c r="NCQ42" s="595"/>
      <c r="NCR42" s="595"/>
      <c r="NCS42" s="595"/>
      <c r="NCT42" s="595"/>
      <c r="NCU42" s="595"/>
      <c r="NCV42" s="595"/>
      <c r="NCW42" s="595"/>
      <c r="NCX42" s="595"/>
      <c r="NCY42" s="595"/>
      <c r="NCZ42" s="595"/>
      <c r="NDA42" s="595"/>
      <c r="NDB42" s="595"/>
      <c r="NDC42" s="595"/>
      <c r="NDD42" s="595"/>
      <c r="NDE42" s="595"/>
      <c r="NDF42" s="595"/>
      <c r="NDG42" s="595"/>
      <c r="NDH42" s="595"/>
      <c r="NDI42" s="595"/>
      <c r="NDJ42" s="595"/>
      <c r="NDK42" s="595"/>
      <c r="NDL42" s="595"/>
      <c r="NDM42" s="595"/>
      <c r="NDN42" s="595"/>
      <c r="NDO42" s="595"/>
      <c r="NDP42" s="595"/>
      <c r="NDQ42" s="595"/>
      <c r="NDR42" s="595"/>
      <c r="NDS42" s="595"/>
      <c r="NDT42" s="595"/>
      <c r="NDU42" s="595"/>
      <c r="NDV42" s="595"/>
      <c r="NDW42" s="595"/>
      <c r="NDX42" s="595"/>
      <c r="NDY42" s="595"/>
      <c r="NDZ42" s="595"/>
      <c r="NEA42" s="595"/>
      <c r="NEB42" s="595"/>
      <c r="NEC42" s="595"/>
      <c r="NED42" s="595"/>
      <c r="NEE42" s="595"/>
      <c r="NEF42" s="595"/>
      <c r="NEG42" s="595"/>
      <c r="NEH42" s="595"/>
      <c r="NEI42" s="595"/>
      <c r="NEJ42" s="595"/>
      <c r="NEK42" s="595"/>
      <c r="NEL42" s="595"/>
      <c r="NEM42" s="595"/>
      <c r="NEN42" s="595"/>
      <c r="NEO42" s="595"/>
      <c r="NEP42" s="595"/>
      <c r="NEQ42" s="595"/>
      <c r="NER42" s="595"/>
      <c r="NES42" s="595"/>
      <c r="NET42" s="595"/>
      <c r="NEU42" s="595"/>
      <c r="NEV42" s="595"/>
      <c r="NEW42" s="595"/>
      <c r="NEX42" s="595"/>
      <c r="NEY42" s="595"/>
      <c r="NEZ42" s="595"/>
      <c r="NFA42" s="595"/>
      <c r="NFB42" s="595"/>
      <c r="NFC42" s="595"/>
      <c r="NFD42" s="595"/>
      <c r="NFE42" s="595"/>
      <c r="NFF42" s="595"/>
      <c r="NFG42" s="595"/>
      <c r="NFH42" s="595"/>
      <c r="NFI42" s="595"/>
      <c r="NFJ42" s="595"/>
      <c r="NFK42" s="595"/>
      <c r="NFL42" s="595"/>
      <c r="NFM42" s="595"/>
      <c r="NFN42" s="595"/>
      <c r="NFO42" s="595"/>
      <c r="NFP42" s="595"/>
      <c r="NFQ42" s="595"/>
      <c r="NFR42" s="595"/>
      <c r="NFS42" s="595"/>
      <c r="NFT42" s="595"/>
      <c r="NFU42" s="595"/>
      <c r="NFV42" s="595"/>
      <c r="NFW42" s="595"/>
      <c r="NFX42" s="595"/>
      <c r="NFY42" s="595"/>
      <c r="NFZ42" s="595"/>
      <c r="NGA42" s="595"/>
      <c r="NGB42" s="595"/>
      <c r="NGC42" s="595"/>
      <c r="NGD42" s="595"/>
      <c r="NGE42" s="595"/>
      <c r="NGF42" s="595"/>
      <c r="NGG42" s="595"/>
      <c r="NGH42" s="595"/>
      <c r="NGI42" s="595"/>
      <c r="NGJ42" s="595"/>
      <c r="NGK42" s="595"/>
      <c r="NGL42" s="595"/>
      <c r="NGM42" s="595"/>
      <c r="NGN42" s="595"/>
      <c r="NGO42" s="595"/>
      <c r="NGP42" s="595"/>
      <c r="NGQ42" s="595"/>
      <c r="NGR42" s="595"/>
      <c r="NGS42" s="595"/>
      <c r="NGT42" s="595"/>
      <c r="NGU42" s="595"/>
      <c r="NGV42" s="595"/>
      <c r="NGW42" s="595"/>
      <c r="NGX42" s="595"/>
      <c r="NGY42" s="595"/>
      <c r="NGZ42" s="595"/>
      <c r="NHA42" s="595"/>
      <c r="NHB42" s="595"/>
      <c r="NHC42" s="595"/>
      <c r="NHD42" s="595"/>
      <c r="NHE42" s="595"/>
      <c r="NHF42" s="595"/>
      <c r="NHG42" s="595"/>
      <c r="NHH42" s="595"/>
      <c r="NHI42" s="595"/>
      <c r="NHJ42" s="595"/>
      <c r="NHK42" s="595"/>
      <c r="NHL42" s="595"/>
      <c r="NHM42" s="595"/>
      <c r="NHN42" s="595"/>
      <c r="NHO42" s="595"/>
      <c r="NHP42" s="595"/>
      <c r="NHQ42" s="595"/>
      <c r="NHR42" s="595"/>
      <c r="NHS42" s="595"/>
      <c r="NHT42" s="595"/>
      <c r="NHU42" s="595"/>
      <c r="NHV42" s="595"/>
      <c r="NHW42" s="595"/>
      <c r="NHX42" s="595"/>
      <c r="NHY42" s="595"/>
      <c r="NHZ42" s="595"/>
      <c r="NIA42" s="595"/>
      <c r="NIB42" s="595"/>
      <c r="NIC42" s="595"/>
      <c r="NID42" s="595"/>
      <c r="NIE42" s="595"/>
      <c r="NIF42" s="595"/>
      <c r="NIG42" s="595"/>
      <c r="NIH42" s="595"/>
      <c r="NII42" s="595"/>
      <c r="NIJ42" s="595"/>
      <c r="NIK42" s="595"/>
      <c r="NIL42" s="595"/>
      <c r="NIM42" s="595"/>
      <c r="NIN42" s="595"/>
      <c r="NIO42" s="595"/>
      <c r="NIP42" s="595"/>
      <c r="NIQ42" s="595"/>
      <c r="NIR42" s="595"/>
      <c r="NIS42" s="595"/>
      <c r="NIT42" s="595"/>
      <c r="NIU42" s="595"/>
      <c r="NIV42" s="595"/>
      <c r="NIW42" s="595"/>
      <c r="NIX42" s="595"/>
      <c r="NIY42" s="595"/>
      <c r="NIZ42" s="595"/>
      <c r="NJA42" s="595"/>
      <c r="NJB42" s="595"/>
      <c r="NJC42" s="595"/>
      <c r="NJD42" s="595"/>
      <c r="NJE42" s="595"/>
      <c r="NJF42" s="595"/>
      <c r="NJG42" s="595"/>
      <c r="NJH42" s="595"/>
      <c r="NJI42" s="595"/>
      <c r="NJJ42" s="595"/>
      <c r="NJK42" s="595"/>
      <c r="NJL42" s="595"/>
      <c r="NJM42" s="595"/>
      <c r="NJN42" s="595"/>
      <c r="NJO42" s="595"/>
      <c r="NJP42" s="595"/>
      <c r="NJQ42" s="595"/>
      <c r="NJR42" s="595"/>
      <c r="NJS42" s="595"/>
      <c r="NJT42" s="595"/>
      <c r="NJU42" s="595"/>
      <c r="NJV42" s="595"/>
      <c r="NJW42" s="595"/>
      <c r="NJX42" s="595"/>
      <c r="NJY42" s="595"/>
      <c r="NJZ42" s="595"/>
      <c r="NKA42" s="595"/>
      <c r="NKB42" s="595"/>
      <c r="NKC42" s="595"/>
      <c r="NKD42" s="595"/>
      <c r="NKE42" s="595"/>
      <c r="NKF42" s="595"/>
      <c r="NKG42" s="595"/>
      <c r="NKH42" s="595"/>
      <c r="NKI42" s="595"/>
      <c r="NKJ42" s="595"/>
      <c r="NKK42" s="595"/>
      <c r="NKL42" s="595"/>
      <c r="NKM42" s="595"/>
      <c r="NKN42" s="595"/>
      <c r="NKO42" s="595"/>
      <c r="NKP42" s="595"/>
      <c r="NKQ42" s="595"/>
      <c r="NKR42" s="595"/>
      <c r="NKS42" s="595"/>
      <c r="NKT42" s="595"/>
      <c r="NKU42" s="595"/>
      <c r="NKV42" s="595"/>
      <c r="NKW42" s="595"/>
      <c r="NKX42" s="595"/>
      <c r="NKY42" s="595"/>
      <c r="NKZ42" s="595"/>
      <c r="NLA42" s="595"/>
      <c r="NLB42" s="595"/>
      <c r="NLC42" s="595"/>
      <c r="NLD42" s="595"/>
      <c r="NLE42" s="595"/>
      <c r="NLF42" s="595"/>
      <c r="NLG42" s="595"/>
      <c r="NLH42" s="595"/>
      <c r="NLI42" s="595"/>
      <c r="NLJ42" s="595"/>
      <c r="NLK42" s="595"/>
      <c r="NLL42" s="595"/>
      <c r="NLM42" s="595"/>
      <c r="NLN42" s="595"/>
      <c r="NLO42" s="595"/>
      <c r="NLP42" s="595"/>
      <c r="NLQ42" s="595"/>
      <c r="NLR42" s="595"/>
      <c r="NLS42" s="595"/>
      <c r="NLT42" s="595"/>
      <c r="NLU42" s="595"/>
      <c r="NLV42" s="595"/>
      <c r="NLW42" s="595"/>
      <c r="NLX42" s="595"/>
      <c r="NLY42" s="595"/>
      <c r="NLZ42" s="595"/>
      <c r="NMA42" s="595"/>
      <c r="NMB42" s="595"/>
      <c r="NMC42" s="595"/>
      <c r="NMD42" s="595"/>
      <c r="NME42" s="595"/>
      <c r="NMF42" s="595"/>
      <c r="NMG42" s="595"/>
      <c r="NMH42" s="595"/>
      <c r="NMI42" s="595"/>
      <c r="NMJ42" s="595"/>
      <c r="NMK42" s="595"/>
      <c r="NML42" s="595"/>
      <c r="NMM42" s="595"/>
      <c r="NMN42" s="595"/>
      <c r="NMO42" s="595"/>
      <c r="NMP42" s="595"/>
      <c r="NMQ42" s="595"/>
      <c r="NMR42" s="595"/>
      <c r="NMS42" s="595"/>
      <c r="NMT42" s="595"/>
      <c r="NMU42" s="595"/>
      <c r="NMV42" s="595"/>
      <c r="NMW42" s="595"/>
      <c r="NMX42" s="595"/>
      <c r="NMY42" s="595"/>
      <c r="NMZ42" s="595"/>
      <c r="NNA42" s="595"/>
      <c r="NNB42" s="595"/>
      <c r="NNC42" s="595"/>
      <c r="NND42" s="595"/>
      <c r="NNE42" s="595"/>
      <c r="NNF42" s="595"/>
      <c r="NNG42" s="595"/>
      <c r="NNH42" s="595"/>
      <c r="NNI42" s="595"/>
      <c r="NNJ42" s="595"/>
      <c r="NNK42" s="595"/>
      <c r="NNL42" s="595"/>
      <c r="NNM42" s="595"/>
      <c r="NNN42" s="595"/>
      <c r="NNO42" s="595"/>
      <c r="NNP42" s="595"/>
      <c r="NNQ42" s="595"/>
      <c r="NNR42" s="595"/>
      <c r="NNS42" s="595"/>
      <c r="NNT42" s="595"/>
      <c r="NNU42" s="595"/>
      <c r="NNV42" s="595"/>
      <c r="NNW42" s="595"/>
      <c r="NNX42" s="595"/>
      <c r="NNY42" s="595"/>
      <c r="NNZ42" s="595"/>
      <c r="NOA42" s="595"/>
      <c r="NOB42" s="595"/>
      <c r="NOC42" s="595"/>
      <c r="NOD42" s="595"/>
      <c r="NOE42" s="595"/>
      <c r="NOF42" s="595"/>
      <c r="NOG42" s="595"/>
      <c r="NOH42" s="595"/>
      <c r="NOI42" s="595"/>
      <c r="NOJ42" s="595"/>
      <c r="NOK42" s="595"/>
      <c r="NOL42" s="595"/>
      <c r="NOM42" s="595"/>
      <c r="NON42" s="595"/>
      <c r="NOO42" s="595"/>
      <c r="NOP42" s="595"/>
      <c r="NOQ42" s="595"/>
      <c r="NOR42" s="595"/>
      <c r="NOS42" s="595"/>
      <c r="NOT42" s="595"/>
      <c r="NOU42" s="595"/>
      <c r="NOV42" s="595"/>
      <c r="NOW42" s="595"/>
      <c r="NOX42" s="595"/>
      <c r="NOY42" s="595"/>
      <c r="NOZ42" s="595"/>
      <c r="NPA42" s="595"/>
      <c r="NPB42" s="595"/>
      <c r="NPC42" s="595"/>
      <c r="NPD42" s="595"/>
      <c r="NPE42" s="595"/>
      <c r="NPF42" s="595"/>
      <c r="NPG42" s="595"/>
      <c r="NPH42" s="595"/>
      <c r="NPI42" s="595"/>
      <c r="NPJ42" s="595"/>
      <c r="NPK42" s="595"/>
      <c r="NPL42" s="595"/>
      <c r="NPM42" s="595"/>
      <c r="NPN42" s="595"/>
      <c r="NPO42" s="595"/>
      <c r="NPP42" s="595"/>
      <c r="NPQ42" s="595"/>
      <c r="NPR42" s="595"/>
      <c r="NPS42" s="595"/>
      <c r="NPT42" s="595"/>
      <c r="NPU42" s="595"/>
      <c r="NPV42" s="595"/>
      <c r="NPW42" s="595"/>
      <c r="NPX42" s="595"/>
      <c r="NPY42" s="595"/>
      <c r="NPZ42" s="595"/>
      <c r="NQA42" s="595"/>
      <c r="NQB42" s="595"/>
      <c r="NQC42" s="595"/>
      <c r="NQD42" s="595"/>
      <c r="NQE42" s="595"/>
      <c r="NQF42" s="595"/>
      <c r="NQG42" s="595"/>
      <c r="NQH42" s="595"/>
      <c r="NQI42" s="595"/>
      <c r="NQJ42" s="595"/>
      <c r="NQK42" s="595"/>
      <c r="NQL42" s="595"/>
      <c r="NQM42" s="595"/>
      <c r="NQN42" s="595"/>
      <c r="NQO42" s="595"/>
      <c r="NQP42" s="595"/>
      <c r="NQQ42" s="595"/>
      <c r="NQR42" s="595"/>
      <c r="NQS42" s="595"/>
      <c r="NQT42" s="595"/>
      <c r="NQU42" s="595"/>
      <c r="NQV42" s="595"/>
      <c r="NQW42" s="595"/>
      <c r="NQX42" s="595"/>
      <c r="NQY42" s="595"/>
      <c r="NQZ42" s="595"/>
      <c r="NRA42" s="595"/>
      <c r="NRB42" s="595"/>
      <c r="NRC42" s="595"/>
      <c r="NRD42" s="595"/>
      <c r="NRE42" s="595"/>
      <c r="NRF42" s="595"/>
      <c r="NRG42" s="595"/>
      <c r="NRH42" s="595"/>
      <c r="NRI42" s="595"/>
      <c r="NRJ42" s="595"/>
      <c r="NRK42" s="595"/>
      <c r="NRL42" s="595"/>
      <c r="NRM42" s="595"/>
      <c r="NRN42" s="595"/>
      <c r="NRO42" s="595"/>
      <c r="NRP42" s="595"/>
      <c r="NRQ42" s="595"/>
      <c r="NRR42" s="595"/>
      <c r="NRS42" s="595"/>
      <c r="NRT42" s="595"/>
      <c r="NRU42" s="595"/>
      <c r="NRV42" s="595"/>
      <c r="NRW42" s="595"/>
      <c r="NRX42" s="595"/>
      <c r="NRY42" s="595"/>
      <c r="NRZ42" s="595"/>
      <c r="NSA42" s="595"/>
      <c r="NSB42" s="595"/>
      <c r="NSC42" s="595"/>
      <c r="NSD42" s="595"/>
      <c r="NSE42" s="595"/>
      <c r="NSF42" s="595"/>
      <c r="NSG42" s="595"/>
      <c r="NSH42" s="595"/>
      <c r="NSI42" s="595"/>
      <c r="NSJ42" s="595"/>
      <c r="NSK42" s="595"/>
      <c r="NSL42" s="595"/>
      <c r="NSM42" s="595"/>
      <c r="NSN42" s="595"/>
      <c r="NSO42" s="595"/>
      <c r="NSP42" s="595"/>
      <c r="NSQ42" s="595"/>
      <c r="NSR42" s="595"/>
      <c r="NSS42" s="595"/>
      <c r="NST42" s="595"/>
      <c r="NSU42" s="595"/>
      <c r="NSV42" s="595"/>
      <c r="NSW42" s="595"/>
      <c r="NSX42" s="595"/>
      <c r="NSY42" s="595"/>
      <c r="NSZ42" s="595"/>
      <c r="NTA42" s="595"/>
      <c r="NTB42" s="595"/>
      <c r="NTC42" s="595"/>
      <c r="NTD42" s="595"/>
      <c r="NTE42" s="595"/>
      <c r="NTF42" s="595"/>
      <c r="NTG42" s="595"/>
      <c r="NTH42" s="595"/>
      <c r="NTI42" s="595"/>
      <c r="NTJ42" s="595"/>
      <c r="NTK42" s="595"/>
      <c r="NTL42" s="595"/>
      <c r="NTM42" s="595"/>
      <c r="NTN42" s="595"/>
      <c r="NTO42" s="595"/>
      <c r="NTP42" s="595"/>
      <c r="NTQ42" s="595"/>
      <c r="NTR42" s="595"/>
      <c r="NTS42" s="595"/>
      <c r="NTT42" s="595"/>
      <c r="NTU42" s="595"/>
      <c r="NTV42" s="595"/>
      <c r="NTW42" s="595"/>
      <c r="NTX42" s="595"/>
      <c r="NTY42" s="595"/>
      <c r="NTZ42" s="595"/>
      <c r="NUA42" s="595"/>
      <c r="NUB42" s="595"/>
      <c r="NUC42" s="595"/>
      <c r="NUD42" s="595"/>
      <c r="NUE42" s="595"/>
      <c r="NUF42" s="595"/>
      <c r="NUG42" s="595"/>
      <c r="NUH42" s="595"/>
      <c r="NUI42" s="595"/>
      <c r="NUJ42" s="595"/>
      <c r="NUK42" s="595"/>
      <c r="NUL42" s="595"/>
      <c r="NUM42" s="595"/>
      <c r="NUN42" s="595"/>
      <c r="NUO42" s="595"/>
      <c r="NUP42" s="595"/>
      <c r="NUQ42" s="595"/>
      <c r="NUR42" s="595"/>
      <c r="NUS42" s="595"/>
      <c r="NUT42" s="595"/>
      <c r="NUU42" s="595"/>
      <c r="NUV42" s="595"/>
      <c r="NUW42" s="595"/>
      <c r="NUX42" s="595"/>
      <c r="NUY42" s="595"/>
      <c r="NUZ42" s="595"/>
      <c r="NVA42" s="595"/>
      <c r="NVB42" s="595"/>
      <c r="NVC42" s="595"/>
      <c r="NVD42" s="595"/>
      <c r="NVE42" s="595"/>
      <c r="NVF42" s="595"/>
      <c r="NVG42" s="595"/>
      <c r="NVH42" s="595"/>
      <c r="NVI42" s="595"/>
      <c r="NVJ42" s="595"/>
      <c r="NVK42" s="595"/>
      <c r="NVL42" s="595"/>
      <c r="NVM42" s="595"/>
      <c r="NVN42" s="595"/>
      <c r="NVO42" s="595"/>
      <c r="NVP42" s="595"/>
      <c r="NVQ42" s="595"/>
      <c r="NVR42" s="595"/>
      <c r="NVS42" s="595"/>
      <c r="NVT42" s="595"/>
      <c r="NVU42" s="595"/>
      <c r="NVV42" s="595"/>
      <c r="NVW42" s="595"/>
      <c r="NVX42" s="595"/>
      <c r="NVY42" s="595"/>
      <c r="NVZ42" s="595"/>
      <c r="NWA42" s="595"/>
      <c r="NWB42" s="595"/>
      <c r="NWC42" s="595"/>
      <c r="NWD42" s="595"/>
      <c r="NWE42" s="595"/>
      <c r="NWF42" s="595"/>
      <c r="NWG42" s="595"/>
      <c r="NWH42" s="595"/>
      <c r="NWI42" s="595"/>
      <c r="NWJ42" s="595"/>
      <c r="NWK42" s="595"/>
      <c r="NWL42" s="595"/>
      <c r="NWM42" s="595"/>
      <c r="NWN42" s="595"/>
      <c r="NWO42" s="595"/>
      <c r="NWP42" s="595"/>
      <c r="NWQ42" s="595"/>
      <c r="NWR42" s="595"/>
      <c r="NWS42" s="595"/>
      <c r="NWT42" s="595"/>
      <c r="NWU42" s="595"/>
      <c r="NWV42" s="595"/>
      <c r="NWW42" s="595"/>
      <c r="NWX42" s="595"/>
      <c r="NWY42" s="595"/>
      <c r="NWZ42" s="595"/>
      <c r="NXA42" s="595"/>
      <c r="NXB42" s="595"/>
      <c r="NXC42" s="595"/>
      <c r="NXD42" s="595"/>
      <c r="NXE42" s="595"/>
      <c r="NXF42" s="595"/>
      <c r="NXG42" s="595"/>
      <c r="NXH42" s="595"/>
      <c r="NXI42" s="595"/>
      <c r="NXJ42" s="595"/>
      <c r="NXK42" s="595"/>
      <c r="NXL42" s="595"/>
      <c r="NXM42" s="595"/>
      <c r="NXN42" s="595"/>
      <c r="NXO42" s="595"/>
      <c r="NXP42" s="595"/>
      <c r="NXQ42" s="595"/>
      <c r="NXR42" s="595"/>
      <c r="NXS42" s="595"/>
      <c r="NXT42" s="595"/>
      <c r="NXU42" s="595"/>
      <c r="NXV42" s="595"/>
      <c r="NXW42" s="595"/>
      <c r="NXX42" s="595"/>
      <c r="NXY42" s="595"/>
      <c r="NXZ42" s="595"/>
      <c r="NYA42" s="595"/>
      <c r="NYB42" s="595"/>
      <c r="NYC42" s="595"/>
      <c r="NYD42" s="595"/>
      <c r="NYE42" s="595"/>
      <c r="NYF42" s="595"/>
      <c r="NYG42" s="595"/>
      <c r="NYH42" s="595"/>
      <c r="NYI42" s="595"/>
      <c r="NYJ42" s="595"/>
      <c r="NYK42" s="595"/>
      <c r="NYL42" s="595"/>
      <c r="NYM42" s="595"/>
      <c r="NYN42" s="595"/>
      <c r="NYO42" s="595"/>
      <c r="NYP42" s="595"/>
      <c r="NYQ42" s="595"/>
      <c r="NYR42" s="595"/>
      <c r="NYS42" s="595"/>
      <c r="NYT42" s="595"/>
      <c r="NYU42" s="595"/>
      <c r="NYV42" s="595"/>
      <c r="NYW42" s="595"/>
      <c r="NYX42" s="595"/>
      <c r="NYY42" s="595"/>
      <c r="NYZ42" s="595"/>
      <c r="NZA42" s="595"/>
      <c r="NZB42" s="595"/>
      <c r="NZC42" s="595"/>
      <c r="NZD42" s="595"/>
      <c r="NZE42" s="595"/>
      <c r="NZF42" s="595"/>
      <c r="NZG42" s="595"/>
      <c r="NZH42" s="595"/>
      <c r="NZI42" s="595"/>
      <c r="NZJ42" s="595"/>
      <c r="NZK42" s="595"/>
      <c r="NZL42" s="595"/>
      <c r="NZM42" s="595"/>
      <c r="NZN42" s="595"/>
      <c r="NZO42" s="595"/>
      <c r="NZP42" s="595"/>
      <c r="NZQ42" s="595"/>
      <c r="NZR42" s="595"/>
      <c r="NZS42" s="595"/>
      <c r="NZT42" s="595"/>
      <c r="NZU42" s="595"/>
      <c r="NZV42" s="595"/>
      <c r="NZW42" s="595"/>
      <c r="NZX42" s="595"/>
      <c r="NZY42" s="595"/>
      <c r="NZZ42" s="595"/>
      <c r="OAA42" s="595"/>
      <c r="OAB42" s="595"/>
      <c r="OAC42" s="595"/>
      <c r="OAD42" s="595"/>
      <c r="OAE42" s="595"/>
      <c r="OAF42" s="595"/>
      <c r="OAG42" s="595"/>
      <c r="OAH42" s="595"/>
      <c r="OAI42" s="595"/>
      <c r="OAJ42" s="595"/>
      <c r="OAK42" s="595"/>
      <c r="OAL42" s="595"/>
      <c r="OAM42" s="595"/>
      <c r="OAN42" s="595"/>
      <c r="OAO42" s="595"/>
      <c r="OAP42" s="595"/>
      <c r="OAQ42" s="595"/>
      <c r="OAR42" s="595"/>
      <c r="OAS42" s="595"/>
      <c r="OAT42" s="595"/>
      <c r="OAU42" s="595"/>
      <c r="OAV42" s="595"/>
      <c r="OAW42" s="595"/>
      <c r="OAX42" s="595"/>
      <c r="OAY42" s="595"/>
      <c r="OAZ42" s="595"/>
      <c r="OBA42" s="595"/>
      <c r="OBB42" s="595"/>
      <c r="OBC42" s="595"/>
      <c r="OBD42" s="595"/>
      <c r="OBE42" s="595"/>
      <c r="OBF42" s="595"/>
      <c r="OBG42" s="595"/>
      <c r="OBH42" s="595"/>
      <c r="OBI42" s="595"/>
      <c r="OBJ42" s="595"/>
      <c r="OBK42" s="595"/>
      <c r="OBL42" s="595"/>
      <c r="OBM42" s="595"/>
      <c r="OBN42" s="595"/>
      <c r="OBO42" s="595"/>
      <c r="OBP42" s="595"/>
      <c r="OBQ42" s="595"/>
      <c r="OBR42" s="595"/>
      <c r="OBS42" s="595"/>
      <c r="OBT42" s="595"/>
      <c r="OBU42" s="595"/>
      <c r="OBV42" s="595"/>
      <c r="OBW42" s="595"/>
      <c r="OBX42" s="595"/>
      <c r="OBY42" s="595"/>
      <c r="OBZ42" s="595"/>
      <c r="OCA42" s="595"/>
      <c r="OCB42" s="595"/>
      <c r="OCC42" s="595"/>
      <c r="OCD42" s="595"/>
      <c r="OCE42" s="595"/>
      <c r="OCF42" s="595"/>
      <c r="OCG42" s="595"/>
      <c r="OCH42" s="595"/>
      <c r="OCI42" s="595"/>
      <c r="OCJ42" s="595"/>
      <c r="OCK42" s="595"/>
      <c r="OCL42" s="595"/>
      <c r="OCM42" s="595"/>
      <c r="OCN42" s="595"/>
      <c r="OCO42" s="595"/>
      <c r="OCP42" s="595"/>
      <c r="OCQ42" s="595"/>
      <c r="OCR42" s="595"/>
      <c r="OCS42" s="595"/>
      <c r="OCT42" s="595"/>
      <c r="OCU42" s="595"/>
      <c r="OCV42" s="595"/>
      <c r="OCW42" s="595"/>
      <c r="OCX42" s="595"/>
      <c r="OCY42" s="595"/>
      <c r="OCZ42" s="595"/>
      <c r="ODA42" s="595"/>
      <c r="ODB42" s="595"/>
      <c r="ODC42" s="595"/>
      <c r="ODD42" s="595"/>
      <c r="ODE42" s="595"/>
      <c r="ODF42" s="595"/>
      <c r="ODG42" s="595"/>
      <c r="ODH42" s="595"/>
      <c r="ODI42" s="595"/>
      <c r="ODJ42" s="595"/>
      <c r="ODK42" s="595"/>
      <c r="ODL42" s="595"/>
      <c r="ODM42" s="595"/>
      <c r="ODN42" s="595"/>
      <c r="ODO42" s="595"/>
      <c r="ODP42" s="595"/>
      <c r="ODQ42" s="595"/>
      <c r="ODR42" s="595"/>
      <c r="ODS42" s="595"/>
      <c r="ODT42" s="595"/>
      <c r="ODU42" s="595"/>
      <c r="ODV42" s="595"/>
      <c r="ODW42" s="595"/>
      <c r="ODX42" s="595"/>
      <c r="ODY42" s="595"/>
      <c r="ODZ42" s="595"/>
      <c r="OEA42" s="595"/>
      <c r="OEB42" s="595"/>
      <c r="OEC42" s="595"/>
      <c r="OED42" s="595"/>
      <c r="OEE42" s="595"/>
      <c r="OEF42" s="595"/>
      <c r="OEG42" s="595"/>
      <c r="OEH42" s="595"/>
      <c r="OEI42" s="595"/>
      <c r="OEJ42" s="595"/>
      <c r="OEK42" s="595"/>
      <c r="OEL42" s="595"/>
      <c r="OEM42" s="595"/>
      <c r="OEN42" s="595"/>
      <c r="OEO42" s="595"/>
      <c r="OEP42" s="595"/>
      <c r="OEQ42" s="595"/>
      <c r="OER42" s="595"/>
      <c r="OES42" s="595"/>
      <c r="OET42" s="595"/>
      <c r="OEU42" s="595"/>
      <c r="OEV42" s="595"/>
      <c r="OEW42" s="595"/>
      <c r="OEX42" s="595"/>
      <c r="OEY42" s="595"/>
      <c r="OEZ42" s="595"/>
      <c r="OFA42" s="595"/>
      <c r="OFB42" s="595"/>
      <c r="OFC42" s="595"/>
      <c r="OFD42" s="595"/>
      <c r="OFE42" s="595"/>
      <c r="OFF42" s="595"/>
      <c r="OFG42" s="595"/>
      <c r="OFH42" s="595"/>
      <c r="OFI42" s="595"/>
      <c r="OFJ42" s="595"/>
      <c r="OFK42" s="595"/>
      <c r="OFL42" s="595"/>
      <c r="OFM42" s="595"/>
      <c r="OFN42" s="595"/>
      <c r="OFO42" s="595"/>
      <c r="OFP42" s="595"/>
      <c r="OFQ42" s="595"/>
      <c r="OFR42" s="595"/>
      <c r="OFS42" s="595"/>
      <c r="OFT42" s="595"/>
      <c r="OFU42" s="595"/>
      <c r="OFV42" s="595"/>
      <c r="OFW42" s="595"/>
      <c r="OFX42" s="595"/>
      <c r="OFY42" s="595"/>
      <c r="OFZ42" s="595"/>
      <c r="OGA42" s="595"/>
      <c r="OGB42" s="595"/>
      <c r="OGC42" s="595"/>
      <c r="OGD42" s="595"/>
      <c r="OGE42" s="595"/>
      <c r="OGF42" s="595"/>
      <c r="OGG42" s="595"/>
      <c r="OGH42" s="595"/>
      <c r="OGI42" s="595"/>
      <c r="OGJ42" s="595"/>
      <c r="OGK42" s="595"/>
      <c r="OGL42" s="595"/>
      <c r="OGM42" s="595"/>
      <c r="OGN42" s="595"/>
      <c r="OGO42" s="595"/>
      <c r="OGP42" s="595"/>
      <c r="OGQ42" s="595"/>
      <c r="OGR42" s="595"/>
      <c r="OGS42" s="595"/>
      <c r="OGT42" s="595"/>
      <c r="OGU42" s="595"/>
      <c r="OGV42" s="595"/>
      <c r="OGW42" s="595"/>
      <c r="OGX42" s="595"/>
      <c r="OGY42" s="595"/>
      <c r="OGZ42" s="595"/>
      <c r="OHA42" s="595"/>
      <c r="OHB42" s="595"/>
      <c r="OHC42" s="595"/>
      <c r="OHD42" s="595"/>
      <c r="OHE42" s="595"/>
      <c r="OHF42" s="595"/>
      <c r="OHG42" s="595"/>
      <c r="OHH42" s="595"/>
      <c r="OHI42" s="595"/>
      <c r="OHJ42" s="595"/>
      <c r="OHK42" s="595"/>
      <c r="OHL42" s="595"/>
      <c r="OHM42" s="595"/>
      <c r="OHN42" s="595"/>
      <c r="OHO42" s="595"/>
      <c r="OHP42" s="595"/>
      <c r="OHQ42" s="595"/>
      <c r="OHR42" s="595"/>
      <c r="OHS42" s="595"/>
      <c r="OHT42" s="595"/>
      <c r="OHU42" s="595"/>
      <c r="OHV42" s="595"/>
      <c r="OHW42" s="595"/>
      <c r="OHX42" s="595"/>
      <c r="OHY42" s="595"/>
      <c r="OHZ42" s="595"/>
      <c r="OIA42" s="595"/>
      <c r="OIB42" s="595"/>
      <c r="OIC42" s="595"/>
      <c r="OID42" s="595"/>
      <c r="OIE42" s="595"/>
      <c r="OIF42" s="595"/>
      <c r="OIG42" s="595"/>
      <c r="OIH42" s="595"/>
      <c r="OII42" s="595"/>
      <c r="OIJ42" s="595"/>
      <c r="OIK42" s="595"/>
      <c r="OIL42" s="595"/>
      <c r="OIM42" s="595"/>
      <c r="OIN42" s="595"/>
      <c r="OIO42" s="595"/>
      <c r="OIP42" s="595"/>
      <c r="OIQ42" s="595"/>
      <c r="OIR42" s="595"/>
      <c r="OIS42" s="595"/>
      <c r="OIT42" s="595"/>
      <c r="OIU42" s="595"/>
      <c r="OIV42" s="595"/>
      <c r="OIW42" s="595"/>
      <c r="OIX42" s="595"/>
      <c r="OIY42" s="595"/>
      <c r="OIZ42" s="595"/>
      <c r="OJA42" s="595"/>
      <c r="OJB42" s="595"/>
      <c r="OJC42" s="595"/>
      <c r="OJD42" s="595"/>
      <c r="OJE42" s="595"/>
      <c r="OJF42" s="595"/>
      <c r="OJG42" s="595"/>
      <c r="OJH42" s="595"/>
      <c r="OJI42" s="595"/>
      <c r="OJJ42" s="595"/>
      <c r="OJK42" s="595"/>
      <c r="OJL42" s="595"/>
      <c r="OJM42" s="595"/>
      <c r="OJN42" s="595"/>
      <c r="OJO42" s="595"/>
      <c r="OJP42" s="595"/>
      <c r="OJQ42" s="595"/>
      <c r="OJR42" s="595"/>
      <c r="OJS42" s="595"/>
      <c r="OJT42" s="595"/>
      <c r="OJU42" s="595"/>
      <c r="OJV42" s="595"/>
      <c r="OJW42" s="595"/>
      <c r="OJX42" s="595"/>
      <c r="OJY42" s="595"/>
      <c r="OJZ42" s="595"/>
      <c r="OKA42" s="595"/>
      <c r="OKB42" s="595"/>
      <c r="OKC42" s="595"/>
      <c r="OKD42" s="595"/>
      <c r="OKE42" s="595"/>
      <c r="OKF42" s="595"/>
      <c r="OKG42" s="595"/>
      <c r="OKH42" s="595"/>
      <c r="OKI42" s="595"/>
      <c r="OKJ42" s="595"/>
      <c r="OKK42" s="595"/>
      <c r="OKL42" s="595"/>
      <c r="OKM42" s="595"/>
      <c r="OKN42" s="595"/>
      <c r="OKO42" s="595"/>
      <c r="OKP42" s="595"/>
      <c r="OKQ42" s="595"/>
      <c r="OKR42" s="595"/>
      <c r="OKS42" s="595"/>
      <c r="OKT42" s="595"/>
      <c r="OKU42" s="595"/>
      <c r="OKV42" s="595"/>
      <c r="OKW42" s="595"/>
      <c r="OKX42" s="595"/>
      <c r="OKY42" s="595"/>
      <c r="OKZ42" s="595"/>
      <c r="OLA42" s="595"/>
      <c r="OLB42" s="595"/>
      <c r="OLC42" s="595"/>
      <c r="OLD42" s="595"/>
      <c r="OLE42" s="595"/>
      <c r="OLF42" s="595"/>
      <c r="OLG42" s="595"/>
      <c r="OLH42" s="595"/>
      <c r="OLI42" s="595"/>
      <c r="OLJ42" s="595"/>
      <c r="OLK42" s="595"/>
      <c r="OLL42" s="595"/>
      <c r="OLM42" s="595"/>
      <c r="OLN42" s="595"/>
      <c r="OLO42" s="595"/>
      <c r="OLP42" s="595"/>
      <c r="OLQ42" s="595"/>
      <c r="OLR42" s="595"/>
      <c r="OLS42" s="595"/>
      <c r="OLT42" s="595"/>
      <c r="OLU42" s="595"/>
      <c r="OLV42" s="595"/>
      <c r="OLW42" s="595"/>
      <c r="OLX42" s="595"/>
      <c r="OLY42" s="595"/>
      <c r="OLZ42" s="595"/>
      <c r="OMA42" s="595"/>
      <c r="OMB42" s="595"/>
      <c r="OMC42" s="595"/>
      <c r="OMD42" s="595"/>
      <c r="OME42" s="595"/>
      <c r="OMF42" s="595"/>
      <c r="OMG42" s="595"/>
      <c r="OMH42" s="595"/>
      <c r="OMI42" s="595"/>
      <c r="OMJ42" s="595"/>
      <c r="OMK42" s="595"/>
      <c r="OML42" s="595"/>
      <c r="OMM42" s="595"/>
      <c r="OMN42" s="595"/>
      <c r="OMO42" s="595"/>
      <c r="OMP42" s="595"/>
      <c r="OMQ42" s="595"/>
      <c r="OMR42" s="595"/>
      <c r="OMS42" s="595"/>
      <c r="OMT42" s="595"/>
      <c r="OMU42" s="595"/>
      <c r="OMV42" s="595"/>
      <c r="OMW42" s="595"/>
      <c r="OMX42" s="595"/>
      <c r="OMY42" s="595"/>
      <c r="OMZ42" s="595"/>
      <c r="ONA42" s="595"/>
      <c r="ONB42" s="595"/>
      <c r="ONC42" s="595"/>
      <c r="OND42" s="595"/>
      <c r="ONE42" s="595"/>
      <c r="ONF42" s="595"/>
      <c r="ONG42" s="595"/>
      <c r="ONH42" s="595"/>
      <c r="ONI42" s="595"/>
      <c r="ONJ42" s="595"/>
      <c r="ONK42" s="595"/>
      <c r="ONL42" s="595"/>
      <c r="ONM42" s="595"/>
      <c r="ONN42" s="595"/>
      <c r="ONO42" s="595"/>
      <c r="ONP42" s="595"/>
      <c r="ONQ42" s="595"/>
      <c r="ONR42" s="595"/>
      <c r="ONS42" s="595"/>
      <c r="ONT42" s="595"/>
      <c r="ONU42" s="595"/>
      <c r="ONV42" s="595"/>
      <c r="ONW42" s="595"/>
      <c r="ONX42" s="595"/>
      <c r="ONY42" s="595"/>
      <c r="ONZ42" s="595"/>
      <c r="OOA42" s="595"/>
      <c r="OOB42" s="595"/>
      <c r="OOC42" s="595"/>
      <c r="OOD42" s="595"/>
      <c r="OOE42" s="595"/>
      <c r="OOF42" s="595"/>
      <c r="OOG42" s="595"/>
      <c r="OOH42" s="595"/>
      <c r="OOI42" s="595"/>
      <c r="OOJ42" s="595"/>
      <c r="OOK42" s="595"/>
      <c r="OOL42" s="595"/>
      <c r="OOM42" s="595"/>
      <c r="OON42" s="595"/>
      <c r="OOO42" s="595"/>
      <c r="OOP42" s="595"/>
      <c r="OOQ42" s="595"/>
      <c r="OOR42" s="595"/>
      <c r="OOS42" s="595"/>
      <c r="OOT42" s="595"/>
      <c r="OOU42" s="595"/>
      <c r="OOV42" s="595"/>
      <c r="OOW42" s="595"/>
      <c r="OOX42" s="595"/>
      <c r="OOY42" s="595"/>
      <c r="OOZ42" s="595"/>
      <c r="OPA42" s="595"/>
      <c r="OPB42" s="595"/>
      <c r="OPC42" s="595"/>
      <c r="OPD42" s="595"/>
      <c r="OPE42" s="595"/>
      <c r="OPF42" s="595"/>
      <c r="OPG42" s="595"/>
      <c r="OPH42" s="595"/>
      <c r="OPI42" s="595"/>
      <c r="OPJ42" s="595"/>
      <c r="OPK42" s="595"/>
      <c r="OPL42" s="595"/>
      <c r="OPM42" s="595"/>
      <c r="OPN42" s="595"/>
      <c r="OPO42" s="595"/>
      <c r="OPP42" s="595"/>
      <c r="OPQ42" s="595"/>
      <c r="OPR42" s="595"/>
      <c r="OPS42" s="595"/>
      <c r="OPT42" s="595"/>
      <c r="OPU42" s="595"/>
      <c r="OPV42" s="595"/>
      <c r="OPW42" s="595"/>
      <c r="OPX42" s="595"/>
      <c r="OPY42" s="595"/>
      <c r="OPZ42" s="595"/>
      <c r="OQA42" s="595"/>
      <c r="OQB42" s="595"/>
      <c r="OQC42" s="595"/>
      <c r="OQD42" s="595"/>
      <c r="OQE42" s="595"/>
      <c r="OQF42" s="595"/>
      <c r="OQG42" s="595"/>
      <c r="OQH42" s="595"/>
      <c r="OQI42" s="595"/>
      <c r="OQJ42" s="595"/>
      <c r="OQK42" s="595"/>
      <c r="OQL42" s="595"/>
      <c r="OQM42" s="595"/>
      <c r="OQN42" s="595"/>
      <c r="OQO42" s="595"/>
      <c r="OQP42" s="595"/>
      <c r="OQQ42" s="595"/>
      <c r="OQR42" s="595"/>
      <c r="OQS42" s="595"/>
      <c r="OQT42" s="595"/>
      <c r="OQU42" s="595"/>
      <c r="OQV42" s="595"/>
      <c r="OQW42" s="595"/>
      <c r="OQX42" s="595"/>
      <c r="OQY42" s="595"/>
      <c r="OQZ42" s="595"/>
      <c r="ORA42" s="595"/>
      <c r="ORB42" s="595"/>
      <c r="ORC42" s="595"/>
      <c r="ORD42" s="595"/>
      <c r="ORE42" s="595"/>
      <c r="ORF42" s="595"/>
      <c r="ORG42" s="595"/>
      <c r="ORH42" s="595"/>
      <c r="ORI42" s="595"/>
      <c r="ORJ42" s="595"/>
      <c r="ORK42" s="595"/>
      <c r="ORL42" s="595"/>
      <c r="ORM42" s="595"/>
      <c r="ORN42" s="595"/>
      <c r="ORO42" s="595"/>
      <c r="ORP42" s="595"/>
      <c r="ORQ42" s="595"/>
      <c r="ORR42" s="595"/>
      <c r="ORS42" s="595"/>
      <c r="ORT42" s="595"/>
      <c r="ORU42" s="595"/>
      <c r="ORV42" s="595"/>
      <c r="ORW42" s="595"/>
      <c r="ORX42" s="595"/>
      <c r="ORY42" s="595"/>
      <c r="ORZ42" s="595"/>
      <c r="OSA42" s="595"/>
      <c r="OSB42" s="595"/>
      <c r="OSC42" s="595"/>
      <c r="OSD42" s="595"/>
      <c r="OSE42" s="595"/>
      <c r="OSF42" s="595"/>
      <c r="OSG42" s="595"/>
      <c r="OSH42" s="595"/>
      <c r="OSI42" s="595"/>
      <c r="OSJ42" s="595"/>
      <c r="OSK42" s="595"/>
      <c r="OSL42" s="595"/>
      <c r="OSM42" s="595"/>
      <c r="OSN42" s="595"/>
      <c r="OSO42" s="595"/>
      <c r="OSP42" s="595"/>
      <c r="OSQ42" s="595"/>
      <c r="OSR42" s="595"/>
      <c r="OSS42" s="595"/>
      <c r="OST42" s="595"/>
      <c r="OSU42" s="595"/>
      <c r="OSV42" s="595"/>
      <c r="OSW42" s="595"/>
      <c r="OSX42" s="595"/>
      <c r="OSY42" s="595"/>
      <c r="OSZ42" s="595"/>
      <c r="OTA42" s="595"/>
      <c r="OTB42" s="595"/>
      <c r="OTC42" s="595"/>
      <c r="OTD42" s="595"/>
      <c r="OTE42" s="595"/>
      <c r="OTF42" s="595"/>
      <c r="OTG42" s="595"/>
      <c r="OTH42" s="595"/>
      <c r="OTI42" s="595"/>
      <c r="OTJ42" s="595"/>
      <c r="OTK42" s="595"/>
      <c r="OTL42" s="595"/>
      <c r="OTM42" s="595"/>
      <c r="OTN42" s="595"/>
      <c r="OTO42" s="595"/>
      <c r="OTP42" s="595"/>
      <c r="OTQ42" s="595"/>
      <c r="OTR42" s="595"/>
      <c r="OTS42" s="595"/>
      <c r="OTT42" s="595"/>
      <c r="OTU42" s="595"/>
      <c r="OTV42" s="595"/>
      <c r="OTW42" s="595"/>
      <c r="OTX42" s="595"/>
      <c r="OTY42" s="595"/>
      <c r="OTZ42" s="595"/>
      <c r="OUA42" s="595"/>
      <c r="OUB42" s="595"/>
      <c r="OUC42" s="595"/>
      <c r="OUD42" s="595"/>
      <c r="OUE42" s="595"/>
      <c r="OUF42" s="595"/>
      <c r="OUG42" s="595"/>
      <c r="OUH42" s="595"/>
      <c r="OUI42" s="595"/>
      <c r="OUJ42" s="595"/>
      <c r="OUK42" s="595"/>
      <c r="OUL42" s="595"/>
      <c r="OUM42" s="595"/>
      <c r="OUN42" s="595"/>
      <c r="OUO42" s="595"/>
      <c r="OUP42" s="595"/>
      <c r="OUQ42" s="595"/>
      <c r="OUR42" s="595"/>
      <c r="OUS42" s="595"/>
      <c r="OUT42" s="595"/>
      <c r="OUU42" s="595"/>
      <c r="OUV42" s="595"/>
      <c r="OUW42" s="595"/>
      <c r="OUX42" s="595"/>
      <c r="OUY42" s="595"/>
      <c r="OUZ42" s="595"/>
      <c r="OVA42" s="595"/>
      <c r="OVB42" s="595"/>
      <c r="OVC42" s="595"/>
      <c r="OVD42" s="595"/>
      <c r="OVE42" s="595"/>
      <c r="OVF42" s="595"/>
      <c r="OVG42" s="595"/>
      <c r="OVH42" s="595"/>
      <c r="OVI42" s="595"/>
      <c r="OVJ42" s="595"/>
      <c r="OVK42" s="595"/>
      <c r="OVL42" s="595"/>
      <c r="OVM42" s="595"/>
      <c r="OVN42" s="595"/>
      <c r="OVO42" s="595"/>
      <c r="OVP42" s="595"/>
      <c r="OVQ42" s="595"/>
      <c r="OVR42" s="595"/>
      <c r="OVS42" s="595"/>
      <c r="OVT42" s="595"/>
      <c r="OVU42" s="595"/>
      <c r="OVV42" s="595"/>
      <c r="OVW42" s="595"/>
      <c r="OVX42" s="595"/>
      <c r="OVY42" s="595"/>
      <c r="OVZ42" s="595"/>
      <c r="OWA42" s="595"/>
      <c r="OWB42" s="595"/>
      <c r="OWC42" s="595"/>
      <c r="OWD42" s="595"/>
      <c r="OWE42" s="595"/>
      <c r="OWF42" s="595"/>
      <c r="OWG42" s="595"/>
      <c r="OWH42" s="595"/>
      <c r="OWI42" s="595"/>
      <c r="OWJ42" s="595"/>
      <c r="OWK42" s="595"/>
      <c r="OWL42" s="595"/>
      <c r="OWM42" s="595"/>
      <c r="OWN42" s="595"/>
      <c r="OWO42" s="595"/>
      <c r="OWP42" s="595"/>
      <c r="OWQ42" s="595"/>
      <c r="OWR42" s="595"/>
      <c r="OWS42" s="595"/>
      <c r="OWT42" s="595"/>
      <c r="OWU42" s="595"/>
      <c r="OWV42" s="595"/>
      <c r="OWW42" s="595"/>
      <c r="OWX42" s="595"/>
      <c r="OWY42" s="595"/>
      <c r="OWZ42" s="595"/>
      <c r="OXA42" s="595"/>
      <c r="OXB42" s="595"/>
      <c r="OXC42" s="595"/>
      <c r="OXD42" s="595"/>
      <c r="OXE42" s="595"/>
      <c r="OXF42" s="595"/>
      <c r="OXG42" s="595"/>
      <c r="OXH42" s="595"/>
      <c r="OXI42" s="595"/>
      <c r="OXJ42" s="595"/>
      <c r="OXK42" s="595"/>
      <c r="OXL42" s="595"/>
      <c r="OXM42" s="595"/>
      <c r="OXN42" s="595"/>
      <c r="OXO42" s="595"/>
      <c r="OXP42" s="595"/>
      <c r="OXQ42" s="595"/>
      <c r="OXR42" s="595"/>
      <c r="OXS42" s="595"/>
      <c r="OXT42" s="595"/>
      <c r="OXU42" s="595"/>
      <c r="OXV42" s="595"/>
      <c r="OXW42" s="595"/>
      <c r="OXX42" s="595"/>
      <c r="OXY42" s="595"/>
      <c r="OXZ42" s="595"/>
      <c r="OYA42" s="595"/>
      <c r="OYB42" s="595"/>
      <c r="OYC42" s="595"/>
      <c r="OYD42" s="595"/>
      <c r="OYE42" s="595"/>
      <c r="OYF42" s="595"/>
      <c r="OYG42" s="595"/>
      <c r="OYH42" s="595"/>
      <c r="OYI42" s="595"/>
      <c r="OYJ42" s="595"/>
      <c r="OYK42" s="595"/>
      <c r="OYL42" s="595"/>
      <c r="OYM42" s="595"/>
      <c r="OYN42" s="595"/>
      <c r="OYO42" s="595"/>
      <c r="OYP42" s="595"/>
      <c r="OYQ42" s="595"/>
      <c r="OYR42" s="595"/>
      <c r="OYS42" s="595"/>
      <c r="OYT42" s="595"/>
      <c r="OYU42" s="595"/>
      <c r="OYV42" s="595"/>
      <c r="OYW42" s="595"/>
      <c r="OYX42" s="595"/>
      <c r="OYY42" s="595"/>
      <c r="OYZ42" s="595"/>
      <c r="OZA42" s="595"/>
      <c r="OZB42" s="595"/>
      <c r="OZC42" s="595"/>
      <c r="OZD42" s="595"/>
      <c r="OZE42" s="595"/>
      <c r="OZF42" s="595"/>
      <c r="OZG42" s="595"/>
      <c r="OZH42" s="595"/>
      <c r="OZI42" s="595"/>
      <c r="OZJ42" s="595"/>
      <c r="OZK42" s="595"/>
      <c r="OZL42" s="595"/>
      <c r="OZM42" s="595"/>
      <c r="OZN42" s="595"/>
      <c r="OZO42" s="595"/>
      <c r="OZP42" s="595"/>
      <c r="OZQ42" s="595"/>
      <c r="OZR42" s="595"/>
      <c r="OZS42" s="595"/>
      <c r="OZT42" s="595"/>
      <c r="OZU42" s="595"/>
      <c r="OZV42" s="595"/>
      <c r="OZW42" s="595"/>
      <c r="OZX42" s="595"/>
      <c r="OZY42" s="595"/>
      <c r="OZZ42" s="595"/>
      <c r="PAA42" s="595"/>
      <c r="PAB42" s="595"/>
      <c r="PAC42" s="595"/>
      <c r="PAD42" s="595"/>
      <c r="PAE42" s="595"/>
      <c r="PAF42" s="595"/>
      <c r="PAG42" s="595"/>
      <c r="PAH42" s="595"/>
      <c r="PAI42" s="595"/>
      <c r="PAJ42" s="595"/>
      <c r="PAK42" s="595"/>
      <c r="PAL42" s="595"/>
      <c r="PAM42" s="595"/>
      <c r="PAN42" s="595"/>
      <c r="PAO42" s="595"/>
      <c r="PAP42" s="595"/>
      <c r="PAQ42" s="595"/>
      <c r="PAR42" s="595"/>
      <c r="PAS42" s="595"/>
      <c r="PAT42" s="595"/>
      <c r="PAU42" s="595"/>
      <c r="PAV42" s="595"/>
      <c r="PAW42" s="595"/>
      <c r="PAX42" s="595"/>
      <c r="PAY42" s="595"/>
      <c r="PAZ42" s="595"/>
      <c r="PBA42" s="595"/>
      <c r="PBB42" s="595"/>
      <c r="PBC42" s="595"/>
      <c r="PBD42" s="595"/>
      <c r="PBE42" s="595"/>
      <c r="PBF42" s="595"/>
      <c r="PBG42" s="595"/>
      <c r="PBH42" s="595"/>
      <c r="PBI42" s="595"/>
      <c r="PBJ42" s="595"/>
      <c r="PBK42" s="595"/>
      <c r="PBL42" s="595"/>
      <c r="PBM42" s="595"/>
      <c r="PBN42" s="595"/>
      <c r="PBO42" s="595"/>
      <c r="PBP42" s="595"/>
      <c r="PBQ42" s="595"/>
      <c r="PBR42" s="595"/>
      <c r="PBS42" s="595"/>
      <c r="PBT42" s="595"/>
      <c r="PBU42" s="595"/>
      <c r="PBV42" s="595"/>
      <c r="PBW42" s="595"/>
      <c r="PBX42" s="595"/>
      <c r="PBY42" s="595"/>
      <c r="PBZ42" s="595"/>
      <c r="PCA42" s="595"/>
      <c r="PCB42" s="595"/>
      <c r="PCC42" s="595"/>
      <c r="PCD42" s="595"/>
      <c r="PCE42" s="595"/>
      <c r="PCF42" s="595"/>
      <c r="PCG42" s="595"/>
      <c r="PCH42" s="595"/>
      <c r="PCI42" s="595"/>
      <c r="PCJ42" s="595"/>
      <c r="PCK42" s="595"/>
      <c r="PCL42" s="595"/>
      <c r="PCM42" s="595"/>
      <c r="PCN42" s="595"/>
      <c r="PCO42" s="595"/>
      <c r="PCP42" s="595"/>
      <c r="PCQ42" s="595"/>
      <c r="PCR42" s="595"/>
      <c r="PCS42" s="595"/>
      <c r="PCT42" s="595"/>
      <c r="PCU42" s="595"/>
      <c r="PCV42" s="595"/>
      <c r="PCW42" s="595"/>
      <c r="PCX42" s="595"/>
      <c r="PCY42" s="595"/>
      <c r="PCZ42" s="595"/>
      <c r="PDA42" s="595"/>
      <c r="PDB42" s="595"/>
      <c r="PDC42" s="595"/>
      <c r="PDD42" s="595"/>
      <c r="PDE42" s="595"/>
      <c r="PDF42" s="595"/>
      <c r="PDG42" s="595"/>
      <c r="PDH42" s="595"/>
      <c r="PDI42" s="595"/>
      <c r="PDJ42" s="595"/>
      <c r="PDK42" s="595"/>
      <c r="PDL42" s="595"/>
      <c r="PDM42" s="595"/>
      <c r="PDN42" s="595"/>
      <c r="PDO42" s="595"/>
      <c r="PDP42" s="595"/>
      <c r="PDQ42" s="595"/>
      <c r="PDR42" s="595"/>
      <c r="PDS42" s="595"/>
      <c r="PDT42" s="595"/>
      <c r="PDU42" s="595"/>
      <c r="PDV42" s="595"/>
      <c r="PDW42" s="595"/>
      <c r="PDX42" s="595"/>
      <c r="PDY42" s="595"/>
      <c r="PDZ42" s="595"/>
      <c r="PEA42" s="595"/>
      <c r="PEB42" s="595"/>
      <c r="PEC42" s="595"/>
      <c r="PED42" s="595"/>
      <c r="PEE42" s="595"/>
      <c r="PEF42" s="595"/>
      <c r="PEG42" s="595"/>
      <c r="PEH42" s="595"/>
      <c r="PEI42" s="595"/>
      <c r="PEJ42" s="595"/>
      <c r="PEK42" s="595"/>
      <c r="PEL42" s="595"/>
      <c r="PEM42" s="595"/>
      <c r="PEN42" s="595"/>
      <c r="PEO42" s="595"/>
      <c r="PEP42" s="595"/>
      <c r="PEQ42" s="595"/>
      <c r="PER42" s="595"/>
      <c r="PES42" s="595"/>
      <c r="PET42" s="595"/>
      <c r="PEU42" s="595"/>
      <c r="PEV42" s="595"/>
      <c r="PEW42" s="595"/>
      <c r="PEX42" s="595"/>
      <c r="PEY42" s="595"/>
      <c r="PEZ42" s="595"/>
      <c r="PFA42" s="595"/>
      <c r="PFB42" s="595"/>
      <c r="PFC42" s="595"/>
      <c r="PFD42" s="595"/>
      <c r="PFE42" s="595"/>
      <c r="PFF42" s="595"/>
      <c r="PFG42" s="595"/>
      <c r="PFH42" s="595"/>
      <c r="PFI42" s="595"/>
      <c r="PFJ42" s="595"/>
      <c r="PFK42" s="595"/>
      <c r="PFL42" s="595"/>
      <c r="PFM42" s="595"/>
      <c r="PFN42" s="595"/>
      <c r="PFO42" s="595"/>
      <c r="PFP42" s="595"/>
      <c r="PFQ42" s="595"/>
      <c r="PFR42" s="595"/>
      <c r="PFS42" s="595"/>
      <c r="PFT42" s="595"/>
      <c r="PFU42" s="595"/>
      <c r="PFV42" s="595"/>
      <c r="PFW42" s="595"/>
      <c r="PFX42" s="595"/>
      <c r="PFY42" s="595"/>
      <c r="PFZ42" s="595"/>
      <c r="PGA42" s="595"/>
      <c r="PGB42" s="595"/>
      <c r="PGC42" s="595"/>
      <c r="PGD42" s="595"/>
      <c r="PGE42" s="595"/>
      <c r="PGF42" s="595"/>
      <c r="PGG42" s="595"/>
      <c r="PGH42" s="595"/>
      <c r="PGI42" s="595"/>
      <c r="PGJ42" s="595"/>
      <c r="PGK42" s="595"/>
      <c r="PGL42" s="595"/>
      <c r="PGM42" s="595"/>
      <c r="PGN42" s="595"/>
      <c r="PGO42" s="595"/>
      <c r="PGP42" s="595"/>
      <c r="PGQ42" s="595"/>
      <c r="PGR42" s="595"/>
      <c r="PGS42" s="595"/>
      <c r="PGT42" s="595"/>
      <c r="PGU42" s="595"/>
      <c r="PGV42" s="595"/>
      <c r="PGW42" s="595"/>
      <c r="PGX42" s="595"/>
      <c r="PGY42" s="595"/>
      <c r="PGZ42" s="595"/>
      <c r="PHA42" s="595"/>
      <c r="PHB42" s="595"/>
      <c r="PHC42" s="595"/>
      <c r="PHD42" s="595"/>
      <c r="PHE42" s="595"/>
      <c r="PHF42" s="595"/>
      <c r="PHG42" s="595"/>
      <c r="PHH42" s="595"/>
      <c r="PHI42" s="595"/>
      <c r="PHJ42" s="595"/>
      <c r="PHK42" s="595"/>
      <c r="PHL42" s="595"/>
      <c r="PHM42" s="595"/>
      <c r="PHN42" s="595"/>
      <c r="PHO42" s="595"/>
      <c r="PHP42" s="595"/>
      <c r="PHQ42" s="595"/>
      <c r="PHR42" s="595"/>
      <c r="PHS42" s="595"/>
      <c r="PHT42" s="595"/>
      <c r="PHU42" s="595"/>
      <c r="PHV42" s="595"/>
      <c r="PHW42" s="595"/>
      <c r="PHX42" s="595"/>
      <c r="PHY42" s="595"/>
      <c r="PHZ42" s="595"/>
      <c r="PIA42" s="595"/>
      <c r="PIB42" s="595"/>
      <c r="PIC42" s="595"/>
      <c r="PID42" s="595"/>
      <c r="PIE42" s="595"/>
      <c r="PIF42" s="595"/>
      <c r="PIG42" s="595"/>
      <c r="PIH42" s="595"/>
      <c r="PII42" s="595"/>
      <c r="PIJ42" s="595"/>
      <c r="PIK42" s="595"/>
      <c r="PIL42" s="595"/>
      <c r="PIM42" s="595"/>
      <c r="PIN42" s="595"/>
      <c r="PIO42" s="595"/>
      <c r="PIP42" s="595"/>
      <c r="PIQ42" s="595"/>
      <c r="PIR42" s="595"/>
      <c r="PIS42" s="595"/>
      <c r="PIT42" s="595"/>
      <c r="PIU42" s="595"/>
      <c r="PIV42" s="595"/>
      <c r="PIW42" s="595"/>
      <c r="PIX42" s="595"/>
      <c r="PIY42" s="595"/>
      <c r="PIZ42" s="595"/>
      <c r="PJA42" s="595"/>
      <c r="PJB42" s="595"/>
      <c r="PJC42" s="595"/>
      <c r="PJD42" s="595"/>
      <c r="PJE42" s="595"/>
      <c r="PJF42" s="595"/>
      <c r="PJG42" s="595"/>
      <c r="PJH42" s="595"/>
      <c r="PJI42" s="595"/>
      <c r="PJJ42" s="595"/>
      <c r="PJK42" s="595"/>
      <c r="PJL42" s="595"/>
      <c r="PJM42" s="595"/>
      <c r="PJN42" s="595"/>
      <c r="PJO42" s="595"/>
      <c r="PJP42" s="595"/>
      <c r="PJQ42" s="595"/>
      <c r="PJR42" s="595"/>
      <c r="PJS42" s="595"/>
      <c r="PJT42" s="595"/>
      <c r="PJU42" s="595"/>
      <c r="PJV42" s="595"/>
      <c r="PJW42" s="595"/>
      <c r="PJX42" s="595"/>
      <c r="PJY42" s="595"/>
      <c r="PJZ42" s="595"/>
      <c r="PKA42" s="595"/>
      <c r="PKB42" s="595"/>
      <c r="PKC42" s="595"/>
      <c r="PKD42" s="595"/>
      <c r="PKE42" s="595"/>
      <c r="PKF42" s="595"/>
      <c r="PKG42" s="595"/>
      <c r="PKH42" s="595"/>
      <c r="PKI42" s="595"/>
      <c r="PKJ42" s="595"/>
      <c r="PKK42" s="595"/>
      <c r="PKL42" s="595"/>
      <c r="PKM42" s="595"/>
      <c r="PKN42" s="595"/>
      <c r="PKO42" s="595"/>
      <c r="PKP42" s="595"/>
      <c r="PKQ42" s="595"/>
      <c r="PKR42" s="595"/>
      <c r="PKS42" s="595"/>
      <c r="PKT42" s="595"/>
      <c r="PKU42" s="595"/>
      <c r="PKV42" s="595"/>
      <c r="PKW42" s="595"/>
      <c r="PKX42" s="595"/>
      <c r="PKY42" s="595"/>
      <c r="PKZ42" s="595"/>
      <c r="PLA42" s="595"/>
      <c r="PLB42" s="595"/>
      <c r="PLC42" s="595"/>
      <c r="PLD42" s="595"/>
      <c r="PLE42" s="595"/>
      <c r="PLF42" s="595"/>
      <c r="PLG42" s="595"/>
      <c r="PLH42" s="595"/>
      <c r="PLI42" s="595"/>
      <c r="PLJ42" s="595"/>
      <c r="PLK42" s="595"/>
      <c r="PLL42" s="595"/>
      <c r="PLM42" s="595"/>
      <c r="PLN42" s="595"/>
      <c r="PLO42" s="595"/>
      <c r="PLP42" s="595"/>
      <c r="PLQ42" s="595"/>
      <c r="PLR42" s="595"/>
      <c r="PLS42" s="595"/>
      <c r="PLT42" s="595"/>
      <c r="PLU42" s="595"/>
      <c r="PLV42" s="595"/>
      <c r="PLW42" s="595"/>
      <c r="PLX42" s="595"/>
      <c r="PLY42" s="595"/>
      <c r="PLZ42" s="595"/>
      <c r="PMA42" s="595"/>
      <c r="PMB42" s="595"/>
      <c r="PMC42" s="595"/>
      <c r="PMD42" s="595"/>
      <c r="PME42" s="595"/>
      <c r="PMF42" s="595"/>
      <c r="PMG42" s="595"/>
      <c r="PMH42" s="595"/>
      <c r="PMI42" s="595"/>
      <c r="PMJ42" s="595"/>
      <c r="PMK42" s="595"/>
      <c r="PML42" s="595"/>
      <c r="PMM42" s="595"/>
      <c r="PMN42" s="595"/>
      <c r="PMO42" s="595"/>
      <c r="PMP42" s="595"/>
      <c r="PMQ42" s="595"/>
      <c r="PMR42" s="595"/>
      <c r="PMS42" s="595"/>
      <c r="PMT42" s="595"/>
      <c r="PMU42" s="595"/>
      <c r="PMV42" s="595"/>
      <c r="PMW42" s="595"/>
      <c r="PMX42" s="595"/>
      <c r="PMY42" s="595"/>
      <c r="PMZ42" s="595"/>
      <c r="PNA42" s="595"/>
      <c r="PNB42" s="595"/>
      <c r="PNC42" s="595"/>
      <c r="PND42" s="595"/>
      <c r="PNE42" s="595"/>
      <c r="PNF42" s="595"/>
      <c r="PNG42" s="595"/>
      <c r="PNH42" s="595"/>
      <c r="PNI42" s="595"/>
      <c r="PNJ42" s="595"/>
      <c r="PNK42" s="595"/>
      <c r="PNL42" s="595"/>
      <c r="PNM42" s="595"/>
      <c r="PNN42" s="595"/>
      <c r="PNO42" s="595"/>
      <c r="PNP42" s="595"/>
      <c r="PNQ42" s="595"/>
      <c r="PNR42" s="595"/>
      <c r="PNS42" s="595"/>
      <c r="PNT42" s="595"/>
      <c r="PNU42" s="595"/>
      <c r="PNV42" s="595"/>
      <c r="PNW42" s="595"/>
      <c r="PNX42" s="595"/>
      <c r="PNY42" s="595"/>
      <c r="PNZ42" s="595"/>
      <c r="POA42" s="595"/>
      <c r="POB42" s="595"/>
      <c r="POC42" s="595"/>
      <c r="POD42" s="595"/>
      <c r="POE42" s="595"/>
      <c r="POF42" s="595"/>
      <c r="POG42" s="595"/>
      <c r="POH42" s="595"/>
      <c r="POI42" s="595"/>
      <c r="POJ42" s="595"/>
      <c r="POK42" s="595"/>
      <c r="POL42" s="595"/>
      <c r="POM42" s="595"/>
      <c r="PON42" s="595"/>
      <c r="POO42" s="595"/>
      <c r="POP42" s="595"/>
      <c r="POQ42" s="595"/>
      <c r="POR42" s="595"/>
      <c r="POS42" s="595"/>
      <c r="POT42" s="595"/>
      <c r="POU42" s="595"/>
      <c r="POV42" s="595"/>
      <c r="POW42" s="595"/>
      <c r="POX42" s="595"/>
      <c r="POY42" s="595"/>
      <c r="POZ42" s="595"/>
      <c r="PPA42" s="595"/>
      <c r="PPB42" s="595"/>
      <c r="PPC42" s="595"/>
      <c r="PPD42" s="595"/>
      <c r="PPE42" s="595"/>
      <c r="PPF42" s="595"/>
      <c r="PPG42" s="595"/>
      <c r="PPH42" s="595"/>
      <c r="PPI42" s="595"/>
      <c r="PPJ42" s="595"/>
      <c r="PPK42" s="595"/>
      <c r="PPL42" s="595"/>
      <c r="PPM42" s="595"/>
      <c r="PPN42" s="595"/>
      <c r="PPO42" s="595"/>
      <c r="PPP42" s="595"/>
      <c r="PPQ42" s="595"/>
      <c r="PPR42" s="595"/>
      <c r="PPS42" s="595"/>
      <c r="PPT42" s="595"/>
      <c r="PPU42" s="595"/>
      <c r="PPV42" s="595"/>
      <c r="PPW42" s="595"/>
      <c r="PPX42" s="595"/>
      <c r="PPY42" s="595"/>
      <c r="PPZ42" s="595"/>
      <c r="PQA42" s="595"/>
      <c r="PQB42" s="595"/>
      <c r="PQC42" s="595"/>
      <c r="PQD42" s="595"/>
      <c r="PQE42" s="595"/>
      <c r="PQF42" s="595"/>
      <c r="PQG42" s="595"/>
      <c r="PQH42" s="595"/>
      <c r="PQI42" s="595"/>
      <c r="PQJ42" s="595"/>
      <c r="PQK42" s="595"/>
      <c r="PQL42" s="595"/>
      <c r="PQM42" s="595"/>
      <c r="PQN42" s="595"/>
      <c r="PQO42" s="595"/>
      <c r="PQP42" s="595"/>
      <c r="PQQ42" s="595"/>
      <c r="PQR42" s="595"/>
      <c r="PQS42" s="595"/>
      <c r="PQT42" s="595"/>
      <c r="PQU42" s="595"/>
      <c r="PQV42" s="595"/>
      <c r="PQW42" s="595"/>
      <c r="PQX42" s="595"/>
      <c r="PQY42" s="595"/>
      <c r="PQZ42" s="595"/>
      <c r="PRA42" s="595"/>
      <c r="PRB42" s="595"/>
      <c r="PRC42" s="595"/>
      <c r="PRD42" s="595"/>
      <c r="PRE42" s="595"/>
      <c r="PRF42" s="595"/>
      <c r="PRG42" s="595"/>
      <c r="PRH42" s="595"/>
      <c r="PRI42" s="595"/>
      <c r="PRJ42" s="595"/>
      <c r="PRK42" s="595"/>
      <c r="PRL42" s="595"/>
      <c r="PRM42" s="595"/>
      <c r="PRN42" s="595"/>
      <c r="PRO42" s="595"/>
      <c r="PRP42" s="595"/>
      <c r="PRQ42" s="595"/>
      <c r="PRR42" s="595"/>
      <c r="PRS42" s="595"/>
      <c r="PRT42" s="595"/>
      <c r="PRU42" s="595"/>
      <c r="PRV42" s="595"/>
      <c r="PRW42" s="595"/>
      <c r="PRX42" s="595"/>
      <c r="PRY42" s="595"/>
      <c r="PRZ42" s="595"/>
      <c r="PSA42" s="595"/>
      <c r="PSB42" s="595"/>
      <c r="PSC42" s="595"/>
      <c r="PSD42" s="595"/>
      <c r="PSE42" s="595"/>
      <c r="PSF42" s="595"/>
      <c r="PSG42" s="595"/>
      <c r="PSH42" s="595"/>
      <c r="PSI42" s="595"/>
      <c r="PSJ42" s="595"/>
      <c r="PSK42" s="595"/>
      <c r="PSL42" s="595"/>
      <c r="PSM42" s="595"/>
      <c r="PSN42" s="595"/>
      <c r="PSO42" s="595"/>
      <c r="PSP42" s="595"/>
      <c r="PSQ42" s="595"/>
      <c r="PSR42" s="595"/>
      <c r="PSS42" s="595"/>
      <c r="PST42" s="595"/>
      <c r="PSU42" s="595"/>
      <c r="PSV42" s="595"/>
      <c r="PSW42" s="595"/>
      <c r="PSX42" s="595"/>
      <c r="PSY42" s="595"/>
      <c r="PSZ42" s="595"/>
      <c r="PTA42" s="595"/>
      <c r="PTB42" s="595"/>
      <c r="PTC42" s="595"/>
      <c r="PTD42" s="595"/>
      <c r="PTE42" s="595"/>
      <c r="PTF42" s="595"/>
      <c r="PTG42" s="595"/>
      <c r="PTH42" s="595"/>
      <c r="PTI42" s="595"/>
      <c r="PTJ42" s="595"/>
      <c r="PTK42" s="595"/>
      <c r="PTL42" s="595"/>
      <c r="PTM42" s="595"/>
      <c r="PTN42" s="595"/>
      <c r="PTO42" s="595"/>
      <c r="PTP42" s="595"/>
      <c r="PTQ42" s="595"/>
      <c r="PTR42" s="595"/>
      <c r="PTS42" s="595"/>
      <c r="PTT42" s="595"/>
      <c r="PTU42" s="595"/>
      <c r="PTV42" s="595"/>
      <c r="PTW42" s="595"/>
      <c r="PTX42" s="595"/>
      <c r="PTY42" s="595"/>
      <c r="PTZ42" s="595"/>
      <c r="PUA42" s="595"/>
      <c r="PUB42" s="595"/>
      <c r="PUC42" s="595"/>
      <c r="PUD42" s="595"/>
      <c r="PUE42" s="595"/>
      <c r="PUF42" s="595"/>
      <c r="PUG42" s="595"/>
      <c r="PUH42" s="595"/>
      <c r="PUI42" s="595"/>
      <c r="PUJ42" s="595"/>
      <c r="PUK42" s="595"/>
      <c r="PUL42" s="595"/>
      <c r="PUM42" s="595"/>
      <c r="PUN42" s="595"/>
      <c r="PUO42" s="595"/>
      <c r="PUP42" s="595"/>
      <c r="PUQ42" s="595"/>
      <c r="PUR42" s="595"/>
      <c r="PUS42" s="595"/>
      <c r="PUT42" s="595"/>
      <c r="PUU42" s="595"/>
      <c r="PUV42" s="595"/>
      <c r="PUW42" s="595"/>
      <c r="PUX42" s="595"/>
      <c r="PUY42" s="595"/>
      <c r="PUZ42" s="595"/>
      <c r="PVA42" s="595"/>
      <c r="PVB42" s="595"/>
      <c r="PVC42" s="595"/>
      <c r="PVD42" s="595"/>
      <c r="PVE42" s="595"/>
      <c r="PVF42" s="595"/>
      <c r="PVG42" s="595"/>
      <c r="PVH42" s="595"/>
      <c r="PVI42" s="595"/>
      <c r="PVJ42" s="595"/>
      <c r="PVK42" s="595"/>
      <c r="PVL42" s="595"/>
      <c r="PVM42" s="595"/>
      <c r="PVN42" s="595"/>
      <c r="PVO42" s="595"/>
      <c r="PVP42" s="595"/>
      <c r="PVQ42" s="595"/>
      <c r="PVR42" s="595"/>
      <c r="PVS42" s="595"/>
      <c r="PVT42" s="595"/>
      <c r="PVU42" s="595"/>
      <c r="PVV42" s="595"/>
      <c r="PVW42" s="595"/>
      <c r="PVX42" s="595"/>
      <c r="PVY42" s="595"/>
      <c r="PVZ42" s="595"/>
      <c r="PWA42" s="595"/>
      <c r="PWB42" s="595"/>
      <c r="PWC42" s="595"/>
      <c r="PWD42" s="595"/>
      <c r="PWE42" s="595"/>
      <c r="PWF42" s="595"/>
      <c r="PWG42" s="595"/>
      <c r="PWH42" s="595"/>
      <c r="PWI42" s="595"/>
      <c r="PWJ42" s="595"/>
      <c r="PWK42" s="595"/>
      <c r="PWL42" s="595"/>
      <c r="PWM42" s="595"/>
      <c r="PWN42" s="595"/>
      <c r="PWO42" s="595"/>
      <c r="PWP42" s="595"/>
      <c r="PWQ42" s="595"/>
      <c r="PWR42" s="595"/>
      <c r="PWS42" s="595"/>
      <c r="PWT42" s="595"/>
      <c r="PWU42" s="595"/>
      <c r="PWV42" s="595"/>
      <c r="PWW42" s="595"/>
      <c r="PWX42" s="595"/>
      <c r="PWY42" s="595"/>
      <c r="PWZ42" s="595"/>
      <c r="PXA42" s="595"/>
      <c r="PXB42" s="595"/>
      <c r="PXC42" s="595"/>
      <c r="PXD42" s="595"/>
      <c r="PXE42" s="595"/>
      <c r="PXF42" s="595"/>
      <c r="PXG42" s="595"/>
      <c r="PXH42" s="595"/>
      <c r="PXI42" s="595"/>
      <c r="PXJ42" s="595"/>
      <c r="PXK42" s="595"/>
      <c r="PXL42" s="595"/>
      <c r="PXM42" s="595"/>
      <c r="PXN42" s="595"/>
      <c r="PXO42" s="595"/>
      <c r="PXP42" s="595"/>
      <c r="PXQ42" s="595"/>
      <c r="PXR42" s="595"/>
      <c r="PXS42" s="595"/>
      <c r="PXT42" s="595"/>
      <c r="PXU42" s="595"/>
      <c r="PXV42" s="595"/>
      <c r="PXW42" s="595"/>
      <c r="PXX42" s="595"/>
      <c r="PXY42" s="595"/>
      <c r="PXZ42" s="595"/>
      <c r="PYA42" s="595"/>
      <c r="PYB42" s="595"/>
      <c r="PYC42" s="595"/>
      <c r="PYD42" s="595"/>
      <c r="PYE42" s="595"/>
      <c r="PYF42" s="595"/>
      <c r="PYG42" s="595"/>
      <c r="PYH42" s="595"/>
      <c r="PYI42" s="595"/>
      <c r="PYJ42" s="595"/>
      <c r="PYK42" s="595"/>
      <c r="PYL42" s="595"/>
      <c r="PYM42" s="595"/>
      <c r="PYN42" s="595"/>
      <c r="PYO42" s="595"/>
      <c r="PYP42" s="595"/>
      <c r="PYQ42" s="595"/>
      <c r="PYR42" s="595"/>
      <c r="PYS42" s="595"/>
      <c r="PYT42" s="595"/>
      <c r="PYU42" s="595"/>
      <c r="PYV42" s="595"/>
      <c r="PYW42" s="595"/>
      <c r="PYX42" s="595"/>
      <c r="PYY42" s="595"/>
      <c r="PYZ42" s="595"/>
      <c r="PZA42" s="595"/>
      <c r="PZB42" s="595"/>
      <c r="PZC42" s="595"/>
      <c r="PZD42" s="595"/>
      <c r="PZE42" s="595"/>
      <c r="PZF42" s="595"/>
      <c r="PZG42" s="595"/>
      <c r="PZH42" s="595"/>
      <c r="PZI42" s="595"/>
      <c r="PZJ42" s="595"/>
      <c r="PZK42" s="595"/>
      <c r="PZL42" s="595"/>
      <c r="PZM42" s="595"/>
      <c r="PZN42" s="595"/>
      <c r="PZO42" s="595"/>
      <c r="PZP42" s="595"/>
      <c r="PZQ42" s="595"/>
      <c r="PZR42" s="595"/>
      <c r="PZS42" s="595"/>
      <c r="PZT42" s="595"/>
      <c r="PZU42" s="595"/>
      <c r="PZV42" s="595"/>
      <c r="PZW42" s="595"/>
      <c r="PZX42" s="595"/>
      <c r="PZY42" s="595"/>
      <c r="PZZ42" s="595"/>
      <c r="QAA42" s="595"/>
      <c r="QAB42" s="595"/>
      <c r="QAC42" s="595"/>
      <c r="QAD42" s="595"/>
      <c r="QAE42" s="595"/>
      <c r="QAF42" s="595"/>
      <c r="QAG42" s="595"/>
      <c r="QAH42" s="595"/>
      <c r="QAI42" s="595"/>
      <c r="QAJ42" s="595"/>
      <c r="QAK42" s="595"/>
      <c r="QAL42" s="595"/>
      <c r="QAM42" s="595"/>
      <c r="QAN42" s="595"/>
      <c r="QAO42" s="595"/>
      <c r="QAP42" s="595"/>
      <c r="QAQ42" s="595"/>
      <c r="QAR42" s="595"/>
      <c r="QAS42" s="595"/>
      <c r="QAT42" s="595"/>
      <c r="QAU42" s="595"/>
      <c r="QAV42" s="595"/>
      <c r="QAW42" s="595"/>
      <c r="QAX42" s="595"/>
      <c r="QAY42" s="595"/>
      <c r="QAZ42" s="595"/>
      <c r="QBA42" s="595"/>
      <c r="QBB42" s="595"/>
      <c r="QBC42" s="595"/>
      <c r="QBD42" s="595"/>
      <c r="QBE42" s="595"/>
      <c r="QBF42" s="595"/>
      <c r="QBG42" s="595"/>
      <c r="QBH42" s="595"/>
      <c r="QBI42" s="595"/>
      <c r="QBJ42" s="595"/>
      <c r="QBK42" s="595"/>
      <c r="QBL42" s="595"/>
      <c r="QBM42" s="595"/>
      <c r="QBN42" s="595"/>
      <c r="QBO42" s="595"/>
      <c r="QBP42" s="595"/>
      <c r="QBQ42" s="595"/>
      <c r="QBR42" s="595"/>
      <c r="QBS42" s="595"/>
      <c r="QBT42" s="595"/>
      <c r="QBU42" s="595"/>
      <c r="QBV42" s="595"/>
      <c r="QBW42" s="595"/>
      <c r="QBX42" s="595"/>
      <c r="QBY42" s="595"/>
      <c r="QBZ42" s="595"/>
      <c r="QCA42" s="595"/>
      <c r="QCB42" s="595"/>
      <c r="QCC42" s="595"/>
      <c r="QCD42" s="595"/>
      <c r="QCE42" s="595"/>
      <c r="QCF42" s="595"/>
      <c r="QCG42" s="595"/>
      <c r="QCH42" s="595"/>
      <c r="QCI42" s="595"/>
      <c r="QCJ42" s="595"/>
      <c r="QCK42" s="595"/>
      <c r="QCL42" s="595"/>
      <c r="QCM42" s="595"/>
      <c r="QCN42" s="595"/>
      <c r="QCO42" s="595"/>
      <c r="QCP42" s="595"/>
      <c r="QCQ42" s="595"/>
      <c r="QCR42" s="595"/>
      <c r="QCS42" s="595"/>
      <c r="QCT42" s="595"/>
      <c r="QCU42" s="595"/>
      <c r="QCV42" s="595"/>
      <c r="QCW42" s="595"/>
      <c r="QCX42" s="595"/>
      <c r="QCY42" s="595"/>
      <c r="QCZ42" s="595"/>
      <c r="QDA42" s="595"/>
      <c r="QDB42" s="595"/>
      <c r="QDC42" s="595"/>
      <c r="QDD42" s="595"/>
      <c r="QDE42" s="595"/>
      <c r="QDF42" s="595"/>
      <c r="QDG42" s="595"/>
      <c r="QDH42" s="595"/>
      <c r="QDI42" s="595"/>
      <c r="QDJ42" s="595"/>
      <c r="QDK42" s="595"/>
      <c r="QDL42" s="595"/>
      <c r="QDM42" s="595"/>
      <c r="QDN42" s="595"/>
      <c r="QDO42" s="595"/>
      <c r="QDP42" s="595"/>
      <c r="QDQ42" s="595"/>
      <c r="QDR42" s="595"/>
      <c r="QDS42" s="595"/>
      <c r="QDT42" s="595"/>
      <c r="QDU42" s="595"/>
      <c r="QDV42" s="595"/>
      <c r="QDW42" s="595"/>
      <c r="QDX42" s="595"/>
      <c r="QDY42" s="595"/>
      <c r="QDZ42" s="595"/>
      <c r="QEA42" s="595"/>
      <c r="QEB42" s="595"/>
      <c r="QEC42" s="595"/>
      <c r="QED42" s="595"/>
      <c r="QEE42" s="595"/>
      <c r="QEF42" s="595"/>
      <c r="QEG42" s="595"/>
      <c r="QEH42" s="595"/>
      <c r="QEI42" s="595"/>
      <c r="QEJ42" s="595"/>
      <c r="QEK42" s="595"/>
      <c r="QEL42" s="595"/>
      <c r="QEM42" s="595"/>
      <c r="QEN42" s="595"/>
      <c r="QEO42" s="595"/>
      <c r="QEP42" s="595"/>
      <c r="QEQ42" s="595"/>
      <c r="QER42" s="595"/>
      <c r="QES42" s="595"/>
      <c r="QET42" s="595"/>
      <c r="QEU42" s="595"/>
      <c r="QEV42" s="595"/>
      <c r="QEW42" s="595"/>
      <c r="QEX42" s="595"/>
      <c r="QEY42" s="595"/>
      <c r="QEZ42" s="595"/>
      <c r="QFA42" s="595"/>
      <c r="QFB42" s="595"/>
      <c r="QFC42" s="595"/>
      <c r="QFD42" s="595"/>
      <c r="QFE42" s="595"/>
      <c r="QFF42" s="595"/>
      <c r="QFG42" s="595"/>
      <c r="QFH42" s="595"/>
      <c r="QFI42" s="595"/>
      <c r="QFJ42" s="595"/>
      <c r="QFK42" s="595"/>
      <c r="QFL42" s="595"/>
      <c r="QFM42" s="595"/>
      <c r="QFN42" s="595"/>
      <c r="QFO42" s="595"/>
      <c r="QFP42" s="595"/>
      <c r="QFQ42" s="595"/>
      <c r="QFR42" s="595"/>
      <c r="QFS42" s="595"/>
      <c r="QFT42" s="595"/>
      <c r="QFU42" s="595"/>
      <c r="QFV42" s="595"/>
      <c r="QFW42" s="595"/>
      <c r="QFX42" s="595"/>
      <c r="QFY42" s="595"/>
      <c r="QFZ42" s="595"/>
      <c r="QGA42" s="595"/>
      <c r="QGB42" s="595"/>
      <c r="QGC42" s="595"/>
      <c r="QGD42" s="595"/>
      <c r="QGE42" s="595"/>
      <c r="QGF42" s="595"/>
      <c r="QGG42" s="595"/>
      <c r="QGH42" s="595"/>
      <c r="QGI42" s="595"/>
      <c r="QGJ42" s="595"/>
      <c r="QGK42" s="595"/>
      <c r="QGL42" s="595"/>
      <c r="QGM42" s="595"/>
      <c r="QGN42" s="595"/>
      <c r="QGO42" s="595"/>
      <c r="QGP42" s="595"/>
      <c r="QGQ42" s="595"/>
      <c r="QGR42" s="595"/>
      <c r="QGS42" s="595"/>
      <c r="QGT42" s="595"/>
      <c r="QGU42" s="595"/>
      <c r="QGV42" s="595"/>
      <c r="QGW42" s="595"/>
      <c r="QGX42" s="595"/>
      <c r="QGY42" s="595"/>
      <c r="QGZ42" s="595"/>
      <c r="QHA42" s="595"/>
      <c r="QHB42" s="595"/>
      <c r="QHC42" s="595"/>
      <c r="QHD42" s="595"/>
      <c r="QHE42" s="595"/>
      <c r="QHF42" s="595"/>
      <c r="QHG42" s="595"/>
      <c r="QHH42" s="595"/>
      <c r="QHI42" s="595"/>
      <c r="QHJ42" s="595"/>
      <c r="QHK42" s="595"/>
      <c r="QHL42" s="595"/>
      <c r="QHM42" s="595"/>
      <c r="QHN42" s="595"/>
      <c r="QHO42" s="595"/>
      <c r="QHP42" s="595"/>
      <c r="QHQ42" s="595"/>
      <c r="QHR42" s="595"/>
      <c r="QHS42" s="595"/>
      <c r="QHT42" s="595"/>
      <c r="QHU42" s="595"/>
      <c r="QHV42" s="595"/>
      <c r="QHW42" s="595"/>
      <c r="QHX42" s="595"/>
      <c r="QHY42" s="595"/>
      <c r="QHZ42" s="595"/>
      <c r="QIA42" s="595"/>
      <c r="QIB42" s="595"/>
      <c r="QIC42" s="595"/>
      <c r="QID42" s="595"/>
      <c r="QIE42" s="595"/>
      <c r="QIF42" s="595"/>
      <c r="QIG42" s="595"/>
      <c r="QIH42" s="595"/>
      <c r="QII42" s="595"/>
      <c r="QIJ42" s="595"/>
      <c r="QIK42" s="595"/>
      <c r="QIL42" s="595"/>
      <c r="QIM42" s="595"/>
      <c r="QIN42" s="595"/>
      <c r="QIO42" s="595"/>
      <c r="QIP42" s="595"/>
      <c r="QIQ42" s="595"/>
      <c r="QIR42" s="595"/>
      <c r="QIS42" s="595"/>
      <c r="QIT42" s="595"/>
      <c r="QIU42" s="595"/>
      <c r="QIV42" s="595"/>
      <c r="QIW42" s="595"/>
      <c r="QIX42" s="595"/>
      <c r="QIY42" s="595"/>
      <c r="QIZ42" s="595"/>
      <c r="QJA42" s="595"/>
      <c r="QJB42" s="595"/>
      <c r="QJC42" s="595"/>
      <c r="QJD42" s="595"/>
      <c r="QJE42" s="595"/>
      <c r="QJF42" s="595"/>
      <c r="QJG42" s="595"/>
      <c r="QJH42" s="595"/>
      <c r="QJI42" s="595"/>
      <c r="QJJ42" s="595"/>
      <c r="QJK42" s="595"/>
      <c r="QJL42" s="595"/>
      <c r="QJM42" s="595"/>
      <c r="QJN42" s="595"/>
      <c r="QJO42" s="595"/>
      <c r="QJP42" s="595"/>
      <c r="QJQ42" s="595"/>
      <c r="QJR42" s="595"/>
      <c r="QJS42" s="595"/>
      <c r="QJT42" s="595"/>
      <c r="QJU42" s="595"/>
      <c r="QJV42" s="595"/>
      <c r="QJW42" s="595"/>
      <c r="QJX42" s="595"/>
      <c r="QJY42" s="595"/>
      <c r="QJZ42" s="595"/>
      <c r="QKA42" s="595"/>
      <c r="QKB42" s="595"/>
      <c r="QKC42" s="595"/>
      <c r="QKD42" s="595"/>
      <c r="QKE42" s="595"/>
      <c r="QKF42" s="595"/>
      <c r="QKG42" s="595"/>
      <c r="QKH42" s="595"/>
      <c r="QKI42" s="595"/>
      <c r="QKJ42" s="595"/>
      <c r="QKK42" s="595"/>
      <c r="QKL42" s="595"/>
      <c r="QKM42" s="595"/>
      <c r="QKN42" s="595"/>
      <c r="QKO42" s="595"/>
      <c r="QKP42" s="595"/>
      <c r="QKQ42" s="595"/>
      <c r="QKR42" s="595"/>
      <c r="QKS42" s="595"/>
      <c r="QKT42" s="595"/>
      <c r="QKU42" s="595"/>
      <c r="QKV42" s="595"/>
      <c r="QKW42" s="595"/>
      <c r="QKX42" s="595"/>
      <c r="QKY42" s="595"/>
      <c r="QKZ42" s="595"/>
      <c r="QLA42" s="595"/>
      <c r="QLB42" s="595"/>
      <c r="QLC42" s="595"/>
      <c r="QLD42" s="595"/>
      <c r="QLE42" s="595"/>
      <c r="QLF42" s="595"/>
      <c r="QLG42" s="595"/>
      <c r="QLH42" s="595"/>
      <c r="QLI42" s="595"/>
      <c r="QLJ42" s="595"/>
      <c r="QLK42" s="595"/>
      <c r="QLL42" s="595"/>
      <c r="QLM42" s="595"/>
      <c r="QLN42" s="595"/>
      <c r="QLO42" s="595"/>
      <c r="QLP42" s="595"/>
      <c r="QLQ42" s="595"/>
      <c r="QLR42" s="595"/>
      <c r="QLS42" s="595"/>
      <c r="QLT42" s="595"/>
      <c r="QLU42" s="595"/>
      <c r="QLV42" s="595"/>
      <c r="QLW42" s="595"/>
      <c r="QLX42" s="595"/>
      <c r="QLY42" s="595"/>
      <c r="QLZ42" s="595"/>
      <c r="QMA42" s="595"/>
      <c r="QMB42" s="595"/>
      <c r="QMC42" s="595"/>
      <c r="QMD42" s="595"/>
      <c r="QME42" s="595"/>
      <c r="QMF42" s="595"/>
      <c r="QMG42" s="595"/>
      <c r="QMH42" s="595"/>
      <c r="QMI42" s="595"/>
      <c r="QMJ42" s="595"/>
      <c r="QMK42" s="595"/>
      <c r="QML42" s="595"/>
      <c r="QMM42" s="595"/>
      <c r="QMN42" s="595"/>
      <c r="QMO42" s="595"/>
      <c r="QMP42" s="595"/>
      <c r="QMQ42" s="595"/>
      <c r="QMR42" s="595"/>
      <c r="QMS42" s="595"/>
      <c r="QMT42" s="595"/>
      <c r="QMU42" s="595"/>
      <c r="QMV42" s="595"/>
      <c r="QMW42" s="595"/>
      <c r="QMX42" s="595"/>
      <c r="QMY42" s="595"/>
      <c r="QMZ42" s="595"/>
      <c r="QNA42" s="595"/>
      <c r="QNB42" s="595"/>
      <c r="QNC42" s="595"/>
      <c r="QND42" s="595"/>
      <c r="QNE42" s="595"/>
      <c r="QNF42" s="595"/>
      <c r="QNG42" s="595"/>
      <c r="QNH42" s="595"/>
      <c r="QNI42" s="595"/>
      <c r="QNJ42" s="595"/>
      <c r="QNK42" s="595"/>
      <c r="QNL42" s="595"/>
      <c r="QNM42" s="595"/>
      <c r="QNN42" s="595"/>
      <c r="QNO42" s="595"/>
      <c r="QNP42" s="595"/>
      <c r="QNQ42" s="595"/>
      <c r="QNR42" s="595"/>
      <c r="QNS42" s="595"/>
      <c r="QNT42" s="595"/>
      <c r="QNU42" s="595"/>
      <c r="QNV42" s="595"/>
      <c r="QNW42" s="595"/>
      <c r="QNX42" s="595"/>
      <c r="QNY42" s="595"/>
      <c r="QNZ42" s="595"/>
      <c r="QOA42" s="595"/>
      <c r="QOB42" s="595"/>
      <c r="QOC42" s="595"/>
      <c r="QOD42" s="595"/>
      <c r="QOE42" s="595"/>
      <c r="QOF42" s="595"/>
      <c r="QOG42" s="595"/>
      <c r="QOH42" s="595"/>
      <c r="QOI42" s="595"/>
      <c r="QOJ42" s="595"/>
      <c r="QOK42" s="595"/>
      <c r="QOL42" s="595"/>
      <c r="QOM42" s="595"/>
      <c r="QON42" s="595"/>
      <c r="QOO42" s="595"/>
      <c r="QOP42" s="595"/>
      <c r="QOQ42" s="595"/>
      <c r="QOR42" s="595"/>
      <c r="QOS42" s="595"/>
      <c r="QOT42" s="595"/>
      <c r="QOU42" s="595"/>
      <c r="QOV42" s="595"/>
      <c r="QOW42" s="595"/>
      <c r="QOX42" s="595"/>
      <c r="QOY42" s="595"/>
      <c r="QOZ42" s="595"/>
      <c r="QPA42" s="595"/>
      <c r="QPB42" s="595"/>
      <c r="QPC42" s="595"/>
      <c r="QPD42" s="595"/>
      <c r="QPE42" s="595"/>
      <c r="QPF42" s="595"/>
      <c r="QPG42" s="595"/>
      <c r="QPH42" s="595"/>
      <c r="QPI42" s="595"/>
      <c r="QPJ42" s="595"/>
      <c r="QPK42" s="595"/>
      <c r="QPL42" s="595"/>
      <c r="QPM42" s="595"/>
      <c r="QPN42" s="595"/>
      <c r="QPO42" s="595"/>
      <c r="QPP42" s="595"/>
      <c r="QPQ42" s="595"/>
      <c r="QPR42" s="595"/>
      <c r="QPS42" s="595"/>
      <c r="QPT42" s="595"/>
      <c r="QPU42" s="595"/>
      <c r="QPV42" s="595"/>
      <c r="QPW42" s="595"/>
      <c r="QPX42" s="595"/>
      <c r="QPY42" s="595"/>
      <c r="QPZ42" s="595"/>
      <c r="QQA42" s="595"/>
      <c r="QQB42" s="595"/>
      <c r="QQC42" s="595"/>
      <c r="QQD42" s="595"/>
      <c r="QQE42" s="595"/>
      <c r="QQF42" s="595"/>
      <c r="QQG42" s="595"/>
      <c r="QQH42" s="595"/>
      <c r="QQI42" s="595"/>
      <c r="QQJ42" s="595"/>
      <c r="QQK42" s="595"/>
      <c r="QQL42" s="595"/>
      <c r="QQM42" s="595"/>
      <c r="QQN42" s="595"/>
      <c r="QQO42" s="595"/>
      <c r="QQP42" s="595"/>
      <c r="QQQ42" s="595"/>
      <c r="QQR42" s="595"/>
      <c r="QQS42" s="595"/>
      <c r="QQT42" s="595"/>
      <c r="QQU42" s="595"/>
      <c r="QQV42" s="595"/>
      <c r="QQW42" s="595"/>
      <c r="QQX42" s="595"/>
      <c r="QQY42" s="595"/>
      <c r="QQZ42" s="595"/>
      <c r="QRA42" s="595"/>
      <c r="QRB42" s="595"/>
      <c r="QRC42" s="595"/>
      <c r="QRD42" s="595"/>
      <c r="QRE42" s="595"/>
      <c r="QRF42" s="595"/>
      <c r="QRG42" s="595"/>
      <c r="QRH42" s="595"/>
      <c r="QRI42" s="595"/>
      <c r="QRJ42" s="595"/>
      <c r="QRK42" s="595"/>
      <c r="QRL42" s="595"/>
      <c r="QRM42" s="595"/>
      <c r="QRN42" s="595"/>
      <c r="QRO42" s="595"/>
      <c r="QRP42" s="595"/>
      <c r="QRQ42" s="595"/>
      <c r="QRR42" s="595"/>
      <c r="QRS42" s="595"/>
      <c r="QRT42" s="595"/>
      <c r="QRU42" s="595"/>
      <c r="QRV42" s="595"/>
      <c r="QRW42" s="595"/>
      <c r="QRX42" s="595"/>
      <c r="QRY42" s="595"/>
      <c r="QRZ42" s="595"/>
      <c r="QSA42" s="595"/>
      <c r="QSB42" s="595"/>
      <c r="QSC42" s="595"/>
      <c r="QSD42" s="595"/>
      <c r="QSE42" s="595"/>
      <c r="QSF42" s="595"/>
      <c r="QSG42" s="595"/>
      <c r="QSH42" s="595"/>
      <c r="QSI42" s="595"/>
      <c r="QSJ42" s="595"/>
      <c r="QSK42" s="595"/>
      <c r="QSL42" s="595"/>
      <c r="QSM42" s="595"/>
      <c r="QSN42" s="595"/>
      <c r="QSO42" s="595"/>
      <c r="QSP42" s="595"/>
      <c r="QSQ42" s="595"/>
      <c r="QSR42" s="595"/>
      <c r="QSS42" s="595"/>
      <c r="QST42" s="595"/>
      <c r="QSU42" s="595"/>
      <c r="QSV42" s="595"/>
      <c r="QSW42" s="595"/>
      <c r="QSX42" s="595"/>
      <c r="QSY42" s="595"/>
      <c r="QSZ42" s="595"/>
      <c r="QTA42" s="595"/>
      <c r="QTB42" s="595"/>
      <c r="QTC42" s="595"/>
      <c r="QTD42" s="595"/>
      <c r="QTE42" s="595"/>
      <c r="QTF42" s="595"/>
      <c r="QTG42" s="595"/>
      <c r="QTH42" s="595"/>
      <c r="QTI42" s="595"/>
      <c r="QTJ42" s="595"/>
      <c r="QTK42" s="595"/>
      <c r="QTL42" s="595"/>
      <c r="QTM42" s="595"/>
      <c r="QTN42" s="595"/>
      <c r="QTO42" s="595"/>
      <c r="QTP42" s="595"/>
      <c r="QTQ42" s="595"/>
      <c r="QTR42" s="595"/>
      <c r="QTS42" s="595"/>
      <c r="QTT42" s="595"/>
      <c r="QTU42" s="595"/>
      <c r="QTV42" s="595"/>
      <c r="QTW42" s="595"/>
      <c r="QTX42" s="595"/>
      <c r="QTY42" s="595"/>
      <c r="QTZ42" s="595"/>
      <c r="QUA42" s="595"/>
      <c r="QUB42" s="595"/>
      <c r="QUC42" s="595"/>
      <c r="QUD42" s="595"/>
      <c r="QUE42" s="595"/>
      <c r="QUF42" s="595"/>
      <c r="QUG42" s="595"/>
      <c r="QUH42" s="595"/>
      <c r="QUI42" s="595"/>
      <c r="QUJ42" s="595"/>
      <c r="QUK42" s="595"/>
      <c r="QUL42" s="595"/>
      <c r="QUM42" s="595"/>
      <c r="QUN42" s="595"/>
      <c r="QUO42" s="595"/>
      <c r="QUP42" s="595"/>
      <c r="QUQ42" s="595"/>
      <c r="QUR42" s="595"/>
      <c r="QUS42" s="595"/>
      <c r="QUT42" s="595"/>
      <c r="QUU42" s="595"/>
      <c r="QUV42" s="595"/>
      <c r="QUW42" s="595"/>
      <c r="QUX42" s="595"/>
      <c r="QUY42" s="595"/>
      <c r="QUZ42" s="595"/>
      <c r="QVA42" s="595"/>
      <c r="QVB42" s="595"/>
      <c r="QVC42" s="595"/>
      <c r="QVD42" s="595"/>
      <c r="QVE42" s="595"/>
      <c r="QVF42" s="595"/>
      <c r="QVG42" s="595"/>
      <c r="QVH42" s="595"/>
      <c r="QVI42" s="595"/>
      <c r="QVJ42" s="595"/>
      <c r="QVK42" s="595"/>
      <c r="QVL42" s="595"/>
      <c r="QVM42" s="595"/>
      <c r="QVN42" s="595"/>
      <c r="QVO42" s="595"/>
      <c r="QVP42" s="595"/>
      <c r="QVQ42" s="595"/>
      <c r="QVR42" s="595"/>
      <c r="QVS42" s="595"/>
      <c r="QVT42" s="595"/>
      <c r="QVU42" s="595"/>
      <c r="QVV42" s="595"/>
      <c r="QVW42" s="595"/>
      <c r="QVX42" s="595"/>
      <c r="QVY42" s="595"/>
      <c r="QVZ42" s="595"/>
      <c r="QWA42" s="595"/>
      <c r="QWB42" s="595"/>
      <c r="QWC42" s="595"/>
      <c r="QWD42" s="595"/>
      <c r="QWE42" s="595"/>
      <c r="QWF42" s="595"/>
      <c r="QWG42" s="595"/>
      <c r="QWH42" s="595"/>
      <c r="QWI42" s="595"/>
      <c r="QWJ42" s="595"/>
      <c r="QWK42" s="595"/>
      <c r="QWL42" s="595"/>
      <c r="QWM42" s="595"/>
      <c r="QWN42" s="595"/>
      <c r="QWO42" s="595"/>
      <c r="QWP42" s="595"/>
      <c r="QWQ42" s="595"/>
      <c r="QWR42" s="595"/>
      <c r="QWS42" s="595"/>
      <c r="QWT42" s="595"/>
      <c r="QWU42" s="595"/>
      <c r="QWV42" s="595"/>
      <c r="QWW42" s="595"/>
      <c r="QWX42" s="595"/>
      <c r="QWY42" s="595"/>
      <c r="QWZ42" s="595"/>
      <c r="QXA42" s="595"/>
      <c r="QXB42" s="595"/>
      <c r="QXC42" s="595"/>
      <c r="QXD42" s="595"/>
      <c r="QXE42" s="595"/>
      <c r="QXF42" s="595"/>
      <c r="QXG42" s="595"/>
      <c r="QXH42" s="595"/>
      <c r="QXI42" s="595"/>
      <c r="QXJ42" s="595"/>
      <c r="QXK42" s="595"/>
      <c r="QXL42" s="595"/>
      <c r="QXM42" s="595"/>
      <c r="QXN42" s="595"/>
      <c r="QXO42" s="595"/>
      <c r="QXP42" s="595"/>
      <c r="QXQ42" s="595"/>
      <c r="QXR42" s="595"/>
      <c r="QXS42" s="595"/>
      <c r="QXT42" s="595"/>
      <c r="QXU42" s="595"/>
      <c r="QXV42" s="595"/>
      <c r="QXW42" s="595"/>
      <c r="QXX42" s="595"/>
      <c r="QXY42" s="595"/>
      <c r="QXZ42" s="595"/>
      <c r="QYA42" s="595"/>
      <c r="QYB42" s="595"/>
      <c r="QYC42" s="595"/>
      <c r="QYD42" s="595"/>
      <c r="QYE42" s="595"/>
      <c r="QYF42" s="595"/>
      <c r="QYG42" s="595"/>
      <c r="QYH42" s="595"/>
      <c r="QYI42" s="595"/>
      <c r="QYJ42" s="595"/>
      <c r="QYK42" s="595"/>
      <c r="QYL42" s="595"/>
      <c r="QYM42" s="595"/>
      <c r="QYN42" s="595"/>
      <c r="QYO42" s="595"/>
      <c r="QYP42" s="595"/>
      <c r="QYQ42" s="595"/>
      <c r="QYR42" s="595"/>
      <c r="QYS42" s="595"/>
      <c r="QYT42" s="595"/>
      <c r="QYU42" s="595"/>
      <c r="QYV42" s="595"/>
      <c r="QYW42" s="595"/>
      <c r="QYX42" s="595"/>
      <c r="QYY42" s="595"/>
      <c r="QYZ42" s="595"/>
      <c r="QZA42" s="595"/>
      <c r="QZB42" s="595"/>
      <c r="QZC42" s="595"/>
      <c r="QZD42" s="595"/>
      <c r="QZE42" s="595"/>
      <c r="QZF42" s="595"/>
      <c r="QZG42" s="595"/>
      <c r="QZH42" s="595"/>
      <c r="QZI42" s="595"/>
      <c r="QZJ42" s="595"/>
      <c r="QZK42" s="595"/>
      <c r="QZL42" s="595"/>
      <c r="QZM42" s="595"/>
      <c r="QZN42" s="595"/>
      <c r="QZO42" s="595"/>
      <c r="QZP42" s="595"/>
      <c r="QZQ42" s="595"/>
      <c r="QZR42" s="595"/>
      <c r="QZS42" s="595"/>
      <c r="QZT42" s="595"/>
      <c r="QZU42" s="595"/>
      <c r="QZV42" s="595"/>
      <c r="QZW42" s="595"/>
      <c r="QZX42" s="595"/>
      <c r="QZY42" s="595"/>
      <c r="QZZ42" s="595"/>
      <c r="RAA42" s="595"/>
      <c r="RAB42" s="595"/>
      <c r="RAC42" s="595"/>
      <c r="RAD42" s="595"/>
      <c r="RAE42" s="595"/>
      <c r="RAF42" s="595"/>
      <c r="RAG42" s="595"/>
      <c r="RAH42" s="595"/>
      <c r="RAI42" s="595"/>
      <c r="RAJ42" s="595"/>
      <c r="RAK42" s="595"/>
      <c r="RAL42" s="595"/>
      <c r="RAM42" s="595"/>
      <c r="RAN42" s="595"/>
      <c r="RAO42" s="595"/>
      <c r="RAP42" s="595"/>
      <c r="RAQ42" s="595"/>
      <c r="RAR42" s="595"/>
      <c r="RAS42" s="595"/>
      <c r="RAT42" s="595"/>
      <c r="RAU42" s="595"/>
      <c r="RAV42" s="595"/>
      <c r="RAW42" s="595"/>
      <c r="RAX42" s="595"/>
      <c r="RAY42" s="595"/>
      <c r="RAZ42" s="595"/>
      <c r="RBA42" s="595"/>
      <c r="RBB42" s="595"/>
      <c r="RBC42" s="595"/>
      <c r="RBD42" s="595"/>
      <c r="RBE42" s="595"/>
      <c r="RBF42" s="595"/>
      <c r="RBG42" s="595"/>
      <c r="RBH42" s="595"/>
      <c r="RBI42" s="595"/>
      <c r="RBJ42" s="595"/>
      <c r="RBK42" s="595"/>
      <c r="RBL42" s="595"/>
      <c r="RBM42" s="595"/>
      <c r="RBN42" s="595"/>
      <c r="RBO42" s="595"/>
      <c r="RBP42" s="595"/>
      <c r="RBQ42" s="595"/>
      <c r="RBR42" s="595"/>
      <c r="RBS42" s="595"/>
      <c r="RBT42" s="595"/>
      <c r="RBU42" s="595"/>
      <c r="RBV42" s="595"/>
      <c r="RBW42" s="595"/>
      <c r="RBX42" s="595"/>
      <c r="RBY42" s="595"/>
      <c r="RBZ42" s="595"/>
      <c r="RCA42" s="595"/>
      <c r="RCB42" s="595"/>
      <c r="RCC42" s="595"/>
      <c r="RCD42" s="595"/>
      <c r="RCE42" s="595"/>
      <c r="RCF42" s="595"/>
      <c r="RCG42" s="595"/>
      <c r="RCH42" s="595"/>
      <c r="RCI42" s="595"/>
      <c r="RCJ42" s="595"/>
      <c r="RCK42" s="595"/>
      <c r="RCL42" s="595"/>
      <c r="RCM42" s="595"/>
      <c r="RCN42" s="595"/>
      <c r="RCO42" s="595"/>
      <c r="RCP42" s="595"/>
      <c r="RCQ42" s="595"/>
      <c r="RCR42" s="595"/>
      <c r="RCS42" s="595"/>
      <c r="RCT42" s="595"/>
      <c r="RCU42" s="595"/>
      <c r="RCV42" s="595"/>
      <c r="RCW42" s="595"/>
      <c r="RCX42" s="595"/>
      <c r="RCY42" s="595"/>
      <c r="RCZ42" s="595"/>
      <c r="RDA42" s="595"/>
      <c r="RDB42" s="595"/>
      <c r="RDC42" s="595"/>
      <c r="RDD42" s="595"/>
      <c r="RDE42" s="595"/>
      <c r="RDF42" s="595"/>
      <c r="RDG42" s="595"/>
      <c r="RDH42" s="595"/>
      <c r="RDI42" s="595"/>
      <c r="RDJ42" s="595"/>
      <c r="RDK42" s="595"/>
      <c r="RDL42" s="595"/>
      <c r="RDM42" s="595"/>
      <c r="RDN42" s="595"/>
      <c r="RDO42" s="595"/>
      <c r="RDP42" s="595"/>
      <c r="RDQ42" s="595"/>
      <c r="RDR42" s="595"/>
      <c r="RDS42" s="595"/>
      <c r="RDT42" s="595"/>
      <c r="RDU42" s="595"/>
      <c r="RDV42" s="595"/>
      <c r="RDW42" s="595"/>
      <c r="RDX42" s="595"/>
      <c r="RDY42" s="595"/>
      <c r="RDZ42" s="595"/>
      <c r="REA42" s="595"/>
      <c r="REB42" s="595"/>
      <c r="REC42" s="595"/>
      <c r="RED42" s="595"/>
      <c r="REE42" s="595"/>
      <c r="REF42" s="595"/>
      <c r="REG42" s="595"/>
      <c r="REH42" s="595"/>
      <c r="REI42" s="595"/>
      <c r="REJ42" s="595"/>
      <c r="REK42" s="595"/>
      <c r="REL42" s="595"/>
      <c r="REM42" s="595"/>
      <c r="REN42" s="595"/>
      <c r="REO42" s="595"/>
      <c r="REP42" s="595"/>
      <c r="REQ42" s="595"/>
      <c r="RER42" s="595"/>
      <c r="RES42" s="595"/>
      <c r="RET42" s="595"/>
      <c r="REU42" s="595"/>
      <c r="REV42" s="595"/>
      <c r="REW42" s="595"/>
      <c r="REX42" s="595"/>
      <c r="REY42" s="595"/>
      <c r="REZ42" s="595"/>
      <c r="RFA42" s="595"/>
      <c r="RFB42" s="595"/>
      <c r="RFC42" s="595"/>
      <c r="RFD42" s="595"/>
      <c r="RFE42" s="595"/>
      <c r="RFF42" s="595"/>
      <c r="RFG42" s="595"/>
      <c r="RFH42" s="595"/>
      <c r="RFI42" s="595"/>
      <c r="RFJ42" s="595"/>
      <c r="RFK42" s="595"/>
      <c r="RFL42" s="595"/>
      <c r="RFM42" s="595"/>
      <c r="RFN42" s="595"/>
      <c r="RFO42" s="595"/>
      <c r="RFP42" s="595"/>
      <c r="RFQ42" s="595"/>
      <c r="RFR42" s="595"/>
      <c r="RFS42" s="595"/>
      <c r="RFT42" s="595"/>
      <c r="RFU42" s="595"/>
      <c r="RFV42" s="595"/>
      <c r="RFW42" s="595"/>
      <c r="RFX42" s="595"/>
      <c r="RFY42" s="595"/>
      <c r="RFZ42" s="595"/>
      <c r="RGA42" s="595"/>
      <c r="RGB42" s="595"/>
      <c r="RGC42" s="595"/>
      <c r="RGD42" s="595"/>
      <c r="RGE42" s="595"/>
      <c r="RGF42" s="595"/>
      <c r="RGG42" s="595"/>
      <c r="RGH42" s="595"/>
      <c r="RGI42" s="595"/>
      <c r="RGJ42" s="595"/>
      <c r="RGK42" s="595"/>
      <c r="RGL42" s="595"/>
      <c r="RGM42" s="595"/>
      <c r="RGN42" s="595"/>
      <c r="RGO42" s="595"/>
      <c r="RGP42" s="595"/>
      <c r="RGQ42" s="595"/>
      <c r="RGR42" s="595"/>
      <c r="RGS42" s="595"/>
      <c r="RGT42" s="595"/>
      <c r="RGU42" s="595"/>
      <c r="RGV42" s="595"/>
      <c r="RGW42" s="595"/>
      <c r="RGX42" s="595"/>
      <c r="RGY42" s="595"/>
      <c r="RGZ42" s="595"/>
      <c r="RHA42" s="595"/>
      <c r="RHB42" s="595"/>
      <c r="RHC42" s="595"/>
      <c r="RHD42" s="595"/>
      <c r="RHE42" s="595"/>
      <c r="RHF42" s="595"/>
      <c r="RHG42" s="595"/>
      <c r="RHH42" s="595"/>
      <c r="RHI42" s="595"/>
      <c r="RHJ42" s="595"/>
      <c r="RHK42" s="595"/>
      <c r="RHL42" s="595"/>
      <c r="RHM42" s="595"/>
      <c r="RHN42" s="595"/>
      <c r="RHO42" s="595"/>
      <c r="RHP42" s="595"/>
      <c r="RHQ42" s="595"/>
      <c r="RHR42" s="595"/>
      <c r="RHS42" s="595"/>
      <c r="RHT42" s="595"/>
      <c r="RHU42" s="595"/>
      <c r="RHV42" s="595"/>
      <c r="RHW42" s="595"/>
      <c r="RHX42" s="595"/>
      <c r="RHY42" s="595"/>
      <c r="RHZ42" s="595"/>
      <c r="RIA42" s="595"/>
      <c r="RIB42" s="595"/>
      <c r="RIC42" s="595"/>
      <c r="RID42" s="595"/>
      <c r="RIE42" s="595"/>
      <c r="RIF42" s="595"/>
      <c r="RIG42" s="595"/>
      <c r="RIH42" s="595"/>
      <c r="RII42" s="595"/>
      <c r="RIJ42" s="595"/>
      <c r="RIK42" s="595"/>
      <c r="RIL42" s="595"/>
      <c r="RIM42" s="595"/>
      <c r="RIN42" s="595"/>
      <c r="RIO42" s="595"/>
      <c r="RIP42" s="595"/>
      <c r="RIQ42" s="595"/>
      <c r="RIR42" s="595"/>
      <c r="RIS42" s="595"/>
      <c r="RIT42" s="595"/>
      <c r="RIU42" s="595"/>
      <c r="RIV42" s="595"/>
      <c r="RIW42" s="595"/>
      <c r="RIX42" s="595"/>
      <c r="RIY42" s="595"/>
      <c r="RIZ42" s="595"/>
      <c r="RJA42" s="595"/>
      <c r="RJB42" s="595"/>
      <c r="RJC42" s="595"/>
      <c r="RJD42" s="595"/>
      <c r="RJE42" s="595"/>
      <c r="RJF42" s="595"/>
      <c r="RJG42" s="595"/>
      <c r="RJH42" s="595"/>
      <c r="RJI42" s="595"/>
      <c r="RJJ42" s="595"/>
      <c r="RJK42" s="595"/>
      <c r="RJL42" s="595"/>
      <c r="RJM42" s="595"/>
      <c r="RJN42" s="595"/>
      <c r="RJO42" s="595"/>
      <c r="RJP42" s="595"/>
      <c r="RJQ42" s="595"/>
      <c r="RJR42" s="595"/>
      <c r="RJS42" s="595"/>
      <c r="RJT42" s="595"/>
      <c r="RJU42" s="595"/>
      <c r="RJV42" s="595"/>
      <c r="RJW42" s="595"/>
      <c r="RJX42" s="595"/>
      <c r="RJY42" s="595"/>
      <c r="RJZ42" s="595"/>
      <c r="RKA42" s="595"/>
      <c r="RKB42" s="595"/>
      <c r="RKC42" s="595"/>
      <c r="RKD42" s="595"/>
      <c r="RKE42" s="595"/>
      <c r="RKF42" s="595"/>
      <c r="RKG42" s="595"/>
      <c r="RKH42" s="595"/>
      <c r="RKI42" s="595"/>
      <c r="RKJ42" s="595"/>
      <c r="RKK42" s="595"/>
      <c r="RKL42" s="595"/>
      <c r="RKM42" s="595"/>
      <c r="RKN42" s="595"/>
      <c r="RKO42" s="595"/>
      <c r="RKP42" s="595"/>
      <c r="RKQ42" s="595"/>
      <c r="RKR42" s="595"/>
      <c r="RKS42" s="595"/>
      <c r="RKT42" s="595"/>
      <c r="RKU42" s="595"/>
      <c r="RKV42" s="595"/>
      <c r="RKW42" s="595"/>
      <c r="RKX42" s="595"/>
      <c r="RKY42" s="595"/>
      <c r="RKZ42" s="595"/>
      <c r="RLA42" s="595"/>
      <c r="RLB42" s="595"/>
      <c r="RLC42" s="595"/>
      <c r="RLD42" s="595"/>
      <c r="RLE42" s="595"/>
      <c r="RLF42" s="595"/>
      <c r="RLG42" s="595"/>
      <c r="RLH42" s="595"/>
      <c r="RLI42" s="595"/>
      <c r="RLJ42" s="595"/>
      <c r="RLK42" s="595"/>
      <c r="RLL42" s="595"/>
      <c r="RLM42" s="595"/>
      <c r="RLN42" s="595"/>
      <c r="RLO42" s="595"/>
      <c r="RLP42" s="595"/>
      <c r="RLQ42" s="595"/>
      <c r="RLR42" s="595"/>
      <c r="RLS42" s="595"/>
      <c r="RLT42" s="595"/>
      <c r="RLU42" s="595"/>
      <c r="RLV42" s="595"/>
      <c r="RLW42" s="595"/>
      <c r="RLX42" s="595"/>
      <c r="RLY42" s="595"/>
      <c r="RLZ42" s="595"/>
      <c r="RMA42" s="595"/>
      <c r="RMB42" s="595"/>
      <c r="RMC42" s="595"/>
      <c r="RMD42" s="595"/>
      <c r="RME42" s="595"/>
      <c r="RMF42" s="595"/>
      <c r="RMG42" s="595"/>
      <c r="RMH42" s="595"/>
      <c r="RMI42" s="595"/>
      <c r="RMJ42" s="595"/>
      <c r="RMK42" s="595"/>
      <c r="RML42" s="595"/>
      <c r="RMM42" s="595"/>
      <c r="RMN42" s="595"/>
      <c r="RMO42" s="595"/>
      <c r="RMP42" s="595"/>
      <c r="RMQ42" s="595"/>
      <c r="RMR42" s="595"/>
      <c r="RMS42" s="595"/>
      <c r="RMT42" s="595"/>
      <c r="RMU42" s="595"/>
      <c r="RMV42" s="595"/>
      <c r="RMW42" s="595"/>
      <c r="RMX42" s="595"/>
      <c r="RMY42" s="595"/>
      <c r="RMZ42" s="595"/>
      <c r="RNA42" s="595"/>
      <c r="RNB42" s="595"/>
      <c r="RNC42" s="595"/>
      <c r="RND42" s="595"/>
      <c r="RNE42" s="595"/>
      <c r="RNF42" s="595"/>
      <c r="RNG42" s="595"/>
      <c r="RNH42" s="595"/>
      <c r="RNI42" s="595"/>
      <c r="RNJ42" s="595"/>
      <c r="RNK42" s="595"/>
      <c r="RNL42" s="595"/>
      <c r="RNM42" s="595"/>
      <c r="RNN42" s="595"/>
      <c r="RNO42" s="595"/>
      <c r="RNP42" s="595"/>
      <c r="RNQ42" s="595"/>
      <c r="RNR42" s="595"/>
      <c r="RNS42" s="595"/>
      <c r="RNT42" s="595"/>
      <c r="RNU42" s="595"/>
      <c r="RNV42" s="595"/>
      <c r="RNW42" s="595"/>
      <c r="RNX42" s="595"/>
      <c r="RNY42" s="595"/>
      <c r="RNZ42" s="595"/>
      <c r="ROA42" s="595"/>
      <c r="ROB42" s="595"/>
      <c r="ROC42" s="595"/>
      <c r="ROD42" s="595"/>
      <c r="ROE42" s="595"/>
      <c r="ROF42" s="595"/>
      <c r="ROG42" s="595"/>
      <c r="ROH42" s="595"/>
      <c r="ROI42" s="595"/>
      <c r="ROJ42" s="595"/>
      <c r="ROK42" s="595"/>
      <c r="ROL42" s="595"/>
      <c r="ROM42" s="595"/>
      <c r="RON42" s="595"/>
      <c r="ROO42" s="595"/>
      <c r="ROP42" s="595"/>
      <c r="ROQ42" s="595"/>
      <c r="ROR42" s="595"/>
      <c r="ROS42" s="595"/>
      <c r="ROT42" s="595"/>
      <c r="ROU42" s="595"/>
      <c r="ROV42" s="595"/>
      <c r="ROW42" s="595"/>
      <c r="ROX42" s="595"/>
      <c r="ROY42" s="595"/>
      <c r="ROZ42" s="595"/>
      <c r="RPA42" s="595"/>
      <c r="RPB42" s="595"/>
      <c r="RPC42" s="595"/>
      <c r="RPD42" s="595"/>
      <c r="RPE42" s="595"/>
      <c r="RPF42" s="595"/>
      <c r="RPG42" s="595"/>
      <c r="RPH42" s="595"/>
      <c r="RPI42" s="595"/>
      <c r="RPJ42" s="595"/>
      <c r="RPK42" s="595"/>
      <c r="RPL42" s="595"/>
      <c r="RPM42" s="595"/>
      <c r="RPN42" s="595"/>
      <c r="RPO42" s="595"/>
      <c r="RPP42" s="595"/>
      <c r="RPQ42" s="595"/>
      <c r="RPR42" s="595"/>
      <c r="RPS42" s="595"/>
      <c r="RPT42" s="595"/>
      <c r="RPU42" s="595"/>
      <c r="RPV42" s="595"/>
      <c r="RPW42" s="595"/>
      <c r="RPX42" s="595"/>
      <c r="RPY42" s="595"/>
      <c r="RPZ42" s="595"/>
      <c r="RQA42" s="595"/>
      <c r="RQB42" s="595"/>
      <c r="RQC42" s="595"/>
      <c r="RQD42" s="595"/>
      <c r="RQE42" s="595"/>
      <c r="RQF42" s="595"/>
      <c r="RQG42" s="595"/>
      <c r="RQH42" s="595"/>
      <c r="RQI42" s="595"/>
      <c r="RQJ42" s="595"/>
      <c r="RQK42" s="595"/>
      <c r="RQL42" s="595"/>
      <c r="RQM42" s="595"/>
      <c r="RQN42" s="595"/>
      <c r="RQO42" s="595"/>
      <c r="RQP42" s="595"/>
      <c r="RQQ42" s="595"/>
      <c r="RQR42" s="595"/>
      <c r="RQS42" s="595"/>
      <c r="RQT42" s="595"/>
      <c r="RQU42" s="595"/>
      <c r="RQV42" s="595"/>
      <c r="RQW42" s="595"/>
      <c r="RQX42" s="595"/>
      <c r="RQY42" s="595"/>
      <c r="RQZ42" s="595"/>
      <c r="RRA42" s="595"/>
      <c r="RRB42" s="595"/>
      <c r="RRC42" s="595"/>
      <c r="RRD42" s="595"/>
      <c r="RRE42" s="595"/>
      <c r="RRF42" s="595"/>
      <c r="RRG42" s="595"/>
      <c r="RRH42" s="595"/>
      <c r="RRI42" s="595"/>
      <c r="RRJ42" s="595"/>
      <c r="RRK42" s="595"/>
      <c r="RRL42" s="595"/>
      <c r="RRM42" s="595"/>
      <c r="RRN42" s="595"/>
      <c r="RRO42" s="595"/>
      <c r="RRP42" s="595"/>
      <c r="RRQ42" s="595"/>
      <c r="RRR42" s="595"/>
      <c r="RRS42" s="595"/>
      <c r="RRT42" s="595"/>
      <c r="RRU42" s="595"/>
      <c r="RRV42" s="595"/>
      <c r="RRW42" s="595"/>
      <c r="RRX42" s="595"/>
      <c r="RRY42" s="595"/>
      <c r="RRZ42" s="595"/>
      <c r="RSA42" s="595"/>
      <c r="RSB42" s="595"/>
      <c r="RSC42" s="595"/>
      <c r="RSD42" s="595"/>
      <c r="RSE42" s="595"/>
      <c r="RSF42" s="595"/>
      <c r="RSG42" s="595"/>
      <c r="RSH42" s="595"/>
      <c r="RSI42" s="595"/>
      <c r="RSJ42" s="595"/>
      <c r="RSK42" s="595"/>
      <c r="RSL42" s="595"/>
      <c r="RSM42" s="595"/>
      <c r="RSN42" s="595"/>
      <c r="RSO42" s="595"/>
      <c r="RSP42" s="595"/>
      <c r="RSQ42" s="595"/>
      <c r="RSR42" s="595"/>
      <c r="RSS42" s="595"/>
      <c r="RST42" s="595"/>
      <c r="RSU42" s="595"/>
      <c r="RSV42" s="595"/>
      <c r="RSW42" s="595"/>
      <c r="RSX42" s="595"/>
      <c r="RSY42" s="595"/>
      <c r="RSZ42" s="595"/>
      <c r="RTA42" s="595"/>
      <c r="RTB42" s="595"/>
      <c r="RTC42" s="595"/>
      <c r="RTD42" s="595"/>
      <c r="RTE42" s="595"/>
      <c r="RTF42" s="595"/>
      <c r="RTG42" s="595"/>
      <c r="RTH42" s="595"/>
      <c r="RTI42" s="595"/>
      <c r="RTJ42" s="595"/>
      <c r="RTK42" s="595"/>
      <c r="RTL42" s="595"/>
      <c r="RTM42" s="595"/>
      <c r="RTN42" s="595"/>
      <c r="RTO42" s="595"/>
      <c r="RTP42" s="595"/>
      <c r="RTQ42" s="595"/>
      <c r="RTR42" s="595"/>
      <c r="RTS42" s="595"/>
      <c r="RTT42" s="595"/>
      <c r="RTU42" s="595"/>
      <c r="RTV42" s="595"/>
      <c r="RTW42" s="595"/>
      <c r="RTX42" s="595"/>
      <c r="RTY42" s="595"/>
      <c r="RTZ42" s="595"/>
      <c r="RUA42" s="595"/>
      <c r="RUB42" s="595"/>
      <c r="RUC42" s="595"/>
      <c r="RUD42" s="595"/>
      <c r="RUE42" s="595"/>
      <c r="RUF42" s="595"/>
      <c r="RUG42" s="595"/>
      <c r="RUH42" s="595"/>
      <c r="RUI42" s="595"/>
      <c r="RUJ42" s="595"/>
      <c r="RUK42" s="595"/>
      <c r="RUL42" s="595"/>
      <c r="RUM42" s="595"/>
      <c r="RUN42" s="595"/>
      <c r="RUO42" s="595"/>
      <c r="RUP42" s="595"/>
      <c r="RUQ42" s="595"/>
      <c r="RUR42" s="595"/>
      <c r="RUS42" s="595"/>
      <c r="RUT42" s="595"/>
      <c r="RUU42" s="595"/>
      <c r="RUV42" s="595"/>
      <c r="RUW42" s="595"/>
      <c r="RUX42" s="595"/>
      <c r="RUY42" s="595"/>
      <c r="RUZ42" s="595"/>
      <c r="RVA42" s="595"/>
      <c r="RVB42" s="595"/>
      <c r="RVC42" s="595"/>
      <c r="RVD42" s="595"/>
      <c r="RVE42" s="595"/>
      <c r="RVF42" s="595"/>
      <c r="RVG42" s="595"/>
      <c r="RVH42" s="595"/>
      <c r="RVI42" s="595"/>
      <c r="RVJ42" s="595"/>
      <c r="RVK42" s="595"/>
      <c r="RVL42" s="595"/>
      <c r="RVM42" s="595"/>
      <c r="RVN42" s="595"/>
      <c r="RVO42" s="595"/>
      <c r="RVP42" s="595"/>
      <c r="RVQ42" s="595"/>
      <c r="RVR42" s="595"/>
      <c r="RVS42" s="595"/>
      <c r="RVT42" s="595"/>
      <c r="RVU42" s="595"/>
      <c r="RVV42" s="595"/>
      <c r="RVW42" s="595"/>
      <c r="RVX42" s="595"/>
      <c r="RVY42" s="595"/>
      <c r="RVZ42" s="595"/>
      <c r="RWA42" s="595"/>
      <c r="RWB42" s="595"/>
      <c r="RWC42" s="595"/>
      <c r="RWD42" s="595"/>
      <c r="RWE42" s="595"/>
      <c r="RWF42" s="595"/>
      <c r="RWG42" s="595"/>
      <c r="RWH42" s="595"/>
      <c r="RWI42" s="595"/>
      <c r="RWJ42" s="595"/>
      <c r="RWK42" s="595"/>
      <c r="RWL42" s="595"/>
      <c r="RWM42" s="595"/>
      <c r="RWN42" s="595"/>
      <c r="RWO42" s="595"/>
      <c r="RWP42" s="595"/>
      <c r="RWQ42" s="595"/>
      <c r="RWR42" s="595"/>
      <c r="RWS42" s="595"/>
      <c r="RWT42" s="595"/>
      <c r="RWU42" s="595"/>
      <c r="RWV42" s="595"/>
      <c r="RWW42" s="595"/>
      <c r="RWX42" s="595"/>
      <c r="RWY42" s="595"/>
      <c r="RWZ42" s="595"/>
      <c r="RXA42" s="595"/>
      <c r="RXB42" s="595"/>
      <c r="RXC42" s="595"/>
      <c r="RXD42" s="595"/>
      <c r="RXE42" s="595"/>
      <c r="RXF42" s="595"/>
      <c r="RXG42" s="595"/>
      <c r="RXH42" s="595"/>
      <c r="RXI42" s="595"/>
      <c r="RXJ42" s="595"/>
      <c r="RXK42" s="595"/>
      <c r="RXL42" s="595"/>
      <c r="RXM42" s="595"/>
      <c r="RXN42" s="595"/>
      <c r="RXO42" s="595"/>
      <c r="RXP42" s="595"/>
      <c r="RXQ42" s="595"/>
      <c r="RXR42" s="595"/>
      <c r="RXS42" s="595"/>
      <c r="RXT42" s="595"/>
      <c r="RXU42" s="595"/>
      <c r="RXV42" s="595"/>
      <c r="RXW42" s="595"/>
      <c r="RXX42" s="595"/>
      <c r="RXY42" s="595"/>
      <c r="RXZ42" s="595"/>
      <c r="RYA42" s="595"/>
      <c r="RYB42" s="595"/>
      <c r="RYC42" s="595"/>
      <c r="RYD42" s="595"/>
      <c r="RYE42" s="595"/>
      <c r="RYF42" s="595"/>
      <c r="RYG42" s="595"/>
      <c r="RYH42" s="595"/>
      <c r="RYI42" s="595"/>
      <c r="RYJ42" s="595"/>
      <c r="RYK42" s="595"/>
      <c r="RYL42" s="595"/>
      <c r="RYM42" s="595"/>
      <c r="RYN42" s="595"/>
      <c r="RYO42" s="595"/>
      <c r="RYP42" s="595"/>
      <c r="RYQ42" s="595"/>
      <c r="RYR42" s="595"/>
      <c r="RYS42" s="595"/>
      <c r="RYT42" s="595"/>
      <c r="RYU42" s="595"/>
      <c r="RYV42" s="595"/>
      <c r="RYW42" s="595"/>
      <c r="RYX42" s="595"/>
      <c r="RYY42" s="595"/>
      <c r="RYZ42" s="595"/>
      <c r="RZA42" s="595"/>
      <c r="RZB42" s="595"/>
      <c r="RZC42" s="595"/>
      <c r="RZD42" s="595"/>
      <c r="RZE42" s="595"/>
      <c r="RZF42" s="595"/>
      <c r="RZG42" s="595"/>
      <c r="RZH42" s="595"/>
      <c r="RZI42" s="595"/>
      <c r="RZJ42" s="595"/>
      <c r="RZK42" s="595"/>
      <c r="RZL42" s="595"/>
      <c r="RZM42" s="595"/>
      <c r="RZN42" s="595"/>
      <c r="RZO42" s="595"/>
      <c r="RZP42" s="595"/>
      <c r="RZQ42" s="595"/>
      <c r="RZR42" s="595"/>
      <c r="RZS42" s="595"/>
      <c r="RZT42" s="595"/>
      <c r="RZU42" s="595"/>
      <c r="RZV42" s="595"/>
      <c r="RZW42" s="595"/>
      <c r="RZX42" s="595"/>
      <c r="RZY42" s="595"/>
      <c r="RZZ42" s="595"/>
      <c r="SAA42" s="595"/>
      <c r="SAB42" s="595"/>
      <c r="SAC42" s="595"/>
      <c r="SAD42" s="595"/>
      <c r="SAE42" s="595"/>
      <c r="SAF42" s="595"/>
      <c r="SAG42" s="595"/>
      <c r="SAH42" s="595"/>
      <c r="SAI42" s="595"/>
      <c r="SAJ42" s="595"/>
      <c r="SAK42" s="595"/>
      <c r="SAL42" s="595"/>
      <c r="SAM42" s="595"/>
      <c r="SAN42" s="595"/>
      <c r="SAO42" s="595"/>
      <c r="SAP42" s="595"/>
      <c r="SAQ42" s="595"/>
      <c r="SAR42" s="595"/>
      <c r="SAS42" s="595"/>
      <c r="SAT42" s="595"/>
      <c r="SAU42" s="595"/>
      <c r="SAV42" s="595"/>
      <c r="SAW42" s="595"/>
      <c r="SAX42" s="595"/>
      <c r="SAY42" s="595"/>
      <c r="SAZ42" s="595"/>
      <c r="SBA42" s="595"/>
      <c r="SBB42" s="595"/>
      <c r="SBC42" s="595"/>
      <c r="SBD42" s="595"/>
      <c r="SBE42" s="595"/>
      <c r="SBF42" s="595"/>
      <c r="SBG42" s="595"/>
      <c r="SBH42" s="595"/>
      <c r="SBI42" s="595"/>
      <c r="SBJ42" s="595"/>
      <c r="SBK42" s="595"/>
      <c r="SBL42" s="595"/>
      <c r="SBM42" s="595"/>
      <c r="SBN42" s="595"/>
      <c r="SBO42" s="595"/>
      <c r="SBP42" s="595"/>
      <c r="SBQ42" s="595"/>
      <c r="SBR42" s="595"/>
      <c r="SBS42" s="595"/>
      <c r="SBT42" s="595"/>
      <c r="SBU42" s="595"/>
      <c r="SBV42" s="595"/>
      <c r="SBW42" s="595"/>
      <c r="SBX42" s="595"/>
      <c r="SBY42" s="595"/>
      <c r="SBZ42" s="595"/>
      <c r="SCA42" s="595"/>
      <c r="SCB42" s="595"/>
      <c r="SCC42" s="595"/>
      <c r="SCD42" s="595"/>
      <c r="SCE42" s="595"/>
      <c r="SCF42" s="595"/>
      <c r="SCG42" s="595"/>
      <c r="SCH42" s="595"/>
      <c r="SCI42" s="595"/>
      <c r="SCJ42" s="595"/>
      <c r="SCK42" s="595"/>
      <c r="SCL42" s="595"/>
      <c r="SCM42" s="595"/>
      <c r="SCN42" s="595"/>
      <c r="SCO42" s="595"/>
      <c r="SCP42" s="595"/>
      <c r="SCQ42" s="595"/>
      <c r="SCR42" s="595"/>
      <c r="SCS42" s="595"/>
      <c r="SCT42" s="595"/>
      <c r="SCU42" s="595"/>
      <c r="SCV42" s="595"/>
      <c r="SCW42" s="595"/>
      <c r="SCX42" s="595"/>
      <c r="SCY42" s="595"/>
      <c r="SCZ42" s="595"/>
      <c r="SDA42" s="595"/>
      <c r="SDB42" s="595"/>
      <c r="SDC42" s="595"/>
      <c r="SDD42" s="595"/>
      <c r="SDE42" s="595"/>
      <c r="SDF42" s="595"/>
      <c r="SDG42" s="595"/>
      <c r="SDH42" s="595"/>
      <c r="SDI42" s="595"/>
      <c r="SDJ42" s="595"/>
      <c r="SDK42" s="595"/>
      <c r="SDL42" s="595"/>
      <c r="SDM42" s="595"/>
      <c r="SDN42" s="595"/>
      <c r="SDO42" s="595"/>
      <c r="SDP42" s="595"/>
      <c r="SDQ42" s="595"/>
      <c r="SDR42" s="595"/>
      <c r="SDS42" s="595"/>
      <c r="SDT42" s="595"/>
      <c r="SDU42" s="595"/>
      <c r="SDV42" s="595"/>
      <c r="SDW42" s="595"/>
      <c r="SDX42" s="595"/>
      <c r="SDY42" s="595"/>
      <c r="SDZ42" s="595"/>
      <c r="SEA42" s="595"/>
      <c r="SEB42" s="595"/>
      <c r="SEC42" s="595"/>
      <c r="SED42" s="595"/>
      <c r="SEE42" s="595"/>
      <c r="SEF42" s="595"/>
      <c r="SEG42" s="595"/>
      <c r="SEH42" s="595"/>
      <c r="SEI42" s="595"/>
      <c r="SEJ42" s="595"/>
      <c r="SEK42" s="595"/>
      <c r="SEL42" s="595"/>
      <c r="SEM42" s="595"/>
      <c r="SEN42" s="595"/>
      <c r="SEO42" s="595"/>
      <c r="SEP42" s="595"/>
      <c r="SEQ42" s="595"/>
      <c r="SER42" s="595"/>
      <c r="SES42" s="595"/>
      <c r="SET42" s="595"/>
      <c r="SEU42" s="595"/>
      <c r="SEV42" s="595"/>
      <c r="SEW42" s="595"/>
      <c r="SEX42" s="595"/>
      <c r="SEY42" s="595"/>
      <c r="SEZ42" s="595"/>
      <c r="SFA42" s="595"/>
      <c r="SFB42" s="595"/>
      <c r="SFC42" s="595"/>
      <c r="SFD42" s="595"/>
      <c r="SFE42" s="595"/>
      <c r="SFF42" s="595"/>
      <c r="SFG42" s="595"/>
      <c r="SFH42" s="595"/>
      <c r="SFI42" s="595"/>
      <c r="SFJ42" s="595"/>
      <c r="SFK42" s="595"/>
      <c r="SFL42" s="595"/>
      <c r="SFM42" s="595"/>
      <c r="SFN42" s="595"/>
      <c r="SFO42" s="595"/>
      <c r="SFP42" s="595"/>
      <c r="SFQ42" s="595"/>
      <c r="SFR42" s="595"/>
      <c r="SFS42" s="595"/>
      <c r="SFT42" s="595"/>
      <c r="SFU42" s="595"/>
      <c r="SFV42" s="595"/>
      <c r="SFW42" s="595"/>
      <c r="SFX42" s="595"/>
      <c r="SFY42" s="595"/>
      <c r="SFZ42" s="595"/>
      <c r="SGA42" s="595"/>
      <c r="SGB42" s="595"/>
      <c r="SGC42" s="595"/>
      <c r="SGD42" s="595"/>
      <c r="SGE42" s="595"/>
      <c r="SGF42" s="595"/>
      <c r="SGG42" s="595"/>
      <c r="SGH42" s="595"/>
      <c r="SGI42" s="595"/>
      <c r="SGJ42" s="595"/>
      <c r="SGK42" s="595"/>
      <c r="SGL42" s="595"/>
      <c r="SGM42" s="595"/>
      <c r="SGN42" s="595"/>
      <c r="SGO42" s="595"/>
      <c r="SGP42" s="595"/>
      <c r="SGQ42" s="595"/>
      <c r="SGR42" s="595"/>
      <c r="SGS42" s="595"/>
      <c r="SGT42" s="595"/>
      <c r="SGU42" s="595"/>
      <c r="SGV42" s="595"/>
      <c r="SGW42" s="595"/>
      <c r="SGX42" s="595"/>
      <c r="SGY42" s="595"/>
      <c r="SGZ42" s="595"/>
      <c r="SHA42" s="595"/>
      <c r="SHB42" s="595"/>
      <c r="SHC42" s="595"/>
      <c r="SHD42" s="595"/>
      <c r="SHE42" s="595"/>
      <c r="SHF42" s="595"/>
      <c r="SHG42" s="595"/>
      <c r="SHH42" s="595"/>
      <c r="SHI42" s="595"/>
      <c r="SHJ42" s="595"/>
      <c r="SHK42" s="595"/>
      <c r="SHL42" s="595"/>
      <c r="SHM42" s="595"/>
      <c r="SHN42" s="595"/>
      <c r="SHO42" s="595"/>
      <c r="SHP42" s="595"/>
      <c r="SHQ42" s="595"/>
      <c r="SHR42" s="595"/>
      <c r="SHS42" s="595"/>
      <c r="SHT42" s="595"/>
      <c r="SHU42" s="595"/>
      <c r="SHV42" s="595"/>
      <c r="SHW42" s="595"/>
      <c r="SHX42" s="595"/>
      <c r="SHY42" s="595"/>
      <c r="SHZ42" s="595"/>
      <c r="SIA42" s="595"/>
      <c r="SIB42" s="595"/>
      <c r="SIC42" s="595"/>
      <c r="SID42" s="595"/>
      <c r="SIE42" s="595"/>
      <c r="SIF42" s="595"/>
      <c r="SIG42" s="595"/>
      <c r="SIH42" s="595"/>
      <c r="SII42" s="595"/>
      <c r="SIJ42" s="595"/>
      <c r="SIK42" s="595"/>
      <c r="SIL42" s="595"/>
      <c r="SIM42" s="595"/>
      <c r="SIN42" s="595"/>
      <c r="SIO42" s="595"/>
      <c r="SIP42" s="595"/>
      <c r="SIQ42" s="595"/>
      <c r="SIR42" s="595"/>
      <c r="SIS42" s="595"/>
      <c r="SIT42" s="595"/>
      <c r="SIU42" s="595"/>
      <c r="SIV42" s="595"/>
      <c r="SIW42" s="595"/>
      <c r="SIX42" s="595"/>
      <c r="SIY42" s="595"/>
      <c r="SIZ42" s="595"/>
      <c r="SJA42" s="595"/>
      <c r="SJB42" s="595"/>
      <c r="SJC42" s="595"/>
      <c r="SJD42" s="595"/>
      <c r="SJE42" s="595"/>
      <c r="SJF42" s="595"/>
      <c r="SJG42" s="595"/>
      <c r="SJH42" s="595"/>
      <c r="SJI42" s="595"/>
      <c r="SJJ42" s="595"/>
      <c r="SJK42" s="595"/>
      <c r="SJL42" s="595"/>
      <c r="SJM42" s="595"/>
      <c r="SJN42" s="595"/>
      <c r="SJO42" s="595"/>
      <c r="SJP42" s="595"/>
      <c r="SJQ42" s="595"/>
      <c r="SJR42" s="595"/>
      <c r="SJS42" s="595"/>
      <c r="SJT42" s="595"/>
      <c r="SJU42" s="595"/>
      <c r="SJV42" s="595"/>
      <c r="SJW42" s="595"/>
      <c r="SJX42" s="595"/>
      <c r="SJY42" s="595"/>
      <c r="SJZ42" s="595"/>
      <c r="SKA42" s="595"/>
      <c r="SKB42" s="595"/>
      <c r="SKC42" s="595"/>
      <c r="SKD42" s="595"/>
      <c r="SKE42" s="595"/>
      <c r="SKF42" s="595"/>
      <c r="SKG42" s="595"/>
      <c r="SKH42" s="595"/>
      <c r="SKI42" s="595"/>
      <c r="SKJ42" s="595"/>
      <c r="SKK42" s="595"/>
      <c r="SKL42" s="595"/>
      <c r="SKM42" s="595"/>
      <c r="SKN42" s="595"/>
      <c r="SKO42" s="595"/>
      <c r="SKP42" s="595"/>
      <c r="SKQ42" s="595"/>
      <c r="SKR42" s="595"/>
      <c r="SKS42" s="595"/>
      <c r="SKT42" s="595"/>
      <c r="SKU42" s="595"/>
      <c r="SKV42" s="595"/>
      <c r="SKW42" s="595"/>
      <c r="SKX42" s="595"/>
      <c r="SKY42" s="595"/>
      <c r="SKZ42" s="595"/>
      <c r="SLA42" s="595"/>
      <c r="SLB42" s="595"/>
      <c r="SLC42" s="595"/>
      <c r="SLD42" s="595"/>
      <c r="SLE42" s="595"/>
      <c r="SLF42" s="595"/>
      <c r="SLG42" s="595"/>
      <c r="SLH42" s="595"/>
      <c r="SLI42" s="595"/>
      <c r="SLJ42" s="595"/>
      <c r="SLK42" s="595"/>
      <c r="SLL42" s="595"/>
      <c r="SLM42" s="595"/>
      <c r="SLN42" s="595"/>
      <c r="SLO42" s="595"/>
      <c r="SLP42" s="595"/>
      <c r="SLQ42" s="595"/>
      <c r="SLR42" s="595"/>
      <c r="SLS42" s="595"/>
      <c r="SLT42" s="595"/>
      <c r="SLU42" s="595"/>
      <c r="SLV42" s="595"/>
      <c r="SLW42" s="595"/>
      <c r="SLX42" s="595"/>
      <c r="SLY42" s="595"/>
      <c r="SLZ42" s="595"/>
      <c r="SMA42" s="595"/>
      <c r="SMB42" s="595"/>
      <c r="SMC42" s="595"/>
      <c r="SMD42" s="595"/>
      <c r="SME42" s="595"/>
      <c r="SMF42" s="595"/>
      <c r="SMG42" s="595"/>
      <c r="SMH42" s="595"/>
      <c r="SMI42" s="595"/>
      <c r="SMJ42" s="595"/>
      <c r="SMK42" s="595"/>
      <c r="SML42" s="595"/>
      <c r="SMM42" s="595"/>
      <c r="SMN42" s="595"/>
      <c r="SMO42" s="595"/>
      <c r="SMP42" s="595"/>
      <c r="SMQ42" s="595"/>
      <c r="SMR42" s="595"/>
      <c r="SMS42" s="595"/>
      <c r="SMT42" s="595"/>
      <c r="SMU42" s="595"/>
      <c r="SMV42" s="595"/>
      <c r="SMW42" s="595"/>
      <c r="SMX42" s="595"/>
      <c r="SMY42" s="595"/>
      <c r="SMZ42" s="595"/>
      <c r="SNA42" s="595"/>
      <c r="SNB42" s="595"/>
      <c r="SNC42" s="595"/>
      <c r="SND42" s="595"/>
      <c r="SNE42" s="595"/>
      <c r="SNF42" s="595"/>
      <c r="SNG42" s="595"/>
      <c r="SNH42" s="595"/>
      <c r="SNI42" s="595"/>
      <c r="SNJ42" s="595"/>
      <c r="SNK42" s="595"/>
      <c r="SNL42" s="595"/>
      <c r="SNM42" s="595"/>
      <c r="SNN42" s="595"/>
      <c r="SNO42" s="595"/>
      <c r="SNP42" s="595"/>
      <c r="SNQ42" s="595"/>
      <c r="SNR42" s="595"/>
      <c r="SNS42" s="595"/>
      <c r="SNT42" s="595"/>
      <c r="SNU42" s="595"/>
      <c r="SNV42" s="595"/>
      <c r="SNW42" s="595"/>
      <c r="SNX42" s="595"/>
      <c r="SNY42" s="595"/>
      <c r="SNZ42" s="595"/>
      <c r="SOA42" s="595"/>
      <c r="SOB42" s="595"/>
      <c r="SOC42" s="595"/>
      <c r="SOD42" s="595"/>
      <c r="SOE42" s="595"/>
      <c r="SOF42" s="595"/>
      <c r="SOG42" s="595"/>
      <c r="SOH42" s="595"/>
      <c r="SOI42" s="595"/>
      <c r="SOJ42" s="595"/>
      <c r="SOK42" s="595"/>
      <c r="SOL42" s="595"/>
      <c r="SOM42" s="595"/>
      <c r="SON42" s="595"/>
      <c r="SOO42" s="595"/>
      <c r="SOP42" s="595"/>
      <c r="SOQ42" s="595"/>
      <c r="SOR42" s="595"/>
      <c r="SOS42" s="595"/>
      <c r="SOT42" s="595"/>
      <c r="SOU42" s="595"/>
      <c r="SOV42" s="595"/>
      <c r="SOW42" s="595"/>
      <c r="SOX42" s="595"/>
      <c r="SOY42" s="595"/>
      <c r="SOZ42" s="595"/>
      <c r="SPA42" s="595"/>
      <c r="SPB42" s="595"/>
      <c r="SPC42" s="595"/>
      <c r="SPD42" s="595"/>
      <c r="SPE42" s="595"/>
      <c r="SPF42" s="595"/>
      <c r="SPG42" s="595"/>
      <c r="SPH42" s="595"/>
      <c r="SPI42" s="595"/>
      <c r="SPJ42" s="595"/>
      <c r="SPK42" s="595"/>
      <c r="SPL42" s="595"/>
      <c r="SPM42" s="595"/>
      <c r="SPN42" s="595"/>
      <c r="SPO42" s="595"/>
      <c r="SPP42" s="595"/>
      <c r="SPQ42" s="595"/>
      <c r="SPR42" s="595"/>
      <c r="SPS42" s="595"/>
      <c r="SPT42" s="595"/>
      <c r="SPU42" s="595"/>
      <c r="SPV42" s="595"/>
      <c r="SPW42" s="595"/>
      <c r="SPX42" s="595"/>
      <c r="SPY42" s="595"/>
      <c r="SPZ42" s="595"/>
      <c r="SQA42" s="595"/>
      <c r="SQB42" s="595"/>
      <c r="SQC42" s="595"/>
      <c r="SQD42" s="595"/>
      <c r="SQE42" s="595"/>
      <c r="SQF42" s="595"/>
      <c r="SQG42" s="595"/>
      <c r="SQH42" s="595"/>
      <c r="SQI42" s="595"/>
      <c r="SQJ42" s="595"/>
      <c r="SQK42" s="595"/>
      <c r="SQL42" s="595"/>
      <c r="SQM42" s="595"/>
      <c r="SQN42" s="595"/>
      <c r="SQO42" s="595"/>
      <c r="SQP42" s="595"/>
      <c r="SQQ42" s="595"/>
      <c r="SQR42" s="595"/>
      <c r="SQS42" s="595"/>
      <c r="SQT42" s="595"/>
      <c r="SQU42" s="595"/>
      <c r="SQV42" s="595"/>
      <c r="SQW42" s="595"/>
      <c r="SQX42" s="595"/>
      <c r="SQY42" s="595"/>
      <c r="SQZ42" s="595"/>
      <c r="SRA42" s="595"/>
      <c r="SRB42" s="595"/>
      <c r="SRC42" s="595"/>
      <c r="SRD42" s="595"/>
      <c r="SRE42" s="595"/>
      <c r="SRF42" s="595"/>
      <c r="SRG42" s="595"/>
      <c r="SRH42" s="595"/>
      <c r="SRI42" s="595"/>
      <c r="SRJ42" s="595"/>
      <c r="SRK42" s="595"/>
      <c r="SRL42" s="595"/>
      <c r="SRM42" s="595"/>
      <c r="SRN42" s="595"/>
      <c r="SRO42" s="595"/>
      <c r="SRP42" s="595"/>
      <c r="SRQ42" s="595"/>
      <c r="SRR42" s="595"/>
      <c r="SRS42" s="595"/>
      <c r="SRT42" s="595"/>
      <c r="SRU42" s="595"/>
      <c r="SRV42" s="595"/>
      <c r="SRW42" s="595"/>
      <c r="SRX42" s="595"/>
      <c r="SRY42" s="595"/>
      <c r="SRZ42" s="595"/>
      <c r="SSA42" s="595"/>
      <c r="SSB42" s="595"/>
      <c r="SSC42" s="595"/>
      <c r="SSD42" s="595"/>
      <c r="SSE42" s="595"/>
      <c r="SSF42" s="595"/>
      <c r="SSG42" s="595"/>
      <c r="SSH42" s="595"/>
      <c r="SSI42" s="595"/>
      <c r="SSJ42" s="595"/>
      <c r="SSK42" s="595"/>
      <c r="SSL42" s="595"/>
      <c r="SSM42" s="595"/>
      <c r="SSN42" s="595"/>
      <c r="SSO42" s="595"/>
      <c r="SSP42" s="595"/>
      <c r="SSQ42" s="595"/>
      <c r="SSR42" s="595"/>
      <c r="SSS42" s="595"/>
      <c r="SST42" s="595"/>
      <c r="SSU42" s="595"/>
      <c r="SSV42" s="595"/>
      <c r="SSW42" s="595"/>
      <c r="SSX42" s="595"/>
      <c r="SSY42" s="595"/>
      <c r="SSZ42" s="595"/>
      <c r="STA42" s="595"/>
      <c r="STB42" s="595"/>
      <c r="STC42" s="595"/>
      <c r="STD42" s="595"/>
      <c r="STE42" s="595"/>
      <c r="STF42" s="595"/>
      <c r="STG42" s="595"/>
      <c r="STH42" s="595"/>
      <c r="STI42" s="595"/>
      <c r="STJ42" s="595"/>
      <c r="STK42" s="595"/>
      <c r="STL42" s="595"/>
      <c r="STM42" s="595"/>
      <c r="STN42" s="595"/>
      <c r="STO42" s="595"/>
      <c r="STP42" s="595"/>
      <c r="STQ42" s="595"/>
      <c r="STR42" s="595"/>
      <c r="STS42" s="595"/>
      <c r="STT42" s="595"/>
      <c r="STU42" s="595"/>
      <c r="STV42" s="595"/>
      <c r="STW42" s="595"/>
      <c r="STX42" s="595"/>
      <c r="STY42" s="595"/>
      <c r="STZ42" s="595"/>
      <c r="SUA42" s="595"/>
      <c r="SUB42" s="595"/>
      <c r="SUC42" s="595"/>
      <c r="SUD42" s="595"/>
      <c r="SUE42" s="595"/>
      <c r="SUF42" s="595"/>
      <c r="SUG42" s="595"/>
      <c r="SUH42" s="595"/>
      <c r="SUI42" s="595"/>
      <c r="SUJ42" s="595"/>
      <c r="SUK42" s="595"/>
      <c r="SUL42" s="595"/>
      <c r="SUM42" s="595"/>
      <c r="SUN42" s="595"/>
      <c r="SUO42" s="595"/>
      <c r="SUP42" s="595"/>
      <c r="SUQ42" s="595"/>
      <c r="SUR42" s="595"/>
      <c r="SUS42" s="595"/>
      <c r="SUT42" s="595"/>
      <c r="SUU42" s="595"/>
      <c r="SUV42" s="595"/>
      <c r="SUW42" s="595"/>
      <c r="SUX42" s="595"/>
      <c r="SUY42" s="595"/>
      <c r="SUZ42" s="595"/>
      <c r="SVA42" s="595"/>
      <c r="SVB42" s="595"/>
      <c r="SVC42" s="595"/>
      <c r="SVD42" s="595"/>
      <c r="SVE42" s="595"/>
      <c r="SVF42" s="595"/>
      <c r="SVG42" s="595"/>
      <c r="SVH42" s="595"/>
      <c r="SVI42" s="595"/>
      <c r="SVJ42" s="595"/>
      <c r="SVK42" s="595"/>
      <c r="SVL42" s="595"/>
      <c r="SVM42" s="595"/>
      <c r="SVN42" s="595"/>
      <c r="SVO42" s="595"/>
      <c r="SVP42" s="595"/>
      <c r="SVQ42" s="595"/>
      <c r="SVR42" s="595"/>
      <c r="SVS42" s="595"/>
      <c r="SVT42" s="595"/>
      <c r="SVU42" s="595"/>
      <c r="SVV42" s="595"/>
      <c r="SVW42" s="595"/>
      <c r="SVX42" s="595"/>
      <c r="SVY42" s="595"/>
      <c r="SVZ42" s="595"/>
      <c r="SWA42" s="595"/>
      <c r="SWB42" s="595"/>
      <c r="SWC42" s="595"/>
      <c r="SWD42" s="595"/>
      <c r="SWE42" s="595"/>
      <c r="SWF42" s="595"/>
      <c r="SWG42" s="595"/>
      <c r="SWH42" s="595"/>
      <c r="SWI42" s="595"/>
      <c r="SWJ42" s="595"/>
      <c r="SWK42" s="595"/>
      <c r="SWL42" s="595"/>
      <c r="SWM42" s="595"/>
      <c r="SWN42" s="595"/>
      <c r="SWO42" s="595"/>
      <c r="SWP42" s="595"/>
      <c r="SWQ42" s="595"/>
      <c r="SWR42" s="595"/>
      <c r="SWS42" s="595"/>
      <c r="SWT42" s="595"/>
      <c r="SWU42" s="595"/>
      <c r="SWV42" s="595"/>
      <c r="SWW42" s="595"/>
      <c r="SWX42" s="595"/>
      <c r="SWY42" s="595"/>
      <c r="SWZ42" s="595"/>
      <c r="SXA42" s="595"/>
      <c r="SXB42" s="595"/>
      <c r="SXC42" s="595"/>
      <c r="SXD42" s="595"/>
      <c r="SXE42" s="595"/>
      <c r="SXF42" s="595"/>
      <c r="SXG42" s="595"/>
      <c r="SXH42" s="595"/>
      <c r="SXI42" s="595"/>
      <c r="SXJ42" s="595"/>
      <c r="SXK42" s="595"/>
      <c r="SXL42" s="595"/>
      <c r="SXM42" s="595"/>
      <c r="SXN42" s="595"/>
      <c r="SXO42" s="595"/>
      <c r="SXP42" s="595"/>
      <c r="SXQ42" s="595"/>
      <c r="SXR42" s="595"/>
      <c r="SXS42" s="595"/>
      <c r="SXT42" s="595"/>
      <c r="SXU42" s="595"/>
      <c r="SXV42" s="595"/>
      <c r="SXW42" s="595"/>
      <c r="SXX42" s="595"/>
      <c r="SXY42" s="595"/>
      <c r="SXZ42" s="595"/>
      <c r="SYA42" s="595"/>
      <c r="SYB42" s="595"/>
      <c r="SYC42" s="595"/>
      <c r="SYD42" s="595"/>
      <c r="SYE42" s="595"/>
      <c r="SYF42" s="595"/>
      <c r="SYG42" s="595"/>
      <c r="SYH42" s="595"/>
      <c r="SYI42" s="595"/>
      <c r="SYJ42" s="595"/>
      <c r="SYK42" s="595"/>
      <c r="SYL42" s="595"/>
      <c r="SYM42" s="595"/>
      <c r="SYN42" s="595"/>
      <c r="SYO42" s="595"/>
      <c r="SYP42" s="595"/>
      <c r="SYQ42" s="595"/>
      <c r="SYR42" s="595"/>
      <c r="SYS42" s="595"/>
      <c r="SYT42" s="595"/>
      <c r="SYU42" s="595"/>
      <c r="SYV42" s="595"/>
      <c r="SYW42" s="595"/>
      <c r="SYX42" s="595"/>
      <c r="SYY42" s="595"/>
      <c r="SYZ42" s="595"/>
      <c r="SZA42" s="595"/>
      <c r="SZB42" s="595"/>
      <c r="SZC42" s="595"/>
      <c r="SZD42" s="595"/>
      <c r="SZE42" s="595"/>
      <c r="SZF42" s="595"/>
      <c r="SZG42" s="595"/>
      <c r="SZH42" s="595"/>
      <c r="SZI42" s="595"/>
      <c r="SZJ42" s="595"/>
      <c r="SZK42" s="595"/>
      <c r="SZL42" s="595"/>
      <c r="SZM42" s="595"/>
      <c r="SZN42" s="595"/>
      <c r="SZO42" s="595"/>
      <c r="SZP42" s="595"/>
      <c r="SZQ42" s="595"/>
      <c r="SZR42" s="595"/>
      <c r="SZS42" s="595"/>
      <c r="SZT42" s="595"/>
      <c r="SZU42" s="595"/>
      <c r="SZV42" s="595"/>
      <c r="SZW42" s="595"/>
      <c r="SZX42" s="595"/>
      <c r="SZY42" s="595"/>
      <c r="SZZ42" s="595"/>
      <c r="TAA42" s="595"/>
      <c r="TAB42" s="595"/>
      <c r="TAC42" s="595"/>
      <c r="TAD42" s="595"/>
      <c r="TAE42" s="595"/>
      <c r="TAF42" s="595"/>
      <c r="TAG42" s="595"/>
      <c r="TAH42" s="595"/>
      <c r="TAI42" s="595"/>
      <c r="TAJ42" s="595"/>
      <c r="TAK42" s="595"/>
      <c r="TAL42" s="595"/>
      <c r="TAM42" s="595"/>
      <c r="TAN42" s="595"/>
      <c r="TAO42" s="595"/>
      <c r="TAP42" s="595"/>
      <c r="TAQ42" s="595"/>
      <c r="TAR42" s="595"/>
      <c r="TAS42" s="595"/>
      <c r="TAT42" s="595"/>
      <c r="TAU42" s="595"/>
      <c r="TAV42" s="595"/>
      <c r="TAW42" s="595"/>
      <c r="TAX42" s="595"/>
      <c r="TAY42" s="595"/>
      <c r="TAZ42" s="595"/>
      <c r="TBA42" s="595"/>
      <c r="TBB42" s="595"/>
      <c r="TBC42" s="595"/>
      <c r="TBD42" s="595"/>
      <c r="TBE42" s="595"/>
      <c r="TBF42" s="595"/>
      <c r="TBG42" s="595"/>
      <c r="TBH42" s="595"/>
      <c r="TBI42" s="595"/>
      <c r="TBJ42" s="595"/>
      <c r="TBK42" s="595"/>
      <c r="TBL42" s="595"/>
      <c r="TBM42" s="595"/>
      <c r="TBN42" s="595"/>
      <c r="TBO42" s="595"/>
      <c r="TBP42" s="595"/>
      <c r="TBQ42" s="595"/>
      <c r="TBR42" s="595"/>
      <c r="TBS42" s="595"/>
      <c r="TBT42" s="595"/>
      <c r="TBU42" s="595"/>
      <c r="TBV42" s="595"/>
      <c r="TBW42" s="595"/>
      <c r="TBX42" s="595"/>
      <c r="TBY42" s="595"/>
      <c r="TBZ42" s="595"/>
      <c r="TCA42" s="595"/>
      <c r="TCB42" s="595"/>
      <c r="TCC42" s="595"/>
      <c r="TCD42" s="595"/>
      <c r="TCE42" s="595"/>
      <c r="TCF42" s="595"/>
      <c r="TCG42" s="595"/>
      <c r="TCH42" s="595"/>
      <c r="TCI42" s="595"/>
      <c r="TCJ42" s="595"/>
      <c r="TCK42" s="595"/>
      <c r="TCL42" s="595"/>
      <c r="TCM42" s="595"/>
      <c r="TCN42" s="595"/>
      <c r="TCO42" s="595"/>
      <c r="TCP42" s="595"/>
      <c r="TCQ42" s="595"/>
      <c r="TCR42" s="595"/>
      <c r="TCS42" s="595"/>
      <c r="TCT42" s="595"/>
      <c r="TCU42" s="595"/>
      <c r="TCV42" s="595"/>
      <c r="TCW42" s="595"/>
      <c r="TCX42" s="595"/>
      <c r="TCY42" s="595"/>
      <c r="TCZ42" s="595"/>
      <c r="TDA42" s="595"/>
      <c r="TDB42" s="595"/>
      <c r="TDC42" s="595"/>
      <c r="TDD42" s="595"/>
      <c r="TDE42" s="595"/>
      <c r="TDF42" s="595"/>
      <c r="TDG42" s="595"/>
      <c r="TDH42" s="595"/>
      <c r="TDI42" s="595"/>
      <c r="TDJ42" s="595"/>
      <c r="TDK42" s="595"/>
      <c r="TDL42" s="595"/>
      <c r="TDM42" s="595"/>
      <c r="TDN42" s="595"/>
      <c r="TDO42" s="595"/>
      <c r="TDP42" s="595"/>
      <c r="TDQ42" s="595"/>
      <c r="TDR42" s="595"/>
      <c r="TDS42" s="595"/>
      <c r="TDT42" s="595"/>
      <c r="TDU42" s="595"/>
      <c r="TDV42" s="595"/>
      <c r="TDW42" s="595"/>
      <c r="TDX42" s="595"/>
      <c r="TDY42" s="595"/>
      <c r="TDZ42" s="595"/>
      <c r="TEA42" s="595"/>
      <c r="TEB42" s="595"/>
      <c r="TEC42" s="595"/>
      <c r="TED42" s="595"/>
      <c r="TEE42" s="595"/>
      <c r="TEF42" s="595"/>
      <c r="TEG42" s="595"/>
      <c r="TEH42" s="595"/>
      <c r="TEI42" s="595"/>
      <c r="TEJ42" s="595"/>
      <c r="TEK42" s="595"/>
      <c r="TEL42" s="595"/>
      <c r="TEM42" s="595"/>
      <c r="TEN42" s="595"/>
      <c r="TEO42" s="595"/>
      <c r="TEP42" s="595"/>
      <c r="TEQ42" s="595"/>
      <c r="TER42" s="595"/>
      <c r="TES42" s="595"/>
      <c r="TET42" s="595"/>
      <c r="TEU42" s="595"/>
      <c r="TEV42" s="595"/>
      <c r="TEW42" s="595"/>
      <c r="TEX42" s="595"/>
      <c r="TEY42" s="595"/>
      <c r="TEZ42" s="595"/>
      <c r="TFA42" s="595"/>
      <c r="TFB42" s="595"/>
      <c r="TFC42" s="595"/>
      <c r="TFD42" s="595"/>
      <c r="TFE42" s="595"/>
      <c r="TFF42" s="595"/>
      <c r="TFG42" s="595"/>
      <c r="TFH42" s="595"/>
      <c r="TFI42" s="595"/>
      <c r="TFJ42" s="595"/>
      <c r="TFK42" s="595"/>
      <c r="TFL42" s="595"/>
      <c r="TFM42" s="595"/>
      <c r="TFN42" s="595"/>
      <c r="TFO42" s="595"/>
      <c r="TFP42" s="595"/>
      <c r="TFQ42" s="595"/>
      <c r="TFR42" s="595"/>
      <c r="TFS42" s="595"/>
      <c r="TFT42" s="595"/>
      <c r="TFU42" s="595"/>
      <c r="TFV42" s="595"/>
      <c r="TFW42" s="595"/>
      <c r="TFX42" s="595"/>
      <c r="TFY42" s="595"/>
      <c r="TFZ42" s="595"/>
      <c r="TGA42" s="595"/>
      <c r="TGB42" s="595"/>
      <c r="TGC42" s="595"/>
      <c r="TGD42" s="595"/>
      <c r="TGE42" s="595"/>
      <c r="TGF42" s="595"/>
      <c r="TGG42" s="595"/>
      <c r="TGH42" s="595"/>
      <c r="TGI42" s="595"/>
      <c r="TGJ42" s="595"/>
      <c r="TGK42" s="595"/>
      <c r="TGL42" s="595"/>
      <c r="TGM42" s="595"/>
      <c r="TGN42" s="595"/>
      <c r="TGO42" s="595"/>
      <c r="TGP42" s="595"/>
      <c r="TGQ42" s="595"/>
      <c r="TGR42" s="595"/>
      <c r="TGS42" s="595"/>
      <c r="TGT42" s="595"/>
      <c r="TGU42" s="595"/>
      <c r="TGV42" s="595"/>
      <c r="TGW42" s="595"/>
      <c r="TGX42" s="595"/>
      <c r="TGY42" s="595"/>
      <c r="TGZ42" s="595"/>
      <c r="THA42" s="595"/>
      <c r="THB42" s="595"/>
      <c r="THC42" s="595"/>
      <c r="THD42" s="595"/>
      <c r="THE42" s="595"/>
      <c r="THF42" s="595"/>
      <c r="THG42" s="595"/>
      <c r="THH42" s="595"/>
      <c r="THI42" s="595"/>
      <c r="THJ42" s="595"/>
      <c r="THK42" s="595"/>
      <c r="THL42" s="595"/>
      <c r="THM42" s="595"/>
      <c r="THN42" s="595"/>
      <c r="THO42" s="595"/>
      <c r="THP42" s="595"/>
      <c r="THQ42" s="595"/>
      <c r="THR42" s="595"/>
      <c r="THS42" s="595"/>
      <c r="THT42" s="595"/>
      <c r="THU42" s="595"/>
      <c r="THV42" s="595"/>
      <c r="THW42" s="595"/>
      <c r="THX42" s="595"/>
      <c r="THY42" s="595"/>
      <c r="THZ42" s="595"/>
      <c r="TIA42" s="595"/>
      <c r="TIB42" s="595"/>
      <c r="TIC42" s="595"/>
      <c r="TID42" s="595"/>
      <c r="TIE42" s="595"/>
      <c r="TIF42" s="595"/>
      <c r="TIG42" s="595"/>
      <c r="TIH42" s="595"/>
      <c r="TII42" s="595"/>
      <c r="TIJ42" s="595"/>
      <c r="TIK42" s="595"/>
      <c r="TIL42" s="595"/>
      <c r="TIM42" s="595"/>
      <c r="TIN42" s="595"/>
      <c r="TIO42" s="595"/>
      <c r="TIP42" s="595"/>
      <c r="TIQ42" s="595"/>
      <c r="TIR42" s="595"/>
      <c r="TIS42" s="595"/>
      <c r="TIT42" s="595"/>
      <c r="TIU42" s="595"/>
      <c r="TIV42" s="595"/>
      <c r="TIW42" s="595"/>
      <c r="TIX42" s="595"/>
      <c r="TIY42" s="595"/>
      <c r="TIZ42" s="595"/>
      <c r="TJA42" s="595"/>
      <c r="TJB42" s="595"/>
      <c r="TJC42" s="595"/>
      <c r="TJD42" s="595"/>
      <c r="TJE42" s="595"/>
      <c r="TJF42" s="595"/>
      <c r="TJG42" s="595"/>
      <c r="TJH42" s="595"/>
      <c r="TJI42" s="595"/>
      <c r="TJJ42" s="595"/>
      <c r="TJK42" s="595"/>
      <c r="TJL42" s="595"/>
      <c r="TJM42" s="595"/>
      <c r="TJN42" s="595"/>
      <c r="TJO42" s="595"/>
      <c r="TJP42" s="595"/>
      <c r="TJQ42" s="595"/>
      <c r="TJR42" s="595"/>
      <c r="TJS42" s="595"/>
      <c r="TJT42" s="595"/>
      <c r="TJU42" s="595"/>
      <c r="TJV42" s="595"/>
      <c r="TJW42" s="595"/>
      <c r="TJX42" s="595"/>
      <c r="TJY42" s="595"/>
      <c r="TJZ42" s="595"/>
      <c r="TKA42" s="595"/>
      <c r="TKB42" s="595"/>
      <c r="TKC42" s="595"/>
      <c r="TKD42" s="595"/>
      <c r="TKE42" s="595"/>
      <c r="TKF42" s="595"/>
      <c r="TKG42" s="595"/>
      <c r="TKH42" s="595"/>
      <c r="TKI42" s="595"/>
      <c r="TKJ42" s="595"/>
      <c r="TKK42" s="595"/>
      <c r="TKL42" s="595"/>
      <c r="TKM42" s="595"/>
      <c r="TKN42" s="595"/>
      <c r="TKO42" s="595"/>
      <c r="TKP42" s="595"/>
      <c r="TKQ42" s="595"/>
      <c r="TKR42" s="595"/>
      <c r="TKS42" s="595"/>
      <c r="TKT42" s="595"/>
      <c r="TKU42" s="595"/>
      <c r="TKV42" s="595"/>
      <c r="TKW42" s="595"/>
      <c r="TKX42" s="595"/>
      <c r="TKY42" s="595"/>
      <c r="TKZ42" s="595"/>
      <c r="TLA42" s="595"/>
      <c r="TLB42" s="595"/>
      <c r="TLC42" s="595"/>
      <c r="TLD42" s="595"/>
      <c r="TLE42" s="595"/>
      <c r="TLF42" s="595"/>
      <c r="TLG42" s="595"/>
      <c r="TLH42" s="595"/>
      <c r="TLI42" s="595"/>
      <c r="TLJ42" s="595"/>
      <c r="TLK42" s="595"/>
      <c r="TLL42" s="595"/>
      <c r="TLM42" s="595"/>
      <c r="TLN42" s="595"/>
      <c r="TLO42" s="595"/>
      <c r="TLP42" s="595"/>
      <c r="TLQ42" s="595"/>
      <c r="TLR42" s="595"/>
      <c r="TLS42" s="595"/>
      <c r="TLT42" s="595"/>
      <c r="TLU42" s="595"/>
      <c r="TLV42" s="595"/>
      <c r="TLW42" s="595"/>
      <c r="TLX42" s="595"/>
      <c r="TLY42" s="595"/>
      <c r="TLZ42" s="595"/>
      <c r="TMA42" s="595"/>
      <c r="TMB42" s="595"/>
      <c r="TMC42" s="595"/>
      <c r="TMD42" s="595"/>
      <c r="TME42" s="595"/>
      <c r="TMF42" s="595"/>
      <c r="TMG42" s="595"/>
      <c r="TMH42" s="595"/>
      <c r="TMI42" s="595"/>
      <c r="TMJ42" s="595"/>
      <c r="TMK42" s="595"/>
      <c r="TML42" s="595"/>
      <c r="TMM42" s="595"/>
      <c r="TMN42" s="595"/>
      <c r="TMO42" s="595"/>
      <c r="TMP42" s="595"/>
      <c r="TMQ42" s="595"/>
      <c r="TMR42" s="595"/>
      <c r="TMS42" s="595"/>
      <c r="TMT42" s="595"/>
      <c r="TMU42" s="595"/>
      <c r="TMV42" s="595"/>
      <c r="TMW42" s="595"/>
      <c r="TMX42" s="595"/>
      <c r="TMY42" s="595"/>
      <c r="TMZ42" s="595"/>
      <c r="TNA42" s="595"/>
      <c r="TNB42" s="595"/>
      <c r="TNC42" s="595"/>
      <c r="TND42" s="595"/>
      <c r="TNE42" s="595"/>
      <c r="TNF42" s="595"/>
      <c r="TNG42" s="595"/>
      <c r="TNH42" s="595"/>
      <c r="TNI42" s="595"/>
      <c r="TNJ42" s="595"/>
      <c r="TNK42" s="595"/>
      <c r="TNL42" s="595"/>
      <c r="TNM42" s="595"/>
      <c r="TNN42" s="595"/>
      <c r="TNO42" s="595"/>
      <c r="TNP42" s="595"/>
      <c r="TNQ42" s="595"/>
      <c r="TNR42" s="595"/>
      <c r="TNS42" s="595"/>
      <c r="TNT42" s="595"/>
      <c r="TNU42" s="595"/>
      <c r="TNV42" s="595"/>
      <c r="TNW42" s="595"/>
      <c r="TNX42" s="595"/>
      <c r="TNY42" s="595"/>
      <c r="TNZ42" s="595"/>
      <c r="TOA42" s="595"/>
      <c r="TOB42" s="595"/>
      <c r="TOC42" s="595"/>
      <c r="TOD42" s="595"/>
      <c r="TOE42" s="595"/>
      <c r="TOF42" s="595"/>
      <c r="TOG42" s="595"/>
      <c r="TOH42" s="595"/>
      <c r="TOI42" s="595"/>
      <c r="TOJ42" s="595"/>
      <c r="TOK42" s="595"/>
      <c r="TOL42" s="595"/>
      <c r="TOM42" s="595"/>
      <c r="TON42" s="595"/>
      <c r="TOO42" s="595"/>
      <c r="TOP42" s="595"/>
      <c r="TOQ42" s="595"/>
      <c r="TOR42" s="595"/>
      <c r="TOS42" s="595"/>
      <c r="TOT42" s="595"/>
      <c r="TOU42" s="595"/>
      <c r="TOV42" s="595"/>
      <c r="TOW42" s="595"/>
      <c r="TOX42" s="595"/>
      <c r="TOY42" s="595"/>
      <c r="TOZ42" s="595"/>
      <c r="TPA42" s="595"/>
      <c r="TPB42" s="595"/>
      <c r="TPC42" s="595"/>
      <c r="TPD42" s="595"/>
      <c r="TPE42" s="595"/>
      <c r="TPF42" s="595"/>
      <c r="TPG42" s="595"/>
      <c r="TPH42" s="595"/>
      <c r="TPI42" s="595"/>
      <c r="TPJ42" s="595"/>
      <c r="TPK42" s="595"/>
      <c r="TPL42" s="595"/>
      <c r="TPM42" s="595"/>
      <c r="TPN42" s="595"/>
      <c r="TPO42" s="595"/>
      <c r="TPP42" s="595"/>
      <c r="TPQ42" s="595"/>
      <c r="TPR42" s="595"/>
      <c r="TPS42" s="595"/>
      <c r="TPT42" s="595"/>
      <c r="TPU42" s="595"/>
      <c r="TPV42" s="595"/>
      <c r="TPW42" s="595"/>
      <c r="TPX42" s="595"/>
      <c r="TPY42" s="595"/>
      <c r="TPZ42" s="595"/>
      <c r="TQA42" s="595"/>
      <c r="TQB42" s="595"/>
      <c r="TQC42" s="595"/>
      <c r="TQD42" s="595"/>
      <c r="TQE42" s="595"/>
      <c r="TQF42" s="595"/>
      <c r="TQG42" s="595"/>
      <c r="TQH42" s="595"/>
      <c r="TQI42" s="595"/>
      <c r="TQJ42" s="595"/>
      <c r="TQK42" s="595"/>
      <c r="TQL42" s="595"/>
      <c r="TQM42" s="595"/>
      <c r="TQN42" s="595"/>
      <c r="TQO42" s="595"/>
      <c r="TQP42" s="595"/>
      <c r="TQQ42" s="595"/>
      <c r="TQR42" s="595"/>
      <c r="TQS42" s="595"/>
      <c r="TQT42" s="595"/>
      <c r="TQU42" s="595"/>
      <c r="TQV42" s="595"/>
      <c r="TQW42" s="595"/>
      <c r="TQX42" s="595"/>
      <c r="TQY42" s="595"/>
      <c r="TQZ42" s="595"/>
      <c r="TRA42" s="595"/>
      <c r="TRB42" s="595"/>
      <c r="TRC42" s="595"/>
      <c r="TRD42" s="595"/>
      <c r="TRE42" s="595"/>
      <c r="TRF42" s="595"/>
      <c r="TRG42" s="595"/>
      <c r="TRH42" s="595"/>
      <c r="TRI42" s="595"/>
      <c r="TRJ42" s="595"/>
      <c r="TRK42" s="595"/>
      <c r="TRL42" s="595"/>
      <c r="TRM42" s="595"/>
      <c r="TRN42" s="595"/>
      <c r="TRO42" s="595"/>
      <c r="TRP42" s="595"/>
      <c r="TRQ42" s="595"/>
      <c r="TRR42" s="595"/>
      <c r="TRS42" s="595"/>
      <c r="TRT42" s="595"/>
      <c r="TRU42" s="595"/>
      <c r="TRV42" s="595"/>
      <c r="TRW42" s="595"/>
      <c r="TRX42" s="595"/>
      <c r="TRY42" s="595"/>
      <c r="TRZ42" s="595"/>
      <c r="TSA42" s="595"/>
      <c r="TSB42" s="595"/>
      <c r="TSC42" s="595"/>
      <c r="TSD42" s="595"/>
      <c r="TSE42" s="595"/>
      <c r="TSF42" s="595"/>
      <c r="TSG42" s="595"/>
      <c r="TSH42" s="595"/>
      <c r="TSI42" s="595"/>
      <c r="TSJ42" s="595"/>
      <c r="TSK42" s="595"/>
      <c r="TSL42" s="595"/>
      <c r="TSM42" s="595"/>
      <c r="TSN42" s="595"/>
      <c r="TSO42" s="595"/>
      <c r="TSP42" s="595"/>
      <c r="TSQ42" s="595"/>
      <c r="TSR42" s="595"/>
      <c r="TSS42" s="595"/>
      <c r="TST42" s="595"/>
      <c r="TSU42" s="595"/>
      <c r="TSV42" s="595"/>
      <c r="TSW42" s="595"/>
      <c r="TSX42" s="595"/>
      <c r="TSY42" s="595"/>
      <c r="TSZ42" s="595"/>
      <c r="TTA42" s="595"/>
      <c r="TTB42" s="595"/>
      <c r="TTC42" s="595"/>
      <c r="TTD42" s="595"/>
      <c r="TTE42" s="595"/>
      <c r="TTF42" s="595"/>
      <c r="TTG42" s="595"/>
      <c r="TTH42" s="595"/>
      <c r="TTI42" s="595"/>
      <c r="TTJ42" s="595"/>
      <c r="TTK42" s="595"/>
      <c r="TTL42" s="595"/>
      <c r="TTM42" s="595"/>
      <c r="TTN42" s="595"/>
      <c r="TTO42" s="595"/>
      <c r="TTP42" s="595"/>
      <c r="TTQ42" s="595"/>
      <c r="TTR42" s="595"/>
      <c r="TTS42" s="595"/>
      <c r="TTT42" s="595"/>
      <c r="TTU42" s="595"/>
      <c r="TTV42" s="595"/>
      <c r="TTW42" s="595"/>
      <c r="TTX42" s="595"/>
      <c r="TTY42" s="595"/>
      <c r="TTZ42" s="595"/>
      <c r="TUA42" s="595"/>
      <c r="TUB42" s="595"/>
      <c r="TUC42" s="595"/>
      <c r="TUD42" s="595"/>
      <c r="TUE42" s="595"/>
      <c r="TUF42" s="595"/>
      <c r="TUG42" s="595"/>
      <c r="TUH42" s="595"/>
      <c r="TUI42" s="595"/>
      <c r="TUJ42" s="595"/>
      <c r="TUK42" s="595"/>
      <c r="TUL42" s="595"/>
      <c r="TUM42" s="595"/>
      <c r="TUN42" s="595"/>
      <c r="TUO42" s="595"/>
      <c r="TUP42" s="595"/>
      <c r="TUQ42" s="595"/>
      <c r="TUR42" s="595"/>
      <c r="TUS42" s="595"/>
      <c r="TUT42" s="595"/>
      <c r="TUU42" s="595"/>
      <c r="TUV42" s="595"/>
      <c r="TUW42" s="595"/>
      <c r="TUX42" s="595"/>
      <c r="TUY42" s="595"/>
      <c r="TUZ42" s="595"/>
      <c r="TVA42" s="595"/>
      <c r="TVB42" s="595"/>
      <c r="TVC42" s="595"/>
      <c r="TVD42" s="595"/>
      <c r="TVE42" s="595"/>
      <c r="TVF42" s="595"/>
      <c r="TVG42" s="595"/>
      <c r="TVH42" s="595"/>
      <c r="TVI42" s="595"/>
      <c r="TVJ42" s="595"/>
      <c r="TVK42" s="595"/>
      <c r="TVL42" s="595"/>
      <c r="TVM42" s="595"/>
      <c r="TVN42" s="595"/>
      <c r="TVO42" s="595"/>
      <c r="TVP42" s="595"/>
      <c r="TVQ42" s="595"/>
      <c r="TVR42" s="595"/>
      <c r="TVS42" s="595"/>
      <c r="TVT42" s="595"/>
      <c r="TVU42" s="595"/>
      <c r="TVV42" s="595"/>
      <c r="TVW42" s="595"/>
      <c r="TVX42" s="595"/>
      <c r="TVY42" s="595"/>
      <c r="TVZ42" s="595"/>
      <c r="TWA42" s="595"/>
      <c r="TWB42" s="595"/>
      <c r="TWC42" s="595"/>
      <c r="TWD42" s="595"/>
      <c r="TWE42" s="595"/>
      <c r="TWF42" s="595"/>
      <c r="TWG42" s="595"/>
      <c r="TWH42" s="595"/>
      <c r="TWI42" s="595"/>
      <c r="TWJ42" s="595"/>
      <c r="TWK42" s="595"/>
      <c r="TWL42" s="595"/>
      <c r="TWM42" s="595"/>
      <c r="TWN42" s="595"/>
      <c r="TWO42" s="595"/>
      <c r="TWP42" s="595"/>
      <c r="TWQ42" s="595"/>
      <c r="TWR42" s="595"/>
      <c r="TWS42" s="595"/>
      <c r="TWT42" s="595"/>
      <c r="TWU42" s="595"/>
      <c r="TWV42" s="595"/>
      <c r="TWW42" s="595"/>
      <c r="TWX42" s="595"/>
      <c r="TWY42" s="595"/>
      <c r="TWZ42" s="595"/>
      <c r="TXA42" s="595"/>
      <c r="TXB42" s="595"/>
      <c r="TXC42" s="595"/>
      <c r="TXD42" s="595"/>
      <c r="TXE42" s="595"/>
      <c r="TXF42" s="595"/>
      <c r="TXG42" s="595"/>
      <c r="TXH42" s="595"/>
      <c r="TXI42" s="595"/>
      <c r="TXJ42" s="595"/>
      <c r="TXK42" s="595"/>
      <c r="TXL42" s="595"/>
      <c r="TXM42" s="595"/>
      <c r="TXN42" s="595"/>
      <c r="TXO42" s="595"/>
      <c r="TXP42" s="595"/>
      <c r="TXQ42" s="595"/>
      <c r="TXR42" s="595"/>
      <c r="TXS42" s="595"/>
      <c r="TXT42" s="595"/>
      <c r="TXU42" s="595"/>
      <c r="TXV42" s="595"/>
      <c r="TXW42" s="595"/>
      <c r="TXX42" s="595"/>
      <c r="TXY42" s="595"/>
      <c r="TXZ42" s="595"/>
      <c r="TYA42" s="595"/>
      <c r="TYB42" s="595"/>
      <c r="TYC42" s="595"/>
      <c r="TYD42" s="595"/>
      <c r="TYE42" s="595"/>
      <c r="TYF42" s="595"/>
      <c r="TYG42" s="595"/>
      <c r="TYH42" s="595"/>
      <c r="TYI42" s="595"/>
      <c r="TYJ42" s="595"/>
      <c r="TYK42" s="595"/>
      <c r="TYL42" s="595"/>
      <c r="TYM42" s="595"/>
      <c r="TYN42" s="595"/>
      <c r="TYO42" s="595"/>
      <c r="TYP42" s="595"/>
      <c r="TYQ42" s="595"/>
      <c r="TYR42" s="595"/>
      <c r="TYS42" s="595"/>
      <c r="TYT42" s="595"/>
      <c r="TYU42" s="595"/>
      <c r="TYV42" s="595"/>
      <c r="TYW42" s="595"/>
      <c r="TYX42" s="595"/>
      <c r="TYY42" s="595"/>
      <c r="TYZ42" s="595"/>
      <c r="TZA42" s="595"/>
      <c r="TZB42" s="595"/>
      <c r="TZC42" s="595"/>
      <c r="TZD42" s="595"/>
      <c r="TZE42" s="595"/>
      <c r="TZF42" s="595"/>
      <c r="TZG42" s="595"/>
      <c r="TZH42" s="595"/>
      <c r="TZI42" s="595"/>
      <c r="TZJ42" s="595"/>
      <c r="TZK42" s="595"/>
      <c r="TZL42" s="595"/>
      <c r="TZM42" s="595"/>
      <c r="TZN42" s="595"/>
      <c r="TZO42" s="595"/>
      <c r="TZP42" s="595"/>
      <c r="TZQ42" s="595"/>
      <c r="TZR42" s="595"/>
      <c r="TZS42" s="595"/>
      <c r="TZT42" s="595"/>
      <c r="TZU42" s="595"/>
      <c r="TZV42" s="595"/>
      <c r="TZW42" s="595"/>
      <c r="TZX42" s="595"/>
      <c r="TZY42" s="595"/>
      <c r="TZZ42" s="595"/>
      <c r="UAA42" s="595"/>
      <c r="UAB42" s="595"/>
      <c r="UAC42" s="595"/>
      <c r="UAD42" s="595"/>
      <c r="UAE42" s="595"/>
      <c r="UAF42" s="595"/>
      <c r="UAG42" s="595"/>
      <c r="UAH42" s="595"/>
      <c r="UAI42" s="595"/>
      <c r="UAJ42" s="595"/>
      <c r="UAK42" s="595"/>
      <c r="UAL42" s="595"/>
      <c r="UAM42" s="595"/>
      <c r="UAN42" s="595"/>
      <c r="UAO42" s="595"/>
      <c r="UAP42" s="595"/>
      <c r="UAQ42" s="595"/>
      <c r="UAR42" s="595"/>
      <c r="UAS42" s="595"/>
      <c r="UAT42" s="595"/>
      <c r="UAU42" s="595"/>
      <c r="UAV42" s="595"/>
      <c r="UAW42" s="595"/>
      <c r="UAX42" s="595"/>
      <c r="UAY42" s="595"/>
      <c r="UAZ42" s="595"/>
      <c r="UBA42" s="595"/>
      <c r="UBB42" s="595"/>
      <c r="UBC42" s="595"/>
      <c r="UBD42" s="595"/>
      <c r="UBE42" s="595"/>
      <c r="UBF42" s="595"/>
      <c r="UBG42" s="595"/>
      <c r="UBH42" s="595"/>
      <c r="UBI42" s="595"/>
      <c r="UBJ42" s="595"/>
      <c r="UBK42" s="595"/>
      <c r="UBL42" s="595"/>
      <c r="UBM42" s="595"/>
      <c r="UBN42" s="595"/>
      <c r="UBO42" s="595"/>
      <c r="UBP42" s="595"/>
      <c r="UBQ42" s="595"/>
      <c r="UBR42" s="595"/>
      <c r="UBS42" s="595"/>
      <c r="UBT42" s="595"/>
      <c r="UBU42" s="595"/>
      <c r="UBV42" s="595"/>
      <c r="UBW42" s="595"/>
      <c r="UBX42" s="595"/>
      <c r="UBY42" s="595"/>
      <c r="UBZ42" s="595"/>
      <c r="UCA42" s="595"/>
      <c r="UCB42" s="595"/>
      <c r="UCC42" s="595"/>
      <c r="UCD42" s="595"/>
      <c r="UCE42" s="595"/>
      <c r="UCF42" s="595"/>
      <c r="UCG42" s="595"/>
      <c r="UCH42" s="595"/>
      <c r="UCI42" s="595"/>
      <c r="UCJ42" s="595"/>
      <c r="UCK42" s="595"/>
      <c r="UCL42" s="595"/>
      <c r="UCM42" s="595"/>
      <c r="UCN42" s="595"/>
      <c r="UCO42" s="595"/>
      <c r="UCP42" s="595"/>
      <c r="UCQ42" s="595"/>
      <c r="UCR42" s="595"/>
      <c r="UCS42" s="595"/>
      <c r="UCT42" s="595"/>
      <c r="UCU42" s="595"/>
      <c r="UCV42" s="595"/>
      <c r="UCW42" s="595"/>
      <c r="UCX42" s="595"/>
      <c r="UCY42" s="595"/>
      <c r="UCZ42" s="595"/>
      <c r="UDA42" s="595"/>
      <c r="UDB42" s="595"/>
      <c r="UDC42" s="595"/>
      <c r="UDD42" s="595"/>
      <c r="UDE42" s="595"/>
      <c r="UDF42" s="595"/>
      <c r="UDG42" s="595"/>
      <c r="UDH42" s="595"/>
      <c r="UDI42" s="595"/>
      <c r="UDJ42" s="595"/>
      <c r="UDK42" s="595"/>
      <c r="UDL42" s="595"/>
      <c r="UDM42" s="595"/>
      <c r="UDN42" s="595"/>
      <c r="UDO42" s="595"/>
      <c r="UDP42" s="595"/>
      <c r="UDQ42" s="595"/>
      <c r="UDR42" s="595"/>
      <c r="UDS42" s="595"/>
      <c r="UDT42" s="595"/>
      <c r="UDU42" s="595"/>
      <c r="UDV42" s="595"/>
      <c r="UDW42" s="595"/>
      <c r="UDX42" s="595"/>
      <c r="UDY42" s="595"/>
      <c r="UDZ42" s="595"/>
      <c r="UEA42" s="595"/>
      <c r="UEB42" s="595"/>
      <c r="UEC42" s="595"/>
      <c r="UED42" s="595"/>
      <c r="UEE42" s="595"/>
      <c r="UEF42" s="595"/>
      <c r="UEG42" s="595"/>
      <c r="UEH42" s="595"/>
      <c r="UEI42" s="595"/>
      <c r="UEJ42" s="595"/>
      <c r="UEK42" s="595"/>
      <c r="UEL42" s="595"/>
      <c r="UEM42" s="595"/>
      <c r="UEN42" s="595"/>
      <c r="UEO42" s="595"/>
      <c r="UEP42" s="595"/>
      <c r="UEQ42" s="595"/>
      <c r="UER42" s="595"/>
      <c r="UES42" s="595"/>
      <c r="UET42" s="595"/>
      <c r="UEU42" s="595"/>
      <c r="UEV42" s="595"/>
      <c r="UEW42" s="595"/>
      <c r="UEX42" s="595"/>
      <c r="UEY42" s="595"/>
      <c r="UEZ42" s="595"/>
      <c r="UFA42" s="595"/>
      <c r="UFB42" s="595"/>
      <c r="UFC42" s="595"/>
      <c r="UFD42" s="595"/>
      <c r="UFE42" s="595"/>
      <c r="UFF42" s="595"/>
      <c r="UFG42" s="595"/>
      <c r="UFH42" s="595"/>
      <c r="UFI42" s="595"/>
      <c r="UFJ42" s="595"/>
      <c r="UFK42" s="595"/>
      <c r="UFL42" s="595"/>
      <c r="UFM42" s="595"/>
      <c r="UFN42" s="595"/>
      <c r="UFO42" s="595"/>
      <c r="UFP42" s="595"/>
      <c r="UFQ42" s="595"/>
      <c r="UFR42" s="595"/>
      <c r="UFS42" s="595"/>
      <c r="UFT42" s="595"/>
      <c r="UFU42" s="595"/>
      <c r="UFV42" s="595"/>
      <c r="UFW42" s="595"/>
      <c r="UFX42" s="595"/>
      <c r="UFY42" s="595"/>
      <c r="UFZ42" s="595"/>
      <c r="UGA42" s="595"/>
      <c r="UGB42" s="595"/>
      <c r="UGC42" s="595"/>
      <c r="UGD42" s="595"/>
      <c r="UGE42" s="595"/>
      <c r="UGF42" s="595"/>
      <c r="UGG42" s="595"/>
      <c r="UGH42" s="595"/>
      <c r="UGI42" s="595"/>
      <c r="UGJ42" s="595"/>
      <c r="UGK42" s="595"/>
      <c r="UGL42" s="595"/>
      <c r="UGM42" s="595"/>
      <c r="UGN42" s="595"/>
      <c r="UGO42" s="595"/>
      <c r="UGP42" s="595"/>
      <c r="UGQ42" s="595"/>
      <c r="UGR42" s="595"/>
      <c r="UGS42" s="595"/>
      <c r="UGT42" s="595"/>
      <c r="UGU42" s="595"/>
      <c r="UGV42" s="595"/>
      <c r="UGW42" s="595"/>
      <c r="UGX42" s="595"/>
      <c r="UGY42" s="595"/>
      <c r="UGZ42" s="595"/>
      <c r="UHA42" s="595"/>
      <c r="UHB42" s="595"/>
      <c r="UHC42" s="595"/>
      <c r="UHD42" s="595"/>
      <c r="UHE42" s="595"/>
      <c r="UHF42" s="595"/>
      <c r="UHG42" s="595"/>
      <c r="UHH42" s="595"/>
      <c r="UHI42" s="595"/>
      <c r="UHJ42" s="595"/>
      <c r="UHK42" s="595"/>
      <c r="UHL42" s="595"/>
      <c r="UHM42" s="595"/>
      <c r="UHN42" s="595"/>
      <c r="UHO42" s="595"/>
      <c r="UHP42" s="595"/>
      <c r="UHQ42" s="595"/>
      <c r="UHR42" s="595"/>
      <c r="UHS42" s="595"/>
      <c r="UHT42" s="595"/>
      <c r="UHU42" s="595"/>
      <c r="UHV42" s="595"/>
      <c r="UHW42" s="595"/>
      <c r="UHX42" s="595"/>
      <c r="UHY42" s="595"/>
      <c r="UHZ42" s="595"/>
      <c r="UIA42" s="595"/>
      <c r="UIB42" s="595"/>
      <c r="UIC42" s="595"/>
      <c r="UID42" s="595"/>
      <c r="UIE42" s="595"/>
      <c r="UIF42" s="595"/>
      <c r="UIG42" s="595"/>
      <c r="UIH42" s="595"/>
      <c r="UII42" s="595"/>
      <c r="UIJ42" s="595"/>
      <c r="UIK42" s="595"/>
      <c r="UIL42" s="595"/>
      <c r="UIM42" s="595"/>
      <c r="UIN42" s="595"/>
      <c r="UIO42" s="595"/>
      <c r="UIP42" s="595"/>
      <c r="UIQ42" s="595"/>
      <c r="UIR42" s="595"/>
      <c r="UIS42" s="595"/>
      <c r="UIT42" s="595"/>
      <c r="UIU42" s="595"/>
      <c r="UIV42" s="595"/>
      <c r="UIW42" s="595"/>
      <c r="UIX42" s="595"/>
      <c r="UIY42" s="595"/>
      <c r="UIZ42" s="595"/>
      <c r="UJA42" s="595"/>
      <c r="UJB42" s="595"/>
      <c r="UJC42" s="595"/>
      <c r="UJD42" s="595"/>
      <c r="UJE42" s="595"/>
      <c r="UJF42" s="595"/>
      <c r="UJG42" s="595"/>
      <c r="UJH42" s="595"/>
      <c r="UJI42" s="595"/>
      <c r="UJJ42" s="595"/>
      <c r="UJK42" s="595"/>
      <c r="UJL42" s="595"/>
      <c r="UJM42" s="595"/>
      <c r="UJN42" s="595"/>
      <c r="UJO42" s="595"/>
      <c r="UJP42" s="595"/>
      <c r="UJQ42" s="595"/>
      <c r="UJR42" s="595"/>
      <c r="UJS42" s="595"/>
      <c r="UJT42" s="595"/>
      <c r="UJU42" s="595"/>
      <c r="UJV42" s="595"/>
      <c r="UJW42" s="595"/>
      <c r="UJX42" s="595"/>
      <c r="UJY42" s="595"/>
      <c r="UJZ42" s="595"/>
      <c r="UKA42" s="595"/>
      <c r="UKB42" s="595"/>
      <c r="UKC42" s="595"/>
      <c r="UKD42" s="595"/>
      <c r="UKE42" s="595"/>
      <c r="UKF42" s="595"/>
      <c r="UKG42" s="595"/>
      <c r="UKH42" s="595"/>
      <c r="UKI42" s="595"/>
      <c r="UKJ42" s="595"/>
      <c r="UKK42" s="595"/>
      <c r="UKL42" s="595"/>
      <c r="UKM42" s="595"/>
      <c r="UKN42" s="595"/>
      <c r="UKO42" s="595"/>
      <c r="UKP42" s="595"/>
      <c r="UKQ42" s="595"/>
      <c r="UKR42" s="595"/>
      <c r="UKS42" s="595"/>
      <c r="UKT42" s="595"/>
      <c r="UKU42" s="595"/>
      <c r="UKV42" s="595"/>
      <c r="UKW42" s="595"/>
      <c r="UKX42" s="595"/>
      <c r="UKY42" s="595"/>
      <c r="UKZ42" s="595"/>
      <c r="ULA42" s="595"/>
      <c r="ULB42" s="595"/>
      <c r="ULC42" s="595"/>
      <c r="ULD42" s="595"/>
      <c r="ULE42" s="595"/>
      <c r="ULF42" s="595"/>
      <c r="ULG42" s="595"/>
      <c r="ULH42" s="595"/>
      <c r="ULI42" s="595"/>
      <c r="ULJ42" s="595"/>
      <c r="ULK42" s="595"/>
      <c r="ULL42" s="595"/>
      <c r="ULM42" s="595"/>
      <c r="ULN42" s="595"/>
      <c r="ULO42" s="595"/>
      <c r="ULP42" s="595"/>
      <c r="ULQ42" s="595"/>
      <c r="ULR42" s="595"/>
      <c r="ULS42" s="595"/>
      <c r="ULT42" s="595"/>
      <c r="ULU42" s="595"/>
      <c r="ULV42" s="595"/>
      <c r="ULW42" s="595"/>
      <c r="ULX42" s="595"/>
      <c r="ULY42" s="595"/>
      <c r="ULZ42" s="595"/>
      <c r="UMA42" s="595"/>
      <c r="UMB42" s="595"/>
      <c r="UMC42" s="595"/>
      <c r="UMD42" s="595"/>
      <c r="UME42" s="595"/>
      <c r="UMF42" s="595"/>
      <c r="UMG42" s="595"/>
      <c r="UMH42" s="595"/>
      <c r="UMI42" s="595"/>
      <c r="UMJ42" s="595"/>
      <c r="UMK42" s="595"/>
      <c r="UML42" s="595"/>
      <c r="UMM42" s="595"/>
      <c r="UMN42" s="595"/>
      <c r="UMO42" s="595"/>
      <c r="UMP42" s="595"/>
      <c r="UMQ42" s="595"/>
      <c r="UMR42" s="595"/>
      <c r="UMS42" s="595"/>
      <c r="UMT42" s="595"/>
      <c r="UMU42" s="595"/>
      <c r="UMV42" s="595"/>
      <c r="UMW42" s="595"/>
      <c r="UMX42" s="595"/>
      <c r="UMY42" s="595"/>
      <c r="UMZ42" s="595"/>
      <c r="UNA42" s="595"/>
      <c r="UNB42" s="595"/>
      <c r="UNC42" s="595"/>
      <c r="UND42" s="595"/>
      <c r="UNE42" s="595"/>
      <c r="UNF42" s="595"/>
      <c r="UNG42" s="595"/>
      <c r="UNH42" s="595"/>
      <c r="UNI42" s="595"/>
      <c r="UNJ42" s="595"/>
      <c r="UNK42" s="595"/>
      <c r="UNL42" s="595"/>
      <c r="UNM42" s="595"/>
      <c r="UNN42" s="595"/>
      <c r="UNO42" s="595"/>
      <c r="UNP42" s="595"/>
      <c r="UNQ42" s="595"/>
      <c r="UNR42" s="595"/>
      <c r="UNS42" s="595"/>
      <c r="UNT42" s="595"/>
      <c r="UNU42" s="595"/>
      <c r="UNV42" s="595"/>
      <c r="UNW42" s="595"/>
      <c r="UNX42" s="595"/>
      <c r="UNY42" s="595"/>
      <c r="UNZ42" s="595"/>
      <c r="UOA42" s="595"/>
      <c r="UOB42" s="595"/>
      <c r="UOC42" s="595"/>
      <c r="UOD42" s="595"/>
      <c r="UOE42" s="595"/>
      <c r="UOF42" s="595"/>
      <c r="UOG42" s="595"/>
      <c r="UOH42" s="595"/>
      <c r="UOI42" s="595"/>
      <c r="UOJ42" s="595"/>
      <c r="UOK42" s="595"/>
      <c r="UOL42" s="595"/>
      <c r="UOM42" s="595"/>
      <c r="UON42" s="595"/>
      <c r="UOO42" s="595"/>
      <c r="UOP42" s="595"/>
      <c r="UOQ42" s="595"/>
      <c r="UOR42" s="595"/>
      <c r="UOS42" s="595"/>
      <c r="UOT42" s="595"/>
      <c r="UOU42" s="595"/>
      <c r="UOV42" s="595"/>
      <c r="UOW42" s="595"/>
      <c r="UOX42" s="595"/>
      <c r="UOY42" s="595"/>
      <c r="UOZ42" s="595"/>
      <c r="UPA42" s="595"/>
      <c r="UPB42" s="595"/>
      <c r="UPC42" s="595"/>
      <c r="UPD42" s="595"/>
      <c r="UPE42" s="595"/>
      <c r="UPF42" s="595"/>
      <c r="UPG42" s="595"/>
      <c r="UPH42" s="595"/>
      <c r="UPI42" s="595"/>
      <c r="UPJ42" s="595"/>
      <c r="UPK42" s="595"/>
      <c r="UPL42" s="595"/>
      <c r="UPM42" s="595"/>
      <c r="UPN42" s="595"/>
      <c r="UPO42" s="595"/>
      <c r="UPP42" s="595"/>
      <c r="UPQ42" s="595"/>
      <c r="UPR42" s="595"/>
      <c r="UPS42" s="595"/>
      <c r="UPT42" s="595"/>
      <c r="UPU42" s="595"/>
      <c r="UPV42" s="595"/>
      <c r="UPW42" s="595"/>
      <c r="UPX42" s="595"/>
      <c r="UPY42" s="595"/>
      <c r="UPZ42" s="595"/>
      <c r="UQA42" s="595"/>
      <c r="UQB42" s="595"/>
      <c r="UQC42" s="595"/>
      <c r="UQD42" s="595"/>
      <c r="UQE42" s="595"/>
      <c r="UQF42" s="595"/>
      <c r="UQG42" s="595"/>
      <c r="UQH42" s="595"/>
      <c r="UQI42" s="595"/>
      <c r="UQJ42" s="595"/>
      <c r="UQK42" s="595"/>
      <c r="UQL42" s="595"/>
      <c r="UQM42" s="595"/>
      <c r="UQN42" s="595"/>
      <c r="UQO42" s="595"/>
      <c r="UQP42" s="595"/>
      <c r="UQQ42" s="595"/>
      <c r="UQR42" s="595"/>
      <c r="UQS42" s="595"/>
      <c r="UQT42" s="595"/>
      <c r="UQU42" s="595"/>
      <c r="UQV42" s="595"/>
      <c r="UQW42" s="595"/>
      <c r="UQX42" s="595"/>
      <c r="UQY42" s="595"/>
      <c r="UQZ42" s="595"/>
      <c r="URA42" s="595"/>
      <c r="URB42" s="595"/>
      <c r="URC42" s="595"/>
      <c r="URD42" s="595"/>
      <c r="URE42" s="595"/>
      <c r="URF42" s="595"/>
      <c r="URG42" s="595"/>
      <c r="URH42" s="595"/>
      <c r="URI42" s="595"/>
      <c r="URJ42" s="595"/>
      <c r="URK42" s="595"/>
      <c r="URL42" s="595"/>
      <c r="URM42" s="595"/>
      <c r="URN42" s="595"/>
      <c r="URO42" s="595"/>
      <c r="URP42" s="595"/>
      <c r="URQ42" s="595"/>
      <c r="URR42" s="595"/>
      <c r="URS42" s="595"/>
      <c r="URT42" s="595"/>
      <c r="URU42" s="595"/>
      <c r="URV42" s="595"/>
      <c r="URW42" s="595"/>
      <c r="URX42" s="595"/>
      <c r="URY42" s="595"/>
      <c r="URZ42" s="595"/>
      <c r="USA42" s="595"/>
      <c r="USB42" s="595"/>
      <c r="USC42" s="595"/>
      <c r="USD42" s="595"/>
      <c r="USE42" s="595"/>
      <c r="USF42" s="595"/>
      <c r="USG42" s="595"/>
      <c r="USH42" s="595"/>
      <c r="USI42" s="595"/>
      <c r="USJ42" s="595"/>
      <c r="USK42" s="595"/>
      <c r="USL42" s="595"/>
      <c r="USM42" s="595"/>
      <c r="USN42" s="595"/>
      <c r="USO42" s="595"/>
      <c r="USP42" s="595"/>
      <c r="USQ42" s="595"/>
      <c r="USR42" s="595"/>
      <c r="USS42" s="595"/>
      <c r="UST42" s="595"/>
      <c r="USU42" s="595"/>
      <c r="USV42" s="595"/>
      <c r="USW42" s="595"/>
      <c r="USX42" s="595"/>
      <c r="USY42" s="595"/>
      <c r="USZ42" s="595"/>
      <c r="UTA42" s="595"/>
      <c r="UTB42" s="595"/>
      <c r="UTC42" s="595"/>
      <c r="UTD42" s="595"/>
      <c r="UTE42" s="595"/>
      <c r="UTF42" s="595"/>
      <c r="UTG42" s="595"/>
      <c r="UTH42" s="595"/>
      <c r="UTI42" s="595"/>
      <c r="UTJ42" s="595"/>
      <c r="UTK42" s="595"/>
      <c r="UTL42" s="595"/>
      <c r="UTM42" s="595"/>
      <c r="UTN42" s="595"/>
      <c r="UTO42" s="595"/>
      <c r="UTP42" s="595"/>
      <c r="UTQ42" s="595"/>
      <c r="UTR42" s="595"/>
      <c r="UTS42" s="595"/>
      <c r="UTT42" s="595"/>
      <c r="UTU42" s="595"/>
      <c r="UTV42" s="595"/>
      <c r="UTW42" s="595"/>
      <c r="UTX42" s="595"/>
      <c r="UTY42" s="595"/>
      <c r="UTZ42" s="595"/>
      <c r="UUA42" s="595"/>
      <c r="UUB42" s="595"/>
      <c r="UUC42" s="595"/>
      <c r="UUD42" s="595"/>
      <c r="UUE42" s="595"/>
      <c r="UUF42" s="595"/>
      <c r="UUG42" s="595"/>
      <c r="UUH42" s="595"/>
      <c r="UUI42" s="595"/>
      <c r="UUJ42" s="595"/>
      <c r="UUK42" s="595"/>
      <c r="UUL42" s="595"/>
      <c r="UUM42" s="595"/>
      <c r="UUN42" s="595"/>
      <c r="UUO42" s="595"/>
      <c r="UUP42" s="595"/>
      <c r="UUQ42" s="595"/>
      <c r="UUR42" s="595"/>
      <c r="UUS42" s="595"/>
      <c r="UUT42" s="595"/>
      <c r="UUU42" s="595"/>
      <c r="UUV42" s="595"/>
      <c r="UUW42" s="595"/>
      <c r="UUX42" s="595"/>
      <c r="UUY42" s="595"/>
      <c r="UUZ42" s="595"/>
      <c r="UVA42" s="595"/>
      <c r="UVB42" s="595"/>
      <c r="UVC42" s="595"/>
      <c r="UVD42" s="595"/>
      <c r="UVE42" s="595"/>
      <c r="UVF42" s="595"/>
      <c r="UVG42" s="595"/>
      <c r="UVH42" s="595"/>
      <c r="UVI42" s="595"/>
      <c r="UVJ42" s="595"/>
      <c r="UVK42" s="595"/>
      <c r="UVL42" s="595"/>
      <c r="UVM42" s="595"/>
      <c r="UVN42" s="595"/>
      <c r="UVO42" s="595"/>
      <c r="UVP42" s="595"/>
      <c r="UVQ42" s="595"/>
      <c r="UVR42" s="595"/>
      <c r="UVS42" s="595"/>
      <c r="UVT42" s="595"/>
      <c r="UVU42" s="595"/>
      <c r="UVV42" s="595"/>
      <c r="UVW42" s="595"/>
      <c r="UVX42" s="595"/>
      <c r="UVY42" s="595"/>
      <c r="UVZ42" s="595"/>
      <c r="UWA42" s="595"/>
      <c r="UWB42" s="595"/>
      <c r="UWC42" s="595"/>
      <c r="UWD42" s="595"/>
      <c r="UWE42" s="595"/>
      <c r="UWF42" s="595"/>
      <c r="UWG42" s="595"/>
      <c r="UWH42" s="595"/>
      <c r="UWI42" s="595"/>
      <c r="UWJ42" s="595"/>
      <c r="UWK42" s="595"/>
      <c r="UWL42" s="595"/>
      <c r="UWM42" s="595"/>
      <c r="UWN42" s="595"/>
      <c r="UWO42" s="595"/>
      <c r="UWP42" s="595"/>
      <c r="UWQ42" s="595"/>
      <c r="UWR42" s="595"/>
      <c r="UWS42" s="595"/>
      <c r="UWT42" s="595"/>
      <c r="UWU42" s="595"/>
      <c r="UWV42" s="595"/>
      <c r="UWW42" s="595"/>
      <c r="UWX42" s="595"/>
      <c r="UWY42" s="595"/>
      <c r="UWZ42" s="595"/>
      <c r="UXA42" s="595"/>
      <c r="UXB42" s="595"/>
      <c r="UXC42" s="595"/>
      <c r="UXD42" s="595"/>
      <c r="UXE42" s="595"/>
      <c r="UXF42" s="595"/>
      <c r="UXG42" s="595"/>
      <c r="UXH42" s="595"/>
      <c r="UXI42" s="595"/>
      <c r="UXJ42" s="595"/>
      <c r="UXK42" s="595"/>
      <c r="UXL42" s="595"/>
      <c r="UXM42" s="595"/>
      <c r="UXN42" s="595"/>
      <c r="UXO42" s="595"/>
      <c r="UXP42" s="595"/>
      <c r="UXQ42" s="595"/>
      <c r="UXR42" s="595"/>
      <c r="UXS42" s="595"/>
      <c r="UXT42" s="595"/>
      <c r="UXU42" s="595"/>
      <c r="UXV42" s="595"/>
      <c r="UXW42" s="595"/>
      <c r="UXX42" s="595"/>
      <c r="UXY42" s="595"/>
      <c r="UXZ42" s="595"/>
      <c r="UYA42" s="595"/>
      <c r="UYB42" s="595"/>
      <c r="UYC42" s="595"/>
      <c r="UYD42" s="595"/>
      <c r="UYE42" s="595"/>
      <c r="UYF42" s="595"/>
      <c r="UYG42" s="595"/>
      <c r="UYH42" s="595"/>
      <c r="UYI42" s="595"/>
      <c r="UYJ42" s="595"/>
      <c r="UYK42" s="595"/>
      <c r="UYL42" s="595"/>
      <c r="UYM42" s="595"/>
      <c r="UYN42" s="595"/>
      <c r="UYO42" s="595"/>
      <c r="UYP42" s="595"/>
      <c r="UYQ42" s="595"/>
      <c r="UYR42" s="595"/>
      <c r="UYS42" s="595"/>
      <c r="UYT42" s="595"/>
      <c r="UYU42" s="595"/>
      <c r="UYV42" s="595"/>
      <c r="UYW42" s="595"/>
      <c r="UYX42" s="595"/>
      <c r="UYY42" s="595"/>
      <c r="UYZ42" s="595"/>
      <c r="UZA42" s="595"/>
      <c r="UZB42" s="595"/>
      <c r="UZC42" s="595"/>
      <c r="UZD42" s="595"/>
      <c r="UZE42" s="595"/>
      <c r="UZF42" s="595"/>
      <c r="UZG42" s="595"/>
      <c r="UZH42" s="595"/>
      <c r="UZI42" s="595"/>
      <c r="UZJ42" s="595"/>
      <c r="UZK42" s="595"/>
      <c r="UZL42" s="595"/>
      <c r="UZM42" s="595"/>
      <c r="UZN42" s="595"/>
      <c r="UZO42" s="595"/>
      <c r="UZP42" s="595"/>
      <c r="UZQ42" s="595"/>
      <c r="UZR42" s="595"/>
      <c r="UZS42" s="595"/>
      <c r="UZT42" s="595"/>
      <c r="UZU42" s="595"/>
      <c r="UZV42" s="595"/>
      <c r="UZW42" s="595"/>
      <c r="UZX42" s="595"/>
      <c r="UZY42" s="595"/>
      <c r="UZZ42" s="595"/>
      <c r="VAA42" s="595"/>
      <c r="VAB42" s="595"/>
      <c r="VAC42" s="595"/>
      <c r="VAD42" s="595"/>
      <c r="VAE42" s="595"/>
      <c r="VAF42" s="595"/>
      <c r="VAG42" s="595"/>
      <c r="VAH42" s="595"/>
      <c r="VAI42" s="595"/>
      <c r="VAJ42" s="595"/>
      <c r="VAK42" s="595"/>
      <c r="VAL42" s="595"/>
      <c r="VAM42" s="595"/>
      <c r="VAN42" s="595"/>
      <c r="VAO42" s="595"/>
      <c r="VAP42" s="595"/>
      <c r="VAQ42" s="595"/>
      <c r="VAR42" s="595"/>
      <c r="VAS42" s="595"/>
      <c r="VAT42" s="595"/>
      <c r="VAU42" s="595"/>
      <c r="VAV42" s="595"/>
      <c r="VAW42" s="595"/>
      <c r="VAX42" s="595"/>
      <c r="VAY42" s="595"/>
      <c r="VAZ42" s="595"/>
      <c r="VBA42" s="595"/>
      <c r="VBB42" s="595"/>
      <c r="VBC42" s="595"/>
      <c r="VBD42" s="595"/>
      <c r="VBE42" s="595"/>
      <c r="VBF42" s="595"/>
      <c r="VBG42" s="595"/>
      <c r="VBH42" s="595"/>
      <c r="VBI42" s="595"/>
      <c r="VBJ42" s="595"/>
      <c r="VBK42" s="595"/>
      <c r="VBL42" s="595"/>
      <c r="VBM42" s="595"/>
      <c r="VBN42" s="595"/>
      <c r="VBO42" s="595"/>
      <c r="VBP42" s="595"/>
      <c r="VBQ42" s="595"/>
      <c r="VBR42" s="595"/>
      <c r="VBS42" s="595"/>
      <c r="VBT42" s="595"/>
      <c r="VBU42" s="595"/>
      <c r="VBV42" s="595"/>
      <c r="VBW42" s="595"/>
      <c r="VBX42" s="595"/>
      <c r="VBY42" s="595"/>
      <c r="VBZ42" s="595"/>
      <c r="VCA42" s="595"/>
      <c r="VCB42" s="595"/>
      <c r="VCC42" s="595"/>
      <c r="VCD42" s="595"/>
      <c r="VCE42" s="595"/>
      <c r="VCF42" s="595"/>
      <c r="VCG42" s="595"/>
      <c r="VCH42" s="595"/>
      <c r="VCI42" s="595"/>
      <c r="VCJ42" s="595"/>
      <c r="VCK42" s="595"/>
      <c r="VCL42" s="595"/>
      <c r="VCM42" s="595"/>
      <c r="VCN42" s="595"/>
      <c r="VCO42" s="595"/>
      <c r="VCP42" s="595"/>
      <c r="VCQ42" s="595"/>
      <c r="VCR42" s="595"/>
      <c r="VCS42" s="595"/>
      <c r="VCT42" s="595"/>
      <c r="VCU42" s="595"/>
      <c r="VCV42" s="595"/>
      <c r="VCW42" s="595"/>
      <c r="VCX42" s="595"/>
      <c r="VCY42" s="595"/>
      <c r="VCZ42" s="595"/>
      <c r="VDA42" s="595"/>
      <c r="VDB42" s="595"/>
      <c r="VDC42" s="595"/>
      <c r="VDD42" s="595"/>
      <c r="VDE42" s="595"/>
      <c r="VDF42" s="595"/>
      <c r="VDG42" s="595"/>
      <c r="VDH42" s="595"/>
      <c r="VDI42" s="595"/>
      <c r="VDJ42" s="595"/>
      <c r="VDK42" s="595"/>
      <c r="VDL42" s="595"/>
      <c r="VDM42" s="595"/>
      <c r="VDN42" s="595"/>
      <c r="VDO42" s="595"/>
      <c r="VDP42" s="595"/>
      <c r="VDQ42" s="595"/>
      <c r="VDR42" s="595"/>
      <c r="VDS42" s="595"/>
      <c r="VDT42" s="595"/>
      <c r="VDU42" s="595"/>
      <c r="VDV42" s="595"/>
      <c r="VDW42" s="595"/>
      <c r="VDX42" s="595"/>
      <c r="VDY42" s="595"/>
      <c r="VDZ42" s="595"/>
      <c r="VEA42" s="595"/>
      <c r="VEB42" s="595"/>
      <c r="VEC42" s="595"/>
      <c r="VED42" s="595"/>
      <c r="VEE42" s="595"/>
      <c r="VEF42" s="595"/>
      <c r="VEG42" s="595"/>
      <c r="VEH42" s="595"/>
      <c r="VEI42" s="595"/>
      <c r="VEJ42" s="595"/>
      <c r="VEK42" s="595"/>
      <c r="VEL42" s="595"/>
      <c r="VEM42" s="595"/>
      <c r="VEN42" s="595"/>
      <c r="VEO42" s="595"/>
      <c r="VEP42" s="595"/>
      <c r="VEQ42" s="595"/>
      <c r="VER42" s="595"/>
      <c r="VES42" s="595"/>
      <c r="VET42" s="595"/>
      <c r="VEU42" s="595"/>
      <c r="VEV42" s="595"/>
      <c r="VEW42" s="595"/>
      <c r="VEX42" s="595"/>
      <c r="VEY42" s="595"/>
      <c r="VEZ42" s="595"/>
      <c r="VFA42" s="595"/>
      <c r="VFB42" s="595"/>
      <c r="VFC42" s="595"/>
      <c r="VFD42" s="595"/>
      <c r="VFE42" s="595"/>
      <c r="VFF42" s="595"/>
      <c r="VFG42" s="595"/>
      <c r="VFH42" s="595"/>
      <c r="VFI42" s="595"/>
      <c r="VFJ42" s="595"/>
      <c r="VFK42" s="595"/>
      <c r="VFL42" s="595"/>
      <c r="VFM42" s="595"/>
      <c r="VFN42" s="595"/>
      <c r="VFO42" s="595"/>
      <c r="VFP42" s="595"/>
      <c r="VFQ42" s="595"/>
      <c r="VFR42" s="595"/>
      <c r="VFS42" s="595"/>
      <c r="VFT42" s="595"/>
      <c r="VFU42" s="595"/>
      <c r="VFV42" s="595"/>
      <c r="VFW42" s="595"/>
      <c r="VFX42" s="595"/>
      <c r="VFY42" s="595"/>
      <c r="VFZ42" s="595"/>
      <c r="VGA42" s="595"/>
      <c r="VGB42" s="595"/>
      <c r="VGC42" s="595"/>
      <c r="VGD42" s="595"/>
      <c r="VGE42" s="595"/>
      <c r="VGF42" s="595"/>
      <c r="VGG42" s="595"/>
      <c r="VGH42" s="595"/>
      <c r="VGI42" s="595"/>
      <c r="VGJ42" s="595"/>
      <c r="VGK42" s="595"/>
      <c r="VGL42" s="595"/>
      <c r="VGM42" s="595"/>
      <c r="VGN42" s="595"/>
      <c r="VGO42" s="595"/>
      <c r="VGP42" s="595"/>
      <c r="VGQ42" s="595"/>
      <c r="VGR42" s="595"/>
      <c r="VGS42" s="595"/>
      <c r="VGT42" s="595"/>
      <c r="VGU42" s="595"/>
      <c r="VGV42" s="595"/>
      <c r="VGW42" s="595"/>
      <c r="VGX42" s="595"/>
      <c r="VGY42" s="595"/>
      <c r="VGZ42" s="595"/>
      <c r="VHA42" s="595"/>
      <c r="VHB42" s="595"/>
      <c r="VHC42" s="595"/>
      <c r="VHD42" s="595"/>
      <c r="VHE42" s="595"/>
      <c r="VHF42" s="595"/>
      <c r="VHG42" s="595"/>
      <c r="VHH42" s="595"/>
      <c r="VHI42" s="595"/>
      <c r="VHJ42" s="595"/>
      <c r="VHK42" s="595"/>
      <c r="VHL42" s="595"/>
      <c r="VHM42" s="595"/>
      <c r="VHN42" s="595"/>
      <c r="VHO42" s="595"/>
      <c r="VHP42" s="595"/>
      <c r="VHQ42" s="595"/>
      <c r="VHR42" s="595"/>
      <c r="VHS42" s="595"/>
      <c r="VHT42" s="595"/>
      <c r="VHU42" s="595"/>
      <c r="VHV42" s="595"/>
      <c r="VHW42" s="595"/>
      <c r="VHX42" s="595"/>
      <c r="VHY42" s="595"/>
      <c r="VHZ42" s="595"/>
      <c r="VIA42" s="595"/>
      <c r="VIB42" s="595"/>
      <c r="VIC42" s="595"/>
      <c r="VID42" s="595"/>
      <c r="VIE42" s="595"/>
      <c r="VIF42" s="595"/>
      <c r="VIG42" s="595"/>
      <c r="VIH42" s="595"/>
      <c r="VII42" s="595"/>
      <c r="VIJ42" s="595"/>
      <c r="VIK42" s="595"/>
      <c r="VIL42" s="595"/>
      <c r="VIM42" s="595"/>
      <c r="VIN42" s="595"/>
      <c r="VIO42" s="595"/>
      <c r="VIP42" s="595"/>
      <c r="VIQ42" s="595"/>
      <c r="VIR42" s="595"/>
      <c r="VIS42" s="595"/>
      <c r="VIT42" s="595"/>
      <c r="VIU42" s="595"/>
      <c r="VIV42" s="595"/>
      <c r="VIW42" s="595"/>
      <c r="VIX42" s="595"/>
      <c r="VIY42" s="595"/>
      <c r="VIZ42" s="595"/>
      <c r="VJA42" s="595"/>
      <c r="VJB42" s="595"/>
      <c r="VJC42" s="595"/>
      <c r="VJD42" s="595"/>
      <c r="VJE42" s="595"/>
      <c r="VJF42" s="595"/>
      <c r="VJG42" s="595"/>
      <c r="VJH42" s="595"/>
      <c r="VJI42" s="595"/>
      <c r="VJJ42" s="595"/>
      <c r="VJK42" s="595"/>
      <c r="VJL42" s="595"/>
      <c r="VJM42" s="595"/>
      <c r="VJN42" s="595"/>
      <c r="VJO42" s="595"/>
      <c r="VJP42" s="595"/>
      <c r="VJQ42" s="595"/>
      <c r="VJR42" s="595"/>
      <c r="VJS42" s="595"/>
      <c r="VJT42" s="595"/>
      <c r="VJU42" s="595"/>
      <c r="VJV42" s="595"/>
      <c r="VJW42" s="595"/>
      <c r="VJX42" s="595"/>
      <c r="VJY42" s="595"/>
      <c r="VJZ42" s="595"/>
      <c r="VKA42" s="595"/>
      <c r="VKB42" s="595"/>
      <c r="VKC42" s="595"/>
      <c r="VKD42" s="595"/>
      <c r="VKE42" s="595"/>
      <c r="VKF42" s="595"/>
      <c r="VKG42" s="595"/>
      <c r="VKH42" s="595"/>
      <c r="VKI42" s="595"/>
      <c r="VKJ42" s="595"/>
      <c r="VKK42" s="595"/>
      <c r="VKL42" s="595"/>
      <c r="VKM42" s="595"/>
      <c r="VKN42" s="595"/>
      <c r="VKO42" s="595"/>
      <c r="VKP42" s="595"/>
      <c r="VKQ42" s="595"/>
      <c r="VKR42" s="595"/>
      <c r="VKS42" s="595"/>
      <c r="VKT42" s="595"/>
      <c r="VKU42" s="595"/>
      <c r="VKV42" s="595"/>
      <c r="VKW42" s="595"/>
      <c r="VKX42" s="595"/>
      <c r="VKY42" s="595"/>
      <c r="VKZ42" s="595"/>
      <c r="VLA42" s="595"/>
      <c r="VLB42" s="595"/>
      <c r="VLC42" s="595"/>
      <c r="VLD42" s="595"/>
      <c r="VLE42" s="595"/>
      <c r="VLF42" s="595"/>
      <c r="VLG42" s="595"/>
      <c r="VLH42" s="595"/>
      <c r="VLI42" s="595"/>
      <c r="VLJ42" s="595"/>
      <c r="VLK42" s="595"/>
      <c r="VLL42" s="595"/>
      <c r="VLM42" s="595"/>
      <c r="VLN42" s="595"/>
      <c r="VLO42" s="595"/>
      <c r="VLP42" s="595"/>
      <c r="VLQ42" s="595"/>
      <c r="VLR42" s="595"/>
      <c r="VLS42" s="595"/>
      <c r="VLT42" s="595"/>
      <c r="VLU42" s="595"/>
      <c r="VLV42" s="595"/>
      <c r="VLW42" s="595"/>
      <c r="VLX42" s="595"/>
      <c r="VLY42" s="595"/>
      <c r="VLZ42" s="595"/>
      <c r="VMA42" s="595"/>
      <c r="VMB42" s="595"/>
      <c r="VMC42" s="595"/>
      <c r="VMD42" s="595"/>
      <c r="VME42" s="595"/>
      <c r="VMF42" s="595"/>
      <c r="VMG42" s="595"/>
      <c r="VMH42" s="595"/>
      <c r="VMI42" s="595"/>
      <c r="VMJ42" s="595"/>
      <c r="VMK42" s="595"/>
      <c r="VML42" s="595"/>
      <c r="VMM42" s="595"/>
      <c r="VMN42" s="595"/>
      <c r="VMO42" s="595"/>
      <c r="VMP42" s="595"/>
      <c r="VMQ42" s="595"/>
      <c r="VMR42" s="595"/>
      <c r="VMS42" s="595"/>
      <c r="VMT42" s="595"/>
      <c r="VMU42" s="595"/>
      <c r="VMV42" s="595"/>
      <c r="VMW42" s="595"/>
      <c r="VMX42" s="595"/>
      <c r="VMY42" s="595"/>
      <c r="VMZ42" s="595"/>
      <c r="VNA42" s="595"/>
      <c r="VNB42" s="595"/>
      <c r="VNC42" s="595"/>
      <c r="VND42" s="595"/>
      <c r="VNE42" s="595"/>
      <c r="VNF42" s="595"/>
      <c r="VNG42" s="595"/>
      <c r="VNH42" s="595"/>
      <c r="VNI42" s="595"/>
      <c r="VNJ42" s="595"/>
      <c r="VNK42" s="595"/>
      <c r="VNL42" s="595"/>
      <c r="VNM42" s="595"/>
      <c r="VNN42" s="595"/>
      <c r="VNO42" s="595"/>
      <c r="VNP42" s="595"/>
      <c r="VNQ42" s="595"/>
      <c r="VNR42" s="595"/>
      <c r="VNS42" s="595"/>
      <c r="VNT42" s="595"/>
      <c r="VNU42" s="595"/>
      <c r="VNV42" s="595"/>
      <c r="VNW42" s="595"/>
      <c r="VNX42" s="595"/>
      <c r="VNY42" s="595"/>
      <c r="VNZ42" s="595"/>
      <c r="VOA42" s="595"/>
      <c r="VOB42" s="595"/>
      <c r="VOC42" s="595"/>
      <c r="VOD42" s="595"/>
      <c r="VOE42" s="595"/>
      <c r="VOF42" s="595"/>
      <c r="VOG42" s="595"/>
      <c r="VOH42" s="595"/>
      <c r="VOI42" s="595"/>
      <c r="VOJ42" s="595"/>
      <c r="VOK42" s="595"/>
      <c r="VOL42" s="595"/>
      <c r="VOM42" s="595"/>
      <c r="VON42" s="595"/>
      <c r="VOO42" s="595"/>
      <c r="VOP42" s="595"/>
      <c r="VOQ42" s="595"/>
      <c r="VOR42" s="595"/>
      <c r="VOS42" s="595"/>
      <c r="VOT42" s="595"/>
      <c r="VOU42" s="595"/>
      <c r="VOV42" s="595"/>
      <c r="VOW42" s="595"/>
      <c r="VOX42" s="595"/>
      <c r="VOY42" s="595"/>
      <c r="VOZ42" s="595"/>
      <c r="VPA42" s="595"/>
      <c r="VPB42" s="595"/>
      <c r="VPC42" s="595"/>
      <c r="VPD42" s="595"/>
      <c r="VPE42" s="595"/>
      <c r="VPF42" s="595"/>
      <c r="VPG42" s="595"/>
      <c r="VPH42" s="595"/>
      <c r="VPI42" s="595"/>
      <c r="VPJ42" s="595"/>
      <c r="VPK42" s="595"/>
      <c r="VPL42" s="595"/>
      <c r="VPM42" s="595"/>
      <c r="VPN42" s="595"/>
      <c r="VPO42" s="595"/>
      <c r="VPP42" s="595"/>
      <c r="VPQ42" s="595"/>
      <c r="VPR42" s="595"/>
      <c r="VPS42" s="595"/>
      <c r="VPT42" s="595"/>
      <c r="VPU42" s="595"/>
      <c r="VPV42" s="595"/>
      <c r="VPW42" s="595"/>
      <c r="VPX42" s="595"/>
      <c r="VPY42" s="595"/>
      <c r="VPZ42" s="595"/>
      <c r="VQA42" s="595"/>
      <c r="VQB42" s="595"/>
      <c r="VQC42" s="595"/>
      <c r="VQD42" s="595"/>
      <c r="VQE42" s="595"/>
      <c r="VQF42" s="595"/>
      <c r="VQG42" s="595"/>
      <c r="VQH42" s="595"/>
      <c r="VQI42" s="595"/>
      <c r="VQJ42" s="595"/>
      <c r="VQK42" s="595"/>
      <c r="VQL42" s="595"/>
      <c r="VQM42" s="595"/>
      <c r="VQN42" s="595"/>
      <c r="VQO42" s="595"/>
      <c r="VQP42" s="595"/>
      <c r="VQQ42" s="595"/>
      <c r="VQR42" s="595"/>
      <c r="VQS42" s="595"/>
      <c r="VQT42" s="595"/>
      <c r="VQU42" s="595"/>
      <c r="VQV42" s="595"/>
      <c r="VQW42" s="595"/>
      <c r="VQX42" s="595"/>
      <c r="VQY42" s="595"/>
      <c r="VQZ42" s="595"/>
      <c r="VRA42" s="595"/>
      <c r="VRB42" s="595"/>
      <c r="VRC42" s="595"/>
      <c r="VRD42" s="595"/>
      <c r="VRE42" s="595"/>
      <c r="VRF42" s="595"/>
      <c r="VRG42" s="595"/>
      <c r="VRH42" s="595"/>
      <c r="VRI42" s="595"/>
      <c r="VRJ42" s="595"/>
      <c r="VRK42" s="595"/>
      <c r="VRL42" s="595"/>
      <c r="VRM42" s="595"/>
      <c r="VRN42" s="595"/>
      <c r="VRO42" s="595"/>
      <c r="VRP42" s="595"/>
      <c r="VRQ42" s="595"/>
      <c r="VRR42" s="595"/>
      <c r="VRS42" s="595"/>
      <c r="VRT42" s="595"/>
      <c r="VRU42" s="595"/>
      <c r="VRV42" s="595"/>
      <c r="VRW42" s="595"/>
      <c r="VRX42" s="595"/>
      <c r="VRY42" s="595"/>
      <c r="VRZ42" s="595"/>
      <c r="VSA42" s="595"/>
      <c r="VSB42" s="595"/>
      <c r="VSC42" s="595"/>
      <c r="VSD42" s="595"/>
      <c r="VSE42" s="595"/>
      <c r="VSF42" s="595"/>
      <c r="VSG42" s="595"/>
      <c r="VSH42" s="595"/>
      <c r="VSI42" s="595"/>
      <c r="VSJ42" s="595"/>
      <c r="VSK42" s="595"/>
      <c r="VSL42" s="595"/>
      <c r="VSM42" s="595"/>
      <c r="VSN42" s="595"/>
      <c r="VSO42" s="595"/>
      <c r="VSP42" s="595"/>
      <c r="VSQ42" s="595"/>
      <c r="VSR42" s="595"/>
      <c r="VSS42" s="595"/>
      <c r="VST42" s="595"/>
      <c r="VSU42" s="595"/>
      <c r="VSV42" s="595"/>
      <c r="VSW42" s="595"/>
      <c r="VSX42" s="595"/>
      <c r="VSY42" s="595"/>
      <c r="VSZ42" s="595"/>
      <c r="VTA42" s="595"/>
      <c r="VTB42" s="595"/>
      <c r="VTC42" s="595"/>
      <c r="VTD42" s="595"/>
      <c r="VTE42" s="595"/>
      <c r="VTF42" s="595"/>
      <c r="VTG42" s="595"/>
      <c r="VTH42" s="595"/>
      <c r="VTI42" s="595"/>
      <c r="VTJ42" s="595"/>
      <c r="VTK42" s="595"/>
      <c r="VTL42" s="595"/>
      <c r="VTM42" s="595"/>
      <c r="VTN42" s="595"/>
      <c r="VTO42" s="595"/>
      <c r="VTP42" s="595"/>
      <c r="VTQ42" s="595"/>
      <c r="VTR42" s="595"/>
      <c r="VTS42" s="595"/>
      <c r="VTT42" s="595"/>
      <c r="VTU42" s="595"/>
      <c r="VTV42" s="595"/>
      <c r="VTW42" s="595"/>
      <c r="VTX42" s="595"/>
      <c r="VTY42" s="595"/>
      <c r="VTZ42" s="595"/>
      <c r="VUA42" s="595"/>
      <c r="VUB42" s="595"/>
      <c r="VUC42" s="595"/>
      <c r="VUD42" s="595"/>
      <c r="VUE42" s="595"/>
      <c r="VUF42" s="595"/>
      <c r="VUG42" s="595"/>
      <c r="VUH42" s="595"/>
      <c r="VUI42" s="595"/>
      <c r="VUJ42" s="595"/>
      <c r="VUK42" s="595"/>
      <c r="VUL42" s="595"/>
      <c r="VUM42" s="595"/>
      <c r="VUN42" s="595"/>
      <c r="VUO42" s="595"/>
      <c r="VUP42" s="595"/>
      <c r="VUQ42" s="595"/>
      <c r="VUR42" s="595"/>
      <c r="VUS42" s="595"/>
      <c r="VUT42" s="595"/>
      <c r="VUU42" s="595"/>
      <c r="VUV42" s="595"/>
      <c r="VUW42" s="595"/>
      <c r="VUX42" s="595"/>
      <c r="VUY42" s="595"/>
      <c r="VUZ42" s="595"/>
      <c r="VVA42" s="595"/>
      <c r="VVB42" s="595"/>
      <c r="VVC42" s="595"/>
      <c r="VVD42" s="595"/>
      <c r="VVE42" s="595"/>
      <c r="VVF42" s="595"/>
      <c r="VVG42" s="595"/>
      <c r="VVH42" s="595"/>
      <c r="VVI42" s="595"/>
      <c r="VVJ42" s="595"/>
      <c r="VVK42" s="595"/>
      <c r="VVL42" s="595"/>
      <c r="VVM42" s="595"/>
      <c r="VVN42" s="595"/>
      <c r="VVO42" s="595"/>
      <c r="VVP42" s="595"/>
      <c r="VVQ42" s="595"/>
      <c r="VVR42" s="595"/>
      <c r="VVS42" s="595"/>
      <c r="VVT42" s="595"/>
      <c r="VVU42" s="595"/>
      <c r="VVV42" s="595"/>
      <c r="VVW42" s="595"/>
      <c r="VVX42" s="595"/>
      <c r="VVY42" s="595"/>
      <c r="VVZ42" s="595"/>
      <c r="VWA42" s="595"/>
      <c r="VWB42" s="595"/>
      <c r="VWC42" s="595"/>
      <c r="VWD42" s="595"/>
      <c r="VWE42" s="595"/>
      <c r="VWF42" s="595"/>
      <c r="VWG42" s="595"/>
      <c r="VWH42" s="595"/>
      <c r="VWI42" s="595"/>
      <c r="VWJ42" s="595"/>
      <c r="VWK42" s="595"/>
      <c r="VWL42" s="595"/>
      <c r="VWM42" s="595"/>
      <c r="VWN42" s="595"/>
      <c r="VWO42" s="595"/>
      <c r="VWP42" s="595"/>
      <c r="VWQ42" s="595"/>
      <c r="VWR42" s="595"/>
      <c r="VWS42" s="595"/>
      <c r="VWT42" s="595"/>
      <c r="VWU42" s="595"/>
      <c r="VWV42" s="595"/>
      <c r="VWW42" s="595"/>
      <c r="VWX42" s="595"/>
      <c r="VWY42" s="595"/>
      <c r="VWZ42" s="595"/>
      <c r="VXA42" s="595"/>
      <c r="VXB42" s="595"/>
      <c r="VXC42" s="595"/>
      <c r="VXD42" s="595"/>
      <c r="VXE42" s="595"/>
      <c r="VXF42" s="595"/>
      <c r="VXG42" s="595"/>
      <c r="VXH42" s="595"/>
      <c r="VXI42" s="595"/>
      <c r="VXJ42" s="595"/>
      <c r="VXK42" s="595"/>
      <c r="VXL42" s="595"/>
      <c r="VXM42" s="595"/>
      <c r="VXN42" s="595"/>
      <c r="VXO42" s="595"/>
      <c r="VXP42" s="595"/>
      <c r="VXQ42" s="595"/>
      <c r="VXR42" s="595"/>
      <c r="VXS42" s="595"/>
      <c r="VXT42" s="595"/>
      <c r="VXU42" s="595"/>
      <c r="VXV42" s="595"/>
      <c r="VXW42" s="595"/>
      <c r="VXX42" s="595"/>
      <c r="VXY42" s="595"/>
      <c r="VXZ42" s="595"/>
      <c r="VYA42" s="595"/>
      <c r="VYB42" s="595"/>
      <c r="VYC42" s="595"/>
      <c r="VYD42" s="595"/>
      <c r="VYE42" s="595"/>
      <c r="VYF42" s="595"/>
      <c r="VYG42" s="595"/>
      <c r="VYH42" s="595"/>
      <c r="VYI42" s="595"/>
      <c r="VYJ42" s="595"/>
      <c r="VYK42" s="595"/>
      <c r="VYL42" s="595"/>
      <c r="VYM42" s="595"/>
      <c r="VYN42" s="595"/>
      <c r="VYO42" s="595"/>
      <c r="VYP42" s="595"/>
      <c r="VYQ42" s="595"/>
      <c r="VYR42" s="595"/>
      <c r="VYS42" s="595"/>
      <c r="VYT42" s="595"/>
      <c r="VYU42" s="595"/>
      <c r="VYV42" s="595"/>
      <c r="VYW42" s="595"/>
      <c r="VYX42" s="595"/>
      <c r="VYY42" s="595"/>
      <c r="VYZ42" s="595"/>
      <c r="VZA42" s="595"/>
      <c r="VZB42" s="595"/>
      <c r="VZC42" s="595"/>
      <c r="VZD42" s="595"/>
      <c r="VZE42" s="595"/>
      <c r="VZF42" s="595"/>
      <c r="VZG42" s="595"/>
      <c r="VZH42" s="595"/>
      <c r="VZI42" s="595"/>
      <c r="VZJ42" s="595"/>
      <c r="VZK42" s="595"/>
      <c r="VZL42" s="595"/>
      <c r="VZM42" s="595"/>
      <c r="VZN42" s="595"/>
      <c r="VZO42" s="595"/>
      <c r="VZP42" s="595"/>
      <c r="VZQ42" s="595"/>
      <c r="VZR42" s="595"/>
      <c r="VZS42" s="595"/>
      <c r="VZT42" s="595"/>
      <c r="VZU42" s="595"/>
      <c r="VZV42" s="595"/>
      <c r="VZW42" s="595"/>
      <c r="VZX42" s="595"/>
      <c r="VZY42" s="595"/>
      <c r="VZZ42" s="595"/>
      <c r="WAA42" s="595"/>
      <c r="WAB42" s="595"/>
      <c r="WAC42" s="595"/>
      <c r="WAD42" s="595"/>
      <c r="WAE42" s="595"/>
      <c r="WAF42" s="595"/>
      <c r="WAG42" s="595"/>
      <c r="WAH42" s="595"/>
      <c r="WAI42" s="595"/>
      <c r="WAJ42" s="595"/>
      <c r="WAK42" s="595"/>
      <c r="WAL42" s="595"/>
      <c r="WAM42" s="595"/>
      <c r="WAN42" s="595"/>
      <c r="WAO42" s="595"/>
      <c r="WAP42" s="595"/>
      <c r="WAQ42" s="595"/>
      <c r="WAR42" s="595"/>
      <c r="WAS42" s="595"/>
      <c r="WAT42" s="595"/>
      <c r="WAU42" s="595"/>
      <c r="WAV42" s="595"/>
      <c r="WAW42" s="595"/>
      <c r="WAX42" s="595"/>
      <c r="WAY42" s="595"/>
      <c r="WAZ42" s="595"/>
      <c r="WBA42" s="595"/>
      <c r="WBB42" s="595"/>
      <c r="WBC42" s="595"/>
      <c r="WBD42" s="595"/>
      <c r="WBE42" s="595"/>
      <c r="WBF42" s="595"/>
      <c r="WBG42" s="595"/>
      <c r="WBH42" s="595"/>
      <c r="WBI42" s="595"/>
      <c r="WBJ42" s="595"/>
      <c r="WBK42" s="595"/>
      <c r="WBL42" s="595"/>
      <c r="WBM42" s="595"/>
      <c r="WBN42" s="595"/>
      <c r="WBO42" s="595"/>
      <c r="WBP42" s="595"/>
      <c r="WBQ42" s="595"/>
      <c r="WBR42" s="595"/>
      <c r="WBS42" s="595"/>
      <c r="WBT42" s="595"/>
      <c r="WBU42" s="595"/>
      <c r="WBV42" s="595"/>
      <c r="WBW42" s="595"/>
      <c r="WBX42" s="595"/>
      <c r="WBY42" s="595"/>
      <c r="WBZ42" s="595"/>
      <c r="WCA42" s="595"/>
      <c r="WCB42" s="595"/>
      <c r="WCC42" s="595"/>
      <c r="WCD42" s="595"/>
      <c r="WCE42" s="595"/>
      <c r="WCF42" s="595"/>
      <c r="WCG42" s="595"/>
      <c r="WCH42" s="595"/>
      <c r="WCI42" s="595"/>
      <c r="WCJ42" s="595"/>
      <c r="WCK42" s="595"/>
      <c r="WCL42" s="595"/>
      <c r="WCM42" s="595"/>
      <c r="WCN42" s="595"/>
      <c r="WCO42" s="595"/>
      <c r="WCP42" s="595"/>
      <c r="WCQ42" s="595"/>
      <c r="WCR42" s="595"/>
      <c r="WCS42" s="595"/>
      <c r="WCT42" s="595"/>
      <c r="WCU42" s="595"/>
      <c r="WCV42" s="595"/>
      <c r="WCW42" s="595"/>
      <c r="WCX42" s="595"/>
      <c r="WCY42" s="595"/>
      <c r="WCZ42" s="595"/>
      <c r="WDA42" s="595"/>
      <c r="WDB42" s="595"/>
      <c r="WDC42" s="595"/>
      <c r="WDD42" s="595"/>
      <c r="WDE42" s="595"/>
      <c r="WDF42" s="595"/>
      <c r="WDG42" s="595"/>
      <c r="WDH42" s="595"/>
      <c r="WDI42" s="595"/>
      <c r="WDJ42" s="595"/>
      <c r="WDK42" s="595"/>
      <c r="WDL42" s="595"/>
      <c r="WDM42" s="595"/>
      <c r="WDN42" s="595"/>
      <c r="WDO42" s="595"/>
      <c r="WDP42" s="595"/>
      <c r="WDQ42" s="595"/>
      <c r="WDR42" s="595"/>
      <c r="WDS42" s="595"/>
      <c r="WDT42" s="595"/>
      <c r="WDU42" s="595"/>
      <c r="WDV42" s="595"/>
      <c r="WDW42" s="595"/>
      <c r="WDX42" s="595"/>
      <c r="WDY42" s="595"/>
      <c r="WDZ42" s="595"/>
      <c r="WEA42" s="595"/>
      <c r="WEB42" s="595"/>
      <c r="WEC42" s="595"/>
      <c r="WED42" s="595"/>
      <c r="WEE42" s="595"/>
      <c r="WEF42" s="595"/>
      <c r="WEG42" s="595"/>
      <c r="WEH42" s="595"/>
      <c r="WEI42" s="595"/>
      <c r="WEJ42" s="595"/>
      <c r="WEK42" s="595"/>
      <c r="WEL42" s="595"/>
      <c r="WEM42" s="595"/>
      <c r="WEN42" s="595"/>
      <c r="WEO42" s="595"/>
      <c r="WEP42" s="595"/>
      <c r="WEQ42" s="595"/>
      <c r="WER42" s="595"/>
      <c r="WES42" s="595"/>
      <c r="WET42" s="595"/>
      <c r="WEU42" s="595"/>
      <c r="WEV42" s="595"/>
      <c r="WEW42" s="595"/>
      <c r="WEX42" s="595"/>
      <c r="WEY42" s="595"/>
      <c r="WEZ42" s="595"/>
      <c r="WFA42" s="595"/>
      <c r="WFB42" s="595"/>
      <c r="WFC42" s="595"/>
      <c r="WFD42" s="595"/>
      <c r="WFE42" s="595"/>
      <c r="WFF42" s="595"/>
      <c r="WFG42" s="595"/>
      <c r="WFH42" s="595"/>
      <c r="WFI42" s="595"/>
      <c r="WFJ42" s="595"/>
      <c r="WFK42" s="595"/>
      <c r="WFL42" s="595"/>
      <c r="WFM42" s="595"/>
      <c r="WFN42" s="595"/>
      <c r="WFO42" s="595"/>
      <c r="WFP42" s="595"/>
      <c r="WFQ42" s="595"/>
      <c r="WFR42" s="595"/>
      <c r="WFS42" s="595"/>
      <c r="WFT42" s="595"/>
      <c r="WFU42" s="595"/>
      <c r="WFV42" s="595"/>
      <c r="WFW42" s="595"/>
      <c r="WFX42" s="595"/>
      <c r="WFY42" s="595"/>
      <c r="WFZ42" s="595"/>
      <c r="WGA42" s="595"/>
      <c r="WGB42" s="595"/>
      <c r="WGC42" s="595"/>
      <c r="WGD42" s="595"/>
      <c r="WGE42" s="595"/>
      <c r="WGF42" s="595"/>
      <c r="WGG42" s="595"/>
      <c r="WGH42" s="595"/>
      <c r="WGI42" s="595"/>
      <c r="WGJ42" s="595"/>
      <c r="WGK42" s="595"/>
      <c r="WGL42" s="595"/>
      <c r="WGM42" s="595"/>
      <c r="WGN42" s="595"/>
      <c r="WGO42" s="595"/>
      <c r="WGP42" s="595"/>
      <c r="WGQ42" s="595"/>
      <c r="WGR42" s="595"/>
      <c r="WGS42" s="595"/>
      <c r="WGT42" s="595"/>
      <c r="WGU42" s="595"/>
      <c r="WGV42" s="595"/>
      <c r="WGW42" s="595"/>
      <c r="WGX42" s="595"/>
      <c r="WGY42" s="595"/>
      <c r="WGZ42" s="595"/>
      <c r="WHA42" s="595"/>
      <c r="WHB42" s="595"/>
      <c r="WHC42" s="595"/>
      <c r="WHD42" s="595"/>
      <c r="WHE42" s="595"/>
      <c r="WHF42" s="595"/>
      <c r="WHG42" s="595"/>
      <c r="WHH42" s="595"/>
      <c r="WHI42" s="595"/>
      <c r="WHJ42" s="595"/>
      <c r="WHK42" s="595"/>
      <c r="WHL42" s="595"/>
      <c r="WHM42" s="595"/>
      <c r="WHN42" s="595"/>
      <c r="WHO42" s="595"/>
      <c r="WHP42" s="595"/>
      <c r="WHQ42" s="595"/>
      <c r="WHR42" s="595"/>
      <c r="WHS42" s="595"/>
      <c r="WHT42" s="595"/>
      <c r="WHU42" s="595"/>
      <c r="WHV42" s="595"/>
      <c r="WHW42" s="595"/>
      <c r="WHX42" s="595"/>
      <c r="WHY42" s="595"/>
      <c r="WHZ42" s="595"/>
      <c r="WIA42" s="595"/>
      <c r="WIB42" s="595"/>
      <c r="WIC42" s="595"/>
      <c r="WID42" s="595"/>
      <c r="WIE42" s="595"/>
      <c r="WIF42" s="595"/>
      <c r="WIG42" s="595"/>
      <c r="WIH42" s="595"/>
      <c r="WII42" s="595"/>
      <c r="WIJ42" s="595"/>
      <c r="WIK42" s="595"/>
      <c r="WIL42" s="595"/>
      <c r="WIM42" s="595"/>
      <c r="WIN42" s="595"/>
      <c r="WIO42" s="595"/>
      <c r="WIP42" s="595"/>
      <c r="WIQ42" s="595"/>
      <c r="WIR42" s="595"/>
      <c r="WIS42" s="595"/>
      <c r="WIT42" s="595"/>
      <c r="WIU42" s="595"/>
      <c r="WIV42" s="595"/>
      <c r="WIW42" s="595"/>
      <c r="WIX42" s="595"/>
      <c r="WIY42" s="595"/>
      <c r="WIZ42" s="595"/>
      <c r="WJA42" s="595"/>
      <c r="WJB42" s="595"/>
      <c r="WJC42" s="595"/>
      <c r="WJD42" s="595"/>
      <c r="WJE42" s="595"/>
      <c r="WJF42" s="595"/>
      <c r="WJG42" s="595"/>
      <c r="WJH42" s="595"/>
      <c r="WJI42" s="595"/>
      <c r="WJJ42" s="595"/>
      <c r="WJK42" s="595"/>
      <c r="WJL42" s="595"/>
      <c r="WJM42" s="595"/>
      <c r="WJN42" s="595"/>
      <c r="WJO42" s="595"/>
      <c r="WJP42" s="595"/>
      <c r="WJQ42" s="595"/>
      <c r="WJR42" s="595"/>
      <c r="WJS42" s="595"/>
      <c r="WJT42" s="595"/>
      <c r="WJU42" s="595"/>
      <c r="WJV42" s="595"/>
      <c r="WJW42" s="595"/>
      <c r="WJX42" s="595"/>
      <c r="WJY42" s="595"/>
      <c r="WJZ42" s="595"/>
      <c r="WKA42" s="595"/>
      <c r="WKB42" s="595"/>
      <c r="WKC42" s="595"/>
      <c r="WKD42" s="595"/>
      <c r="WKE42" s="595"/>
      <c r="WKF42" s="595"/>
      <c r="WKG42" s="595"/>
      <c r="WKH42" s="595"/>
      <c r="WKI42" s="595"/>
      <c r="WKJ42" s="595"/>
      <c r="WKK42" s="595"/>
      <c r="WKL42" s="595"/>
      <c r="WKM42" s="595"/>
      <c r="WKN42" s="595"/>
      <c r="WKO42" s="595"/>
      <c r="WKP42" s="595"/>
      <c r="WKQ42" s="595"/>
      <c r="WKR42" s="595"/>
      <c r="WKS42" s="595"/>
      <c r="WKT42" s="595"/>
      <c r="WKU42" s="595"/>
      <c r="WKV42" s="595"/>
      <c r="WKW42" s="595"/>
      <c r="WKX42" s="595"/>
      <c r="WKY42" s="595"/>
      <c r="WKZ42" s="595"/>
      <c r="WLA42" s="595"/>
      <c r="WLB42" s="595"/>
      <c r="WLC42" s="595"/>
      <c r="WLD42" s="595"/>
      <c r="WLE42" s="595"/>
      <c r="WLF42" s="595"/>
      <c r="WLG42" s="595"/>
      <c r="WLH42" s="595"/>
      <c r="WLI42" s="595"/>
      <c r="WLJ42" s="595"/>
      <c r="WLK42" s="595"/>
      <c r="WLL42" s="595"/>
      <c r="WLM42" s="595"/>
      <c r="WLN42" s="595"/>
      <c r="WLO42" s="595"/>
      <c r="WLP42" s="595"/>
      <c r="WLQ42" s="595"/>
      <c r="WLR42" s="595"/>
      <c r="WLS42" s="595"/>
      <c r="WLT42" s="595"/>
      <c r="WLU42" s="595"/>
      <c r="WLV42" s="595"/>
      <c r="WLW42" s="595"/>
      <c r="WLX42" s="595"/>
      <c r="WLY42" s="595"/>
      <c r="WLZ42" s="595"/>
      <c r="WMA42" s="595"/>
      <c r="WMB42" s="595"/>
      <c r="WMC42" s="595"/>
      <c r="WMD42" s="595"/>
      <c r="WME42" s="595"/>
      <c r="WMF42" s="595"/>
      <c r="WMG42" s="595"/>
      <c r="WMH42" s="595"/>
      <c r="WMI42" s="595"/>
      <c r="WMJ42" s="595"/>
      <c r="WMK42" s="595"/>
      <c r="WML42" s="595"/>
      <c r="WMM42" s="595"/>
      <c r="WMN42" s="595"/>
      <c r="WMO42" s="595"/>
      <c r="WMP42" s="595"/>
      <c r="WMQ42" s="595"/>
      <c r="WMR42" s="595"/>
      <c r="WMS42" s="595"/>
      <c r="WMT42" s="595"/>
      <c r="WMU42" s="595"/>
      <c r="WMV42" s="595"/>
      <c r="WMW42" s="595"/>
      <c r="WMX42" s="595"/>
      <c r="WMY42" s="595"/>
      <c r="WMZ42" s="595"/>
      <c r="WNA42" s="595"/>
      <c r="WNB42" s="595"/>
      <c r="WNC42" s="595"/>
      <c r="WND42" s="595"/>
      <c r="WNE42" s="595"/>
      <c r="WNF42" s="595"/>
      <c r="WNG42" s="595"/>
      <c r="WNH42" s="595"/>
      <c r="WNI42" s="595"/>
      <c r="WNJ42" s="595"/>
      <c r="WNK42" s="595"/>
      <c r="WNL42" s="595"/>
      <c r="WNM42" s="595"/>
      <c r="WNN42" s="595"/>
      <c r="WNO42" s="595"/>
      <c r="WNP42" s="595"/>
      <c r="WNQ42" s="595"/>
      <c r="WNR42" s="595"/>
      <c r="WNS42" s="595"/>
      <c r="WNT42" s="595"/>
      <c r="WNU42" s="595"/>
      <c r="WNV42" s="595"/>
      <c r="WNW42" s="595"/>
      <c r="WNX42" s="595"/>
      <c r="WNY42" s="595"/>
      <c r="WNZ42" s="595"/>
      <c r="WOA42" s="595"/>
      <c r="WOB42" s="595"/>
      <c r="WOC42" s="595"/>
      <c r="WOD42" s="595"/>
      <c r="WOE42" s="595"/>
      <c r="WOF42" s="595"/>
      <c r="WOG42" s="595"/>
      <c r="WOH42" s="595"/>
      <c r="WOI42" s="595"/>
      <c r="WOJ42" s="595"/>
      <c r="WOK42" s="595"/>
      <c r="WOL42" s="595"/>
      <c r="WOM42" s="595"/>
      <c r="WON42" s="595"/>
      <c r="WOO42" s="595"/>
      <c r="WOP42" s="595"/>
      <c r="WOQ42" s="595"/>
      <c r="WOR42" s="595"/>
      <c r="WOS42" s="595"/>
      <c r="WOT42" s="595"/>
      <c r="WOU42" s="595"/>
      <c r="WOV42" s="595"/>
      <c r="WOW42" s="595"/>
      <c r="WOX42" s="595"/>
      <c r="WOY42" s="595"/>
      <c r="WOZ42" s="595"/>
      <c r="WPA42" s="595"/>
      <c r="WPB42" s="595"/>
      <c r="WPC42" s="595"/>
      <c r="WPD42" s="595"/>
      <c r="WPE42" s="595"/>
      <c r="WPF42" s="595"/>
      <c r="WPG42" s="595"/>
      <c r="WPH42" s="595"/>
      <c r="WPI42" s="595"/>
      <c r="WPJ42" s="595"/>
      <c r="WPK42" s="595"/>
      <c r="WPL42" s="595"/>
      <c r="WPM42" s="595"/>
      <c r="WPN42" s="595"/>
      <c r="WPO42" s="595"/>
      <c r="WPP42" s="595"/>
      <c r="WPQ42" s="595"/>
      <c r="WPR42" s="595"/>
      <c r="WPS42" s="595"/>
      <c r="WPT42" s="595"/>
      <c r="WPU42" s="595"/>
      <c r="WPV42" s="595"/>
      <c r="WPW42" s="595"/>
      <c r="WPX42" s="595"/>
      <c r="WPY42" s="595"/>
      <c r="WPZ42" s="595"/>
      <c r="WQA42" s="595"/>
      <c r="WQB42" s="595"/>
      <c r="WQC42" s="595"/>
      <c r="WQD42" s="595"/>
      <c r="WQE42" s="595"/>
      <c r="WQF42" s="595"/>
      <c r="WQG42" s="595"/>
      <c r="WQH42" s="595"/>
      <c r="WQI42" s="595"/>
      <c r="WQJ42" s="595"/>
      <c r="WQK42" s="595"/>
      <c r="WQL42" s="595"/>
      <c r="WQM42" s="595"/>
      <c r="WQN42" s="595"/>
      <c r="WQO42" s="595"/>
      <c r="WQP42" s="595"/>
      <c r="WQQ42" s="595"/>
      <c r="WQR42" s="595"/>
      <c r="WQS42" s="595"/>
      <c r="WQT42" s="595"/>
      <c r="WQU42" s="595"/>
      <c r="WQV42" s="595"/>
      <c r="WQW42" s="595"/>
      <c r="WQX42" s="595"/>
      <c r="WQY42" s="595"/>
      <c r="WQZ42" s="595"/>
      <c r="WRA42" s="595"/>
      <c r="WRB42" s="595"/>
      <c r="WRC42" s="595"/>
      <c r="WRD42" s="595"/>
      <c r="WRE42" s="595"/>
      <c r="WRF42" s="595"/>
      <c r="WRG42" s="595"/>
      <c r="WRH42" s="595"/>
      <c r="WRI42" s="595"/>
      <c r="WRJ42" s="595"/>
      <c r="WRK42" s="595"/>
      <c r="WRL42" s="595"/>
      <c r="WRM42" s="595"/>
      <c r="WRN42" s="595"/>
      <c r="WRO42" s="595"/>
      <c r="WRP42" s="595"/>
      <c r="WRQ42" s="595"/>
      <c r="WRR42" s="595"/>
      <c r="WRS42" s="595"/>
      <c r="WRT42" s="595"/>
      <c r="WRU42" s="595"/>
      <c r="WRV42" s="595"/>
      <c r="WRW42" s="595"/>
      <c r="WRX42" s="595"/>
      <c r="WRY42" s="595"/>
      <c r="WRZ42" s="595"/>
      <c r="WSA42" s="595"/>
      <c r="WSB42" s="595"/>
      <c r="WSC42" s="595"/>
      <c r="WSD42" s="595"/>
      <c r="WSE42" s="595"/>
      <c r="WSF42" s="595"/>
      <c r="WSG42" s="595"/>
      <c r="WSH42" s="595"/>
      <c r="WSI42" s="595"/>
      <c r="WSJ42" s="595"/>
      <c r="WSK42" s="595"/>
      <c r="WSL42" s="595"/>
      <c r="WSM42" s="595"/>
      <c r="WSN42" s="595"/>
      <c r="WSO42" s="595"/>
      <c r="WSP42" s="595"/>
      <c r="WSQ42" s="595"/>
      <c r="WSR42" s="595"/>
      <c r="WSS42" s="595"/>
      <c r="WST42" s="595"/>
      <c r="WSU42" s="595"/>
      <c r="WSV42" s="595"/>
      <c r="WSW42" s="595"/>
      <c r="WSX42" s="595"/>
      <c r="WSY42" s="595"/>
      <c r="WSZ42" s="595"/>
      <c r="WTA42" s="595"/>
      <c r="WTB42" s="595"/>
      <c r="WTC42" s="595"/>
      <c r="WTD42" s="595"/>
      <c r="WTE42" s="595"/>
      <c r="WTF42" s="595"/>
      <c r="WTG42" s="595"/>
      <c r="WTH42" s="595"/>
      <c r="WTI42" s="595"/>
      <c r="WTJ42" s="595"/>
      <c r="WTK42" s="595"/>
      <c r="WTL42" s="595"/>
      <c r="WTM42" s="595"/>
      <c r="WTN42" s="595"/>
      <c r="WTO42" s="595"/>
      <c r="WTP42" s="595"/>
      <c r="WTQ42" s="595"/>
      <c r="WTR42" s="595"/>
      <c r="WTS42" s="595"/>
      <c r="WTT42" s="595"/>
      <c r="WTU42" s="595"/>
      <c r="WTV42" s="595"/>
      <c r="WTW42" s="595"/>
      <c r="WTX42" s="595"/>
      <c r="WTY42" s="595"/>
      <c r="WTZ42" s="595"/>
      <c r="WUA42" s="595"/>
      <c r="WUB42" s="595"/>
      <c r="WUC42" s="595"/>
      <c r="WUD42" s="595"/>
      <c r="WUE42" s="595"/>
      <c r="WUF42" s="595"/>
      <c r="WUG42" s="595"/>
      <c r="WUH42" s="595"/>
      <c r="WUI42" s="595"/>
      <c r="WUJ42" s="595"/>
      <c r="WUK42" s="595"/>
      <c r="WUL42" s="595"/>
      <c r="WUM42" s="595"/>
      <c r="WUN42" s="595"/>
      <c r="WUO42" s="595"/>
      <c r="WUP42" s="595"/>
      <c r="WUQ42" s="595"/>
      <c r="WUR42" s="595"/>
      <c r="WUS42" s="595"/>
      <c r="WUT42" s="595"/>
      <c r="WUU42" s="595"/>
      <c r="WUV42" s="595"/>
      <c r="WUW42" s="595"/>
      <c r="WUX42" s="595"/>
      <c r="WUY42" s="595"/>
      <c r="WUZ42" s="595"/>
      <c r="WVA42" s="595"/>
      <c r="WVB42" s="595"/>
      <c r="WVC42" s="595"/>
      <c r="WVD42" s="595"/>
      <c r="WVE42" s="595"/>
      <c r="WVF42" s="595"/>
      <c r="WVG42" s="595"/>
      <c r="WVH42" s="595"/>
      <c r="WVI42" s="595"/>
      <c r="WVJ42" s="595"/>
      <c r="WVK42" s="595"/>
      <c r="WVL42" s="595"/>
      <c r="WVM42" s="595"/>
      <c r="WVN42" s="595"/>
      <c r="WVO42" s="595"/>
      <c r="WVP42" s="595"/>
      <c r="WVQ42" s="595"/>
    </row>
    <row r="43" spans="1:16137" s="601" customFormat="1" ht="17.25" customHeight="1">
      <c r="A43" s="952"/>
      <c r="B43" s="962"/>
      <c r="C43" s="962"/>
      <c r="D43" s="595"/>
      <c r="E43" s="595"/>
      <c r="F43" s="954"/>
      <c r="G43" s="954"/>
      <c r="H43" s="595"/>
      <c r="I43" s="595"/>
      <c r="J43" s="595"/>
      <c r="CF43" s="595"/>
      <c r="CG43" s="595"/>
      <c r="CH43" s="595"/>
      <c r="CI43" s="595"/>
      <c r="CJ43" s="595"/>
      <c r="CK43" s="595"/>
      <c r="CL43" s="595"/>
      <c r="CM43" s="595"/>
      <c r="CN43" s="595"/>
      <c r="CO43" s="595"/>
      <c r="CP43" s="595"/>
      <c r="CQ43" s="595"/>
      <c r="CR43" s="595"/>
      <c r="CS43" s="595"/>
      <c r="CT43" s="595"/>
      <c r="CU43" s="595"/>
      <c r="CV43" s="595"/>
      <c r="CW43" s="595"/>
      <c r="CX43" s="595"/>
      <c r="CY43" s="595"/>
      <c r="CZ43" s="595"/>
      <c r="DA43" s="595"/>
      <c r="DB43" s="595"/>
      <c r="DC43" s="595"/>
      <c r="DD43" s="595"/>
      <c r="DE43" s="595"/>
      <c r="DF43" s="595"/>
      <c r="DG43" s="595"/>
      <c r="DH43" s="595"/>
      <c r="DI43" s="595"/>
      <c r="DJ43" s="595"/>
      <c r="DK43" s="595"/>
      <c r="DL43" s="595"/>
      <c r="DM43" s="595"/>
      <c r="DN43" s="595"/>
      <c r="DO43" s="595"/>
      <c r="DP43" s="595"/>
      <c r="DQ43" s="595"/>
      <c r="DR43" s="595"/>
      <c r="DS43" s="595"/>
      <c r="DT43" s="595"/>
      <c r="DU43" s="595"/>
      <c r="DV43" s="595"/>
      <c r="DW43" s="595"/>
      <c r="DX43" s="595"/>
      <c r="DY43" s="595"/>
      <c r="DZ43" s="595"/>
      <c r="EA43" s="595"/>
      <c r="EB43" s="595"/>
      <c r="EC43" s="595"/>
      <c r="ED43" s="595"/>
      <c r="EE43" s="595"/>
      <c r="EF43" s="595"/>
      <c r="EG43" s="595"/>
      <c r="EH43" s="595"/>
      <c r="EI43" s="595"/>
      <c r="EJ43" s="595"/>
      <c r="EK43" s="595"/>
      <c r="EL43" s="595"/>
      <c r="EM43" s="595"/>
      <c r="EN43" s="595"/>
      <c r="EO43" s="595"/>
      <c r="EP43" s="595"/>
      <c r="EQ43" s="595"/>
      <c r="ER43" s="595"/>
      <c r="ES43" s="595"/>
      <c r="ET43" s="595"/>
      <c r="EU43" s="595"/>
      <c r="EV43" s="595"/>
      <c r="EW43" s="595"/>
      <c r="EX43" s="595"/>
      <c r="EY43" s="595"/>
      <c r="EZ43" s="595"/>
      <c r="FA43" s="595"/>
      <c r="FB43" s="595"/>
      <c r="FC43" s="595"/>
      <c r="FD43" s="595"/>
      <c r="FE43" s="595"/>
      <c r="FF43" s="595"/>
      <c r="FG43" s="595"/>
      <c r="FH43" s="595"/>
      <c r="FI43" s="595"/>
      <c r="FJ43" s="595"/>
      <c r="FK43" s="595"/>
      <c r="FL43" s="595"/>
      <c r="FM43" s="595"/>
      <c r="FN43" s="595"/>
      <c r="FO43" s="595"/>
      <c r="FP43" s="595"/>
      <c r="FQ43" s="595"/>
      <c r="FR43" s="595"/>
      <c r="FS43" s="595"/>
      <c r="FT43" s="595"/>
      <c r="FU43" s="595"/>
      <c r="FV43" s="595"/>
      <c r="FW43" s="595"/>
      <c r="FX43" s="595"/>
      <c r="FY43" s="595"/>
      <c r="FZ43" s="595"/>
      <c r="GA43" s="595"/>
      <c r="GB43" s="595"/>
      <c r="GC43" s="595"/>
      <c r="GD43" s="595"/>
      <c r="GE43" s="595"/>
      <c r="GF43" s="595"/>
      <c r="GG43" s="595"/>
      <c r="GH43" s="595"/>
      <c r="GI43" s="595"/>
      <c r="GJ43" s="595"/>
      <c r="GK43" s="595"/>
      <c r="GL43" s="595"/>
      <c r="GM43" s="595"/>
      <c r="GN43" s="595"/>
      <c r="GO43" s="595"/>
      <c r="GP43" s="595"/>
      <c r="GQ43" s="595"/>
      <c r="GR43" s="595"/>
      <c r="GS43" s="595"/>
      <c r="GT43" s="595"/>
      <c r="GU43" s="595"/>
      <c r="GV43" s="595"/>
      <c r="GW43" s="595"/>
      <c r="GX43" s="595"/>
      <c r="GY43" s="595"/>
      <c r="GZ43" s="595"/>
      <c r="HA43" s="595"/>
      <c r="HB43" s="595"/>
      <c r="HC43" s="595"/>
      <c r="HD43" s="595"/>
      <c r="HE43" s="595"/>
      <c r="HF43" s="595"/>
      <c r="HG43" s="595"/>
      <c r="HH43" s="595"/>
      <c r="HI43" s="595"/>
      <c r="HJ43" s="595"/>
      <c r="HK43" s="595"/>
      <c r="HL43" s="595"/>
      <c r="HM43" s="595"/>
      <c r="HN43" s="595"/>
      <c r="HO43" s="595"/>
      <c r="HP43" s="595"/>
      <c r="HQ43" s="595"/>
      <c r="HR43" s="595"/>
      <c r="HS43" s="595"/>
      <c r="HT43" s="595"/>
      <c r="HU43" s="595"/>
      <c r="HV43" s="595"/>
      <c r="HW43" s="595"/>
      <c r="HX43" s="595"/>
      <c r="HY43" s="595"/>
      <c r="HZ43" s="595"/>
      <c r="IA43" s="595"/>
      <c r="IB43" s="595"/>
      <c r="IC43" s="595"/>
      <c r="ID43" s="595"/>
      <c r="IE43" s="595"/>
      <c r="IF43" s="595"/>
      <c r="IG43" s="595"/>
      <c r="IH43" s="595"/>
      <c r="II43" s="595"/>
      <c r="IJ43" s="595"/>
      <c r="IK43" s="595"/>
      <c r="IL43" s="595"/>
      <c r="IM43" s="595"/>
      <c r="IN43" s="595"/>
      <c r="IO43" s="595"/>
      <c r="IP43" s="595"/>
      <c r="IQ43" s="595"/>
      <c r="IR43" s="595"/>
      <c r="IS43" s="595"/>
      <c r="IT43" s="595"/>
      <c r="IU43" s="595"/>
      <c r="IV43" s="595"/>
      <c r="IW43" s="595"/>
      <c r="IX43" s="595"/>
      <c r="IY43" s="595"/>
      <c r="IZ43" s="595"/>
      <c r="JA43" s="595"/>
      <c r="JB43" s="595"/>
      <c r="JC43" s="595"/>
      <c r="JD43" s="595"/>
      <c r="JE43" s="595"/>
      <c r="JF43" s="595"/>
      <c r="JG43" s="595"/>
      <c r="JH43" s="595"/>
      <c r="JI43" s="595"/>
      <c r="JJ43" s="595"/>
      <c r="JK43" s="595"/>
      <c r="JL43" s="595"/>
      <c r="JM43" s="595"/>
      <c r="JN43" s="595"/>
      <c r="JO43" s="595"/>
      <c r="JP43" s="595"/>
      <c r="JQ43" s="595"/>
      <c r="JR43" s="595"/>
      <c r="JS43" s="595"/>
      <c r="JT43" s="595"/>
      <c r="JU43" s="595"/>
      <c r="JV43" s="595"/>
      <c r="JW43" s="595"/>
      <c r="JX43" s="595"/>
      <c r="JY43" s="595"/>
      <c r="JZ43" s="595"/>
      <c r="KA43" s="595"/>
      <c r="KB43" s="595"/>
      <c r="KC43" s="595"/>
      <c r="KD43" s="595"/>
      <c r="KE43" s="595"/>
      <c r="KF43" s="595"/>
      <c r="KG43" s="595"/>
      <c r="KH43" s="595"/>
      <c r="KI43" s="595"/>
      <c r="KJ43" s="595"/>
      <c r="KK43" s="595"/>
      <c r="KL43" s="595"/>
      <c r="KM43" s="595"/>
      <c r="KN43" s="595"/>
      <c r="KO43" s="595"/>
      <c r="KP43" s="595"/>
      <c r="KQ43" s="595"/>
      <c r="KR43" s="595"/>
      <c r="KS43" s="595"/>
      <c r="KT43" s="595"/>
      <c r="KU43" s="595"/>
      <c r="KV43" s="595"/>
      <c r="KW43" s="595"/>
      <c r="KX43" s="595"/>
      <c r="KY43" s="595"/>
      <c r="KZ43" s="595"/>
      <c r="LA43" s="595"/>
      <c r="LB43" s="595"/>
      <c r="LC43" s="595"/>
      <c r="LD43" s="595"/>
      <c r="LE43" s="595"/>
      <c r="LF43" s="595"/>
      <c r="LG43" s="595"/>
      <c r="LH43" s="595"/>
      <c r="LI43" s="595"/>
      <c r="LJ43" s="595"/>
      <c r="LK43" s="595"/>
      <c r="LL43" s="595"/>
      <c r="LM43" s="595"/>
      <c r="LN43" s="595"/>
      <c r="LO43" s="595"/>
      <c r="LP43" s="595"/>
      <c r="LQ43" s="595"/>
      <c r="LR43" s="595"/>
      <c r="LS43" s="595"/>
      <c r="LT43" s="595"/>
      <c r="LU43" s="595"/>
      <c r="LV43" s="595"/>
      <c r="LW43" s="595"/>
      <c r="LX43" s="595"/>
      <c r="LY43" s="595"/>
      <c r="LZ43" s="595"/>
      <c r="MA43" s="595"/>
      <c r="MB43" s="595"/>
      <c r="MC43" s="595"/>
      <c r="MD43" s="595"/>
      <c r="ME43" s="595"/>
      <c r="MF43" s="595"/>
      <c r="MG43" s="595"/>
      <c r="MH43" s="595"/>
      <c r="MI43" s="595"/>
      <c r="MJ43" s="595"/>
      <c r="MK43" s="595"/>
      <c r="ML43" s="595"/>
      <c r="MM43" s="595"/>
      <c r="MN43" s="595"/>
      <c r="MO43" s="595"/>
      <c r="MP43" s="595"/>
      <c r="MQ43" s="595"/>
      <c r="MR43" s="595"/>
      <c r="MS43" s="595"/>
      <c r="MT43" s="595"/>
      <c r="MU43" s="595"/>
      <c r="MV43" s="595"/>
      <c r="MW43" s="595"/>
      <c r="MX43" s="595"/>
      <c r="MY43" s="595"/>
      <c r="MZ43" s="595"/>
      <c r="NA43" s="595"/>
      <c r="NB43" s="595"/>
      <c r="NC43" s="595"/>
      <c r="ND43" s="595"/>
      <c r="NE43" s="595"/>
      <c r="NF43" s="595"/>
      <c r="NG43" s="595"/>
      <c r="NH43" s="595"/>
      <c r="NI43" s="595"/>
      <c r="NJ43" s="595"/>
      <c r="NK43" s="595"/>
      <c r="NL43" s="595"/>
      <c r="NM43" s="595"/>
      <c r="NN43" s="595"/>
      <c r="NO43" s="595"/>
      <c r="NP43" s="595"/>
      <c r="NQ43" s="595"/>
      <c r="NR43" s="595"/>
      <c r="NS43" s="595"/>
      <c r="NT43" s="595"/>
      <c r="NU43" s="595"/>
      <c r="NV43" s="595"/>
      <c r="NW43" s="595"/>
      <c r="NX43" s="595"/>
      <c r="NY43" s="595"/>
      <c r="NZ43" s="595"/>
      <c r="OA43" s="595"/>
      <c r="OB43" s="595"/>
      <c r="OC43" s="595"/>
      <c r="OD43" s="595"/>
      <c r="OE43" s="595"/>
      <c r="OF43" s="595"/>
      <c r="OG43" s="595"/>
      <c r="OH43" s="595"/>
      <c r="OI43" s="595"/>
      <c r="OJ43" s="595"/>
      <c r="OK43" s="595"/>
      <c r="OL43" s="595"/>
      <c r="OM43" s="595"/>
      <c r="ON43" s="595"/>
      <c r="OO43" s="595"/>
      <c r="OP43" s="595"/>
      <c r="OQ43" s="595"/>
      <c r="OR43" s="595"/>
      <c r="OS43" s="595"/>
      <c r="OT43" s="595"/>
      <c r="OU43" s="595"/>
      <c r="OV43" s="595"/>
      <c r="OW43" s="595"/>
      <c r="OX43" s="595"/>
      <c r="OY43" s="595"/>
      <c r="OZ43" s="595"/>
      <c r="PA43" s="595"/>
      <c r="PB43" s="595"/>
      <c r="PC43" s="595"/>
      <c r="PD43" s="595"/>
      <c r="PE43" s="595"/>
      <c r="PF43" s="595"/>
      <c r="PG43" s="595"/>
      <c r="PH43" s="595"/>
      <c r="PI43" s="595"/>
      <c r="PJ43" s="595"/>
      <c r="PK43" s="595"/>
      <c r="PL43" s="595"/>
      <c r="PM43" s="595"/>
      <c r="PN43" s="595"/>
      <c r="PO43" s="595"/>
      <c r="PP43" s="595"/>
      <c r="PQ43" s="595"/>
      <c r="PR43" s="595"/>
      <c r="PS43" s="595"/>
      <c r="PT43" s="595"/>
      <c r="PU43" s="595"/>
      <c r="PV43" s="595"/>
      <c r="PW43" s="595"/>
      <c r="PX43" s="595"/>
      <c r="PY43" s="595"/>
      <c r="PZ43" s="595"/>
      <c r="QA43" s="595"/>
      <c r="QB43" s="595"/>
      <c r="QC43" s="595"/>
      <c r="QD43" s="595"/>
      <c r="QE43" s="595"/>
      <c r="QF43" s="595"/>
      <c r="QG43" s="595"/>
      <c r="QH43" s="595"/>
      <c r="QI43" s="595"/>
      <c r="QJ43" s="595"/>
      <c r="QK43" s="595"/>
      <c r="QL43" s="595"/>
      <c r="QM43" s="595"/>
      <c r="QN43" s="595"/>
      <c r="QO43" s="595"/>
      <c r="QP43" s="595"/>
      <c r="QQ43" s="595"/>
      <c r="QR43" s="595"/>
      <c r="QS43" s="595"/>
      <c r="QT43" s="595"/>
      <c r="QU43" s="595"/>
      <c r="QV43" s="595"/>
      <c r="QW43" s="595"/>
      <c r="QX43" s="595"/>
      <c r="QY43" s="595"/>
      <c r="QZ43" s="595"/>
      <c r="RA43" s="595"/>
      <c r="RB43" s="595"/>
      <c r="RC43" s="595"/>
      <c r="RD43" s="595"/>
      <c r="RE43" s="595"/>
      <c r="RF43" s="595"/>
      <c r="RG43" s="595"/>
      <c r="RH43" s="595"/>
      <c r="RI43" s="595"/>
      <c r="RJ43" s="595"/>
      <c r="RK43" s="595"/>
      <c r="RL43" s="595"/>
      <c r="RM43" s="595"/>
      <c r="RN43" s="595"/>
      <c r="RO43" s="595"/>
      <c r="RP43" s="595"/>
      <c r="RQ43" s="595"/>
      <c r="RR43" s="595"/>
      <c r="RS43" s="595"/>
      <c r="RT43" s="595"/>
      <c r="RU43" s="595"/>
      <c r="RV43" s="595"/>
      <c r="RW43" s="595"/>
      <c r="RX43" s="595"/>
      <c r="RY43" s="595"/>
      <c r="RZ43" s="595"/>
      <c r="SA43" s="595"/>
      <c r="SB43" s="595"/>
      <c r="SC43" s="595"/>
      <c r="SD43" s="595"/>
      <c r="SE43" s="595"/>
      <c r="SF43" s="595"/>
      <c r="SG43" s="595"/>
      <c r="SH43" s="595"/>
      <c r="SI43" s="595"/>
      <c r="SJ43" s="595"/>
      <c r="SK43" s="595"/>
      <c r="SL43" s="595"/>
      <c r="SM43" s="595"/>
      <c r="SN43" s="595"/>
      <c r="SO43" s="595"/>
      <c r="SP43" s="595"/>
      <c r="SQ43" s="595"/>
      <c r="SR43" s="595"/>
      <c r="SS43" s="595"/>
      <c r="ST43" s="595"/>
      <c r="SU43" s="595"/>
      <c r="SV43" s="595"/>
      <c r="SW43" s="595"/>
      <c r="SX43" s="595"/>
      <c r="SY43" s="595"/>
      <c r="SZ43" s="595"/>
      <c r="TA43" s="595"/>
      <c r="TB43" s="595"/>
      <c r="TC43" s="595"/>
      <c r="TD43" s="595"/>
      <c r="TE43" s="595"/>
      <c r="TF43" s="595"/>
      <c r="TG43" s="595"/>
      <c r="TH43" s="595"/>
      <c r="TI43" s="595"/>
      <c r="TJ43" s="595"/>
      <c r="TK43" s="595"/>
      <c r="TL43" s="595"/>
      <c r="TM43" s="595"/>
      <c r="TN43" s="595"/>
      <c r="TO43" s="595"/>
      <c r="TP43" s="595"/>
      <c r="TQ43" s="595"/>
      <c r="TR43" s="595"/>
      <c r="TS43" s="595"/>
      <c r="TT43" s="595"/>
      <c r="TU43" s="595"/>
      <c r="TV43" s="595"/>
      <c r="TW43" s="595"/>
      <c r="TX43" s="595"/>
      <c r="TY43" s="595"/>
      <c r="TZ43" s="595"/>
      <c r="UA43" s="595"/>
      <c r="UB43" s="595"/>
      <c r="UC43" s="595"/>
      <c r="UD43" s="595"/>
      <c r="UE43" s="595"/>
      <c r="UF43" s="595"/>
      <c r="UG43" s="595"/>
      <c r="UH43" s="595"/>
      <c r="UI43" s="595"/>
      <c r="UJ43" s="595"/>
      <c r="UK43" s="595"/>
      <c r="UL43" s="595"/>
      <c r="UM43" s="595"/>
      <c r="UN43" s="595"/>
      <c r="UO43" s="595"/>
      <c r="UP43" s="595"/>
      <c r="UQ43" s="595"/>
      <c r="UR43" s="595"/>
      <c r="US43" s="595"/>
      <c r="UT43" s="595"/>
      <c r="UU43" s="595"/>
      <c r="UV43" s="595"/>
      <c r="UW43" s="595"/>
      <c r="UX43" s="595"/>
      <c r="UY43" s="595"/>
      <c r="UZ43" s="595"/>
      <c r="VA43" s="595"/>
      <c r="VB43" s="595"/>
      <c r="VC43" s="595"/>
      <c r="VD43" s="595"/>
      <c r="VE43" s="595"/>
      <c r="VF43" s="595"/>
      <c r="VG43" s="595"/>
      <c r="VH43" s="595"/>
      <c r="VI43" s="595"/>
      <c r="VJ43" s="595"/>
      <c r="VK43" s="595"/>
      <c r="VL43" s="595"/>
      <c r="VM43" s="595"/>
      <c r="VN43" s="595"/>
      <c r="VO43" s="595"/>
      <c r="VP43" s="595"/>
      <c r="VQ43" s="595"/>
      <c r="VR43" s="595"/>
      <c r="VS43" s="595"/>
      <c r="VT43" s="595"/>
      <c r="VU43" s="595"/>
      <c r="VV43" s="595"/>
      <c r="VW43" s="595"/>
      <c r="VX43" s="595"/>
      <c r="VY43" s="595"/>
      <c r="VZ43" s="595"/>
      <c r="WA43" s="595"/>
      <c r="WB43" s="595"/>
      <c r="WC43" s="595"/>
      <c r="WD43" s="595"/>
      <c r="WE43" s="595"/>
      <c r="WF43" s="595"/>
      <c r="WG43" s="595"/>
      <c r="WH43" s="595"/>
      <c r="WI43" s="595"/>
      <c r="WJ43" s="595"/>
      <c r="WK43" s="595"/>
      <c r="WL43" s="595"/>
      <c r="WM43" s="595"/>
      <c r="WN43" s="595"/>
      <c r="WO43" s="595"/>
      <c r="WP43" s="595"/>
      <c r="WQ43" s="595"/>
      <c r="WR43" s="595"/>
      <c r="WS43" s="595"/>
      <c r="WT43" s="595"/>
      <c r="WU43" s="595"/>
      <c r="WV43" s="595"/>
      <c r="WW43" s="595"/>
      <c r="WX43" s="595"/>
      <c r="WY43" s="595"/>
      <c r="WZ43" s="595"/>
      <c r="XA43" s="595"/>
      <c r="XB43" s="595"/>
      <c r="XC43" s="595"/>
      <c r="XD43" s="595"/>
      <c r="XE43" s="595"/>
      <c r="XF43" s="595"/>
      <c r="XG43" s="595"/>
      <c r="XH43" s="595"/>
      <c r="XI43" s="595"/>
      <c r="XJ43" s="595"/>
      <c r="XK43" s="595"/>
      <c r="XL43" s="595"/>
      <c r="XM43" s="595"/>
      <c r="XN43" s="595"/>
      <c r="XO43" s="595"/>
      <c r="XP43" s="595"/>
      <c r="XQ43" s="595"/>
      <c r="XR43" s="595"/>
      <c r="XS43" s="595"/>
      <c r="XT43" s="595"/>
      <c r="XU43" s="595"/>
      <c r="XV43" s="595"/>
      <c r="XW43" s="595"/>
      <c r="XX43" s="595"/>
      <c r="XY43" s="595"/>
      <c r="XZ43" s="595"/>
      <c r="YA43" s="595"/>
      <c r="YB43" s="595"/>
      <c r="YC43" s="595"/>
      <c r="YD43" s="595"/>
      <c r="YE43" s="595"/>
      <c r="YF43" s="595"/>
      <c r="YG43" s="595"/>
      <c r="YH43" s="595"/>
      <c r="YI43" s="595"/>
      <c r="YJ43" s="595"/>
      <c r="YK43" s="595"/>
      <c r="YL43" s="595"/>
      <c r="YM43" s="595"/>
      <c r="YN43" s="595"/>
      <c r="YO43" s="595"/>
      <c r="YP43" s="595"/>
      <c r="YQ43" s="595"/>
      <c r="YR43" s="595"/>
      <c r="YS43" s="595"/>
      <c r="YT43" s="595"/>
      <c r="YU43" s="595"/>
      <c r="YV43" s="595"/>
      <c r="YW43" s="595"/>
      <c r="YX43" s="595"/>
      <c r="YY43" s="595"/>
      <c r="YZ43" s="595"/>
      <c r="ZA43" s="595"/>
      <c r="ZB43" s="595"/>
      <c r="ZC43" s="595"/>
      <c r="ZD43" s="595"/>
      <c r="ZE43" s="595"/>
      <c r="ZF43" s="595"/>
      <c r="ZG43" s="595"/>
      <c r="ZH43" s="595"/>
      <c r="ZI43" s="595"/>
      <c r="ZJ43" s="595"/>
      <c r="ZK43" s="595"/>
      <c r="ZL43" s="595"/>
      <c r="ZM43" s="595"/>
      <c r="ZN43" s="595"/>
      <c r="ZO43" s="595"/>
      <c r="ZP43" s="595"/>
      <c r="ZQ43" s="595"/>
      <c r="ZR43" s="595"/>
      <c r="ZS43" s="595"/>
      <c r="ZT43" s="595"/>
      <c r="ZU43" s="595"/>
      <c r="ZV43" s="595"/>
      <c r="ZW43" s="595"/>
      <c r="ZX43" s="595"/>
      <c r="ZY43" s="595"/>
      <c r="ZZ43" s="595"/>
      <c r="AAA43" s="595"/>
      <c r="AAB43" s="595"/>
      <c r="AAC43" s="595"/>
      <c r="AAD43" s="595"/>
      <c r="AAE43" s="595"/>
      <c r="AAF43" s="595"/>
      <c r="AAG43" s="595"/>
      <c r="AAH43" s="595"/>
      <c r="AAI43" s="595"/>
      <c r="AAJ43" s="595"/>
      <c r="AAK43" s="595"/>
      <c r="AAL43" s="595"/>
      <c r="AAM43" s="595"/>
      <c r="AAN43" s="595"/>
      <c r="AAO43" s="595"/>
      <c r="AAP43" s="595"/>
      <c r="AAQ43" s="595"/>
      <c r="AAR43" s="595"/>
      <c r="AAS43" s="595"/>
      <c r="AAT43" s="595"/>
      <c r="AAU43" s="595"/>
      <c r="AAV43" s="595"/>
      <c r="AAW43" s="595"/>
      <c r="AAX43" s="595"/>
      <c r="AAY43" s="595"/>
      <c r="AAZ43" s="595"/>
      <c r="ABA43" s="595"/>
      <c r="ABB43" s="595"/>
      <c r="ABC43" s="595"/>
      <c r="ABD43" s="595"/>
      <c r="ABE43" s="595"/>
      <c r="ABF43" s="595"/>
      <c r="ABG43" s="595"/>
      <c r="ABH43" s="595"/>
      <c r="ABI43" s="595"/>
      <c r="ABJ43" s="595"/>
      <c r="ABK43" s="595"/>
      <c r="ABL43" s="595"/>
      <c r="ABM43" s="595"/>
      <c r="ABN43" s="595"/>
      <c r="ABO43" s="595"/>
      <c r="ABP43" s="595"/>
      <c r="ABQ43" s="595"/>
      <c r="ABR43" s="595"/>
      <c r="ABS43" s="595"/>
      <c r="ABT43" s="595"/>
      <c r="ABU43" s="595"/>
      <c r="ABV43" s="595"/>
      <c r="ABW43" s="595"/>
      <c r="ABX43" s="595"/>
      <c r="ABY43" s="595"/>
      <c r="ABZ43" s="595"/>
      <c r="ACA43" s="595"/>
      <c r="ACB43" s="595"/>
      <c r="ACC43" s="595"/>
      <c r="ACD43" s="595"/>
      <c r="ACE43" s="595"/>
      <c r="ACF43" s="595"/>
      <c r="ACG43" s="595"/>
      <c r="ACH43" s="595"/>
      <c r="ACI43" s="595"/>
      <c r="ACJ43" s="595"/>
      <c r="ACK43" s="595"/>
      <c r="ACL43" s="595"/>
      <c r="ACM43" s="595"/>
      <c r="ACN43" s="595"/>
      <c r="ACO43" s="595"/>
      <c r="ACP43" s="595"/>
      <c r="ACQ43" s="595"/>
      <c r="ACR43" s="595"/>
      <c r="ACS43" s="595"/>
      <c r="ACT43" s="595"/>
      <c r="ACU43" s="595"/>
      <c r="ACV43" s="595"/>
      <c r="ACW43" s="595"/>
      <c r="ACX43" s="595"/>
      <c r="ACY43" s="595"/>
      <c r="ACZ43" s="595"/>
      <c r="ADA43" s="595"/>
      <c r="ADB43" s="595"/>
      <c r="ADC43" s="595"/>
      <c r="ADD43" s="595"/>
      <c r="ADE43" s="595"/>
      <c r="ADF43" s="595"/>
      <c r="ADG43" s="595"/>
      <c r="ADH43" s="595"/>
      <c r="ADI43" s="595"/>
      <c r="ADJ43" s="595"/>
      <c r="ADK43" s="595"/>
      <c r="ADL43" s="595"/>
      <c r="ADM43" s="595"/>
      <c r="ADN43" s="595"/>
      <c r="ADO43" s="595"/>
      <c r="ADP43" s="595"/>
      <c r="ADQ43" s="595"/>
      <c r="ADR43" s="595"/>
      <c r="ADS43" s="595"/>
      <c r="ADT43" s="595"/>
      <c r="ADU43" s="595"/>
      <c r="ADV43" s="595"/>
      <c r="ADW43" s="595"/>
      <c r="ADX43" s="595"/>
      <c r="ADY43" s="595"/>
      <c r="ADZ43" s="595"/>
      <c r="AEA43" s="595"/>
      <c r="AEB43" s="595"/>
      <c r="AEC43" s="595"/>
      <c r="AED43" s="595"/>
      <c r="AEE43" s="595"/>
      <c r="AEF43" s="595"/>
      <c r="AEG43" s="595"/>
      <c r="AEH43" s="595"/>
      <c r="AEI43" s="595"/>
      <c r="AEJ43" s="595"/>
      <c r="AEK43" s="595"/>
      <c r="AEL43" s="595"/>
      <c r="AEM43" s="595"/>
      <c r="AEN43" s="595"/>
      <c r="AEO43" s="595"/>
      <c r="AEP43" s="595"/>
      <c r="AEQ43" s="595"/>
      <c r="AER43" s="595"/>
      <c r="AES43" s="595"/>
      <c r="AET43" s="595"/>
      <c r="AEU43" s="595"/>
      <c r="AEV43" s="595"/>
      <c r="AEW43" s="595"/>
      <c r="AEX43" s="595"/>
      <c r="AEY43" s="595"/>
      <c r="AEZ43" s="595"/>
      <c r="AFA43" s="595"/>
      <c r="AFB43" s="595"/>
      <c r="AFC43" s="595"/>
      <c r="AFD43" s="595"/>
      <c r="AFE43" s="595"/>
      <c r="AFF43" s="595"/>
      <c r="AFG43" s="595"/>
      <c r="AFH43" s="595"/>
      <c r="AFI43" s="595"/>
      <c r="AFJ43" s="595"/>
      <c r="AFK43" s="595"/>
      <c r="AFL43" s="595"/>
      <c r="AFM43" s="595"/>
      <c r="AFN43" s="595"/>
      <c r="AFO43" s="595"/>
      <c r="AFP43" s="595"/>
      <c r="AFQ43" s="595"/>
      <c r="AFR43" s="595"/>
      <c r="AFS43" s="595"/>
      <c r="AFT43" s="595"/>
      <c r="AFU43" s="595"/>
      <c r="AFV43" s="595"/>
      <c r="AFW43" s="595"/>
      <c r="AFX43" s="595"/>
      <c r="AFY43" s="595"/>
      <c r="AFZ43" s="595"/>
      <c r="AGA43" s="595"/>
      <c r="AGB43" s="595"/>
      <c r="AGC43" s="595"/>
      <c r="AGD43" s="595"/>
      <c r="AGE43" s="595"/>
      <c r="AGF43" s="595"/>
      <c r="AGG43" s="595"/>
      <c r="AGH43" s="595"/>
      <c r="AGI43" s="595"/>
      <c r="AGJ43" s="595"/>
      <c r="AGK43" s="595"/>
      <c r="AGL43" s="595"/>
      <c r="AGM43" s="595"/>
      <c r="AGN43" s="595"/>
      <c r="AGO43" s="595"/>
      <c r="AGP43" s="595"/>
      <c r="AGQ43" s="595"/>
      <c r="AGR43" s="595"/>
      <c r="AGS43" s="595"/>
      <c r="AGT43" s="595"/>
      <c r="AGU43" s="595"/>
      <c r="AGV43" s="595"/>
      <c r="AGW43" s="595"/>
      <c r="AGX43" s="595"/>
      <c r="AGY43" s="595"/>
      <c r="AGZ43" s="595"/>
      <c r="AHA43" s="595"/>
      <c r="AHB43" s="595"/>
      <c r="AHC43" s="595"/>
      <c r="AHD43" s="595"/>
      <c r="AHE43" s="595"/>
      <c r="AHF43" s="595"/>
      <c r="AHG43" s="595"/>
      <c r="AHH43" s="595"/>
      <c r="AHI43" s="595"/>
      <c r="AHJ43" s="595"/>
      <c r="AHK43" s="595"/>
      <c r="AHL43" s="595"/>
      <c r="AHM43" s="595"/>
      <c r="AHN43" s="595"/>
      <c r="AHO43" s="595"/>
      <c r="AHP43" s="595"/>
      <c r="AHQ43" s="595"/>
      <c r="AHR43" s="595"/>
      <c r="AHS43" s="595"/>
      <c r="AHT43" s="595"/>
      <c r="AHU43" s="595"/>
      <c r="AHV43" s="595"/>
      <c r="AHW43" s="595"/>
      <c r="AHX43" s="595"/>
      <c r="AHY43" s="595"/>
      <c r="AHZ43" s="595"/>
      <c r="AIA43" s="595"/>
      <c r="AIB43" s="595"/>
      <c r="AIC43" s="595"/>
      <c r="AID43" s="595"/>
      <c r="AIE43" s="595"/>
      <c r="AIF43" s="595"/>
      <c r="AIG43" s="595"/>
      <c r="AIH43" s="595"/>
      <c r="AII43" s="595"/>
      <c r="AIJ43" s="595"/>
      <c r="AIK43" s="595"/>
      <c r="AIL43" s="595"/>
      <c r="AIM43" s="595"/>
      <c r="AIN43" s="595"/>
      <c r="AIO43" s="595"/>
      <c r="AIP43" s="595"/>
      <c r="AIQ43" s="595"/>
      <c r="AIR43" s="595"/>
      <c r="AIS43" s="595"/>
      <c r="AIT43" s="595"/>
      <c r="AIU43" s="595"/>
      <c r="AIV43" s="595"/>
      <c r="AIW43" s="595"/>
      <c r="AIX43" s="595"/>
      <c r="AIY43" s="595"/>
      <c r="AIZ43" s="595"/>
      <c r="AJA43" s="595"/>
      <c r="AJB43" s="595"/>
      <c r="AJC43" s="595"/>
      <c r="AJD43" s="595"/>
      <c r="AJE43" s="595"/>
      <c r="AJF43" s="595"/>
      <c r="AJG43" s="595"/>
      <c r="AJH43" s="595"/>
      <c r="AJI43" s="595"/>
      <c r="AJJ43" s="595"/>
      <c r="AJK43" s="595"/>
      <c r="AJL43" s="595"/>
      <c r="AJM43" s="595"/>
      <c r="AJN43" s="595"/>
      <c r="AJO43" s="595"/>
      <c r="AJP43" s="595"/>
      <c r="AJQ43" s="595"/>
      <c r="AJR43" s="595"/>
      <c r="AJS43" s="595"/>
      <c r="AJT43" s="595"/>
      <c r="AJU43" s="595"/>
      <c r="AJV43" s="595"/>
      <c r="AJW43" s="595"/>
      <c r="AJX43" s="595"/>
      <c r="AJY43" s="595"/>
      <c r="AJZ43" s="595"/>
      <c r="AKA43" s="595"/>
      <c r="AKB43" s="595"/>
      <c r="AKC43" s="595"/>
      <c r="AKD43" s="595"/>
      <c r="AKE43" s="595"/>
      <c r="AKF43" s="595"/>
      <c r="AKG43" s="595"/>
      <c r="AKH43" s="595"/>
      <c r="AKI43" s="595"/>
      <c r="AKJ43" s="595"/>
      <c r="AKK43" s="595"/>
      <c r="AKL43" s="595"/>
      <c r="AKM43" s="595"/>
      <c r="AKN43" s="595"/>
      <c r="AKO43" s="595"/>
      <c r="AKP43" s="595"/>
      <c r="AKQ43" s="595"/>
      <c r="AKR43" s="595"/>
      <c r="AKS43" s="595"/>
      <c r="AKT43" s="595"/>
      <c r="AKU43" s="595"/>
      <c r="AKV43" s="595"/>
      <c r="AKW43" s="595"/>
      <c r="AKX43" s="595"/>
      <c r="AKY43" s="595"/>
      <c r="AKZ43" s="595"/>
      <c r="ALA43" s="595"/>
      <c r="ALB43" s="595"/>
      <c r="ALC43" s="595"/>
      <c r="ALD43" s="595"/>
      <c r="ALE43" s="595"/>
      <c r="ALF43" s="595"/>
      <c r="ALG43" s="595"/>
      <c r="ALH43" s="595"/>
      <c r="ALI43" s="595"/>
      <c r="ALJ43" s="595"/>
      <c r="ALK43" s="595"/>
      <c r="ALL43" s="595"/>
      <c r="ALM43" s="595"/>
      <c r="ALN43" s="595"/>
      <c r="ALO43" s="595"/>
      <c r="ALP43" s="595"/>
      <c r="ALQ43" s="595"/>
      <c r="ALR43" s="595"/>
      <c r="ALS43" s="595"/>
      <c r="ALT43" s="595"/>
      <c r="ALU43" s="595"/>
      <c r="ALV43" s="595"/>
      <c r="ALW43" s="595"/>
      <c r="ALX43" s="595"/>
      <c r="ALY43" s="595"/>
      <c r="ALZ43" s="595"/>
      <c r="AMA43" s="595"/>
      <c r="AMB43" s="595"/>
      <c r="AMC43" s="595"/>
      <c r="AMD43" s="595"/>
      <c r="AME43" s="595"/>
      <c r="AMF43" s="595"/>
      <c r="AMG43" s="595"/>
      <c r="AMH43" s="595"/>
      <c r="AMI43" s="595"/>
      <c r="AMJ43" s="595"/>
      <c r="AMK43" s="595"/>
      <c r="AML43" s="595"/>
      <c r="AMM43" s="595"/>
      <c r="AMN43" s="595"/>
      <c r="AMO43" s="595"/>
      <c r="AMP43" s="595"/>
      <c r="AMQ43" s="595"/>
      <c r="AMR43" s="595"/>
      <c r="AMS43" s="595"/>
      <c r="AMT43" s="595"/>
      <c r="AMU43" s="595"/>
      <c r="AMV43" s="595"/>
      <c r="AMW43" s="595"/>
      <c r="AMX43" s="595"/>
      <c r="AMY43" s="595"/>
      <c r="AMZ43" s="595"/>
      <c r="ANA43" s="595"/>
      <c r="ANB43" s="595"/>
      <c r="ANC43" s="595"/>
      <c r="AND43" s="595"/>
      <c r="ANE43" s="595"/>
      <c r="ANF43" s="595"/>
      <c r="ANG43" s="595"/>
      <c r="ANH43" s="595"/>
      <c r="ANI43" s="595"/>
      <c r="ANJ43" s="595"/>
      <c r="ANK43" s="595"/>
      <c r="ANL43" s="595"/>
      <c r="ANM43" s="595"/>
      <c r="ANN43" s="595"/>
      <c r="ANO43" s="595"/>
      <c r="ANP43" s="595"/>
      <c r="ANQ43" s="595"/>
      <c r="ANR43" s="595"/>
      <c r="ANS43" s="595"/>
      <c r="ANT43" s="595"/>
      <c r="ANU43" s="595"/>
      <c r="ANV43" s="595"/>
      <c r="ANW43" s="595"/>
      <c r="ANX43" s="595"/>
      <c r="ANY43" s="595"/>
      <c r="ANZ43" s="595"/>
      <c r="AOA43" s="595"/>
      <c r="AOB43" s="595"/>
      <c r="AOC43" s="595"/>
      <c r="AOD43" s="595"/>
      <c r="AOE43" s="595"/>
      <c r="AOF43" s="595"/>
      <c r="AOG43" s="595"/>
      <c r="AOH43" s="595"/>
      <c r="AOI43" s="595"/>
      <c r="AOJ43" s="595"/>
      <c r="AOK43" s="595"/>
      <c r="AOL43" s="595"/>
      <c r="AOM43" s="595"/>
      <c r="AON43" s="595"/>
      <c r="AOO43" s="595"/>
      <c r="AOP43" s="595"/>
      <c r="AOQ43" s="595"/>
      <c r="AOR43" s="595"/>
      <c r="AOS43" s="595"/>
      <c r="AOT43" s="595"/>
      <c r="AOU43" s="595"/>
      <c r="AOV43" s="595"/>
      <c r="AOW43" s="595"/>
      <c r="AOX43" s="595"/>
      <c r="AOY43" s="595"/>
      <c r="AOZ43" s="595"/>
      <c r="APA43" s="595"/>
      <c r="APB43" s="595"/>
      <c r="APC43" s="595"/>
      <c r="APD43" s="595"/>
      <c r="APE43" s="595"/>
      <c r="APF43" s="595"/>
      <c r="APG43" s="595"/>
      <c r="APH43" s="595"/>
      <c r="API43" s="595"/>
      <c r="APJ43" s="595"/>
      <c r="APK43" s="595"/>
      <c r="APL43" s="595"/>
      <c r="APM43" s="595"/>
      <c r="APN43" s="595"/>
      <c r="APO43" s="595"/>
      <c r="APP43" s="595"/>
      <c r="APQ43" s="595"/>
      <c r="APR43" s="595"/>
      <c r="APS43" s="595"/>
      <c r="APT43" s="595"/>
      <c r="APU43" s="595"/>
      <c r="APV43" s="595"/>
      <c r="APW43" s="595"/>
      <c r="APX43" s="595"/>
      <c r="APY43" s="595"/>
      <c r="APZ43" s="595"/>
      <c r="AQA43" s="595"/>
      <c r="AQB43" s="595"/>
      <c r="AQC43" s="595"/>
      <c r="AQD43" s="595"/>
      <c r="AQE43" s="595"/>
      <c r="AQF43" s="595"/>
      <c r="AQG43" s="595"/>
      <c r="AQH43" s="595"/>
      <c r="AQI43" s="595"/>
      <c r="AQJ43" s="595"/>
      <c r="AQK43" s="595"/>
      <c r="AQL43" s="595"/>
      <c r="AQM43" s="595"/>
      <c r="AQN43" s="595"/>
      <c r="AQO43" s="595"/>
      <c r="AQP43" s="595"/>
      <c r="AQQ43" s="595"/>
      <c r="AQR43" s="595"/>
      <c r="AQS43" s="595"/>
      <c r="AQT43" s="595"/>
      <c r="AQU43" s="595"/>
      <c r="AQV43" s="595"/>
      <c r="AQW43" s="595"/>
      <c r="AQX43" s="595"/>
      <c r="AQY43" s="595"/>
      <c r="AQZ43" s="595"/>
      <c r="ARA43" s="595"/>
      <c r="ARB43" s="595"/>
      <c r="ARC43" s="595"/>
      <c r="ARD43" s="595"/>
      <c r="ARE43" s="595"/>
      <c r="ARF43" s="595"/>
      <c r="ARG43" s="595"/>
      <c r="ARH43" s="595"/>
      <c r="ARI43" s="595"/>
      <c r="ARJ43" s="595"/>
      <c r="ARK43" s="595"/>
      <c r="ARL43" s="595"/>
      <c r="ARM43" s="595"/>
      <c r="ARN43" s="595"/>
      <c r="ARO43" s="595"/>
      <c r="ARP43" s="595"/>
      <c r="ARQ43" s="595"/>
      <c r="ARR43" s="595"/>
      <c r="ARS43" s="595"/>
      <c r="ART43" s="595"/>
      <c r="ARU43" s="595"/>
      <c r="ARV43" s="595"/>
      <c r="ARW43" s="595"/>
      <c r="ARX43" s="595"/>
      <c r="ARY43" s="595"/>
      <c r="ARZ43" s="595"/>
      <c r="ASA43" s="595"/>
      <c r="ASB43" s="595"/>
      <c r="ASC43" s="595"/>
      <c r="ASD43" s="595"/>
      <c r="ASE43" s="595"/>
      <c r="ASF43" s="595"/>
      <c r="ASG43" s="595"/>
      <c r="ASH43" s="595"/>
      <c r="ASI43" s="595"/>
      <c r="ASJ43" s="595"/>
      <c r="ASK43" s="595"/>
      <c r="ASL43" s="595"/>
      <c r="ASM43" s="595"/>
      <c r="ASN43" s="595"/>
      <c r="ASO43" s="595"/>
      <c r="ASP43" s="595"/>
      <c r="ASQ43" s="595"/>
      <c r="ASR43" s="595"/>
      <c r="ASS43" s="595"/>
      <c r="AST43" s="595"/>
      <c r="ASU43" s="595"/>
      <c r="ASV43" s="595"/>
      <c r="ASW43" s="595"/>
      <c r="ASX43" s="595"/>
      <c r="ASY43" s="595"/>
      <c r="ASZ43" s="595"/>
      <c r="ATA43" s="595"/>
      <c r="ATB43" s="595"/>
      <c r="ATC43" s="595"/>
      <c r="ATD43" s="595"/>
      <c r="ATE43" s="595"/>
      <c r="ATF43" s="595"/>
      <c r="ATG43" s="595"/>
      <c r="ATH43" s="595"/>
      <c r="ATI43" s="595"/>
      <c r="ATJ43" s="595"/>
      <c r="ATK43" s="595"/>
      <c r="ATL43" s="595"/>
      <c r="ATM43" s="595"/>
      <c r="ATN43" s="595"/>
      <c r="ATO43" s="595"/>
      <c r="ATP43" s="595"/>
      <c r="ATQ43" s="595"/>
      <c r="ATR43" s="595"/>
      <c r="ATS43" s="595"/>
      <c r="ATT43" s="595"/>
      <c r="ATU43" s="595"/>
      <c r="ATV43" s="595"/>
      <c r="ATW43" s="595"/>
      <c r="ATX43" s="595"/>
      <c r="ATY43" s="595"/>
      <c r="ATZ43" s="595"/>
      <c r="AUA43" s="595"/>
      <c r="AUB43" s="595"/>
      <c r="AUC43" s="595"/>
      <c r="AUD43" s="595"/>
      <c r="AUE43" s="595"/>
      <c r="AUF43" s="595"/>
      <c r="AUG43" s="595"/>
      <c r="AUH43" s="595"/>
      <c r="AUI43" s="595"/>
      <c r="AUJ43" s="595"/>
      <c r="AUK43" s="595"/>
      <c r="AUL43" s="595"/>
      <c r="AUM43" s="595"/>
      <c r="AUN43" s="595"/>
      <c r="AUO43" s="595"/>
      <c r="AUP43" s="595"/>
      <c r="AUQ43" s="595"/>
      <c r="AUR43" s="595"/>
      <c r="AUS43" s="595"/>
      <c r="AUT43" s="595"/>
      <c r="AUU43" s="595"/>
      <c r="AUV43" s="595"/>
      <c r="AUW43" s="595"/>
      <c r="AUX43" s="595"/>
      <c r="AUY43" s="595"/>
      <c r="AUZ43" s="595"/>
      <c r="AVA43" s="595"/>
      <c r="AVB43" s="595"/>
      <c r="AVC43" s="595"/>
      <c r="AVD43" s="595"/>
      <c r="AVE43" s="595"/>
      <c r="AVF43" s="595"/>
      <c r="AVG43" s="595"/>
      <c r="AVH43" s="595"/>
      <c r="AVI43" s="595"/>
      <c r="AVJ43" s="595"/>
      <c r="AVK43" s="595"/>
      <c r="AVL43" s="595"/>
      <c r="AVM43" s="595"/>
      <c r="AVN43" s="595"/>
      <c r="AVO43" s="595"/>
      <c r="AVP43" s="595"/>
      <c r="AVQ43" s="595"/>
      <c r="AVR43" s="595"/>
      <c r="AVS43" s="595"/>
      <c r="AVT43" s="595"/>
      <c r="AVU43" s="595"/>
      <c r="AVV43" s="595"/>
      <c r="AVW43" s="595"/>
      <c r="AVX43" s="595"/>
      <c r="AVY43" s="595"/>
      <c r="AVZ43" s="595"/>
      <c r="AWA43" s="595"/>
      <c r="AWB43" s="595"/>
      <c r="AWC43" s="595"/>
      <c r="AWD43" s="595"/>
      <c r="AWE43" s="595"/>
      <c r="AWF43" s="595"/>
      <c r="AWG43" s="595"/>
      <c r="AWH43" s="595"/>
      <c r="AWI43" s="595"/>
      <c r="AWJ43" s="595"/>
      <c r="AWK43" s="595"/>
      <c r="AWL43" s="595"/>
      <c r="AWM43" s="595"/>
      <c r="AWN43" s="595"/>
      <c r="AWO43" s="595"/>
      <c r="AWP43" s="595"/>
      <c r="AWQ43" s="595"/>
      <c r="AWR43" s="595"/>
      <c r="AWS43" s="595"/>
      <c r="AWT43" s="595"/>
      <c r="AWU43" s="595"/>
      <c r="AWV43" s="595"/>
      <c r="AWW43" s="595"/>
      <c r="AWX43" s="595"/>
      <c r="AWY43" s="595"/>
      <c r="AWZ43" s="595"/>
      <c r="AXA43" s="595"/>
      <c r="AXB43" s="595"/>
      <c r="AXC43" s="595"/>
      <c r="AXD43" s="595"/>
      <c r="AXE43" s="595"/>
      <c r="AXF43" s="595"/>
      <c r="AXG43" s="595"/>
      <c r="AXH43" s="595"/>
      <c r="AXI43" s="595"/>
      <c r="AXJ43" s="595"/>
      <c r="AXK43" s="595"/>
      <c r="AXL43" s="595"/>
      <c r="AXM43" s="595"/>
      <c r="AXN43" s="595"/>
      <c r="AXO43" s="595"/>
      <c r="AXP43" s="595"/>
      <c r="AXQ43" s="595"/>
      <c r="AXR43" s="595"/>
      <c r="AXS43" s="595"/>
      <c r="AXT43" s="595"/>
      <c r="AXU43" s="595"/>
      <c r="AXV43" s="595"/>
      <c r="AXW43" s="595"/>
      <c r="AXX43" s="595"/>
      <c r="AXY43" s="595"/>
      <c r="AXZ43" s="595"/>
      <c r="AYA43" s="595"/>
      <c r="AYB43" s="595"/>
      <c r="AYC43" s="595"/>
      <c r="AYD43" s="595"/>
      <c r="AYE43" s="595"/>
      <c r="AYF43" s="595"/>
      <c r="AYG43" s="595"/>
      <c r="AYH43" s="595"/>
      <c r="AYI43" s="595"/>
      <c r="AYJ43" s="595"/>
      <c r="AYK43" s="595"/>
      <c r="AYL43" s="595"/>
      <c r="AYM43" s="595"/>
      <c r="AYN43" s="595"/>
      <c r="AYO43" s="595"/>
      <c r="AYP43" s="595"/>
      <c r="AYQ43" s="595"/>
      <c r="AYR43" s="595"/>
      <c r="AYS43" s="595"/>
      <c r="AYT43" s="595"/>
      <c r="AYU43" s="595"/>
      <c r="AYV43" s="595"/>
      <c r="AYW43" s="595"/>
      <c r="AYX43" s="595"/>
      <c r="AYY43" s="595"/>
      <c r="AYZ43" s="595"/>
      <c r="AZA43" s="595"/>
      <c r="AZB43" s="595"/>
      <c r="AZC43" s="595"/>
      <c r="AZD43" s="595"/>
      <c r="AZE43" s="595"/>
      <c r="AZF43" s="595"/>
      <c r="AZG43" s="595"/>
      <c r="AZH43" s="595"/>
      <c r="AZI43" s="595"/>
      <c r="AZJ43" s="595"/>
      <c r="AZK43" s="595"/>
      <c r="AZL43" s="595"/>
      <c r="AZM43" s="595"/>
      <c r="AZN43" s="595"/>
      <c r="AZO43" s="595"/>
      <c r="AZP43" s="595"/>
      <c r="AZQ43" s="595"/>
      <c r="AZR43" s="595"/>
      <c r="AZS43" s="595"/>
      <c r="AZT43" s="595"/>
      <c r="AZU43" s="595"/>
      <c r="AZV43" s="595"/>
      <c r="AZW43" s="595"/>
      <c r="AZX43" s="595"/>
      <c r="AZY43" s="595"/>
      <c r="AZZ43" s="595"/>
      <c r="BAA43" s="595"/>
      <c r="BAB43" s="595"/>
      <c r="BAC43" s="595"/>
      <c r="BAD43" s="595"/>
      <c r="BAE43" s="595"/>
      <c r="BAF43" s="595"/>
      <c r="BAG43" s="595"/>
      <c r="BAH43" s="595"/>
      <c r="BAI43" s="595"/>
      <c r="BAJ43" s="595"/>
      <c r="BAK43" s="595"/>
      <c r="BAL43" s="595"/>
      <c r="BAM43" s="595"/>
      <c r="BAN43" s="595"/>
      <c r="BAO43" s="595"/>
      <c r="BAP43" s="595"/>
      <c r="BAQ43" s="595"/>
      <c r="BAR43" s="595"/>
      <c r="BAS43" s="595"/>
      <c r="BAT43" s="595"/>
      <c r="BAU43" s="595"/>
      <c r="BAV43" s="595"/>
      <c r="BAW43" s="595"/>
      <c r="BAX43" s="595"/>
      <c r="BAY43" s="595"/>
      <c r="BAZ43" s="595"/>
      <c r="BBA43" s="595"/>
      <c r="BBB43" s="595"/>
      <c r="BBC43" s="595"/>
      <c r="BBD43" s="595"/>
      <c r="BBE43" s="595"/>
      <c r="BBF43" s="595"/>
      <c r="BBG43" s="595"/>
      <c r="BBH43" s="595"/>
      <c r="BBI43" s="595"/>
      <c r="BBJ43" s="595"/>
      <c r="BBK43" s="595"/>
      <c r="BBL43" s="595"/>
      <c r="BBM43" s="595"/>
      <c r="BBN43" s="595"/>
      <c r="BBO43" s="595"/>
      <c r="BBP43" s="595"/>
      <c r="BBQ43" s="595"/>
      <c r="BBR43" s="595"/>
      <c r="BBS43" s="595"/>
      <c r="BBT43" s="595"/>
      <c r="BBU43" s="595"/>
      <c r="BBV43" s="595"/>
      <c r="BBW43" s="595"/>
      <c r="BBX43" s="595"/>
      <c r="BBY43" s="595"/>
      <c r="BBZ43" s="595"/>
      <c r="BCA43" s="595"/>
      <c r="BCB43" s="595"/>
      <c r="BCC43" s="595"/>
      <c r="BCD43" s="595"/>
      <c r="BCE43" s="595"/>
      <c r="BCF43" s="595"/>
      <c r="BCG43" s="595"/>
      <c r="BCH43" s="595"/>
      <c r="BCI43" s="595"/>
      <c r="BCJ43" s="595"/>
      <c r="BCK43" s="595"/>
      <c r="BCL43" s="595"/>
      <c r="BCM43" s="595"/>
      <c r="BCN43" s="595"/>
      <c r="BCO43" s="595"/>
      <c r="BCP43" s="595"/>
      <c r="BCQ43" s="595"/>
      <c r="BCR43" s="595"/>
      <c r="BCS43" s="595"/>
      <c r="BCT43" s="595"/>
      <c r="BCU43" s="595"/>
      <c r="BCV43" s="595"/>
      <c r="BCW43" s="595"/>
      <c r="BCX43" s="595"/>
      <c r="BCY43" s="595"/>
      <c r="BCZ43" s="595"/>
      <c r="BDA43" s="595"/>
      <c r="BDB43" s="595"/>
      <c r="BDC43" s="595"/>
      <c r="BDD43" s="595"/>
      <c r="BDE43" s="595"/>
      <c r="BDF43" s="595"/>
      <c r="BDG43" s="595"/>
      <c r="BDH43" s="595"/>
      <c r="BDI43" s="595"/>
      <c r="BDJ43" s="595"/>
      <c r="BDK43" s="595"/>
      <c r="BDL43" s="595"/>
      <c r="BDM43" s="595"/>
      <c r="BDN43" s="595"/>
      <c r="BDO43" s="595"/>
      <c r="BDP43" s="595"/>
      <c r="BDQ43" s="595"/>
      <c r="BDR43" s="595"/>
      <c r="BDS43" s="595"/>
      <c r="BDT43" s="595"/>
      <c r="BDU43" s="595"/>
      <c r="BDV43" s="595"/>
      <c r="BDW43" s="595"/>
      <c r="BDX43" s="595"/>
      <c r="BDY43" s="595"/>
      <c r="BDZ43" s="595"/>
      <c r="BEA43" s="595"/>
      <c r="BEB43" s="595"/>
      <c r="BEC43" s="595"/>
      <c r="BED43" s="595"/>
      <c r="BEE43" s="595"/>
      <c r="BEF43" s="595"/>
      <c r="BEG43" s="595"/>
      <c r="BEH43" s="595"/>
      <c r="BEI43" s="595"/>
      <c r="BEJ43" s="595"/>
      <c r="BEK43" s="595"/>
      <c r="BEL43" s="595"/>
      <c r="BEM43" s="595"/>
      <c r="BEN43" s="595"/>
      <c r="BEO43" s="595"/>
      <c r="BEP43" s="595"/>
      <c r="BEQ43" s="595"/>
      <c r="BER43" s="595"/>
      <c r="BES43" s="595"/>
      <c r="BET43" s="595"/>
      <c r="BEU43" s="595"/>
      <c r="BEV43" s="595"/>
      <c r="BEW43" s="595"/>
      <c r="BEX43" s="595"/>
      <c r="BEY43" s="595"/>
      <c r="BEZ43" s="595"/>
      <c r="BFA43" s="595"/>
      <c r="BFB43" s="595"/>
      <c r="BFC43" s="595"/>
      <c r="BFD43" s="595"/>
      <c r="BFE43" s="595"/>
      <c r="BFF43" s="595"/>
      <c r="BFG43" s="595"/>
      <c r="BFH43" s="595"/>
      <c r="BFI43" s="595"/>
      <c r="BFJ43" s="595"/>
      <c r="BFK43" s="595"/>
      <c r="BFL43" s="595"/>
      <c r="BFM43" s="595"/>
      <c r="BFN43" s="595"/>
      <c r="BFO43" s="595"/>
      <c r="BFP43" s="595"/>
      <c r="BFQ43" s="595"/>
      <c r="BFR43" s="595"/>
      <c r="BFS43" s="595"/>
      <c r="BFT43" s="595"/>
      <c r="BFU43" s="595"/>
      <c r="BFV43" s="595"/>
      <c r="BFW43" s="595"/>
      <c r="BFX43" s="595"/>
      <c r="BFY43" s="595"/>
      <c r="BFZ43" s="595"/>
      <c r="BGA43" s="595"/>
      <c r="BGB43" s="595"/>
      <c r="BGC43" s="595"/>
      <c r="BGD43" s="595"/>
      <c r="BGE43" s="595"/>
      <c r="BGF43" s="595"/>
      <c r="BGG43" s="595"/>
      <c r="BGH43" s="595"/>
      <c r="BGI43" s="595"/>
      <c r="BGJ43" s="595"/>
      <c r="BGK43" s="595"/>
      <c r="BGL43" s="595"/>
      <c r="BGM43" s="595"/>
      <c r="BGN43" s="595"/>
      <c r="BGO43" s="595"/>
      <c r="BGP43" s="595"/>
      <c r="BGQ43" s="595"/>
      <c r="BGR43" s="595"/>
      <c r="BGS43" s="595"/>
      <c r="BGT43" s="595"/>
      <c r="BGU43" s="595"/>
      <c r="BGV43" s="595"/>
      <c r="BGW43" s="595"/>
      <c r="BGX43" s="595"/>
      <c r="BGY43" s="595"/>
      <c r="BGZ43" s="595"/>
      <c r="BHA43" s="595"/>
      <c r="BHB43" s="595"/>
      <c r="BHC43" s="595"/>
      <c r="BHD43" s="595"/>
      <c r="BHE43" s="595"/>
      <c r="BHF43" s="595"/>
      <c r="BHG43" s="595"/>
      <c r="BHH43" s="595"/>
      <c r="BHI43" s="595"/>
      <c r="BHJ43" s="595"/>
      <c r="BHK43" s="595"/>
      <c r="BHL43" s="595"/>
      <c r="BHM43" s="595"/>
      <c r="BHN43" s="595"/>
      <c r="BHO43" s="595"/>
      <c r="BHP43" s="595"/>
      <c r="BHQ43" s="595"/>
      <c r="BHR43" s="595"/>
      <c r="BHS43" s="595"/>
      <c r="BHT43" s="595"/>
      <c r="BHU43" s="595"/>
      <c r="BHV43" s="595"/>
      <c r="BHW43" s="595"/>
      <c r="BHX43" s="595"/>
      <c r="BHY43" s="595"/>
      <c r="BHZ43" s="595"/>
      <c r="BIA43" s="595"/>
      <c r="BIB43" s="595"/>
      <c r="BIC43" s="595"/>
      <c r="BID43" s="595"/>
      <c r="BIE43" s="595"/>
      <c r="BIF43" s="595"/>
      <c r="BIG43" s="595"/>
      <c r="BIH43" s="595"/>
      <c r="BII43" s="595"/>
      <c r="BIJ43" s="595"/>
      <c r="BIK43" s="595"/>
      <c r="BIL43" s="595"/>
      <c r="BIM43" s="595"/>
      <c r="BIN43" s="595"/>
      <c r="BIO43" s="595"/>
      <c r="BIP43" s="595"/>
      <c r="BIQ43" s="595"/>
      <c r="BIR43" s="595"/>
      <c r="BIS43" s="595"/>
      <c r="BIT43" s="595"/>
      <c r="BIU43" s="595"/>
      <c r="BIV43" s="595"/>
      <c r="BIW43" s="595"/>
      <c r="BIX43" s="595"/>
      <c r="BIY43" s="595"/>
      <c r="BIZ43" s="595"/>
      <c r="BJA43" s="595"/>
      <c r="BJB43" s="595"/>
      <c r="BJC43" s="595"/>
      <c r="BJD43" s="595"/>
      <c r="BJE43" s="595"/>
      <c r="BJF43" s="595"/>
      <c r="BJG43" s="595"/>
      <c r="BJH43" s="595"/>
      <c r="BJI43" s="595"/>
      <c r="BJJ43" s="595"/>
      <c r="BJK43" s="595"/>
      <c r="BJL43" s="595"/>
      <c r="BJM43" s="595"/>
      <c r="BJN43" s="595"/>
      <c r="BJO43" s="595"/>
      <c r="BJP43" s="595"/>
      <c r="BJQ43" s="595"/>
      <c r="BJR43" s="595"/>
      <c r="BJS43" s="595"/>
      <c r="BJT43" s="595"/>
      <c r="BJU43" s="595"/>
      <c r="BJV43" s="595"/>
      <c r="BJW43" s="595"/>
      <c r="BJX43" s="595"/>
      <c r="BJY43" s="595"/>
      <c r="BJZ43" s="595"/>
      <c r="BKA43" s="595"/>
      <c r="BKB43" s="595"/>
      <c r="BKC43" s="595"/>
      <c r="BKD43" s="595"/>
      <c r="BKE43" s="595"/>
      <c r="BKF43" s="595"/>
      <c r="BKG43" s="595"/>
      <c r="BKH43" s="595"/>
      <c r="BKI43" s="595"/>
      <c r="BKJ43" s="595"/>
      <c r="BKK43" s="595"/>
      <c r="BKL43" s="595"/>
      <c r="BKM43" s="595"/>
      <c r="BKN43" s="595"/>
      <c r="BKO43" s="595"/>
      <c r="BKP43" s="595"/>
      <c r="BKQ43" s="595"/>
      <c r="BKR43" s="595"/>
      <c r="BKS43" s="595"/>
      <c r="BKT43" s="595"/>
      <c r="BKU43" s="595"/>
      <c r="BKV43" s="595"/>
      <c r="BKW43" s="595"/>
      <c r="BKX43" s="595"/>
      <c r="BKY43" s="595"/>
      <c r="BKZ43" s="595"/>
      <c r="BLA43" s="595"/>
      <c r="BLB43" s="595"/>
      <c r="BLC43" s="595"/>
      <c r="BLD43" s="595"/>
      <c r="BLE43" s="595"/>
      <c r="BLF43" s="595"/>
      <c r="BLG43" s="595"/>
      <c r="BLH43" s="595"/>
      <c r="BLI43" s="595"/>
      <c r="BLJ43" s="595"/>
      <c r="BLK43" s="595"/>
      <c r="BLL43" s="595"/>
      <c r="BLM43" s="595"/>
      <c r="BLN43" s="595"/>
      <c r="BLO43" s="595"/>
      <c r="BLP43" s="595"/>
      <c r="BLQ43" s="595"/>
      <c r="BLR43" s="595"/>
      <c r="BLS43" s="595"/>
      <c r="BLT43" s="595"/>
      <c r="BLU43" s="595"/>
      <c r="BLV43" s="595"/>
      <c r="BLW43" s="595"/>
      <c r="BLX43" s="595"/>
      <c r="BLY43" s="595"/>
      <c r="BLZ43" s="595"/>
      <c r="BMA43" s="595"/>
      <c r="BMB43" s="595"/>
      <c r="BMC43" s="595"/>
      <c r="BMD43" s="595"/>
      <c r="BME43" s="595"/>
      <c r="BMF43" s="595"/>
      <c r="BMG43" s="595"/>
      <c r="BMH43" s="595"/>
      <c r="BMI43" s="595"/>
      <c r="BMJ43" s="595"/>
      <c r="BMK43" s="595"/>
      <c r="BML43" s="595"/>
      <c r="BMM43" s="595"/>
      <c r="BMN43" s="595"/>
      <c r="BMO43" s="595"/>
      <c r="BMP43" s="595"/>
      <c r="BMQ43" s="595"/>
      <c r="BMR43" s="595"/>
      <c r="BMS43" s="595"/>
      <c r="BMT43" s="595"/>
      <c r="BMU43" s="595"/>
      <c r="BMV43" s="595"/>
      <c r="BMW43" s="595"/>
      <c r="BMX43" s="595"/>
      <c r="BMY43" s="595"/>
      <c r="BMZ43" s="595"/>
      <c r="BNA43" s="595"/>
      <c r="BNB43" s="595"/>
      <c r="BNC43" s="595"/>
      <c r="BND43" s="595"/>
      <c r="BNE43" s="595"/>
      <c r="BNF43" s="595"/>
      <c r="BNG43" s="595"/>
      <c r="BNH43" s="595"/>
      <c r="BNI43" s="595"/>
      <c r="BNJ43" s="595"/>
      <c r="BNK43" s="595"/>
      <c r="BNL43" s="595"/>
      <c r="BNM43" s="595"/>
      <c r="BNN43" s="595"/>
      <c r="BNO43" s="595"/>
      <c r="BNP43" s="595"/>
      <c r="BNQ43" s="595"/>
      <c r="BNR43" s="595"/>
      <c r="BNS43" s="595"/>
      <c r="BNT43" s="595"/>
      <c r="BNU43" s="595"/>
      <c r="BNV43" s="595"/>
      <c r="BNW43" s="595"/>
      <c r="BNX43" s="595"/>
      <c r="BNY43" s="595"/>
      <c r="BNZ43" s="595"/>
      <c r="BOA43" s="595"/>
      <c r="BOB43" s="595"/>
      <c r="BOC43" s="595"/>
      <c r="BOD43" s="595"/>
      <c r="BOE43" s="595"/>
      <c r="BOF43" s="595"/>
      <c r="BOG43" s="595"/>
      <c r="BOH43" s="595"/>
      <c r="BOI43" s="595"/>
      <c r="BOJ43" s="595"/>
      <c r="BOK43" s="595"/>
      <c r="BOL43" s="595"/>
      <c r="BOM43" s="595"/>
      <c r="BON43" s="595"/>
      <c r="BOO43" s="595"/>
      <c r="BOP43" s="595"/>
      <c r="BOQ43" s="595"/>
      <c r="BOR43" s="595"/>
      <c r="BOS43" s="595"/>
      <c r="BOT43" s="595"/>
      <c r="BOU43" s="595"/>
      <c r="BOV43" s="595"/>
      <c r="BOW43" s="595"/>
      <c r="BOX43" s="595"/>
      <c r="BOY43" s="595"/>
      <c r="BOZ43" s="595"/>
      <c r="BPA43" s="595"/>
      <c r="BPB43" s="595"/>
      <c r="BPC43" s="595"/>
      <c r="BPD43" s="595"/>
      <c r="BPE43" s="595"/>
      <c r="BPF43" s="595"/>
      <c r="BPG43" s="595"/>
      <c r="BPH43" s="595"/>
      <c r="BPI43" s="595"/>
      <c r="BPJ43" s="595"/>
      <c r="BPK43" s="595"/>
      <c r="BPL43" s="595"/>
      <c r="BPM43" s="595"/>
      <c r="BPN43" s="595"/>
      <c r="BPO43" s="595"/>
      <c r="BPP43" s="595"/>
      <c r="BPQ43" s="595"/>
      <c r="BPR43" s="595"/>
      <c r="BPS43" s="595"/>
      <c r="BPT43" s="595"/>
      <c r="BPU43" s="595"/>
      <c r="BPV43" s="595"/>
      <c r="BPW43" s="595"/>
      <c r="BPX43" s="595"/>
      <c r="BPY43" s="595"/>
      <c r="BPZ43" s="595"/>
      <c r="BQA43" s="595"/>
      <c r="BQB43" s="595"/>
      <c r="BQC43" s="595"/>
      <c r="BQD43" s="595"/>
      <c r="BQE43" s="595"/>
      <c r="BQF43" s="595"/>
      <c r="BQG43" s="595"/>
      <c r="BQH43" s="595"/>
      <c r="BQI43" s="595"/>
      <c r="BQJ43" s="595"/>
      <c r="BQK43" s="595"/>
      <c r="BQL43" s="595"/>
      <c r="BQM43" s="595"/>
      <c r="BQN43" s="595"/>
      <c r="BQO43" s="595"/>
      <c r="BQP43" s="595"/>
      <c r="BQQ43" s="595"/>
      <c r="BQR43" s="595"/>
      <c r="BQS43" s="595"/>
      <c r="BQT43" s="595"/>
      <c r="BQU43" s="595"/>
      <c r="BQV43" s="595"/>
      <c r="BQW43" s="595"/>
      <c r="BQX43" s="595"/>
      <c r="BQY43" s="595"/>
      <c r="BQZ43" s="595"/>
      <c r="BRA43" s="595"/>
      <c r="BRB43" s="595"/>
      <c r="BRC43" s="595"/>
      <c r="BRD43" s="595"/>
      <c r="BRE43" s="595"/>
      <c r="BRF43" s="595"/>
      <c r="BRG43" s="595"/>
      <c r="BRH43" s="595"/>
      <c r="BRI43" s="595"/>
      <c r="BRJ43" s="595"/>
      <c r="BRK43" s="595"/>
      <c r="BRL43" s="595"/>
      <c r="BRM43" s="595"/>
      <c r="BRN43" s="595"/>
      <c r="BRO43" s="595"/>
      <c r="BRP43" s="595"/>
      <c r="BRQ43" s="595"/>
      <c r="BRR43" s="595"/>
      <c r="BRS43" s="595"/>
      <c r="BRT43" s="595"/>
      <c r="BRU43" s="595"/>
      <c r="BRV43" s="595"/>
      <c r="BRW43" s="595"/>
      <c r="BRX43" s="595"/>
      <c r="BRY43" s="595"/>
      <c r="BRZ43" s="595"/>
      <c r="BSA43" s="595"/>
      <c r="BSB43" s="595"/>
      <c r="BSC43" s="595"/>
      <c r="BSD43" s="595"/>
      <c r="BSE43" s="595"/>
      <c r="BSF43" s="595"/>
      <c r="BSG43" s="595"/>
      <c r="BSH43" s="595"/>
      <c r="BSI43" s="595"/>
      <c r="BSJ43" s="595"/>
      <c r="BSK43" s="595"/>
      <c r="BSL43" s="595"/>
      <c r="BSM43" s="595"/>
      <c r="BSN43" s="595"/>
      <c r="BSO43" s="595"/>
      <c r="BSP43" s="595"/>
      <c r="BSQ43" s="595"/>
      <c r="BSR43" s="595"/>
      <c r="BSS43" s="595"/>
      <c r="BST43" s="595"/>
      <c r="BSU43" s="595"/>
      <c r="BSV43" s="595"/>
      <c r="BSW43" s="595"/>
      <c r="BSX43" s="595"/>
      <c r="BSY43" s="595"/>
      <c r="BSZ43" s="595"/>
      <c r="BTA43" s="595"/>
      <c r="BTB43" s="595"/>
      <c r="BTC43" s="595"/>
      <c r="BTD43" s="595"/>
      <c r="BTE43" s="595"/>
      <c r="BTF43" s="595"/>
      <c r="BTG43" s="595"/>
      <c r="BTH43" s="595"/>
      <c r="BTI43" s="595"/>
      <c r="BTJ43" s="595"/>
      <c r="BTK43" s="595"/>
      <c r="BTL43" s="595"/>
      <c r="BTM43" s="595"/>
      <c r="BTN43" s="595"/>
      <c r="BTO43" s="595"/>
      <c r="BTP43" s="595"/>
      <c r="BTQ43" s="595"/>
      <c r="BTR43" s="595"/>
      <c r="BTS43" s="595"/>
      <c r="BTT43" s="595"/>
      <c r="BTU43" s="595"/>
      <c r="BTV43" s="595"/>
      <c r="BTW43" s="595"/>
      <c r="BTX43" s="595"/>
      <c r="BTY43" s="595"/>
      <c r="BTZ43" s="595"/>
      <c r="BUA43" s="595"/>
      <c r="BUB43" s="595"/>
      <c r="BUC43" s="595"/>
      <c r="BUD43" s="595"/>
      <c r="BUE43" s="595"/>
      <c r="BUF43" s="595"/>
      <c r="BUG43" s="595"/>
      <c r="BUH43" s="595"/>
      <c r="BUI43" s="595"/>
      <c r="BUJ43" s="595"/>
      <c r="BUK43" s="595"/>
      <c r="BUL43" s="595"/>
      <c r="BUM43" s="595"/>
      <c r="BUN43" s="595"/>
      <c r="BUO43" s="595"/>
      <c r="BUP43" s="595"/>
      <c r="BUQ43" s="595"/>
      <c r="BUR43" s="595"/>
      <c r="BUS43" s="595"/>
      <c r="BUT43" s="595"/>
      <c r="BUU43" s="595"/>
      <c r="BUV43" s="595"/>
      <c r="BUW43" s="595"/>
      <c r="BUX43" s="595"/>
      <c r="BUY43" s="595"/>
      <c r="BUZ43" s="595"/>
      <c r="BVA43" s="595"/>
      <c r="BVB43" s="595"/>
      <c r="BVC43" s="595"/>
      <c r="BVD43" s="595"/>
      <c r="BVE43" s="595"/>
      <c r="BVF43" s="595"/>
      <c r="BVG43" s="595"/>
      <c r="BVH43" s="595"/>
      <c r="BVI43" s="595"/>
      <c r="BVJ43" s="595"/>
      <c r="BVK43" s="595"/>
      <c r="BVL43" s="595"/>
      <c r="BVM43" s="595"/>
      <c r="BVN43" s="595"/>
      <c r="BVO43" s="595"/>
      <c r="BVP43" s="595"/>
      <c r="BVQ43" s="595"/>
      <c r="BVR43" s="595"/>
      <c r="BVS43" s="595"/>
      <c r="BVT43" s="595"/>
      <c r="BVU43" s="595"/>
      <c r="BVV43" s="595"/>
      <c r="BVW43" s="595"/>
      <c r="BVX43" s="595"/>
      <c r="BVY43" s="595"/>
      <c r="BVZ43" s="595"/>
      <c r="BWA43" s="595"/>
      <c r="BWB43" s="595"/>
      <c r="BWC43" s="595"/>
      <c r="BWD43" s="595"/>
      <c r="BWE43" s="595"/>
      <c r="BWF43" s="595"/>
      <c r="BWG43" s="595"/>
      <c r="BWH43" s="595"/>
      <c r="BWI43" s="595"/>
      <c r="BWJ43" s="595"/>
      <c r="BWK43" s="595"/>
      <c r="BWL43" s="595"/>
      <c r="BWM43" s="595"/>
      <c r="BWN43" s="595"/>
      <c r="BWO43" s="595"/>
      <c r="BWP43" s="595"/>
      <c r="BWQ43" s="595"/>
      <c r="BWR43" s="595"/>
      <c r="BWS43" s="595"/>
      <c r="BWT43" s="595"/>
      <c r="BWU43" s="595"/>
      <c r="BWV43" s="595"/>
      <c r="BWW43" s="595"/>
      <c r="BWX43" s="595"/>
      <c r="BWY43" s="595"/>
      <c r="BWZ43" s="595"/>
      <c r="BXA43" s="595"/>
      <c r="BXB43" s="595"/>
      <c r="BXC43" s="595"/>
      <c r="BXD43" s="595"/>
      <c r="BXE43" s="595"/>
      <c r="BXF43" s="595"/>
      <c r="BXG43" s="595"/>
      <c r="BXH43" s="595"/>
      <c r="BXI43" s="595"/>
      <c r="BXJ43" s="595"/>
      <c r="BXK43" s="595"/>
      <c r="BXL43" s="595"/>
      <c r="BXM43" s="595"/>
      <c r="BXN43" s="595"/>
      <c r="BXO43" s="595"/>
      <c r="BXP43" s="595"/>
      <c r="BXQ43" s="595"/>
      <c r="BXR43" s="595"/>
      <c r="BXS43" s="595"/>
      <c r="BXT43" s="595"/>
      <c r="BXU43" s="595"/>
      <c r="BXV43" s="595"/>
      <c r="BXW43" s="595"/>
      <c r="BXX43" s="595"/>
      <c r="BXY43" s="595"/>
      <c r="BXZ43" s="595"/>
      <c r="BYA43" s="595"/>
      <c r="BYB43" s="595"/>
      <c r="BYC43" s="595"/>
      <c r="BYD43" s="595"/>
      <c r="BYE43" s="595"/>
      <c r="BYF43" s="595"/>
      <c r="BYG43" s="595"/>
      <c r="BYH43" s="595"/>
      <c r="BYI43" s="595"/>
      <c r="BYJ43" s="595"/>
      <c r="BYK43" s="595"/>
      <c r="BYL43" s="595"/>
      <c r="BYM43" s="595"/>
      <c r="BYN43" s="595"/>
      <c r="BYO43" s="595"/>
      <c r="BYP43" s="595"/>
      <c r="BYQ43" s="595"/>
      <c r="BYR43" s="595"/>
      <c r="BYS43" s="595"/>
      <c r="BYT43" s="595"/>
      <c r="BYU43" s="595"/>
      <c r="BYV43" s="595"/>
      <c r="BYW43" s="595"/>
      <c r="BYX43" s="595"/>
      <c r="BYY43" s="595"/>
      <c r="BYZ43" s="595"/>
      <c r="BZA43" s="595"/>
      <c r="BZB43" s="595"/>
      <c r="BZC43" s="595"/>
      <c r="BZD43" s="595"/>
      <c r="BZE43" s="595"/>
      <c r="BZF43" s="595"/>
      <c r="BZG43" s="595"/>
      <c r="BZH43" s="595"/>
      <c r="BZI43" s="595"/>
      <c r="BZJ43" s="595"/>
      <c r="BZK43" s="595"/>
      <c r="BZL43" s="595"/>
      <c r="BZM43" s="595"/>
      <c r="BZN43" s="595"/>
      <c r="BZO43" s="595"/>
      <c r="BZP43" s="595"/>
      <c r="BZQ43" s="595"/>
      <c r="BZR43" s="595"/>
      <c r="BZS43" s="595"/>
      <c r="BZT43" s="595"/>
      <c r="BZU43" s="595"/>
      <c r="BZV43" s="595"/>
      <c r="BZW43" s="595"/>
      <c r="BZX43" s="595"/>
      <c r="BZY43" s="595"/>
      <c r="BZZ43" s="595"/>
      <c r="CAA43" s="595"/>
      <c r="CAB43" s="595"/>
      <c r="CAC43" s="595"/>
      <c r="CAD43" s="595"/>
      <c r="CAE43" s="595"/>
      <c r="CAF43" s="595"/>
      <c r="CAG43" s="595"/>
      <c r="CAH43" s="595"/>
      <c r="CAI43" s="595"/>
      <c r="CAJ43" s="595"/>
      <c r="CAK43" s="595"/>
      <c r="CAL43" s="595"/>
      <c r="CAM43" s="595"/>
      <c r="CAN43" s="595"/>
      <c r="CAO43" s="595"/>
      <c r="CAP43" s="595"/>
      <c r="CAQ43" s="595"/>
      <c r="CAR43" s="595"/>
      <c r="CAS43" s="595"/>
      <c r="CAT43" s="595"/>
      <c r="CAU43" s="595"/>
      <c r="CAV43" s="595"/>
      <c r="CAW43" s="595"/>
      <c r="CAX43" s="595"/>
      <c r="CAY43" s="595"/>
      <c r="CAZ43" s="595"/>
      <c r="CBA43" s="595"/>
      <c r="CBB43" s="595"/>
      <c r="CBC43" s="595"/>
      <c r="CBD43" s="595"/>
      <c r="CBE43" s="595"/>
      <c r="CBF43" s="595"/>
      <c r="CBG43" s="595"/>
      <c r="CBH43" s="595"/>
      <c r="CBI43" s="595"/>
      <c r="CBJ43" s="595"/>
      <c r="CBK43" s="595"/>
      <c r="CBL43" s="595"/>
      <c r="CBM43" s="595"/>
      <c r="CBN43" s="595"/>
      <c r="CBO43" s="595"/>
      <c r="CBP43" s="595"/>
      <c r="CBQ43" s="595"/>
      <c r="CBR43" s="595"/>
      <c r="CBS43" s="595"/>
      <c r="CBT43" s="595"/>
      <c r="CBU43" s="595"/>
      <c r="CBV43" s="595"/>
      <c r="CBW43" s="595"/>
      <c r="CBX43" s="595"/>
      <c r="CBY43" s="595"/>
      <c r="CBZ43" s="595"/>
      <c r="CCA43" s="595"/>
      <c r="CCB43" s="595"/>
      <c r="CCC43" s="595"/>
      <c r="CCD43" s="595"/>
      <c r="CCE43" s="595"/>
      <c r="CCF43" s="595"/>
      <c r="CCG43" s="595"/>
      <c r="CCH43" s="595"/>
      <c r="CCI43" s="595"/>
      <c r="CCJ43" s="595"/>
      <c r="CCK43" s="595"/>
      <c r="CCL43" s="595"/>
      <c r="CCM43" s="595"/>
      <c r="CCN43" s="595"/>
      <c r="CCO43" s="595"/>
      <c r="CCP43" s="595"/>
      <c r="CCQ43" s="595"/>
      <c r="CCR43" s="595"/>
      <c r="CCS43" s="595"/>
      <c r="CCT43" s="595"/>
      <c r="CCU43" s="595"/>
      <c r="CCV43" s="595"/>
      <c r="CCW43" s="595"/>
      <c r="CCX43" s="595"/>
      <c r="CCY43" s="595"/>
      <c r="CCZ43" s="595"/>
      <c r="CDA43" s="595"/>
      <c r="CDB43" s="595"/>
      <c r="CDC43" s="595"/>
      <c r="CDD43" s="595"/>
      <c r="CDE43" s="595"/>
      <c r="CDF43" s="595"/>
      <c r="CDG43" s="595"/>
      <c r="CDH43" s="595"/>
      <c r="CDI43" s="595"/>
      <c r="CDJ43" s="595"/>
      <c r="CDK43" s="595"/>
      <c r="CDL43" s="595"/>
      <c r="CDM43" s="595"/>
      <c r="CDN43" s="595"/>
      <c r="CDO43" s="595"/>
      <c r="CDP43" s="595"/>
      <c r="CDQ43" s="595"/>
      <c r="CDR43" s="595"/>
      <c r="CDS43" s="595"/>
      <c r="CDT43" s="595"/>
      <c r="CDU43" s="595"/>
      <c r="CDV43" s="595"/>
      <c r="CDW43" s="595"/>
      <c r="CDX43" s="595"/>
      <c r="CDY43" s="595"/>
      <c r="CDZ43" s="595"/>
      <c r="CEA43" s="595"/>
      <c r="CEB43" s="595"/>
      <c r="CEC43" s="595"/>
      <c r="CED43" s="595"/>
      <c r="CEE43" s="595"/>
      <c r="CEF43" s="595"/>
      <c r="CEG43" s="595"/>
      <c r="CEH43" s="595"/>
      <c r="CEI43" s="595"/>
      <c r="CEJ43" s="595"/>
      <c r="CEK43" s="595"/>
      <c r="CEL43" s="595"/>
      <c r="CEM43" s="595"/>
      <c r="CEN43" s="595"/>
      <c r="CEO43" s="595"/>
      <c r="CEP43" s="595"/>
      <c r="CEQ43" s="595"/>
      <c r="CER43" s="595"/>
      <c r="CES43" s="595"/>
      <c r="CET43" s="595"/>
      <c r="CEU43" s="595"/>
      <c r="CEV43" s="595"/>
      <c r="CEW43" s="595"/>
      <c r="CEX43" s="595"/>
      <c r="CEY43" s="595"/>
      <c r="CEZ43" s="595"/>
      <c r="CFA43" s="595"/>
      <c r="CFB43" s="595"/>
      <c r="CFC43" s="595"/>
      <c r="CFD43" s="595"/>
      <c r="CFE43" s="595"/>
      <c r="CFF43" s="595"/>
      <c r="CFG43" s="595"/>
      <c r="CFH43" s="595"/>
      <c r="CFI43" s="595"/>
      <c r="CFJ43" s="595"/>
      <c r="CFK43" s="595"/>
      <c r="CFL43" s="595"/>
      <c r="CFM43" s="595"/>
      <c r="CFN43" s="595"/>
      <c r="CFO43" s="595"/>
      <c r="CFP43" s="595"/>
      <c r="CFQ43" s="595"/>
      <c r="CFR43" s="595"/>
      <c r="CFS43" s="595"/>
      <c r="CFT43" s="595"/>
      <c r="CFU43" s="595"/>
      <c r="CFV43" s="595"/>
      <c r="CFW43" s="595"/>
      <c r="CFX43" s="595"/>
      <c r="CFY43" s="595"/>
      <c r="CFZ43" s="595"/>
      <c r="CGA43" s="595"/>
      <c r="CGB43" s="595"/>
      <c r="CGC43" s="595"/>
      <c r="CGD43" s="595"/>
      <c r="CGE43" s="595"/>
      <c r="CGF43" s="595"/>
      <c r="CGG43" s="595"/>
      <c r="CGH43" s="595"/>
      <c r="CGI43" s="595"/>
      <c r="CGJ43" s="595"/>
      <c r="CGK43" s="595"/>
      <c r="CGL43" s="595"/>
      <c r="CGM43" s="595"/>
      <c r="CGN43" s="595"/>
      <c r="CGO43" s="595"/>
      <c r="CGP43" s="595"/>
      <c r="CGQ43" s="595"/>
      <c r="CGR43" s="595"/>
      <c r="CGS43" s="595"/>
      <c r="CGT43" s="595"/>
      <c r="CGU43" s="595"/>
      <c r="CGV43" s="595"/>
      <c r="CGW43" s="595"/>
      <c r="CGX43" s="595"/>
      <c r="CGY43" s="595"/>
      <c r="CGZ43" s="595"/>
      <c r="CHA43" s="595"/>
      <c r="CHB43" s="595"/>
      <c r="CHC43" s="595"/>
      <c r="CHD43" s="595"/>
      <c r="CHE43" s="595"/>
      <c r="CHF43" s="595"/>
      <c r="CHG43" s="595"/>
      <c r="CHH43" s="595"/>
      <c r="CHI43" s="595"/>
      <c r="CHJ43" s="595"/>
      <c r="CHK43" s="595"/>
      <c r="CHL43" s="595"/>
      <c r="CHM43" s="595"/>
      <c r="CHN43" s="595"/>
      <c r="CHO43" s="595"/>
      <c r="CHP43" s="595"/>
      <c r="CHQ43" s="595"/>
      <c r="CHR43" s="595"/>
      <c r="CHS43" s="595"/>
      <c r="CHT43" s="595"/>
      <c r="CHU43" s="595"/>
      <c r="CHV43" s="595"/>
      <c r="CHW43" s="595"/>
      <c r="CHX43" s="595"/>
      <c r="CHY43" s="595"/>
      <c r="CHZ43" s="595"/>
      <c r="CIA43" s="595"/>
      <c r="CIB43" s="595"/>
      <c r="CIC43" s="595"/>
      <c r="CID43" s="595"/>
      <c r="CIE43" s="595"/>
      <c r="CIF43" s="595"/>
      <c r="CIG43" s="595"/>
      <c r="CIH43" s="595"/>
      <c r="CII43" s="595"/>
      <c r="CIJ43" s="595"/>
      <c r="CIK43" s="595"/>
      <c r="CIL43" s="595"/>
      <c r="CIM43" s="595"/>
      <c r="CIN43" s="595"/>
      <c r="CIO43" s="595"/>
      <c r="CIP43" s="595"/>
      <c r="CIQ43" s="595"/>
      <c r="CIR43" s="595"/>
      <c r="CIS43" s="595"/>
      <c r="CIT43" s="595"/>
      <c r="CIU43" s="595"/>
      <c r="CIV43" s="595"/>
      <c r="CIW43" s="595"/>
      <c r="CIX43" s="595"/>
      <c r="CIY43" s="595"/>
      <c r="CIZ43" s="595"/>
      <c r="CJA43" s="595"/>
      <c r="CJB43" s="595"/>
      <c r="CJC43" s="595"/>
      <c r="CJD43" s="595"/>
      <c r="CJE43" s="595"/>
      <c r="CJF43" s="595"/>
      <c r="CJG43" s="595"/>
      <c r="CJH43" s="595"/>
      <c r="CJI43" s="595"/>
      <c r="CJJ43" s="595"/>
      <c r="CJK43" s="595"/>
      <c r="CJL43" s="595"/>
      <c r="CJM43" s="595"/>
      <c r="CJN43" s="595"/>
      <c r="CJO43" s="595"/>
      <c r="CJP43" s="595"/>
      <c r="CJQ43" s="595"/>
      <c r="CJR43" s="595"/>
      <c r="CJS43" s="595"/>
      <c r="CJT43" s="595"/>
      <c r="CJU43" s="595"/>
      <c r="CJV43" s="595"/>
      <c r="CJW43" s="595"/>
      <c r="CJX43" s="595"/>
      <c r="CJY43" s="595"/>
      <c r="CJZ43" s="595"/>
      <c r="CKA43" s="595"/>
      <c r="CKB43" s="595"/>
      <c r="CKC43" s="595"/>
      <c r="CKD43" s="595"/>
      <c r="CKE43" s="595"/>
      <c r="CKF43" s="595"/>
      <c r="CKG43" s="595"/>
      <c r="CKH43" s="595"/>
      <c r="CKI43" s="595"/>
      <c r="CKJ43" s="595"/>
      <c r="CKK43" s="595"/>
      <c r="CKL43" s="595"/>
      <c r="CKM43" s="595"/>
      <c r="CKN43" s="595"/>
      <c r="CKO43" s="595"/>
      <c r="CKP43" s="595"/>
      <c r="CKQ43" s="595"/>
      <c r="CKR43" s="595"/>
      <c r="CKS43" s="595"/>
      <c r="CKT43" s="595"/>
      <c r="CKU43" s="595"/>
      <c r="CKV43" s="595"/>
      <c r="CKW43" s="595"/>
      <c r="CKX43" s="595"/>
      <c r="CKY43" s="595"/>
      <c r="CKZ43" s="595"/>
      <c r="CLA43" s="595"/>
      <c r="CLB43" s="595"/>
      <c r="CLC43" s="595"/>
      <c r="CLD43" s="595"/>
      <c r="CLE43" s="595"/>
      <c r="CLF43" s="595"/>
      <c r="CLG43" s="595"/>
      <c r="CLH43" s="595"/>
      <c r="CLI43" s="595"/>
      <c r="CLJ43" s="595"/>
      <c r="CLK43" s="595"/>
      <c r="CLL43" s="595"/>
      <c r="CLM43" s="595"/>
      <c r="CLN43" s="595"/>
      <c r="CLO43" s="595"/>
      <c r="CLP43" s="595"/>
      <c r="CLQ43" s="595"/>
      <c r="CLR43" s="595"/>
      <c r="CLS43" s="595"/>
      <c r="CLT43" s="595"/>
      <c r="CLU43" s="595"/>
      <c r="CLV43" s="595"/>
      <c r="CLW43" s="595"/>
      <c r="CLX43" s="595"/>
      <c r="CLY43" s="595"/>
      <c r="CLZ43" s="595"/>
      <c r="CMA43" s="595"/>
      <c r="CMB43" s="595"/>
      <c r="CMC43" s="595"/>
      <c r="CMD43" s="595"/>
      <c r="CME43" s="595"/>
      <c r="CMF43" s="595"/>
      <c r="CMG43" s="595"/>
      <c r="CMH43" s="595"/>
      <c r="CMI43" s="595"/>
      <c r="CMJ43" s="595"/>
      <c r="CMK43" s="595"/>
      <c r="CML43" s="595"/>
      <c r="CMM43" s="595"/>
      <c r="CMN43" s="595"/>
      <c r="CMO43" s="595"/>
      <c r="CMP43" s="595"/>
      <c r="CMQ43" s="595"/>
      <c r="CMR43" s="595"/>
      <c r="CMS43" s="595"/>
      <c r="CMT43" s="595"/>
      <c r="CMU43" s="595"/>
      <c r="CMV43" s="595"/>
      <c r="CMW43" s="595"/>
      <c r="CMX43" s="595"/>
      <c r="CMY43" s="595"/>
      <c r="CMZ43" s="595"/>
      <c r="CNA43" s="595"/>
      <c r="CNB43" s="595"/>
      <c r="CNC43" s="595"/>
      <c r="CND43" s="595"/>
      <c r="CNE43" s="595"/>
      <c r="CNF43" s="595"/>
      <c r="CNG43" s="595"/>
      <c r="CNH43" s="595"/>
      <c r="CNI43" s="595"/>
      <c r="CNJ43" s="595"/>
      <c r="CNK43" s="595"/>
      <c r="CNL43" s="595"/>
      <c r="CNM43" s="595"/>
      <c r="CNN43" s="595"/>
      <c r="CNO43" s="595"/>
      <c r="CNP43" s="595"/>
      <c r="CNQ43" s="595"/>
      <c r="CNR43" s="595"/>
      <c r="CNS43" s="595"/>
      <c r="CNT43" s="595"/>
      <c r="CNU43" s="595"/>
      <c r="CNV43" s="595"/>
      <c r="CNW43" s="595"/>
      <c r="CNX43" s="595"/>
      <c r="CNY43" s="595"/>
      <c r="CNZ43" s="595"/>
      <c r="COA43" s="595"/>
      <c r="COB43" s="595"/>
      <c r="COC43" s="595"/>
      <c r="COD43" s="595"/>
      <c r="COE43" s="595"/>
      <c r="COF43" s="595"/>
      <c r="COG43" s="595"/>
      <c r="COH43" s="595"/>
      <c r="COI43" s="595"/>
      <c r="COJ43" s="595"/>
      <c r="COK43" s="595"/>
      <c r="COL43" s="595"/>
      <c r="COM43" s="595"/>
      <c r="CON43" s="595"/>
      <c r="COO43" s="595"/>
      <c r="COP43" s="595"/>
      <c r="COQ43" s="595"/>
      <c r="COR43" s="595"/>
      <c r="COS43" s="595"/>
      <c r="COT43" s="595"/>
      <c r="COU43" s="595"/>
      <c r="COV43" s="595"/>
      <c r="COW43" s="595"/>
      <c r="COX43" s="595"/>
      <c r="COY43" s="595"/>
      <c r="COZ43" s="595"/>
      <c r="CPA43" s="595"/>
      <c r="CPB43" s="595"/>
      <c r="CPC43" s="595"/>
      <c r="CPD43" s="595"/>
      <c r="CPE43" s="595"/>
      <c r="CPF43" s="595"/>
      <c r="CPG43" s="595"/>
      <c r="CPH43" s="595"/>
      <c r="CPI43" s="595"/>
      <c r="CPJ43" s="595"/>
      <c r="CPK43" s="595"/>
      <c r="CPL43" s="595"/>
      <c r="CPM43" s="595"/>
      <c r="CPN43" s="595"/>
      <c r="CPO43" s="595"/>
      <c r="CPP43" s="595"/>
      <c r="CPQ43" s="595"/>
      <c r="CPR43" s="595"/>
      <c r="CPS43" s="595"/>
      <c r="CPT43" s="595"/>
      <c r="CPU43" s="595"/>
      <c r="CPV43" s="595"/>
      <c r="CPW43" s="595"/>
      <c r="CPX43" s="595"/>
      <c r="CPY43" s="595"/>
      <c r="CPZ43" s="595"/>
      <c r="CQA43" s="595"/>
      <c r="CQB43" s="595"/>
      <c r="CQC43" s="595"/>
      <c r="CQD43" s="595"/>
      <c r="CQE43" s="595"/>
      <c r="CQF43" s="595"/>
      <c r="CQG43" s="595"/>
      <c r="CQH43" s="595"/>
      <c r="CQI43" s="595"/>
      <c r="CQJ43" s="595"/>
      <c r="CQK43" s="595"/>
      <c r="CQL43" s="595"/>
      <c r="CQM43" s="595"/>
      <c r="CQN43" s="595"/>
      <c r="CQO43" s="595"/>
      <c r="CQP43" s="595"/>
      <c r="CQQ43" s="595"/>
      <c r="CQR43" s="595"/>
      <c r="CQS43" s="595"/>
      <c r="CQT43" s="595"/>
      <c r="CQU43" s="595"/>
      <c r="CQV43" s="595"/>
      <c r="CQW43" s="595"/>
      <c r="CQX43" s="595"/>
      <c r="CQY43" s="595"/>
      <c r="CQZ43" s="595"/>
      <c r="CRA43" s="595"/>
      <c r="CRB43" s="595"/>
      <c r="CRC43" s="595"/>
      <c r="CRD43" s="595"/>
      <c r="CRE43" s="595"/>
      <c r="CRF43" s="595"/>
      <c r="CRG43" s="595"/>
      <c r="CRH43" s="595"/>
      <c r="CRI43" s="595"/>
      <c r="CRJ43" s="595"/>
      <c r="CRK43" s="595"/>
      <c r="CRL43" s="595"/>
      <c r="CRM43" s="595"/>
      <c r="CRN43" s="595"/>
      <c r="CRO43" s="595"/>
      <c r="CRP43" s="595"/>
      <c r="CRQ43" s="595"/>
      <c r="CRR43" s="595"/>
      <c r="CRS43" s="595"/>
      <c r="CRT43" s="595"/>
      <c r="CRU43" s="595"/>
      <c r="CRV43" s="595"/>
      <c r="CRW43" s="595"/>
      <c r="CRX43" s="595"/>
      <c r="CRY43" s="595"/>
      <c r="CRZ43" s="595"/>
      <c r="CSA43" s="595"/>
      <c r="CSB43" s="595"/>
      <c r="CSC43" s="595"/>
      <c r="CSD43" s="595"/>
      <c r="CSE43" s="595"/>
      <c r="CSF43" s="595"/>
      <c r="CSG43" s="595"/>
      <c r="CSH43" s="595"/>
      <c r="CSI43" s="595"/>
      <c r="CSJ43" s="595"/>
      <c r="CSK43" s="595"/>
      <c r="CSL43" s="595"/>
      <c r="CSM43" s="595"/>
      <c r="CSN43" s="595"/>
      <c r="CSO43" s="595"/>
      <c r="CSP43" s="595"/>
      <c r="CSQ43" s="595"/>
      <c r="CSR43" s="595"/>
      <c r="CSS43" s="595"/>
      <c r="CST43" s="595"/>
      <c r="CSU43" s="595"/>
      <c r="CSV43" s="595"/>
      <c r="CSW43" s="595"/>
      <c r="CSX43" s="595"/>
      <c r="CSY43" s="595"/>
      <c r="CSZ43" s="595"/>
      <c r="CTA43" s="595"/>
      <c r="CTB43" s="595"/>
      <c r="CTC43" s="595"/>
      <c r="CTD43" s="595"/>
      <c r="CTE43" s="595"/>
      <c r="CTF43" s="595"/>
      <c r="CTG43" s="595"/>
      <c r="CTH43" s="595"/>
      <c r="CTI43" s="595"/>
      <c r="CTJ43" s="595"/>
      <c r="CTK43" s="595"/>
      <c r="CTL43" s="595"/>
      <c r="CTM43" s="595"/>
      <c r="CTN43" s="595"/>
      <c r="CTO43" s="595"/>
      <c r="CTP43" s="595"/>
      <c r="CTQ43" s="595"/>
      <c r="CTR43" s="595"/>
      <c r="CTS43" s="595"/>
      <c r="CTT43" s="595"/>
      <c r="CTU43" s="595"/>
      <c r="CTV43" s="595"/>
      <c r="CTW43" s="595"/>
      <c r="CTX43" s="595"/>
      <c r="CTY43" s="595"/>
      <c r="CTZ43" s="595"/>
      <c r="CUA43" s="595"/>
      <c r="CUB43" s="595"/>
      <c r="CUC43" s="595"/>
      <c r="CUD43" s="595"/>
      <c r="CUE43" s="595"/>
      <c r="CUF43" s="595"/>
      <c r="CUG43" s="595"/>
      <c r="CUH43" s="595"/>
      <c r="CUI43" s="595"/>
      <c r="CUJ43" s="595"/>
      <c r="CUK43" s="595"/>
      <c r="CUL43" s="595"/>
      <c r="CUM43" s="595"/>
      <c r="CUN43" s="595"/>
      <c r="CUO43" s="595"/>
      <c r="CUP43" s="595"/>
      <c r="CUQ43" s="595"/>
      <c r="CUR43" s="595"/>
      <c r="CUS43" s="595"/>
      <c r="CUT43" s="595"/>
      <c r="CUU43" s="595"/>
      <c r="CUV43" s="595"/>
      <c r="CUW43" s="595"/>
      <c r="CUX43" s="595"/>
      <c r="CUY43" s="595"/>
      <c r="CUZ43" s="595"/>
      <c r="CVA43" s="595"/>
      <c r="CVB43" s="595"/>
      <c r="CVC43" s="595"/>
      <c r="CVD43" s="595"/>
      <c r="CVE43" s="595"/>
      <c r="CVF43" s="595"/>
      <c r="CVG43" s="595"/>
      <c r="CVH43" s="595"/>
      <c r="CVI43" s="595"/>
      <c r="CVJ43" s="595"/>
      <c r="CVK43" s="595"/>
      <c r="CVL43" s="595"/>
      <c r="CVM43" s="595"/>
      <c r="CVN43" s="595"/>
      <c r="CVO43" s="595"/>
      <c r="CVP43" s="595"/>
      <c r="CVQ43" s="595"/>
      <c r="CVR43" s="595"/>
      <c r="CVS43" s="595"/>
      <c r="CVT43" s="595"/>
      <c r="CVU43" s="595"/>
      <c r="CVV43" s="595"/>
      <c r="CVW43" s="595"/>
      <c r="CVX43" s="595"/>
      <c r="CVY43" s="595"/>
      <c r="CVZ43" s="595"/>
      <c r="CWA43" s="595"/>
      <c r="CWB43" s="595"/>
      <c r="CWC43" s="595"/>
      <c r="CWD43" s="595"/>
      <c r="CWE43" s="595"/>
      <c r="CWF43" s="595"/>
      <c r="CWG43" s="595"/>
      <c r="CWH43" s="595"/>
      <c r="CWI43" s="595"/>
      <c r="CWJ43" s="595"/>
      <c r="CWK43" s="595"/>
      <c r="CWL43" s="595"/>
      <c r="CWM43" s="595"/>
      <c r="CWN43" s="595"/>
      <c r="CWO43" s="595"/>
      <c r="CWP43" s="595"/>
      <c r="CWQ43" s="595"/>
      <c r="CWR43" s="595"/>
      <c r="CWS43" s="595"/>
      <c r="CWT43" s="595"/>
      <c r="CWU43" s="595"/>
      <c r="CWV43" s="595"/>
      <c r="CWW43" s="595"/>
      <c r="CWX43" s="595"/>
      <c r="CWY43" s="595"/>
      <c r="CWZ43" s="595"/>
      <c r="CXA43" s="595"/>
      <c r="CXB43" s="595"/>
      <c r="CXC43" s="595"/>
      <c r="CXD43" s="595"/>
      <c r="CXE43" s="595"/>
      <c r="CXF43" s="595"/>
      <c r="CXG43" s="595"/>
      <c r="CXH43" s="595"/>
      <c r="CXI43" s="595"/>
      <c r="CXJ43" s="595"/>
      <c r="CXK43" s="595"/>
      <c r="CXL43" s="595"/>
      <c r="CXM43" s="595"/>
      <c r="CXN43" s="595"/>
      <c r="CXO43" s="595"/>
      <c r="CXP43" s="595"/>
      <c r="CXQ43" s="595"/>
      <c r="CXR43" s="595"/>
      <c r="CXS43" s="595"/>
      <c r="CXT43" s="595"/>
      <c r="CXU43" s="595"/>
      <c r="CXV43" s="595"/>
      <c r="CXW43" s="595"/>
      <c r="CXX43" s="595"/>
      <c r="CXY43" s="595"/>
      <c r="CXZ43" s="595"/>
      <c r="CYA43" s="595"/>
      <c r="CYB43" s="595"/>
      <c r="CYC43" s="595"/>
      <c r="CYD43" s="595"/>
      <c r="CYE43" s="595"/>
      <c r="CYF43" s="595"/>
      <c r="CYG43" s="595"/>
      <c r="CYH43" s="595"/>
      <c r="CYI43" s="595"/>
      <c r="CYJ43" s="595"/>
      <c r="CYK43" s="595"/>
      <c r="CYL43" s="595"/>
      <c r="CYM43" s="595"/>
      <c r="CYN43" s="595"/>
      <c r="CYO43" s="595"/>
      <c r="CYP43" s="595"/>
      <c r="CYQ43" s="595"/>
      <c r="CYR43" s="595"/>
      <c r="CYS43" s="595"/>
      <c r="CYT43" s="595"/>
      <c r="CYU43" s="595"/>
      <c r="CYV43" s="595"/>
      <c r="CYW43" s="595"/>
      <c r="CYX43" s="595"/>
      <c r="CYY43" s="595"/>
      <c r="CYZ43" s="595"/>
      <c r="CZA43" s="595"/>
      <c r="CZB43" s="595"/>
      <c r="CZC43" s="595"/>
      <c r="CZD43" s="595"/>
      <c r="CZE43" s="595"/>
      <c r="CZF43" s="595"/>
      <c r="CZG43" s="595"/>
      <c r="CZH43" s="595"/>
      <c r="CZI43" s="595"/>
      <c r="CZJ43" s="595"/>
      <c r="CZK43" s="595"/>
      <c r="CZL43" s="595"/>
      <c r="CZM43" s="595"/>
      <c r="CZN43" s="595"/>
      <c r="CZO43" s="595"/>
      <c r="CZP43" s="595"/>
      <c r="CZQ43" s="595"/>
      <c r="CZR43" s="595"/>
      <c r="CZS43" s="595"/>
      <c r="CZT43" s="595"/>
      <c r="CZU43" s="595"/>
      <c r="CZV43" s="595"/>
      <c r="CZW43" s="595"/>
      <c r="CZX43" s="595"/>
      <c r="CZY43" s="595"/>
      <c r="CZZ43" s="595"/>
      <c r="DAA43" s="595"/>
      <c r="DAB43" s="595"/>
      <c r="DAC43" s="595"/>
      <c r="DAD43" s="595"/>
      <c r="DAE43" s="595"/>
      <c r="DAF43" s="595"/>
      <c r="DAG43" s="595"/>
      <c r="DAH43" s="595"/>
      <c r="DAI43" s="595"/>
      <c r="DAJ43" s="595"/>
      <c r="DAK43" s="595"/>
      <c r="DAL43" s="595"/>
      <c r="DAM43" s="595"/>
      <c r="DAN43" s="595"/>
      <c r="DAO43" s="595"/>
      <c r="DAP43" s="595"/>
      <c r="DAQ43" s="595"/>
      <c r="DAR43" s="595"/>
      <c r="DAS43" s="595"/>
      <c r="DAT43" s="595"/>
      <c r="DAU43" s="595"/>
      <c r="DAV43" s="595"/>
      <c r="DAW43" s="595"/>
      <c r="DAX43" s="595"/>
      <c r="DAY43" s="595"/>
      <c r="DAZ43" s="595"/>
      <c r="DBA43" s="595"/>
      <c r="DBB43" s="595"/>
      <c r="DBC43" s="595"/>
      <c r="DBD43" s="595"/>
      <c r="DBE43" s="595"/>
      <c r="DBF43" s="595"/>
      <c r="DBG43" s="595"/>
      <c r="DBH43" s="595"/>
      <c r="DBI43" s="595"/>
      <c r="DBJ43" s="595"/>
      <c r="DBK43" s="595"/>
      <c r="DBL43" s="595"/>
      <c r="DBM43" s="595"/>
      <c r="DBN43" s="595"/>
      <c r="DBO43" s="595"/>
      <c r="DBP43" s="595"/>
      <c r="DBQ43" s="595"/>
      <c r="DBR43" s="595"/>
      <c r="DBS43" s="595"/>
      <c r="DBT43" s="595"/>
      <c r="DBU43" s="595"/>
      <c r="DBV43" s="595"/>
      <c r="DBW43" s="595"/>
      <c r="DBX43" s="595"/>
      <c r="DBY43" s="595"/>
      <c r="DBZ43" s="595"/>
      <c r="DCA43" s="595"/>
      <c r="DCB43" s="595"/>
      <c r="DCC43" s="595"/>
      <c r="DCD43" s="595"/>
      <c r="DCE43" s="595"/>
      <c r="DCF43" s="595"/>
      <c r="DCG43" s="595"/>
      <c r="DCH43" s="595"/>
      <c r="DCI43" s="595"/>
      <c r="DCJ43" s="595"/>
      <c r="DCK43" s="595"/>
      <c r="DCL43" s="595"/>
      <c r="DCM43" s="595"/>
      <c r="DCN43" s="595"/>
      <c r="DCO43" s="595"/>
      <c r="DCP43" s="595"/>
      <c r="DCQ43" s="595"/>
      <c r="DCR43" s="595"/>
      <c r="DCS43" s="595"/>
      <c r="DCT43" s="595"/>
      <c r="DCU43" s="595"/>
      <c r="DCV43" s="595"/>
      <c r="DCW43" s="595"/>
      <c r="DCX43" s="595"/>
      <c r="DCY43" s="595"/>
      <c r="DCZ43" s="595"/>
      <c r="DDA43" s="595"/>
      <c r="DDB43" s="595"/>
      <c r="DDC43" s="595"/>
      <c r="DDD43" s="595"/>
      <c r="DDE43" s="595"/>
      <c r="DDF43" s="595"/>
      <c r="DDG43" s="595"/>
      <c r="DDH43" s="595"/>
      <c r="DDI43" s="595"/>
      <c r="DDJ43" s="595"/>
      <c r="DDK43" s="595"/>
      <c r="DDL43" s="595"/>
      <c r="DDM43" s="595"/>
      <c r="DDN43" s="595"/>
      <c r="DDO43" s="595"/>
      <c r="DDP43" s="595"/>
      <c r="DDQ43" s="595"/>
      <c r="DDR43" s="595"/>
      <c r="DDS43" s="595"/>
      <c r="DDT43" s="595"/>
      <c r="DDU43" s="595"/>
      <c r="DDV43" s="595"/>
      <c r="DDW43" s="595"/>
      <c r="DDX43" s="595"/>
      <c r="DDY43" s="595"/>
      <c r="DDZ43" s="595"/>
      <c r="DEA43" s="595"/>
      <c r="DEB43" s="595"/>
      <c r="DEC43" s="595"/>
      <c r="DED43" s="595"/>
      <c r="DEE43" s="595"/>
      <c r="DEF43" s="595"/>
      <c r="DEG43" s="595"/>
      <c r="DEH43" s="595"/>
      <c r="DEI43" s="595"/>
      <c r="DEJ43" s="595"/>
      <c r="DEK43" s="595"/>
      <c r="DEL43" s="595"/>
      <c r="DEM43" s="595"/>
      <c r="DEN43" s="595"/>
      <c r="DEO43" s="595"/>
      <c r="DEP43" s="595"/>
      <c r="DEQ43" s="595"/>
      <c r="DER43" s="595"/>
      <c r="DES43" s="595"/>
      <c r="DET43" s="595"/>
      <c r="DEU43" s="595"/>
      <c r="DEV43" s="595"/>
      <c r="DEW43" s="595"/>
      <c r="DEX43" s="595"/>
      <c r="DEY43" s="595"/>
      <c r="DEZ43" s="595"/>
      <c r="DFA43" s="595"/>
      <c r="DFB43" s="595"/>
      <c r="DFC43" s="595"/>
      <c r="DFD43" s="595"/>
      <c r="DFE43" s="595"/>
      <c r="DFF43" s="595"/>
      <c r="DFG43" s="595"/>
      <c r="DFH43" s="595"/>
      <c r="DFI43" s="595"/>
      <c r="DFJ43" s="595"/>
      <c r="DFK43" s="595"/>
      <c r="DFL43" s="595"/>
      <c r="DFM43" s="595"/>
      <c r="DFN43" s="595"/>
      <c r="DFO43" s="595"/>
      <c r="DFP43" s="595"/>
      <c r="DFQ43" s="595"/>
      <c r="DFR43" s="595"/>
      <c r="DFS43" s="595"/>
      <c r="DFT43" s="595"/>
      <c r="DFU43" s="595"/>
      <c r="DFV43" s="595"/>
      <c r="DFW43" s="595"/>
      <c r="DFX43" s="595"/>
      <c r="DFY43" s="595"/>
      <c r="DFZ43" s="595"/>
      <c r="DGA43" s="595"/>
      <c r="DGB43" s="595"/>
      <c r="DGC43" s="595"/>
      <c r="DGD43" s="595"/>
      <c r="DGE43" s="595"/>
      <c r="DGF43" s="595"/>
      <c r="DGG43" s="595"/>
      <c r="DGH43" s="595"/>
      <c r="DGI43" s="595"/>
      <c r="DGJ43" s="595"/>
      <c r="DGK43" s="595"/>
      <c r="DGL43" s="595"/>
      <c r="DGM43" s="595"/>
      <c r="DGN43" s="595"/>
      <c r="DGO43" s="595"/>
      <c r="DGP43" s="595"/>
      <c r="DGQ43" s="595"/>
      <c r="DGR43" s="595"/>
      <c r="DGS43" s="595"/>
      <c r="DGT43" s="595"/>
      <c r="DGU43" s="595"/>
      <c r="DGV43" s="595"/>
      <c r="DGW43" s="595"/>
      <c r="DGX43" s="595"/>
      <c r="DGY43" s="595"/>
      <c r="DGZ43" s="595"/>
      <c r="DHA43" s="595"/>
      <c r="DHB43" s="595"/>
      <c r="DHC43" s="595"/>
      <c r="DHD43" s="595"/>
      <c r="DHE43" s="595"/>
      <c r="DHF43" s="595"/>
      <c r="DHG43" s="595"/>
      <c r="DHH43" s="595"/>
      <c r="DHI43" s="595"/>
      <c r="DHJ43" s="595"/>
      <c r="DHK43" s="595"/>
      <c r="DHL43" s="595"/>
      <c r="DHM43" s="595"/>
      <c r="DHN43" s="595"/>
      <c r="DHO43" s="595"/>
      <c r="DHP43" s="595"/>
      <c r="DHQ43" s="595"/>
      <c r="DHR43" s="595"/>
      <c r="DHS43" s="595"/>
      <c r="DHT43" s="595"/>
      <c r="DHU43" s="595"/>
      <c r="DHV43" s="595"/>
      <c r="DHW43" s="595"/>
      <c r="DHX43" s="595"/>
      <c r="DHY43" s="595"/>
      <c r="DHZ43" s="595"/>
      <c r="DIA43" s="595"/>
      <c r="DIB43" s="595"/>
      <c r="DIC43" s="595"/>
      <c r="DID43" s="595"/>
      <c r="DIE43" s="595"/>
      <c r="DIF43" s="595"/>
      <c r="DIG43" s="595"/>
      <c r="DIH43" s="595"/>
      <c r="DII43" s="595"/>
      <c r="DIJ43" s="595"/>
      <c r="DIK43" s="595"/>
      <c r="DIL43" s="595"/>
      <c r="DIM43" s="595"/>
      <c r="DIN43" s="595"/>
      <c r="DIO43" s="595"/>
      <c r="DIP43" s="595"/>
      <c r="DIQ43" s="595"/>
      <c r="DIR43" s="595"/>
      <c r="DIS43" s="595"/>
      <c r="DIT43" s="595"/>
      <c r="DIU43" s="595"/>
      <c r="DIV43" s="595"/>
      <c r="DIW43" s="595"/>
      <c r="DIX43" s="595"/>
      <c r="DIY43" s="595"/>
      <c r="DIZ43" s="595"/>
      <c r="DJA43" s="595"/>
      <c r="DJB43" s="595"/>
      <c r="DJC43" s="595"/>
      <c r="DJD43" s="595"/>
      <c r="DJE43" s="595"/>
      <c r="DJF43" s="595"/>
      <c r="DJG43" s="595"/>
      <c r="DJH43" s="595"/>
      <c r="DJI43" s="595"/>
      <c r="DJJ43" s="595"/>
      <c r="DJK43" s="595"/>
      <c r="DJL43" s="595"/>
      <c r="DJM43" s="595"/>
      <c r="DJN43" s="595"/>
      <c r="DJO43" s="595"/>
      <c r="DJP43" s="595"/>
      <c r="DJQ43" s="595"/>
      <c r="DJR43" s="595"/>
      <c r="DJS43" s="595"/>
      <c r="DJT43" s="595"/>
      <c r="DJU43" s="595"/>
      <c r="DJV43" s="595"/>
      <c r="DJW43" s="595"/>
      <c r="DJX43" s="595"/>
      <c r="DJY43" s="595"/>
      <c r="DJZ43" s="595"/>
      <c r="DKA43" s="595"/>
      <c r="DKB43" s="595"/>
      <c r="DKC43" s="595"/>
      <c r="DKD43" s="595"/>
      <c r="DKE43" s="595"/>
      <c r="DKF43" s="595"/>
      <c r="DKG43" s="595"/>
      <c r="DKH43" s="595"/>
      <c r="DKI43" s="595"/>
      <c r="DKJ43" s="595"/>
      <c r="DKK43" s="595"/>
      <c r="DKL43" s="595"/>
      <c r="DKM43" s="595"/>
      <c r="DKN43" s="595"/>
      <c r="DKO43" s="595"/>
      <c r="DKP43" s="595"/>
      <c r="DKQ43" s="595"/>
      <c r="DKR43" s="595"/>
      <c r="DKS43" s="595"/>
      <c r="DKT43" s="595"/>
      <c r="DKU43" s="595"/>
      <c r="DKV43" s="595"/>
      <c r="DKW43" s="595"/>
      <c r="DKX43" s="595"/>
      <c r="DKY43" s="595"/>
      <c r="DKZ43" s="595"/>
      <c r="DLA43" s="595"/>
      <c r="DLB43" s="595"/>
      <c r="DLC43" s="595"/>
      <c r="DLD43" s="595"/>
      <c r="DLE43" s="595"/>
      <c r="DLF43" s="595"/>
      <c r="DLG43" s="595"/>
      <c r="DLH43" s="595"/>
      <c r="DLI43" s="595"/>
      <c r="DLJ43" s="595"/>
      <c r="DLK43" s="595"/>
      <c r="DLL43" s="595"/>
      <c r="DLM43" s="595"/>
      <c r="DLN43" s="595"/>
      <c r="DLO43" s="595"/>
      <c r="DLP43" s="595"/>
      <c r="DLQ43" s="595"/>
      <c r="DLR43" s="595"/>
      <c r="DLS43" s="595"/>
      <c r="DLT43" s="595"/>
      <c r="DLU43" s="595"/>
      <c r="DLV43" s="595"/>
      <c r="DLW43" s="595"/>
      <c r="DLX43" s="595"/>
      <c r="DLY43" s="595"/>
      <c r="DLZ43" s="595"/>
      <c r="DMA43" s="595"/>
      <c r="DMB43" s="595"/>
      <c r="DMC43" s="595"/>
      <c r="DMD43" s="595"/>
      <c r="DME43" s="595"/>
      <c r="DMF43" s="595"/>
      <c r="DMG43" s="595"/>
      <c r="DMH43" s="595"/>
      <c r="DMI43" s="595"/>
      <c r="DMJ43" s="595"/>
      <c r="DMK43" s="595"/>
      <c r="DML43" s="595"/>
      <c r="DMM43" s="595"/>
      <c r="DMN43" s="595"/>
      <c r="DMO43" s="595"/>
      <c r="DMP43" s="595"/>
      <c r="DMQ43" s="595"/>
      <c r="DMR43" s="595"/>
      <c r="DMS43" s="595"/>
      <c r="DMT43" s="595"/>
      <c r="DMU43" s="595"/>
      <c r="DMV43" s="595"/>
      <c r="DMW43" s="595"/>
      <c r="DMX43" s="595"/>
      <c r="DMY43" s="595"/>
      <c r="DMZ43" s="595"/>
      <c r="DNA43" s="595"/>
      <c r="DNB43" s="595"/>
      <c r="DNC43" s="595"/>
      <c r="DND43" s="595"/>
      <c r="DNE43" s="595"/>
      <c r="DNF43" s="595"/>
      <c r="DNG43" s="595"/>
      <c r="DNH43" s="595"/>
      <c r="DNI43" s="595"/>
      <c r="DNJ43" s="595"/>
      <c r="DNK43" s="595"/>
      <c r="DNL43" s="595"/>
      <c r="DNM43" s="595"/>
      <c r="DNN43" s="595"/>
      <c r="DNO43" s="595"/>
      <c r="DNP43" s="595"/>
      <c r="DNQ43" s="595"/>
      <c r="DNR43" s="595"/>
      <c r="DNS43" s="595"/>
      <c r="DNT43" s="595"/>
      <c r="DNU43" s="595"/>
      <c r="DNV43" s="595"/>
      <c r="DNW43" s="595"/>
      <c r="DNX43" s="595"/>
      <c r="DNY43" s="595"/>
      <c r="DNZ43" s="595"/>
      <c r="DOA43" s="595"/>
      <c r="DOB43" s="595"/>
      <c r="DOC43" s="595"/>
      <c r="DOD43" s="595"/>
      <c r="DOE43" s="595"/>
      <c r="DOF43" s="595"/>
      <c r="DOG43" s="595"/>
      <c r="DOH43" s="595"/>
      <c r="DOI43" s="595"/>
      <c r="DOJ43" s="595"/>
      <c r="DOK43" s="595"/>
      <c r="DOL43" s="595"/>
      <c r="DOM43" s="595"/>
      <c r="DON43" s="595"/>
      <c r="DOO43" s="595"/>
      <c r="DOP43" s="595"/>
      <c r="DOQ43" s="595"/>
      <c r="DOR43" s="595"/>
      <c r="DOS43" s="595"/>
      <c r="DOT43" s="595"/>
      <c r="DOU43" s="595"/>
      <c r="DOV43" s="595"/>
      <c r="DOW43" s="595"/>
      <c r="DOX43" s="595"/>
      <c r="DOY43" s="595"/>
      <c r="DOZ43" s="595"/>
      <c r="DPA43" s="595"/>
      <c r="DPB43" s="595"/>
      <c r="DPC43" s="595"/>
      <c r="DPD43" s="595"/>
      <c r="DPE43" s="595"/>
      <c r="DPF43" s="595"/>
      <c r="DPG43" s="595"/>
      <c r="DPH43" s="595"/>
      <c r="DPI43" s="595"/>
      <c r="DPJ43" s="595"/>
      <c r="DPK43" s="595"/>
      <c r="DPL43" s="595"/>
      <c r="DPM43" s="595"/>
      <c r="DPN43" s="595"/>
      <c r="DPO43" s="595"/>
      <c r="DPP43" s="595"/>
      <c r="DPQ43" s="595"/>
      <c r="DPR43" s="595"/>
      <c r="DPS43" s="595"/>
      <c r="DPT43" s="595"/>
      <c r="DPU43" s="595"/>
      <c r="DPV43" s="595"/>
      <c r="DPW43" s="595"/>
      <c r="DPX43" s="595"/>
      <c r="DPY43" s="595"/>
      <c r="DPZ43" s="595"/>
      <c r="DQA43" s="595"/>
      <c r="DQB43" s="595"/>
      <c r="DQC43" s="595"/>
      <c r="DQD43" s="595"/>
      <c r="DQE43" s="595"/>
      <c r="DQF43" s="595"/>
      <c r="DQG43" s="595"/>
      <c r="DQH43" s="595"/>
      <c r="DQI43" s="595"/>
      <c r="DQJ43" s="595"/>
      <c r="DQK43" s="595"/>
      <c r="DQL43" s="595"/>
      <c r="DQM43" s="595"/>
      <c r="DQN43" s="595"/>
      <c r="DQO43" s="595"/>
      <c r="DQP43" s="595"/>
      <c r="DQQ43" s="595"/>
      <c r="DQR43" s="595"/>
      <c r="DQS43" s="595"/>
      <c r="DQT43" s="595"/>
      <c r="DQU43" s="595"/>
      <c r="DQV43" s="595"/>
      <c r="DQW43" s="595"/>
      <c r="DQX43" s="595"/>
      <c r="DQY43" s="595"/>
      <c r="DQZ43" s="595"/>
      <c r="DRA43" s="595"/>
      <c r="DRB43" s="595"/>
      <c r="DRC43" s="595"/>
      <c r="DRD43" s="595"/>
      <c r="DRE43" s="595"/>
      <c r="DRF43" s="595"/>
      <c r="DRG43" s="595"/>
      <c r="DRH43" s="595"/>
      <c r="DRI43" s="595"/>
      <c r="DRJ43" s="595"/>
      <c r="DRK43" s="595"/>
      <c r="DRL43" s="595"/>
      <c r="DRM43" s="595"/>
      <c r="DRN43" s="595"/>
      <c r="DRO43" s="595"/>
      <c r="DRP43" s="595"/>
      <c r="DRQ43" s="595"/>
      <c r="DRR43" s="595"/>
      <c r="DRS43" s="595"/>
      <c r="DRT43" s="595"/>
      <c r="DRU43" s="595"/>
      <c r="DRV43" s="595"/>
      <c r="DRW43" s="595"/>
      <c r="DRX43" s="595"/>
      <c r="DRY43" s="595"/>
      <c r="DRZ43" s="595"/>
      <c r="DSA43" s="595"/>
      <c r="DSB43" s="595"/>
      <c r="DSC43" s="595"/>
      <c r="DSD43" s="595"/>
      <c r="DSE43" s="595"/>
      <c r="DSF43" s="595"/>
      <c r="DSG43" s="595"/>
      <c r="DSH43" s="595"/>
      <c r="DSI43" s="595"/>
      <c r="DSJ43" s="595"/>
      <c r="DSK43" s="595"/>
      <c r="DSL43" s="595"/>
      <c r="DSM43" s="595"/>
      <c r="DSN43" s="595"/>
      <c r="DSO43" s="595"/>
      <c r="DSP43" s="595"/>
      <c r="DSQ43" s="595"/>
      <c r="DSR43" s="595"/>
      <c r="DSS43" s="595"/>
      <c r="DST43" s="595"/>
      <c r="DSU43" s="595"/>
      <c r="DSV43" s="595"/>
      <c r="DSW43" s="595"/>
      <c r="DSX43" s="595"/>
      <c r="DSY43" s="595"/>
      <c r="DSZ43" s="595"/>
      <c r="DTA43" s="595"/>
      <c r="DTB43" s="595"/>
      <c r="DTC43" s="595"/>
      <c r="DTD43" s="595"/>
      <c r="DTE43" s="595"/>
      <c r="DTF43" s="595"/>
      <c r="DTG43" s="595"/>
      <c r="DTH43" s="595"/>
      <c r="DTI43" s="595"/>
      <c r="DTJ43" s="595"/>
      <c r="DTK43" s="595"/>
      <c r="DTL43" s="595"/>
      <c r="DTM43" s="595"/>
      <c r="DTN43" s="595"/>
      <c r="DTO43" s="595"/>
      <c r="DTP43" s="595"/>
      <c r="DTQ43" s="595"/>
      <c r="DTR43" s="595"/>
      <c r="DTS43" s="595"/>
      <c r="DTT43" s="595"/>
      <c r="DTU43" s="595"/>
      <c r="DTV43" s="595"/>
      <c r="DTW43" s="595"/>
      <c r="DTX43" s="595"/>
      <c r="DTY43" s="595"/>
      <c r="DTZ43" s="595"/>
      <c r="DUA43" s="595"/>
      <c r="DUB43" s="595"/>
      <c r="DUC43" s="595"/>
      <c r="DUD43" s="595"/>
      <c r="DUE43" s="595"/>
      <c r="DUF43" s="595"/>
      <c r="DUG43" s="595"/>
      <c r="DUH43" s="595"/>
      <c r="DUI43" s="595"/>
      <c r="DUJ43" s="595"/>
      <c r="DUK43" s="595"/>
      <c r="DUL43" s="595"/>
      <c r="DUM43" s="595"/>
      <c r="DUN43" s="595"/>
      <c r="DUO43" s="595"/>
      <c r="DUP43" s="595"/>
      <c r="DUQ43" s="595"/>
      <c r="DUR43" s="595"/>
      <c r="DUS43" s="595"/>
      <c r="DUT43" s="595"/>
      <c r="DUU43" s="595"/>
      <c r="DUV43" s="595"/>
      <c r="DUW43" s="595"/>
      <c r="DUX43" s="595"/>
      <c r="DUY43" s="595"/>
      <c r="DUZ43" s="595"/>
      <c r="DVA43" s="595"/>
      <c r="DVB43" s="595"/>
      <c r="DVC43" s="595"/>
      <c r="DVD43" s="595"/>
      <c r="DVE43" s="595"/>
      <c r="DVF43" s="595"/>
      <c r="DVG43" s="595"/>
      <c r="DVH43" s="595"/>
      <c r="DVI43" s="595"/>
      <c r="DVJ43" s="595"/>
      <c r="DVK43" s="595"/>
      <c r="DVL43" s="595"/>
      <c r="DVM43" s="595"/>
      <c r="DVN43" s="595"/>
      <c r="DVO43" s="595"/>
      <c r="DVP43" s="595"/>
      <c r="DVQ43" s="595"/>
      <c r="DVR43" s="595"/>
      <c r="DVS43" s="595"/>
      <c r="DVT43" s="595"/>
      <c r="DVU43" s="595"/>
      <c r="DVV43" s="595"/>
      <c r="DVW43" s="595"/>
      <c r="DVX43" s="595"/>
      <c r="DVY43" s="595"/>
      <c r="DVZ43" s="595"/>
      <c r="DWA43" s="595"/>
      <c r="DWB43" s="595"/>
      <c r="DWC43" s="595"/>
      <c r="DWD43" s="595"/>
      <c r="DWE43" s="595"/>
      <c r="DWF43" s="595"/>
      <c r="DWG43" s="595"/>
      <c r="DWH43" s="595"/>
      <c r="DWI43" s="595"/>
      <c r="DWJ43" s="595"/>
      <c r="DWK43" s="595"/>
      <c r="DWL43" s="595"/>
      <c r="DWM43" s="595"/>
      <c r="DWN43" s="595"/>
      <c r="DWO43" s="595"/>
      <c r="DWP43" s="595"/>
      <c r="DWQ43" s="595"/>
      <c r="DWR43" s="595"/>
      <c r="DWS43" s="595"/>
      <c r="DWT43" s="595"/>
      <c r="DWU43" s="595"/>
      <c r="DWV43" s="595"/>
      <c r="DWW43" s="595"/>
      <c r="DWX43" s="595"/>
      <c r="DWY43" s="595"/>
      <c r="DWZ43" s="595"/>
      <c r="DXA43" s="595"/>
      <c r="DXB43" s="595"/>
      <c r="DXC43" s="595"/>
      <c r="DXD43" s="595"/>
      <c r="DXE43" s="595"/>
      <c r="DXF43" s="595"/>
      <c r="DXG43" s="595"/>
      <c r="DXH43" s="595"/>
      <c r="DXI43" s="595"/>
      <c r="DXJ43" s="595"/>
      <c r="DXK43" s="595"/>
      <c r="DXL43" s="595"/>
      <c r="DXM43" s="595"/>
      <c r="DXN43" s="595"/>
      <c r="DXO43" s="595"/>
      <c r="DXP43" s="595"/>
      <c r="DXQ43" s="595"/>
      <c r="DXR43" s="595"/>
      <c r="DXS43" s="595"/>
      <c r="DXT43" s="595"/>
      <c r="DXU43" s="595"/>
      <c r="DXV43" s="595"/>
      <c r="DXW43" s="595"/>
      <c r="DXX43" s="595"/>
      <c r="DXY43" s="595"/>
      <c r="DXZ43" s="595"/>
      <c r="DYA43" s="595"/>
      <c r="DYB43" s="595"/>
      <c r="DYC43" s="595"/>
      <c r="DYD43" s="595"/>
      <c r="DYE43" s="595"/>
      <c r="DYF43" s="595"/>
      <c r="DYG43" s="595"/>
      <c r="DYH43" s="595"/>
      <c r="DYI43" s="595"/>
      <c r="DYJ43" s="595"/>
      <c r="DYK43" s="595"/>
      <c r="DYL43" s="595"/>
      <c r="DYM43" s="595"/>
      <c r="DYN43" s="595"/>
      <c r="DYO43" s="595"/>
      <c r="DYP43" s="595"/>
      <c r="DYQ43" s="595"/>
      <c r="DYR43" s="595"/>
      <c r="DYS43" s="595"/>
      <c r="DYT43" s="595"/>
      <c r="DYU43" s="595"/>
      <c r="DYV43" s="595"/>
      <c r="DYW43" s="595"/>
      <c r="DYX43" s="595"/>
      <c r="DYY43" s="595"/>
      <c r="DYZ43" s="595"/>
      <c r="DZA43" s="595"/>
      <c r="DZB43" s="595"/>
      <c r="DZC43" s="595"/>
      <c r="DZD43" s="595"/>
      <c r="DZE43" s="595"/>
      <c r="DZF43" s="595"/>
      <c r="DZG43" s="595"/>
      <c r="DZH43" s="595"/>
      <c r="DZI43" s="595"/>
      <c r="DZJ43" s="595"/>
      <c r="DZK43" s="595"/>
      <c r="DZL43" s="595"/>
      <c r="DZM43" s="595"/>
      <c r="DZN43" s="595"/>
      <c r="DZO43" s="595"/>
      <c r="DZP43" s="595"/>
      <c r="DZQ43" s="595"/>
      <c r="DZR43" s="595"/>
      <c r="DZS43" s="595"/>
      <c r="DZT43" s="595"/>
      <c r="DZU43" s="595"/>
      <c r="DZV43" s="595"/>
      <c r="DZW43" s="595"/>
      <c r="DZX43" s="595"/>
      <c r="DZY43" s="595"/>
      <c r="DZZ43" s="595"/>
      <c r="EAA43" s="595"/>
      <c r="EAB43" s="595"/>
      <c r="EAC43" s="595"/>
      <c r="EAD43" s="595"/>
      <c r="EAE43" s="595"/>
      <c r="EAF43" s="595"/>
      <c r="EAG43" s="595"/>
      <c r="EAH43" s="595"/>
      <c r="EAI43" s="595"/>
      <c r="EAJ43" s="595"/>
      <c r="EAK43" s="595"/>
      <c r="EAL43" s="595"/>
      <c r="EAM43" s="595"/>
      <c r="EAN43" s="595"/>
      <c r="EAO43" s="595"/>
      <c r="EAP43" s="595"/>
      <c r="EAQ43" s="595"/>
      <c r="EAR43" s="595"/>
      <c r="EAS43" s="595"/>
      <c r="EAT43" s="595"/>
      <c r="EAU43" s="595"/>
      <c r="EAV43" s="595"/>
      <c r="EAW43" s="595"/>
      <c r="EAX43" s="595"/>
      <c r="EAY43" s="595"/>
      <c r="EAZ43" s="595"/>
      <c r="EBA43" s="595"/>
      <c r="EBB43" s="595"/>
      <c r="EBC43" s="595"/>
      <c r="EBD43" s="595"/>
      <c r="EBE43" s="595"/>
      <c r="EBF43" s="595"/>
      <c r="EBG43" s="595"/>
      <c r="EBH43" s="595"/>
      <c r="EBI43" s="595"/>
      <c r="EBJ43" s="595"/>
      <c r="EBK43" s="595"/>
      <c r="EBL43" s="595"/>
      <c r="EBM43" s="595"/>
      <c r="EBN43" s="595"/>
      <c r="EBO43" s="595"/>
      <c r="EBP43" s="595"/>
      <c r="EBQ43" s="595"/>
      <c r="EBR43" s="595"/>
      <c r="EBS43" s="595"/>
      <c r="EBT43" s="595"/>
      <c r="EBU43" s="595"/>
      <c r="EBV43" s="595"/>
      <c r="EBW43" s="595"/>
      <c r="EBX43" s="595"/>
      <c r="EBY43" s="595"/>
      <c r="EBZ43" s="595"/>
      <c r="ECA43" s="595"/>
      <c r="ECB43" s="595"/>
      <c r="ECC43" s="595"/>
      <c r="ECD43" s="595"/>
      <c r="ECE43" s="595"/>
      <c r="ECF43" s="595"/>
      <c r="ECG43" s="595"/>
      <c r="ECH43" s="595"/>
      <c r="ECI43" s="595"/>
      <c r="ECJ43" s="595"/>
      <c r="ECK43" s="595"/>
      <c r="ECL43" s="595"/>
      <c r="ECM43" s="595"/>
      <c r="ECN43" s="595"/>
      <c r="ECO43" s="595"/>
      <c r="ECP43" s="595"/>
      <c r="ECQ43" s="595"/>
      <c r="ECR43" s="595"/>
      <c r="ECS43" s="595"/>
      <c r="ECT43" s="595"/>
      <c r="ECU43" s="595"/>
      <c r="ECV43" s="595"/>
      <c r="ECW43" s="595"/>
      <c r="ECX43" s="595"/>
      <c r="ECY43" s="595"/>
      <c r="ECZ43" s="595"/>
      <c r="EDA43" s="595"/>
      <c r="EDB43" s="595"/>
      <c r="EDC43" s="595"/>
      <c r="EDD43" s="595"/>
      <c r="EDE43" s="595"/>
      <c r="EDF43" s="595"/>
      <c r="EDG43" s="595"/>
      <c r="EDH43" s="595"/>
      <c r="EDI43" s="595"/>
      <c r="EDJ43" s="595"/>
      <c r="EDK43" s="595"/>
      <c r="EDL43" s="595"/>
      <c r="EDM43" s="595"/>
      <c r="EDN43" s="595"/>
      <c r="EDO43" s="595"/>
      <c r="EDP43" s="595"/>
      <c r="EDQ43" s="595"/>
      <c r="EDR43" s="595"/>
      <c r="EDS43" s="595"/>
      <c r="EDT43" s="595"/>
      <c r="EDU43" s="595"/>
      <c r="EDV43" s="595"/>
      <c r="EDW43" s="595"/>
      <c r="EDX43" s="595"/>
      <c r="EDY43" s="595"/>
      <c r="EDZ43" s="595"/>
      <c r="EEA43" s="595"/>
      <c r="EEB43" s="595"/>
      <c r="EEC43" s="595"/>
      <c r="EED43" s="595"/>
      <c r="EEE43" s="595"/>
      <c r="EEF43" s="595"/>
      <c r="EEG43" s="595"/>
      <c r="EEH43" s="595"/>
      <c r="EEI43" s="595"/>
      <c r="EEJ43" s="595"/>
      <c r="EEK43" s="595"/>
      <c r="EEL43" s="595"/>
      <c r="EEM43" s="595"/>
      <c r="EEN43" s="595"/>
      <c r="EEO43" s="595"/>
      <c r="EEP43" s="595"/>
      <c r="EEQ43" s="595"/>
      <c r="EER43" s="595"/>
      <c r="EES43" s="595"/>
      <c r="EET43" s="595"/>
      <c r="EEU43" s="595"/>
      <c r="EEV43" s="595"/>
      <c r="EEW43" s="595"/>
      <c r="EEX43" s="595"/>
      <c r="EEY43" s="595"/>
      <c r="EEZ43" s="595"/>
      <c r="EFA43" s="595"/>
      <c r="EFB43" s="595"/>
      <c r="EFC43" s="595"/>
      <c r="EFD43" s="595"/>
      <c r="EFE43" s="595"/>
      <c r="EFF43" s="595"/>
      <c r="EFG43" s="595"/>
      <c r="EFH43" s="595"/>
      <c r="EFI43" s="595"/>
      <c r="EFJ43" s="595"/>
      <c r="EFK43" s="595"/>
      <c r="EFL43" s="595"/>
      <c r="EFM43" s="595"/>
      <c r="EFN43" s="595"/>
      <c r="EFO43" s="595"/>
      <c r="EFP43" s="595"/>
      <c r="EFQ43" s="595"/>
      <c r="EFR43" s="595"/>
      <c r="EFS43" s="595"/>
      <c r="EFT43" s="595"/>
      <c r="EFU43" s="595"/>
      <c r="EFV43" s="595"/>
      <c r="EFW43" s="595"/>
      <c r="EFX43" s="595"/>
      <c r="EFY43" s="595"/>
      <c r="EFZ43" s="595"/>
      <c r="EGA43" s="595"/>
      <c r="EGB43" s="595"/>
      <c r="EGC43" s="595"/>
      <c r="EGD43" s="595"/>
      <c r="EGE43" s="595"/>
      <c r="EGF43" s="595"/>
      <c r="EGG43" s="595"/>
      <c r="EGH43" s="595"/>
      <c r="EGI43" s="595"/>
      <c r="EGJ43" s="595"/>
      <c r="EGK43" s="595"/>
      <c r="EGL43" s="595"/>
      <c r="EGM43" s="595"/>
      <c r="EGN43" s="595"/>
      <c r="EGO43" s="595"/>
      <c r="EGP43" s="595"/>
      <c r="EGQ43" s="595"/>
      <c r="EGR43" s="595"/>
      <c r="EGS43" s="595"/>
      <c r="EGT43" s="595"/>
      <c r="EGU43" s="595"/>
      <c r="EGV43" s="595"/>
      <c r="EGW43" s="595"/>
      <c r="EGX43" s="595"/>
      <c r="EGY43" s="595"/>
      <c r="EGZ43" s="595"/>
      <c r="EHA43" s="595"/>
      <c r="EHB43" s="595"/>
      <c r="EHC43" s="595"/>
      <c r="EHD43" s="595"/>
      <c r="EHE43" s="595"/>
      <c r="EHF43" s="595"/>
      <c r="EHG43" s="595"/>
      <c r="EHH43" s="595"/>
      <c r="EHI43" s="595"/>
      <c r="EHJ43" s="595"/>
      <c r="EHK43" s="595"/>
      <c r="EHL43" s="595"/>
      <c r="EHM43" s="595"/>
      <c r="EHN43" s="595"/>
      <c r="EHO43" s="595"/>
      <c r="EHP43" s="595"/>
      <c r="EHQ43" s="595"/>
      <c r="EHR43" s="595"/>
      <c r="EHS43" s="595"/>
      <c r="EHT43" s="595"/>
      <c r="EHU43" s="595"/>
      <c r="EHV43" s="595"/>
      <c r="EHW43" s="595"/>
      <c r="EHX43" s="595"/>
      <c r="EHY43" s="595"/>
      <c r="EHZ43" s="595"/>
      <c r="EIA43" s="595"/>
      <c r="EIB43" s="595"/>
      <c r="EIC43" s="595"/>
      <c r="EID43" s="595"/>
      <c r="EIE43" s="595"/>
      <c r="EIF43" s="595"/>
      <c r="EIG43" s="595"/>
      <c r="EIH43" s="595"/>
      <c r="EII43" s="595"/>
      <c r="EIJ43" s="595"/>
      <c r="EIK43" s="595"/>
      <c r="EIL43" s="595"/>
      <c r="EIM43" s="595"/>
      <c r="EIN43" s="595"/>
      <c r="EIO43" s="595"/>
      <c r="EIP43" s="595"/>
      <c r="EIQ43" s="595"/>
      <c r="EIR43" s="595"/>
      <c r="EIS43" s="595"/>
      <c r="EIT43" s="595"/>
      <c r="EIU43" s="595"/>
      <c r="EIV43" s="595"/>
      <c r="EIW43" s="595"/>
      <c r="EIX43" s="595"/>
      <c r="EIY43" s="595"/>
      <c r="EIZ43" s="595"/>
      <c r="EJA43" s="595"/>
      <c r="EJB43" s="595"/>
      <c r="EJC43" s="595"/>
      <c r="EJD43" s="595"/>
      <c r="EJE43" s="595"/>
      <c r="EJF43" s="595"/>
      <c r="EJG43" s="595"/>
      <c r="EJH43" s="595"/>
      <c r="EJI43" s="595"/>
      <c r="EJJ43" s="595"/>
      <c r="EJK43" s="595"/>
      <c r="EJL43" s="595"/>
      <c r="EJM43" s="595"/>
      <c r="EJN43" s="595"/>
      <c r="EJO43" s="595"/>
      <c r="EJP43" s="595"/>
      <c r="EJQ43" s="595"/>
      <c r="EJR43" s="595"/>
      <c r="EJS43" s="595"/>
      <c r="EJT43" s="595"/>
      <c r="EJU43" s="595"/>
      <c r="EJV43" s="595"/>
      <c r="EJW43" s="595"/>
      <c r="EJX43" s="595"/>
      <c r="EJY43" s="595"/>
      <c r="EJZ43" s="595"/>
      <c r="EKA43" s="595"/>
      <c r="EKB43" s="595"/>
      <c r="EKC43" s="595"/>
      <c r="EKD43" s="595"/>
      <c r="EKE43" s="595"/>
      <c r="EKF43" s="595"/>
      <c r="EKG43" s="595"/>
      <c r="EKH43" s="595"/>
      <c r="EKI43" s="595"/>
      <c r="EKJ43" s="595"/>
      <c r="EKK43" s="595"/>
      <c r="EKL43" s="595"/>
      <c r="EKM43" s="595"/>
      <c r="EKN43" s="595"/>
      <c r="EKO43" s="595"/>
      <c r="EKP43" s="595"/>
      <c r="EKQ43" s="595"/>
      <c r="EKR43" s="595"/>
      <c r="EKS43" s="595"/>
      <c r="EKT43" s="595"/>
      <c r="EKU43" s="595"/>
      <c r="EKV43" s="595"/>
      <c r="EKW43" s="595"/>
      <c r="EKX43" s="595"/>
      <c r="EKY43" s="595"/>
      <c r="EKZ43" s="595"/>
      <c r="ELA43" s="595"/>
      <c r="ELB43" s="595"/>
      <c r="ELC43" s="595"/>
      <c r="ELD43" s="595"/>
      <c r="ELE43" s="595"/>
      <c r="ELF43" s="595"/>
      <c r="ELG43" s="595"/>
      <c r="ELH43" s="595"/>
      <c r="ELI43" s="595"/>
      <c r="ELJ43" s="595"/>
      <c r="ELK43" s="595"/>
      <c r="ELL43" s="595"/>
      <c r="ELM43" s="595"/>
      <c r="ELN43" s="595"/>
      <c r="ELO43" s="595"/>
      <c r="ELP43" s="595"/>
      <c r="ELQ43" s="595"/>
      <c r="ELR43" s="595"/>
      <c r="ELS43" s="595"/>
      <c r="ELT43" s="595"/>
      <c r="ELU43" s="595"/>
      <c r="ELV43" s="595"/>
      <c r="ELW43" s="595"/>
      <c r="ELX43" s="595"/>
      <c r="ELY43" s="595"/>
      <c r="ELZ43" s="595"/>
      <c r="EMA43" s="595"/>
      <c r="EMB43" s="595"/>
      <c r="EMC43" s="595"/>
      <c r="EMD43" s="595"/>
      <c r="EME43" s="595"/>
      <c r="EMF43" s="595"/>
      <c r="EMG43" s="595"/>
      <c r="EMH43" s="595"/>
      <c r="EMI43" s="595"/>
      <c r="EMJ43" s="595"/>
      <c r="EMK43" s="595"/>
      <c r="EML43" s="595"/>
      <c r="EMM43" s="595"/>
      <c r="EMN43" s="595"/>
      <c r="EMO43" s="595"/>
      <c r="EMP43" s="595"/>
      <c r="EMQ43" s="595"/>
      <c r="EMR43" s="595"/>
      <c r="EMS43" s="595"/>
      <c r="EMT43" s="595"/>
      <c r="EMU43" s="595"/>
      <c r="EMV43" s="595"/>
      <c r="EMW43" s="595"/>
      <c r="EMX43" s="595"/>
      <c r="EMY43" s="595"/>
      <c r="EMZ43" s="595"/>
      <c r="ENA43" s="595"/>
      <c r="ENB43" s="595"/>
      <c r="ENC43" s="595"/>
      <c r="END43" s="595"/>
      <c r="ENE43" s="595"/>
      <c r="ENF43" s="595"/>
      <c r="ENG43" s="595"/>
      <c r="ENH43" s="595"/>
      <c r="ENI43" s="595"/>
      <c r="ENJ43" s="595"/>
      <c r="ENK43" s="595"/>
      <c r="ENL43" s="595"/>
      <c r="ENM43" s="595"/>
      <c r="ENN43" s="595"/>
      <c r="ENO43" s="595"/>
      <c r="ENP43" s="595"/>
      <c r="ENQ43" s="595"/>
      <c r="ENR43" s="595"/>
      <c r="ENS43" s="595"/>
      <c r="ENT43" s="595"/>
      <c r="ENU43" s="595"/>
      <c r="ENV43" s="595"/>
      <c r="ENW43" s="595"/>
      <c r="ENX43" s="595"/>
      <c r="ENY43" s="595"/>
      <c r="ENZ43" s="595"/>
      <c r="EOA43" s="595"/>
      <c r="EOB43" s="595"/>
      <c r="EOC43" s="595"/>
      <c r="EOD43" s="595"/>
      <c r="EOE43" s="595"/>
      <c r="EOF43" s="595"/>
      <c r="EOG43" s="595"/>
      <c r="EOH43" s="595"/>
      <c r="EOI43" s="595"/>
      <c r="EOJ43" s="595"/>
      <c r="EOK43" s="595"/>
      <c r="EOL43" s="595"/>
      <c r="EOM43" s="595"/>
      <c r="EON43" s="595"/>
      <c r="EOO43" s="595"/>
      <c r="EOP43" s="595"/>
      <c r="EOQ43" s="595"/>
      <c r="EOR43" s="595"/>
      <c r="EOS43" s="595"/>
      <c r="EOT43" s="595"/>
      <c r="EOU43" s="595"/>
      <c r="EOV43" s="595"/>
      <c r="EOW43" s="595"/>
      <c r="EOX43" s="595"/>
      <c r="EOY43" s="595"/>
      <c r="EOZ43" s="595"/>
      <c r="EPA43" s="595"/>
      <c r="EPB43" s="595"/>
      <c r="EPC43" s="595"/>
      <c r="EPD43" s="595"/>
      <c r="EPE43" s="595"/>
      <c r="EPF43" s="595"/>
      <c r="EPG43" s="595"/>
      <c r="EPH43" s="595"/>
      <c r="EPI43" s="595"/>
      <c r="EPJ43" s="595"/>
      <c r="EPK43" s="595"/>
      <c r="EPL43" s="595"/>
      <c r="EPM43" s="595"/>
      <c r="EPN43" s="595"/>
      <c r="EPO43" s="595"/>
      <c r="EPP43" s="595"/>
      <c r="EPQ43" s="595"/>
      <c r="EPR43" s="595"/>
      <c r="EPS43" s="595"/>
      <c r="EPT43" s="595"/>
      <c r="EPU43" s="595"/>
      <c r="EPV43" s="595"/>
      <c r="EPW43" s="595"/>
      <c r="EPX43" s="595"/>
      <c r="EPY43" s="595"/>
      <c r="EPZ43" s="595"/>
      <c r="EQA43" s="595"/>
      <c r="EQB43" s="595"/>
      <c r="EQC43" s="595"/>
      <c r="EQD43" s="595"/>
      <c r="EQE43" s="595"/>
      <c r="EQF43" s="595"/>
      <c r="EQG43" s="595"/>
      <c r="EQH43" s="595"/>
      <c r="EQI43" s="595"/>
      <c r="EQJ43" s="595"/>
      <c r="EQK43" s="595"/>
      <c r="EQL43" s="595"/>
      <c r="EQM43" s="595"/>
      <c r="EQN43" s="595"/>
      <c r="EQO43" s="595"/>
      <c r="EQP43" s="595"/>
      <c r="EQQ43" s="595"/>
      <c r="EQR43" s="595"/>
      <c r="EQS43" s="595"/>
      <c r="EQT43" s="595"/>
      <c r="EQU43" s="595"/>
      <c r="EQV43" s="595"/>
      <c r="EQW43" s="595"/>
      <c r="EQX43" s="595"/>
      <c r="EQY43" s="595"/>
      <c r="EQZ43" s="595"/>
      <c r="ERA43" s="595"/>
      <c r="ERB43" s="595"/>
      <c r="ERC43" s="595"/>
      <c r="ERD43" s="595"/>
      <c r="ERE43" s="595"/>
      <c r="ERF43" s="595"/>
      <c r="ERG43" s="595"/>
      <c r="ERH43" s="595"/>
      <c r="ERI43" s="595"/>
      <c r="ERJ43" s="595"/>
      <c r="ERK43" s="595"/>
      <c r="ERL43" s="595"/>
      <c r="ERM43" s="595"/>
      <c r="ERN43" s="595"/>
      <c r="ERO43" s="595"/>
      <c r="ERP43" s="595"/>
      <c r="ERQ43" s="595"/>
      <c r="ERR43" s="595"/>
      <c r="ERS43" s="595"/>
      <c r="ERT43" s="595"/>
      <c r="ERU43" s="595"/>
      <c r="ERV43" s="595"/>
      <c r="ERW43" s="595"/>
      <c r="ERX43" s="595"/>
      <c r="ERY43" s="595"/>
      <c r="ERZ43" s="595"/>
      <c r="ESA43" s="595"/>
      <c r="ESB43" s="595"/>
      <c r="ESC43" s="595"/>
      <c r="ESD43" s="595"/>
      <c r="ESE43" s="595"/>
      <c r="ESF43" s="595"/>
      <c r="ESG43" s="595"/>
      <c r="ESH43" s="595"/>
      <c r="ESI43" s="595"/>
      <c r="ESJ43" s="595"/>
      <c r="ESK43" s="595"/>
      <c r="ESL43" s="595"/>
      <c r="ESM43" s="595"/>
      <c r="ESN43" s="595"/>
      <c r="ESO43" s="595"/>
      <c r="ESP43" s="595"/>
      <c r="ESQ43" s="595"/>
      <c r="ESR43" s="595"/>
      <c r="ESS43" s="595"/>
      <c r="EST43" s="595"/>
      <c r="ESU43" s="595"/>
      <c r="ESV43" s="595"/>
      <c r="ESW43" s="595"/>
      <c r="ESX43" s="595"/>
      <c r="ESY43" s="595"/>
      <c r="ESZ43" s="595"/>
      <c r="ETA43" s="595"/>
      <c r="ETB43" s="595"/>
      <c r="ETC43" s="595"/>
      <c r="ETD43" s="595"/>
      <c r="ETE43" s="595"/>
      <c r="ETF43" s="595"/>
      <c r="ETG43" s="595"/>
      <c r="ETH43" s="595"/>
      <c r="ETI43" s="595"/>
      <c r="ETJ43" s="595"/>
      <c r="ETK43" s="595"/>
      <c r="ETL43" s="595"/>
      <c r="ETM43" s="595"/>
      <c r="ETN43" s="595"/>
      <c r="ETO43" s="595"/>
      <c r="ETP43" s="595"/>
      <c r="ETQ43" s="595"/>
      <c r="ETR43" s="595"/>
      <c r="ETS43" s="595"/>
      <c r="ETT43" s="595"/>
      <c r="ETU43" s="595"/>
      <c r="ETV43" s="595"/>
      <c r="ETW43" s="595"/>
      <c r="ETX43" s="595"/>
      <c r="ETY43" s="595"/>
      <c r="ETZ43" s="595"/>
      <c r="EUA43" s="595"/>
      <c r="EUB43" s="595"/>
      <c r="EUC43" s="595"/>
      <c r="EUD43" s="595"/>
      <c r="EUE43" s="595"/>
      <c r="EUF43" s="595"/>
      <c r="EUG43" s="595"/>
      <c r="EUH43" s="595"/>
      <c r="EUI43" s="595"/>
      <c r="EUJ43" s="595"/>
      <c r="EUK43" s="595"/>
      <c r="EUL43" s="595"/>
      <c r="EUM43" s="595"/>
      <c r="EUN43" s="595"/>
      <c r="EUO43" s="595"/>
      <c r="EUP43" s="595"/>
      <c r="EUQ43" s="595"/>
      <c r="EUR43" s="595"/>
      <c r="EUS43" s="595"/>
      <c r="EUT43" s="595"/>
      <c r="EUU43" s="595"/>
      <c r="EUV43" s="595"/>
      <c r="EUW43" s="595"/>
      <c r="EUX43" s="595"/>
      <c r="EUY43" s="595"/>
      <c r="EUZ43" s="595"/>
      <c r="EVA43" s="595"/>
      <c r="EVB43" s="595"/>
      <c r="EVC43" s="595"/>
      <c r="EVD43" s="595"/>
      <c r="EVE43" s="595"/>
      <c r="EVF43" s="595"/>
      <c r="EVG43" s="595"/>
      <c r="EVH43" s="595"/>
      <c r="EVI43" s="595"/>
      <c r="EVJ43" s="595"/>
      <c r="EVK43" s="595"/>
      <c r="EVL43" s="595"/>
      <c r="EVM43" s="595"/>
      <c r="EVN43" s="595"/>
      <c r="EVO43" s="595"/>
      <c r="EVP43" s="595"/>
      <c r="EVQ43" s="595"/>
      <c r="EVR43" s="595"/>
      <c r="EVS43" s="595"/>
      <c r="EVT43" s="595"/>
      <c r="EVU43" s="595"/>
      <c r="EVV43" s="595"/>
      <c r="EVW43" s="595"/>
      <c r="EVX43" s="595"/>
      <c r="EVY43" s="595"/>
      <c r="EVZ43" s="595"/>
      <c r="EWA43" s="595"/>
      <c r="EWB43" s="595"/>
      <c r="EWC43" s="595"/>
      <c r="EWD43" s="595"/>
      <c r="EWE43" s="595"/>
      <c r="EWF43" s="595"/>
      <c r="EWG43" s="595"/>
      <c r="EWH43" s="595"/>
      <c r="EWI43" s="595"/>
      <c r="EWJ43" s="595"/>
      <c r="EWK43" s="595"/>
      <c r="EWL43" s="595"/>
      <c r="EWM43" s="595"/>
      <c r="EWN43" s="595"/>
      <c r="EWO43" s="595"/>
      <c r="EWP43" s="595"/>
      <c r="EWQ43" s="595"/>
      <c r="EWR43" s="595"/>
      <c r="EWS43" s="595"/>
      <c r="EWT43" s="595"/>
      <c r="EWU43" s="595"/>
      <c r="EWV43" s="595"/>
      <c r="EWW43" s="595"/>
      <c r="EWX43" s="595"/>
      <c r="EWY43" s="595"/>
      <c r="EWZ43" s="595"/>
      <c r="EXA43" s="595"/>
      <c r="EXB43" s="595"/>
      <c r="EXC43" s="595"/>
      <c r="EXD43" s="595"/>
      <c r="EXE43" s="595"/>
      <c r="EXF43" s="595"/>
      <c r="EXG43" s="595"/>
      <c r="EXH43" s="595"/>
      <c r="EXI43" s="595"/>
      <c r="EXJ43" s="595"/>
      <c r="EXK43" s="595"/>
      <c r="EXL43" s="595"/>
      <c r="EXM43" s="595"/>
      <c r="EXN43" s="595"/>
      <c r="EXO43" s="595"/>
      <c r="EXP43" s="595"/>
      <c r="EXQ43" s="595"/>
      <c r="EXR43" s="595"/>
      <c r="EXS43" s="595"/>
      <c r="EXT43" s="595"/>
      <c r="EXU43" s="595"/>
      <c r="EXV43" s="595"/>
      <c r="EXW43" s="595"/>
      <c r="EXX43" s="595"/>
      <c r="EXY43" s="595"/>
      <c r="EXZ43" s="595"/>
      <c r="EYA43" s="595"/>
      <c r="EYB43" s="595"/>
      <c r="EYC43" s="595"/>
      <c r="EYD43" s="595"/>
      <c r="EYE43" s="595"/>
      <c r="EYF43" s="595"/>
      <c r="EYG43" s="595"/>
      <c r="EYH43" s="595"/>
      <c r="EYI43" s="595"/>
      <c r="EYJ43" s="595"/>
      <c r="EYK43" s="595"/>
      <c r="EYL43" s="595"/>
      <c r="EYM43" s="595"/>
      <c r="EYN43" s="595"/>
      <c r="EYO43" s="595"/>
      <c r="EYP43" s="595"/>
      <c r="EYQ43" s="595"/>
      <c r="EYR43" s="595"/>
      <c r="EYS43" s="595"/>
      <c r="EYT43" s="595"/>
      <c r="EYU43" s="595"/>
      <c r="EYV43" s="595"/>
      <c r="EYW43" s="595"/>
      <c r="EYX43" s="595"/>
      <c r="EYY43" s="595"/>
      <c r="EYZ43" s="595"/>
      <c r="EZA43" s="595"/>
      <c r="EZB43" s="595"/>
      <c r="EZC43" s="595"/>
      <c r="EZD43" s="595"/>
      <c r="EZE43" s="595"/>
      <c r="EZF43" s="595"/>
      <c r="EZG43" s="595"/>
      <c r="EZH43" s="595"/>
      <c r="EZI43" s="595"/>
      <c r="EZJ43" s="595"/>
      <c r="EZK43" s="595"/>
      <c r="EZL43" s="595"/>
      <c r="EZM43" s="595"/>
      <c r="EZN43" s="595"/>
      <c r="EZO43" s="595"/>
      <c r="EZP43" s="595"/>
      <c r="EZQ43" s="595"/>
      <c r="EZR43" s="595"/>
      <c r="EZS43" s="595"/>
      <c r="EZT43" s="595"/>
      <c r="EZU43" s="595"/>
      <c r="EZV43" s="595"/>
      <c r="EZW43" s="595"/>
      <c r="EZX43" s="595"/>
      <c r="EZY43" s="595"/>
      <c r="EZZ43" s="595"/>
      <c r="FAA43" s="595"/>
      <c r="FAB43" s="595"/>
      <c r="FAC43" s="595"/>
      <c r="FAD43" s="595"/>
      <c r="FAE43" s="595"/>
      <c r="FAF43" s="595"/>
      <c r="FAG43" s="595"/>
      <c r="FAH43" s="595"/>
      <c r="FAI43" s="595"/>
      <c r="FAJ43" s="595"/>
      <c r="FAK43" s="595"/>
      <c r="FAL43" s="595"/>
      <c r="FAM43" s="595"/>
      <c r="FAN43" s="595"/>
      <c r="FAO43" s="595"/>
      <c r="FAP43" s="595"/>
      <c r="FAQ43" s="595"/>
      <c r="FAR43" s="595"/>
      <c r="FAS43" s="595"/>
      <c r="FAT43" s="595"/>
      <c r="FAU43" s="595"/>
      <c r="FAV43" s="595"/>
      <c r="FAW43" s="595"/>
      <c r="FAX43" s="595"/>
      <c r="FAY43" s="595"/>
      <c r="FAZ43" s="595"/>
      <c r="FBA43" s="595"/>
      <c r="FBB43" s="595"/>
      <c r="FBC43" s="595"/>
      <c r="FBD43" s="595"/>
      <c r="FBE43" s="595"/>
      <c r="FBF43" s="595"/>
      <c r="FBG43" s="595"/>
      <c r="FBH43" s="595"/>
      <c r="FBI43" s="595"/>
      <c r="FBJ43" s="595"/>
      <c r="FBK43" s="595"/>
      <c r="FBL43" s="595"/>
      <c r="FBM43" s="595"/>
      <c r="FBN43" s="595"/>
      <c r="FBO43" s="595"/>
      <c r="FBP43" s="595"/>
      <c r="FBQ43" s="595"/>
      <c r="FBR43" s="595"/>
      <c r="FBS43" s="595"/>
      <c r="FBT43" s="595"/>
      <c r="FBU43" s="595"/>
      <c r="FBV43" s="595"/>
      <c r="FBW43" s="595"/>
      <c r="FBX43" s="595"/>
      <c r="FBY43" s="595"/>
      <c r="FBZ43" s="595"/>
      <c r="FCA43" s="595"/>
      <c r="FCB43" s="595"/>
      <c r="FCC43" s="595"/>
      <c r="FCD43" s="595"/>
      <c r="FCE43" s="595"/>
      <c r="FCF43" s="595"/>
      <c r="FCG43" s="595"/>
      <c r="FCH43" s="595"/>
      <c r="FCI43" s="595"/>
      <c r="FCJ43" s="595"/>
      <c r="FCK43" s="595"/>
      <c r="FCL43" s="595"/>
      <c r="FCM43" s="595"/>
      <c r="FCN43" s="595"/>
      <c r="FCO43" s="595"/>
      <c r="FCP43" s="595"/>
      <c r="FCQ43" s="595"/>
      <c r="FCR43" s="595"/>
      <c r="FCS43" s="595"/>
      <c r="FCT43" s="595"/>
      <c r="FCU43" s="595"/>
      <c r="FCV43" s="595"/>
      <c r="FCW43" s="595"/>
      <c r="FCX43" s="595"/>
      <c r="FCY43" s="595"/>
      <c r="FCZ43" s="595"/>
      <c r="FDA43" s="595"/>
      <c r="FDB43" s="595"/>
      <c r="FDC43" s="595"/>
      <c r="FDD43" s="595"/>
      <c r="FDE43" s="595"/>
      <c r="FDF43" s="595"/>
      <c r="FDG43" s="595"/>
      <c r="FDH43" s="595"/>
      <c r="FDI43" s="595"/>
      <c r="FDJ43" s="595"/>
      <c r="FDK43" s="595"/>
      <c r="FDL43" s="595"/>
      <c r="FDM43" s="595"/>
      <c r="FDN43" s="595"/>
      <c r="FDO43" s="595"/>
      <c r="FDP43" s="595"/>
      <c r="FDQ43" s="595"/>
      <c r="FDR43" s="595"/>
      <c r="FDS43" s="595"/>
      <c r="FDT43" s="595"/>
      <c r="FDU43" s="595"/>
      <c r="FDV43" s="595"/>
      <c r="FDW43" s="595"/>
      <c r="FDX43" s="595"/>
      <c r="FDY43" s="595"/>
      <c r="FDZ43" s="595"/>
      <c r="FEA43" s="595"/>
      <c r="FEB43" s="595"/>
      <c r="FEC43" s="595"/>
      <c r="FED43" s="595"/>
      <c r="FEE43" s="595"/>
      <c r="FEF43" s="595"/>
      <c r="FEG43" s="595"/>
      <c r="FEH43" s="595"/>
      <c r="FEI43" s="595"/>
      <c r="FEJ43" s="595"/>
      <c r="FEK43" s="595"/>
      <c r="FEL43" s="595"/>
      <c r="FEM43" s="595"/>
      <c r="FEN43" s="595"/>
      <c r="FEO43" s="595"/>
      <c r="FEP43" s="595"/>
      <c r="FEQ43" s="595"/>
      <c r="FER43" s="595"/>
      <c r="FES43" s="595"/>
      <c r="FET43" s="595"/>
      <c r="FEU43" s="595"/>
      <c r="FEV43" s="595"/>
      <c r="FEW43" s="595"/>
      <c r="FEX43" s="595"/>
      <c r="FEY43" s="595"/>
      <c r="FEZ43" s="595"/>
      <c r="FFA43" s="595"/>
      <c r="FFB43" s="595"/>
      <c r="FFC43" s="595"/>
      <c r="FFD43" s="595"/>
      <c r="FFE43" s="595"/>
      <c r="FFF43" s="595"/>
      <c r="FFG43" s="595"/>
      <c r="FFH43" s="595"/>
      <c r="FFI43" s="595"/>
      <c r="FFJ43" s="595"/>
      <c r="FFK43" s="595"/>
      <c r="FFL43" s="595"/>
      <c r="FFM43" s="595"/>
      <c r="FFN43" s="595"/>
      <c r="FFO43" s="595"/>
      <c r="FFP43" s="595"/>
      <c r="FFQ43" s="595"/>
      <c r="FFR43" s="595"/>
      <c r="FFS43" s="595"/>
      <c r="FFT43" s="595"/>
      <c r="FFU43" s="595"/>
      <c r="FFV43" s="595"/>
      <c r="FFW43" s="595"/>
      <c r="FFX43" s="595"/>
      <c r="FFY43" s="595"/>
      <c r="FFZ43" s="595"/>
      <c r="FGA43" s="595"/>
      <c r="FGB43" s="595"/>
      <c r="FGC43" s="595"/>
      <c r="FGD43" s="595"/>
      <c r="FGE43" s="595"/>
      <c r="FGF43" s="595"/>
      <c r="FGG43" s="595"/>
      <c r="FGH43" s="595"/>
      <c r="FGI43" s="595"/>
      <c r="FGJ43" s="595"/>
      <c r="FGK43" s="595"/>
      <c r="FGL43" s="595"/>
      <c r="FGM43" s="595"/>
      <c r="FGN43" s="595"/>
      <c r="FGO43" s="595"/>
      <c r="FGP43" s="595"/>
      <c r="FGQ43" s="595"/>
      <c r="FGR43" s="595"/>
      <c r="FGS43" s="595"/>
      <c r="FGT43" s="595"/>
      <c r="FGU43" s="595"/>
      <c r="FGV43" s="595"/>
      <c r="FGW43" s="595"/>
      <c r="FGX43" s="595"/>
      <c r="FGY43" s="595"/>
      <c r="FGZ43" s="595"/>
      <c r="FHA43" s="595"/>
      <c r="FHB43" s="595"/>
      <c r="FHC43" s="595"/>
      <c r="FHD43" s="595"/>
      <c r="FHE43" s="595"/>
      <c r="FHF43" s="595"/>
      <c r="FHG43" s="595"/>
      <c r="FHH43" s="595"/>
      <c r="FHI43" s="595"/>
      <c r="FHJ43" s="595"/>
      <c r="FHK43" s="595"/>
      <c r="FHL43" s="595"/>
      <c r="FHM43" s="595"/>
      <c r="FHN43" s="595"/>
      <c r="FHO43" s="595"/>
      <c r="FHP43" s="595"/>
      <c r="FHQ43" s="595"/>
      <c r="FHR43" s="595"/>
      <c r="FHS43" s="595"/>
      <c r="FHT43" s="595"/>
      <c r="FHU43" s="595"/>
      <c r="FHV43" s="595"/>
      <c r="FHW43" s="595"/>
      <c r="FHX43" s="595"/>
      <c r="FHY43" s="595"/>
      <c r="FHZ43" s="595"/>
      <c r="FIA43" s="595"/>
      <c r="FIB43" s="595"/>
      <c r="FIC43" s="595"/>
      <c r="FID43" s="595"/>
      <c r="FIE43" s="595"/>
      <c r="FIF43" s="595"/>
      <c r="FIG43" s="595"/>
      <c r="FIH43" s="595"/>
      <c r="FII43" s="595"/>
      <c r="FIJ43" s="595"/>
      <c r="FIK43" s="595"/>
      <c r="FIL43" s="595"/>
      <c r="FIM43" s="595"/>
      <c r="FIN43" s="595"/>
      <c r="FIO43" s="595"/>
      <c r="FIP43" s="595"/>
      <c r="FIQ43" s="595"/>
      <c r="FIR43" s="595"/>
      <c r="FIS43" s="595"/>
      <c r="FIT43" s="595"/>
      <c r="FIU43" s="595"/>
      <c r="FIV43" s="595"/>
      <c r="FIW43" s="595"/>
      <c r="FIX43" s="595"/>
      <c r="FIY43" s="595"/>
      <c r="FIZ43" s="595"/>
      <c r="FJA43" s="595"/>
      <c r="FJB43" s="595"/>
      <c r="FJC43" s="595"/>
      <c r="FJD43" s="595"/>
      <c r="FJE43" s="595"/>
      <c r="FJF43" s="595"/>
      <c r="FJG43" s="595"/>
      <c r="FJH43" s="595"/>
      <c r="FJI43" s="595"/>
      <c r="FJJ43" s="595"/>
      <c r="FJK43" s="595"/>
      <c r="FJL43" s="595"/>
      <c r="FJM43" s="595"/>
      <c r="FJN43" s="595"/>
      <c r="FJO43" s="595"/>
      <c r="FJP43" s="595"/>
      <c r="FJQ43" s="595"/>
      <c r="FJR43" s="595"/>
      <c r="FJS43" s="595"/>
      <c r="FJT43" s="595"/>
      <c r="FJU43" s="595"/>
      <c r="FJV43" s="595"/>
      <c r="FJW43" s="595"/>
      <c r="FJX43" s="595"/>
      <c r="FJY43" s="595"/>
      <c r="FJZ43" s="595"/>
      <c r="FKA43" s="595"/>
      <c r="FKB43" s="595"/>
      <c r="FKC43" s="595"/>
      <c r="FKD43" s="595"/>
      <c r="FKE43" s="595"/>
      <c r="FKF43" s="595"/>
      <c r="FKG43" s="595"/>
      <c r="FKH43" s="595"/>
      <c r="FKI43" s="595"/>
      <c r="FKJ43" s="595"/>
      <c r="FKK43" s="595"/>
      <c r="FKL43" s="595"/>
      <c r="FKM43" s="595"/>
      <c r="FKN43" s="595"/>
      <c r="FKO43" s="595"/>
      <c r="FKP43" s="595"/>
      <c r="FKQ43" s="595"/>
      <c r="FKR43" s="595"/>
      <c r="FKS43" s="595"/>
      <c r="FKT43" s="595"/>
      <c r="FKU43" s="595"/>
      <c r="FKV43" s="595"/>
      <c r="FKW43" s="595"/>
      <c r="FKX43" s="595"/>
      <c r="FKY43" s="595"/>
      <c r="FKZ43" s="595"/>
      <c r="FLA43" s="595"/>
      <c r="FLB43" s="595"/>
      <c r="FLC43" s="595"/>
      <c r="FLD43" s="595"/>
      <c r="FLE43" s="595"/>
      <c r="FLF43" s="595"/>
      <c r="FLG43" s="595"/>
      <c r="FLH43" s="595"/>
      <c r="FLI43" s="595"/>
      <c r="FLJ43" s="595"/>
      <c r="FLK43" s="595"/>
      <c r="FLL43" s="595"/>
      <c r="FLM43" s="595"/>
      <c r="FLN43" s="595"/>
      <c r="FLO43" s="595"/>
      <c r="FLP43" s="595"/>
      <c r="FLQ43" s="595"/>
      <c r="FLR43" s="595"/>
      <c r="FLS43" s="595"/>
      <c r="FLT43" s="595"/>
      <c r="FLU43" s="595"/>
      <c r="FLV43" s="595"/>
      <c r="FLW43" s="595"/>
      <c r="FLX43" s="595"/>
      <c r="FLY43" s="595"/>
      <c r="FLZ43" s="595"/>
      <c r="FMA43" s="595"/>
      <c r="FMB43" s="595"/>
      <c r="FMC43" s="595"/>
      <c r="FMD43" s="595"/>
      <c r="FME43" s="595"/>
      <c r="FMF43" s="595"/>
      <c r="FMG43" s="595"/>
      <c r="FMH43" s="595"/>
      <c r="FMI43" s="595"/>
      <c r="FMJ43" s="595"/>
      <c r="FMK43" s="595"/>
      <c r="FML43" s="595"/>
      <c r="FMM43" s="595"/>
      <c r="FMN43" s="595"/>
      <c r="FMO43" s="595"/>
      <c r="FMP43" s="595"/>
      <c r="FMQ43" s="595"/>
      <c r="FMR43" s="595"/>
      <c r="FMS43" s="595"/>
      <c r="FMT43" s="595"/>
      <c r="FMU43" s="595"/>
      <c r="FMV43" s="595"/>
      <c r="FMW43" s="595"/>
      <c r="FMX43" s="595"/>
      <c r="FMY43" s="595"/>
      <c r="FMZ43" s="595"/>
      <c r="FNA43" s="595"/>
      <c r="FNB43" s="595"/>
      <c r="FNC43" s="595"/>
      <c r="FND43" s="595"/>
      <c r="FNE43" s="595"/>
      <c r="FNF43" s="595"/>
      <c r="FNG43" s="595"/>
      <c r="FNH43" s="595"/>
      <c r="FNI43" s="595"/>
      <c r="FNJ43" s="595"/>
      <c r="FNK43" s="595"/>
      <c r="FNL43" s="595"/>
      <c r="FNM43" s="595"/>
      <c r="FNN43" s="595"/>
      <c r="FNO43" s="595"/>
      <c r="FNP43" s="595"/>
      <c r="FNQ43" s="595"/>
      <c r="FNR43" s="595"/>
      <c r="FNS43" s="595"/>
      <c r="FNT43" s="595"/>
      <c r="FNU43" s="595"/>
      <c r="FNV43" s="595"/>
      <c r="FNW43" s="595"/>
      <c r="FNX43" s="595"/>
      <c r="FNY43" s="595"/>
      <c r="FNZ43" s="595"/>
      <c r="FOA43" s="595"/>
      <c r="FOB43" s="595"/>
      <c r="FOC43" s="595"/>
      <c r="FOD43" s="595"/>
      <c r="FOE43" s="595"/>
      <c r="FOF43" s="595"/>
      <c r="FOG43" s="595"/>
      <c r="FOH43" s="595"/>
      <c r="FOI43" s="595"/>
      <c r="FOJ43" s="595"/>
      <c r="FOK43" s="595"/>
      <c r="FOL43" s="595"/>
      <c r="FOM43" s="595"/>
      <c r="FON43" s="595"/>
      <c r="FOO43" s="595"/>
      <c r="FOP43" s="595"/>
      <c r="FOQ43" s="595"/>
      <c r="FOR43" s="595"/>
      <c r="FOS43" s="595"/>
      <c r="FOT43" s="595"/>
      <c r="FOU43" s="595"/>
      <c r="FOV43" s="595"/>
      <c r="FOW43" s="595"/>
      <c r="FOX43" s="595"/>
      <c r="FOY43" s="595"/>
      <c r="FOZ43" s="595"/>
      <c r="FPA43" s="595"/>
      <c r="FPB43" s="595"/>
      <c r="FPC43" s="595"/>
      <c r="FPD43" s="595"/>
      <c r="FPE43" s="595"/>
      <c r="FPF43" s="595"/>
      <c r="FPG43" s="595"/>
      <c r="FPH43" s="595"/>
      <c r="FPI43" s="595"/>
      <c r="FPJ43" s="595"/>
      <c r="FPK43" s="595"/>
      <c r="FPL43" s="595"/>
      <c r="FPM43" s="595"/>
      <c r="FPN43" s="595"/>
      <c r="FPO43" s="595"/>
      <c r="FPP43" s="595"/>
      <c r="FPQ43" s="595"/>
      <c r="FPR43" s="595"/>
      <c r="FPS43" s="595"/>
      <c r="FPT43" s="595"/>
      <c r="FPU43" s="595"/>
      <c r="FPV43" s="595"/>
      <c r="FPW43" s="595"/>
      <c r="FPX43" s="595"/>
      <c r="FPY43" s="595"/>
      <c r="FPZ43" s="595"/>
      <c r="FQA43" s="595"/>
      <c r="FQB43" s="595"/>
      <c r="FQC43" s="595"/>
      <c r="FQD43" s="595"/>
      <c r="FQE43" s="595"/>
      <c r="FQF43" s="595"/>
      <c r="FQG43" s="595"/>
      <c r="FQH43" s="595"/>
      <c r="FQI43" s="595"/>
      <c r="FQJ43" s="595"/>
      <c r="FQK43" s="595"/>
      <c r="FQL43" s="595"/>
      <c r="FQM43" s="595"/>
      <c r="FQN43" s="595"/>
      <c r="FQO43" s="595"/>
      <c r="FQP43" s="595"/>
      <c r="FQQ43" s="595"/>
      <c r="FQR43" s="595"/>
      <c r="FQS43" s="595"/>
      <c r="FQT43" s="595"/>
      <c r="FQU43" s="595"/>
      <c r="FQV43" s="595"/>
      <c r="FQW43" s="595"/>
      <c r="FQX43" s="595"/>
      <c r="FQY43" s="595"/>
      <c r="FQZ43" s="595"/>
      <c r="FRA43" s="595"/>
      <c r="FRB43" s="595"/>
      <c r="FRC43" s="595"/>
      <c r="FRD43" s="595"/>
      <c r="FRE43" s="595"/>
      <c r="FRF43" s="595"/>
      <c r="FRG43" s="595"/>
      <c r="FRH43" s="595"/>
      <c r="FRI43" s="595"/>
      <c r="FRJ43" s="595"/>
      <c r="FRK43" s="595"/>
      <c r="FRL43" s="595"/>
      <c r="FRM43" s="595"/>
      <c r="FRN43" s="595"/>
      <c r="FRO43" s="595"/>
      <c r="FRP43" s="595"/>
      <c r="FRQ43" s="595"/>
      <c r="FRR43" s="595"/>
      <c r="FRS43" s="595"/>
      <c r="FRT43" s="595"/>
      <c r="FRU43" s="595"/>
      <c r="FRV43" s="595"/>
      <c r="FRW43" s="595"/>
      <c r="FRX43" s="595"/>
      <c r="FRY43" s="595"/>
      <c r="FRZ43" s="595"/>
      <c r="FSA43" s="595"/>
      <c r="FSB43" s="595"/>
      <c r="FSC43" s="595"/>
      <c r="FSD43" s="595"/>
      <c r="FSE43" s="595"/>
      <c r="FSF43" s="595"/>
      <c r="FSG43" s="595"/>
      <c r="FSH43" s="595"/>
      <c r="FSI43" s="595"/>
      <c r="FSJ43" s="595"/>
      <c r="FSK43" s="595"/>
      <c r="FSL43" s="595"/>
      <c r="FSM43" s="595"/>
      <c r="FSN43" s="595"/>
      <c r="FSO43" s="595"/>
      <c r="FSP43" s="595"/>
      <c r="FSQ43" s="595"/>
      <c r="FSR43" s="595"/>
      <c r="FSS43" s="595"/>
      <c r="FST43" s="595"/>
      <c r="FSU43" s="595"/>
      <c r="FSV43" s="595"/>
      <c r="FSW43" s="595"/>
      <c r="FSX43" s="595"/>
      <c r="FSY43" s="595"/>
      <c r="FSZ43" s="595"/>
      <c r="FTA43" s="595"/>
      <c r="FTB43" s="595"/>
      <c r="FTC43" s="595"/>
      <c r="FTD43" s="595"/>
      <c r="FTE43" s="595"/>
      <c r="FTF43" s="595"/>
      <c r="FTG43" s="595"/>
      <c r="FTH43" s="595"/>
      <c r="FTI43" s="595"/>
      <c r="FTJ43" s="595"/>
      <c r="FTK43" s="595"/>
      <c r="FTL43" s="595"/>
      <c r="FTM43" s="595"/>
      <c r="FTN43" s="595"/>
      <c r="FTO43" s="595"/>
      <c r="FTP43" s="595"/>
      <c r="FTQ43" s="595"/>
      <c r="FTR43" s="595"/>
      <c r="FTS43" s="595"/>
      <c r="FTT43" s="595"/>
      <c r="FTU43" s="595"/>
      <c r="FTV43" s="595"/>
      <c r="FTW43" s="595"/>
      <c r="FTX43" s="595"/>
      <c r="FTY43" s="595"/>
      <c r="FTZ43" s="595"/>
      <c r="FUA43" s="595"/>
      <c r="FUB43" s="595"/>
      <c r="FUC43" s="595"/>
      <c r="FUD43" s="595"/>
      <c r="FUE43" s="595"/>
      <c r="FUF43" s="595"/>
      <c r="FUG43" s="595"/>
      <c r="FUH43" s="595"/>
      <c r="FUI43" s="595"/>
      <c r="FUJ43" s="595"/>
      <c r="FUK43" s="595"/>
      <c r="FUL43" s="595"/>
      <c r="FUM43" s="595"/>
      <c r="FUN43" s="595"/>
      <c r="FUO43" s="595"/>
      <c r="FUP43" s="595"/>
      <c r="FUQ43" s="595"/>
      <c r="FUR43" s="595"/>
      <c r="FUS43" s="595"/>
      <c r="FUT43" s="595"/>
      <c r="FUU43" s="595"/>
      <c r="FUV43" s="595"/>
      <c r="FUW43" s="595"/>
      <c r="FUX43" s="595"/>
      <c r="FUY43" s="595"/>
      <c r="FUZ43" s="595"/>
      <c r="FVA43" s="595"/>
      <c r="FVB43" s="595"/>
      <c r="FVC43" s="595"/>
      <c r="FVD43" s="595"/>
      <c r="FVE43" s="595"/>
      <c r="FVF43" s="595"/>
      <c r="FVG43" s="595"/>
      <c r="FVH43" s="595"/>
      <c r="FVI43" s="595"/>
      <c r="FVJ43" s="595"/>
      <c r="FVK43" s="595"/>
      <c r="FVL43" s="595"/>
      <c r="FVM43" s="595"/>
      <c r="FVN43" s="595"/>
      <c r="FVO43" s="595"/>
      <c r="FVP43" s="595"/>
      <c r="FVQ43" s="595"/>
      <c r="FVR43" s="595"/>
      <c r="FVS43" s="595"/>
      <c r="FVT43" s="595"/>
      <c r="FVU43" s="595"/>
      <c r="FVV43" s="595"/>
      <c r="FVW43" s="595"/>
      <c r="FVX43" s="595"/>
      <c r="FVY43" s="595"/>
      <c r="FVZ43" s="595"/>
      <c r="FWA43" s="595"/>
      <c r="FWB43" s="595"/>
      <c r="FWC43" s="595"/>
      <c r="FWD43" s="595"/>
      <c r="FWE43" s="595"/>
      <c r="FWF43" s="595"/>
      <c r="FWG43" s="595"/>
      <c r="FWH43" s="595"/>
      <c r="FWI43" s="595"/>
      <c r="FWJ43" s="595"/>
      <c r="FWK43" s="595"/>
      <c r="FWL43" s="595"/>
      <c r="FWM43" s="595"/>
      <c r="FWN43" s="595"/>
      <c r="FWO43" s="595"/>
      <c r="FWP43" s="595"/>
      <c r="FWQ43" s="595"/>
      <c r="FWR43" s="595"/>
      <c r="FWS43" s="595"/>
      <c r="FWT43" s="595"/>
      <c r="FWU43" s="595"/>
      <c r="FWV43" s="595"/>
      <c r="FWW43" s="595"/>
      <c r="FWX43" s="595"/>
      <c r="FWY43" s="595"/>
      <c r="FWZ43" s="595"/>
      <c r="FXA43" s="595"/>
      <c r="FXB43" s="595"/>
      <c r="FXC43" s="595"/>
      <c r="FXD43" s="595"/>
      <c r="FXE43" s="595"/>
      <c r="FXF43" s="595"/>
      <c r="FXG43" s="595"/>
      <c r="FXH43" s="595"/>
      <c r="FXI43" s="595"/>
      <c r="FXJ43" s="595"/>
      <c r="FXK43" s="595"/>
      <c r="FXL43" s="595"/>
      <c r="FXM43" s="595"/>
      <c r="FXN43" s="595"/>
      <c r="FXO43" s="595"/>
      <c r="FXP43" s="595"/>
      <c r="FXQ43" s="595"/>
      <c r="FXR43" s="595"/>
      <c r="FXS43" s="595"/>
      <c r="FXT43" s="595"/>
      <c r="FXU43" s="595"/>
      <c r="FXV43" s="595"/>
      <c r="FXW43" s="595"/>
      <c r="FXX43" s="595"/>
      <c r="FXY43" s="595"/>
      <c r="FXZ43" s="595"/>
      <c r="FYA43" s="595"/>
      <c r="FYB43" s="595"/>
      <c r="FYC43" s="595"/>
      <c r="FYD43" s="595"/>
      <c r="FYE43" s="595"/>
      <c r="FYF43" s="595"/>
      <c r="FYG43" s="595"/>
      <c r="FYH43" s="595"/>
      <c r="FYI43" s="595"/>
      <c r="FYJ43" s="595"/>
      <c r="FYK43" s="595"/>
      <c r="FYL43" s="595"/>
      <c r="FYM43" s="595"/>
      <c r="FYN43" s="595"/>
      <c r="FYO43" s="595"/>
      <c r="FYP43" s="595"/>
      <c r="FYQ43" s="595"/>
      <c r="FYR43" s="595"/>
      <c r="FYS43" s="595"/>
      <c r="FYT43" s="595"/>
      <c r="FYU43" s="595"/>
      <c r="FYV43" s="595"/>
      <c r="FYW43" s="595"/>
      <c r="FYX43" s="595"/>
      <c r="FYY43" s="595"/>
      <c r="FYZ43" s="595"/>
      <c r="FZA43" s="595"/>
      <c r="FZB43" s="595"/>
      <c r="FZC43" s="595"/>
      <c r="FZD43" s="595"/>
      <c r="FZE43" s="595"/>
      <c r="FZF43" s="595"/>
      <c r="FZG43" s="595"/>
      <c r="FZH43" s="595"/>
      <c r="FZI43" s="595"/>
      <c r="FZJ43" s="595"/>
      <c r="FZK43" s="595"/>
      <c r="FZL43" s="595"/>
      <c r="FZM43" s="595"/>
      <c r="FZN43" s="595"/>
      <c r="FZO43" s="595"/>
      <c r="FZP43" s="595"/>
      <c r="FZQ43" s="595"/>
      <c r="FZR43" s="595"/>
      <c r="FZS43" s="595"/>
      <c r="FZT43" s="595"/>
      <c r="FZU43" s="595"/>
      <c r="FZV43" s="595"/>
      <c r="FZW43" s="595"/>
      <c r="FZX43" s="595"/>
      <c r="FZY43" s="595"/>
      <c r="FZZ43" s="595"/>
      <c r="GAA43" s="595"/>
      <c r="GAB43" s="595"/>
      <c r="GAC43" s="595"/>
      <c r="GAD43" s="595"/>
      <c r="GAE43" s="595"/>
      <c r="GAF43" s="595"/>
      <c r="GAG43" s="595"/>
      <c r="GAH43" s="595"/>
      <c r="GAI43" s="595"/>
      <c r="GAJ43" s="595"/>
      <c r="GAK43" s="595"/>
      <c r="GAL43" s="595"/>
      <c r="GAM43" s="595"/>
      <c r="GAN43" s="595"/>
      <c r="GAO43" s="595"/>
      <c r="GAP43" s="595"/>
      <c r="GAQ43" s="595"/>
      <c r="GAR43" s="595"/>
      <c r="GAS43" s="595"/>
      <c r="GAT43" s="595"/>
      <c r="GAU43" s="595"/>
      <c r="GAV43" s="595"/>
      <c r="GAW43" s="595"/>
      <c r="GAX43" s="595"/>
      <c r="GAY43" s="595"/>
      <c r="GAZ43" s="595"/>
      <c r="GBA43" s="595"/>
      <c r="GBB43" s="595"/>
      <c r="GBC43" s="595"/>
      <c r="GBD43" s="595"/>
      <c r="GBE43" s="595"/>
      <c r="GBF43" s="595"/>
      <c r="GBG43" s="595"/>
      <c r="GBH43" s="595"/>
      <c r="GBI43" s="595"/>
      <c r="GBJ43" s="595"/>
      <c r="GBK43" s="595"/>
      <c r="GBL43" s="595"/>
      <c r="GBM43" s="595"/>
      <c r="GBN43" s="595"/>
      <c r="GBO43" s="595"/>
      <c r="GBP43" s="595"/>
      <c r="GBQ43" s="595"/>
      <c r="GBR43" s="595"/>
      <c r="GBS43" s="595"/>
      <c r="GBT43" s="595"/>
      <c r="GBU43" s="595"/>
      <c r="GBV43" s="595"/>
      <c r="GBW43" s="595"/>
      <c r="GBX43" s="595"/>
      <c r="GBY43" s="595"/>
      <c r="GBZ43" s="595"/>
      <c r="GCA43" s="595"/>
      <c r="GCB43" s="595"/>
      <c r="GCC43" s="595"/>
      <c r="GCD43" s="595"/>
      <c r="GCE43" s="595"/>
      <c r="GCF43" s="595"/>
      <c r="GCG43" s="595"/>
      <c r="GCH43" s="595"/>
      <c r="GCI43" s="595"/>
      <c r="GCJ43" s="595"/>
      <c r="GCK43" s="595"/>
      <c r="GCL43" s="595"/>
      <c r="GCM43" s="595"/>
      <c r="GCN43" s="595"/>
      <c r="GCO43" s="595"/>
      <c r="GCP43" s="595"/>
      <c r="GCQ43" s="595"/>
      <c r="GCR43" s="595"/>
      <c r="GCS43" s="595"/>
      <c r="GCT43" s="595"/>
      <c r="GCU43" s="595"/>
      <c r="GCV43" s="595"/>
      <c r="GCW43" s="595"/>
      <c r="GCX43" s="595"/>
      <c r="GCY43" s="595"/>
      <c r="GCZ43" s="595"/>
      <c r="GDA43" s="595"/>
      <c r="GDB43" s="595"/>
      <c r="GDC43" s="595"/>
      <c r="GDD43" s="595"/>
      <c r="GDE43" s="595"/>
      <c r="GDF43" s="595"/>
      <c r="GDG43" s="595"/>
      <c r="GDH43" s="595"/>
      <c r="GDI43" s="595"/>
      <c r="GDJ43" s="595"/>
      <c r="GDK43" s="595"/>
      <c r="GDL43" s="595"/>
      <c r="GDM43" s="595"/>
      <c r="GDN43" s="595"/>
      <c r="GDO43" s="595"/>
      <c r="GDP43" s="595"/>
      <c r="GDQ43" s="595"/>
      <c r="GDR43" s="595"/>
      <c r="GDS43" s="595"/>
      <c r="GDT43" s="595"/>
      <c r="GDU43" s="595"/>
      <c r="GDV43" s="595"/>
      <c r="GDW43" s="595"/>
      <c r="GDX43" s="595"/>
      <c r="GDY43" s="595"/>
      <c r="GDZ43" s="595"/>
      <c r="GEA43" s="595"/>
      <c r="GEB43" s="595"/>
      <c r="GEC43" s="595"/>
      <c r="GED43" s="595"/>
      <c r="GEE43" s="595"/>
      <c r="GEF43" s="595"/>
      <c r="GEG43" s="595"/>
      <c r="GEH43" s="595"/>
      <c r="GEI43" s="595"/>
      <c r="GEJ43" s="595"/>
      <c r="GEK43" s="595"/>
      <c r="GEL43" s="595"/>
      <c r="GEM43" s="595"/>
      <c r="GEN43" s="595"/>
      <c r="GEO43" s="595"/>
      <c r="GEP43" s="595"/>
      <c r="GEQ43" s="595"/>
      <c r="GER43" s="595"/>
      <c r="GES43" s="595"/>
      <c r="GET43" s="595"/>
      <c r="GEU43" s="595"/>
      <c r="GEV43" s="595"/>
      <c r="GEW43" s="595"/>
      <c r="GEX43" s="595"/>
      <c r="GEY43" s="595"/>
      <c r="GEZ43" s="595"/>
      <c r="GFA43" s="595"/>
      <c r="GFB43" s="595"/>
      <c r="GFC43" s="595"/>
      <c r="GFD43" s="595"/>
      <c r="GFE43" s="595"/>
      <c r="GFF43" s="595"/>
      <c r="GFG43" s="595"/>
      <c r="GFH43" s="595"/>
      <c r="GFI43" s="595"/>
      <c r="GFJ43" s="595"/>
      <c r="GFK43" s="595"/>
      <c r="GFL43" s="595"/>
      <c r="GFM43" s="595"/>
      <c r="GFN43" s="595"/>
      <c r="GFO43" s="595"/>
      <c r="GFP43" s="595"/>
      <c r="GFQ43" s="595"/>
      <c r="GFR43" s="595"/>
      <c r="GFS43" s="595"/>
      <c r="GFT43" s="595"/>
      <c r="GFU43" s="595"/>
      <c r="GFV43" s="595"/>
      <c r="GFW43" s="595"/>
      <c r="GFX43" s="595"/>
      <c r="GFY43" s="595"/>
      <c r="GFZ43" s="595"/>
      <c r="GGA43" s="595"/>
      <c r="GGB43" s="595"/>
      <c r="GGC43" s="595"/>
      <c r="GGD43" s="595"/>
      <c r="GGE43" s="595"/>
      <c r="GGF43" s="595"/>
      <c r="GGG43" s="595"/>
      <c r="GGH43" s="595"/>
      <c r="GGI43" s="595"/>
      <c r="GGJ43" s="595"/>
      <c r="GGK43" s="595"/>
      <c r="GGL43" s="595"/>
      <c r="GGM43" s="595"/>
      <c r="GGN43" s="595"/>
      <c r="GGO43" s="595"/>
      <c r="GGP43" s="595"/>
      <c r="GGQ43" s="595"/>
      <c r="GGR43" s="595"/>
      <c r="GGS43" s="595"/>
      <c r="GGT43" s="595"/>
      <c r="GGU43" s="595"/>
      <c r="GGV43" s="595"/>
      <c r="GGW43" s="595"/>
      <c r="GGX43" s="595"/>
      <c r="GGY43" s="595"/>
      <c r="GGZ43" s="595"/>
      <c r="GHA43" s="595"/>
      <c r="GHB43" s="595"/>
      <c r="GHC43" s="595"/>
      <c r="GHD43" s="595"/>
      <c r="GHE43" s="595"/>
      <c r="GHF43" s="595"/>
      <c r="GHG43" s="595"/>
      <c r="GHH43" s="595"/>
      <c r="GHI43" s="595"/>
      <c r="GHJ43" s="595"/>
      <c r="GHK43" s="595"/>
      <c r="GHL43" s="595"/>
      <c r="GHM43" s="595"/>
      <c r="GHN43" s="595"/>
      <c r="GHO43" s="595"/>
      <c r="GHP43" s="595"/>
      <c r="GHQ43" s="595"/>
      <c r="GHR43" s="595"/>
      <c r="GHS43" s="595"/>
      <c r="GHT43" s="595"/>
      <c r="GHU43" s="595"/>
      <c r="GHV43" s="595"/>
      <c r="GHW43" s="595"/>
      <c r="GHX43" s="595"/>
      <c r="GHY43" s="595"/>
      <c r="GHZ43" s="595"/>
      <c r="GIA43" s="595"/>
      <c r="GIB43" s="595"/>
      <c r="GIC43" s="595"/>
      <c r="GID43" s="595"/>
      <c r="GIE43" s="595"/>
      <c r="GIF43" s="595"/>
      <c r="GIG43" s="595"/>
      <c r="GIH43" s="595"/>
      <c r="GII43" s="595"/>
      <c r="GIJ43" s="595"/>
      <c r="GIK43" s="595"/>
      <c r="GIL43" s="595"/>
      <c r="GIM43" s="595"/>
      <c r="GIN43" s="595"/>
      <c r="GIO43" s="595"/>
      <c r="GIP43" s="595"/>
      <c r="GIQ43" s="595"/>
      <c r="GIR43" s="595"/>
      <c r="GIS43" s="595"/>
      <c r="GIT43" s="595"/>
      <c r="GIU43" s="595"/>
      <c r="GIV43" s="595"/>
      <c r="GIW43" s="595"/>
      <c r="GIX43" s="595"/>
      <c r="GIY43" s="595"/>
      <c r="GIZ43" s="595"/>
      <c r="GJA43" s="595"/>
      <c r="GJB43" s="595"/>
      <c r="GJC43" s="595"/>
      <c r="GJD43" s="595"/>
      <c r="GJE43" s="595"/>
      <c r="GJF43" s="595"/>
      <c r="GJG43" s="595"/>
      <c r="GJH43" s="595"/>
      <c r="GJI43" s="595"/>
      <c r="GJJ43" s="595"/>
      <c r="GJK43" s="595"/>
      <c r="GJL43" s="595"/>
      <c r="GJM43" s="595"/>
      <c r="GJN43" s="595"/>
      <c r="GJO43" s="595"/>
      <c r="GJP43" s="595"/>
      <c r="GJQ43" s="595"/>
      <c r="GJR43" s="595"/>
      <c r="GJS43" s="595"/>
      <c r="GJT43" s="595"/>
      <c r="GJU43" s="595"/>
      <c r="GJV43" s="595"/>
      <c r="GJW43" s="595"/>
      <c r="GJX43" s="595"/>
      <c r="GJY43" s="595"/>
      <c r="GJZ43" s="595"/>
      <c r="GKA43" s="595"/>
      <c r="GKB43" s="595"/>
      <c r="GKC43" s="595"/>
      <c r="GKD43" s="595"/>
      <c r="GKE43" s="595"/>
      <c r="GKF43" s="595"/>
      <c r="GKG43" s="595"/>
      <c r="GKH43" s="595"/>
      <c r="GKI43" s="595"/>
      <c r="GKJ43" s="595"/>
      <c r="GKK43" s="595"/>
      <c r="GKL43" s="595"/>
      <c r="GKM43" s="595"/>
      <c r="GKN43" s="595"/>
      <c r="GKO43" s="595"/>
      <c r="GKP43" s="595"/>
      <c r="GKQ43" s="595"/>
      <c r="GKR43" s="595"/>
      <c r="GKS43" s="595"/>
      <c r="GKT43" s="595"/>
      <c r="GKU43" s="595"/>
      <c r="GKV43" s="595"/>
      <c r="GKW43" s="595"/>
      <c r="GKX43" s="595"/>
      <c r="GKY43" s="595"/>
      <c r="GKZ43" s="595"/>
      <c r="GLA43" s="595"/>
      <c r="GLB43" s="595"/>
      <c r="GLC43" s="595"/>
      <c r="GLD43" s="595"/>
      <c r="GLE43" s="595"/>
      <c r="GLF43" s="595"/>
      <c r="GLG43" s="595"/>
      <c r="GLH43" s="595"/>
      <c r="GLI43" s="595"/>
      <c r="GLJ43" s="595"/>
      <c r="GLK43" s="595"/>
      <c r="GLL43" s="595"/>
      <c r="GLM43" s="595"/>
      <c r="GLN43" s="595"/>
      <c r="GLO43" s="595"/>
      <c r="GLP43" s="595"/>
      <c r="GLQ43" s="595"/>
      <c r="GLR43" s="595"/>
      <c r="GLS43" s="595"/>
      <c r="GLT43" s="595"/>
      <c r="GLU43" s="595"/>
      <c r="GLV43" s="595"/>
      <c r="GLW43" s="595"/>
      <c r="GLX43" s="595"/>
      <c r="GLY43" s="595"/>
      <c r="GLZ43" s="595"/>
      <c r="GMA43" s="595"/>
      <c r="GMB43" s="595"/>
      <c r="GMC43" s="595"/>
      <c r="GMD43" s="595"/>
      <c r="GME43" s="595"/>
      <c r="GMF43" s="595"/>
      <c r="GMG43" s="595"/>
      <c r="GMH43" s="595"/>
      <c r="GMI43" s="595"/>
      <c r="GMJ43" s="595"/>
      <c r="GMK43" s="595"/>
      <c r="GML43" s="595"/>
      <c r="GMM43" s="595"/>
      <c r="GMN43" s="595"/>
      <c r="GMO43" s="595"/>
      <c r="GMP43" s="595"/>
      <c r="GMQ43" s="595"/>
      <c r="GMR43" s="595"/>
      <c r="GMS43" s="595"/>
      <c r="GMT43" s="595"/>
      <c r="GMU43" s="595"/>
      <c r="GMV43" s="595"/>
      <c r="GMW43" s="595"/>
      <c r="GMX43" s="595"/>
      <c r="GMY43" s="595"/>
      <c r="GMZ43" s="595"/>
      <c r="GNA43" s="595"/>
      <c r="GNB43" s="595"/>
      <c r="GNC43" s="595"/>
      <c r="GND43" s="595"/>
      <c r="GNE43" s="595"/>
      <c r="GNF43" s="595"/>
      <c r="GNG43" s="595"/>
      <c r="GNH43" s="595"/>
      <c r="GNI43" s="595"/>
      <c r="GNJ43" s="595"/>
      <c r="GNK43" s="595"/>
      <c r="GNL43" s="595"/>
      <c r="GNM43" s="595"/>
      <c r="GNN43" s="595"/>
      <c r="GNO43" s="595"/>
      <c r="GNP43" s="595"/>
      <c r="GNQ43" s="595"/>
      <c r="GNR43" s="595"/>
      <c r="GNS43" s="595"/>
      <c r="GNT43" s="595"/>
      <c r="GNU43" s="595"/>
      <c r="GNV43" s="595"/>
      <c r="GNW43" s="595"/>
      <c r="GNX43" s="595"/>
      <c r="GNY43" s="595"/>
      <c r="GNZ43" s="595"/>
      <c r="GOA43" s="595"/>
      <c r="GOB43" s="595"/>
      <c r="GOC43" s="595"/>
      <c r="GOD43" s="595"/>
      <c r="GOE43" s="595"/>
      <c r="GOF43" s="595"/>
      <c r="GOG43" s="595"/>
      <c r="GOH43" s="595"/>
      <c r="GOI43" s="595"/>
      <c r="GOJ43" s="595"/>
      <c r="GOK43" s="595"/>
      <c r="GOL43" s="595"/>
      <c r="GOM43" s="595"/>
      <c r="GON43" s="595"/>
      <c r="GOO43" s="595"/>
      <c r="GOP43" s="595"/>
      <c r="GOQ43" s="595"/>
      <c r="GOR43" s="595"/>
      <c r="GOS43" s="595"/>
      <c r="GOT43" s="595"/>
      <c r="GOU43" s="595"/>
      <c r="GOV43" s="595"/>
      <c r="GOW43" s="595"/>
      <c r="GOX43" s="595"/>
      <c r="GOY43" s="595"/>
      <c r="GOZ43" s="595"/>
      <c r="GPA43" s="595"/>
      <c r="GPB43" s="595"/>
      <c r="GPC43" s="595"/>
      <c r="GPD43" s="595"/>
      <c r="GPE43" s="595"/>
      <c r="GPF43" s="595"/>
      <c r="GPG43" s="595"/>
      <c r="GPH43" s="595"/>
      <c r="GPI43" s="595"/>
      <c r="GPJ43" s="595"/>
      <c r="GPK43" s="595"/>
      <c r="GPL43" s="595"/>
      <c r="GPM43" s="595"/>
      <c r="GPN43" s="595"/>
      <c r="GPO43" s="595"/>
      <c r="GPP43" s="595"/>
      <c r="GPQ43" s="595"/>
      <c r="GPR43" s="595"/>
      <c r="GPS43" s="595"/>
      <c r="GPT43" s="595"/>
      <c r="GPU43" s="595"/>
      <c r="GPV43" s="595"/>
      <c r="GPW43" s="595"/>
      <c r="GPX43" s="595"/>
      <c r="GPY43" s="595"/>
      <c r="GPZ43" s="595"/>
      <c r="GQA43" s="595"/>
      <c r="GQB43" s="595"/>
      <c r="GQC43" s="595"/>
      <c r="GQD43" s="595"/>
      <c r="GQE43" s="595"/>
      <c r="GQF43" s="595"/>
      <c r="GQG43" s="595"/>
      <c r="GQH43" s="595"/>
      <c r="GQI43" s="595"/>
      <c r="GQJ43" s="595"/>
      <c r="GQK43" s="595"/>
      <c r="GQL43" s="595"/>
      <c r="GQM43" s="595"/>
      <c r="GQN43" s="595"/>
      <c r="GQO43" s="595"/>
      <c r="GQP43" s="595"/>
      <c r="GQQ43" s="595"/>
      <c r="GQR43" s="595"/>
      <c r="GQS43" s="595"/>
      <c r="GQT43" s="595"/>
      <c r="GQU43" s="595"/>
      <c r="GQV43" s="595"/>
      <c r="GQW43" s="595"/>
      <c r="GQX43" s="595"/>
      <c r="GQY43" s="595"/>
      <c r="GQZ43" s="595"/>
      <c r="GRA43" s="595"/>
      <c r="GRB43" s="595"/>
      <c r="GRC43" s="595"/>
      <c r="GRD43" s="595"/>
      <c r="GRE43" s="595"/>
      <c r="GRF43" s="595"/>
      <c r="GRG43" s="595"/>
      <c r="GRH43" s="595"/>
      <c r="GRI43" s="595"/>
      <c r="GRJ43" s="595"/>
      <c r="GRK43" s="595"/>
      <c r="GRL43" s="595"/>
      <c r="GRM43" s="595"/>
      <c r="GRN43" s="595"/>
      <c r="GRO43" s="595"/>
      <c r="GRP43" s="595"/>
      <c r="GRQ43" s="595"/>
      <c r="GRR43" s="595"/>
      <c r="GRS43" s="595"/>
      <c r="GRT43" s="595"/>
      <c r="GRU43" s="595"/>
      <c r="GRV43" s="595"/>
      <c r="GRW43" s="595"/>
      <c r="GRX43" s="595"/>
      <c r="GRY43" s="595"/>
      <c r="GRZ43" s="595"/>
      <c r="GSA43" s="595"/>
      <c r="GSB43" s="595"/>
      <c r="GSC43" s="595"/>
      <c r="GSD43" s="595"/>
      <c r="GSE43" s="595"/>
      <c r="GSF43" s="595"/>
      <c r="GSG43" s="595"/>
      <c r="GSH43" s="595"/>
      <c r="GSI43" s="595"/>
      <c r="GSJ43" s="595"/>
      <c r="GSK43" s="595"/>
      <c r="GSL43" s="595"/>
      <c r="GSM43" s="595"/>
      <c r="GSN43" s="595"/>
      <c r="GSO43" s="595"/>
      <c r="GSP43" s="595"/>
      <c r="GSQ43" s="595"/>
      <c r="GSR43" s="595"/>
      <c r="GSS43" s="595"/>
      <c r="GST43" s="595"/>
      <c r="GSU43" s="595"/>
      <c r="GSV43" s="595"/>
      <c r="GSW43" s="595"/>
      <c r="GSX43" s="595"/>
      <c r="GSY43" s="595"/>
      <c r="GSZ43" s="595"/>
      <c r="GTA43" s="595"/>
      <c r="GTB43" s="595"/>
      <c r="GTC43" s="595"/>
      <c r="GTD43" s="595"/>
      <c r="GTE43" s="595"/>
      <c r="GTF43" s="595"/>
      <c r="GTG43" s="595"/>
      <c r="GTH43" s="595"/>
      <c r="GTI43" s="595"/>
      <c r="GTJ43" s="595"/>
      <c r="GTK43" s="595"/>
      <c r="GTL43" s="595"/>
      <c r="GTM43" s="595"/>
      <c r="GTN43" s="595"/>
      <c r="GTO43" s="595"/>
      <c r="GTP43" s="595"/>
      <c r="GTQ43" s="595"/>
      <c r="GTR43" s="595"/>
      <c r="GTS43" s="595"/>
      <c r="GTT43" s="595"/>
      <c r="GTU43" s="595"/>
      <c r="GTV43" s="595"/>
      <c r="GTW43" s="595"/>
      <c r="GTX43" s="595"/>
      <c r="GTY43" s="595"/>
      <c r="GTZ43" s="595"/>
      <c r="GUA43" s="595"/>
      <c r="GUB43" s="595"/>
      <c r="GUC43" s="595"/>
      <c r="GUD43" s="595"/>
      <c r="GUE43" s="595"/>
      <c r="GUF43" s="595"/>
      <c r="GUG43" s="595"/>
      <c r="GUH43" s="595"/>
      <c r="GUI43" s="595"/>
      <c r="GUJ43" s="595"/>
      <c r="GUK43" s="595"/>
      <c r="GUL43" s="595"/>
      <c r="GUM43" s="595"/>
      <c r="GUN43" s="595"/>
      <c r="GUO43" s="595"/>
      <c r="GUP43" s="595"/>
      <c r="GUQ43" s="595"/>
      <c r="GUR43" s="595"/>
      <c r="GUS43" s="595"/>
      <c r="GUT43" s="595"/>
      <c r="GUU43" s="595"/>
      <c r="GUV43" s="595"/>
      <c r="GUW43" s="595"/>
      <c r="GUX43" s="595"/>
      <c r="GUY43" s="595"/>
      <c r="GUZ43" s="595"/>
      <c r="GVA43" s="595"/>
      <c r="GVB43" s="595"/>
      <c r="GVC43" s="595"/>
      <c r="GVD43" s="595"/>
      <c r="GVE43" s="595"/>
      <c r="GVF43" s="595"/>
      <c r="GVG43" s="595"/>
      <c r="GVH43" s="595"/>
      <c r="GVI43" s="595"/>
      <c r="GVJ43" s="595"/>
      <c r="GVK43" s="595"/>
      <c r="GVL43" s="595"/>
      <c r="GVM43" s="595"/>
      <c r="GVN43" s="595"/>
      <c r="GVO43" s="595"/>
      <c r="GVP43" s="595"/>
      <c r="GVQ43" s="595"/>
      <c r="GVR43" s="595"/>
      <c r="GVS43" s="595"/>
      <c r="GVT43" s="595"/>
      <c r="GVU43" s="595"/>
      <c r="GVV43" s="595"/>
      <c r="GVW43" s="595"/>
      <c r="GVX43" s="595"/>
      <c r="GVY43" s="595"/>
      <c r="GVZ43" s="595"/>
      <c r="GWA43" s="595"/>
      <c r="GWB43" s="595"/>
      <c r="GWC43" s="595"/>
      <c r="GWD43" s="595"/>
      <c r="GWE43" s="595"/>
      <c r="GWF43" s="595"/>
      <c r="GWG43" s="595"/>
      <c r="GWH43" s="595"/>
      <c r="GWI43" s="595"/>
      <c r="GWJ43" s="595"/>
      <c r="GWK43" s="595"/>
      <c r="GWL43" s="595"/>
      <c r="GWM43" s="595"/>
      <c r="GWN43" s="595"/>
      <c r="GWO43" s="595"/>
      <c r="GWP43" s="595"/>
      <c r="GWQ43" s="595"/>
      <c r="GWR43" s="595"/>
      <c r="GWS43" s="595"/>
      <c r="GWT43" s="595"/>
      <c r="GWU43" s="595"/>
      <c r="GWV43" s="595"/>
      <c r="GWW43" s="595"/>
      <c r="GWX43" s="595"/>
      <c r="GWY43" s="595"/>
      <c r="GWZ43" s="595"/>
      <c r="GXA43" s="595"/>
      <c r="GXB43" s="595"/>
      <c r="GXC43" s="595"/>
      <c r="GXD43" s="595"/>
      <c r="GXE43" s="595"/>
      <c r="GXF43" s="595"/>
      <c r="GXG43" s="595"/>
      <c r="GXH43" s="595"/>
      <c r="GXI43" s="595"/>
      <c r="GXJ43" s="595"/>
      <c r="GXK43" s="595"/>
      <c r="GXL43" s="595"/>
      <c r="GXM43" s="595"/>
      <c r="GXN43" s="595"/>
      <c r="GXO43" s="595"/>
      <c r="GXP43" s="595"/>
      <c r="GXQ43" s="595"/>
      <c r="GXR43" s="595"/>
      <c r="GXS43" s="595"/>
      <c r="GXT43" s="595"/>
      <c r="GXU43" s="595"/>
      <c r="GXV43" s="595"/>
      <c r="GXW43" s="595"/>
      <c r="GXX43" s="595"/>
      <c r="GXY43" s="595"/>
      <c r="GXZ43" s="595"/>
      <c r="GYA43" s="595"/>
      <c r="GYB43" s="595"/>
      <c r="GYC43" s="595"/>
      <c r="GYD43" s="595"/>
      <c r="GYE43" s="595"/>
      <c r="GYF43" s="595"/>
      <c r="GYG43" s="595"/>
      <c r="GYH43" s="595"/>
      <c r="GYI43" s="595"/>
      <c r="GYJ43" s="595"/>
      <c r="GYK43" s="595"/>
      <c r="GYL43" s="595"/>
      <c r="GYM43" s="595"/>
      <c r="GYN43" s="595"/>
      <c r="GYO43" s="595"/>
      <c r="GYP43" s="595"/>
      <c r="GYQ43" s="595"/>
      <c r="GYR43" s="595"/>
      <c r="GYS43" s="595"/>
      <c r="GYT43" s="595"/>
      <c r="GYU43" s="595"/>
      <c r="GYV43" s="595"/>
      <c r="GYW43" s="595"/>
      <c r="GYX43" s="595"/>
      <c r="GYY43" s="595"/>
      <c r="GYZ43" s="595"/>
      <c r="GZA43" s="595"/>
      <c r="GZB43" s="595"/>
      <c r="GZC43" s="595"/>
      <c r="GZD43" s="595"/>
      <c r="GZE43" s="595"/>
      <c r="GZF43" s="595"/>
      <c r="GZG43" s="595"/>
      <c r="GZH43" s="595"/>
      <c r="GZI43" s="595"/>
      <c r="GZJ43" s="595"/>
      <c r="GZK43" s="595"/>
      <c r="GZL43" s="595"/>
      <c r="GZM43" s="595"/>
      <c r="GZN43" s="595"/>
      <c r="GZO43" s="595"/>
      <c r="GZP43" s="595"/>
      <c r="GZQ43" s="595"/>
      <c r="GZR43" s="595"/>
      <c r="GZS43" s="595"/>
      <c r="GZT43" s="595"/>
      <c r="GZU43" s="595"/>
      <c r="GZV43" s="595"/>
      <c r="GZW43" s="595"/>
      <c r="GZX43" s="595"/>
      <c r="GZY43" s="595"/>
      <c r="GZZ43" s="595"/>
      <c r="HAA43" s="595"/>
      <c r="HAB43" s="595"/>
      <c r="HAC43" s="595"/>
      <c r="HAD43" s="595"/>
      <c r="HAE43" s="595"/>
      <c r="HAF43" s="595"/>
      <c r="HAG43" s="595"/>
      <c r="HAH43" s="595"/>
      <c r="HAI43" s="595"/>
      <c r="HAJ43" s="595"/>
      <c r="HAK43" s="595"/>
      <c r="HAL43" s="595"/>
      <c r="HAM43" s="595"/>
      <c r="HAN43" s="595"/>
      <c r="HAO43" s="595"/>
      <c r="HAP43" s="595"/>
      <c r="HAQ43" s="595"/>
      <c r="HAR43" s="595"/>
      <c r="HAS43" s="595"/>
      <c r="HAT43" s="595"/>
      <c r="HAU43" s="595"/>
      <c r="HAV43" s="595"/>
      <c r="HAW43" s="595"/>
      <c r="HAX43" s="595"/>
      <c r="HAY43" s="595"/>
      <c r="HAZ43" s="595"/>
      <c r="HBA43" s="595"/>
      <c r="HBB43" s="595"/>
      <c r="HBC43" s="595"/>
      <c r="HBD43" s="595"/>
      <c r="HBE43" s="595"/>
      <c r="HBF43" s="595"/>
      <c r="HBG43" s="595"/>
      <c r="HBH43" s="595"/>
      <c r="HBI43" s="595"/>
      <c r="HBJ43" s="595"/>
      <c r="HBK43" s="595"/>
      <c r="HBL43" s="595"/>
      <c r="HBM43" s="595"/>
      <c r="HBN43" s="595"/>
      <c r="HBO43" s="595"/>
      <c r="HBP43" s="595"/>
      <c r="HBQ43" s="595"/>
      <c r="HBR43" s="595"/>
      <c r="HBS43" s="595"/>
      <c r="HBT43" s="595"/>
      <c r="HBU43" s="595"/>
      <c r="HBV43" s="595"/>
      <c r="HBW43" s="595"/>
      <c r="HBX43" s="595"/>
      <c r="HBY43" s="595"/>
      <c r="HBZ43" s="595"/>
      <c r="HCA43" s="595"/>
      <c r="HCB43" s="595"/>
      <c r="HCC43" s="595"/>
      <c r="HCD43" s="595"/>
      <c r="HCE43" s="595"/>
      <c r="HCF43" s="595"/>
      <c r="HCG43" s="595"/>
      <c r="HCH43" s="595"/>
      <c r="HCI43" s="595"/>
      <c r="HCJ43" s="595"/>
      <c r="HCK43" s="595"/>
      <c r="HCL43" s="595"/>
      <c r="HCM43" s="595"/>
      <c r="HCN43" s="595"/>
      <c r="HCO43" s="595"/>
      <c r="HCP43" s="595"/>
      <c r="HCQ43" s="595"/>
      <c r="HCR43" s="595"/>
      <c r="HCS43" s="595"/>
      <c r="HCT43" s="595"/>
      <c r="HCU43" s="595"/>
      <c r="HCV43" s="595"/>
      <c r="HCW43" s="595"/>
      <c r="HCX43" s="595"/>
      <c r="HCY43" s="595"/>
      <c r="HCZ43" s="595"/>
      <c r="HDA43" s="595"/>
      <c r="HDB43" s="595"/>
      <c r="HDC43" s="595"/>
      <c r="HDD43" s="595"/>
      <c r="HDE43" s="595"/>
      <c r="HDF43" s="595"/>
      <c r="HDG43" s="595"/>
      <c r="HDH43" s="595"/>
      <c r="HDI43" s="595"/>
      <c r="HDJ43" s="595"/>
      <c r="HDK43" s="595"/>
      <c r="HDL43" s="595"/>
      <c r="HDM43" s="595"/>
      <c r="HDN43" s="595"/>
      <c r="HDO43" s="595"/>
      <c r="HDP43" s="595"/>
      <c r="HDQ43" s="595"/>
      <c r="HDR43" s="595"/>
      <c r="HDS43" s="595"/>
      <c r="HDT43" s="595"/>
      <c r="HDU43" s="595"/>
      <c r="HDV43" s="595"/>
      <c r="HDW43" s="595"/>
      <c r="HDX43" s="595"/>
      <c r="HDY43" s="595"/>
      <c r="HDZ43" s="595"/>
      <c r="HEA43" s="595"/>
      <c r="HEB43" s="595"/>
      <c r="HEC43" s="595"/>
      <c r="HED43" s="595"/>
      <c r="HEE43" s="595"/>
      <c r="HEF43" s="595"/>
      <c r="HEG43" s="595"/>
      <c r="HEH43" s="595"/>
      <c r="HEI43" s="595"/>
      <c r="HEJ43" s="595"/>
      <c r="HEK43" s="595"/>
      <c r="HEL43" s="595"/>
      <c r="HEM43" s="595"/>
      <c r="HEN43" s="595"/>
      <c r="HEO43" s="595"/>
      <c r="HEP43" s="595"/>
      <c r="HEQ43" s="595"/>
      <c r="HER43" s="595"/>
      <c r="HES43" s="595"/>
      <c r="HET43" s="595"/>
      <c r="HEU43" s="595"/>
      <c r="HEV43" s="595"/>
      <c r="HEW43" s="595"/>
      <c r="HEX43" s="595"/>
      <c r="HEY43" s="595"/>
      <c r="HEZ43" s="595"/>
      <c r="HFA43" s="595"/>
      <c r="HFB43" s="595"/>
      <c r="HFC43" s="595"/>
      <c r="HFD43" s="595"/>
      <c r="HFE43" s="595"/>
      <c r="HFF43" s="595"/>
      <c r="HFG43" s="595"/>
      <c r="HFH43" s="595"/>
      <c r="HFI43" s="595"/>
      <c r="HFJ43" s="595"/>
      <c r="HFK43" s="595"/>
      <c r="HFL43" s="595"/>
      <c r="HFM43" s="595"/>
      <c r="HFN43" s="595"/>
      <c r="HFO43" s="595"/>
      <c r="HFP43" s="595"/>
      <c r="HFQ43" s="595"/>
      <c r="HFR43" s="595"/>
      <c r="HFS43" s="595"/>
      <c r="HFT43" s="595"/>
      <c r="HFU43" s="595"/>
      <c r="HFV43" s="595"/>
      <c r="HFW43" s="595"/>
      <c r="HFX43" s="595"/>
      <c r="HFY43" s="595"/>
      <c r="HFZ43" s="595"/>
      <c r="HGA43" s="595"/>
      <c r="HGB43" s="595"/>
      <c r="HGC43" s="595"/>
      <c r="HGD43" s="595"/>
      <c r="HGE43" s="595"/>
      <c r="HGF43" s="595"/>
      <c r="HGG43" s="595"/>
      <c r="HGH43" s="595"/>
      <c r="HGI43" s="595"/>
      <c r="HGJ43" s="595"/>
      <c r="HGK43" s="595"/>
      <c r="HGL43" s="595"/>
      <c r="HGM43" s="595"/>
      <c r="HGN43" s="595"/>
      <c r="HGO43" s="595"/>
      <c r="HGP43" s="595"/>
      <c r="HGQ43" s="595"/>
      <c r="HGR43" s="595"/>
      <c r="HGS43" s="595"/>
      <c r="HGT43" s="595"/>
      <c r="HGU43" s="595"/>
      <c r="HGV43" s="595"/>
      <c r="HGW43" s="595"/>
      <c r="HGX43" s="595"/>
      <c r="HGY43" s="595"/>
      <c r="HGZ43" s="595"/>
      <c r="HHA43" s="595"/>
      <c r="HHB43" s="595"/>
      <c r="HHC43" s="595"/>
      <c r="HHD43" s="595"/>
      <c r="HHE43" s="595"/>
      <c r="HHF43" s="595"/>
      <c r="HHG43" s="595"/>
      <c r="HHH43" s="595"/>
      <c r="HHI43" s="595"/>
      <c r="HHJ43" s="595"/>
      <c r="HHK43" s="595"/>
      <c r="HHL43" s="595"/>
      <c r="HHM43" s="595"/>
      <c r="HHN43" s="595"/>
      <c r="HHO43" s="595"/>
      <c r="HHP43" s="595"/>
      <c r="HHQ43" s="595"/>
      <c r="HHR43" s="595"/>
      <c r="HHS43" s="595"/>
      <c r="HHT43" s="595"/>
      <c r="HHU43" s="595"/>
      <c r="HHV43" s="595"/>
      <c r="HHW43" s="595"/>
      <c r="HHX43" s="595"/>
      <c r="HHY43" s="595"/>
      <c r="HHZ43" s="595"/>
      <c r="HIA43" s="595"/>
      <c r="HIB43" s="595"/>
      <c r="HIC43" s="595"/>
      <c r="HID43" s="595"/>
      <c r="HIE43" s="595"/>
      <c r="HIF43" s="595"/>
      <c r="HIG43" s="595"/>
      <c r="HIH43" s="595"/>
      <c r="HII43" s="595"/>
      <c r="HIJ43" s="595"/>
      <c r="HIK43" s="595"/>
      <c r="HIL43" s="595"/>
      <c r="HIM43" s="595"/>
      <c r="HIN43" s="595"/>
      <c r="HIO43" s="595"/>
      <c r="HIP43" s="595"/>
      <c r="HIQ43" s="595"/>
      <c r="HIR43" s="595"/>
      <c r="HIS43" s="595"/>
      <c r="HIT43" s="595"/>
      <c r="HIU43" s="595"/>
      <c r="HIV43" s="595"/>
      <c r="HIW43" s="595"/>
      <c r="HIX43" s="595"/>
      <c r="HIY43" s="595"/>
      <c r="HIZ43" s="595"/>
      <c r="HJA43" s="595"/>
      <c r="HJB43" s="595"/>
      <c r="HJC43" s="595"/>
      <c r="HJD43" s="595"/>
      <c r="HJE43" s="595"/>
      <c r="HJF43" s="595"/>
      <c r="HJG43" s="595"/>
      <c r="HJH43" s="595"/>
      <c r="HJI43" s="595"/>
      <c r="HJJ43" s="595"/>
      <c r="HJK43" s="595"/>
      <c r="HJL43" s="595"/>
      <c r="HJM43" s="595"/>
      <c r="HJN43" s="595"/>
      <c r="HJO43" s="595"/>
      <c r="HJP43" s="595"/>
      <c r="HJQ43" s="595"/>
      <c r="HJR43" s="595"/>
      <c r="HJS43" s="595"/>
      <c r="HJT43" s="595"/>
      <c r="HJU43" s="595"/>
      <c r="HJV43" s="595"/>
      <c r="HJW43" s="595"/>
      <c r="HJX43" s="595"/>
      <c r="HJY43" s="595"/>
      <c r="HJZ43" s="595"/>
      <c r="HKA43" s="595"/>
      <c r="HKB43" s="595"/>
      <c r="HKC43" s="595"/>
      <c r="HKD43" s="595"/>
      <c r="HKE43" s="595"/>
      <c r="HKF43" s="595"/>
      <c r="HKG43" s="595"/>
      <c r="HKH43" s="595"/>
      <c r="HKI43" s="595"/>
      <c r="HKJ43" s="595"/>
      <c r="HKK43" s="595"/>
      <c r="HKL43" s="595"/>
      <c r="HKM43" s="595"/>
      <c r="HKN43" s="595"/>
      <c r="HKO43" s="595"/>
      <c r="HKP43" s="595"/>
      <c r="HKQ43" s="595"/>
      <c r="HKR43" s="595"/>
      <c r="HKS43" s="595"/>
      <c r="HKT43" s="595"/>
      <c r="HKU43" s="595"/>
      <c r="HKV43" s="595"/>
      <c r="HKW43" s="595"/>
      <c r="HKX43" s="595"/>
      <c r="HKY43" s="595"/>
      <c r="HKZ43" s="595"/>
      <c r="HLA43" s="595"/>
      <c r="HLB43" s="595"/>
      <c r="HLC43" s="595"/>
      <c r="HLD43" s="595"/>
      <c r="HLE43" s="595"/>
      <c r="HLF43" s="595"/>
      <c r="HLG43" s="595"/>
      <c r="HLH43" s="595"/>
      <c r="HLI43" s="595"/>
      <c r="HLJ43" s="595"/>
      <c r="HLK43" s="595"/>
      <c r="HLL43" s="595"/>
      <c r="HLM43" s="595"/>
      <c r="HLN43" s="595"/>
      <c r="HLO43" s="595"/>
      <c r="HLP43" s="595"/>
      <c r="HLQ43" s="595"/>
      <c r="HLR43" s="595"/>
      <c r="HLS43" s="595"/>
      <c r="HLT43" s="595"/>
      <c r="HLU43" s="595"/>
      <c r="HLV43" s="595"/>
      <c r="HLW43" s="595"/>
      <c r="HLX43" s="595"/>
      <c r="HLY43" s="595"/>
      <c r="HLZ43" s="595"/>
      <c r="HMA43" s="595"/>
      <c r="HMB43" s="595"/>
      <c r="HMC43" s="595"/>
      <c r="HMD43" s="595"/>
      <c r="HME43" s="595"/>
      <c r="HMF43" s="595"/>
      <c r="HMG43" s="595"/>
      <c r="HMH43" s="595"/>
      <c r="HMI43" s="595"/>
      <c r="HMJ43" s="595"/>
      <c r="HMK43" s="595"/>
      <c r="HML43" s="595"/>
      <c r="HMM43" s="595"/>
      <c r="HMN43" s="595"/>
      <c r="HMO43" s="595"/>
      <c r="HMP43" s="595"/>
      <c r="HMQ43" s="595"/>
      <c r="HMR43" s="595"/>
      <c r="HMS43" s="595"/>
      <c r="HMT43" s="595"/>
      <c r="HMU43" s="595"/>
      <c r="HMV43" s="595"/>
      <c r="HMW43" s="595"/>
      <c r="HMX43" s="595"/>
      <c r="HMY43" s="595"/>
      <c r="HMZ43" s="595"/>
      <c r="HNA43" s="595"/>
      <c r="HNB43" s="595"/>
      <c r="HNC43" s="595"/>
      <c r="HND43" s="595"/>
      <c r="HNE43" s="595"/>
      <c r="HNF43" s="595"/>
      <c r="HNG43" s="595"/>
      <c r="HNH43" s="595"/>
      <c r="HNI43" s="595"/>
      <c r="HNJ43" s="595"/>
      <c r="HNK43" s="595"/>
      <c r="HNL43" s="595"/>
      <c r="HNM43" s="595"/>
      <c r="HNN43" s="595"/>
      <c r="HNO43" s="595"/>
      <c r="HNP43" s="595"/>
      <c r="HNQ43" s="595"/>
      <c r="HNR43" s="595"/>
      <c r="HNS43" s="595"/>
      <c r="HNT43" s="595"/>
      <c r="HNU43" s="595"/>
      <c r="HNV43" s="595"/>
      <c r="HNW43" s="595"/>
      <c r="HNX43" s="595"/>
      <c r="HNY43" s="595"/>
      <c r="HNZ43" s="595"/>
      <c r="HOA43" s="595"/>
      <c r="HOB43" s="595"/>
      <c r="HOC43" s="595"/>
      <c r="HOD43" s="595"/>
      <c r="HOE43" s="595"/>
      <c r="HOF43" s="595"/>
      <c r="HOG43" s="595"/>
      <c r="HOH43" s="595"/>
      <c r="HOI43" s="595"/>
      <c r="HOJ43" s="595"/>
      <c r="HOK43" s="595"/>
      <c r="HOL43" s="595"/>
      <c r="HOM43" s="595"/>
      <c r="HON43" s="595"/>
      <c r="HOO43" s="595"/>
      <c r="HOP43" s="595"/>
      <c r="HOQ43" s="595"/>
      <c r="HOR43" s="595"/>
      <c r="HOS43" s="595"/>
      <c r="HOT43" s="595"/>
      <c r="HOU43" s="595"/>
      <c r="HOV43" s="595"/>
      <c r="HOW43" s="595"/>
      <c r="HOX43" s="595"/>
      <c r="HOY43" s="595"/>
      <c r="HOZ43" s="595"/>
      <c r="HPA43" s="595"/>
      <c r="HPB43" s="595"/>
      <c r="HPC43" s="595"/>
      <c r="HPD43" s="595"/>
      <c r="HPE43" s="595"/>
      <c r="HPF43" s="595"/>
      <c r="HPG43" s="595"/>
      <c r="HPH43" s="595"/>
      <c r="HPI43" s="595"/>
      <c r="HPJ43" s="595"/>
      <c r="HPK43" s="595"/>
      <c r="HPL43" s="595"/>
      <c r="HPM43" s="595"/>
      <c r="HPN43" s="595"/>
      <c r="HPO43" s="595"/>
      <c r="HPP43" s="595"/>
      <c r="HPQ43" s="595"/>
      <c r="HPR43" s="595"/>
      <c r="HPS43" s="595"/>
      <c r="HPT43" s="595"/>
      <c r="HPU43" s="595"/>
      <c r="HPV43" s="595"/>
      <c r="HPW43" s="595"/>
      <c r="HPX43" s="595"/>
      <c r="HPY43" s="595"/>
      <c r="HPZ43" s="595"/>
      <c r="HQA43" s="595"/>
      <c r="HQB43" s="595"/>
      <c r="HQC43" s="595"/>
      <c r="HQD43" s="595"/>
      <c r="HQE43" s="595"/>
      <c r="HQF43" s="595"/>
      <c r="HQG43" s="595"/>
      <c r="HQH43" s="595"/>
      <c r="HQI43" s="595"/>
      <c r="HQJ43" s="595"/>
      <c r="HQK43" s="595"/>
      <c r="HQL43" s="595"/>
      <c r="HQM43" s="595"/>
      <c r="HQN43" s="595"/>
      <c r="HQO43" s="595"/>
      <c r="HQP43" s="595"/>
      <c r="HQQ43" s="595"/>
      <c r="HQR43" s="595"/>
      <c r="HQS43" s="595"/>
      <c r="HQT43" s="595"/>
      <c r="HQU43" s="595"/>
      <c r="HQV43" s="595"/>
      <c r="HQW43" s="595"/>
      <c r="HQX43" s="595"/>
      <c r="HQY43" s="595"/>
      <c r="HQZ43" s="595"/>
      <c r="HRA43" s="595"/>
      <c r="HRB43" s="595"/>
      <c r="HRC43" s="595"/>
      <c r="HRD43" s="595"/>
      <c r="HRE43" s="595"/>
      <c r="HRF43" s="595"/>
      <c r="HRG43" s="595"/>
      <c r="HRH43" s="595"/>
      <c r="HRI43" s="595"/>
      <c r="HRJ43" s="595"/>
      <c r="HRK43" s="595"/>
      <c r="HRL43" s="595"/>
      <c r="HRM43" s="595"/>
      <c r="HRN43" s="595"/>
      <c r="HRO43" s="595"/>
      <c r="HRP43" s="595"/>
      <c r="HRQ43" s="595"/>
      <c r="HRR43" s="595"/>
      <c r="HRS43" s="595"/>
      <c r="HRT43" s="595"/>
      <c r="HRU43" s="595"/>
      <c r="HRV43" s="595"/>
      <c r="HRW43" s="595"/>
      <c r="HRX43" s="595"/>
      <c r="HRY43" s="595"/>
      <c r="HRZ43" s="595"/>
      <c r="HSA43" s="595"/>
      <c r="HSB43" s="595"/>
      <c r="HSC43" s="595"/>
      <c r="HSD43" s="595"/>
      <c r="HSE43" s="595"/>
      <c r="HSF43" s="595"/>
      <c r="HSG43" s="595"/>
      <c r="HSH43" s="595"/>
      <c r="HSI43" s="595"/>
      <c r="HSJ43" s="595"/>
      <c r="HSK43" s="595"/>
      <c r="HSL43" s="595"/>
      <c r="HSM43" s="595"/>
      <c r="HSN43" s="595"/>
      <c r="HSO43" s="595"/>
      <c r="HSP43" s="595"/>
      <c r="HSQ43" s="595"/>
      <c r="HSR43" s="595"/>
      <c r="HSS43" s="595"/>
      <c r="HST43" s="595"/>
      <c r="HSU43" s="595"/>
      <c r="HSV43" s="595"/>
      <c r="HSW43" s="595"/>
      <c r="HSX43" s="595"/>
      <c r="HSY43" s="595"/>
      <c r="HSZ43" s="595"/>
      <c r="HTA43" s="595"/>
      <c r="HTB43" s="595"/>
      <c r="HTC43" s="595"/>
      <c r="HTD43" s="595"/>
      <c r="HTE43" s="595"/>
      <c r="HTF43" s="595"/>
      <c r="HTG43" s="595"/>
      <c r="HTH43" s="595"/>
      <c r="HTI43" s="595"/>
      <c r="HTJ43" s="595"/>
      <c r="HTK43" s="595"/>
      <c r="HTL43" s="595"/>
      <c r="HTM43" s="595"/>
      <c r="HTN43" s="595"/>
      <c r="HTO43" s="595"/>
      <c r="HTP43" s="595"/>
      <c r="HTQ43" s="595"/>
      <c r="HTR43" s="595"/>
      <c r="HTS43" s="595"/>
      <c r="HTT43" s="595"/>
      <c r="HTU43" s="595"/>
      <c r="HTV43" s="595"/>
      <c r="HTW43" s="595"/>
      <c r="HTX43" s="595"/>
      <c r="HTY43" s="595"/>
      <c r="HTZ43" s="595"/>
      <c r="HUA43" s="595"/>
      <c r="HUB43" s="595"/>
      <c r="HUC43" s="595"/>
      <c r="HUD43" s="595"/>
      <c r="HUE43" s="595"/>
      <c r="HUF43" s="595"/>
      <c r="HUG43" s="595"/>
      <c r="HUH43" s="595"/>
      <c r="HUI43" s="595"/>
      <c r="HUJ43" s="595"/>
      <c r="HUK43" s="595"/>
      <c r="HUL43" s="595"/>
      <c r="HUM43" s="595"/>
      <c r="HUN43" s="595"/>
      <c r="HUO43" s="595"/>
      <c r="HUP43" s="595"/>
      <c r="HUQ43" s="595"/>
      <c r="HUR43" s="595"/>
      <c r="HUS43" s="595"/>
      <c r="HUT43" s="595"/>
      <c r="HUU43" s="595"/>
      <c r="HUV43" s="595"/>
      <c r="HUW43" s="595"/>
      <c r="HUX43" s="595"/>
      <c r="HUY43" s="595"/>
      <c r="HUZ43" s="595"/>
      <c r="HVA43" s="595"/>
      <c r="HVB43" s="595"/>
      <c r="HVC43" s="595"/>
      <c r="HVD43" s="595"/>
      <c r="HVE43" s="595"/>
      <c r="HVF43" s="595"/>
      <c r="HVG43" s="595"/>
      <c r="HVH43" s="595"/>
      <c r="HVI43" s="595"/>
      <c r="HVJ43" s="595"/>
      <c r="HVK43" s="595"/>
      <c r="HVL43" s="595"/>
      <c r="HVM43" s="595"/>
      <c r="HVN43" s="595"/>
      <c r="HVO43" s="595"/>
      <c r="HVP43" s="595"/>
      <c r="HVQ43" s="595"/>
      <c r="HVR43" s="595"/>
      <c r="HVS43" s="595"/>
      <c r="HVT43" s="595"/>
      <c r="HVU43" s="595"/>
      <c r="HVV43" s="595"/>
      <c r="HVW43" s="595"/>
      <c r="HVX43" s="595"/>
      <c r="HVY43" s="595"/>
      <c r="HVZ43" s="595"/>
      <c r="HWA43" s="595"/>
      <c r="HWB43" s="595"/>
      <c r="HWC43" s="595"/>
      <c r="HWD43" s="595"/>
      <c r="HWE43" s="595"/>
      <c r="HWF43" s="595"/>
      <c r="HWG43" s="595"/>
      <c r="HWH43" s="595"/>
      <c r="HWI43" s="595"/>
      <c r="HWJ43" s="595"/>
      <c r="HWK43" s="595"/>
      <c r="HWL43" s="595"/>
      <c r="HWM43" s="595"/>
      <c r="HWN43" s="595"/>
      <c r="HWO43" s="595"/>
      <c r="HWP43" s="595"/>
      <c r="HWQ43" s="595"/>
      <c r="HWR43" s="595"/>
      <c r="HWS43" s="595"/>
      <c r="HWT43" s="595"/>
      <c r="HWU43" s="595"/>
      <c r="HWV43" s="595"/>
      <c r="HWW43" s="595"/>
      <c r="HWX43" s="595"/>
      <c r="HWY43" s="595"/>
      <c r="HWZ43" s="595"/>
      <c r="HXA43" s="595"/>
      <c r="HXB43" s="595"/>
      <c r="HXC43" s="595"/>
      <c r="HXD43" s="595"/>
      <c r="HXE43" s="595"/>
      <c r="HXF43" s="595"/>
      <c r="HXG43" s="595"/>
      <c r="HXH43" s="595"/>
      <c r="HXI43" s="595"/>
      <c r="HXJ43" s="595"/>
      <c r="HXK43" s="595"/>
      <c r="HXL43" s="595"/>
      <c r="HXM43" s="595"/>
      <c r="HXN43" s="595"/>
      <c r="HXO43" s="595"/>
      <c r="HXP43" s="595"/>
      <c r="HXQ43" s="595"/>
      <c r="HXR43" s="595"/>
      <c r="HXS43" s="595"/>
      <c r="HXT43" s="595"/>
      <c r="HXU43" s="595"/>
      <c r="HXV43" s="595"/>
      <c r="HXW43" s="595"/>
      <c r="HXX43" s="595"/>
      <c r="HXY43" s="595"/>
      <c r="HXZ43" s="595"/>
      <c r="HYA43" s="595"/>
      <c r="HYB43" s="595"/>
      <c r="HYC43" s="595"/>
      <c r="HYD43" s="595"/>
      <c r="HYE43" s="595"/>
      <c r="HYF43" s="595"/>
      <c r="HYG43" s="595"/>
      <c r="HYH43" s="595"/>
      <c r="HYI43" s="595"/>
      <c r="HYJ43" s="595"/>
      <c r="HYK43" s="595"/>
      <c r="HYL43" s="595"/>
      <c r="HYM43" s="595"/>
      <c r="HYN43" s="595"/>
      <c r="HYO43" s="595"/>
      <c r="HYP43" s="595"/>
      <c r="HYQ43" s="595"/>
      <c r="HYR43" s="595"/>
      <c r="HYS43" s="595"/>
      <c r="HYT43" s="595"/>
      <c r="HYU43" s="595"/>
      <c r="HYV43" s="595"/>
      <c r="HYW43" s="595"/>
      <c r="HYX43" s="595"/>
      <c r="HYY43" s="595"/>
      <c r="HYZ43" s="595"/>
      <c r="HZA43" s="595"/>
      <c r="HZB43" s="595"/>
      <c r="HZC43" s="595"/>
      <c r="HZD43" s="595"/>
      <c r="HZE43" s="595"/>
      <c r="HZF43" s="595"/>
      <c r="HZG43" s="595"/>
      <c r="HZH43" s="595"/>
      <c r="HZI43" s="595"/>
      <c r="HZJ43" s="595"/>
      <c r="HZK43" s="595"/>
      <c r="HZL43" s="595"/>
      <c r="HZM43" s="595"/>
      <c r="HZN43" s="595"/>
      <c r="HZO43" s="595"/>
      <c r="HZP43" s="595"/>
      <c r="HZQ43" s="595"/>
      <c r="HZR43" s="595"/>
      <c r="HZS43" s="595"/>
      <c r="HZT43" s="595"/>
      <c r="HZU43" s="595"/>
      <c r="HZV43" s="595"/>
      <c r="HZW43" s="595"/>
      <c r="HZX43" s="595"/>
      <c r="HZY43" s="595"/>
      <c r="HZZ43" s="595"/>
      <c r="IAA43" s="595"/>
      <c r="IAB43" s="595"/>
      <c r="IAC43" s="595"/>
      <c r="IAD43" s="595"/>
      <c r="IAE43" s="595"/>
      <c r="IAF43" s="595"/>
      <c r="IAG43" s="595"/>
      <c r="IAH43" s="595"/>
      <c r="IAI43" s="595"/>
      <c r="IAJ43" s="595"/>
      <c r="IAK43" s="595"/>
      <c r="IAL43" s="595"/>
      <c r="IAM43" s="595"/>
      <c r="IAN43" s="595"/>
      <c r="IAO43" s="595"/>
      <c r="IAP43" s="595"/>
      <c r="IAQ43" s="595"/>
      <c r="IAR43" s="595"/>
      <c r="IAS43" s="595"/>
      <c r="IAT43" s="595"/>
      <c r="IAU43" s="595"/>
      <c r="IAV43" s="595"/>
      <c r="IAW43" s="595"/>
      <c r="IAX43" s="595"/>
      <c r="IAY43" s="595"/>
      <c r="IAZ43" s="595"/>
      <c r="IBA43" s="595"/>
      <c r="IBB43" s="595"/>
      <c r="IBC43" s="595"/>
      <c r="IBD43" s="595"/>
      <c r="IBE43" s="595"/>
      <c r="IBF43" s="595"/>
      <c r="IBG43" s="595"/>
      <c r="IBH43" s="595"/>
      <c r="IBI43" s="595"/>
      <c r="IBJ43" s="595"/>
      <c r="IBK43" s="595"/>
      <c r="IBL43" s="595"/>
      <c r="IBM43" s="595"/>
      <c r="IBN43" s="595"/>
      <c r="IBO43" s="595"/>
      <c r="IBP43" s="595"/>
      <c r="IBQ43" s="595"/>
      <c r="IBR43" s="595"/>
      <c r="IBS43" s="595"/>
      <c r="IBT43" s="595"/>
      <c r="IBU43" s="595"/>
      <c r="IBV43" s="595"/>
      <c r="IBW43" s="595"/>
      <c r="IBX43" s="595"/>
      <c r="IBY43" s="595"/>
      <c r="IBZ43" s="595"/>
      <c r="ICA43" s="595"/>
      <c r="ICB43" s="595"/>
      <c r="ICC43" s="595"/>
      <c r="ICD43" s="595"/>
      <c r="ICE43" s="595"/>
      <c r="ICF43" s="595"/>
      <c r="ICG43" s="595"/>
      <c r="ICH43" s="595"/>
      <c r="ICI43" s="595"/>
      <c r="ICJ43" s="595"/>
      <c r="ICK43" s="595"/>
      <c r="ICL43" s="595"/>
      <c r="ICM43" s="595"/>
      <c r="ICN43" s="595"/>
      <c r="ICO43" s="595"/>
      <c r="ICP43" s="595"/>
      <c r="ICQ43" s="595"/>
      <c r="ICR43" s="595"/>
      <c r="ICS43" s="595"/>
      <c r="ICT43" s="595"/>
      <c r="ICU43" s="595"/>
      <c r="ICV43" s="595"/>
      <c r="ICW43" s="595"/>
      <c r="ICX43" s="595"/>
      <c r="ICY43" s="595"/>
      <c r="ICZ43" s="595"/>
      <c r="IDA43" s="595"/>
      <c r="IDB43" s="595"/>
      <c r="IDC43" s="595"/>
      <c r="IDD43" s="595"/>
      <c r="IDE43" s="595"/>
      <c r="IDF43" s="595"/>
      <c r="IDG43" s="595"/>
      <c r="IDH43" s="595"/>
      <c r="IDI43" s="595"/>
      <c r="IDJ43" s="595"/>
      <c r="IDK43" s="595"/>
      <c r="IDL43" s="595"/>
      <c r="IDM43" s="595"/>
      <c r="IDN43" s="595"/>
      <c r="IDO43" s="595"/>
      <c r="IDP43" s="595"/>
      <c r="IDQ43" s="595"/>
      <c r="IDR43" s="595"/>
      <c r="IDS43" s="595"/>
      <c r="IDT43" s="595"/>
      <c r="IDU43" s="595"/>
      <c r="IDV43" s="595"/>
      <c r="IDW43" s="595"/>
      <c r="IDX43" s="595"/>
      <c r="IDY43" s="595"/>
      <c r="IDZ43" s="595"/>
      <c r="IEA43" s="595"/>
      <c r="IEB43" s="595"/>
      <c r="IEC43" s="595"/>
      <c r="IED43" s="595"/>
      <c r="IEE43" s="595"/>
      <c r="IEF43" s="595"/>
      <c r="IEG43" s="595"/>
      <c r="IEH43" s="595"/>
      <c r="IEI43" s="595"/>
      <c r="IEJ43" s="595"/>
      <c r="IEK43" s="595"/>
      <c r="IEL43" s="595"/>
      <c r="IEM43" s="595"/>
      <c r="IEN43" s="595"/>
      <c r="IEO43" s="595"/>
      <c r="IEP43" s="595"/>
      <c r="IEQ43" s="595"/>
      <c r="IER43" s="595"/>
      <c r="IES43" s="595"/>
      <c r="IET43" s="595"/>
      <c r="IEU43" s="595"/>
      <c r="IEV43" s="595"/>
      <c r="IEW43" s="595"/>
      <c r="IEX43" s="595"/>
      <c r="IEY43" s="595"/>
      <c r="IEZ43" s="595"/>
      <c r="IFA43" s="595"/>
      <c r="IFB43" s="595"/>
      <c r="IFC43" s="595"/>
      <c r="IFD43" s="595"/>
      <c r="IFE43" s="595"/>
      <c r="IFF43" s="595"/>
      <c r="IFG43" s="595"/>
      <c r="IFH43" s="595"/>
      <c r="IFI43" s="595"/>
      <c r="IFJ43" s="595"/>
      <c r="IFK43" s="595"/>
      <c r="IFL43" s="595"/>
      <c r="IFM43" s="595"/>
      <c r="IFN43" s="595"/>
      <c r="IFO43" s="595"/>
      <c r="IFP43" s="595"/>
      <c r="IFQ43" s="595"/>
      <c r="IFR43" s="595"/>
      <c r="IFS43" s="595"/>
      <c r="IFT43" s="595"/>
      <c r="IFU43" s="595"/>
      <c r="IFV43" s="595"/>
      <c r="IFW43" s="595"/>
      <c r="IFX43" s="595"/>
      <c r="IFY43" s="595"/>
      <c r="IFZ43" s="595"/>
      <c r="IGA43" s="595"/>
      <c r="IGB43" s="595"/>
      <c r="IGC43" s="595"/>
      <c r="IGD43" s="595"/>
      <c r="IGE43" s="595"/>
      <c r="IGF43" s="595"/>
      <c r="IGG43" s="595"/>
      <c r="IGH43" s="595"/>
      <c r="IGI43" s="595"/>
      <c r="IGJ43" s="595"/>
      <c r="IGK43" s="595"/>
      <c r="IGL43" s="595"/>
      <c r="IGM43" s="595"/>
      <c r="IGN43" s="595"/>
      <c r="IGO43" s="595"/>
      <c r="IGP43" s="595"/>
      <c r="IGQ43" s="595"/>
      <c r="IGR43" s="595"/>
      <c r="IGS43" s="595"/>
      <c r="IGT43" s="595"/>
      <c r="IGU43" s="595"/>
      <c r="IGV43" s="595"/>
      <c r="IGW43" s="595"/>
      <c r="IGX43" s="595"/>
      <c r="IGY43" s="595"/>
      <c r="IGZ43" s="595"/>
      <c r="IHA43" s="595"/>
      <c r="IHB43" s="595"/>
      <c r="IHC43" s="595"/>
      <c r="IHD43" s="595"/>
      <c r="IHE43" s="595"/>
      <c r="IHF43" s="595"/>
      <c r="IHG43" s="595"/>
      <c r="IHH43" s="595"/>
      <c r="IHI43" s="595"/>
      <c r="IHJ43" s="595"/>
      <c r="IHK43" s="595"/>
      <c r="IHL43" s="595"/>
      <c r="IHM43" s="595"/>
      <c r="IHN43" s="595"/>
      <c r="IHO43" s="595"/>
      <c r="IHP43" s="595"/>
      <c r="IHQ43" s="595"/>
      <c r="IHR43" s="595"/>
      <c r="IHS43" s="595"/>
      <c r="IHT43" s="595"/>
      <c r="IHU43" s="595"/>
      <c r="IHV43" s="595"/>
      <c r="IHW43" s="595"/>
      <c r="IHX43" s="595"/>
      <c r="IHY43" s="595"/>
      <c r="IHZ43" s="595"/>
      <c r="IIA43" s="595"/>
      <c r="IIB43" s="595"/>
      <c r="IIC43" s="595"/>
      <c r="IID43" s="595"/>
      <c r="IIE43" s="595"/>
      <c r="IIF43" s="595"/>
      <c r="IIG43" s="595"/>
      <c r="IIH43" s="595"/>
      <c r="III43" s="595"/>
      <c r="IIJ43" s="595"/>
      <c r="IIK43" s="595"/>
      <c r="IIL43" s="595"/>
      <c r="IIM43" s="595"/>
      <c r="IIN43" s="595"/>
      <c r="IIO43" s="595"/>
      <c r="IIP43" s="595"/>
      <c r="IIQ43" s="595"/>
      <c r="IIR43" s="595"/>
      <c r="IIS43" s="595"/>
      <c r="IIT43" s="595"/>
      <c r="IIU43" s="595"/>
      <c r="IIV43" s="595"/>
      <c r="IIW43" s="595"/>
      <c r="IIX43" s="595"/>
      <c r="IIY43" s="595"/>
      <c r="IIZ43" s="595"/>
      <c r="IJA43" s="595"/>
      <c r="IJB43" s="595"/>
      <c r="IJC43" s="595"/>
      <c r="IJD43" s="595"/>
      <c r="IJE43" s="595"/>
      <c r="IJF43" s="595"/>
      <c r="IJG43" s="595"/>
      <c r="IJH43" s="595"/>
      <c r="IJI43" s="595"/>
      <c r="IJJ43" s="595"/>
      <c r="IJK43" s="595"/>
      <c r="IJL43" s="595"/>
      <c r="IJM43" s="595"/>
      <c r="IJN43" s="595"/>
      <c r="IJO43" s="595"/>
      <c r="IJP43" s="595"/>
      <c r="IJQ43" s="595"/>
      <c r="IJR43" s="595"/>
      <c r="IJS43" s="595"/>
      <c r="IJT43" s="595"/>
      <c r="IJU43" s="595"/>
      <c r="IJV43" s="595"/>
      <c r="IJW43" s="595"/>
      <c r="IJX43" s="595"/>
      <c r="IJY43" s="595"/>
      <c r="IJZ43" s="595"/>
      <c r="IKA43" s="595"/>
      <c r="IKB43" s="595"/>
      <c r="IKC43" s="595"/>
      <c r="IKD43" s="595"/>
      <c r="IKE43" s="595"/>
      <c r="IKF43" s="595"/>
      <c r="IKG43" s="595"/>
      <c r="IKH43" s="595"/>
      <c r="IKI43" s="595"/>
      <c r="IKJ43" s="595"/>
      <c r="IKK43" s="595"/>
      <c r="IKL43" s="595"/>
      <c r="IKM43" s="595"/>
      <c r="IKN43" s="595"/>
      <c r="IKO43" s="595"/>
      <c r="IKP43" s="595"/>
      <c r="IKQ43" s="595"/>
      <c r="IKR43" s="595"/>
      <c r="IKS43" s="595"/>
      <c r="IKT43" s="595"/>
      <c r="IKU43" s="595"/>
      <c r="IKV43" s="595"/>
      <c r="IKW43" s="595"/>
      <c r="IKX43" s="595"/>
      <c r="IKY43" s="595"/>
      <c r="IKZ43" s="595"/>
      <c r="ILA43" s="595"/>
      <c r="ILB43" s="595"/>
      <c r="ILC43" s="595"/>
      <c r="ILD43" s="595"/>
      <c r="ILE43" s="595"/>
      <c r="ILF43" s="595"/>
      <c r="ILG43" s="595"/>
      <c r="ILH43" s="595"/>
      <c r="ILI43" s="595"/>
      <c r="ILJ43" s="595"/>
      <c r="ILK43" s="595"/>
      <c r="ILL43" s="595"/>
      <c r="ILM43" s="595"/>
      <c r="ILN43" s="595"/>
      <c r="ILO43" s="595"/>
      <c r="ILP43" s="595"/>
      <c r="ILQ43" s="595"/>
      <c r="ILR43" s="595"/>
      <c r="ILS43" s="595"/>
      <c r="ILT43" s="595"/>
      <c r="ILU43" s="595"/>
      <c r="ILV43" s="595"/>
      <c r="ILW43" s="595"/>
      <c r="ILX43" s="595"/>
      <c r="ILY43" s="595"/>
      <c r="ILZ43" s="595"/>
      <c r="IMA43" s="595"/>
      <c r="IMB43" s="595"/>
      <c r="IMC43" s="595"/>
      <c r="IMD43" s="595"/>
      <c r="IME43" s="595"/>
      <c r="IMF43" s="595"/>
      <c r="IMG43" s="595"/>
      <c r="IMH43" s="595"/>
      <c r="IMI43" s="595"/>
      <c r="IMJ43" s="595"/>
      <c r="IMK43" s="595"/>
      <c r="IML43" s="595"/>
      <c r="IMM43" s="595"/>
      <c r="IMN43" s="595"/>
      <c r="IMO43" s="595"/>
      <c r="IMP43" s="595"/>
      <c r="IMQ43" s="595"/>
      <c r="IMR43" s="595"/>
      <c r="IMS43" s="595"/>
      <c r="IMT43" s="595"/>
      <c r="IMU43" s="595"/>
      <c r="IMV43" s="595"/>
      <c r="IMW43" s="595"/>
      <c r="IMX43" s="595"/>
      <c r="IMY43" s="595"/>
      <c r="IMZ43" s="595"/>
      <c r="INA43" s="595"/>
      <c r="INB43" s="595"/>
      <c r="INC43" s="595"/>
      <c r="IND43" s="595"/>
      <c r="INE43" s="595"/>
      <c r="INF43" s="595"/>
      <c r="ING43" s="595"/>
      <c r="INH43" s="595"/>
      <c r="INI43" s="595"/>
      <c r="INJ43" s="595"/>
      <c r="INK43" s="595"/>
      <c r="INL43" s="595"/>
      <c r="INM43" s="595"/>
      <c r="INN43" s="595"/>
      <c r="INO43" s="595"/>
      <c r="INP43" s="595"/>
      <c r="INQ43" s="595"/>
      <c r="INR43" s="595"/>
      <c r="INS43" s="595"/>
      <c r="INT43" s="595"/>
      <c r="INU43" s="595"/>
      <c r="INV43" s="595"/>
      <c r="INW43" s="595"/>
      <c r="INX43" s="595"/>
      <c r="INY43" s="595"/>
      <c r="INZ43" s="595"/>
      <c r="IOA43" s="595"/>
      <c r="IOB43" s="595"/>
      <c r="IOC43" s="595"/>
      <c r="IOD43" s="595"/>
      <c r="IOE43" s="595"/>
      <c r="IOF43" s="595"/>
      <c r="IOG43" s="595"/>
      <c r="IOH43" s="595"/>
      <c r="IOI43" s="595"/>
      <c r="IOJ43" s="595"/>
      <c r="IOK43" s="595"/>
      <c r="IOL43" s="595"/>
      <c r="IOM43" s="595"/>
      <c r="ION43" s="595"/>
      <c r="IOO43" s="595"/>
      <c r="IOP43" s="595"/>
      <c r="IOQ43" s="595"/>
      <c r="IOR43" s="595"/>
      <c r="IOS43" s="595"/>
      <c r="IOT43" s="595"/>
      <c r="IOU43" s="595"/>
      <c r="IOV43" s="595"/>
      <c r="IOW43" s="595"/>
      <c r="IOX43" s="595"/>
      <c r="IOY43" s="595"/>
      <c r="IOZ43" s="595"/>
      <c r="IPA43" s="595"/>
      <c r="IPB43" s="595"/>
      <c r="IPC43" s="595"/>
      <c r="IPD43" s="595"/>
      <c r="IPE43" s="595"/>
      <c r="IPF43" s="595"/>
      <c r="IPG43" s="595"/>
      <c r="IPH43" s="595"/>
      <c r="IPI43" s="595"/>
      <c r="IPJ43" s="595"/>
      <c r="IPK43" s="595"/>
      <c r="IPL43" s="595"/>
      <c r="IPM43" s="595"/>
      <c r="IPN43" s="595"/>
      <c r="IPO43" s="595"/>
      <c r="IPP43" s="595"/>
      <c r="IPQ43" s="595"/>
      <c r="IPR43" s="595"/>
      <c r="IPS43" s="595"/>
      <c r="IPT43" s="595"/>
      <c r="IPU43" s="595"/>
      <c r="IPV43" s="595"/>
      <c r="IPW43" s="595"/>
      <c r="IPX43" s="595"/>
      <c r="IPY43" s="595"/>
      <c r="IPZ43" s="595"/>
      <c r="IQA43" s="595"/>
      <c r="IQB43" s="595"/>
      <c r="IQC43" s="595"/>
      <c r="IQD43" s="595"/>
      <c r="IQE43" s="595"/>
      <c r="IQF43" s="595"/>
      <c r="IQG43" s="595"/>
      <c r="IQH43" s="595"/>
      <c r="IQI43" s="595"/>
      <c r="IQJ43" s="595"/>
      <c r="IQK43" s="595"/>
      <c r="IQL43" s="595"/>
      <c r="IQM43" s="595"/>
      <c r="IQN43" s="595"/>
      <c r="IQO43" s="595"/>
      <c r="IQP43" s="595"/>
      <c r="IQQ43" s="595"/>
      <c r="IQR43" s="595"/>
      <c r="IQS43" s="595"/>
      <c r="IQT43" s="595"/>
      <c r="IQU43" s="595"/>
      <c r="IQV43" s="595"/>
      <c r="IQW43" s="595"/>
      <c r="IQX43" s="595"/>
      <c r="IQY43" s="595"/>
      <c r="IQZ43" s="595"/>
      <c r="IRA43" s="595"/>
      <c r="IRB43" s="595"/>
      <c r="IRC43" s="595"/>
      <c r="IRD43" s="595"/>
      <c r="IRE43" s="595"/>
      <c r="IRF43" s="595"/>
      <c r="IRG43" s="595"/>
      <c r="IRH43" s="595"/>
      <c r="IRI43" s="595"/>
      <c r="IRJ43" s="595"/>
      <c r="IRK43" s="595"/>
      <c r="IRL43" s="595"/>
      <c r="IRM43" s="595"/>
      <c r="IRN43" s="595"/>
      <c r="IRO43" s="595"/>
      <c r="IRP43" s="595"/>
      <c r="IRQ43" s="595"/>
      <c r="IRR43" s="595"/>
      <c r="IRS43" s="595"/>
      <c r="IRT43" s="595"/>
      <c r="IRU43" s="595"/>
      <c r="IRV43" s="595"/>
      <c r="IRW43" s="595"/>
      <c r="IRX43" s="595"/>
      <c r="IRY43" s="595"/>
      <c r="IRZ43" s="595"/>
      <c r="ISA43" s="595"/>
      <c r="ISB43" s="595"/>
      <c r="ISC43" s="595"/>
      <c r="ISD43" s="595"/>
      <c r="ISE43" s="595"/>
      <c r="ISF43" s="595"/>
      <c r="ISG43" s="595"/>
      <c r="ISH43" s="595"/>
      <c r="ISI43" s="595"/>
      <c r="ISJ43" s="595"/>
      <c r="ISK43" s="595"/>
      <c r="ISL43" s="595"/>
      <c r="ISM43" s="595"/>
      <c r="ISN43" s="595"/>
      <c r="ISO43" s="595"/>
      <c r="ISP43" s="595"/>
      <c r="ISQ43" s="595"/>
      <c r="ISR43" s="595"/>
      <c r="ISS43" s="595"/>
      <c r="IST43" s="595"/>
      <c r="ISU43" s="595"/>
      <c r="ISV43" s="595"/>
      <c r="ISW43" s="595"/>
      <c r="ISX43" s="595"/>
      <c r="ISY43" s="595"/>
      <c r="ISZ43" s="595"/>
      <c r="ITA43" s="595"/>
      <c r="ITB43" s="595"/>
      <c r="ITC43" s="595"/>
      <c r="ITD43" s="595"/>
      <c r="ITE43" s="595"/>
      <c r="ITF43" s="595"/>
      <c r="ITG43" s="595"/>
      <c r="ITH43" s="595"/>
      <c r="ITI43" s="595"/>
      <c r="ITJ43" s="595"/>
      <c r="ITK43" s="595"/>
      <c r="ITL43" s="595"/>
      <c r="ITM43" s="595"/>
      <c r="ITN43" s="595"/>
      <c r="ITO43" s="595"/>
      <c r="ITP43" s="595"/>
      <c r="ITQ43" s="595"/>
      <c r="ITR43" s="595"/>
      <c r="ITS43" s="595"/>
      <c r="ITT43" s="595"/>
      <c r="ITU43" s="595"/>
      <c r="ITV43" s="595"/>
      <c r="ITW43" s="595"/>
      <c r="ITX43" s="595"/>
      <c r="ITY43" s="595"/>
      <c r="ITZ43" s="595"/>
      <c r="IUA43" s="595"/>
      <c r="IUB43" s="595"/>
      <c r="IUC43" s="595"/>
      <c r="IUD43" s="595"/>
      <c r="IUE43" s="595"/>
      <c r="IUF43" s="595"/>
      <c r="IUG43" s="595"/>
      <c r="IUH43" s="595"/>
      <c r="IUI43" s="595"/>
      <c r="IUJ43" s="595"/>
      <c r="IUK43" s="595"/>
      <c r="IUL43" s="595"/>
      <c r="IUM43" s="595"/>
      <c r="IUN43" s="595"/>
      <c r="IUO43" s="595"/>
      <c r="IUP43" s="595"/>
      <c r="IUQ43" s="595"/>
      <c r="IUR43" s="595"/>
      <c r="IUS43" s="595"/>
      <c r="IUT43" s="595"/>
      <c r="IUU43" s="595"/>
      <c r="IUV43" s="595"/>
      <c r="IUW43" s="595"/>
      <c r="IUX43" s="595"/>
      <c r="IUY43" s="595"/>
      <c r="IUZ43" s="595"/>
      <c r="IVA43" s="595"/>
      <c r="IVB43" s="595"/>
      <c r="IVC43" s="595"/>
      <c r="IVD43" s="595"/>
      <c r="IVE43" s="595"/>
      <c r="IVF43" s="595"/>
      <c r="IVG43" s="595"/>
      <c r="IVH43" s="595"/>
      <c r="IVI43" s="595"/>
      <c r="IVJ43" s="595"/>
      <c r="IVK43" s="595"/>
      <c r="IVL43" s="595"/>
      <c r="IVM43" s="595"/>
      <c r="IVN43" s="595"/>
      <c r="IVO43" s="595"/>
      <c r="IVP43" s="595"/>
      <c r="IVQ43" s="595"/>
      <c r="IVR43" s="595"/>
      <c r="IVS43" s="595"/>
      <c r="IVT43" s="595"/>
      <c r="IVU43" s="595"/>
      <c r="IVV43" s="595"/>
      <c r="IVW43" s="595"/>
      <c r="IVX43" s="595"/>
      <c r="IVY43" s="595"/>
      <c r="IVZ43" s="595"/>
      <c r="IWA43" s="595"/>
      <c r="IWB43" s="595"/>
      <c r="IWC43" s="595"/>
      <c r="IWD43" s="595"/>
      <c r="IWE43" s="595"/>
      <c r="IWF43" s="595"/>
      <c r="IWG43" s="595"/>
      <c r="IWH43" s="595"/>
      <c r="IWI43" s="595"/>
      <c r="IWJ43" s="595"/>
      <c r="IWK43" s="595"/>
      <c r="IWL43" s="595"/>
      <c r="IWM43" s="595"/>
      <c r="IWN43" s="595"/>
      <c r="IWO43" s="595"/>
      <c r="IWP43" s="595"/>
      <c r="IWQ43" s="595"/>
      <c r="IWR43" s="595"/>
      <c r="IWS43" s="595"/>
      <c r="IWT43" s="595"/>
      <c r="IWU43" s="595"/>
      <c r="IWV43" s="595"/>
      <c r="IWW43" s="595"/>
      <c r="IWX43" s="595"/>
      <c r="IWY43" s="595"/>
      <c r="IWZ43" s="595"/>
      <c r="IXA43" s="595"/>
      <c r="IXB43" s="595"/>
      <c r="IXC43" s="595"/>
      <c r="IXD43" s="595"/>
      <c r="IXE43" s="595"/>
      <c r="IXF43" s="595"/>
      <c r="IXG43" s="595"/>
      <c r="IXH43" s="595"/>
      <c r="IXI43" s="595"/>
      <c r="IXJ43" s="595"/>
      <c r="IXK43" s="595"/>
      <c r="IXL43" s="595"/>
      <c r="IXM43" s="595"/>
      <c r="IXN43" s="595"/>
      <c r="IXO43" s="595"/>
      <c r="IXP43" s="595"/>
      <c r="IXQ43" s="595"/>
      <c r="IXR43" s="595"/>
      <c r="IXS43" s="595"/>
      <c r="IXT43" s="595"/>
      <c r="IXU43" s="595"/>
      <c r="IXV43" s="595"/>
      <c r="IXW43" s="595"/>
      <c r="IXX43" s="595"/>
      <c r="IXY43" s="595"/>
      <c r="IXZ43" s="595"/>
      <c r="IYA43" s="595"/>
      <c r="IYB43" s="595"/>
      <c r="IYC43" s="595"/>
      <c r="IYD43" s="595"/>
      <c r="IYE43" s="595"/>
      <c r="IYF43" s="595"/>
      <c r="IYG43" s="595"/>
      <c r="IYH43" s="595"/>
      <c r="IYI43" s="595"/>
      <c r="IYJ43" s="595"/>
      <c r="IYK43" s="595"/>
      <c r="IYL43" s="595"/>
      <c r="IYM43" s="595"/>
      <c r="IYN43" s="595"/>
      <c r="IYO43" s="595"/>
      <c r="IYP43" s="595"/>
      <c r="IYQ43" s="595"/>
      <c r="IYR43" s="595"/>
      <c r="IYS43" s="595"/>
      <c r="IYT43" s="595"/>
      <c r="IYU43" s="595"/>
      <c r="IYV43" s="595"/>
      <c r="IYW43" s="595"/>
      <c r="IYX43" s="595"/>
      <c r="IYY43" s="595"/>
      <c r="IYZ43" s="595"/>
      <c r="IZA43" s="595"/>
      <c r="IZB43" s="595"/>
      <c r="IZC43" s="595"/>
      <c r="IZD43" s="595"/>
      <c r="IZE43" s="595"/>
      <c r="IZF43" s="595"/>
      <c r="IZG43" s="595"/>
      <c r="IZH43" s="595"/>
      <c r="IZI43" s="595"/>
      <c r="IZJ43" s="595"/>
      <c r="IZK43" s="595"/>
      <c r="IZL43" s="595"/>
      <c r="IZM43" s="595"/>
      <c r="IZN43" s="595"/>
      <c r="IZO43" s="595"/>
      <c r="IZP43" s="595"/>
      <c r="IZQ43" s="595"/>
      <c r="IZR43" s="595"/>
      <c r="IZS43" s="595"/>
      <c r="IZT43" s="595"/>
      <c r="IZU43" s="595"/>
      <c r="IZV43" s="595"/>
      <c r="IZW43" s="595"/>
      <c r="IZX43" s="595"/>
      <c r="IZY43" s="595"/>
      <c r="IZZ43" s="595"/>
      <c r="JAA43" s="595"/>
      <c r="JAB43" s="595"/>
      <c r="JAC43" s="595"/>
      <c r="JAD43" s="595"/>
      <c r="JAE43" s="595"/>
      <c r="JAF43" s="595"/>
      <c r="JAG43" s="595"/>
      <c r="JAH43" s="595"/>
      <c r="JAI43" s="595"/>
      <c r="JAJ43" s="595"/>
      <c r="JAK43" s="595"/>
      <c r="JAL43" s="595"/>
      <c r="JAM43" s="595"/>
      <c r="JAN43" s="595"/>
      <c r="JAO43" s="595"/>
      <c r="JAP43" s="595"/>
      <c r="JAQ43" s="595"/>
      <c r="JAR43" s="595"/>
      <c r="JAS43" s="595"/>
      <c r="JAT43" s="595"/>
      <c r="JAU43" s="595"/>
      <c r="JAV43" s="595"/>
      <c r="JAW43" s="595"/>
      <c r="JAX43" s="595"/>
      <c r="JAY43" s="595"/>
      <c r="JAZ43" s="595"/>
      <c r="JBA43" s="595"/>
      <c r="JBB43" s="595"/>
      <c r="JBC43" s="595"/>
      <c r="JBD43" s="595"/>
      <c r="JBE43" s="595"/>
      <c r="JBF43" s="595"/>
      <c r="JBG43" s="595"/>
      <c r="JBH43" s="595"/>
      <c r="JBI43" s="595"/>
      <c r="JBJ43" s="595"/>
      <c r="JBK43" s="595"/>
      <c r="JBL43" s="595"/>
      <c r="JBM43" s="595"/>
      <c r="JBN43" s="595"/>
      <c r="JBO43" s="595"/>
      <c r="JBP43" s="595"/>
      <c r="JBQ43" s="595"/>
      <c r="JBR43" s="595"/>
      <c r="JBS43" s="595"/>
      <c r="JBT43" s="595"/>
      <c r="JBU43" s="595"/>
      <c r="JBV43" s="595"/>
      <c r="JBW43" s="595"/>
      <c r="JBX43" s="595"/>
      <c r="JBY43" s="595"/>
      <c r="JBZ43" s="595"/>
      <c r="JCA43" s="595"/>
      <c r="JCB43" s="595"/>
      <c r="JCC43" s="595"/>
      <c r="JCD43" s="595"/>
      <c r="JCE43" s="595"/>
      <c r="JCF43" s="595"/>
      <c r="JCG43" s="595"/>
      <c r="JCH43" s="595"/>
      <c r="JCI43" s="595"/>
      <c r="JCJ43" s="595"/>
      <c r="JCK43" s="595"/>
      <c r="JCL43" s="595"/>
      <c r="JCM43" s="595"/>
      <c r="JCN43" s="595"/>
      <c r="JCO43" s="595"/>
      <c r="JCP43" s="595"/>
      <c r="JCQ43" s="595"/>
      <c r="JCR43" s="595"/>
      <c r="JCS43" s="595"/>
      <c r="JCT43" s="595"/>
      <c r="JCU43" s="595"/>
      <c r="JCV43" s="595"/>
      <c r="JCW43" s="595"/>
      <c r="JCX43" s="595"/>
      <c r="JCY43" s="595"/>
      <c r="JCZ43" s="595"/>
      <c r="JDA43" s="595"/>
      <c r="JDB43" s="595"/>
      <c r="JDC43" s="595"/>
      <c r="JDD43" s="595"/>
      <c r="JDE43" s="595"/>
      <c r="JDF43" s="595"/>
      <c r="JDG43" s="595"/>
      <c r="JDH43" s="595"/>
      <c r="JDI43" s="595"/>
      <c r="JDJ43" s="595"/>
      <c r="JDK43" s="595"/>
      <c r="JDL43" s="595"/>
      <c r="JDM43" s="595"/>
      <c r="JDN43" s="595"/>
      <c r="JDO43" s="595"/>
      <c r="JDP43" s="595"/>
      <c r="JDQ43" s="595"/>
      <c r="JDR43" s="595"/>
      <c r="JDS43" s="595"/>
      <c r="JDT43" s="595"/>
      <c r="JDU43" s="595"/>
      <c r="JDV43" s="595"/>
      <c r="JDW43" s="595"/>
      <c r="JDX43" s="595"/>
      <c r="JDY43" s="595"/>
      <c r="JDZ43" s="595"/>
      <c r="JEA43" s="595"/>
      <c r="JEB43" s="595"/>
      <c r="JEC43" s="595"/>
      <c r="JED43" s="595"/>
      <c r="JEE43" s="595"/>
      <c r="JEF43" s="595"/>
      <c r="JEG43" s="595"/>
      <c r="JEH43" s="595"/>
      <c r="JEI43" s="595"/>
      <c r="JEJ43" s="595"/>
      <c r="JEK43" s="595"/>
      <c r="JEL43" s="595"/>
      <c r="JEM43" s="595"/>
      <c r="JEN43" s="595"/>
      <c r="JEO43" s="595"/>
      <c r="JEP43" s="595"/>
      <c r="JEQ43" s="595"/>
      <c r="JER43" s="595"/>
      <c r="JES43" s="595"/>
      <c r="JET43" s="595"/>
      <c r="JEU43" s="595"/>
      <c r="JEV43" s="595"/>
      <c r="JEW43" s="595"/>
      <c r="JEX43" s="595"/>
      <c r="JEY43" s="595"/>
      <c r="JEZ43" s="595"/>
      <c r="JFA43" s="595"/>
      <c r="JFB43" s="595"/>
      <c r="JFC43" s="595"/>
      <c r="JFD43" s="595"/>
      <c r="JFE43" s="595"/>
      <c r="JFF43" s="595"/>
      <c r="JFG43" s="595"/>
      <c r="JFH43" s="595"/>
      <c r="JFI43" s="595"/>
      <c r="JFJ43" s="595"/>
      <c r="JFK43" s="595"/>
      <c r="JFL43" s="595"/>
      <c r="JFM43" s="595"/>
      <c r="JFN43" s="595"/>
      <c r="JFO43" s="595"/>
      <c r="JFP43" s="595"/>
      <c r="JFQ43" s="595"/>
      <c r="JFR43" s="595"/>
      <c r="JFS43" s="595"/>
      <c r="JFT43" s="595"/>
      <c r="JFU43" s="595"/>
      <c r="JFV43" s="595"/>
      <c r="JFW43" s="595"/>
      <c r="JFX43" s="595"/>
      <c r="JFY43" s="595"/>
      <c r="JFZ43" s="595"/>
      <c r="JGA43" s="595"/>
      <c r="JGB43" s="595"/>
      <c r="JGC43" s="595"/>
      <c r="JGD43" s="595"/>
      <c r="JGE43" s="595"/>
      <c r="JGF43" s="595"/>
      <c r="JGG43" s="595"/>
      <c r="JGH43" s="595"/>
      <c r="JGI43" s="595"/>
      <c r="JGJ43" s="595"/>
      <c r="JGK43" s="595"/>
      <c r="JGL43" s="595"/>
      <c r="JGM43" s="595"/>
      <c r="JGN43" s="595"/>
      <c r="JGO43" s="595"/>
      <c r="JGP43" s="595"/>
      <c r="JGQ43" s="595"/>
      <c r="JGR43" s="595"/>
      <c r="JGS43" s="595"/>
      <c r="JGT43" s="595"/>
      <c r="JGU43" s="595"/>
      <c r="JGV43" s="595"/>
      <c r="JGW43" s="595"/>
      <c r="JGX43" s="595"/>
      <c r="JGY43" s="595"/>
      <c r="JGZ43" s="595"/>
      <c r="JHA43" s="595"/>
      <c r="JHB43" s="595"/>
      <c r="JHC43" s="595"/>
      <c r="JHD43" s="595"/>
      <c r="JHE43" s="595"/>
      <c r="JHF43" s="595"/>
      <c r="JHG43" s="595"/>
      <c r="JHH43" s="595"/>
      <c r="JHI43" s="595"/>
      <c r="JHJ43" s="595"/>
      <c r="JHK43" s="595"/>
      <c r="JHL43" s="595"/>
      <c r="JHM43" s="595"/>
      <c r="JHN43" s="595"/>
      <c r="JHO43" s="595"/>
      <c r="JHP43" s="595"/>
      <c r="JHQ43" s="595"/>
      <c r="JHR43" s="595"/>
      <c r="JHS43" s="595"/>
      <c r="JHT43" s="595"/>
      <c r="JHU43" s="595"/>
      <c r="JHV43" s="595"/>
      <c r="JHW43" s="595"/>
      <c r="JHX43" s="595"/>
      <c r="JHY43" s="595"/>
      <c r="JHZ43" s="595"/>
      <c r="JIA43" s="595"/>
      <c r="JIB43" s="595"/>
      <c r="JIC43" s="595"/>
      <c r="JID43" s="595"/>
      <c r="JIE43" s="595"/>
      <c r="JIF43" s="595"/>
      <c r="JIG43" s="595"/>
      <c r="JIH43" s="595"/>
      <c r="JII43" s="595"/>
      <c r="JIJ43" s="595"/>
      <c r="JIK43" s="595"/>
      <c r="JIL43" s="595"/>
      <c r="JIM43" s="595"/>
      <c r="JIN43" s="595"/>
      <c r="JIO43" s="595"/>
      <c r="JIP43" s="595"/>
      <c r="JIQ43" s="595"/>
      <c r="JIR43" s="595"/>
      <c r="JIS43" s="595"/>
      <c r="JIT43" s="595"/>
      <c r="JIU43" s="595"/>
      <c r="JIV43" s="595"/>
      <c r="JIW43" s="595"/>
      <c r="JIX43" s="595"/>
      <c r="JIY43" s="595"/>
      <c r="JIZ43" s="595"/>
      <c r="JJA43" s="595"/>
      <c r="JJB43" s="595"/>
      <c r="JJC43" s="595"/>
      <c r="JJD43" s="595"/>
      <c r="JJE43" s="595"/>
      <c r="JJF43" s="595"/>
      <c r="JJG43" s="595"/>
      <c r="JJH43" s="595"/>
      <c r="JJI43" s="595"/>
      <c r="JJJ43" s="595"/>
      <c r="JJK43" s="595"/>
      <c r="JJL43" s="595"/>
      <c r="JJM43" s="595"/>
      <c r="JJN43" s="595"/>
      <c r="JJO43" s="595"/>
      <c r="JJP43" s="595"/>
      <c r="JJQ43" s="595"/>
      <c r="JJR43" s="595"/>
      <c r="JJS43" s="595"/>
      <c r="JJT43" s="595"/>
      <c r="JJU43" s="595"/>
      <c r="JJV43" s="595"/>
      <c r="JJW43" s="595"/>
      <c r="JJX43" s="595"/>
      <c r="JJY43" s="595"/>
      <c r="JJZ43" s="595"/>
      <c r="JKA43" s="595"/>
      <c r="JKB43" s="595"/>
      <c r="JKC43" s="595"/>
      <c r="JKD43" s="595"/>
      <c r="JKE43" s="595"/>
      <c r="JKF43" s="595"/>
      <c r="JKG43" s="595"/>
      <c r="JKH43" s="595"/>
      <c r="JKI43" s="595"/>
      <c r="JKJ43" s="595"/>
      <c r="JKK43" s="595"/>
      <c r="JKL43" s="595"/>
      <c r="JKM43" s="595"/>
      <c r="JKN43" s="595"/>
      <c r="JKO43" s="595"/>
      <c r="JKP43" s="595"/>
      <c r="JKQ43" s="595"/>
      <c r="JKR43" s="595"/>
      <c r="JKS43" s="595"/>
      <c r="JKT43" s="595"/>
      <c r="JKU43" s="595"/>
      <c r="JKV43" s="595"/>
      <c r="JKW43" s="595"/>
      <c r="JKX43" s="595"/>
      <c r="JKY43" s="595"/>
      <c r="JKZ43" s="595"/>
      <c r="JLA43" s="595"/>
      <c r="JLB43" s="595"/>
      <c r="JLC43" s="595"/>
      <c r="JLD43" s="595"/>
      <c r="JLE43" s="595"/>
      <c r="JLF43" s="595"/>
      <c r="JLG43" s="595"/>
      <c r="JLH43" s="595"/>
      <c r="JLI43" s="595"/>
      <c r="JLJ43" s="595"/>
      <c r="JLK43" s="595"/>
      <c r="JLL43" s="595"/>
      <c r="JLM43" s="595"/>
      <c r="JLN43" s="595"/>
      <c r="JLO43" s="595"/>
      <c r="JLP43" s="595"/>
      <c r="JLQ43" s="595"/>
      <c r="JLR43" s="595"/>
      <c r="JLS43" s="595"/>
      <c r="JLT43" s="595"/>
      <c r="JLU43" s="595"/>
      <c r="JLV43" s="595"/>
      <c r="JLW43" s="595"/>
      <c r="JLX43" s="595"/>
      <c r="JLY43" s="595"/>
      <c r="JLZ43" s="595"/>
      <c r="JMA43" s="595"/>
      <c r="JMB43" s="595"/>
      <c r="JMC43" s="595"/>
      <c r="JMD43" s="595"/>
      <c r="JME43" s="595"/>
      <c r="JMF43" s="595"/>
      <c r="JMG43" s="595"/>
      <c r="JMH43" s="595"/>
      <c r="JMI43" s="595"/>
      <c r="JMJ43" s="595"/>
      <c r="JMK43" s="595"/>
      <c r="JML43" s="595"/>
      <c r="JMM43" s="595"/>
      <c r="JMN43" s="595"/>
      <c r="JMO43" s="595"/>
      <c r="JMP43" s="595"/>
      <c r="JMQ43" s="595"/>
      <c r="JMR43" s="595"/>
      <c r="JMS43" s="595"/>
      <c r="JMT43" s="595"/>
      <c r="JMU43" s="595"/>
      <c r="JMV43" s="595"/>
      <c r="JMW43" s="595"/>
      <c r="JMX43" s="595"/>
      <c r="JMY43" s="595"/>
      <c r="JMZ43" s="595"/>
      <c r="JNA43" s="595"/>
      <c r="JNB43" s="595"/>
      <c r="JNC43" s="595"/>
      <c r="JND43" s="595"/>
      <c r="JNE43" s="595"/>
      <c r="JNF43" s="595"/>
      <c r="JNG43" s="595"/>
      <c r="JNH43" s="595"/>
      <c r="JNI43" s="595"/>
      <c r="JNJ43" s="595"/>
      <c r="JNK43" s="595"/>
      <c r="JNL43" s="595"/>
      <c r="JNM43" s="595"/>
      <c r="JNN43" s="595"/>
      <c r="JNO43" s="595"/>
      <c r="JNP43" s="595"/>
      <c r="JNQ43" s="595"/>
      <c r="JNR43" s="595"/>
      <c r="JNS43" s="595"/>
      <c r="JNT43" s="595"/>
      <c r="JNU43" s="595"/>
      <c r="JNV43" s="595"/>
      <c r="JNW43" s="595"/>
      <c r="JNX43" s="595"/>
      <c r="JNY43" s="595"/>
      <c r="JNZ43" s="595"/>
      <c r="JOA43" s="595"/>
      <c r="JOB43" s="595"/>
      <c r="JOC43" s="595"/>
      <c r="JOD43" s="595"/>
      <c r="JOE43" s="595"/>
      <c r="JOF43" s="595"/>
      <c r="JOG43" s="595"/>
      <c r="JOH43" s="595"/>
      <c r="JOI43" s="595"/>
      <c r="JOJ43" s="595"/>
      <c r="JOK43" s="595"/>
      <c r="JOL43" s="595"/>
      <c r="JOM43" s="595"/>
      <c r="JON43" s="595"/>
      <c r="JOO43" s="595"/>
      <c r="JOP43" s="595"/>
      <c r="JOQ43" s="595"/>
      <c r="JOR43" s="595"/>
      <c r="JOS43" s="595"/>
      <c r="JOT43" s="595"/>
      <c r="JOU43" s="595"/>
      <c r="JOV43" s="595"/>
      <c r="JOW43" s="595"/>
      <c r="JOX43" s="595"/>
      <c r="JOY43" s="595"/>
      <c r="JOZ43" s="595"/>
      <c r="JPA43" s="595"/>
      <c r="JPB43" s="595"/>
      <c r="JPC43" s="595"/>
      <c r="JPD43" s="595"/>
      <c r="JPE43" s="595"/>
      <c r="JPF43" s="595"/>
      <c r="JPG43" s="595"/>
      <c r="JPH43" s="595"/>
      <c r="JPI43" s="595"/>
      <c r="JPJ43" s="595"/>
      <c r="JPK43" s="595"/>
      <c r="JPL43" s="595"/>
      <c r="JPM43" s="595"/>
      <c r="JPN43" s="595"/>
      <c r="JPO43" s="595"/>
      <c r="JPP43" s="595"/>
      <c r="JPQ43" s="595"/>
      <c r="JPR43" s="595"/>
      <c r="JPS43" s="595"/>
      <c r="JPT43" s="595"/>
      <c r="JPU43" s="595"/>
      <c r="JPV43" s="595"/>
      <c r="JPW43" s="595"/>
      <c r="JPX43" s="595"/>
      <c r="JPY43" s="595"/>
      <c r="JPZ43" s="595"/>
      <c r="JQA43" s="595"/>
      <c r="JQB43" s="595"/>
      <c r="JQC43" s="595"/>
      <c r="JQD43" s="595"/>
      <c r="JQE43" s="595"/>
      <c r="JQF43" s="595"/>
      <c r="JQG43" s="595"/>
      <c r="JQH43" s="595"/>
      <c r="JQI43" s="595"/>
      <c r="JQJ43" s="595"/>
      <c r="JQK43" s="595"/>
      <c r="JQL43" s="595"/>
      <c r="JQM43" s="595"/>
      <c r="JQN43" s="595"/>
      <c r="JQO43" s="595"/>
      <c r="JQP43" s="595"/>
      <c r="JQQ43" s="595"/>
      <c r="JQR43" s="595"/>
      <c r="JQS43" s="595"/>
      <c r="JQT43" s="595"/>
      <c r="JQU43" s="595"/>
      <c r="JQV43" s="595"/>
      <c r="JQW43" s="595"/>
      <c r="JQX43" s="595"/>
      <c r="JQY43" s="595"/>
      <c r="JQZ43" s="595"/>
      <c r="JRA43" s="595"/>
      <c r="JRB43" s="595"/>
      <c r="JRC43" s="595"/>
      <c r="JRD43" s="595"/>
      <c r="JRE43" s="595"/>
      <c r="JRF43" s="595"/>
      <c r="JRG43" s="595"/>
      <c r="JRH43" s="595"/>
      <c r="JRI43" s="595"/>
      <c r="JRJ43" s="595"/>
      <c r="JRK43" s="595"/>
      <c r="JRL43" s="595"/>
      <c r="JRM43" s="595"/>
      <c r="JRN43" s="595"/>
      <c r="JRO43" s="595"/>
      <c r="JRP43" s="595"/>
      <c r="JRQ43" s="595"/>
      <c r="JRR43" s="595"/>
      <c r="JRS43" s="595"/>
      <c r="JRT43" s="595"/>
      <c r="JRU43" s="595"/>
      <c r="JRV43" s="595"/>
      <c r="JRW43" s="595"/>
      <c r="JRX43" s="595"/>
      <c r="JRY43" s="595"/>
      <c r="JRZ43" s="595"/>
      <c r="JSA43" s="595"/>
      <c r="JSB43" s="595"/>
      <c r="JSC43" s="595"/>
      <c r="JSD43" s="595"/>
      <c r="JSE43" s="595"/>
      <c r="JSF43" s="595"/>
      <c r="JSG43" s="595"/>
      <c r="JSH43" s="595"/>
      <c r="JSI43" s="595"/>
      <c r="JSJ43" s="595"/>
      <c r="JSK43" s="595"/>
      <c r="JSL43" s="595"/>
      <c r="JSM43" s="595"/>
      <c r="JSN43" s="595"/>
      <c r="JSO43" s="595"/>
      <c r="JSP43" s="595"/>
      <c r="JSQ43" s="595"/>
      <c r="JSR43" s="595"/>
      <c r="JSS43" s="595"/>
      <c r="JST43" s="595"/>
      <c r="JSU43" s="595"/>
      <c r="JSV43" s="595"/>
      <c r="JSW43" s="595"/>
      <c r="JSX43" s="595"/>
      <c r="JSY43" s="595"/>
      <c r="JSZ43" s="595"/>
      <c r="JTA43" s="595"/>
      <c r="JTB43" s="595"/>
      <c r="JTC43" s="595"/>
      <c r="JTD43" s="595"/>
      <c r="JTE43" s="595"/>
      <c r="JTF43" s="595"/>
      <c r="JTG43" s="595"/>
      <c r="JTH43" s="595"/>
      <c r="JTI43" s="595"/>
      <c r="JTJ43" s="595"/>
      <c r="JTK43" s="595"/>
      <c r="JTL43" s="595"/>
      <c r="JTM43" s="595"/>
      <c r="JTN43" s="595"/>
      <c r="JTO43" s="595"/>
      <c r="JTP43" s="595"/>
      <c r="JTQ43" s="595"/>
      <c r="JTR43" s="595"/>
      <c r="JTS43" s="595"/>
      <c r="JTT43" s="595"/>
      <c r="JTU43" s="595"/>
      <c r="JTV43" s="595"/>
      <c r="JTW43" s="595"/>
      <c r="JTX43" s="595"/>
      <c r="JTY43" s="595"/>
      <c r="JTZ43" s="595"/>
      <c r="JUA43" s="595"/>
      <c r="JUB43" s="595"/>
      <c r="JUC43" s="595"/>
      <c r="JUD43" s="595"/>
      <c r="JUE43" s="595"/>
      <c r="JUF43" s="595"/>
      <c r="JUG43" s="595"/>
      <c r="JUH43" s="595"/>
      <c r="JUI43" s="595"/>
      <c r="JUJ43" s="595"/>
      <c r="JUK43" s="595"/>
      <c r="JUL43" s="595"/>
      <c r="JUM43" s="595"/>
      <c r="JUN43" s="595"/>
      <c r="JUO43" s="595"/>
      <c r="JUP43" s="595"/>
      <c r="JUQ43" s="595"/>
      <c r="JUR43" s="595"/>
      <c r="JUS43" s="595"/>
      <c r="JUT43" s="595"/>
      <c r="JUU43" s="595"/>
      <c r="JUV43" s="595"/>
      <c r="JUW43" s="595"/>
      <c r="JUX43" s="595"/>
      <c r="JUY43" s="595"/>
      <c r="JUZ43" s="595"/>
      <c r="JVA43" s="595"/>
      <c r="JVB43" s="595"/>
      <c r="JVC43" s="595"/>
      <c r="JVD43" s="595"/>
      <c r="JVE43" s="595"/>
      <c r="JVF43" s="595"/>
      <c r="JVG43" s="595"/>
      <c r="JVH43" s="595"/>
      <c r="JVI43" s="595"/>
      <c r="JVJ43" s="595"/>
      <c r="JVK43" s="595"/>
      <c r="JVL43" s="595"/>
      <c r="JVM43" s="595"/>
      <c r="JVN43" s="595"/>
      <c r="JVO43" s="595"/>
      <c r="JVP43" s="595"/>
      <c r="JVQ43" s="595"/>
      <c r="JVR43" s="595"/>
      <c r="JVS43" s="595"/>
      <c r="JVT43" s="595"/>
      <c r="JVU43" s="595"/>
      <c r="JVV43" s="595"/>
      <c r="JVW43" s="595"/>
      <c r="JVX43" s="595"/>
      <c r="JVY43" s="595"/>
      <c r="JVZ43" s="595"/>
      <c r="JWA43" s="595"/>
      <c r="JWB43" s="595"/>
      <c r="JWC43" s="595"/>
      <c r="JWD43" s="595"/>
      <c r="JWE43" s="595"/>
      <c r="JWF43" s="595"/>
      <c r="JWG43" s="595"/>
      <c r="JWH43" s="595"/>
      <c r="JWI43" s="595"/>
      <c r="JWJ43" s="595"/>
      <c r="JWK43" s="595"/>
      <c r="JWL43" s="595"/>
      <c r="JWM43" s="595"/>
      <c r="JWN43" s="595"/>
      <c r="JWO43" s="595"/>
      <c r="JWP43" s="595"/>
      <c r="JWQ43" s="595"/>
      <c r="JWR43" s="595"/>
      <c r="JWS43" s="595"/>
      <c r="JWT43" s="595"/>
      <c r="JWU43" s="595"/>
      <c r="JWV43" s="595"/>
      <c r="JWW43" s="595"/>
      <c r="JWX43" s="595"/>
      <c r="JWY43" s="595"/>
      <c r="JWZ43" s="595"/>
      <c r="JXA43" s="595"/>
      <c r="JXB43" s="595"/>
      <c r="JXC43" s="595"/>
      <c r="JXD43" s="595"/>
      <c r="JXE43" s="595"/>
      <c r="JXF43" s="595"/>
      <c r="JXG43" s="595"/>
      <c r="JXH43" s="595"/>
      <c r="JXI43" s="595"/>
      <c r="JXJ43" s="595"/>
      <c r="JXK43" s="595"/>
      <c r="JXL43" s="595"/>
      <c r="JXM43" s="595"/>
      <c r="JXN43" s="595"/>
      <c r="JXO43" s="595"/>
      <c r="JXP43" s="595"/>
      <c r="JXQ43" s="595"/>
      <c r="JXR43" s="595"/>
      <c r="JXS43" s="595"/>
      <c r="JXT43" s="595"/>
      <c r="JXU43" s="595"/>
      <c r="JXV43" s="595"/>
      <c r="JXW43" s="595"/>
      <c r="JXX43" s="595"/>
      <c r="JXY43" s="595"/>
      <c r="JXZ43" s="595"/>
      <c r="JYA43" s="595"/>
      <c r="JYB43" s="595"/>
      <c r="JYC43" s="595"/>
      <c r="JYD43" s="595"/>
      <c r="JYE43" s="595"/>
      <c r="JYF43" s="595"/>
      <c r="JYG43" s="595"/>
      <c r="JYH43" s="595"/>
      <c r="JYI43" s="595"/>
      <c r="JYJ43" s="595"/>
      <c r="JYK43" s="595"/>
      <c r="JYL43" s="595"/>
      <c r="JYM43" s="595"/>
      <c r="JYN43" s="595"/>
      <c r="JYO43" s="595"/>
      <c r="JYP43" s="595"/>
      <c r="JYQ43" s="595"/>
      <c r="JYR43" s="595"/>
      <c r="JYS43" s="595"/>
      <c r="JYT43" s="595"/>
      <c r="JYU43" s="595"/>
      <c r="JYV43" s="595"/>
      <c r="JYW43" s="595"/>
      <c r="JYX43" s="595"/>
      <c r="JYY43" s="595"/>
      <c r="JYZ43" s="595"/>
      <c r="JZA43" s="595"/>
      <c r="JZB43" s="595"/>
      <c r="JZC43" s="595"/>
      <c r="JZD43" s="595"/>
      <c r="JZE43" s="595"/>
      <c r="JZF43" s="595"/>
      <c r="JZG43" s="595"/>
      <c r="JZH43" s="595"/>
      <c r="JZI43" s="595"/>
      <c r="JZJ43" s="595"/>
      <c r="JZK43" s="595"/>
      <c r="JZL43" s="595"/>
      <c r="JZM43" s="595"/>
      <c r="JZN43" s="595"/>
      <c r="JZO43" s="595"/>
      <c r="JZP43" s="595"/>
      <c r="JZQ43" s="595"/>
      <c r="JZR43" s="595"/>
      <c r="JZS43" s="595"/>
      <c r="JZT43" s="595"/>
      <c r="JZU43" s="595"/>
      <c r="JZV43" s="595"/>
      <c r="JZW43" s="595"/>
      <c r="JZX43" s="595"/>
      <c r="JZY43" s="595"/>
      <c r="JZZ43" s="595"/>
      <c r="KAA43" s="595"/>
      <c r="KAB43" s="595"/>
      <c r="KAC43" s="595"/>
      <c r="KAD43" s="595"/>
      <c r="KAE43" s="595"/>
      <c r="KAF43" s="595"/>
      <c r="KAG43" s="595"/>
      <c r="KAH43" s="595"/>
      <c r="KAI43" s="595"/>
      <c r="KAJ43" s="595"/>
      <c r="KAK43" s="595"/>
      <c r="KAL43" s="595"/>
      <c r="KAM43" s="595"/>
      <c r="KAN43" s="595"/>
      <c r="KAO43" s="595"/>
      <c r="KAP43" s="595"/>
      <c r="KAQ43" s="595"/>
      <c r="KAR43" s="595"/>
      <c r="KAS43" s="595"/>
      <c r="KAT43" s="595"/>
      <c r="KAU43" s="595"/>
      <c r="KAV43" s="595"/>
      <c r="KAW43" s="595"/>
      <c r="KAX43" s="595"/>
      <c r="KAY43" s="595"/>
      <c r="KAZ43" s="595"/>
      <c r="KBA43" s="595"/>
      <c r="KBB43" s="595"/>
      <c r="KBC43" s="595"/>
      <c r="KBD43" s="595"/>
      <c r="KBE43" s="595"/>
      <c r="KBF43" s="595"/>
      <c r="KBG43" s="595"/>
      <c r="KBH43" s="595"/>
      <c r="KBI43" s="595"/>
      <c r="KBJ43" s="595"/>
      <c r="KBK43" s="595"/>
      <c r="KBL43" s="595"/>
      <c r="KBM43" s="595"/>
      <c r="KBN43" s="595"/>
      <c r="KBO43" s="595"/>
      <c r="KBP43" s="595"/>
      <c r="KBQ43" s="595"/>
      <c r="KBR43" s="595"/>
      <c r="KBS43" s="595"/>
      <c r="KBT43" s="595"/>
      <c r="KBU43" s="595"/>
      <c r="KBV43" s="595"/>
      <c r="KBW43" s="595"/>
      <c r="KBX43" s="595"/>
      <c r="KBY43" s="595"/>
      <c r="KBZ43" s="595"/>
      <c r="KCA43" s="595"/>
      <c r="KCB43" s="595"/>
      <c r="KCC43" s="595"/>
      <c r="KCD43" s="595"/>
      <c r="KCE43" s="595"/>
      <c r="KCF43" s="595"/>
      <c r="KCG43" s="595"/>
      <c r="KCH43" s="595"/>
      <c r="KCI43" s="595"/>
      <c r="KCJ43" s="595"/>
      <c r="KCK43" s="595"/>
      <c r="KCL43" s="595"/>
      <c r="KCM43" s="595"/>
      <c r="KCN43" s="595"/>
      <c r="KCO43" s="595"/>
      <c r="KCP43" s="595"/>
      <c r="KCQ43" s="595"/>
      <c r="KCR43" s="595"/>
      <c r="KCS43" s="595"/>
      <c r="KCT43" s="595"/>
      <c r="KCU43" s="595"/>
      <c r="KCV43" s="595"/>
      <c r="KCW43" s="595"/>
      <c r="KCX43" s="595"/>
      <c r="KCY43" s="595"/>
      <c r="KCZ43" s="595"/>
      <c r="KDA43" s="595"/>
      <c r="KDB43" s="595"/>
      <c r="KDC43" s="595"/>
      <c r="KDD43" s="595"/>
      <c r="KDE43" s="595"/>
      <c r="KDF43" s="595"/>
      <c r="KDG43" s="595"/>
      <c r="KDH43" s="595"/>
      <c r="KDI43" s="595"/>
      <c r="KDJ43" s="595"/>
      <c r="KDK43" s="595"/>
      <c r="KDL43" s="595"/>
      <c r="KDM43" s="595"/>
      <c r="KDN43" s="595"/>
      <c r="KDO43" s="595"/>
      <c r="KDP43" s="595"/>
      <c r="KDQ43" s="595"/>
      <c r="KDR43" s="595"/>
      <c r="KDS43" s="595"/>
      <c r="KDT43" s="595"/>
      <c r="KDU43" s="595"/>
      <c r="KDV43" s="595"/>
      <c r="KDW43" s="595"/>
      <c r="KDX43" s="595"/>
      <c r="KDY43" s="595"/>
      <c r="KDZ43" s="595"/>
      <c r="KEA43" s="595"/>
      <c r="KEB43" s="595"/>
      <c r="KEC43" s="595"/>
      <c r="KED43" s="595"/>
      <c r="KEE43" s="595"/>
      <c r="KEF43" s="595"/>
      <c r="KEG43" s="595"/>
      <c r="KEH43" s="595"/>
      <c r="KEI43" s="595"/>
      <c r="KEJ43" s="595"/>
      <c r="KEK43" s="595"/>
      <c r="KEL43" s="595"/>
      <c r="KEM43" s="595"/>
      <c r="KEN43" s="595"/>
      <c r="KEO43" s="595"/>
      <c r="KEP43" s="595"/>
      <c r="KEQ43" s="595"/>
      <c r="KER43" s="595"/>
      <c r="KES43" s="595"/>
      <c r="KET43" s="595"/>
      <c r="KEU43" s="595"/>
      <c r="KEV43" s="595"/>
      <c r="KEW43" s="595"/>
      <c r="KEX43" s="595"/>
      <c r="KEY43" s="595"/>
      <c r="KEZ43" s="595"/>
      <c r="KFA43" s="595"/>
      <c r="KFB43" s="595"/>
      <c r="KFC43" s="595"/>
      <c r="KFD43" s="595"/>
      <c r="KFE43" s="595"/>
      <c r="KFF43" s="595"/>
      <c r="KFG43" s="595"/>
      <c r="KFH43" s="595"/>
      <c r="KFI43" s="595"/>
      <c r="KFJ43" s="595"/>
      <c r="KFK43" s="595"/>
      <c r="KFL43" s="595"/>
      <c r="KFM43" s="595"/>
      <c r="KFN43" s="595"/>
      <c r="KFO43" s="595"/>
      <c r="KFP43" s="595"/>
      <c r="KFQ43" s="595"/>
      <c r="KFR43" s="595"/>
      <c r="KFS43" s="595"/>
      <c r="KFT43" s="595"/>
      <c r="KFU43" s="595"/>
      <c r="KFV43" s="595"/>
      <c r="KFW43" s="595"/>
      <c r="KFX43" s="595"/>
      <c r="KFY43" s="595"/>
      <c r="KFZ43" s="595"/>
      <c r="KGA43" s="595"/>
      <c r="KGB43" s="595"/>
      <c r="KGC43" s="595"/>
      <c r="KGD43" s="595"/>
      <c r="KGE43" s="595"/>
      <c r="KGF43" s="595"/>
      <c r="KGG43" s="595"/>
      <c r="KGH43" s="595"/>
      <c r="KGI43" s="595"/>
      <c r="KGJ43" s="595"/>
      <c r="KGK43" s="595"/>
      <c r="KGL43" s="595"/>
      <c r="KGM43" s="595"/>
      <c r="KGN43" s="595"/>
      <c r="KGO43" s="595"/>
      <c r="KGP43" s="595"/>
      <c r="KGQ43" s="595"/>
      <c r="KGR43" s="595"/>
      <c r="KGS43" s="595"/>
      <c r="KGT43" s="595"/>
      <c r="KGU43" s="595"/>
      <c r="KGV43" s="595"/>
      <c r="KGW43" s="595"/>
      <c r="KGX43" s="595"/>
      <c r="KGY43" s="595"/>
      <c r="KGZ43" s="595"/>
      <c r="KHA43" s="595"/>
      <c r="KHB43" s="595"/>
      <c r="KHC43" s="595"/>
      <c r="KHD43" s="595"/>
      <c r="KHE43" s="595"/>
      <c r="KHF43" s="595"/>
      <c r="KHG43" s="595"/>
      <c r="KHH43" s="595"/>
      <c r="KHI43" s="595"/>
      <c r="KHJ43" s="595"/>
      <c r="KHK43" s="595"/>
      <c r="KHL43" s="595"/>
      <c r="KHM43" s="595"/>
      <c r="KHN43" s="595"/>
      <c r="KHO43" s="595"/>
      <c r="KHP43" s="595"/>
      <c r="KHQ43" s="595"/>
      <c r="KHR43" s="595"/>
      <c r="KHS43" s="595"/>
      <c r="KHT43" s="595"/>
      <c r="KHU43" s="595"/>
      <c r="KHV43" s="595"/>
      <c r="KHW43" s="595"/>
      <c r="KHX43" s="595"/>
      <c r="KHY43" s="595"/>
      <c r="KHZ43" s="595"/>
      <c r="KIA43" s="595"/>
      <c r="KIB43" s="595"/>
      <c r="KIC43" s="595"/>
      <c r="KID43" s="595"/>
      <c r="KIE43" s="595"/>
      <c r="KIF43" s="595"/>
      <c r="KIG43" s="595"/>
      <c r="KIH43" s="595"/>
      <c r="KII43" s="595"/>
      <c r="KIJ43" s="595"/>
      <c r="KIK43" s="595"/>
      <c r="KIL43" s="595"/>
      <c r="KIM43" s="595"/>
      <c r="KIN43" s="595"/>
      <c r="KIO43" s="595"/>
      <c r="KIP43" s="595"/>
      <c r="KIQ43" s="595"/>
      <c r="KIR43" s="595"/>
      <c r="KIS43" s="595"/>
      <c r="KIT43" s="595"/>
      <c r="KIU43" s="595"/>
      <c r="KIV43" s="595"/>
      <c r="KIW43" s="595"/>
      <c r="KIX43" s="595"/>
      <c r="KIY43" s="595"/>
      <c r="KIZ43" s="595"/>
      <c r="KJA43" s="595"/>
      <c r="KJB43" s="595"/>
      <c r="KJC43" s="595"/>
      <c r="KJD43" s="595"/>
      <c r="KJE43" s="595"/>
      <c r="KJF43" s="595"/>
      <c r="KJG43" s="595"/>
      <c r="KJH43" s="595"/>
      <c r="KJI43" s="595"/>
      <c r="KJJ43" s="595"/>
      <c r="KJK43" s="595"/>
      <c r="KJL43" s="595"/>
      <c r="KJM43" s="595"/>
      <c r="KJN43" s="595"/>
      <c r="KJO43" s="595"/>
      <c r="KJP43" s="595"/>
      <c r="KJQ43" s="595"/>
      <c r="KJR43" s="595"/>
      <c r="KJS43" s="595"/>
      <c r="KJT43" s="595"/>
      <c r="KJU43" s="595"/>
      <c r="KJV43" s="595"/>
      <c r="KJW43" s="595"/>
      <c r="KJX43" s="595"/>
      <c r="KJY43" s="595"/>
      <c r="KJZ43" s="595"/>
      <c r="KKA43" s="595"/>
      <c r="KKB43" s="595"/>
      <c r="KKC43" s="595"/>
      <c r="KKD43" s="595"/>
      <c r="KKE43" s="595"/>
      <c r="KKF43" s="595"/>
      <c r="KKG43" s="595"/>
      <c r="KKH43" s="595"/>
      <c r="KKI43" s="595"/>
      <c r="KKJ43" s="595"/>
      <c r="KKK43" s="595"/>
      <c r="KKL43" s="595"/>
      <c r="KKM43" s="595"/>
      <c r="KKN43" s="595"/>
      <c r="KKO43" s="595"/>
      <c r="KKP43" s="595"/>
      <c r="KKQ43" s="595"/>
      <c r="KKR43" s="595"/>
      <c r="KKS43" s="595"/>
      <c r="KKT43" s="595"/>
      <c r="KKU43" s="595"/>
      <c r="KKV43" s="595"/>
      <c r="KKW43" s="595"/>
      <c r="KKX43" s="595"/>
      <c r="KKY43" s="595"/>
      <c r="KKZ43" s="595"/>
      <c r="KLA43" s="595"/>
      <c r="KLB43" s="595"/>
      <c r="KLC43" s="595"/>
      <c r="KLD43" s="595"/>
      <c r="KLE43" s="595"/>
      <c r="KLF43" s="595"/>
      <c r="KLG43" s="595"/>
      <c r="KLH43" s="595"/>
      <c r="KLI43" s="595"/>
      <c r="KLJ43" s="595"/>
      <c r="KLK43" s="595"/>
      <c r="KLL43" s="595"/>
      <c r="KLM43" s="595"/>
      <c r="KLN43" s="595"/>
      <c r="KLO43" s="595"/>
      <c r="KLP43" s="595"/>
      <c r="KLQ43" s="595"/>
      <c r="KLR43" s="595"/>
      <c r="KLS43" s="595"/>
      <c r="KLT43" s="595"/>
      <c r="KLU43" s="595"/>
      <c r="KLV43" s="595"/>
      <c r="KLW43" s="595"/>
      <c r="KLX43" s="595"/>
      <c r="KLY43" s="595"/>
      <c r="KLZ43" s="595"/>
      <c r="KMA43" s="595"/>
      <c r="KMB43" s="595"/>
      <c r="KMC43" s="595"/>
      <c r="KMD43" s="595"/>
      <c r="KME43" s="595"/>
      <c r="KMF43" s="595"/>
      <c r="KMG43" s="595"/>
      <c r="KMH43" s="595"/>
      <c r="KMI43" s="595"/>
      <c r="KMJ43" s="595"/>
      <c r="KMK43" s="595"/>
      <c r="KML43" s="595"/>
      <c r="KMM43" s="595"/>
      <c r="KMN43" s="595"/>
      <c r="KMO43" s="595"/>
      <c r="KMP43" s="595"/>
      <c r="KMQ43" s="595"/>
      <c r="KMR43" s="595"/>
      <c r="KMS43" s="595"/>
      <c r="KMT43" s="595"/>
      <c r="KMU43" s="595"/>
      <c r="KMV43" s="595"/>
      <c r="KMW43" s="595"/>
      <c r="KMX43" s="595"/>
      <c r="KMY43" s="595"/>
      <c r="KMZ43" s="595"/>
      <c r="KNA43" s="595"/>
      <c r="KNB43" s="595"/>
      <c r="KNC43" s="595"/>
      <c r="KND43" s="595"/>
      <c r="KNE43" s="595"/>
      <c r="KNF43" s="595"/>
      <c r="KNG43" s="595"/>
      <c r="KNH43" s="595"/>
      <c r="KNI43" s="595"/>
      <c r="KNJ43" s="595"/>
      <c r="KNK43" s="595"/>
      <c r="KNL43" s="595"/>
      <c r="KNM43" s="595"/>
      <c r="KNN43" s="595"/>
      <c r="KNO43" s="595"/>
      <c r="KNP43" s="595"/>
      <c r="KNQ43" s="595"/>
      <c r="KNR43" s="595"/>
      <c r="KNS43" s="595"/>
      <c r="KNT43" s="595"/>
      <c r="KNU43" s="595"/>
      <c r="KNV43" s="595"/>
      <c r="KNW43" s="595"/>
      <c r="KNX43" s="595"/>
      <c r="KNY43" s="595"/>
      <c r="KNZ43" s="595"/>
      <c r="KOA43" s="595"/>
      <c r="KOB43" s="595"/>
      <c r="KOC43" s="595"/>
      <c r="KOD43" s="595"/>
      <c r="KOE43" s="595"/>
      <c r="KOF43" s="595"/>
      <c r="KOG43" s="595"/>
      <c r="KOH43" s="595"/>
      <c r="KOI43" s="595"/>
      <c r="KOJ43" s="595"/>
      <c r="KOK43" s="595"/>
      <c r="KOL43" s="595"/>
      <c r="KOM43" s="595"/>
      <c r="KON43" s="595"/>
      <c r="KOO43" s="595"/>
      <c r="KOP43" s="595"/>
      <c r="KOQ43" s="595"/>
      <c r="KOR43" s="595"/>
      <c r="KOS43" s="595"/>
      <c r="KOT43" s="595"/>
      <c r="KOU43" s="595"/>
      <c r="KOV43" s="595"/>
      <c r="KOW43" s="595"/>
      <c r="KOX43" s="595"/>
      <c r="KOY43" s="595"/>
      <c r="KOZ43" s="595"/>
      <c r="KPA43" s="595"/>
      <c r="KPB43" s="595"/>
      <c r="KPC43" s="595"/>
      <c r="KPD43" s="595"/>
      <c r="KPE43" s="595"/>
      <c r="KPF43" s="595"/>
      <c r="KPG43" s="595"/>
      <c r="KPH43" s="595"/>
      <c r="KPI43" s="595"/>
      <c r="KPJ43" s="595"/>
      <c r="KPK43" s="595"/>
      <c r="KPL43" s="595"/>
      <c r="KPM43" s="595"/>
      <c r="KPN43" s="595"/>
      <c r="KPO43" s="595"/>
      <c r="KPP43" s="595"/>
      <c r="KPQ43" s="595"/>
      <c r="KPR43" s="595"/>
      <c r="KPS43" s="595"/>
      <c r="KPT43" s="595"/>
      <c r="KPU43" s="595"/>
      <c r="KPV43" s="595"/>
      <c r="KPW43" s="595"/>
      <c r="KPX43" s="595"/>
      <c r="KPY43" s="595"/>
      <c r="KPZ43" s="595"/>
      <c r="KQA43" s="595"/>
      <c r="KQB43" s="595"/>
      <c r="KQC43" s="595"/>
      <c r="KQD43" s="595"/>
      <c r="KQE43" s="595"/>
      <c r="KQF43" s="595"/>
      <c r="KQG43" s="595"/>
      <c r="KQH43" s="595"/>
      <c r="KQI43" s="595"/>
      <c r="KQJ43" s="595"/>
      <c r="KQK43" s="595"/>
      <c r="KQL43" s="595"/>
      <c r="KQM43" s="595"/>
      <c r="KQN43" s="595"/>
      <c r="KQO43" s="595"/>
      <c r="KQP43" s="595"/>
      <c r="KQQ43" s="595"/>
      <c r="KQR43" s="595"/>
      <c r="KQS43" s="595"/>
      <c r="KQT43" s="595"/>
      <c r="KQU43" s="595"/>
      <c r="KQV43" s="595"/>
      <c r="KQW43" s="595"/>
      <c r="KQX43" s="595"/>
      <c r="KQY43" s="595"/>
      <c r="KQZ43" s="595"/>
      <c r="KRA43" s="595"/>
      <c r="KRB43" s="595"/>
      <c r="KRC43" s="595"/>
      <c r="KRD43" s="595"/>
      <c r="KRE43" s="595"/>
      <c r="KRF43" s="595"/>
      <c r="KRG43" s="595"/>
      <c r="KRH43" s="595"/>
      <c r="KRI43" s="595"/>
      <c r="KRJ43" s="595"/>
      <c r="KRK43" s="595"/>
      <c r="KRL43" s="595"/>
      <c r="KRM43" s="595"/>
      <c r="KRN43" s="595"/>
      <c r="KRO43" s="595"/>
      <c r="KRP43" s="595"/>
      <c r="KRQ43" s="595"/>
      <c r="KRR43" s="595"/>
      <c r="KRS43" s="595"/>
      <c r="KRT43" s="595"/>
      <c r="KRU43" s="595"/>
      <c r="KRV43" s="595"/>
      <c r="KRW43" s="595"/>
      <c r="KRX43" s="595"/>
      <c r="KRY43" s="595"/>
      <c r="KRZ43" s="595"/>
      <c r="KSA43" s="595"/>
      <c r="KSB43" s="595"/>
      <c r="KSC43" s="595"/>
      <c r="KSD43" s="595"/>
      <c r="KSE43" s="595"/>
      <c r="KSF43" s="595"/>
      <c r="KSG43" s="595"/>
      <c r="KSH43" s="595"/>
      <c r="KSI43" s="595"/>
      <c r="KSJ43" s="595"/>
      <c r="KSK43" s="595"/>
      <c r="KSL43" s="595"/>
      <c r="KSM43" s="595"/>
      <c r="KSN43" s="595"/>
      <c r="KSO43" s="595"/>
      <c r="KSP43" s="595"/>
      <c r="KSQ43" s="595"/>
      <c r="KSR43" s="595"/>
      <c r="KSS43" s="595"/>
      <c r="KST43" s="595"/>
      <c r="KSU43" s="595"/>
      <c r="KSV43" s="595"/>
      <c r="KSW43" s="595"/>
      <c r="KSX43" s="595"/>
      <c r="KSY43" s="595"/>
      <c r="KSZ43" s="595"/>
      <c r="KTA43" s="595"/>
      <c r="KTB43" s="595"/>
      <c r="KTC43" s="595"/>
      <c r="KTD43" s="595"/>
      <c r="KTE43" s="595"/>
      <c r="KTF43" s="595"/>
      <c r="KTG43" s="595"/>
      <c r="KTH43" s="595"/>
      <c r="KTI43" s="595"/>
      <c r="KTJ43" s="595"/>
      <c r="KTK43" s="595"/>
      <c r="KTL43" s="595"/>
      <c r="KTM43" s="595"/>
      <c r="KTN43" s="595"/>
      <c r="KTO43" s="595"/>
      <c r="KTP43" s="595"/>
      <c r="KTQ43" s="595"/>
      <c r="KTR43" s="595"/>
      <c r="KTS43" s="595"/>
      <c r="KTT43" s="595"/>
      <c r="KTU43" s="595"/>
      <c r="KTV43" s="595"/>
      <c r="KTW43" s="595"/>
      <c r="KTX43" s="595"/>
      <c r="KTY43" s="595"/>
      <c r="KTZ43" s="595"/>
      <c r="KUA43" s="595"/>
      <c r="KUB43" s="595"/>
      <c r="KUC43" s="595"/>
      <c r="KUD43" s="595"/>
      <c r="KUE43" s="595"/>
      <c r="KUF43" s="595"/>
      <c r="KUG43" s="595"/>
      <c r="KUH43" s="595"/>
      <c r="KUI43" s="595"/>
      <c r="KUJ43" s="595"/>
      <c r="KUK43" s="595"/>
      <c r="KUL43" s="595"/>
      <c r="KUM43" s="595"/>
      <c r="KUN43" s="595"/>
      <c r="KUO43" s="595"/>
      <c r="KUP43" s="595"/>
      <c r="KUQ43" s="595"/>
      <c r="KUR43" s="595"/>
      <c r="KUS43" s="595"/>
      <c r="KUT43" s="595"/>
      <c r="KUU43" s="595"/>
      <c r="KUV43" s="595"/>
      <c r="KUW43" s="595"/>
      <c r="KUX43" s="595"/>
      <c r="KUY43" s="595"/>
      <c r="KUZ43" s="595"/>
      <c r="KVA43" s="595"/>
      <c r="KVB43" s="595"/>
      <c r="KVC43" s="595"/>
      <c r="KVD43" s="595"/>
      <c r="KVE43" s="595"/>
      <c r="KVF43" s="595"/>
      <c r="KVG43" s="595"/>
      <c r="KVH43" s="595"/>
      <c r="KVI43" s="595"/>
      <c r="KVJ43" s="595"/>
      <c r="KVK43" s="595"/>
      <c r="KVL43" s="595"/>
      <c r="KVM43" s="595"/>
      <c r="KVN43" s="595"/>
      <c r="KVO43" s="595"/>
      <c r="KVP43" s="595"/>
      <c r="KVQ43" s="595"/>
      <c r="KVR43" s="595"/>
      <c r="KVS43" s="595"/>
      <c r="KVT43" s="595"/>
      <c r="KVU43" s="595"/>
      <c r="KVV43" s="595"/>
      <c r="KVW43" s="595"/>
      <c r="KVX43" s="595"/>
      <c r="KVY43" s="595"/>
      <c r="KVZ43" s="595"/>
      <c r="KWA43" s="595"/>
      <c r="KWB43" s="595"/>
      <c r="KWC43" s="595"/>
      <c r="KWD43" s="595"/>
      <c r="KWE43" s="595"/>
      <c r="KWF43" s="595"/>
      <c r="KWG43" s="595"/>
      <c r="KWH43" s="595"/>
      <c r="KWI43" s="595"/>
      <c r="KWJ43" s="595"/>
      <c r="KWK43" s="595"/>
      <c r="KWL43" s="595"/>
      <c r="KWM43" s="595"/>
      <c r="KWN43" s="595"/>
      <c r="KWO43" s="595"/>
      <c r="KWP43" s="595"/>
      <c r="KWQ43" s="595"/>
      <c r="KWR43" s="595"/>
      <c r="KWS43" s="595"/>
      <c r="KWT43" s="595"/>
      <c r="KWU43" s="595"/>
      <c r="KWV43" s="595"/>
      <c r="KWW43" s="595"/>
      <c r="KWX43" s="595"/>
      <c r="KWY43" s="595"/>
      <c r="KWZ43" s="595"/>
      <c r="KXA43" s="595"/>
      <c r="KXB43" s="595"/>
      <c r="KXC43" s="595"/>
      <c r="KXD43" s="595"/>
      <c r="KXE43" s="595"/>
      <c r="KXF43" s="595"/>
      <c r="KXG43" s="595"/>
      <c r="KXH43" s="595"/>
      <c r="KXI43" s="595"/>
      <c r="KXJ43" s="595"/>
      <c r="KXK43" s="595"/>
      <c r="KXL43" s="595"/>
      <c r="KXM43" s="595"/>
      <c r="KXN43" s="595"/>
      <c r="KXO43" s="595"/>
      <c r="KXP43" s="595"/>
      <c r="KXQ43" s="595"/>
      <c r="KXR43" s="595"/>
      <c r="KXS43" s="595"/>
      <c r="KXT43" s="595"/>
      <c r="KXU43" s="595"/>
      <c r="KXV43" s="595"/>
      <c r="KXW43" s="595"/>
      <c r="KXX43" s="595"/>
      <c r="KXY43" s="595"/>
      <c r="KXZ43" s="595"/>
      <c r="KYA43" s="595"/>
      <c r="KYB43" s="595"/>
      <c r="KYC43" s="595"/>
      <c r="KYD43" s="595"/>
      <c r="KYE43" s="595"/>
      <c r="KYF43" s="595"/>
      <c r="KYG43" s="595"/>
      <c r="KYH43" s="595"/>
      <c r="KYI43" s="595"/>
      <c r="KYJ43" s="595"/>
      <c r="KYK43" s="595"/>
      <c r="KYL43" s="595"/>
      <c r="KYM43" s="595"/>
      <c r="KYN43" s="595"/>
      <c r="KYO43" s="595"/>
      <c r="KYP43" s="595"/>
      <c r="KYQ43" s="595"/>
      <c r="KYR43" s="595"/>
      <c r="KYS43" s="595"/>
      <c r="KYT43" s="595"/>
      <c r="KYU43" s="595"/>
      <c r="KYV43" s="595"/>
      <c r="KYW43" s="595"/>
      <c r="KYX43" s="595"/>
      <c r="KYY43" s="595"/>
      <c r="KYZ43" s="595"/>
      <c r="KZA43" s="595"/>
      <c r="KZB43" s="595"/>
      <c r="KZC43" s="595"/>
      <c r="KZD43" s="595"/>
      <c r="KZE43" s="595"/>
      <c r="KZF43" s="595"/>
      <c r="KZG43" s="595"/>
      <c r="KZH43" s="595"/>
      <c r="KZI43" s="595"/>
      <c r="KZJ43" s="595"/>
      <c r="KZK43" s="595"/>
      <c r="KZL43" s="595"/>
      <c r="KZM43" s="595"/>
      <c r="KZN43" s="595"/>
      <c r="KZO43" s="595"/>
      <c r="KZP43" s="595"/>
      <c r="KZQ43" s="595"/>
      <c r="KZR43" s="595"/>
      <c r="KZS43" s="595"/>
      <c r="KZT43" s="595"/>
      <c r="KZU43" s="595"/>
      <c r="KZV43" s="595"/>
      <c r="KZW43" s="595"/>
      <c r="KZX43" s="595"/>
      <c r="KZY43" s="595"/>
      <c r="KZZ43" s="595"/>
      <c r="LAA43" s="595"/>
      <c r="LAB43" s="595"/>
      <c r="LAC43" s="595"/>
      <c r="LAD43" s="595"/>
      <c r="LAE43" s="595"/>
      <c r="LAF43" s="595"/>
      <c r="LAG43" s="595"/>
      <c r="LAH43" s="595"/>
      <c r="LAI43" s="595"/>
      <c r="LAJ43" s="595"/>
      <c r="LAK43" s="595"/>
      <c r="LAL43" s="595"/>
      <c r="LAM43" s="595"/>
      <c r="LAN43" s="595"/>
      <c r="LAO43" s="595"/>
      <c r="LAP43" s="595"/>
      <c r="LAQ43" s="595"/>
      <c r="LAR43" s="595"/>
      <c r="LAS43" s="595"/>
      <c r="LAT43" s="595"/>
      <c r="LAU43" s="595"/>
      <c r="LAV43" s="595"/>
      <c r="LAW43" s="595"/>
      <c r="LAX43" s="595"/>
      <c r="LAY43" s="595"/>
      <c r="LAZ43" s="595"/>
      <c r="LBA43" s="595"/>
      <c r="LBB43" s="595"/>
      <c r="LBC43" s="595"/>
      <c r="LBD43" s="595"/>
      <c r="LBE43" s="595"/>
      <c r="LBF43" s="595"/>
      <c r="LBG43" s="595"/>
      <c r="LBH43" s="595"/>
      <c r="LBI43" s="595"/>
      <c r="LBJ43" s="595"/>
      <c r="LBK43" s="595"/>
      <c r="LBL43" s="595"/>
      <c r="LBM43" s="595"/>
      <c r="LBN43" s="595"/>
      <c r="LBO43" s="595"/>
      <c r="LBP43" s="595"/>
      <c r="LBQ43" s="595"/>
      <c r="LBR43" s="595"/>
      <c r="LBS43" s="595"/>
      <c r="LBT43" s="595"/>
      <c r="LBU43" s="595"/>
      <c r="LBV43" s="595"/>
      <c r="LBW43" s="595"/>
      <c r="LBX43" s="595"/>
      <c r="LBY43" s="595"/>
      <c r="LBZ43" s="595"/>
      <c r="LCA43" s="595"/>
      <c r="LCB43" s="595"/>
      <c r="LCC43" s="595"/>
      <c r="LCD43" s="595"/>
      <c r="LCE43" s="595"/>
      <c r="LCF43" s="595"/>
      <c r="LCG43" s="595"/>
      <c r="LCH43" s="595"/>
      <c r="LCI43" s="595"/>
      <c r="LCJ43" s="595"/>
      <c r="LCK43" s="595"/>
      <c r="LCL43" s="595"/>
      <c r="LCM43" s="595"/>
      <c r="LCN43" s="595"/>
      <c r="LCO43" s="595"/>
      <c r="LCP43" s="595"/>
      <c r="LCQ43" s="595"/>
      <c r="LCR43" s="595"/>
      <c r="LCS43" s="595"/>
      <c r="LCT43" s="595"/>
      <c r="LCU43" s="595"/>
      <c r="LCV43" s="595"/>
      <c r="LCW43" s="595"/>
      <c r="LCX43" s="595"/>
      <c r="LCY43" s="595"/>
      <c r="LCZ43" s="595"/>
      <c r="LDA43" s="595"/>
      <c r="LDB43" s="595"/>
      <c r="LDC43" s="595"/>
      <c r="LDD43" s="595"/>
      <c r="LDE43" s="595"/>
      <c r="LDF43" s="595"/>
      <c r="LDG43" s="595"/>
      <c r="LDH43" s="595"/>
      <c r="LDI43" s="595"/>
      <c r="LDJ43" s="595"/>
      <c r="LDK43" s="595"/>
      <c r="LDL43" s="595"/>
      <c r="LDM43" s="595"/>
      <c r="LDN43" s="595"/>
      <c r="LDO43" s="595"/>
      <c r="LDP43" s="595"/>
      <c r="LDQ43" s="595"/>
      <c r="LDR43" s="595"/>
      <c r="LDS43" s="595"/>
      <c r="LDT43" s="595"/>
      <c r="LDU43" s="595"/>
      <c r="LDV43" s="595"/>
      <c r="LDW43" s="595"/>
      <c r="LDX43" s="595"/>
      <c r="LDY43" s="595"/>
      <c r="LDZ43" s="595"/>
      <c r="LEA43" s="595"/>
      <c r="LEB43" s="595"/>
      <c r="LEC43" s="595"/>
      <c r="LED43" s="595"/>
      <c r="LEE43" s="595"/>
      <c r="LEF43" s="595"/>
      <c r="LEG43" s="595"/>
      <c r="LEH43" s="595"/>
      <c r="LEI43" s="595"/>
      <c r="LEJ43" s="595"/>
      <c r="LEK43" s="595"/>
      <c r="LEL43" s="595"/>
      <c r="LEM43" s="595"/>
      <c r="LEN43" s="595"/>
      <c r="LEO43" s="595"/>
      <c r="LEP43" s="595"/>
      <c r="LEQ43" s="595"/>
      <c r="LER43" s="595"/>
      <c r="LES43" s="595"/>
      <c r="LET43" s="595"/>
      <c r="LEU43" s="595"/>
      <c r="LEV43" s="595"/>
      <c r="LEW43" s="595"/>
      <c r="LEX43" s="595"/>
      <c r="LEY43" s="595"/>
      <c r="LEZ43" s="595"/>
      <c r="LFA43" s="595"/>
      <c r="LFB43" s="595"/>
      <c r="LFC43" s="595"/>
      <c r="LFD43" s="595"/>
      <c r="LFE43" s="595"/>
      <c r="LFF43" s="595"/>
      <c r="LFG43" s="595"/>
      <c r="LFH43" s="595"/>
      <c r="LFI43" s="595"/>
      <c r="LFJ43" s="595"/>
      <c r="LFK43" s="595"/>
      <c r="LFL43" s="595"/>
      <c r="LFM43" s="595"/>
      <c r="LFN43" s="595"/>
      <c r="LFO43" s="595"/>
      <c r="LFP43" s="595"/>
      <c r="LFQ43" s="595"/>
      <c r="LFR43" s="595"/>
      <c r="LFS43" s="595"/>
      <c r="LFT43" s="595"/>
      <c r="LFU43" s="595"/>
      <c r="LFV43" s="595"/>
      <c r="LFW43" s="595"/>
      <c r="LFX43" s="595"/>
      <c r="LFY43" s="595"/>
      <c r="LFZ43" s="595"/>
      <c r="LGA43" s="595"/>
      <c r="LGB43" s="595"/>
      <c r="LGC43" s="595"/>
      <c r="LGD43" s="595"/>
      <c r="LGE43" s="595"/>
      <c r="LGF43" s="595"/>
      <c r="LGG43" s="595"/>
      <c r="LGH43" s="595"/>
      <c r="LGI43" s="595"/>
      <c r="LGJ43" s="595"/>
      <c r="LGK43" s="595"/>
      <c r="LGL43" s="595"/>
      <c r="LGM43" s="595"/>
      <c r="LGN43" s="595"/>
      <c r="LGO43" s="595"/>
      <c r="LGP43" s="595"/>
      <c r="LGQ43" s="595"/>
      <c r="LGR43" s="595"/>
      <c r="LGS43" s="595"/>
      <c r="LGT43" s="595"/>
      <c r="LGU43" s="595"/>
      <c r="LGV43" s="595"/>
      <c r="LGW43" s="595"/>
      <c r="LGX43" s="595"/>
      <c r="LGY43" s="595"/>
      <c r="LGZ43" s="595"/>
      <c r="LHA43" s="595"/>
      <c r="LHB43" s="595"/>
      <c r="LHC43" s="595"/>
      <c r="LHD43" s="595"/>
      <c r="LHE43" s="595"/>
      <c r="LHF43" s="595"/>
      <c r="LHG43" s="595"/>
      <c r="LHH43" s="595"/>
      <c r="LHI43" s="595"/>
      <c r="LHJ43" s="595"/>
      <c r="LHK43" s="595"/>
      <c r="LHL43" s="595"/>
      <c r="LHM43" s="595"/>
      <c r="LHN43" s="595"/>
      <c r="LHO43" s="595"/>
      <c r="LHP43" s="595"/>
      <c r="LHQ43" s="595"/>
      <c r="LHR43" s="595"/>
      <c r="LHS43" s="595"/>
      <c r="LHT43" s="595"/>
      <c r="LHU43" s="595"/>
      <c r="LHV43" s="595"/>
      <c r="LHW43" s="595"/>
      <c r="LHX43" s="595"/>
      <c r="LHY43" s="595"/>
      <c r="LHZ43" s="595"/>
      <c r="LIA43" s="595"/>
      <c r="LIB43" s="595"/>
      <c r="LIC43" s="595"/>
      <c r="LID43" s="595"/>
      <c r="LIE43" s="595"/>
      <c r="LIF43" s="595"/>
      <c r="LIG43" s="595"/>
      <c r="LIH43" s="595"/>
      <c r="LII43" s="595"/>
      <c r="LIJ43" s="595"/>
      <c r="LIK43" s="595"/>
      <c r="LIL43" s="595"/>
      <c r="LIM43" s="595"/>
      <c r="LIN43" s="595"/>
      <c r="LIO43" s="595"/>
      <c r="LIP43" s="595"/>
      <c r="LIQ43" s="595"/>
      <c r="LIR43" s="595"/>
      <c r="LIS43" s="595"/>
      <c r="LIT43" s="595"/>
      <c r="LIU43" s="595"/>
      <c r="LIV43" s="595"/>
      <c r="LIW43" s="595"/>
      <c r="LIX43" s="595"/>
      <c r="LIY43" s="595"/>
      <c r="LIZ43" s="595"/>
      <c r="LJA43" s="595"/>
      <c r="LJB43" s="595"/>
      <c r="LJC43" s="595"/>
      <c r="LJD43" s="595"/>
      <c r="LJE43" s="595"/>
      <c r="LJF43" s="595"/>
      <c r="LJG43" s="595"/>
      <c r="LJH43" s="595"/>
      <c r="LJI43" s="595"/>
      <c r="LJJ43" s="595"/>
      <c r="LJK43" s="595"/>
      <c r="LJL43" s="595"/>
      <c r="LJM43" s="595"/>
      <c r="LJN43" s="595"/>
      <c r="LJO43" s="595"/>
      <c r="LJP43" s="595"/>
      <c r="LJQ43" s="595"/>
      <c r="LJR43" s="595"/>
      <c r="LJS43" s="595"/>
      <c r="LJT43" s="595"/>
      <c r="LJU43" s="595"/>
      <c r="LJV43" s="595"/>
      <c r="LJW43" s="595"/>
      <c r="LJX43" s="595"/>
      <c r="LJY43" s="595"/>
      <c r="LJZ43" s="595"/>
      <c r="LKA43" s="595"/>
      <c r="LKB43" s="595"/>
      <c r="LKC43" s="595"/>
      <c r="LKD43" s="595"/>
      <c r="LKE43" s="595"/>
      <c r="LKF43" s="595"/>
      <c r="LKG43" s="595"/>
      <c r="LKH43" s="595"/>
      <c r="LKI43" s="595"/>
      <c r="LKJ43" s="595"/>
      <c r="LKK43" s="595"/>
      <c r="LKL43" s="595"/>
      <c r="LKM43" s="595"/>
      <c r="LKN43" s="595"/>
      <c r="LKO43" s="595"/>
      <c r="LKP43" s="595"/>
      <c r="LKQ43" s="595"/>
      <c r="LKR43" s="595"/>
      <c r="LKS43" s="595"/>
      <c r="LKT43" s="595"/>
      <c r="LKU43" s="595"/>
      <c r="LKV43" s="595"/>
      <c r="LKW43" s="595"/>
      <c r="LKX43" s="595"/>
      <c r="LKY43" s="595"/>
      <c r="LKZ43" s="595"/>
      <c r="LLA43" s="595"/>
      <c r="LLB43" s="595"/>
      <c r="LLC43" s="595"/>
      <c r="LLD43" s="595"/>
      <c r="LLE43" s="595"/>
      <c r="LLF43" s="595"/>
      <c r="LLG43" s="595"/>
      <c r="LLH43" s="595"/>
      <c r="LLI43" s="595"/>
      <c r="LLJ43" s="595"/>
      <c r="LLK43" s="595"/>
      <c r="LLL43" s="595"/>
      <c r="LLM43" s="595"/>
      <c r="LLN43" s="595"/>
      <c r="LLO43" s="595"/>
      <c r="LLP43" s="595"/>
      <c r="LLQ43" s="595"/>
      <c r="LLR43" s="595"/>
      <c r="LLS43" s="595"/>
      <c r="LLT43" s="595"/>
      <c r="LLU43" s="595"/>
      <c r="LLV43" s="595"/>
      <c r="LLW43" s="595"/>
      <c r="LLX43" s="595"/>
      <c r="LLY43" s="595"/>
      <c r="LLZ43" s="595"/>
      <c r="LMA43" s="595"/>
      <c r="LMB43" s="595"/>
      <c r="LMC43" s="595"/>
      <c r="LMD43" s="595"/>
      <c r="LME43" s="595"/>
      <c r="LMF43" s="595"/>
      <c r="LMG43" s="595"/>
      <c r="LMH43" s="595"/>
      <c r="LMI43" s="595"/>
      <c r="LMJ43" s="595"/>
      <c r="LMK43" s="595"/>
      <c r="LML43" s="595"/>
      <c r="LMM43" s="595"/>
      <c r="LMN43" s="595"/>
      <c r="LMO43" s="595"/>
      <c r="LMP43" s="595"/>
      <c r="LMQ43" s="595"/>
      <c r="LMR43" s="595"/>
      <c r="LMS43" s="595"/>
      <c r="LMT43" s="595"/>
      <c r="LMU43" s="595"/>
      <c r="LMV43" s="595"/>
      <c r="LMW43" s="595"/>
      <c r="LMX43" s="595"/>
      <c r="LMY43" s="595"/>
      <c r="LMZ43" s="595"/>
      <c r="LNA43" s="595"/>
      <c r="LNB43" s="595"/>
      <c r="LNC43" s="595"/>
      <c r="LND43" s="595"/>
      <c r="LNE43" s="595"/>
      <c r="LNF43" s="595"/>
      <c r="LNG43" s="595"/>
      <c r="LNH43" s="595"/>
      <c r="LNI43" s="595"/>
      <c r="LNJ43" s="595"/>
      <c r="LNK43" s="595"/>
      <c r="LNL43" s="595"/>
      <c r="LNM43" s="595"/>
      <c r="LNN43" s="595"/>
      <c r="LNO43" s="595"/>
      <c r="LNP43" s="595"/>
      <c r="LNQ43" s="595"/>
      <c r="LNR43" s="595"/>
      <c r="LNS43" s="595"/>
      <c r="LNT43" s="595"/>
      <c r="LNU43" s="595"/>
      <c r="LNV43" s="595"/>
      <c r="LNW43" s="595"/>
      <c r="LNX43" s="595"/>
      <c r="LNY43" s="595"/>
      <c r="LNZ43" s="595"/>
      <c r="LOA43" s="595"/>
      <c r="LOB43" s="595"/>
      <c r="LOC43" s="595"/>
      <c r="LOD43" s="595"/>
      <c r="LOE43" s="595"/>
      <c r="LOF43" s="595"/>
      <c r="LOG43" s="595"/>
      <c r="LOH43" s="595"/>
      <c r="LOI43" s="595"/>
      <c r="LOJ43" s="595"/>
      <c r="LOK43" s="595"/>
      <c r="LOL43" s="595"/>
      <c r="LOM43" s="595"/>
      <c r="LON43" s="595"/>
      <c r="LOO43" s="595"/>
      <c r="LOP43" s="595"/>
      <c r="LOQ43" s="595"/>
      <c r="LOR43" s="595"/>
      <c r="LOS43" s="595"/>
      <c r="LOT43" s="595"/>
      <c r="LOU43" s="595"/>
      <c r="LOV43" s="595"/>
      <c r="LOW43" s="595"/>
      <c r="LOX43" s="595"/>
      <c r="LOY43" s="595"/>
      <c r="LOZ43" s="595"/>
      <c r="LPA43" s="595"/>
      <c r="LPB43" s="595"/>
      <c r="LPC43" s="595"/>
      <c r="LPD43" s="595"/>
      <c r="LPE43" s="595"/>
      <c r="LPF43" s="595"/>
      <c r="LPG43" s="595"/>
      <c r="LPH43" s="595"/>
      <c r="LPI43" s="595"/>
      <c r="LPJ43" s="595"/>
      <c r="LPK43" s="595"/>
      <c r="LPL43" s="595"/>
      <c r="LPM43" s="595"/>
      <c r="LPN43" s="595"/>
      <c r="LPO43" s="595"/>
      <c r="LPP43" s="595"/>
      <c r="LPQ43" s="595"/>
      <c r="LPR43" s="595"/>
      <c r="LPS43" s="595"/>
      <c r="LPT43" s="595"/>
      <c r="LPU43" s="595"/>
      <c r="LPV43" s="595"/>
      <c r="LPW43" s="595"/>
      <c r="LPX43" s="595"/>
      <c r="LPY43" s="595"/>
      <c r="LPZ43" s="595"/>
      <c r="LQA43" s="595"/>
      <c r="LQB43" s="595"/>
      <c r="LQC43" s="595"/>
      <c r="LQD43" s="595"/>
      <c r="LQE43" s="595"/>
      <c r="LQF43" s="595"/>
      <c r="LQG43" s="595"/>
      <c r="LQH43" s="595"/>
      <c r="LQI43" s="595"/>
      <c r="LQJ43" s="595"/>
      <c r="LQK43" s="595"/>
      <c r="LQL43" s="595"/>
      <c r="LQM43" s="595"/>
      <c r="LQN43" s="595"/>
      <c r="LQO43" s="595"/>
      <c r="LQP43" s="595"/>
      <c r="LQQ43" s="595"/>
      <c r="LQR43" s="595"/>
      <c r="LQS43" s="595"/>
      <c r="LQT43" s="595"/>
      <c r="LQU43" s="595"/>
      <c r="LQV43" s="595"/>
      <c r="LQW43" s="595"/>
      <c r="LQX43" s="595"/>
      <c r="LQY43" s="595"/>
      <c r="LQZ43" s="595"/>
      <c r="LRA43" s="595"/>
      <c r="LRB43" s="595"/>
      <c r="LRC43" s="595"/>
      <c r="LRD43" s="595"/>
      <c r="LRE43" s="595"/>
      <c r="LRF43" s="595"/>
      <c r="LRG43" s="595"/>
      <c r="LRH43" s="595"/>
      <c r="LRI43" s="595"/>
      <c r="LRJ43" s="595"/>
      <c r="LRK43" s="595"/>
      <c r="LRL43" s="595"/>
      <c r="LRM43" s="595"/>
      <c r="LRN43" s="595"/>
      <c r="LRO43" s="595"/>
      <c r="LRP43" s="595"/>
      <c r="LRQ43" s="595"/>
      <c r="LRR43" s="595"/>
      <c r="LRS43" s="595"/>
      <c r="LRT43" s="595"/>
      <c r="LRU43" s="595"/>
      <c r="LRV43" s="595"/>
      <c r="LRW43" s="595"/>
      <c r="LRX43" s="595"/>
      <c r="LRY43" s="595"/>
      <c r="LRZ43" s="595"/>
      <c r="LSA43" s="595"/>
      <c r="LSB43" s="595"/>
      <c r="LSC43" s="595"/>
      <c r="LSD43" s="595"/>
      <c r="LSE43" s="595"/>
      <c r="LSF43" s="595"/>
      <c r="LSG43" s="595"/>
      <c r="LSH43" s="595"/>
      <c r="LSI43" s="595"/>
      <c r="LSJ43" s="595"/>
      <c r="LSK43" s="595"/>
      <c r="LSL43" s="595"/>
      <c r="LSM43" s="595"/>
      <c r="LSN43" s="595"/>
      <c r="LSO43" s="595"/>
      <c r="LSP43" s="595"/>
      <c r="LSQ43" s="595"/>
      <c r="LSR43" s="595"/>
      <c r="LSS43" s="595"/>
      <c r="LST43" s="595"/>
      <c r="LSU43" s="595"/>
      <c r="LSV43" s="595"/>
      <c r="LSW43" s="595"/>
      <c r="LSX43" s="595"/>
      <c r="LSY43" s="595"/>
      <c r="LSZ43" s="595"/>
      <c r="LTA43" s="595"/>
      <c r="LTB43" s="595"/>
      <c r="LTC43" s="595"/>
      <c r="LTD43" s="595"/>
      <c r="LTE43" s="595"/>
      <c r="LTF43" s="595"/>
      <c r="LTG43" s="595"/>
      <c r="LTH43" s="595"/>
      <c r="LTI43" s="595"/>
      <c r="LTJ43" s="595"/>
      <c r="LTK43" s="595"/>
      <c r="LTL43" s="595"/>
      <c r="LTM43" s="595"/>
      <c r="LTN43" s="595"/>
      <c r="LTO43" s="595"/>
      <c r="LTP43" s="595"/>
      <c r="LTQ43" s="595"/>
      <c r="LTR43" s="595"/>
      <c r="LTS43" s="595"/>
      <c r="LTT43" s="595"/>
      <c r="LTU43" s="595"/>
      <c r="LTV43" s="595"/>
      <c r="LTW43" s="595"/>
      <c r="LTX43" s="595"/>
      <c r="LTY43" s="595"/>
      <c r="LTZ43" s="595"/>
      <c r="LUA43" s="595"/>
      <c r="LUB43" s="595"/>
      <c r="LUC43" s="595"/>
      <c r="LUD43" s="595"/>
      <c r="LUE43" s="595"/>
      <c r="LUF43" s="595"/>
      <c r="LUG43" s="595"/>
      <c r="LUH43" s="595"/>
      <c r="LUI43" s="595"/>
      <c r="LUJ43" s="595"/>
      <c r="LUK43" s="595"/>
      <c r="LUL43" s="595"/>
      <c r="LUM43" s="595"/>
      <c r="LUN43" s="595"/>
      <c r="LUO43" s="595"/>
      <c r="LUP43" s="595"/>
      <c r="LUQ43" s="595"/>
      <c r="LUR43" s="595"/>
      <c r="LUS43" s="595"/>
      <c r="LUT43" s="595"/>
      <c r="LUU43" s="595"/>
      <c r="LUV43" s="595"/>
      <c r="LUW43" s="595"/>
      <c r="LUX43" s="595"/>
      <c r="LUY43" s="595"/>
      <c r="LUZ43" s="595"/>
      <c r="LVA43" s="595"/>
      <c r="LVB43" s="595"/>
      <c r="LVC43" s="595"/>
      <c r="LVD43" s="595"/>
      <c r="LVE43" s="595"/>
      <c r="LVF43" s="595"/>
      <c r="LVG43" s="595"/>
      <c r="LVH43" s="595"/>
      <c r="LVI43" s="595"/>
      <c r="LVJ43" s="595"/>
      <c r="LVK43" s="595"/>
      <c r="LVL43" s="595"/>
      <c r="LVM43" s="595"/>
      <c r="LVN43" s="595"/>
      <c r="LVO43" s="595"/>
      <c r="LVP43" s="595"/>
      <c r="LVQ43" s="595"/>
      <c r="LVR43" s="595"/>
      <c r="LVS43" s="595"/>
      <c r="LVT43" s="595"/>
      <c r="LVU43" s="595"/>
      <c r="LVV43" s="595"/>
      <c r="LVW43" s="595"/>
      <c r="LVX43" s="595"/>
      <c r="LVY43" s="595"/>
      <c r="LVZ43" s="595"/>
      <c r="LWA43" s="595"/>
      <c r="LWB43" s="595"/>
      <c r="LWC43" s="595"/>
      <c r="LWD43" s="595"/>
      <c r="LWE43" s="595"/>
      <c r="LWF43" s="595"/>
      <c r="LWG43" s="595"/>
      <c r="LWH43" s="595"/>
      <c r="LWI43" s="595"/>
      <c r="LWJ43" s="595"/>
      <c r="LWK43" s="595"/>
      <c r="LWL43" s="595"/>
      <c r="LWM43" s="595"/>
      <c r="LWN43" s="595"/>
      <c r="LWO43" s="595"/>
      <c r="LWP43" s="595"/>
      <c r="LWQ43" s="595"/>
      <c r="LWR43" s="595"/>
      <c r="LWS43" s="595"/>
      <c r="LWT43" s="595"/>
      <c r="LWU43" s="595"/>
      <c r="LWV43" s="595"/>
      <c r="LWW43" s="595"/>
      <c r="LWX43" s="595"/>
      <c r="LWY43" s="595"/>
      <c r="LWZ43" s="595"/>
      <c r="LXA43" s="595"/>
      <c r="LXB43" s="595"/>
      <c r="LXC43" s="595"/>
      <c r="LXD43" s="595"/>
      <c r="LXE43" s="595"/>
      <c r="LXF43" s="595"/>
      <c r="LXG43" s="595"/>
      <c r="LXH43" s="595"/>
      <c r="LXI43" s="595"/>
      <c r="LXJ43" s="595"/>
      <c r="LXK43" s="595"/>
      <c r="LXL43" s="595"/>
      <c r="LXM43" s="595"/>
      <c r="LXN43" s="595"/>
      <c r="LXO43" s="595"/>
      <c r="LXP43" s="595"/>
      <c r="LXQ43" s="595"/>
      <c r="LXR43" s="595"/>
      <c r="LXS43" s="595"/>
      <c r="LXT43" s="595"/>
      <c r="LXU43" s="595"/>
      <c r="LXV43" s="595"/>
      <c r="LXW43" s="595"/>
      <c r="LXX43" s="595"/>
      <c r="LXY43" s="595"/>
      <c r="LXZ43" s="595"/>
      <c r="LYA43" s="595"/>
      <c r="LYB43" s="595"/>
      <c r="LYC43" s="595"/>
      <c r="LYD43" s="595"/>
      <c r="LYE43" s="595"/>
      <c r="LYF43" s="595"/>
      <c r="LYG43" s="595"/>
      <c r="LYH43" s="595"/>
      <c r="LYI43" s="595"/>
      <c r="LYJ43" s="595"/>
      <c r="LYK43" s="595"/>
      <c r="LYL43" s="595"/>
      <c r="LYM43" s="595"/>
      <c r="LYN43" s="595"/>
      <c r="LYO43" s="595"/>
      <c r="LYP43" s="595"/>
      <c r="LYQ43" s="595"/>
      <c r="LYR43" s="595"/>
      <c r="LYS43" s="595"/>
      <c r="LYT43" s="595"/>
      <c r="LYU43" s="595"/>
      <c r="LYV43" s="595"/>
      <c r="LYW43" s="595"/>
      <c r="LYX43" s="595"/>
      <c r="LYY43" s="595"/>
      <c r="LYZ43" s="595"/>
      <c r="LZA43" s="595"/>
      <c r="LZB43" s="595"/>
      <c r="LZC43" s="595"/>
      <c r="LZD43" s="595"/>
      <c r="LZE43" s="595"/>
      <c r="LZF43" s="595"/>
      <c r="LZG43" s="595"/>
      <c r="LZH43" s="595"/>
      <c r="LZI43" s="595"/>
      <c r="LZJ43" s="595"/>
      <c r="LZK43" s="595"/>
      <c r="LZL43" s="595"/>
      <c r="LZM43" s="595"/>
      <c r="LZN43" s="595"/>
      <c r="LZO43" s="595"/>
      <c r="LZP43" s="595"/>
      <c r="LZQ43" s="595"/>
      <c r="LZR43" s="595"/>
      <c r="LZS43" s="595"/>
      <c r="LZT43" s="595"/>
      <c r="LZU43" s="595"/>
      <c r="LZV43" s="595"/>
      <c r="LZW43" s="595"/>
      <c r="LZX43" s="595"/>
      <c r="LZY43" s="595"/>
      <c r="LZZ43" s="595"/>
      <c r="MAA43" s="595"/>
      <c r="MAB43" s="595"/>
      <c r="MAC43" s="595"/>
      <c r="MAD43" s="595"/>
      <c r="MAE43" s="595"/>
      <c r="MAF43" s="595"/>
      <c r="MAG43" s="595"/>
      <c r="MAH43" s="595"/>
      <c r="MAI43" s="595"/>
      <c r="MAJ43" s="595"/>
      <c r="MAK43" s="595"/>
      <c r="MAL43" s="595"/>
      <c r="MAM43" s="595"/>
      <c r="MAN43" s="595"/>
      <c r="MAO43" s="595"/>
      <c r="MAP43" s="595"/>
      <c r="MAQ43" s="595"/>
      <c r="MAR43" s="595"/>
      <c r="MAS43" s="595"/>
      <c r="MAT43" s="595"/>
      <c r="MAU43" s="595"/>
      <c r="MAV43" s="595"/>
      <c r="MAW43" s="595"/>
      <c r="MAX43" s="595"/>
      <c r="MAY43" s="595"/>
      <c r="MAZ43" s="595"/>
      <c r="MBA43" s="595"/>
      <c r="MBB43" s="595"/>
      <c r="MBC43" s="595"/>
      <c r="MBD43" s="595"/>
      <c r="MBE43" s="595"/>
      <c r="MBF43" s="595"/>
      <c r="MBG43" s="595"/>
      <c r="MBH43" s="595"/>
      <c r="MBI43" s="595"/>
      <c r="MBJ43" s="595"/>
      <c r="MBK43" s="595"/>
      <c r="MBL43" s="595"/>
      <c r="MBM43" s="595"/>
      <c r="MBN43" s="595"/>
      <c r="MBO43" s="595"/>
      <c r="MBP43" s="595"/>
      <c r="MBQ43" s="595"/>
      <c r="MBR43" s="595"/>
      <c r="MBS43" s="595"/>
      <c r="MBT43" s="595"/>
      <c r="MBU43" s="595"/>
      <c r="MBV43" s="595"/>
      <c r="MBW43" s="595"/>
      <c r="MBX43" s="595"/>
      <c r="MBY43" s="595"/>
      <c r="MBZ43" s="595"/>
      <c r="MCA43" s="595"/>
      <c r="MCB43" s="595"/>
      <c r="MCC43" s="595"/>
      <c r="MCD43" s="595"/>
      <c r="MCE43" s="595"/>
      <c r="MCF43" s="595"/>
      <c r="MCG43" s="595"/>
      <c r="MCH43" s="595"/>
      <c r="MCI43" s="595"/>
      <c r="MCJ43" s="595"/>
      <c r="MCK43" s="595"/>
      <c r="MCL43" s="595"/>
      <c r="MCM43" s="595"/>
      <c r="MCN43" s="595"/>
      <c r="MCO43" s="595"/>
      <c r="MCP43" s="595"/>
      <c r="MCQ43" s="595"/>
      <c r="MCR43" s="595"/>
      <c r="MCS43" s="595"/>
      <c r="MCT43" s="595"/>
      <c r="MCU43" s="595"/>
      <c r="MCV43" s="595"/>
      <c r="MCW43" s="595"/>
      <c r="MCX43" s="595"/>
      <c r="MCY43" s="595"/>
      <c r="MCZ43" s="595"/>
      <c r="MDA43" s="595"/>
      <c r="MDB43" s="595"/>
      <c r="MDC43" s="595"/>
      <c r="MDD43" s="595"/>
      <c r="MDE43" s="595"/>
      <c r="MDF43" s="595"/>
      <c r="MDG43" s="595"/>
      <c r="MDH43" s="595"/>
      <c r="MDI43" s="595"/>
      <c r="MDJ43" s="595"/>
      <c r="MDK43" s="595"/>
      <c r="MDL43" s="595"/>
      <c r="MDM43" s="595"/>
      <c r="MDN43" s="595"/>
      <c r="MDO43" s="595"/>
      <c r="MDP43" s="595"/>
      <c r="MDQ43" s="595"/>
      <c r="MDR43" s="595"/>
      <c r="MDS43" s="595"/>
      <c r="MDT43" s="595"/>
      <c r="MDU43" s="595"/>
      <c r="MDV43" s="595"/>
      <c r="MDW43" s="595"/>
      <c r="MDX43" s="595"/>
      <c r="MDY43" s="595"/>
      <c r="MDZ43" s="595"/>
      <c r="MEA43" s="595"/>
      <c r="MEB43" s="595"/>
      <c r="MEC43" s="595"/>
      <c r="MED43" s="595"/>
      <c r="MEE43" s="595"/>
      <c r="MEF43" s="595"/>
      <c r="MEG43" s="595"/>
      <c r="MEH43" s="595"/>
      <c r="MEI43" s="595"/>
      <c r="MEJ43" s="595"/>
      <c r="MEK43" s="595"/>
      <c r="MEL43" s="595"/>
      <c r="MEM43" s="595"/>
      <c r="MEN43" s="595"/>
      <c r="MEO43" s="595"/>
      <c r="MEP43" s="595"/>
      <c r="MEQ43" s="595"/>
      <c r="MER43" s="595"/>
      <c r="MES43" s="595"/>
      <c r="MET43" s="595"/>
      <c r="MEU43" s="595"/>
      <c r="MEV43" s="595"/>
      <c r="MEW43" s="595"/>
      <c r="MEX43" s="595"/>
      <c r="MEY43" s="595"/>
      <c r="MEZ43" s="595"/>
      <c r="MFA43" s="595"/>
      <c r="MFB43" s="595"/>
      <c r="MFC43" s="595"/>
      <c r="MFD43" s="595"/>
      <c r="MFE43" s="595"/>
      <c r="MFF43" s="595"/>
      <c r="MFG43" s="595"/>
      <c r="MFH43" s="595"/>
      <c r="MFI43" s="595"/>
      <c r="MFJ43" s="595"/>
      <c r="MFK43" s="595"/>
      <c r="MFL43" s="595"/>
      <c r="MFM43" s="595"/>
      <c r="MFN43" s="595"/>
      <c r="MFO43" s="595"/>
      <c r="MFP43" s="595"/>
      <c r="MFQ43" s="595"/>
      <c r="MFR43" s="595"/>
      <c r="MFS43" s="595"/>
      <c r="MFT43" s="595"/>
      <c r="MFU43" s="595"/>
      <c r="MFV43" s="595"/>
      <c r="MFW43" s="595"/>
      <c r="MFX43" s="595"/>
      <c r="MFY43" s="595"/>
      <c r="MFZ43" s="595"/>
      <c r="MGA43" s="595"/>
      <c r="MGB43" s="595"/>
      <c r="MGC43" s="595"/>
      <c r="MGD43" s="595"/>
      <c r="MGE43" s="595"/>
      <c r="MGF43" s="595"/>
      <c r="MGG43" s="595"/>
      <c r="MGH43" s="595"/>
      <c r="MGI43" s="595"/>
      <c r="MGJ43" s="595"/>
      <c r="MGK43" s="595"/>
      <c r="MGL43" s="595"/>
      <c r="MGM43" s="595"/>
      <c r="MGN43" s="595"/>
      <c r="MGO43" s="595"/>
      <c r="MGP43" s="595"/>
      <c r="MGQ43" s="595"/>
      <c r="MGR43" s="595"/>
      <c r="MGS43" s="595"/>
      <c r="MGT43" s="595"/>
      <c r="MGU43" s="595"/>
      <c r="MGV43" s="595"/>
      <c r="MGW43" s="595"/>
      <c r="MGX43" s="595"/>
      <c r="MGY43" s="595"/>
      <c r="MGZ43" s="595"/>
      <c r="MHA43" s="595"/>
      <c r="MHB43" s="595"/>
      <c r="MHC43" s="595"/>
      <c r="MHD43" s="595"/>
      <c r="MHE43" s="595"/>
      <c r="MHF43" s="595"/>
      <c r="MHG43" s="595"/>
      <c r="MHH43" s="595"/>
      <c r="MHI43" s="595"/>
      <c r="MHJ43" s="595"/>
      <c r="MHK43" s="595"/>
      <c r="MHL43" s="595"/>
      <c r="MHM43" s="595"/>
      <c r="MHN43" s="595"/>
      <c r="MHO43" s="595"/>
      <c r="MHP43" s="595"/>
      <c r="MHQ43" s="595"/>
      <c r="MHR43" s="595"/>
      <c r="MHS43" s="595"/>
      <c r="MHT43" s="595"/>
      <c r="MHU43" s="595"/>
      <c r="MHV43" s="595"/>
      <c r="MHW43" s="595"/>
      <c r="MHX43" s="595"/>
      <c r="MHY43" s="595"/>
      <c r="MHZ43" s="595"/>
      <c r="MIA43" s="595"/>
      <c r="MIB43" s="595"/>
      <c r="MIC43" s="595"/>
      <c r="MID43" s="595"/>
      <c r="MIE43" s="595"/>
      <c r="MIF43" s="595"/>
      <c r="MIG43" s="595"/>
      <c r="MIH43" s="595"/>
      <c r="MII43" s="595"/>
      <c r="MIJ43" s="595"/>
      <c r="MIK43" s="595"/>
      <c r="MIL43" s="595"/>
      <c r="MIM43" s="595"/>
      <c r="MIN43" s="595"/>
      <c r="MIO43" s="595"/>
      <c r="MIP43" s="595"/>
      <c r="MIQ43" s="595"/>
      <c r="MIR43" s="595"/>
      <c r="MIS43" s="595"/>
      <c r="MIT43" s="595"/>
      <c r="MIU43" s="595"/>
      <c r="MIV43" s="595"/>
      <c r="MIW43" s="595"/>
      <c r="MIX43" s="595"/>
      <c r="MIY43" s="595"/>
      <c r="MIZ43" s="595"/>
      <c r="MJA43" s="595"/>
      <c r="MJB43" s="595"/>
      <c r="MJC43" s="595"/>
      <c r="MJD43" s="595"/>
      <c r="MJE43" s="595"/>
      <c r="MJF43" s="595"/>
      <c r="MJG43" s="595"/>
      <c r="MJH43" s="595"/>
      <c r="MJI43" s="595"/>
      <c r="MJJ43" s="595"/>
      <c r="MJK43" s="595"/>
      <c r="MJL43" s="595"/>
      <c r="MJM43" s="595"/>
      <c r="MJN43" s="595"/>
      <c r="MJO43" s="595"/>
      <c r="MJP43" s="595"/>
      <c r="MJQ43" s="595"/>
      <c r="MJR43" s="595"/>
      <c r="MJS43" s="595"/>
      <c r="MJT43" s="595"/>
      <c r="MJU43" s="595"/>
      <c r="MJV43" s="595"/>
      <c r="MJW43" s="595"/>
      <c r="MJX43" s="595"/>
      <c r="MJY43" s="595"/>
      <c r="MJZ43" s="595"/>
      <c r="MKA43" s="595"/>
      <c r="MKB43" s="595"/>
      <c r="MKC43" s="595"/>
      <c r="MKD43" s="595"/>
      <c r="MKE43" s="595"/>
      <c r="MKF43" s="595"/>
      <c r="MKG43" s="595"/>
      <c r="MKH43" s="595"/>
      <c r="MKI43" s="595"/>
      <c r="MKJ43" s="595"/>
      <c r="MKK43" s="595"/>
      <c r="MKL43" s="595"/>
      <c r="MKM43" s="595"/>
      <c r="MKN43" s="595"/>
      <c r="MKO43" s="595"/>
      <c r="MKP43" s="595"/>
      <c r="MKQ43" s="595"/>
      <c r="MKR43" s="595"/>
      <c r="MKS43" s="595"/>
      <c r="MKT43" s="595"/>
      <c r="MKU43" s="595"/>
      <c r="MKV43" s="595"/>
      <c r="MKW43" s="595"/>
      <c r="MKX43" s="595"/>
      <c r="MKY43" s="595"/>
      <c r="MKZ43" s="595"/>
      <c r="MLA43" s="595"/>
      <c r="MLB43" s="595"/>
      <c r="MLC43" s="595"/>
      <c r="MLD43" s="595"/>
      <c r="MLE43" s="595"/>
      <c r="MLF43" s="595"/>
      <c r="MLG43" s="595"/>
      <c r="MLH43" s="595"/>
      <c r="MLI43" s="595"/>
      <c r="MLJ43" s="595"/>
      <c r="MLK43" s="595"/>
      <c r="MLL43" s="595"/>
      <c r="MLM43" s="595"/>
      <c r="MLN43" s="595"/>
      <c r="MLO43" s="595"/>
      <c r="MLP43" s="595"/>
      <c r="MLQ43" s="595"/>
      <c r="MLR43" s="595"/>
      <c r="MLS43" s="595"/>
      <c r="MLT43" s="595"/>
      <c r="MLU43" s="595"/>
      <c r="MLV43" s="595"/>
      <c r="MLW43" s="595"/>
      <c r="MLX43" s="595"/>
      <c r="MLY43" s="595"/>
      <c r="MLZ43" s="595"/>
      <c r="MMA43" s="595"/>
      <c r="MMB43" s="595"/>
      <c r="MMC43" s="595"/>
      <c r="MMD43" s="595"/>
      <c r="MME43" s="595"/>
      <c r="MMF43" s="595"/>
      <c r="MMG43" s="595"/>
      <c r="MMH43" s="595"/>
      <c r="MMI43" s="595"/>
      <c r="MMJ43" s="595"/>
      <c r="MMK43" s="595"/>
      <c r="MML43" s="595"/>
      <c r="MMM43" s="595"/>
      <c r="MMN43" s="595"/>
      <c r="MMO43" s="595"/>
      <c r="MMP43" s="595"/>
      <c r="MMQ43" s="595"/>
      <c r="MMR43" s="595"/>
      <c r="MMS43" s="595"/>
      <c r="MMT43" s="595"/>
      <c r="MMU43" s="595"/>
      <c r="MMV43" s="595"/>
      <c r="MMW43" s="595"/>
      <c r="MMX43" s="595"/>
      <c r="MMY43" s="595"/>
      <c r="MMZ43" s="595"/>
      <c r="MNA43" s="595"/>
      <c r="MNB43" s="595"/>
      <c r="MNC43" s="595"/>
      <c r="MND43" s="595"/>
      <c r="MNE43" s="595"/>
      <c r="MNF43" s="595"/>
      <c r="MNG43" s="595"/>
      <c r="MNH43" s="595"/>
      <c r="MNI43" s="595"/>
      <c r="MNJ43" s="595"/>
      <c r="MNK43" s="595"/>
      <c r="MNL43" s="595"/>
      <c r="MNM43" s="595"/>
      <c r="MNN43" s="595"/>
      <c r="MNO43" s="595"/>
      <c r="MNP43" s="595"/>
      <c r="MNQ43" s="595"/>
      <c r="MNR43" s="595"/>
      <c r="MNS43" s="595"/>
      <c r="MNT43" s="595"/>
      <c r="MNU43" s="595"/>
      <c r="MNV43" s="595"/>
      <c r="MNW43" s="595"/>
      <c r="MNX43" s="595"/>
      <c r="MNY43" s="595"/>
      <c r="MNZ43" s="595"/>
      <c r="MOA43" s="595"/>
      <c r="MOB43" s="595"/>
      <c r="MOC43" s="595"/>
      <c r="MOD43" s="595"/>
      <c r="MOE43" s="595"/>
      <c r="MOF43" s="595"/>
      <c r="MOG43" s="595"/>
      <c r="MOH43" s="595"/>
      <c r="MOI43" s="595"/>
      <c r="MOJ43" s="595"/>
      <c r="MOK43" s="595"/>
      <c r="MOL43" s="595"/>
      <c r="MOM43" s="595"/>
      <c r="MON43" s="595"/>
      <c r="MOO43" s="595"/>
      <c r="MOP43" s="595"/>
      <c r="MOQ43" s="595"/>
      <c r="MOR43" s="595"/>
      <c r="MOS43" s="595"/>
      <c r="MOT43" s="595"/>
      <c r="MOU43" s="595"/>
      <c r="MOV43" s="595"/>
      <c r="MOW43" s="595"/>
      <c r="MOX43" s="595"/>
      <c r="MOY43" s="595"/>
      <c r="MOZ43" s="595"/>
      <c r="MPA43" s="595"/>
      <c r="MPB43" s="595"/>
      <c r="MPC43" s="595"/>
      <c r="MPD43" s="595"/>
      <c r="MPE43" s="595"/>
      <c r="MPF43" s="595"/>
      <c r="MPG43" s="595"/>
      <c r="MPH43" s="595"/>
      <c r="MPI43" s="595"/>
      <c r="MPJ43" s="595"/>
      <c r="MPK43" s="595"/>
      <c r="MPL43" s="595"/>
      <c r="MPM43" s="595"/>
      <c r="MPN43" s="595"/>
      <c r="MPO43" s="595"/>
      <c r="MPP43" s="595"/>
      <c r="MPQ43" s="595"/>
      <c r="MPR43" s="595"/>
      <c r="MPS43" s="595"/>
      <c r="MPT43" s="595"/>
      <c r="MPU43" s="595"/>
      <c r="MPV43" s="595"/>
      <c r="MPW43" s="595"/>
      <c r="MPX43" s="595"/>
      <c r="MPY43" s="595"/>
      <c r="MPZ43" s="595"/>
      <c r="MQA43" s="595"/>
      <c r="MQB43" s="595"/>
      <c r="MQC43" s="595"/>
      <c r="MQD43" s="595"/>
      <c r="MQE43" s="595"/>
      <c r="MQF43" s="595"/>
      <c r="MQG43" s="595"/>
      <c r="MQH43" s="595"/>
      <c r="MQI43" s="595"/>
      <c r="MQJ43" s="595"/>
      <c r="MQK43" s="595"/>
      <c r="MQL43" s="595"/>
      <c r="MQM43" s="595"/>
      <c r="MQN43" s="595"/>
      <c r="MQO43" s="595"/>
      <c r="MQP43" s="595"/>
      <c r="MQQ43" s="595"/>
      <c r="MQR43" s="595"/>
      <c r="MQS43" s="595"/>
      <c r="MQT43" s="595"/>
      <c r="MQU43" s="595"/>
      <c r="MQV43" s="595"/>
      <c r="MQW43" s="595"/>
      <c r="MQX43" s="595"/>
      <c r="MQY43" s="595"/>
      <c r="MQZ43" s="595"/>
      <c r="MRA43" s="595"/>
      <c r="MRB43" s="595"/>
      <c r="MRC43" s="595"/>
      <c r="MRD43" s="595"/>
      <c r="MRE43" s="595"/>
      <c r="MRF43" s="595"/>
      <c r="MRG43" s="595"/>
      <c r="MRH43" s="595"/>
      <c r="MRI43" s="595"/>
      <c r="MRJ43" s="595"/>
      <c r="MRK43" s="595"/>
      <c r="MRL43" s="595"/>
      <c r="MRM43" s="595"/>
      <c r="MRN43" s="595"/>
      <c r="MRO43" s="595"/>
      <c r="MRP43" s="595"/>
      <c r="MRQ43" s="595"/>
      <c r="MRR43" s="595"/>
      <c r="MRS43" s="595"/>
      <c r="MRT43" s="595"/>
      <c r="MRU43" s="595"/>
      <c r="MRV43" s="595"/>
      <c r="MRW43" s="595"/>
      <c r="MRX43" s="595"/>
      <c r="MRY43" s="595"/>
      <c r="MRZ43" s="595"/>
      <c r="MSA43" s="595"/>
      <c r="MSB43" s="595"/>
      <c r="MSC43" s="595"/>
      <c r="MSD43" s="595"/>
      <c r="MSE43" s="595"/>
      <c r="MSF43" s="595"/>
      <c r="MSG43" s="595"/>
      <c r="MSH43" s="595"/>
      <c r="MSI43" s="595"/>
      <c r="MSJ43" s="595"/>
      <c r="MSK43" s="595"/>
      <c r="MSL43" s="595"/>
      <c r="MSM43" s="595"/>
      <c r="MSN43" s="595"/>
      <c r="MSO43" s="595"/>
      <c r="MSP43" s="595"/>
      <c r="MSQ43" s="595"/>
      <c r="MSR43" s="595"/>
      <c r="MSS43" s="595"/>
      <c r="MST43" s="595"/>
      <c r="MSU43" s="595"/>
      <c r="MSV43" s="595"/>
      <c r="MSW43" s="595"/>
      <c r="MSX43" s="595"/>
      <c r="MSY43" s="595"/>
      <c r="MSZ43" s="595"/>
      <c r="MTA43" s="595"/>
      <c r="MTB43" s="595"/>
      <c r="MTC43" s="595"/>
      <c r="MTD43" s="595"/>
      <c r="MTE43" s="595"/>
      <c r="MTF43" s="595"/>
      <c r="MTG43" s="595"/>
      <c r="MTH43" s="595"/>
      <c r="MTI43" s="595"/>
      <c r="MTJ43" s="595"/>
      <c r="MTK43" s="595"/>
      <c r="MTL43" s="595"/>
      <c r="MTM43" s="595"/>
      <c r="MTN43" s="595"/>
      <c r="MTO43" s="595"/>
      <c r="MTP43" s="595"/>
      <c r="MTQ43" s="595"/>
      <c r="MTR43" s="595"/>
      <c r="MTS43" s="595"/>
      <c r="MTT43" s="595"/>
      <c r="MTU43" s="595"/>
      <c r="MTV43" s="595"/>
      <c r="MTW43" s="595"/>
      <c r="MTX43" s="595"/>
      <c r="MTY43" s="595"/>
      <c r="MTZ43" s="595"/>
      <c r="MUA43" s="595"/>
      <c r="MUB43" s="595"/>
      <c r="MUC43" s="595"/>
      <c r="MUD43" s="595"/>
      <c r="MUE43" s="595"/>
      <c r="MUF43" s="595"/>
      <c r="MUG43" s="595"/>
      <c r="MUH43" s="595"/>
      <c r="MUI43" s="595"/>
      <c r="MUJ43" s="595"/>
      <c r="MUK43" s="595"/>
      <c r="MUL43" s="595"/>
      <c r="MUM43" s="595"/>
      <c r="MUN43" s="595"/>
      <c r="MUO43" s="595"/>
      <c r="MUP43" s="595"/>
      <c r="MUQ43" s="595"/>
      <c r="MUR43" s="595"/>
      <c r="MUS43" s="595"/>
      <c r="MUT43" s="595"/>
      <c r="MUU43" s="595"/>
      <c r="MUV43" s="595"/>
      <c r="MUW43" s="595"/>
      <c r="MUX43" s="595"/>
      <c r="MUY43" s="595"/>
      <c r="MUZ43" s="595"/>
      <c r="MVA43" s="595"/>
      <c r="MVB43" s="595"/>
      <c r="MVC43" s="595"/>
      <c r="MVD43" s="595"/>
      <c r="MVE43" s="595"/>
      <c r="MVF43" s="595"/>
      <c r="MVG43" s="595"/>
      <c r="MVH43" s="595"/>
      <c r="MVI43" s="595"/>
      <c r="MVJ43" s="595"/>
      <c r="MVK43" s="595"/>
      <c r="MVL43" s="595"/>
      <c r="MVM43" s="595"/>
      <c r="MVN43" s="595"/>
      <c r="MVO43" s="595"/>
      <c r="MVP43" s="595"/>
      <c r="MVQ43" s="595"/>
      <c r="MVR43" s="595"/>
      <c r="MVS43" s="595"/>
      <c r="MVT43" s="595"/>
      <c r="MVU43" s="595"/>
      <c r="MVV43" s="595"/>
      <c r="MVW43" s="595"/>
      <c r="MVX43" s="595"/>
      <c r="MVY43" s="595"/>
      <c r="MVZ43" s="595"/>
      <c r="MWA43" s="595"/>
      <c r="MWB43" s="595"/>
      <c r="MWC43" s="595"/>
      <c r="MWD43" s="595"/>
      <c r="MWE43" s="595"/>
      <c r="MWF43" s="595"/>
      <c r="MWG43" s="595"/>
      <c r="MWH43" s="595"/>
      <c r="MWI43" s="595"/>
      <c r="MWJ43" s="595"/>
      <c r="MWK43" s="595"/>
      <c r="MWL43" s="595"/>
      <c r="MWM43" s="595"/>
      <c r="MWN43" s="595"/>
      <c r="MWO43" s="595"/>
      <c r="MWP43" s="595"/>
      <c r="MWQ43" s="595"/>
      <c r="MWR43" s="595"/>
      <c r="MWS43" s="595"/>
      <c r="MWT43" s="595"/>
      <c r="MWU43" s="595"/>
      <c r="MWV43" s="595"/>
      <c r="MWW43" s="595"/>
      <c r="MWX43" s="595"/>
      <c r="MWY43" s="595"/>
      <c r="MWZ43" s="595"/>
      <c r="MXA43" s="595"/>
      <c r="MXB43" s="595"/>
      <c r="MXC43" s="595"/>
      <c r="MXD43" s="595"/>
      <c r="MXE43" s="595"/>
      <c r="MXF43" s="595"/>
      <c r="MXG43" s="595"/>
      <c r="MXH43" s="595"/>
      <c r="MXI43" s="595"/>
      <c r="MXJ43" s="595"/>
      <c r="MXK43" s="595"/>
      <c r="MXL43" s="595"/>
      <c r="MXM43" s="595"/>
      <c r="MXN43" s="595"/>
      <c r="MXO43" s="595"/>
      <c r="MXP43" s="595"/>
      <c r="MXQ43" s="595"/>
      <c r="MXR43" s="595"/>
      <c r="MXS43" s="595"/>
      <c r="MXT43" s="595"/>
      <c r="MXU43" s="595"/>
      <c r="MXV43" s="595"/>
      <c r="MXW43" s="595"/>
      <c r="MXX43" s="595"/>
      <c r="MXY43" s="595"/>
      <c r="MXZ43" s="595"/>
      <c r="MYA43" s="595"/>
      <c r="MYB43" s="595"/>
      <c r="MYC43" s="595"/>
      <c r="MYD43" s="595"/>
      <c r="MYE43" s="595"/>
      <c r="MYF43" s="595"/>
      <c r="MYG43" s="595"/>
      <c r="MYH43" s="595"/>
      <c r="MYI43" s="595"/>
      <c r="MYJ43" s="595"/>
      <c r="MYK43" s="595"/>
      <c r="MYL43" s="595"/>
      <c r="MYM43" s="595"/>
      <c r="MYN43" s="595"/>
      <c r="MYO43" s="595"/>
      <c r="MYP43" s="595"/>
      <c r="MYQ43" s="595"/>
      <c r="MYR43" s="595"/>
      <c r="MYS43" s="595"/>
      <c r="MYT43" s="595"/>
      <c r="MYU43" s="595"/>
      <c r="MYV43" s="595"/>
      <c r="MYW43" s="595"/>
      <c r="MYX43" s="595"/>
      <c r="MYY43" s="595"/>
      <c r="MYZ43" s="595"/>
      <c r="MZA43" s="595"/>
      <c r="MZB43" s="595"/>
      <c r="MZC43" s="595"/>
      <c r="MZD43" s="595"/>
      <c r="MZE43" s="595"/>
      <c r="MZF43" s="595"/>
      <c r="MZG43" s="595"/>
      <c r="MZH43" s="595"/>
      <c r="MZI43" s="595"/>
      <c r="MZJ43" s="595"/>
      <c r="MZK43" s="595"/>
      <c r="MZL43" s="595"/>
      <c r="MZM43" s="595"/>
      <c r="MZN43" s="595"/>
      <c r="MZO43" s="595"/>
      <c r="MZP43" s="595"/>
      <c r="MZQ43" s="595"/>
      <c r="MZR43" s="595"/>
      <c r="MZS43" s="595"/>
      <c r="MZT43" s="595"/>
      <c r="MZU43" s="595"/>
      <c r="MZV43" s="595"/>
      <c r="MZW43" s="595"/>
      <c r="MZX43" s="595"/>
      <c r="MZY43" s="595"/>
      <c r="MZZ43" s="595"/>
      <c r="NAA43" s="595"/>
      <c r="NAB43" s="595"/>
      <c r="NAC43" s="595"/>
      <c r="NAD43" s="595"/>
      <c r="NAE43" s="595"/>
      <c r="NAF43" s="595"/>
      <c r="NAG43" s="595"/>
      <c r="NAH43" s="595"/>
      <c r="NAI43" s="595"/>
      <c r="NAJ43" s="595"/>
      <c r="NAK43" s="595"/>
      <c r="NAL43" s="595"/>
      <c r="NAM43" s="595"/>
      <c r="NAN43" s="595"/>
      <c r="NAO43" s="595"/>
      <c r="NAP43" s="595"/>
      <c r="NAQ43" s="595"/>
      <c r="NAR43" s="595"/>
      <c r="NAS43" s="595"/>
      <c r="NAT43" s="595"/>
      <c r="NAU43" s="595"/>
      <c r="NAV43" s="595"/>
      <c r="NAW43" s="595"/>
      <c r="NAX43" s="595"/>
      <c r="NAY43" s="595"/>
      <c r="NAZ43" s="595"/>
      <c r="NBA43" s="595"/>
      <c r="NBB43" s="595"/>
      <c r="NBC43" s="595"/>
      <c r="NBD43" s="595"/>
      <c r="NBE43" s="595"/>
      <c r="NBF43" s="595"/>
      <c r="NBG43" s="595"/>
      <c r="NBH43" s="595"/>
      <c r="NBI43" s="595"/>
      <c r="NBJ43" s="595"/>
      <c r="NBK43" s="595"/>
      <c r="NBL43" s="595"/>
      <c r="NBM43" s="595"/>
      <c r="NBN43" s="595"/>
      <c r="NBO43" s="595"/>
      <c r="NBP43" s="595"/>
      <c r="NBQ43" s="595"/>
      <c r="NBR43" s="595"/>
      <c r="NBS43" s="595"/>
      <c r="NBT43" s="595"/>
      <c r="NBU43" s="595"/>
      <c r="NBV43" s="595"/>
      <c r="NBW43" s="595"/>
      <c r="NBX43" s="595"/>
      <c r="NBY43" s="595"/>
      <c r="NBZ43" s="595"/>
      <c r="NCA43" s="595"/>
      <c r="NCB43" s="595"/>
      <c r="NCC43" s="595"/>
      <c r="NCD43" s="595"/>
      <c r="NCE43" s="595"/>
      <c r="NCF43" s="595"/>
      <c r="NCG43" s="595"/>
      <c r="NCH43" s="595"/>
      <c r="NCI43" s="595"/>
      <c r="NCJ43" s="595"/>
      <c r="NCK43" s="595"/>
      <c r="NCL43" s="595"/>
      <c r="NCM43" s="595"/>
      <c r="NCN43" s="595"/>
      <c r="NCO43" s="595"/>
      <c r="NCP43" s="595"/>
      <c r="NCQ43" s="595"/>
      <c r="NCR43" s="595"/>
      <c r="NCS43" s="595"/>
      <c r="NCT43" s="595"/>
      <c r="NCU43" s="595"/>
      <c r="NCV43" s="595"/>
      <c r="NCW43" s="595"/>
      <c r="NCX43" s="595"/>
      <c r="NCY43" s="595"/>
      <c r="NCZ43" s="595"/>
      <c r="NDA43" s="595"/>
      <c r="NDB43" s="595"/>
      <c r="NDC43" s="595"/>
      <c r="NDD43" s="595"/>
      <c r="NDE43" s="595"/>
      <c r="NDF43" s="595"/>
      <c r="NDG43" s="595"/>
      <c r="NDH43" s="595"/>
      <c r="NDI43" s="595"/>
      <c r="NDJ43" s="595"/>
      <c r="NDK43" s="595"/>
      <c r="NDL43" s="595"/>
      <c r="NDM43" s="595"/>
      <c r="NDN43" s="595"/>
      <c r="NDO43" s="595"/>
      <c r="NDP43" s="595"/>
      <c r="NDQ43" s="595"/>
      <c r="NDR43" s="595"/>
      <c r="NDS43" s="595"/>
      <c r="NDT43" s="595"/>
      <c r="NDU43" s="595"/>
      <c r="NDV43" s="595"/>
      <c r="NDW43" s="595"/>
      <c r="NDX43" s="595"/>
      <c r="NDY43" s="595"/>
      <c r="NDZ43" s="595"/>
      <c r="NEA43" s="595"/>
      <c r="NEB43" s="595"/>
      <c r="NEC43" s="595"/>
      <c r="NED43" s="595"/>
      <c r="NEE43" s="595"/>
      <c r="NEF43" s="595"/>
      <c r="NEG43" s="595"/>
      <c r="NEH43" s="595"/>
      <c r="NEI43" s="595"/>
      <c r="NEJ43" s="595"/>
      <c r="NEK43" s="595"/>
      <c r="NEL43" s="595"/>
      <c r="NEM43" s="595"/>
      <c r="NEN43" s="595"/>
      <c r="NEO43" s="595"/>
      <c r="NEP43" s="595"/>
      <c r="NEQ43" s="595"/>
      <c r="NER43" s="595"/>
      <c r="NES43" s="595"/>
      <c r="NET43" s="595"/>
      <c r="NEU43" s="595"/>
      <c r="NEV43" s="595"/>
      <c r="NEW43" s="595"/>
      <c r="NEX43" s="595"/>
      <c r="NEY43" s="595"/>
      <c r="NEZ43" s="595"/>
      <c r="NFA43" s="595"/>
      <c r="NFB43" s="595"/>
      <c r="NFC43" s="595"/>
      <c r="NFD43" s="595"/>
      <c r="NFE43" s="595"/>
      <c r="NFF43" s="595"/>
      <c r="NFG43" s="595"/>
      <c r="NFH43" s="595"/>
      <c r="NFI43" s="595"/>
      <c r="NFJ43" s="595"/>
      <c r="NFK43" s="595"/>
      <c r="NFL43" s="595"/>
      <c r="NFM43" s="595"/>
      <c r="NFN43" s="595"/>
      <c r="NFO43" s="595"/>
      <c r="NFP43" s="595"/>
      <c r="NFQ43" s="595"/>
      <c r="NFR43" s="595"/>
      <c r="NFS43" s="595"/>
      <c r="NFT43" s="595"/>
      <c r="NFU43" s="595"/>
      <c r="NFV43" s="595"/>
      <c r="NFW43" s="595"/>
      <c r="NFX43" s="595"/>
      <c r="NFY43" s="595"/>
      <c r="NFZ43" s="595"/>
      <c r="NGA43" s="595"/>
      <c r="NGB43" s="595"/>
      <c r="NGC43" s="595"/>
      <c r="NGD43" s="595"/>
      <c r="NGE43" s="595"/>
      <c r="NGF43" s="595"/>
      <c r="NGG43" s="595"/>
      <c r="NGH43" s="595"/>
      <c r="NGI43" s="595"/>
      <c r="NGJ43" s="595"/>
      <c r="NGK43" s="595"/>
      <c r="NGL43" s="595"/>
      <c r="NGM43" s="595"/>
      <c r="NGN43" s="595"/>
      <c r="NGO43" s="595"/>
      <c r="NGP43" s="595"/>
      <c r="NGQ43" s="595"/>
      <c r="NGR43" s="595"/>
      <c r="NGS43" s="595"/>
      <c r="NGT43" s="595"/>
      <c r="NGU43" s="595"/>
      <c r="NGV43" s="595"/>
      <c r="NGW43" s="595"/>
      <c r="NGX43" s="595"/>
      <c r="NGY43" s="595"/>
      <c r="NGZ43" s="595"/>
      <c r="NHA43" s="595"/>
      <c r="NHB43" s="595"/>
      <c r="NHC43" s="595"/>
      <c r="NHD43" s="595"/>
      <c r="NHE43" s="595"/>
      <c r="NHF43" s="595"/>
      <c r="NHG43" s="595"/>
      <c r="NHH43" s="595"/>
      <c r="NHI43" s="595"/>
      <c r="NHJ43" s="595"/>
      <c r="NHK43" s="595"/>
      <c r="NHL43" s="595"/>
      <c r="NHM43" s="595"/>
      <c r="NHN43" s="595"/>
      <c r="NHO43" s="595"/>
      <c r="NHP43" s="595"/>
      <c r="NHQ43" s="595"/>
      <c r="NHR43" s="595"/>
      <c r="NHS43" s="595"/>
      <c r="NHT43" s="595"/>
      <c r="NHU43" s="595"/>
      <c r="NHV43" s="595"/>
      <c r="NHW43" s="595"/>
      <c r="NHX43" s="595"/>
      <c r="NHY43" s="595"/>
      <c r="NHZ43" s="595"/>
      <c r="NIA43" s="595"/>
      <c r="NIB43" s="595"/>
      <c r="NIC43" s="595"/>
      <c r="NID43" s="595"/>
      <c r="NIE43" s="595"/>
      <c r="NIF43" s="595"/>
      <c r="NIG43" s="595"/>
      <c r="NIH43" s="595"/>
      <c r="NII43" s="595"/>
      <c r="NIJ43" s="595"/>
      <c r="NIK43" s="595"/>
      <c r="NIL43" s="595"/>
      <c r="NIM43" s="595"/>
      <c r="NIN43" s="595"/>
      <c r="NIO43" s="595"/>
      <c r="NIP43" s="595"/>
      <c r="NIQ43" s="595"/>
      <c r="NIR43" s="595"/>
      <c r="NIS43" s="595"/>
      <c r="NIT43" s="595"/>
      <c r="NIU43" s="595"/>
      <c r="NIV43" s="595"/>
      <c r="NIW43" s="595"/>
      <c r="NIX43" s="595"/>
      <c r="NIY43" s="595"/>
      <c r="NIZ43" s="595"/>
      <c r="NJA43" s="595"/>
      <c r="NJB43" s="595"/>
      <c r="NJC43" s="595"/>
      <c r="NJD43" s="595"/>
      <c r="NJE43" s="595"/>
      <c r="NJF43" s="595"/>
      <c r="NJG43" s="595"/>
      <c r="NJH43" s="595"/>
      <c r="NJI43" s="595"/>
      <c r="NJJ43" s="595"/>
      <c r="NJK43" s="595"/>
      <c r="NJL43" s="595"/>
      <c r="NJM43" s="595"/>
      <c r="NJN43" s="595"/>
      <c r="NJO43" s="595"/>
      <c r="NJP43" s="595"/>
      <c r="NJQ43" s="595"/>
      <c r="NJR43" s="595"/>
      <c r="NJS43" s="595"/>
      <c r="NJT43" s="595"/>
      <c r="NJU43" s="595"/>
      <c r="NJV43" s="595"/>
      <c r="NJW43" s="595"/>
      <c r="NJX43" s="595"/>
      <c r="NJY43" s="595"/>
      <c r="NJZ43" s="595"/>
      <c r="NKA43" s="595"/>
      <c r="NKB43" s="595"/>
      <c r="NKC43" s="595"/>
      <c r="NKD43" s="595"/>
      <c r="NKE43" s="595"/>
      <c r="NKF43" s="595"/>
      <c r="NKG43" s="595"/>
      <c r="NKH43" s="595"/>
      <c r="NKI43" s="595"/>
      <c r="NKJ43" s="595"/>
      <c r="NKK43" s="595"/>
      <c r="NKL43" s="595"/>
      <c r="NKM43" s="595"/>
      <c r="NKN43" s="595"/>
      <c r="NKO43" s="595"/>
      <c r="NKP43" s="595"/>
      <c r="NKQ43" s="595"/>
      <c r="NKR43" s="595"/>
      <c r="NKS43" s="595"/>
      <c r="NKT43" s="595"/>
      <c r="NKU43" s="595"/>
      <c r="NKV43" s="595"/>
      <c r="NKW43" s="595"/>
      <c r="NKX43" s="595"/>
      <c r="NKY43" s="595"/>
      <c r="NKZ43" s="595"/>
      <c r="NLA43" s="595"/>
      <c r="NLB43" s="595"/>
      <c r="NLC43" s="595"/>
      <c r="NLD43" s="595"/>
      <c r="NLE43" s="595"/>
      <c r="NLF43" s="595"/>
      <c r="NLG43" s="595"/>
      <c r="NLH43" s="595"/>
      <c r="NLI43" s="595"/>
      <c r="NLJ43" s="595"/>
      <c r="NLK43" s="595"/>
      <c r="NLL43" s="595"/>
      <c r="NLM43" s="595"/>
      <c r="NLN43" s="595"/>
      <c r="NLO43" s="595"/>
      <c r="NLP43" s="595"/>
      <c r="NLQ43" s="595"/>
      <c r="NLR43" s="595"/>
      <c r="NLS43" s="595"/>
      <c r="NLT43" s="595"/>
      <c r="NLU43" s="595"/>
      <c r="NLV43" s="595"/>
      <c r="NLW43" s="595"/>
      <c r="NLX43" s="595"/>
      <c r="NLY43" s="595"/>
      <c r="NLZ43" s="595"/>
      <c r="NMA43" s="595"/>
      <c r="NMB43" s="595"/>
      <c r="NMC43" s="595"/>
      <c r="NMD43" s="595"/>
      <c r="NME43" s="595"/>
      <c r="NMF43" s="595"/>
      <c r="NMG43" s="595"/>
      <c r="NMH43" s="595"/>
      <c r="NMI43" s="595"/>
      <c r="NMJ43" s="595"/>
      <c r="NMK43" s="595"/>
      <c r="NML43" s="595"/>
      <c r="NMM43" s="595"/>
      <c r="NMN43" s="595"/>
      <c r="NMO43" s="595"/>
      <c r="NMP43" s="595"/>
      <c r="NMQ43" s="595"/>
      <c r="NMR43" s="595"/>
      <c r="NMS43" s="595"/>
      <c r="NMT43" s="595"/>
      <c r="NMU43" s="595"/>
      <c r="NMV43" s="595"/>
      <c r="NMW43" s="595"/>
      <c r="NMX43" s="595"/>
      <c r="NMY43" s="595"/>
      <c r="NMZ43" s="595"/>
      <c r="NNA43" s="595"/>
      <c r="NNB43" s="595"/>
      <c r="NNC43" s="595"/>
      <c r="NND43" s="595"/>
      <c r="NNE43" s="595"/>
      <c r="NNF43" s="595"/>
      <c r="NNG43" s="595"/>
      <c r="NNH43" s="595"/>
      <c r="NNI43" s="595"/>
      <c r="NNJ43" s="595"/>
      <c r="NNK43" s="595"/>
      <c r="NNL43" s="595"/>
      <c r="NNM43" s="595"/>
      <c r="NNN43" s="595"/>
      <c r="NNO43" s="595"/>
      <c r="NNP43" s="595"/>
      <c r="NNQ43" s="595"/>
      <c r="NNR43" s="595"/>
      <c r="NNS43" s="595"/>
      <c r="NNT43" s="595"/>
      <c r="NNU43" s="595"/>
      <c r="NNV43" s="595"/>
      <c r="NNW43" s="595"/>
      <c r="NNX43" s="595"/>
      <c r="NNY43" s="595"/>
      <c r="NNZ43" s="595"/>
      <c r="NOA43" s="595"/>
      <c r="NOB43" s="595"/>
      <c r="NOC43" s="595"/>
      <c r="NOD43" s="595"/>
      <c r="NOE43" s="595"/>
      <c r="NOF43" s="595"/>
      <c r="NOG43" s="595"/>
      <c r="NOH43" s="595"/>
      <c r="NOI43" s="595"/>
      <c r="NOJ43" s="595"/>
      <c r="NOK43" s="595"/>
      <c r="NOL43" s="595"/>
      <c r="NOM43" s="595"/>
      <c r="NON43" s="595"/>
      <c r="NOO43" s="595"/>
      <c r="NOP43" s="595"/>
      <c r="NOQ43" s="595"/>
      <c r="NOR43" s="595"/>
      <c r="NOS43" s="595"/>
      <c r="NOT43" s="595"/>
      <c r="NOU43" s="595"/>
      <c r="NOV43" s="595"/>
      <c r="NOW43" s="595"/>
      <c r="NOX43" s="595"/>
      <c r="NOY43" s="595"/>
      <c r="NOZ43" s="595"/>
      <c r="NPA43" s="595"/>
      <c r="NPB43" s="595"/>
      <c r="NPC43" s="595"/>
      <c r="NPD43" s="595"/>
      <c r="NPE43" s="595"/>
      <c r="NPF43" s="595"/>
      <c r="NPG43" s="595"/>
      <c r="NPH43" s="595"/>
      <c r="NPI43" s="595"/>
      <c r="NPJ43" s="595"/>
      <c r="NPK43" s="595"/>
      <c r="NPL43" s="595"/>
      <c r="NPM43" s="595"/>
      <c r="NPN43" s="595"/>
      <c r="NPO43" s="595"/>
      <c r="NPP43" s="595"/>
      <c r="NPQ43" s="595"/>
      <c r="NPR43" s="595"/>
      <c r="NPS43" s="595"/>
      <c r="NPT43" s="595"/>
      <c r="NPU43" s="595"/>
      <c r="NPV43" s="595"/>
      <c r="NPW43" s="595"/>
      <c r="NPX43" s="595"/>
      <c r="NPY43" s="595"/>
      <c r="NPZ43" s="595"/>
      <c r="NQA43" s="595"/>
      <c r="NQB43" s="595"/>
      <c r="NQC43" s="595"/>
      <c r="NQD43" s="595"/>
      <c r="NQE43" s="595"/>
      <c r="NQF43" s="595"/>
      <c r="NQG43" s="595"/>
      <c r="NQH43" s="595"/>
      <c r="NQI43" s="595"/>
      <c r="NQJ43" s="595"/>
      <c r="NQK43" s="595"/>
      <c r="NQL43" s="595"/>
      <c r="NQM43" s="595"/>
      <c r="NQN43" s="595"/>
      <c r="NQO43" s="595"/>
      <c r="NQP43" s="595"/>
      <c r="NQQ43" s="595"/>
      <c r="NQR43" s="595"/>
      <c r="NQS43" s="595"/>
      <c r="NQT43" s="595"/>
      <c r="NQU43" s="595"/>
      <c r="NQV43" s="595"/>
      <c r="NQW43" s="595"/>
      <c r="NQX43" s="595"/>
      <c r="NQY43" s="595"/>
      <c r="NQZ43" s="595"/>
      <c r="NRA43" s="595"/>
      <c r="NRB43" s="595"/>
      <c r="NRC43" s="595"/>
      <c r="NRD43" s="595"/>
      <c r="NRE43" s="595"/>
      <c r="NRF43" s="595"/>
      <c r="NRG43" s="595"/>
      <c r="NRH43" s="595"/>
      <c r="NRI43" s="595"/>
      <c r="NRJ43" s="595"/>
      <c r="NRK43" s="595"/>
      <c r="NRL43" s="595"/>
      <c r="NRM43" s="595"/>
      <c r="NRN43" s="595"/>
      <c r="NRO43" s="595"/>
      <c r="NRP43" s="595"/>
      <c r="NRQ43" s="595"/>
      <c r="NRR43" s="595"/>
      <c r="NRS43" s="595"/>
      <c r="NRT43" s="595"/>
      <c r="NRU43" s="595"/>
      <c r="NRV43" s="595"/>
      <c r="NRW43" s="595"/>
      <c r="NRX43" s="595"/>
      <c r="NRY43" s="595"/>
      <c r="NRZ43" s="595"/>
      <c r="NSA43" s="595"/>
      <c r="NSB43" s="595"/>
      <c r="NSC43" s="595"/>
      <c r="NSD43" s="595"/>
      <c r="NSE43" s="595"/>
      <c r="NSF43" s="595"/>
      <c r="NSG43" s="595"/>
      <c r="NSH43" s="595"/>
      <c r="NSI43" s="595"/>
      <c r="NSJ43" s="595"/>
      <c r="NSK43" s="595"/>
      <c r="NSL43" s="595"/>
      <c r="NSM43" s="595"/>
      <c r="NSN43" s="595"/>
      <c r="NSO43" s="595"/>
      <c r="NSP43" s="595"/>
      <c r="NSQ43" s="595"/>
      <c r="NSR43" s="595"/>
      <c r="NSS43" s="595"/>
      <c r="NST43" s="595"/>
      <c r="NSU43" s="595"/>
      <c r="NSV43" s="595"/>
      <c r="NSW43" s="595"/>
      <c r="NSX43" s="595"/>
      <c r="NSY43" s="595"/>
      <c r="NSZ43" s="595"/>
      <c r="NTA43" s="595"/>
      <c r="NTB43" s="595"/>
      <c r="NTC43" s="595"/>
      <c r="NTD43" s="595"/>
      <c r="NTE43" s="595"/>
      <c r="NTF43" s="595"/>
      <c r="NTG43" s="595"/>
      <c r="NTH43" s="595"/>
      <c r="NTI43" s="595"/>
      <c r="NTJ43" s="595"/>
      <c r="NTK43" s="595"/>
      <c r="NTL43" s="595"/>
      <c r="NTM43" s="595"/>
      <c r="NTN43" s="595"/>
      <c r="NTO43" s="595"/>
      <c r="NTP43" s="595"/>
      <c r="NTQ43" s="595"/>
      <c r="NTR43" s="595"/>
      <c r="NTS43" s="595"/>
      <c r="NTT43" s="595"/>
      <c r="NTU43" s="595"/>
      <c r="NTV43" s="595"/>
      <c r="NTW43" s="595"/>
      <c r="NTX43" s="595"/>
      <c r="NTY43" s="595"/>
      <c r="NTZ43" s="595"/>
      <c r="NUA43" s="595"/>
      <c r="NUB43" s="595"/>
      <c r="NUC43" s="595"/>
      <c r="NUD43" s="595"/>
      <c r="NUE43" s="595"/>
      <c r="NUF43" s="595"/>
      <c r="NUG43" s="595"/>
      <c r="NUH43" s="595"/>
      <c r="NUI43" s="595"/>
      <c r="NUJ43" s="595"/>
      <c r="NUK43" s="595"/>
      <c r="NUL43" s="595"/>
      <c r="NUM43" s="595"/>
      <c r="NUN43" s="595"/>
      <c r="NUO43" s="595"/>
      <c r="NUP43" s="595"/>
      <c r="NUQ43" s="595"/>
      <c r="NUR43" s="595"/>
      <c r="NUS43" s="595"/>
      <c r="NUT43" s="595"/>
      <c r="NUU43" s="595"/>
      <c r="NUV43" s="595"/>
      <c r="NUW43" s="595"/>
      <c r="NUX43" s="595"/>
      <c r="NUY43" s="595"/>
      <c r="NUZ43" s="595"/>
      <c r="NVA43" s="595"/>
      <c r="NVB43" s="595"/>
      <c r="NVC43" s="595"/>
      <c r="NVD43" s="595"/>
      <c r="NVE43" s="595"/>
      <c r="NVF43" s="595"/>
      <c r="NVG43" s="595"/>
      <c r="NVH43" s="595"/>
      <c r="NVI43" s="595"/>
      <c r="NVJ43" s="595"/>
      <c r="NVK43" s="595"/>
      <c r="NVL43" s="595"/>
      <c r="NVM43" s="595"/>
      <c r="NVN43" s="595"/>
      <c r="NVO43" s="595"/>
      <c r="NVP43" s="595"/>
      <c r="NVQ43" s="595"/>
      <c r="NVR43" s="595"/>
      <c r="NVS43" s="595"/>
      <c r="NVT43" s="595"/>
      <c r="NVU43" s="595"/>
      <c r="NVV43" s="595"/>
      <c r="NVW43" s="595"/>
      <c r="NVX43" s="595"/>
      <c r="NVY43" s="595"/>
      <c r="NVZ43" s="595"/>
      <c r="NWA43" s="595"/>
      <c r="NWB43" s="595"/>
      <c r="NWC43" s="595"/>
      <c r="NWD43" s="595"/>
      <c r="NWE43" s="595"/>
      <c r="NWF43" s="595"/>
      <c r="NWG43" s="595"/>
      <c r="NWH43" s="595"/>
      <c r="NWI43" s="595"/>
      <c r="NWJ43" s="595"/>
      <c r="NWK43" s="595"/>
      <c r="NWL43" s="595"/>
      <c r="NWM43" s="595"/>
      <c r="NWN43" s="595"/>
      <c r="NWO43" s="595"/>
      <c r="NWP43" s="595"/>
      <c r="NWQ43" s="595"/>
      <c r="NWR43" s="595"/>
      <c r="NWS43" s="595"/>
      <c r="NWT43" s="595"/>
      <c r="NWU43" s="595"/>
      <c r="NWV43" s="595"/>
      <c r="NWW43" s="595"/>
      <c r="NWX43" s="595"/>
      <c r="NWY43" s="595"/>
      <c r="NWZ43" s="595"/>
      <c r="NXA43" s="595"/>
      <c r="NXB43" s="595"/>
      <c r="NXC43" s="595"/>
      <c r="NXD43" s="595"/>
      <c r="NXE43" s="595"/>
      <c r="NXF43" s="595"/>
      <c r="NXG43" s="595"/>
      <c r="NXH43" s="595"/>
      <c r="NXI43" s="595"/>
      <c r="NXJ43" s="595"/>
      <c r="NXK43" s="595"/>
      <c r="NXL43" s="595"/>
      <c r="NXM43" s="595"/>
      <c r="NXN43" s="595"/>
      <c r="NXO43" s="595"/>
      <c r="NXP43" s="595"/>
      <c r="NXQ43" s="595"/>
      <c r="NXR43" s="595"/>
      <c r="NXS43" s="595"/>
      <c r="NXT43" s="595"/>
      <c r="NXU43" s="595"/>
      <c r="NXV43" s="595"/>
      <c r="NXW43" s="595"/>
      <c r="NXX43" s="595"/>
      <c r="NXY43" s="595"/>
      <c r="NXZ43" s="595"/>
      <c r="NYA43" s="595"/>
      <c r="NYB43" s="595"/>
      <c r="NYC43" s="595"/>
      <c r="NYD43" s="595"/>
      <c r="NYE43" s="595"/>
      <c r="NYF43" s="595"/>
      <c r="NYG43" s="595"/>
      <c r="NYH43" s="595"/>
      <c r="NYI43" s="595"/>
      <c r="NYJ43" s="595"/>
      <c r="NYK43" s="595"/>
      <c r="NYL43" s="595"/>
      <c r="NYM43" s="595"/>
      <c r="NYN43" s="595"/>
      <c r="NYO43" s="595"/>
      <c r="NYP43" s="595"/>
      <c r="NYQ43" s="595"/>
      <c r="NYR43" s="595"/>
      <c r="NYS43" s="595"/>
      <c r="NYT43" s="595"/>
      <c r="NYU43" s="595"/>
      <c r="NYV43" s="595"/>
      <c r="NYW43" s="595"/>
      <c r="NYX43" s="595"/>
      <c r="NYY43" s="595"/>
      <c r="NYZ43" s="595"/>
      <c r="NZA43" s="595"/>
      <c r="NZB43" s="595"/>
      <c r="NZC43" s="595"/>
      <c r="NZD43" s="595"/>
      <c r="NZE43" s="595"/>
      <c r="NZF43" s="595"/>
      <c r="NZG43" s="595"/>
      <c r="NZH43" s="595"/>
      <c r="NZI43" s="595"/>
      <c r="NZJ43" s="595"/>
      <c r="NZK43" s="595"/>
      <c r="NZL43" s="595"/>
      <c r="NZM43" s="595"/>
      <c r="NZN43" s="595"/>
      <c r="NZO43" s="595"/>
      <c r="NZP43" s="595"/>
      <c r="NZQ43" s="595"/>
      <c r="NZR43" s="595"/>
      <c r="NZS43" s="595"/>
      <c r="NZT43" s="595"/>
      <c r="NZU43" s="595"/>
      <c r="NZV43" s="595"/>
      <c r="NZW43" s="595"/>
      <c r="NZX43" s="595"/>
      <c r="NZY43" s="595"/>
      <c r="NZZ43" s="595"/>
      <c r="OAA43" s="595"/>
      <c r="OAB43" s="595"/>
      <c r="OAC43" s="595"/>
      <c r="OAD43" s="595"/>
      <c r="OAE43" s="595"/>
      <c r="OAF43" s="595"/>
      <c r="OAG43" s="595"/>
      <c r="OAH43" s="595"/>
      <c r="OAI43" s="595"/>
      <c r="OAJ43" s="595"/>
      <c r="OAK43" s="595"/>
      <c r="OAL43" s="595"/>
      <c r="OAM43" s="595"/>
      <c r="OAN43" s="595"/>
      <c r="OAO43" s="595"/>
      <c r="OAP43" s="595"/>
      <c r="OAQ43" s="595"/>
      <c r="OAR43" s="595"/>
      <c r="OAS43" s="595"/>
      <c r="OAT43" s="595"/>
      <c r="OAU43" s="595"/>
      <c r="OAV43" s="595"/>
      <c r="OAW43" s="595"/>
      <c r="OAX43" s="595"/>
      <c r="OAY43" s="595"/>
      <c r="OAZ43" s="595"/>
      <c r="OBA43" s="595"/>
      <c r="OBB43" s="595"/>
      <c r="OBC43" s="595"/>
      <c r="OBD43" s="595"/>
      <c r="OBE43" s="595"/>
      <c r="OBF43" s="595"/>
      <c r="OBG43" s="595"/>
      <c r="OBH43" s="595"/>
      <c r="OBI43" s="595"/>
      <c r="OBJ43" s="595"/>
      <c r="OBK43" s="595"/>
      <c r="OBL43" s="595"/>
      <c r="OBM43" s="595"/>
      <c r="OBN43" s="595"/>
      <c r="OBO43" s="595"/>
      <c r="OBP43" s="595"/>
      <c r="OBQ43" s="595"/>
      <c r="OBR43" s="595"/>
      <c r="OBS43" s="595"/>
      <c r="OBT43" s="595"/>
      <c r="OBU43" s="595"/>
      <c r="OBV43" s="595"/>
      <c r="OBW43" s="595"/>
      <c r="OBX43" s="595"/>
      <c r="OBY43" s="595"/>
      <c r="OBZ43" s="595"/>
      <c r="OCA43" s="595"/>
      <c r="OCB43" s="595"/>
      <c r="OCC43" s="595"/>
      <c r="OCD43" s="595"/>
      <c r="OCE43" s="595"/>
      <c r="OCF43" s="595"/>
      <c r="OCG43" s="595"/>
      <c r="OCH43" s="595"/>
      <c r="OCI43" s="595"/>
      <c r="OCJ43" s="595"/>
      <c r="OCK43" s="595"/>
      <c r="OCL43" s="595"/>
      <c r="OCM43" s="595"/>
      <c r="OCN43" s="595"/>
      <c r="OCO43" s="595"/>
      <c r="OCP43" s="595"/>
      <c r="OCQ43" s="595"/>
      <c r="OCR43" s="595"/>
      <c r="OCS43" s="595"/>
      <c r="OCT43" s="595"/>
      <c r="OCU43" s="595"/>
      <c r="OCV43" s="595"/>
      <c r="OCW43" s="595"/>
      <c r="OCX43" s="595"/>
      <c r="OCY43" s="595"/>
      <c r="OCZ43" s="595"/>
      <c r="ODA43" s="595"/>
      <c r="ODB43" s="595"/>
      <c r="ODC43" s="595"/>
      <c r="ODD43" s="595"/>
      <c r="ODE43" s="595"/>
      <c r="ODF43" s="595"/>
      <c r="ODG43" s="595"/>
      <c r="ODH43" s="595"/>
      <c r="ODI43" s="595"/>
      <c r="ODJ43" s="595"/>
      <c r="ODK43" s="595"/>
      <c r="ODL43" s="595"/>
      <c r="ODM43" s="595"/>
      <c r="ODN43" s="595"/>
      <c r="ODO43" s="595"/>
      <c r="ODP43" s="595"/>
      <c r="ODQ43" s="595"/>
      <c r="ODR43" s="595"/>
      <c r="ODS43" s="595"/>
      <c r="ODT43" s="595"/>
      <c r="ODU43" s="595"/>
      <c r="ODV43" s="595"/>
      <c r="ODW43" s="595"/>
      <c r="ODX43" s="595"/>
      <c r="ODY43" s="595"/>
      <c r="ODZ43" s="595"/>
      <c r="OEA43" s="595"/>
      <c r="OEB43" s="595"/>
      <c r="OEC43" s="595"/>
      <c r="OED43" s="595"/>
      <c r="OEE43" s="595"/>
      <c r="OEF43" s="595"/>
      <c r="OEG43" s="595"/>
      <c r="OEH43" s="595"/>
      <c r="OEI43" s="595"/>
      <c r="OEJ43" s="595"/>
      <c r="OEK43" s="595"/>
      <c r="OEL43" s="595"/>
      <c r="OEM43" s="595"/>
      <c r="OEN43" s="595"/>
      <c r="OEO43" s="595"/>
      <c r="OEP43" s="595"/>
      <c r="OEQ43" s="595"/>
      <c r="OER43" s="595"/>
      <c r="OES43" s="595"/>
      <c r="OET43" s="595"/>
      <c r="OEU43" s="595"/>
      <c r="OEV43" s="595"/>
      <c r="OEW43" s="595"/>
      <c r="OEX43" s="595"/>
      <c r="OEY43" s="595"/>
      <c r="OEZ43" s="595"/>
      <c r="OFA43" s="595"/>
      <c r="OFB43" s="595"/>
      <c r="OFC43" s="595"/>
      <c r="OFD43" s="595"/>
      <c r="OFE43" s="595"/>
      <c r="OFF43" s="595"/>
      <c r="OFG43" s="595"/>
      <c r="OFH43" s="595"/>
      <c r="OFI43" s="595"/>
      <c r="OFJ43" s="595"/>
      <c r="OFK43" s="595"/>
      <c r="OFL43" s="595"/>
      <c r="OFM43" s="595"/>
      <c r="OFN43" s="595"/>
      <c r="OFO43" s="595"/>
      <c r="OFP43" s="595"/>
      <c r="OFQ43" s="595"/>
      <c r="OFR43" s="595"/>
      <c r="OFS43" s="595"/>
      <c r="OFT43" s="595"/>
      <c r="OFU43" s="595"/>
      <c r="OFV43" s="595"/>
      <c r="OFW43" s="595"/>
      <c r="OFX43" s="595"/>
      <c r="OFY43" s="595"/>
      <c r="OFZ43" s="595"/>
      <c r="OGA43" s="595"/>
      <c r="OGB43" s="595"/>
      <c r="OGC43" s="595"/>
      <c r="OGD43" s="595"/>
      <c r="OGE43" s="595"/>
      <c r="OGF43" s="595"/>
      <c r="OGG43" s="595"/>
      <c r="OGH43" s="595"/>
      <c r="OGI43" s="595"/>
      <c r="OGJ43" s="595"/>
      <c r="OGK43" s="595"/>
      <c r="OGL43" s="595"/>
      <c r="OGM43" s="595"/>
      <c r="OGN43" s="595"/>
      <c r="OGO43" s="595"/>
      <c r="OGP43" s="595"/>
      <c r="OGQ43" s="595"/>
      <c r="OGR43" s="595"/>
      <c r="OGS43" s="595"/>
      <c r="OGT43" s="595"/>
      <c r="OGU43" s="595"/>
      <c r="OGV43" s="595"/>
      <c r="OGW43" s="595"/>
      <c r="OGX43" s="595"/>
      <c r="OGY43" s="595"/>
      <c r="OGZ43" s="595"/>
      <c r="OHA43" s="595"/>
      <c r="OHB43" s="595"/>
      <c r="OHC43" s="595"/>
      <c r="OHD43" s="595"/>
      <c r="OHE43" s="595"/>
      <c r="OHF43" s="595"/>
      <c r="OHG43" s="595"/>
      <c r="OHH43" s="595"/>
      <c r="OHI43" s="595"/>
      <c r="OHJ43" s="595"/>
      <c r="OHK43" s="595"/>
      <c r="OHL43" s="595"/>
      <c r="OHM43" s="595"/>
      <c r="OHN43" s="595"/>
      <c r="OHO43" s="595"/>
      <c r="OHP43" s="595"/>
      <c r="OHQ43" s="595"/>
      <c r="OHR43" s="595"/>
      <c r="OHS43" s="595"/>
      <c r="OHT43" s="595"/>
      <c r="OHU43" s="595"/>
      <c r="OHV43" s="595"/>
      <c r="OHW43" s="595"/>
      <c r="OHX43" s="595"/>
      <c r="OHY43" s="595"/>
      <c r="OHZ43" s="595"/>
      <c r="OIA43" s="595"/>
      <c r="OIB43" s="595"/>
      <c r="OIC43" s="595"/>
      <c r="OID43" s="595"/>
      <c r="OIE43" s="595"/>
      <c r="OIF43" s="595"/>
      <c r="OIG43" s="595"/>
      <c r="OIH43" s="595"/>
      <c r="OII43" s="595"/>
      <c r="OIJ43" s="595"/>
      <c r="OIK43" s="595"/>
      <c r="OIL43" s="595"/>
      <c r="OIM43" s="595"/>
      <c r="OIN43" s="595"/>
      <c r="OIO43" s="595"/>
      <c r="OIP43" s="595"/>
      <c r="OIQ43" s="595"/>
      <c r="OIR43" s="595"/>
      <c r="OIS43" s="595"/>
      <c r="OIT43" s="595"/>
      <c r="OIU43" s="595"/>
      <c r="OIV43" s="595"/>
      <c r="OIW43" s="595"/>
      <c r="OIX43" s="595"/>
      <c r="OIY43" s="595"/>
      <c r="OIZ43" s="595"/>
      <c r="OJA43" s="595"/>
      <c r="OJB43" s="595"/>
      <c r="OJC43" s="595"/>
      <c r="OJD43" s="595"/>
      <c r="OJE43" s="595"/>
      <c r="OJF43" s="595"/>
      <c r="OJG43" s="595"/>
      <c r="OJH43" s="595"/>
      <c r="OJI43" s="595"/>
      <c r="OJJ43" s="595"/>
      <c r="OJK43" s="595"/>
      <c r="OJL43" s="595"/>
      <c r="OJM43" s="595"/>
      <c r="OJN43" s="595"/>
      <c r="OJO43" s="595"/>
      <c r="OJP43" s="595"/>
      <c r="OJQ43" s="595"/>
      <c r="OJR43" s="595"/>
      <c r="OJS43" s="595"/>
      <c r="OJT43" s="595"/>
      <c r="OJU43" s="595"/>
      <c r="OJV43" s="595"/>
      <c r="OJW43" s="595"/>
      <c r="OJX43" s="595"/>
      <c r="OJY43" s="595"/>
      <c r="OJZ43" s="595"/>
      <c r="OKA43" s="595"/>
      <c r="OKB43" s="595"/>
      <c r="OKC43" s="595"/>
      <c r="OKD43" s="595"/>
      <c r="OKE43" s="595"/>
      <c r="OKF43" s="595"/>
      <c r="OKG43" s="595"/>
      <c r="OKH43" s="595"/>
      <c r="OKI43" s="595"/>
      <c r="OKJ43" s="595"/>
      <c r="OKK43" s="595"/>
      <c r="OKL43" s="595"/>
      <c r="OKM43" s="595"/>
      <c r="OKN43" s="595"/>
      <c r="OKO43" s="595"/>
      <c r="OKP43" s="595"/>
      <c r="OKQ43" s="595"/>
      <c r="OKR43" s="595"/>
      <c r="OKS43" s="595"/>
      <c r="OKT43" s="595"/>
      <c r="OKU43" s="595"/>
      <c r="OKV43" s="595"/>
      <c r="OKW43" s="595"/>
      <c r="OKX43" s="595"/>
      <c r="OKY43" s="595"/>
      <c r="OKZ43" s="595"/>
      <c r="OLA43" s="595"/>
      <c r="OLB43" s="595"/>
      <c r="OLC43" s="595"/>
      <c r="OLD43" s="595"/>
      <c r="OLE43" s="595"/>
      <c r="OLF43" s="595"/>
      <c r="OLG43" s="595"/>
      <c r="OLH43" s="595"/>
      <c r="OLI43" s="595"/>
      <c r="OLJ43" s="595"/>
      <c r="OLK43" s="595"/>
      <c r="OLL43" s="595"/>
      <c r="OLM43" s="595"/>
      <c r="OLN43" s="595"/>
      <c r="OLO43" s="595"/>
      <c r="OLP43" s="595"/>
      <c r="OLQ43" s="595"/>
      <c r="OLR43" s="595"/>
      <c r="OLS43" s="595"/>
      <c r="OLT43" s="595"/>
      <c r="OLU43" s="595"/>
      <c r="OLV43" s="595"/>
      <c r="OLW43" s="595"/>
      <c r="OLX43" s="595"/>
      <c r="OLY43" s="595"/>
      <c r="OLZ43" s="595"/>
      <c r="OMA43" s="595"/>
      <c r="OMB43" s="595"/>
      <c r="OMC43" s="595"/>
      <c r="OMD43" s="595"/>
      <c r="OME43" s="595"/>
      <c r="OMF43" s="595"/>
      <c r="OMG43" s="595"/>
      <c r="OMH43" s="595"/>
      <c r="OMI43" s="595"/>
      <c r="OMJ43" s="595"/>
      <c r="OMK43" s="595"/>
      <c r="OML43" s="595"/>
      <c r="OMM43" s="595"/>
      <c r="OMN43" s="595"/>
      <c r="OMO43" s="595"/>
      <c r="OMP43" s="595"/>
      <c r="OMQ43" s="595"/>
      <c r="OMR43" s="595"/>
      <c r="OMS43" s="595"/>
      <c r="OMT43" s="595"/>
      <c r="OMU43" s="595"/>
      <c r="OMV43" s="595"/>
      <c r="OMW43" s="595"/>
      <c r="OMX43" s="595"/>
      <c r="OMY43" s="595"/>
      <c r="OMZ43" s="595"/>
      <c r="ONA43" s="595"/>
      <c r="ONB43" s="595"/>
      <c r="ONC43" s="595"/>
      <c r="OND43" s="595"/>
      <c r="ONE43" s="595"/>
      <c r="ONF43" s="595"/>
      <c r="ONG43" s="595"/>
      <c r="ONH43" s="595"/>
      <c r="ONI43" s="595"/>
      <c r="ONJ43" s="595"/>
      <c r="ONK43" s="595"/>
      <c r="ONL43" s="595"/>
      <c r="ONM43" s="595"/>
      <c r="ONN43" s="595"/>
      <c r="ONO43" s="595"/>
      <c r="ONP43" s="595"/>
      <c r="ONQ43" s="595"/>
      <c r="ONR43" s="595"/>
      <c r="ONS43" s="595"/>
      <c r="ONT43" s="595"/>
      <c r="ONU43" s="595"/>
      <c r="ONV43" s="595"/>
      <c r="ONW43" s="595"/>
      <c r="ONX43" s="595"/>
      <c r="ONY43" s="595"/>
      <c r="ONZ43" s="595"/>
      <c r="OOA43" s="595"/>
      <c r="OOB43" s="595"/>
      <c r="OOC43" s="595"/>
      <c r="OOD43" s="595"/>
      <c r="OOE43" s="595"/>
      <c r="OOF43" s="595"/>
      <c r="OOG43" s="595"/>
      <c r="OOH43" s="595"/>
      <c r="OOI43" s="595"/>
      <c r="OOJ43" s="595"/>
      <c r="OOK43" s="595"/>
      <c r="OOL43" s="595"/>
      <c r="OOM43" s="595"/>
      <c r="OON43" s="595"/>
      <c r="OOO43" s="595"/>
      <c r="OOP43" s="595"/>
      <c r="OOQ43" s="595"/>
      <c r="OOR43" s="595"/>
      <c r="OOS43" s="595"/>
      <c r="OOT43" s="595"/>
      <c r="OOU43" s="595"/>
      <c r="OOV43" s="595"/>
      <c r="OOW43" s="595"/>
      <c r="OOX43" s="595"/>
      <c r="OOY43" s="595"/>
      <c r="OOZ43" s="595"/>
      <c r="OPA43" s="595"/>
      <c r="OPB43" s="595"/>
      <c r="OPC43" s="595"/>
      <c r="OPD43" s="595"/>
      <c r="OPE43" s="595"/>
      <c r="OPF43" s="595"/>
      <c r="OPG43" s="595"/>
      <c r="OPH43" s="595"/>
      <c r="OPI43" s="595"/>
      <c r="OPJ43" s="595"/>
      <c r="OPK43" s="595"/>
      <c r="OPL43" s="595"/>
      <c r="OPM43" s="595"/>
      <c r="OPN43" s="595"/>
      <c r="OPO43" s="595"/>
      <c r="OPP43" s="595"/>
      <c r="OPQ43" s="595"/>
      <c r="OPR43" s="595"/>
      <c r="OPS43" s="595"/>
      <c r="OPT43" s="595"/>
      <c r="OPU43" s="595"/>
      <c r="OPV43" s="595"/>
      <c r="OPW43" s="595"/>
      <c r="OPX43" s="595"/>
      <c r="OPY43" s="595"/>
      <c r="OPZ43" s="595"/>
      <c r="OQA43" s="595"/>
      <c r="OQB43" s="595"/>
      <c r="OQC43" s="595"/>
      <c r="OQD43" s="595"/>
      <c r="OQE43" s="595"/>
      <c r="OQF43" s="595"/>
      <c r="OQG43" s="595"/>
      <c r="OQH43" s="595"/>
      <c r="OQI43" s="595"/>
      <c r="OQJ43" s="595"/>
      <c r="OQK43" s="595"/>
      <c r="OQL43" s="595"/>
      <c r="OQM43" s="595"/>
      <c r="OQN43" s="595"/>
      <c r="OQO43" s="595"/>
      <c r="OQP43" s="595"/>
      <c r="OQQ43" s="595"/>
      <c r="OQR43" s="595"/>
      <c r="OQS43" s="595"/>
      <c r="OQT43" s="595"/>
      <c r="OQU43" s="595"/>
      <c r="OQV43" s="595"/>
      <c r="OQW43" s="595"/>
      <c r="OQX43" s="595"/>
      <c r="OQY43" s="595"/>
      <c r="OQZ43" s="595"/>
      <c r="ORA43" s="595"/>
      <c r="ORB43" s="595"/>
      <c r="ORC43" s="595"/>
      <c r="ORD43" s="595"/>
      <c r="ORE43" s="595"/>
      <c r="ORF43" s="595"/>
      <c r="ORG43" s="595"/>
      <c r="ORH43" s="595"/>
      <c r="ORI43" s="595"/>
      <c r="ORJ43" s="595"/>
      <c r="ORK43" s="595"/>
      <c r="ORL43" s="595"/>
      <c r="ORM43" s="595"/>
      <c r="ORN43" s="595"/>
      <c r="ORO43" s="595"/>
      <c r="ORP43" s="595"/>
      <c r="ORQ43" s="595"/>
      <c r="ORR43" s="595"/>
      <c r="ORS43" s="595"/>
      <c r="ORT43" s="595"/>
      <c r="ORU43" s="595"/>
      <c r="ORV43" s="595"/>
      <c r="ORW43" s="595"/>
      <c r="ORX43" s="595"/>
      <c r="ORY43" s="595"/>
      <c r="ORZ43" s="595"/>
      <c r="OSA43" s="595"/>
      <c r="OSB43" s="595"/>
      <c r="OSC43" s="595"/>
      <c r="OSD43" s="595"/>
      <c r="OSE43" s="595"/>
      <c r="OSF43" s="595"/>
      <c r="OSG43" s="595"/>
      <c r="OSH43" s="595"/>
      <c r="OSI43" s="595"/>
      <c r="OSJ43" s="595"/>
      <c r="OSK43" s="595"/>
      <c r="OSL43" s="595"/>
      <c r="OSM43" s="595"/>
      <c r="OSN43" s="595"/>
      <c r="OSO43" s="595"/>
      <c r="OSP43" s="595"/>
      <c r="OSQ43" s="595"/>
      <c r="OSR43" s="595"/>
      <c r="OSS43" s="595"/>
      <c r="OST43" s="595"/>
      <c r="OSU43" s="595"/>
      <c r="OSV43" s="595"/>
      <c r="OSW43" s="595"/>
      <c r="OSX43" s="595"/>
      <c r="OSY43" s="595"/>
      <c r="OSZ43" s="595"/>
      <c r="OTA43" s="595"/>
      <c r="OTB43" s="595"/>
      <c r="OTC43" s="595"/>
      <c r="OTD43" s="595"/>
      <c r="OTE43" s="595"/>
      <c r="OTF43" s="595"/>
      <c r="OTG43" s="595"/>
      <c r="OTH43" s="595"/>
      <c r="OTI43" s="595"/>
      <c r="OTJ43" s="595"/>
      <c r="OTK43" s="595"/>
      <c r="OTL43" s="595"/>
      <c r="OTM43" s="595"/>
      <c r="OTN43" s="595"/>
      <c r="OTO43" s="595"/>
      <c r="OTP43" s="595"/>
      <c r="OTQ43" s="595"/>
      <c r="OTR43" s="595"/>
      <c r="OTS43" s="595"/>
      <c r="OTT43" s="595"/>
      <c r="OTU43" s="595"/>
      <c r="OTV43" s="595"/>
      <c r="OTW43" s="595"/>
      <c r="OTX43" s="595"/>
      <c r="OTY43" s="595"/>
      <c r="OTZ43" s="595"/>
      <c r="OUA43" s="595"/>
      <c r="OUB43" s="595"/>
      <c r="OUC43" s="595"/>
      <c r="OUD43" s="595"/>
      <c r="OUE43" s="595"/>
      <c r="OUF43" s="595"/>
      <c r="OUG43" s="595"/>
      <c r="OUH43" s="595"/>
      <c r="OUI43" s="595"/>
      <c r="OUJ43" s="595"/>
      <c r="OUK43" s="595"/>
      <c r="OUL43" s="595"/>
      <c r="OUM43" s="595"/>
      <c r="OUN43" s="595"/>
      <c r="OUO43" s="595"/>
      <c r="OUP43" s="595"/>
      <c r="OUQ43" s="595"/>
      <c r="OUR43" s="595"/>
      <c r="OUS43" s="595"/>
      <c r="OUT43" s="595"/>
      <c r="OUU43" s="595"/>
      <c r="OUV43" s="595"/>
      <c r="OUW43" s="595"/>
      <c r="OUX43" s="595"/>
      <c r="OUY43" s="595"/>
      <c r="OUZ43" s="595"/>
      <c r="OVA43" s="595"/>
      <c r="OVB43" s="595"/>
      <c r="OVC43" s="595"/>
      <c r="OVD43" s="595"/>
      <c r="OVE43" s="595"/>
      <c r="OVF43" s="595"/>
      <c r="OVG43" s="595"/>
      <c r="OVH43" s="595"/>
      <c r="OVI43" s="595"/>
      <c r="OVJ43" s="595"/>
      <c r="OVK43" s="595"/>
      <c r="OVL43" s="595"/>
      <c r="OVM43" s="595"/>
      <c r="OVN43" s="595"/>
      <c r="OVO43" s="595"/>
      <c r="OVP43" s="595"/>
      <c r="OVQ43" s="595"/>
      <c r="OVR43" s="595"/>
      <c r="OVS43" s="595"/>
      <c r="OVT43" s="595"/>
      <c r="OVU43" s="595"/>
      <c r="OVV43" s="595"/>
      <c r="OVW43" s="595"/>
      <c r="OVX43" s="595"/>
      <c r="OVY43" s="595"/>
      <c r="OVZ43" s="595"/>
      <c r="OWA43" s="595"/>
      <c r="OWB43" s="595"/>
      <c r="OWC43" s="595"/>
      <c r="OWD43" s="595"/>
      <c r="OWE43" s="595"/>
      <c r="OWF43" s="595"/>
      <c r="OWG43" s="595"/>
      <c r="OWH43" s="595"/>
      <c r="OWI43" s="595"/>
      <c r="OWJ43" s="595"/>
      <c r="OWK43" s="595"/>
      <c r="OWL43" s="595"/>
      <c r="OWM43" s="595"/>
      <c r="OWN43" s="595"/>
      <c r="OWO43" s="595"/>
      <c r="OWP43" s="595"/>
      <c r="OWQ43" s="595"/>
      <c r="OWR43" s="595"/>
      <c r="OWS43" s="595"/>
      <c r="OWT43" s="595"/>
      <c r="OWU43" s="595"/>
      <c r="OWV43" s="595"/>
      <c r="OWW43" s="595"/>
      <c r="OWX43" s="595"/>
      <c r="OWY43" s="595"/>
      <c r="OWZ43" s="595"/>
      <c r="OXA43" s="595"/>
      <c r="OXB43" s="595"/>
      <c r="OXC43" s="595"/>
      <c r="OXD43" s="595"/>
      <c r="OXE43" s="595"/>
      <c r="OXF43" s="595"/>
      <c r="OXG43" s="595"/>
      <c r="OXH43" s="595"/>
      <c r="OXI43" s="595"/>
      <c r="OXJ43" s="595"/>
      <c r="OXK43" s="595"/>
      <c r="OXL43" s="595"/>
      <c r="OXM43" s="595"/>
      <c r="OXN43" s="595"/>
      <c r="OXO43" s="595"/>
      <c r="OXP43" s="595"/>
      <c r="OXQ43" s="595"/>
      <c r="OXR43" s="595"/>
      <c r="OXS43" s="595"/>
      <c r="OXT43" s="595"/>
      <c r="OXU43" s="595"/>
      <c r="OXV43" s="595"/>
      <c r="OXW43" s="595"/>
      <c r="OXX43" s="595"/>
      <c r="OXY43" s="595"/>
      <c r="OXZ43" s="595"/>
      <c r="OYA43" s="595"/>
      <c r="OYB43" s="595"/>
      <c r="OYC43" s="595"/>
      <c r="OYD43" s="595"/>
      <c r="OYE43" s="595"/>
      <c r="OYF43" s="595"/>
      <c r="OYG43" s="595"/>
      <c r="OYH43" s="595"/>
      <c r="OYI43" s="595"/>
      <c r="OYJ43" s="595"/>
      <c r="OYK43" s="595"/>
      <c r="OYL43" s="595"/>
      <c r="OYM43" s="595"/>
      <c r="OYN43" s="595"/>
      <c r="OYO43" s="595"/>
      <c r="OYP43" s="595"/>
      <c r="OYQ43" s="595"/>
      <c r="OYR43" s="595"/>
      <c r="OYS43" s="595"/>
      <c r="OYT43" s="595"/>
      <c r="OYU43" s="595"/>
      <c r="OYV43" s="595"/>
      <c r="OYW43" s="595"/>
      <c r="OYX43" s="595"/>
      <c r="OYY43" s="595"/>
      <c r="OYZ43" s="595"/>
      <c r="OZA43" s="595"/>
      <c r="OZB43" s="595"/>
      <c r="OZC43" s="595"/>
      <c r="OZD43" s="595"/>
      <c r="OZE43" s="595"/>
      <c r="OZF43" s="595"/>
      <c r="OZG43" s="595"/>
      <c r="OZH43" s="595"/>
      <c r="OZI43" s="595"/>
      <c r="OZJ43" s="595"/>
      <c r="OZK43" s="595"/>
      <c r="OZL43" s="595"/>
      <c r="OZM43" s="595"/>
      <c r="OZN43" s="595"/>
      <c r="OZO43" s="595"/>
      <c r="OZP43" s="595"/>
      <c r="OZQ43" s="595"/>
      <c r="OZR43" s="595"/>
      <c r="OZS43" s="595"/>
      <c r="OZT43" s="595"/>
      <c r="OZU43" s="595"/>
      <c r="OZV43" s="595"/>
      <c r="OZW43" s="595"/>
      <c r="OZX43" s="595"/>
      <c r="OZY43" s="595"/>
      <c r="OZZ43" s="595"/>
      <c r="PAA43" s="595"/>
      <c r="PAB43" s="595"/>
      <c r="PAC43" s="595"/>
      <c r="PAD43" s="595"/>
      <c r="PAE43" s="595"/>
      <c r="PAF43" s="595"/>
      <c r="PAG43" s="595"/>
      <c r="PAH43" s="595"/>
      <c r="PAI43" s="595"/>
      <c r="PAJ43" s="595"/>
      <c r="PAK43" s="595"/>
      <c r="PAL43" s="595"/>
      <c r="PAM43" s="595"/>
      <c r="PAN43" s="595"/>
      <c r="PAO43" s="595"/>
      <c r="PAP43" s="595"/>
      <c r="PAQ43" s="595"/>
      <c r="PAR43" s="595"/>
      <c r="PAS43" s="595"/>
      <c r="PAT43" s="595"/>
      <c r="PAU43" s="595"/>
      <c r="PAV43" s="595"/>
      <c r="PAW43" s="595"/>
      <c r="PAX43" s="595"/>
      <c r="PAY43" s="595"/>
      <c r="PAZ43" s="595"/>
      <c r="PBA43" s="595"/>
      <c r="PBB43" s="595"/>
      <c r="PBC43" s="595"/>
      <c r="PBD43" s="595"/>
      <c r="PBE43" s="595"/>
      <c r="PBF43" s="595"/>
      <c r="PBG43" s="595"/>
      <c r="PBH43" s="595"/>
      <c r="PBI43" s="595"/>
      <c r="PBJ43" s="595"/>
      <c r="PBK43" s="595"/>
      <c r="PBL43" s="595"/>
      <c r="PBM43" s="595"/>
      <c r="PBN43" s="595"/>
      <c r="PBO43" s="595"/>
      <c r="PBP43" s="595"/>
      <c r="PBQ43" s="595"/>
      <c r="PBR43" s="595"/>
      <c r="PBS43" s="595"/>
      <c r="PBT43" s="595"/>
      <c r="PBU43" s="595"/>
      <c r="PBV43" s="595"/>
      <c r="PBW43" s="595"/>
      <c r="PBX43" s="595"/>
      <c r="PBY43" s="595"/>
      <c r="PBZ43" s="595"/>
      <c r="PCA43" s="595"/>
      <c r="PCB43" s="595"/>
      <c r="PCC43" s="595"/>
      <c r="PCD43" s="595"/>
      <c r="PCE43" s="595"/>
      <c r="PCF43" s="595"/>
      <c r="PCG43" s="595"/>
      <c r="PCH43" s="595"/>
      <c r="PCI43" s="595"/>
      <c r="PCJ43" s="595"/>
      <c r="PCK43" s="595"/>
      <c r="PCL43" s="595"/>
      <c r="PCM43" s="595"/>
      <c r="PCN43" s="595"/>
      <c r="PCO43" s="595"/>
      <c r="PCP43" s="595"/>
      <c r="PCQ43" s="595"/>
      <c r="PCR43" s="595"/>
      <c r="PCS43" s="595"/>
      <c r="PCT43" s="595"/>
      <c r="PCU43" s="595"/>
      <c r="PCV43" s="595"/>
      <c r="PCW43" s="595"/>
      <c r="PCX43" s="595"/>
      <c r="PCY43" s="595"/>
      <c r="PCZ43" s="595"/>
      <c r="PDA43" s="595"/>
      <c r="PDB43" s="595"/>
      <c r="PDC43" s="595"/>
      <c r="PDD43" s="595"/>
      <c r="PDE43" s="595"/>
      <c r="PDF43" s="595"/>
      <c r="PDG43" s="595"/>
      <c r="PDH43" s="595"/>
      <c r="PDI43" s="595"/>
      <c r="PDJ43" s="595"/>
      <c r="PDK43" s="595"/>
      <c r="PDL43" s="595"/>
      <c r="PDM43" s="595"/>
      <c r="PDN43" s="595"/>
      <c r="PDO43" s="595"/>
      <c r="PDP43" s="595"/>
      <c r="PDQ43" s="595"/>
      <c r="PDR43" s="595"/>
      <c r="PDS43" s="595"/>
      <c r="PDT43" s="595"/>
      <c r="PDU43" s="595"/>
      <c r="PDV43" s="595"/>
      <c r="PDW43" s="595"/>
      <c r="PDX43" s="595"/>
      <c r="PDY43" s="595"/>
      <c r="PDZ43" s="595"/>
      <c r="PEA43" s="595"/>
      <c r="PEB43" s="595"/>
      <c r="PEC43" s="595"/>
      <c r="PED43" s="595"/>
      <c r="PEE43" s="595"/>
      <c r="PEF43" s="595"/>
      <c r="PEG43" s="595"/>
      <c r="PEH43" s="595"/>
      <c r="PEI43" s="595"/>
      <c r="PEJ43" s="595"/>
      <c r="PEK43" s="595"/>
      <c r="PEL43" s="595"/>
      <c r="PEM43" s="595"/>
      <c r="PEN43" s="595"/>
      <c r="PEO43" s="595"/>
      <c r="PEP43" s="595"/>
      <c r="PEQ43" s="595"/>
      <c r="PER43" s="595"/>
      <c r="PES43" s="595"/>
      <c r="PET43" s="595"/>
      <c r="PEU43" s="595"/>
      <c r="PEV43" s="595"/>
      <c r="PEW43" s="595"/>
      <c r="PEX43" s="595"/>
      <c r="PEY43" s="595"/>
      <c r="PEZ43" s="595"/>
      <c r="PFA43" s="595"/>
      <c r="PFB43" s="595"/>
      <c r="PFC43" s="595"/>
      <c r="PFD43" s="595"/>
      <c r="PFE43" s="595"/>
      <c r="PFF43" s="595"/>
      <c r="PFG43" s="595"/>
      <c r="PFH43" s="595"/>
      <c r="PFI43" s="595"/>
      <c r="PFJ43" s="595"/>
      <c r="PFK43" s="595"/>
      <c r="PFL43" s="595"/>
      <c r="PFM43" s="595"/>
      <c r="PFN43" s="595"/>
      <c r="PFO43" s="595"/>
      <c r="PFP43" s="595"/>
      <c r="PFQ43" s="595"/>
      <c r="PFR43" s="595"/>
      <c r="PFS43" s="595"/>
      <c r="PFT43" s="595"/>
      <c r="PFU43" s="595"/>
      <c r="PFV43" s="595"/>
      <c r="PFW43" s="595"/>
      <c r="PFX43" s="595"/>
      <c r="PFY43" s="595"/>
      <c r="PFZ43" s="595"/>
      <c r="PGA43" s="595"/>
      <c r="PGB43" s="595"/>
      <c r="PGC43" s="595"/>
      <c r="PGD43" s="595"/>
      <c r="PGE43" s="595"/>
      <c r="PGF43" s="595"/>
      <c r="PGG43" s="595"/>
      <c r="PGH43" s="595"/>
      <c r="PGI43" s="595"/>
      <c r="PGJ43" s="595"/>
      <c r="PGK43" s="595"/>
      <c r="PGL43" s="595"/>
      <c r="PGM43" s="595"/>
      <c r="PGN43" s="595"/>
      <c r="PGO43" s="595"/>
      <c r="PGP43" s="595"/>
      <c r="PGQ43" s="595"/>
      <c r="PGR43" s="595"/>
      <c r="PGS43" s="595"/>
      <c r="PGT43" s="595"/>
      <c r="PGU43" s="595"/>
      <c r="PGV43" s="595"/>
      <c r="PGW43" s="595"/>
      <c r="PGX43" s="595"/>
      <c r="PGY43" s="595"/>
      <c r="PGZ43" s="595"/>
      <c r="PHA43" s="595"/>
      <c r="PHB43" s="595"/>
      <c r="PHC43" s="595"/>
      <c r="PHD43" s="595"/>
      <c r="PHE43" s="595"/>
      <c r="PHF43" s="595"/>
      <c r="PHG43" s="595"/>
      <c r="PHH43" s="595"/>
      <c r="PHI43" s="595"/>
      <c r="PHJ43" s="595"/>
      <c r="PHK43" s="595"/>
      <c r="PHL43" s="595"/>
      <c r="PHM43" s="595"/>
      <c r="PHN43" s="595"/>
      <c r="PHO43" s="595"/>
      <c r="PHP43" s="595"/>
      <c r="PHQ43" s="595"/>
      <c r="PHR43" s="595"/>
      <c r="PHS43" s="595"/>
      <c r="PHT43" s="595"/>
      <c r="PHU43" s="595"/>
      <c r="PHV43" s="595"/>
      <c r="PHW43" s="595"/>
      <c r="PHX43" s="595"/>
      <c r="PHY43" s="595"/>
      <c r="PHZ43" s="595"/>
      <c r="PIA43" s="595"/>
      <c r="PIB43" s="595"/>
      <c r="PIC43" s="595"/>
      <c r="PID43" s="595"/>
      <c r="PIE43" s="595"/>
      <c r="PIF43" s="595"/>
      <c r="PIG43" s="595"/>
      <c r="PIH43" s="595"/>
      <c r="PII43" s="595"/>
      <c r="PIJ43" s="595"/>
      <c r="PIK43" s="595"/>
      <c r="PIL43" s="595"/>
      <c r="PIM43" s="595"/>
      <c r="PIN43" s="595"/>
      <c r="PIO43" s="595"/>
      <c r="PIP43" s="595"/>
      <c r="PIQ43" s="595"/>
      <c r="PIR43" s="595"/>
      <c r="PIS43" s="595"/>
      <c r="PIT43" s="595"/>
      <c r="PIU43" s="595"/>
      <c r="PIV43" s="595"/>
      <c r="PIW43" s="595"/>
      <c r="PIX43" s="595"/>
      <c r="PIY43" s="595"/>
      <c r="PIZ43" s="595"/>
      <c r="PJA43" s="595"/>
      <c r="PJB43" s="595"/>
      <c r="PJC43" s="595"/>
      <c r="PJD43" s="595"/>
      <c r="PJE43" s="595"/>
      <c r="PJF43" s="595"/>
      <c r="PJG43" s="595"/>
      <c r="PJH43" s="595"/>
      <c r="PJI43" s="595"/>
      <c r="PJJ43" s="595"/>
      <c r="PJK43" s="595"/>
      <c r="PJL43" s="595"/>
      <c r="PJM43" s="595"/>
      <c r="PJN43" s="595"/>
      <c r="PJO43" s="595"/>
      <c r="PJP43" s="595"/>
      <c r="PJQ43" s="595"/>
      <c r="PJR43" s="595"/>
      <c r="PJS43" s="595"/>
      <c r="PJT43" s="595"/>
      <c r="PJU43" s="595"/>
      <c r="PJV43" s="595"/>
      <c r="PJW43" s="595"/>
      <c r="PJX43" s="595"/>
      <c r="PJY43" s="595"/>
      <c r="PJZ43" s="595"/>
      <c r="PKA43" s="595"/>
      <c r="PKB43" s="595"/>
      <c r="PKC43" s="595"/>
      <c r="PKD43" s="595"/>
      <c r="PKE43" s="595"/>
      <c r="PKF43" s="595"/>
      <c r="PKG43" s="595"/>
      <c r="PKH43" s="595"/>
      <c r="PKI43" s="595"/>
      <c r="PKJ43" s="595"/>
      <c r="PKK43" s="595"/>
      <c r="PKL43" s="595"/>
      <c r="PKM43" s="595"/>
      <c r="PKN43" s="595"/>
      <c r="PKO43" s="595"/>
      <c r="PKP43" s="595"/>
      <c r="PKQ43" s="595"/>
      <c r="PKR43" s="595"/>
      <c r="PKS43" s="595"/>
      <c r="PKT43" s="595"/>
      <c r="PKU43" s="595"/>
      <c r="PKV43" s="595"/>
      <c r="PKW43" s="595"/>
      <c r="PKX43" s="595"/>
      <c r="PKY43" s="595"/>
      <c r="PKZ43" s="595"/>
      <c r="PLA43" s="595"/>
      <c r="PLB43" s="595"/>
      <c r="PLC43" s="595"/>
      <c r="PLD43" s="595"/>
      <c r="PLE43" s="595"/>
      <c r="PLF43" s="595"/>
      <c r="PLG43" s="595"/>
      <c r="PLH43" s="595"/>
      <c r="PLI43" s="595"/>
      <c r="PLJ43" s="595"/>
      <c r="PLK43" s="595"/>
      <c r="PLL43" s="595"/>
      <c r="PLM43" s="595"/>
      <c r="PLN43" s="595"/>
      <c r="PLO43" s="595"/>
      <c r="PLP43" s="595"/>
      <c r="PLQ43" s="595"/>
      <c r="PLR43" s="595"/>
      <c r="PLS43" s="595"/>
      <c r="PLT43" s="595"/>
      <c r="PLU43" s="595"/>
      <c r="PLV43" s="595"/>
      <c r="PLW43" s="595"/>
      <c r="PLX43" s="595"/>
      <c r="PLY43" s="595"/>
      <c r="PLZ43" s="595"/>
      <c r="PMA43" s="595"/>
      <c r="PMB43" s="595"/>
      <c r="PMC43" s="595"/>
      <c r="PMD43" s="595"/>
      <c r="PME43" s="595"/>
      <c r="PMF43" s="595"/>
      <c r="PMG43" s="595"/>
      <c r="PMH43" s="595"/>
      <c r="PMI43" s="595"/>
      <c r="PMJ43" s="595"/>
      <c r="PMK43" s="595"/>
      <c r="PML43" s="595"/>
      <c r="PMM43" s="595"/>
      <c r="PMN43" s="595"/>
      <c r="PMO43" s="595"/>
      <c r="PMP43" s="595"/>
      <c r="PMQ43" s="595"/>
      <c r="PMR43" s="595"/>
      <c r="PMS43" s="595"/>
      <c r="PMT43" s="595"/>
      <c r="PMU43" s="595"/>
      <c r="PMV43" s="595"/>
      <c r="PMW43" s="595"/>
      <c r="PMX43" s="595"/>
      <c r="PMY43" s="595"/>
      <c r="PMZ43" s="595"/>
      <c r="PNA43" s="595"/>
      <c r="PNB43" s="595"/>
      <c r="PNC43" s="595"/>
      <c r="PND43" s="595"/>
      <c r="PNE43" s="595"/>
      <c r="PNF43" s="595"/>
      <c r="PNG43" s="595"/>
      <c r="PNH43" s="595"/>
      <c r="PNI43" s="595"/>
      <c r="PNJ43" s="595"/>
      <c r="PNK43" s="595"/>
      <c r="PNL43" s="595"/>
      <c r="PNM43" s="595"/>
      <c r="PNN43" s="595"/>
      <c r="PNO43" s="595"/>
      <c r="PNP43" s="595"/>
      <c r="PNQ43" s="595"/>
      <c r="PNR43" s="595"/>
      <c r="PNS43" s="595"/>
      <c r="PNT43" s="595"/>
      <c r="PNU43" s="595"/>
      <c r="PNV43" s="595"/>
      <c r="PNW43" s="595"/>
      <c r="PNX43" s="595"/>
      <c r="PNY43" s="595"/>
      <c r="PNZ43" s="595"/>
      <c r="POA43" s="595"/>
      <c r="POB43" s="595"/>
      <c r="POC43" s="595"/>
      <c r="POD43" s="595"/>
      <c r="POE43" s="595"/>
      <c r="POF43" s="595"/>
      <c r="POG43" s="595"/>
      <c r="POH43" s="595"/>
      <c r="POI43" s="595"/>
      <c r="POJ43" s="595"/>
      <c r="POK43" s="595"/>
      <c r="POL43" s="595"/>
      <c r="POM43" s="595"/>
      <c r="PON43" s="595"/>
      <c r="POO43" s="595"/>
      <c r="POP43" s="595"/>
      <c r="POQ43" s="595"/>
      <c r="POR43" s="595"/>
      <c r="POS43" s="595"/>
      <c r="POT43" s="595"/>
      <c r="POU43" s="595"/>
      <c r="POV43" s="595"/>
      <c r="POW43" s="595"/>
      <c r="POX43" s="595"/>
      <c r="POY43" s="595"/>
      <c r="POZ43" s="595"/>
      <c r="PPA43" s="595"/>
      <c r="PPB43" s="595"/>
      <c r="PPC43" s="595"/>
      <c r="PPD43" s="595"/>
      <c r="PPE43" s="595"/>
      <c r="PPF43" s="595"/>
      <c r="PPG43" s="595"/>
      <c r="PPH43" s="595"/>
      <c r="PPI43" s="595"/>
      <c r="PPJ43" s="595"/>
      <c r="PPK43" s="595"/>
      <c r="PPL43" s="595"/>
      <c r="PPM43" s="595"/>
      <c r="PPN43" s="595"/>
      <c r="PPO43" s="595"/>
      <c r="PPP43" s="595"/>
      <c r="PPQ43" s="595"/>
      <c r="PPR43" s="595"/>
      <c r="PPS43" s="595"/>
      <c r="PPT43" s="595"/>
      <c r="PPU43" s="595"/>
      <c r="PPV43" s="595"/>
      <c r="PPW43" s="595"/>
      <c r="PPX43" s="595"/>
      <c r="PPY43" s="595"/>
      <c r="PPZ43" s="595"/>
      <c r="PQA43" s="595"/>
      <c r="PQB43" s="595"/>
      <c r="PQC43" s="595"/>
      <c r="PQD43" s="595"/>
      <c r="PQE43" s="595"/>
      <c r="PQF43" s="595"/>
      <c r="PQG43" s="595"/>
      <c r="PQH43" s="595"/>
      <c r="PQI43" s="595"/>
      <c r="PQJ43" s="595"/>
      <c r="PQK43" s="595"/>
      <c r="PQL43" s="595"/>
      <c r="PQM43" s="595"/>
      <c r="PQN43" s="595"/>
      <c r="PQO43" s="595"/>
      <c r="PQP43" s="595"/>
      <c r="PQQ43" s="595"/>
      <c r="PQR43" s="595"/>
      <c r="PQS43" s="595"/>
      <c r="PQT43" s="595"/>
      <c r="PQU43" s="595"/>
      <c r="PQV43" s="595"/>
      <c r="PQW43" s="595"/>
      <c r="PQX43" s="595"/>
      <c r="PQY43" s="595"/>
      <c r="PQZ43" s="595"/>
      <c r="PRA43" s="595"/>
      <c r="PRB43" s="595"/>
      <c r="PRC43" s="595"/>
      <c r="PRD43" s="595"/>
      <c r="PRE43" s="595"/>
      <c r="PRF43" s="595"/>
      <c r="PRG43" s="595"/>
      <c r="PRH43" s="595"/>
      <c r="PRI43" s="595"/>
      <c r="PRJ43" s="595"/>
      <c r="PRK43" s="595"/>
      <c r="PRL43" s="595"/>
      <c r="PRM43" s="595"/>
      <c r="PRN43" s="595"/>
      <c r="PRO43" s="595"/>
      <c r="PRP43" s="595"/>
      <c r="PRQ43" s="595"/>
      <c r="PRR43" s="595"/>
      <c r="PRS43" s="595"/>
      <c r="PRT43" s="595"/>
      <c r="PRU43" s="595"/>
      <c r="PRV43" s="595"/>
      <c r="PRW43" s="595"/>
      <c r="PRX43" s="595"/>
      <c r="PRY43" s="595"/>
      <c r="PRZ43" s="595"/>
      <c r="PSA43" s="595"/>
      <c r="PSB43" s="595"/>
      <c r="PSC43" s="595"/>
      <c r="PSD43" s="595"/>
      <c r="PSE43" s="595"/>
      <c r="PSF43" s="595"/>
      <c r="PSG43" s="595"/>
      <c r="PSH43" s="595"/>
      <c r="PSI43" s="595"/>
      <c r="PSJ43" s="595"/>
      <c r="PSK43" s="595"/>
      <c r="PSL43" s="595"/>
      <c r="PSM43" s="595"/>
      <c r="PSN43" s="595"/>
      <c r="PSO43" s="595"/>
      <c r="PSP43" s="595"/>
      <c r="PSQ43" s="595"/>
      <c r="PSR43" s="595"/>
      <c r="PSS43" s="595"/>
      <c r="PST43" s="595"/>
      <c r="PSU43" s="595"/>
      <c r="PSV43" s="595"/>
      <c r="PSW43" s="595"/>
      <c r="PSX43" s="595"/>
      <c r="PSY43" s="595"/>
      <c r="PSZ43" s="595"/>
      <c r="PTA43" s="595"/>
      <c r="PTB43" s="595"/>
      <c r="PTC43" s="595"/>
      <c r="PTD43" s="595"/>
      <c r="PTE43" s="595"/>
      <c r="PTF43" s="595"/>
      <c r="PTG43" s="595"/>
      <c r="PTH43" s="595"/>
      <c r="PTI43" s="595"/>
      <c r="PTJ43" s="595"/>
      <c r="PTK43" s="595"/>
      <c r="PTL43" s="595"/>
      <c r="PTM43" s="595"/>
      <c r="PTN43" s="595"/>
      <c r="PTO43" s="595"/>
      <c r="PTP43" s="595"/>
      <c r="PTQ43" s="595"/>
      <c r="PTR43" s="595"/>
      <c r="PTS43" s="595"/>
      <c r="PTT43" s="595"/>
      <c r="PTU43" s="595"/>
      <c r="PTV43" s="595"/>
      <c r="PTW43" s="595"/>
      <c r="PTX43" s="595"/>
      <c r="PTY43" s="595"/>
      <c r="PTZ43" s="595"/>
      <c r="PUA43" s="595"/>
      <c r="PUB43" s="595"/>
      <c r="PUC43" s="595"/>
      <c r="PUD43" s="595"/>
      <c r="PUE43" s="595"/>
      <c r="PUF43" s="595"/>
      <c r="PUG43" s="595"/>
      <c r="PUH43" s="595"/>
      <c r="PUI43" s="595"/>
      <c r="PUJ43" s="595"/>
      <c r="PUK43" s="595"/>
      <c r="PUL43" s="595"/>
      <c r="PUM43" s="595"/>
      <c r="PUN43" s="595"/>
      <c r="PUO43" s="595"/>
      <c r="PUP43" s="595"/>
      <c r="PUQ43" s="595"/>
      <c r="PUR43" s="595"/>
      <c r="PUS43" s="595"/>
      <c r="PUT43" s="595"/>
      <c r="PUU43" s="595"/>
      <c r="PUV43" s="595"/>
      <c r="PUW43" s="595"/>
      <c r="PUX43" s="595"/>
      <c r="PUY43" s="595"/>
      <c r="PUZ43" s="595"/>
      <c r="PVA43" s="595"/>
      <c r="PVB43" s="595"/>
      <c r="PVC43" s="595"/>
      <c r="PVD43" s="595"/>
      <c r="PVE43" s="595"/>
      <c r="PVF43" s="595"/>
      <c r="PVG43" s="595"/>
      <c r="PVH43" s="595"/>
      <c r="PVI43" s="595"/>
      <c r="PVJ43" s="595"/>
      <c r="PVK43" s="595"/>
      <c r="PVL43" s="595"/>
      <c r="PVM43" s="595"/>
      <c r="PVN43" s="595"/>
      <c r="PVO43" s="595"/>
      <c r="PVP43" s="595"/>
      <c r="PVQ43" s="595"/>
      <c r="PVR43" s="595"/>
      <c r="PVS43" s="595"/>
      <c r="PVT43" s="595"/>
      <c r="PVU43" s="595"/>
      <c r="PVV43" s="595"/>
      <c r="PVW43" s="595"/>
      <c r="PVX43" s="595"/>
      <c r="PVY43" s="595"/>
      <c r="PVZ43" s="595"/>
      <c r="PWA43" s="595"/>
      <c r="PWB43" s="595"/>
      <c r="PWC43" s="595"/>
      <c r="PWD43" s="595"/>
      <c r="PWE43" s="595"/>
      <c r="PWF43" s="595"/>
      <c r="PWG43" s="595"/>
      <c r="PWH43" s="595"/>
      <c r="PWI43" s="595"/>
      <c r="PWJ43" s="595"/>
      <c r="PWK43" s="595"/>
      <c r="PWL43" s="595"/>
      <c r="PWM43" s="595"/>
      <c r="PWN43" s="595"/>
      <c r="PWO43" s="595"/>
      <c r="PWP43" s="595"/>
      <c r="PWQ43" s="595"/>
      <c r="PWR43" s="595"/>
      <c r="PWS43" s="595"/>
      <c r="PWT43" s="595"/>
      <c r="PWU43" s="595"/>
      <c r="PWV43" s="595"/>
      <c r="PWW43" s="595"/>
      <c r="PWX43" s="595"/>
      <c r="PWY43" s="595"/>
      <c r="PWZ43" s="595"/>
      <c r="PXA43" s="595"/>
      <c r="PXB43" s="595"/>
      <c r="PXC43" s="595"/>
      <c r="PXD43" s="595"/>
      <c r="PXE43" s="595"/>
      <c r="PXF43" s="595"/>
      <c r="PXG43" s="595"/>
      <c r="PXH43" s="595"/>
      <c r="PXI43" s="595"/>
      <c r="PXJ43" s="595"/>
      <c r="PXK43" s="595"/>
      <c r="PXL43" s="595"/>
      <c r="PXM43" s="595"/>
      <c r="PXN43" s="595"/>
      <c r="PXO43" s="595"/>
      <c r="PXP43" s="595"/>
      <c r="PXQ43" s="595"/>
      <c r="PXR43" s="595"/>
      <c r="PXS43" s="595"/>
      <c r="PXT43" s="595"/>
      <c r="PXU43" s="595"/>
      <c r="PXV43" s="595"/>
      <c r="PXW43" s="595"/>
      <c r="PXX43" s="595"/>
      <c r="PXY43" s="595"/>
      <c r="PXZ43" s="595"/>
      <c r="PYA43" s="595"/>
      <c r="PYB43" s="595"/>
      <c r="PYC43" s="595"/>
      <c r="PYD43" s="595"/>
      <c r="PYE43" s="595"/>
      <c r="PYF43" s="595"/>
      <c r="PYG43" s="595"/>
      <c r="PYH43" s="595"/>
      <c r="PYI43" s="595"/>
      <c r="PYJ43" s="595"/>
      <c r="PYK43" s="595"/>
      <c r="PYL43" s="595"/>
      <c r="PYM43" s="595"/>
      <c r="PYN43" s="595"/>
      <c r="PYO43" s="595"/>
      <c r="PYP43" s="595"/>
      <c r="PYQ43" s="595"/>
      <c r="PYR43" s="595"/>
      <c r="PYS43" s="595"/>
      <c r="PYT43" s="595"/>
      <c r="PYU43" s="595"/>
      <c r="PYV43" s="595"/>
      <c r="PYW43" s="595"/>
      <c r="PYX43" s="595"/>
      <c r="PYY43" s="595"/>
      <c r="PYZ43" s="595"/>
      <c r="PZA43" s="595"/>
      <c r="PZB43" s="595"/>
      <c r="PZC43" s="595"/>
      <c r="PZD43" s="595"/>
      <c r="PZE43" s="595"/>
      <c r="PZF43" s="595"/>
      <c r="PZG43" s="595"/>
      <c r="PZH43" s="595"/>
      <c r="PZI43" s="595"/>
      <c r="PZJ43" s="595"/>
      <c r="PZK43" s="595"/>
      <c r="PZL43" s="595"/>
      <c r="PZM43" s="595"/>
      <c r="PZN43" s="595"/>
      <c r="PZO43" s="595"/>
      <c r="PZP43" s="595"/>
      <c r="PZQ43" s="595"/>
      <c r="PZR43" s="595"/>
      <c r="PZS43" s="595"/>
      <c r="PZT43" s="595"/>
      <c r="PZU43" s="595"/>
      <c r="PZV43" s="595"/>
      <c r="PZW43" s="595"/>
      <c r="PZX43" s="595"/>
      <c r="PZY43" s="595"/>
      <c r="PZZ43" s="595"/>
      <c r="QAA43" s="595"/>
      <c r="QAB43" s="595"/>
      <c r="QAC43" s="595"/>
      <c r="QAD43" s="595"/>
      <c r="QAE43" s="595"/>
      <c r="QAF43" s="595"/>
      <c r="QAG43" s="595"/>
      <c r="QAH43" s="595"/>
      <c r="QAI43" s="595"/>
      <c r="QAJ43" s="595"/>
      <c r="QAK43" s="595"/>
      <c r="QAL43" s="595"/>
      <c r="QAM43" s="595"/>
      <c r="QAN43" s="595"/>
      <c r="QAO43" s="595"/>
      <c r="QAP43" s="595"/>
      <c r="QAQ43" s="595"/>
      <c r="QAR43" s="595"/>
      <c r="QAS43" s="595"/>
      <c r="QAT43" s="595"/>
      <c r="QAU43" s="595"/>
      <c r="QAV43" s="595"/>
      <c r="QAW43" s="595"/>
      <c r="QAX43" s="595"/>
      <c r="QAY43" s="595"/>
      <c r="QAZ43" s="595"/>
      <c r="QBA43" s="595"/>
      <c r="QBB43" s="595"/>
      <c r="QBC43" s="595"/>
      <c r="QBD43" s="595"/>
      <c r="QBE43" s="595"/>
      <c r="QBF43" s="595"/>
      <c r="QBG43" s="595"/>
      <c r="QBH43" s="595"/>
      <c r="QBI43" s="595"/>
      <c r="QBJ43" s="595"/>
      <c r="QBK43" s="595"/>
      <c r="QBL43" s="595"/>
      <c r="QBM43" s="595"/>
      <c r="QBN43" s="595"/>
      <c r="QBO43" s="595"/>
      <c r="QBP43" s="595"/>
      <c r="QBQ43" s="595"/>
      <c r="QBR43" s="595"/>
      <c r="QBS43" s="595"/>
      <c r="QBT43" s="595"/>
      <c r="QBU43" s="595"/>
      <c r="QBV43" s="595"/>
      <c r="QBW43" s="595"/>
      <c r="QBX43" s="595"/>
      <c r="QBY43" s="595"/>
      <c r="QBZ43" s="595"/>
      <c r="QCA43" s="595"/>
      <c r="QCB43" s="595"/>
      <c r="QCC43" s="595"/>
      <c r="QCD43" s="595"/>
      <c r="QCE43" s="595"/>
      <c r="QCF43" s="595"/>
      <c r="QCG43" s="595"/>
      <c r="QCH43" s="595"/>
      <c r="QCI43" s="595"/>
      <c r="QCJ43" s="595"/>
      <c r="QCK43" s="595"/>
      <c r="QCL43" s="595"/>
      <c r="QCM43" s="595"/>
      <c r="QCN43" s="595"/>
      <c r="QCO43" s="595"/>
      <c r="QCP43" s="595"/>
      <c r="QCQ43" s="595"/>
      <c r="QCR43" s="595"/>
      <c r="QCS43" s="595"/>
      <c r="QCT43" s="595"/>
      <c r="QCU43" s="595"/>
      <c r="QCV43" s="595"/>
      <c r="QCW43" s="595"/>
      <c r="QCX43" s="595"/>
      <c r="QCY43" s="595"/>
      <c r="QCZ43" s="595"/>
      <c r="QDA43" s="595"/>
      <c r="QDB43" s="595"/>
      <c r="QDC43" s="595"/>
      <c r="QDD43" s="595"/>
      <c r="QDE43" s="595"/>
      <c r="QDF43" s="595"/>
      <c r="QDG43" s="595"/>
      <c r="QDH43" s="595"/>
      <c r="QDI43" s="595"/>
      <c r="QDJ43" s="595"/>
      <c r="QDK43" s="595"/>
      <c r="QDL43" s="595"/>
      <c r="QDM43" s="595"/>
      <c r="QDN43" s="595"/>
      <c r="QDO43" s="595"/>
      <c r="QDP43" s="595"/>
      <c r="QDQ43" s="595"/>
      <c r="QDR43" s="595"/>
      <c r="QDS43" s="595"/>
      <c r="QDT43" s="595"/>
      <c r="QDU43" s="595"/>
      <c r="QDV43" s="595"/>
      <c r="QDW43" s="595"/>
      <c r="QDX43" s="595"/>
      <c r="QDY43" s="595"/>
      <c r="QDZ43" s="595"/>
      <c r="QEA43" s="595"/>
      <c r="QEB43" s="595"/>
      <c r="QEC43" s="595"/>
      <c r="QED43" s="595"/>
      <c r="QEE43" s="595"/>
      <c r="QEF43" s="595"/>
      <c r="QEG43" s="595"/>
      <c r="QEH43" s="595"/>
      <c r="QEI43" s="595"/>
      <c r="QEJ43" s="595"/>
      <c r="QEK43" s="595"/>
      <c r="QEL43" s="595"/>
      <c r="QEM43" s="595"/>
      <c r="QEN43" s="595"/>
      <c r="QEO43" s="595"/>
      <c r="QEP43" s="595"/>
      <c r="QEQ43" s="595"/>
      <c r="QER43" s="595"/>
      <c r="QES43" s="595"/>
      <c r="QET43" s="595"/>
      <c r="QEU43" s="595"/>
      <c r="QEV43" s="595"/>
      <c r="QEW43" s="595"/>
      <c r="QEX43" s="595"/>
      <c r="QEY43" s="595"/>
      <c r="QEZ43" s="595"/>
      <c r="QFA43" s="595"/>
      <c r="QFB43" s="595"/>
      <c r="QFC43" s="595"/>
      <c r="QFD43" s="595"/>
      <c r="QFE43" s="595"/>
      <c r="QFF43" s="595"/>
      <c r="QFG43" s="595"/>
      <c r="QFH43" s="595"/>
      <c r="QFI43" s="595"/>
      <c r="QFJ43" s="595"/>
      <c r="QFK43" s="595"/>
      <c r="QFL43" s="595"/>
      <c r="QFM43" s="595"/>
      <c r="QFN43" s="595"/>
      <c r="QFO43" s="595"/>
      <c r="QFP43" s="595"/>
      <c r="QFQ43" s="595"/>
      <c r="QFR43" s="595"/>
      <c r="QFS43" s="595"/>
      <c r="QFT43" s="595"/>
      <c r="QFU43" s="595"/>
      <c r="QFV43" s="595"/>
      <c r="QFW43" s="595"/>
      <c r="QFX43" s="595"/>
      <c r="QFY43" s="595"/>
      <c r="QFZ43" s="595"/>
      <c r="QGA43" s="595"/>
      <c r="QGB43" s="595"/>
      <c r="QGC43" s="595"/>
      <c r="QGD43" s="595"/>
      <c r="QGE43" s="595"/>
      <c r="QGF43" s="595"/>
      <c r="QGG43" s="595"/>
      <c r="QGH43" s="595"/>
      <c r="QGI43" s="595"/>
      <c r="QGJ43" s="595"/>
      <c r="QGK43" s="595"/>
      <c r="QGL43" s="595"/>
      <c r="QGM43" s="595"/>
      <c r="QGN43" s="595"/>
      <c r="QGO43" s="595"/>
      <c r="QGP43" s="595"/>
      <c r="QGQ43" s="595"/>
      <c r="QGR43" s="595"/>
      <c r="QGS43" s="595"/>
      <c r="QGT43" s="595"/>
      <c r="QGU43" s="595"/>
      <c r="QGV43" s="595"/>
      <c r="QGW43" s="595"/>
      <c r="QGX43" s="595"/>
      <c r="QGY43" s="595"/>
      <c r="QGZ43" s="595"/>
      <c r="QHA43" s="595"/>
      <c r="QHB43" s="595"/>
      <c r="QHC43" s="595"/>
      <c r="QHD43" s="595"/>
      <c r="QHE43" s="595"/>
      <c r="QHF43" s="595"/>
      <c r="QHG43" s="595"/>
      <c r="QHH43" s="595"/>
      <c r="QHI43" s="595"/>
      <c r="QHJ43" s="595"/>
      <c r="QHK43" s="595"/>
      <c r="QHL43" s="595"/>
      <c r="QHM43" s="595"/>
      <c r="QHN43" s="595"/>
      <c r="QHO43" s="595"/>
      <c r="QHP43" s="595"/>
      <c r="QHQ43" s="595"/>
      <c r="QHR43" s="595"/>
      <c r="QHS43" s="595"/>
      <c r="QHT43" s="595"/>
      <c r="QHU43" s="595"/>
      <c r="QHV43" s="595"/>
      <c r="QHW43" s="595"/>
      <c r="QHX43" s="595"/>
      <c r="QHY43" s="595"/>
      <c r="QHZ43" s="595"/>
      <c r="QIA43" s="595"/>
      <c r="QIB43" s="595"/>
      <c r="QIC43" s="595"/>
      <c r="QID43" s="595"/>
      <c r="QIE43" s="595"/>
      <c r="QIF43" s="595"/>
      <c r="QIG43" s="595"/>
      <c r="QIH43" s="595"/>
      <c r="QII43" s="595"/>
      <c r="QIJ43" s="595"/>
      <c r="QIK43" s="595"/>
      <c r="QIL43" s="595"/>
      <c r="QIM43" s="595"/>
      <c r="QIN43" s="595"/>
      <c r="QIO43" s="595"/>
      <c r="QIP43" s="595"/>
      <c r="QIQ43" s="595"/>
      <c r="QIR43" s="595"/>
      <c r="QIS43" s="595"/>
      <c r="QIT43" s="595"/>
      <c r="QIU43" s="595"/>
      <c r="QIV43" s="595"/>
      <c r="QIW43" s="595"/>
      <c r="QIX43" s="595"/>
      <c r="QIY43" s="595"/>
      <c r="QIZ43" s="595"/>
      <c r="QJA43" s="595"/>
      <c r="QJB43" s="595"/>
      <c r="QJC43" s="595"/>
      <c r="QJD43" s="595"/>
      <c r="QJE43" s="595"/>
      <c r="QJF43" s="595"/>
      <c r="QJG43" s="595"/>
      <c r="QJH43" s="595"/>
      <c r="QJI43" s="595"/>
      <c r="QJJ43" s="595"/>
      <c r="QJK43" s="595"/>
      <c r="QJL43" s="595"/>
      <c r="QJM43" s="595"/>
      <c r="QJN43" s="595"/>
      <c r="QJO43" s="595"/>
      <c r="QJP43" s="595"/>
      <c r="QJQ43" s="595"/>
      <c r="QJR43" s="595"/>
      <c r="QJS43" s="595"/>
      <c r="QJT43" s="595"/>
      <c r="QJU43" s="595"/>
      <c r="QJV43" s="595"/>
      <c r="QJW43" s="595"/>
      <c r="QJX43" s="595"/>
      <c r="QJY43" s="595"/>
      <c r="QJZ43" s="595"/>
      <c r="QKA43" s="595"/>
      <c r="QKB43" s="595"/>
      <c r="QKC43" s="595"/>
      <c r="QKD43" s="595"/>
      <c r="QKE43" s="595"/>
      <c r="QKF43" s="595"/>
      <c r="QKG43" s="595"/>
      <c r="QKH43" s="595"/>
      <c r="QKI43" s="595"/>
      <c r="QKJ43" s="595"/>
      <c r="QKK43" s="595"/>
      <c r="QKL43" s="595"/>
      <c r="QKM43" s="595"/>
      <c r="QKN43" s="595"/>
      <c r="QKO43" s="595"/>
      <c r="QKP43" s="595"/>
      <c r="QKQ43" s="595"/>
      <c r="QKR43" s="595"/>
      <c r="QKS43" s="595"/>
      <c r="QKT43" s="595"/>
      <c r="QKU43" s="595"/>
      <c r="QKV43" s="595"/>
      <c r="QKW43" s="595"/>
      <c r="QKX43" s="595"/>
      <c r="QKY43" s="595"/>
      <c r="QKZ43" s="595"/>
      <c r="QLA43" s="595"/>
      <c r="QLB43" s="595"/>
      <c r="QLC43" s="595"/>
      <c r="QLD43" s="595"/>
      <c r="QLE43" s="595"/>
      <c r="QLF43" s="595"/>
      <c r="QLG43" s="595"/>
      <c r="QLH43" s="595"/>
      <c r="QLI43" s="595"/>
      <c r="QLJ43" s="595"/>
      <c r="QLK43" s="595"/>
      <c r="QLL43" s="595"/>
      <c r="QLM43" s="595"/>
      <c r="QLN43" s="595"/>
      <c r="QLO43" s="595"/>
      <c r="QLP43" s="595"/>
      <c r="QLQ43" s="595"/>
      <c r="QLR43" s="595"/>
      <c r="QLS43" s="595"/>
      <c r="QLT43" s="595"/>
      <c r="QLU43" s="595"/>
      <c r="QLV43" s="595"/>
      <c r="QLW43" s="595"/>
      <c r="QLX43" s="595"/>
      <c r="QLY43" s="595"/>
      <c r="QLZ43" s="595"/>
      <c r="QMA43" s="595"/>
      <c r="QMB43" s="595"/>
      <c r="QMC43" s="595"/>
      <c r="QMD43" s="595"/>
      <c r="QME43" s="595"/>
      <c r="QMF43" s="595"/>
      <c r="QMG43" s="595"/>
      <c r="QMH43" s="595"/>
      <c r="QMI43" s="595"/>
      <c r="QMJ43" s="595"/>
      <c r="QMK43" s="595"/>
      <c r="QML43" s="595"/>
      <c r="QMM43" s="595"/>
      <c r="QMN43" s="595"/>
      <c r="QMO43" s="595"/>
      <c r="QMP43" s="595"/>
      <c r="QMQ43" s="595"/>
      <c r="QMR43" s="595"/>
      <c r="QMS43" s="595"/>
      <c r="QMT43" s="595"/>
      <c r="QMU43" s="595"/>
      <c r="QMV43" s="595"/>
      <c r="QMW43" s="595"/>
      <c r="QMX43" s="595"/>
      <c r="QMY43" s="595"/>
      <c r="QMZ43" s="595"/>
      <c r="QNA43" s="595"/>
      <c r="QNB43" s="595"/>
      <c r="QNC43" s="595"/>
      <c r="QND43" s="595"/>
      <c r="QNE43" s="595"/>
      <c r="QNF43" s="595"/>
      <c r="QNG43" s="595"/>
      <c r="QNH43" s="595"/>
      <c r="QNI43" s="595"/>
      <c r="QNJ43" s="595"/>
      <c r="QNK43" s="595"/>
      <c r="QNL43" s="595"/>
      <c r="QNM43" s="595"/>
      <c r="QNN43" s="595"/>
      <c r="QNO43" s="595"/>
      <c r="QNP43" s="595"/>
      <c r="QNQ43" s="595"/>
      <c r="QNR43" s="595"/>
      <c r="QNS43" s="595"/>
      <c r="QNT43" s="595"/>
      <c r="QNU43" s="595"/>
      <c r="QNV43" s="595"/>
      <c r="QNW43" s="595"/>
      <c r="QNX43" s="595"/>
      <c r="QNY43" s="595"/>
      <c r="QNZ43" s="595"/>
      <c r="QOA43" s="595"/>
      <c r="QOB43" s="595"/>
      <c r="QOC43" s="595"/>
      <c r="QOD43" s="595"/>
      <c r="QOE43" s="595"/>
      <c r="QOF43" s="595"/>
      <c r="QOG43" s="595"/>
      <c r="QOH43" s="595"/>
      <c r="QOI43" s="595"/>
      <c r="QOJ43" s="595"/>
      <c r="QOK43" s="595"/>
      <c r="QOL43" s="595"/>
      <c r="QOM43" s="595"/>
      <c r="QON43" s="595"/>
      <c r="QOO43" s="595"/>
      <c r="QOP43" s="595"/>
      <c r="QOQ43" s="595"/>
      <c r="QOR43" s="595"/>
      <c r="QOS43" s="595"/>
      <c r="QOT43" s="595"/>
      <c r="QOU43" s="595"/>
      <c r="QOV43" s="595"/>
      <c r="QOW43" s="595"/>
      <c r="QOX43" s="595"/>
      <c r="QOY43" s="595"/>
      <c r="QOZ43" s="595"/>
      <c r="QPA43" s="595"/>
      <c r="QPB43" s="595"/>
      <c r="QPC43" s="595"/>
      <c r="QPD43" s="595"/>
      <c r="QPE43" s="595"/>
      <c r="QPF43" s="595"/>
      <c r="QPG43" s="595"/>
      <c r="QPH43" s="595"/>
      <c r="QPI43" s="595"/>
      <c r="QPJ43" s="595"/>
      <c r="QPK43" s="595"/>
      <c r="QPL43" s="595"/>
      <c r="QPM43" s="595"/>
      <c r="QPN43" s="595"/>
      <c r="QPO43" s="595"/>
      <c r="QPP43" s="595"/>
      <c r="QPQ43" s="595"/>
      <c r="QPR43" s="595"/>
      <c r="QPS43" s="595"/>
      <c r="QPT43" s="595"/>
      <c r="QPU43" s="595"/>
      <c r="QPV43" s="595"/>
      <c r="QPW43" s="595"/>
      <c r="QPX43" s="595"/>
      <c r="QPY43" s="595"/>
      <c r="QPZ43" s="595"/>
      <c r="QQA43" s="595"/>
      <c r="QQB43" s="595"/>
      <c r="QQC43" s="595"/>
      <c r="QQD43" s="595"/>
      <c r="QQE43" s="595"/>
      <c r="QQF43" s="595"/>
      <c r="QQG43" s="595"/>
      <c r="QQH43" s="595"/>
      <c r="QQI43" s="595"/>
      <c r="QQJ43" s="595"/>
      <c r="QQK43" s="595"/>
      <c r="QQL43" s="595"/>
      <c r="QQM43" s="595"/>
      <c r="QQN43" s="595"/>
      <c r="QQO43" s="595"/>
      <c r="QQP43" s="595"/>
      <c r="QQQ43" s="595"/>
      <c r="QQR43" s="595"/>
      <c r="QQS43" s="595"/>
      <c r="QQT43" s="595"/>
      <c r="QQU43" s="595"/>
      <c r="QQV43" s="595"/>
      <c r="QQW43" s="595"/>
      <c r="QQX43" s="595"/>
      <c r="QQY43" s="595"/>
      <c r="QQZ43" s="595"/>
      <c r="QRA43" s="595"/>
      <c r="QRB43" s="595"/>
      <c r="QRC43" s="595"/>
      <c r="QRD43" s="595"/>
      <c r="QRE43" s="595"/>
      <c r="QRF43" s="595"/>
      <c r="QRG43" s="595"/>
      <c r="QRH43" s="595"/>
      <c r="QRI43" s="595"/>
      <c r="QRJ43" s="595"/>
      <c r="QRK43" s="595"/>
      <c r="QRL43" s="595"/>
      <c r="QRM43" s="595"/>
      <c r="QRN43" s="595"/>
      <c r="QRO43" s="595"/>
      <c r="QRP43" s="595"/>
      <c r="QRQ43" s="595"/>
      <c r="QRR43" s="595"/>
      <c r="QRS43" s="595"/>
      <c r="QRT43" s="595"/>
      <c r="QRU43" s="595"/>
      <c r="QRV43" s="595"/>
      <c r="QRW43" s="595"/>
      <c r="QRX43" s="595"/>
      <c r="QRY43" s="595"/>
      <c r="QRZ43" s="595"/>
      <c r="QSA43" s="595"/>
      <c r="QSB43" s="595"/>
      <c r="QSC43" s="595"/>
      <c r="QSD43" s="595"/>
      <c r="QSE43" s="595"/>
      <c r="QSF43" s="595"/>
      <c r="QSG43" s="595"/>
      <c r="QSH43" s="595"/>
      <c r="QSI43" s="595"/>
      <c r="QSJ43" s="595"/>
      <c r="QSK43" s="595"/>
      <c r="QSL43" s="595"/>
      <c r="QSM43" s="595"/>
      <c r="QSN43" s="595"/>
      <c r="QSO43" s="595"/>
      <c r="QSP43" s="595"/>
      <c r="QSQ43" s="595"/>
      <c r="QSR43" s="595"/>
      <c r="QSS43" s="595"/>
      <c r="QST43" s="595"/>
      <c r="QSU43" s="595"/>
      <c r="QSV43" s="595"/>
      <c r="QSW43" s="595"/>
      <c r="QSX43" s="595"/>
      <c r="QSY43" s="595"/>
      <c r="QSZ43" s="595"/>
      <c r="QTA43" s="595"/>
      <c r="QTB43" s="595"/>
      <c r="QTC43" s="595"/>
      <c r="QTD43" s="595"/>
      <c r="QTE43" s="595"/>
      <c r="QTF43" s="595"/>
      <c r="QTG43" s="595"/>
      <c r="QTH43" s="595"/>
      <c r="QTI43" s="595"/>
      <c r="QTJ43" s="595"/>
      <c r="QTK43" s="595"/>
      <c r="QTL43" s="595"/>
      <c r="QTM43" s="595"/>
      <c r="QTN43" s="595"/>
      <c r="QTO43" s="595"/>
      <c r="QTP43" s="595"/>
      <c r="QTQ43" s="595"/>
      <c r="QTR43" s="595"/>
      <c r="QTS43" s="595"/>
      <c r="QTT43" s="595"/>
      <c r="QTU43" s="595"/>
      <c r="QTV43" s="595"/>
      <c r="QTW43" s="595"/>
      <c r="QTX43" s="595"/>
      <c r="QTY43" s="595"/>
      <c r="QTZ43" s="595"/>
      <c r="QUA43" s="595"/>
      <c r="QUB43" s="595"/>
      <c r="QUC43" s="595"/>
      <c r="QUD43" s="595"/>
      <c r="QUE43" s="595"/>
      <c r="QUF43" s="595"/>
      <c r="QUG43" s="595"/>
      <c r="QUH43" s="595"/>
      <c r="QUI43" s="595"/>
      <c r="QUJ43" s="595"/>
      <c r="QUK43" s="595"/>
      <c r="QUL43" s="595"/>
      <c r="QUM43" s="595"/>
      <c r="QUN43" s="595"/>
      <c r="QUO43" s="595"/>
      <c r="QUP43" s="595"/>
      <c r="QUQ43" s="595"/>
      <c r="QUR43" s="595"/>
      <c r="QUS43" s="595"/>
      <c r="QUT43" s="595"/>
      <c r="QUU43" s="595"/>
      <c r="QUV43" s="595"/>
      <c r="QUW43" s="595"/>
      <c r="QUX43" s="595"/>
      <c r="QUY43" s="595"/>
      <c r="QUZ43" s="595"/>
      <c r="QVA43" s="595"/>
      <c r="QVB43" s="595"/>
      <c r="QVC43" s="595"/>
      <c r="QVD43" s="595"/>
      <c r="QVE43" s="595"/>
      <c r="QVF43" s="595"/>
      <c r="QVG43" s="595"/>
      <c r="QVH43" s="595"/>
      <c r="QVI43" s="595"/>
      <c r="QVJ43" s="595"/>
      <c r="QVK43" s="595"/>
      <c r="QVL43" s="595"/>
      <c r="QVM43" s="595"/>
      <c r="QVN43" s="595"/>
      <c r="QVO43" s="595"/>
      <c r="QVP43" s="595"/>
      <c r="QVQ43" s="595"/>
      <c r="QVR43" s="595"/>
      <c r="QVS43" s="595"/>
      <c r="QVT43" s="595"/>
      <c r="QVU43" s="595"/>
      <c r="QVV43" s="595"/>
      <c r="QVW43" s="595"/>
      <c r="QVX43" s="595"/>
      <c r="QVY43" s="595"/>
      <c r="QVZ43" s="595"/>
      <c r="QWA43" s="595"/>
      <c r="QWB43" s="595"/>
      <c r="QWC43" s="595"/>
      <c r="QWD43" s="595"/>
      <c r="QWE43" s="595"/>
      <c r="QWF43" s="595"/>
      <c r="QWG43" s="595"/>
      <c r="QWH43" s="595"/>
      <c r="QWI43" s="595"/>
      <c r="QWJ43" s="595"/>
      <c r="QWK43" s="595"/>
      <c r="QWL43" s="595"/>
      <c r="QWM43" s="595"/>
      <c r="QWN43" s="595"/>
      <c r="QWO43" s="595"/>
      <c r="QWP43" s="595"/>
      <c r="QWQ43" s="595"/>
      <c r="QWR43" s="595"/>
      <c r="QWS43" s="595"/>
      <c r="QWT43" s="595"/>
      <c r="QWU43" s="595"/>
      <c r="QWV43" s="595"/>
      <c r="QWW43" s="595"/>
      <c r="QWX43" s="595"/>
      <c r="QWY43" s="595"/>
      <c r="QWZ43" s="595"/>
      <c r="QXA43" s="595"/>
      <c r="QXB43" s="595"/>
      <c r="QXC43" s="595"/>
      <c r="QXD43" s="595"/>
      <c r="QXE43" s="595"/>
      <c r="QXF43" s="595"/>
      <c r="QXG43" s="595"/>
      <c r="QXH43" s="595"/>
      <c r="QXI43" s="595"/>
      <c r="QXJ43" s="595"/>
      <c r="QXK43" s="595"/>
      <c r="QXL43" s="595"/>
      <c r="QXM43" s="595"/>
      <c r="QXN43" s="595"/>
      <c r="QXO43" s="595"/>
      <c r="QXP43" s="595"/>
      <c r="QXQ43" s="595"/>
      <c r="QXR43" s="595"/>
      <c r="QXS43" s="595"/>
      <c r="QXT43" s="595"/>
      <c r="QXU43" s="595"/>
      <c r="QXV43" s="595"/>
      <c r="QXW43" s="595"/>
      <c r="QXX43" s="595"/>
      <c r="QXY43" s="595"/>
      <c r="QXZ43" s="595"/>
      <c r="QYA43" s="595"/>
      <c r="QYB43" s="595"/>
      <c r="QYC43" s="595"/>
      <c r="QYD43" s="595"/>
      <c r="QYE43" s="595"/>
      <c r="QYF43" s="595"/>
      <c r="QYG43" s="595"/>
      <c r="QYH43" s="595"/>
      <c r="QYI43" s="595"/>
      <c r="QYJ43" s="595"/>
      <c r="QYK43" s="595"/>
      <c r="QYL43" s="595"/>
      <c r="QYM43" s="595"/>
      <c r="QYN43" s="595"/>
      <c r="QYO43" s="595"/>
      <c r="QYP43" s="595"/>
      <c r="QYQ43" s="595"/>
      <c r="QYR43" s="595"/>
      <c r="QYS43" s="595"/>
      <c r="QYT43" s="595"/>
      <c r="QYU43" s="595"/>
      <c r="QYV43" s="595"/>
      <c r="QYW43" s="595"/>
      <c r="QYX43" s="595"/>
      <c r="QYY43" s="595"/>
      <c r="QYZ43" s="595"/>
      <c r="QZA43" s="595"/>
      <c r="QZB43" s="595"/>
      <c r="QZC43" s="595"/>
      <c r="QZD43" s="595"/>
      <c r="QZE43" s="595"/>
      <c r="QZF43" s="595"/>
      <c r="QZG43" s="595"/>
      <c r="QZH43" s="595"/>
      <c r="QZI43" s="595"/>
      <c r="QZJ43" s="595"/>
      <c r="QZK43" s="595"/>
      <c r="QZL43" s="595"/>
      <c r="QZM43" s="595"/>
      <c r="QZN43" s="595"/>
      <c r="QZO43" s="595"/>
      <c r="QZP43" s="595"/>
      <c r="QZQ43" s="595"/>
      <c r="QZR43" s="595"/>
      <c r="QZS43" s="595"/>
      <c r="QZT43" s="595"/>
      <c r="QZU43" s="595"/>
      <c r="QZV43" s="595"/>
      <c r="QZW43" s="595"/>
      <c r="QZX43" s="595"/>
      <c r="QZY43" s="595"/>
      <c r="QZZ43" s="595"/>
      <c r="RAA43" s="595"/>
      <c r="RAB43" s="595"/>
      <c r="RAC43" s="595"/>
      <c r="RAD43" s="595"/>
      <c r="RAE43" s="595"/>
      <c r="RAF43" s="595"/>
      <c r="RAG43" s="595"/>
      <c r="RAH43" s="595"/>
      <c r="RAI43" s="595"/>
      <c r="RAJ43" s="595"/>
      <c r="RAK43" s="595"/>
      <c r="RAL43" s="595"/>
      <c r="RAM43" s="595"/>
      <c r="RAN43" s="595"/>
      <c r="RAO43" s="595"/>
      <c r="RAP43" s="595"/>
      <c r="RAQ43" s="595"/>
      <c r="RAR43" s="595"/>
      <c r="RAS43" s="595"/>
      <c r="RAT43" s="595"/>
      <c r="RAU43" s="595"/>
      <c r="RAV43" s="595"/>
      <c r="RAW43" s="595"/>
      <c r="RAX43" s="595"/>
      <c r="RAY43" s="595"/>
      <c r="RAZ43" s="595"/>
      <c r="RBA43" s="595"/>
      <c r="RBB43" s="595"/>
      <c r="RBC43" s="595"/>
      <c r="RBD43" s="595"/>
      <c r="RBE43" s="595"/>
      <c r="RBF43" s="595"/>
      <c r="RBG43" s="595"/>
      <c r="RBH43" s="595"/>
      <c r="RBI43" s="595"/>
      <c r="RBJ43" s="595"/>
      <c r="RBK43" s="595"/>
      <c r="RBL43" s="595"/>
      <c r="RBM43" s="595"/>
      <c r="RBN43" s="595"/>
      <c r="RBO43" s="595"/>
      <c r="RBP43" s="595"/>
      <c r="RBQ43" s="595"/>
      <c r="RBR43" s="595"/>
      <c r="RBS43" s="595"/>
      <c r="RBT43" s="595"/>
      <c r="RBU43" s="595"/>
      <c r="RBV43" s="595"/>
      <c r="RBW43" s="595"/>
      <c r="RBX43" s="595"/>
      <c r="RBY43" s="595"/>
      <c r="RBZ43" s="595"/>
      <c r="RCA43" s="595"/>
      <c r="RCB43" s="595"/>
      <c r="RCC43" s="595"/>
      <c r="RCD43" s="595"/>
      <c r="RCE43" s="595"/>
      <c r="RCF43" s="595"/>
      <c r="RCG43" s="595"/>
      <c r="RCH43" s="595"/>
      <c r="RCI43" s="595"/>
      <c r="RCJ43" s="595"/>
      <c r="RCK43" s="595"/>
      <c r="RCL43" s="595"/>
      <c r="RCM43" s="595"/>
      <c r="RCN43" s="595"/>
      <c r="RCO43" s="595"/>
      <c r="RCP43" s="595"/>
      <c r="RCQ43" s="595"/>
      <c r="RCR43" s="595"/>
      <c r="RCS43" s="595"/>
      <c r="RCT43" s="595"/>
      <c r="RCU43" s="595"/>
      <c r="RCV43" s="595"/>
      <c r="RCW43" s="595"/>
      <c r="RCX43" s="595"/>
      <c r="RCY43" s="595"/>
      <c r="RCZ43" s="595"/>
      <c r="RDA43" s="595"/>
      <c r="RDB43" s="595"/>
      <c r="RDC43" s="595"/>
      <c r="RDD43" s="595"/>
      <c r="RDE43" s="595"/>
      <c r="RDF43" s="595"/>
      <c r="RDG43" s="595"/>
      <c r="RDH43" s="595"/>
      <c r="RDI43" s="595"/>
      <c r="RDJ43" s="595"/>
      <c r="RDK43" s="595"/>
      <c r="RDL43" s="595"/>
      <c r="RDM43" s="595"/>
      <c r="RDN43" s="595"/>
      <c r="RDO43" s="595"/>
      <c r="RDP43" s="595"/>
      <c r="RDQ43" s="595"/>
      <c r="RDR43" s="595"/>
      <c r="RDS43" s="595"/>
      <c r="RDT43" s="595"/>
      <c r="RDU43" s="595"/>
      <c r="RDV43" s="595"/>
      <c r="RDW43" s="595"/>
      <c r="RDX43" s="595"/>
      <c r="RDY43" s="595"/>
      <c r="RDZ43" s="595"/>
      <c r="REA43" s="595"/>
      <c r="REB43" s="595"/>
      <c r="REC43" s="595"/>
      <c r="RED43" s="595"/>
      <c r="REE43" s="595"/>
      <c r="REF43" s="595"/>
      <c r="REG43" s="595"/>
      <c r="REH43" s="595"/>
      <c r="REI43" s="595"/>
      <c r="REJ43" s="595"/>
      <c r="REK43" s="595"/>
      <c r="REL43" s="595"/>
      <c r="REM43" s="595"/>
      <c r="REN43" s="595"/>
      <c r="REO43" s="595"/>
      <c r="REP43" s="595"/>
      <c r="REQ43" s="595"/>
      <c r="RER43" s="595"/>
      <c r="RES43" s="595"/>
      <c r="RET43" s="595"/>
      <c r="REU43" s="595"/>
      <c r="REV43" s="595"/>
      <c r="REW43" s="595"/>
      <c r="REX43" s="595"/>
      <c r="REY43" s="595"/>
      <c r="REZ43" s="595"/>
      <c r="RFA43" s="595"/>
      <c r="RFB43" s="595"/>
      <c r="RFC43" s="595"/>
      <c r="RFD43" s="595"/>
      <c r="RFE43" s="595"/>
      <c r="RFF43" s="595"/>
      <c r="RFG43" s="595"/>
      <c r="RFH43" s="595"/>
      <c r="RFI43" s="595"/>
      <c r="RFJ43" s="595"/>
      <c r="RFK43" s="595"/>
      <c r="RFL43" s="595"/>
      <c r="RFM43" s="595"/>
      <c r="RFN43" s="595"/>
      <c r="RFO43" s="595"/>
      <c r="RFP43" s="595"/>
      <c r="RFQ43" s="595"/>
      <c r="RFR43" s="595"/>
      <c r="RFS43" s="595"/>
      <c r="RFT43" s="595"/>
      <c r="RFU43" s="595"/>
      <c r="RFV43" s="595"/>
      <c r="RFW43" s="595"/>
      <c r="RFX43" s="595"/>
      <c r="RFY43" s="595"/>
      <c r="RFZ43" s="595"/>
      <c r="RGA43" s="595"/>
      <c r="RGB43" s="595"/>
      <c r="RGC43" s="595"/>
      <c r="RGD43" s="595"/>
      <c r="RGE43" s="595"/>
      <c r="RGF43" s="595"/>
      <c r="RGG43" s="595"/>
      <c r="RGH43" s="595"/>
      <c r="RGI43" s="595"/>
      <c r="RGJ43" s="595"/>
      <c r="RGK43" s="595"/>
      <c r="RGL43" s="595"/>
      <c r="RGM43" s="595"/>
      <c r="RGN43" s="595"/>
      <c r="RGO43" s="595"/>
      <c r="RGP43" s="595"/>
      <c r="RGQ43" s="595"/>
      <c r="RGR43" s="595"/>
      <c r="RGS43" s="595"/>
      <c r="RGT43" s="595"/>
      <c r="RGU43" s="595"/>
      <c r="RGV43" s="595"/>
      <c r="RGW43" s="595"/>
      <c r="RGX43" s="595"/>
      <c r="RGY43" s="595"/>
      <c r="RGZ43" s="595"/>
      <c r="RHA43" s="595"/>
      <c r="RHB43" s="595"/>
      <c r="RHC43" s="595"/>
      <c r="RHD43" s="595"/>
      <c r="RHE43" s="595"/>
      <c r="RHF43" s="595"/>
      <c r="RHG43" s="595"/>
      <c r="RHH43" s="595"/>
      <c r="RHI43" s="595"/>
      <c r="RHJ43" s="595"/>
      <c r="RHK43" s="595"/>
      <c r="RHL43" s="595"/>
      <c r="RHM43" s="595"/>
      <c r="RHN43" s="595"/>
      <c r="RHO43" s="595"/>
      <c r="RHP43" s="595"/>
      <c r="RHQ43" s="595"/>
      <c r="RHR43" s="595"/>
      <c r="RHS43" s="595"/>
      <c r="RHT43" s="595"/>
      <c r="RHU43" s="595"/>
      <c r="RHV43" s="595"/>
      <c r="RHW43" s="595"/>
      <c r="RHX43" s="595"/>
      <c r="RHY43" s="595"/>
      <c r="RHZ43" s="595"/>
      <c r="RIA43" s="595"/>
      <c r="RIB43" s="595"/>
      <c r="RIC43" s="595"/>
      <c r="RID43" s="595"/>
      <c r="RIE43" s="595"/>
      <c r="RIF43" s="595"/>
      <c r="RIG43" s="595"/>
      <c r="RIH43" s="595"/>
      <c r="RII43" s="595"/>
      <c r="RIJ43" s="595"/>
      <c r="RIK43" s="595"/>
      <c r="RIL43" s="595"/>
      <c r="RIM43" s="595"/>
      <c r="RIN43" s="595"/>
      <c r="RIO43" s="595"/>
      <c r="RIP43" s="595"/>
      <c r="RIQ43" s="595"/>
      <c r="RIR43" s="595"/>
      <c r="RIS43" s="595"/>
      <c r="RIT43" s="595"/>
      <c r="RIU43" s="595"/>
      <c r="RIV43" s="595"/>
      <c r="RIW43" s="595"/>
      <c r="RIX43" s="595"/>
      <c r="RIY43" s="595"/>
      <c r="RIZ43" s="595"/>
      <c r="RJA43" s="595"/>
      <c r="RJB43" s="595"/>
      <c r="RJC43" s="595"/>
      <c r="RJD43" s="595"/>
      <c r="RJE43" s="595"/>
      <c r="RJF43" s="595"/>
      <c r="RJG43" s="595"/>
      <c r="RJH43" s="595"/>
      <c r="RJI43" s="595"/>
      <c r="RJJ43" s="595"/>
      <c r="RJK43" s="595"/>
      <c r="RJL43" s="595"/>
      <c r="RJM43" s="595"/>
      <c r="RJN43" s="595"/>
      <c r="RJO43" s="595"/>
      <c r="RJP43" s="595"/>
      <c r="RJQ43" s="595"/>
      <c r="RJR43" s="595"/>
      <c r="RJS43" s="595"/>
      <c r="RJT43" s="595"/>
      <c r="RJU43" s="595"/>
      <c r="RJV43" s="595"/>
      <c r="RJW43" s="595"/>
      <c r="RJX43" s="595"/>
      <c r="RJY43" s="595"/>
      <c r="RJZ43" s="595"/>
      <c r="RKA43" s="595"/>
      <c r="RKB43" s="595"/>
      <c r="RKC43" s="595"/>
      <c r="RKD43" s="595"/>
      <c r="RKE43" s="595"/>
      <c r="RKF43" s="595"/>
      <c r="RKG43" s="595"/>
      <c r="RKH43" s="595"/>
      <c r="RKI43" s="595"/>
      <c r="RKJ43" s="595"/>
      <c r="RKK43" s="595"/>
      <c r="RKL43" s="595"/>
      <c r="RKM43" s="595"/>
      <c r="RKN43" s="595"/>
      <c r="RKO43" s="595"/>
      <c r="RKP43" s="595"/>
      <c r="RKQ43" s="595"/>
      <c r="RKR43" s="595"/>
      <c r="RKS43" s="595"/>
      <c r="RKT43" s="595"/>
      <c r="RKU43" s="595"/>
      <c r="RKV43" s="595"/>
      <c r="RKW43" s="595"/>
      <c r="RKX43" s="595"/>
      <c r="RKY43" s="595"/>
      <c r="RKZ43" s="595"/>
      <c r="RLA43" s="595"/>
      <c r="RLB43" s="595"/>
      <c r="RLC43" s="595"/>
      <c r="RLD43" s="595"/>
      <c r="RLE43" s="595"/>
      <c r="RLF43" s="595"/>
      <c r="RLG43" s="595"/>
      <c r="RLH43" s="595"/>
      <c r="RLI43" s="595"/>
      <c r="RLJ43" s="595"/>
      <c r="RLK43" s="595"/>
      <c r="RLL43" s="595"/>
      <c r="RLM43" s="595"/>
      <c r="RLN43" s="595"/>
      <c r="RLO43" s="595"/>
      <c r="RLP43" s="595"/>
      <c r="RLQ43" s="595"/>
      <c r="RLR43" s="595"/>
      <c r="RLS43" s="595"/>
      <c r="RLT43" s="595"/>
      <c r="RLU43" s="595"/>
      <c r="RLV43" s="595"/>
      <c r="RLW43" s="595"/>
      <c r="RLX43" s="595"/>
      <c r="RLY43" s="595"/>
      <c r="RLZ43" s="595"/>
      <c r="RMA43" s="595"/>
      <c r="RMB43" s="595"/>
      <c r="RMC43" s="595"/>
      <c r="RMD43" s="595"/>
      <c r="RME43" s="595"/>
      <c r="RMF43" s="595"/>
      <c r="RMG43" s="595"/>
      <c r="RMH43" s="595"/>
      <c r="RMI43" s="595"/>
      <c r="RMJ43" s="595"/>
      <c r="RMK43" s="595"/>
      <c r="RML43" s="595"/>
      <c r="RMM43" s="595"/>
      <c r="RMN43" s="595"/>
      <c r="RMO43" s="595"/>
      <c r="RMP43" s="595"/>
      <c r="RMQ43" s="595"/>
      <c r="RMR43" s="595"/>
      <c r="RMS43" s="595"/>
      <c r="RMT43" s="595"/>
      <c r="RMU43" s="595"/>
      <c r="RMV43" s="595"/>
      <c r="RMW43" s="595"/>
      <c r="RMX43" s="595"/>
      <c r="RMY43" s="595"/>
      <c r="RMZ43" s="595"/>
      <c r="RNA43" s="595"/>
      <c r="RNB43" s="595"/>
      <c r="RNC43" s="595"/>
      <c r="RND43" s="595"/>
      <c r="RNE43" s="595"/>
      <c r="RNF43" s="595"/>
      <c r="RNG43" s="595"/>
      <c r="RNH43" s="595"/>
      <c r="RNI43" s="595"/>
      <c r="RNJ43" s="595"/>
      <c r="RNK43" s="595"/>
      <c r="RNL43" s="595"/>
      <c r="RNM43" s="595"/>
      <c r="RNN43" s="595"/>
      <c r="RNO43" s="595"/>
      <c r="RNP43" s="595"/>
      <c r="RNQ43" s="595"/>
      <c r="RNR43" s="595"/>
      <c r="RNS43" s="595"/>
      <c r="RNT43" s="595"/>
      <c r="RNU43" s="595"/>
      <c r="RNV43" s="595"/>
      <c r="RNW43" s="595"/>
      <c r="RNX43" s="595"/>
      <c r="RNY43" s="595"/>
      <c r="RNZ43" s="595"/>
      <c r="ROA43" s="595"/>
      <c r="ROB43" s="595"/>
      <c r="ROC43" s="595"/>
      <c r="ROD43" s="595"/>
      <c r="ROE43" s="595"/>
      <c r="ROF43" s="595"/>
      <c r="ROG43" s="595"/>
      <c r="ROH43" s="595"/>
      <c r="ROI43" s="595"/>
      <c r="ROJ43" s="595"/>
      <c r="ROK43" s="595"/>
      <c r="ROL43" s="595"/>
      <c r="ROM43" s="595"/>
      <c r="RON43" s="595"/>
      <c r="ROO43" s="595"/>
      <c r="ROP43" s="595"/>
      <c r="ROQ43" s="595"/>
      <c r="ROR43" s="595"/>
      <c r="ROS43" s="595"/>
      <c r="ROT43" s="595"/>
      <c r="ROU43" s="595"/>
      <c r="ROV43" s="595"/>
      <c r="ROW43" s="595"/>
      <c r="ROX43" s="595"/>
      <c r="ROY43" s="595"/>
      <c r="ROZ43" s="595"/>
      <c r="RPA43" s="595"/>
      <c r="RPB43" s="595"/>
      <c r="RPC43" s="595"/>
      <c r="RPD43" s="595"/>
      <c r="RPE43" s="595"/>
      <c r="RPF43" s="595"/>
      <c r="RPG43" s="595"/>
      <c r="RPH43" s="595"/>
      <c r="RPI43" s="595"/>
      <c r="RPJ43" s="595"/>
      <c r="RPK43" s="595"/>
      <c r="RPL43" s="595"/>
      <c r="RPM43" s="595"/>
      <c r="RPN43" s="595"/>
      <c r="RPO43" s="595"/>
      <c r="RPP43" s="595"/>
      <c r="RPQ43" s="595"/>
      <c r="RPR43" s="595"/>
      <c r="RPS43" s="595"/>
      <c r="RPT43" s="595"/>
      <c r="RPU43" s="595"/>
      <c r="RPV43" s="595"/>
      <c r="RPW43" s="595"/>
      <c r="RPX43" s="595"/>
      <c r="RPY43" s="595"/>
      <c r="RPZ43" s="595"/>
      <c r="RQA43" s="595"/>
      <c r="RQB43" s="595"/>
      <c r="RQC43" s="595"/>
      <c r="RQD43" s="595"/>
      <c r="RQE43" s="595"/>
      <c r="RQF43" s="595"/>
      <c r="RQG43" s="595"/>
      <c r="RQH43" s="595"/>
      <c r="RQI43" s="595"/>
      <c r="RQJ43" s="595"/>
      <c r="RQK43" s="595"/>
      <c r="RQL43" s="595"/>
      <c r="RQM43" s="595"/>
      <c r="RQN43" s="595"/>
      <c r="RQO43" s="595"/>
      <c r="RQP43" s="595"/>
      <c r="RQQ43" s="595"/>
      <c r="RQR43" s="595"/>
      <c r="RQS43" s="595"/>
      <c r="RQT43" s="595"/>
      <c r="RQU43" s="595"/>
      <c r="RQV43" s="595"/>
      <c r="RQW43" s="595"/>
      <c r="RQX43" s="595"/>
      <c r="RQY43" s="595"/>
      <c r="RQZ43" s="595"/>
      <c r="RRA43" s="595"/>
      <c r="RRB43" s="595"/>
      <c r="RRC43" s="595"/>
      <c r="RRD43" s="595"/>
      <c r="RRE43" s="595"/>
      <c r="RRF43" s="595"/>
      <c r="RRG43" s="595"/>
      <c r="RRH43" s="595"/>
      <c r="RRI43" s="595"/>
      <c r="RRJ43" s="595"/>
      <c r="RRK43" s="595"/>
      <c r="RRL43" s="595"/>
      <c r="RRM43" s="595"/>
      <c r="RRN43" s="595"/>
      <c r="RRO43" s="595"/>
      <c r="RRP43" s="595"/>
      <c r="RRQ43" s="595"/>
      <c r="RRR43" s="595"/>
      <c r="RRS43" s="595"/>
      <c r="RRT43" s="595"/>
      <c r="RRU43" s="595"/>
      <c r="RRV43" s="595"/>
      <c r="RRW43" s="595"/>
      <c r="RRX43" s="595"/>
      <c r="RRY43" s="595"/>
      <c r="RRZ43" s="595"/>
      <c r="RSA43" s="595"/>
      <c r="RSB43" s="595"/>
      <c r="RSC43" s="595"/>
      <c r="RSD43" s="595"/>
      <c r="RSE43" s="595"/>
      <c r="RSF43" s="595"/>
      <c r="RSG43" s="595"/>
      <c r="RSH43" s="595"/>
      <c r="RSI43" s="595"/>
      <c r="RSJ43" s="595"/>
      <c r="RSK43" s="595"/>
      <c r="RSL43" s="595"/>
      <c r="RSM43" s="595"/>
      <c r="RSN43" s="595"/>
      <c r="RSO43" s="595"/>
      <c r="RSP43" s="595"/>
      <c r="RSQ43" s="595"/>
      <c r="RSR43" s="595"/>
      <c r="RSS43" s="595"/>
      <c r="RST43" s="595"/>
      <c r="RSU43" s="595"/>
      <c r="RSV43" s="595"/>
      <c r="RSW43" s="595"/>
      <c r="RSX43" s="595"/>
      <c r="RSY43" s="595"/>
      <c r="RSZ43" s="595"/>
      <c r="RTA43" s="595"/>
      <c r="RTB43" s="595"/>
      <c r="RTC43" s="595"/>
      <c r="RTD43" s="595"/>
      <c r="RTE43" s="595"/>
      <c r="RTF43" s="595"/>
      <c r="RTG43" s="595"/>
      <c r="RTH43" s="595"/>
      <c r="RTI43" s="595"/>
      <c r="RTJ43" s="595"/>
      <c r="RTK43" s="595"/>
      <c r="RTL43" s="595"/>
      <c r="RTM43" s="595"/>
      <c r="RTN43" s="595"/>
      <c r="RTO43" s="595"/>
      <c r="RTP43" s="595"/>
      <c r="RTQ43" s="595"/>
      <c r="RTR43" s="595"/>
      <c r="RTS43" s="595"/>
      <c r="RTT43" s="595"/>
      <c r="RTU43" s="595"/>
      <c r="RTV43" s="595"/>
      <c r="RTW43" s="595"/>
      <c r="RTX43" s="595"/>
      <c r="RTY43" s="595"/>
      <c r="RTZ43" s="595"/>
      <c r="RUA43" s="595"/>
      <c r="RUB43" s="595"/>
      <c r="RUC43" s="595"/>
      <c r="RUD43" s="595"/>
      <c r="RUE43" s="595"/>
      <c r="RUF43" s="595"/>
      <c r="RUG43" s="595"/>
      <c r="RUH43" s="595"/>
      <c r="RUI43" s="595"/>
      <c r="RUJ43" s="595"/>
      <c r="RUK43" s="595"/>
      <c r="RUL43" s="595"/>
      <c r="RUM43" s="595"/>
      <c r="RUN43" s="595"/>
      <c r="RUO43" s="595"/>
      <c r="RUP43" s="595"/>
      <c r="RUQ43" s="595"/>
      <c r="RUR43" s="595"/>
      <c r="RUS43" s="595"/>
      <c r="RUT43" s="595"/>
      <c r="RUU43" s="595"/>
      <c r="RUV43" s="595"/>
      <c r="RUW43" s="595"/>
      <c r="RUX43" s="595"/>
      <c r="RUY43" s="595"/>
      <c r="RUZ43" s="595"/>
      <c r="RVA43" s="595"/>
      <c r="RVB43" s="595"/>
      <c r="RVC43" s="595"/>
      <c r="RVD43" s="595"/>
      <c r="RVE43" s="595"/>
      <c r="RVF43" s="595"/>
      <c r="RVG43" s="595"/>
      <c r="RVH43" s="595"/>
      <c r="RVI43" s="595"/>
      <c r="RVJ43" s="595"/>
      <c r="RVK43" s="595"/>
      <c r="RVL43" s="595"/>
      <c r="RVM43" s="595"/>
      <c r="RVN43" s="595"/>
      <c r="RVO43" s="595"/>
      <c r="RVP43" s="595"/>
      <c r="RVQ43" s="595"/>
      <c r="RVR43" s="595"/>
      <c r="RVS43" s="595"/>
      <c r="RVT43" s="595"/>
      <c r="RVU43" s="595"/>
      <c r="RVV43" s="595"/>
      <c r="RVW43" s="595"/>
      <c r="RVX43" s="595"/>
      <c r="RVY43" s="595"/>
      <c r="RVZ43" s="595"/>
      <c r="RWA43" s="595"/>
      <c r="RWB43" s="595"/>
      <c r="RWC43" s="595"/>
      <c r="RWD43" s="595"/>
      <c r="RWE43" s="595"/>
      <c r="RWF43" s="595"/>
      <c r="RWG43" s="595"/>
      <c r="RWH43" s="595"/>
      <c r="RWI43" s="595"/>
      <c r="RWJ43" s="595"/>
      <c r="RWK43" s="595"/>
      <c r="RWL43" s="595"/>
      <c r="RWM43" s="595"/>
      <c r="RWN43" s="595"/>
      <c r="RWO43" s="595"/>
      <c r="RWP43" s="595"/>
      <c r="RWQ43" s="595"/>
      <c r="RWR43" s="595"/>
      <c r="RWS43" s="595"/>
      <c r="RWT43" s="595"/>
      <c r="RWU43" s="595"/>
      <c r="RWV43" s="595"/>
      <c r="RWW43" s="595"/>
      <c r="RWX43" s="595"/>
      <c r="RWY43" s="595"/>
      <c r="RWZ43" s="595"/>
      <c r="RXA43" s="595"/>
      <c r="RXB43" s="595"/>
      <c r="RXC43" s="595"/>
      <c r="RXD43" s="595"/>
      <c r="RXE43" s="595"/>
      <c r="RXF43" s="595"/>
      <c r="RXG43" s="595"/>
      <c r="RXH43" s="595"/>
      <c r="RXI43" s="595"/>
      <c r="RXJ43" s="595"/>
      <c r="RXK43" s="595"/>
      <c r="RXL43" s="595"/>
      <c r="RXM43" s="595"/>
      <c r="RXN43" s="595"/>
      <c r="RXO43" s="595"/>
      <c r="RXP43" s="595"/>
      <c r="RXQ43" s="595"/>
      <c r="RXR43" s="595"/>
      <c r="RXS43" s="595"/>
      <c r="RXT43" s="595"/>
      <c r="RXU43" s="595"/>
      <c r="RXV43" s="595"/>
      <c r="RXW43" s="595"/>
      <c r="RXX43" s="595"/>
      <c r="RXY43" s="595"/>
      <c r="RXZ43" s="595"/>
      <c r="RYA43" s="595"/>
      <c r="RYB43" s="595"/>
      <c r="RYC43" s="595"/>
      <c r="RYD43" s="595"/>
      <c r="RYE43" s="595"/>
      <c r="RYF43" s="595"/>
      <c r="RYG43" s="595"/>
      <c r="RYH43" s="595"/>
      <c r="RYI43" s="595"/>
      <c r="RYJ43" s="595"/>
      <c r="RYK43" s="595"/>
      <c r="RYL43" s="595"/>
      <c r="RYM43" s="595"/>
      <c r="RYN43" s="595"/>
      <c r="RYO43" s="595"/>
      <c r="RYP43" s="595"/>
      <c r="RYQ43" s="595"/>
      <c r="RYR43" s="595"/>
      <c r="RYS43" s="595"/>
      <c r="RYT43" s="595"/>
      <c r="RYU43" s="595"/>
      <c r="RYV43" s="595"/>
      <c r="RYW43" s="595"/>
      <c r="RYX43" s="595"/>
      <c r="RYY43" s="595"/>
      <c r="RYZ43" s="595"/>
      <c r="RZA43" s="595"/>
      <c r="RZB43" s="595"/>
      <c r="RZC43" s="595"/>
      <c r="RZD43" s="595"/>
      <c r="RZE43" s="595"/>
      <c r="RZF43" s="595"/>
      <c r="RZG43" s="595"/>
      <c r="RZH43" s="595"/>
      <c r="RZI43" s="595"/>
      <c r="RZJ43" s="595"/>
      <c r="RZK43" s="595"/>
      <c r="RZL43" s="595"/>
      <c r="RZM43" s="595"/>
      <c r="RZN43" s="595"/>
      <c r="RZO43" s="595"/>
      <c r="RZP43" s="595"/>
      <c r="RZQ43" s="595"/>
      <c r="RZR43" s="595"/>
      <c r="RZS43" s="595"/>
      <c r="RZT43" s="595"/>
      <c r="RZU43" s="595"/>
      <c r="RZV43" s="595"/>
      <c r="RZW43" s="595"/>
      <c r="RZX43" s="595"/>
      <c r="RZY43" s="595"/>
      <c r="RZZ43" s="595"/>
      <c r="SAA43" s="595"/>
      <c r="SAB43" s="595"/>
      <c r="SAC43" s="595"/>
      <c r="SAD43" s="595"/>
      <c r="SAE43" s="595"/>
      <c r="SAF43" s="595"/>
      <c r="SAG43" s="595"/>
      <c r="SAH43" s="595"/>
      <c r="SAI43" s="595"/>
      <c r="SAJ43" s="595"/>
      <c r="SAK43" s="595"/>
      <c r="SAL43" s="595"/>
      <c r="SAM43" s="595"/>
      <c r="SAN43" s="595"/>
      <c r="SAO43" s="595"/>
      <c r="SAP43" s="595"/>
      <c r="SAQ43" s="595"/>
      <c r="SAR43" s="595"/>
      <c r="SAS43" s="595"/>
      <c r="SAT43" s="595"/>
      <c r="SAU43" s="595"/>
      <c r="SAV43" s="595"/>
      <c r="SAW43" s="595"/>
      <c r="SAX43" s="595"/>
      <c r="SAY43" s="595"/>
      <c r="SAZ43" s="595"/>
      <c r="SBA43" s="595"/>
      <c r="SBB43" s="595"/>
      <c r="SBC43" s="595"/>
      <c r="SBD43" s="595"/>
      <c r="SBE43" s="595"/>
      <c r="SBF43" s="595"/>
      <c r="SBG43" s="595"/>
      <c r="SBH43" s="595"/>
      <c r="SBI43" s="595"/>
      <c r="SBJ43" s="595"/>
      <c r="SBK43" s="595"/>
      <c r="SBL43" s="595"/>
      <c r="SBM43" s="595"/>
      <c r="SBN43" s="595"/>
      <c r="SBO43" s="595"/>
      <c r="SBP43" s="595"/>
      <c r="SBQ43" s="595"/>
      <c r="SBR43" s="595"/>
      <c r="SBS43" s="595"/>
      <c r="SBT43" s="595"/>
      <c r="SBU43" s="595"/>
      <c r="SBV43" s="595"/>
      <c r="SBW43" s="595"/>
      <c r="SBX43" s="595"/>
      <c r="SBY43" s="595"/>
      <c r="SBZ43" s="595"/>
      <c r="SCA43" s="595"/>
      <c r="SCB43" s="595"/>
      <c r="SCC43" s="595"/>
      <c r="SCD43" s="595"/>
      <c r="SCE43" s="595"/>
      <c r="SCF43" s="595"/>
      <c r="SCG43" s="595"/>
      <c r="SCH43" s="595"/>
      <c r="SCI43" s="595"/>
      <c r="SCJ43" s="595"/>
      <c r="SCK43" s="595"/>
      <c r="SCL43" s="595"/>
      <c r="SCM43" s="595"/>
      <c r="SCN43" s="595"/>
      <c r="SCO43" s="595"/>
      <c r="SCP43" s="595"/>
      <c r="SCQ43" s="595"/>
      <c r="SCR43" s="595"/>
      <c r="SCS43" s="595"/>
      <c r="SCT43" s="595"/>
      <c r="SCU43" s="595"/>
      <c r="SCV43" s="595"/>
      <c r="SCW43" s="595"/>
      <c r="SCX43" s="595"/>
      <c r="SCY43" s="595"/>
      <c r="SCZ43" s="595"/>
      <c r="SDA43" s="595"/>
      <c r="SDB43" s="595"/>
      <c r="SDC43" s="595"/>
      <c r="SDD43" s="595"/>
      <c r="SDE43" s="595"/>
      <c r="SDF43" s="595"/>
      <c r="SDG43" s="595"/>
      <c r="SDH43" s="595"/>
      <c r="SDI43" s="595"/>
      <c r="SDJ43" s="595"/>
      <c r="SDK43" s="595"/>
      <c r="SDL43" s="595"/>
      <c r="SDM43" s="595"/>
      <c r="SDN43" s="595"/>
      <c r="SDO43" s="595"/>
      <c r="SDP43" s="595"/>
      <c r="SDQ43" s="595"/>
      <c r="SDR43" s="595"/>
      <c r="SDS43" s="595"/>
      <c r="SDT43" s="595"/>
      <c r="SDU43" s="595"/>
      <c r="SDV43" s="595"/>
      <c r="SDW43" s="595"/>
      <c r="SDX43" s="595"/>
      <c r="SDY43" s="595"/>
      <c r="SDZ43" s="595"/>
      <c r="SEA43" s="595"/>
      <c r="SEB43" s="595"/>
      <c r="SEC43" s="595"/>
      <c r="SED43" s="595"/>
      <c r="SEE43" s="595"/>
      <c r="SEF43" s="595"/>
      <c r="SEG43" s="595"/>
      <c r="SEH43" s="595"/>
      <c r="SEI43" s="595"/>
      <c r="SEJ43" s="595"/>
      <c r="SEK43" s="595"/>
      <c r="SEL43" s="595"/>
      <c r="SEM43" s="595"/>
      <c r="SEN43" s="595"/>
      <c r="SEO43" s="595"/>
      <c r="SEP43" s="595"/>
      <c r="SEQ43" s="595"/>
      <c r="SER43" s="595"/>
      <c r="SES43" s="595"/>
      <c r="SET43" s="595"/>
      <c r="SEU43" s="595"/>
      <c r="SEV43" s="595"/>
      <c r="SEW43" s="595"/>
      <c r="SEX43" s="595"/>
      <c r="SEY43" s="595"/>
      <c r="SEZ43" s="595"/>
      <c r="SFA43" s="595"/>
      <c r="SFB43" s="595"/>
      <c r="SFC43" s="595"/>
      <c r="SFD43" s="595"/>
      <c r="SFE43" s="595"/>
      <c r="SFF43" s="595"/>
      <c r="SFG43" s="595"/>
      <c r="SFH43" s="595"/>
      <c r="SFI43" s="595"/>
      <c r="SFJ43" s="595"/>
      <c r="SFK43" s="595"/>
      <c r="SFL43" s="595"/>
      <c r="SFM43" s="595"/>
      <c r="SFN43" s="595"/>
      <c r="SFO43" s="595"/>
      <c r="SFP43" s="595"/>
      <c r="SFQ43" s="595"/>
      <c r="SFR43" s="595"/>
      <c r="SFS43" s="595"/>
      <c r="SFT43" s="595"/>
      <c r="SFU43" s="595"/>
      <c r="SFV43" s="595"/>
      <c r="SFW43" s="595"/>
      <c r="SFX43" s="595"/>
      <c r="SFY43" s="595"/>
      <c r="SFZ43" s="595"/>
      <c r="SGA43" s="595"/>
      <c r="SGB43" s="595"/>
      <c r="SGC43" s="595"/>
      <c r="SGD43" s="595"/>
      <c r="SGE43" s="595"/>
      <c r="SGF43" s="595"/>
      <c r="SGG43" s="595"/>
      <c r="SGH43" s="595"/>
      <c r="SGI43" s="595"/>
      <c r="SGJ43" s="595"/>
      <c r="SGK43" s="595"/>
      <c r="SGL43" s="595"/>
      <c r="SGM43" s="595"/>
      <c r="SGN43" s="595"/>
      <c r="SGO43" s="595"/>
      <c r="SGP43" s="595"/>
      <c r="SGQ43" s="595"/>
      <c r="SGR43" s="595"/>
      <c r="SGS43" s="595"/>
      <c r="SGT43" s="595"/>
      <c r="SGU43" s="595"/>
      <c r="SGV43" s="595"/>
      <c r="SGW43" s="595"/>
      <c r="SGX43" s="595"/>
      <c r="SGY43" s="595"/>
      <c r="SGZ43" s="595"/>
      <c r="SHA43" s="595"/>
      <c r="SHB43" s="595"/>
      <c r="SHC43" s="595"/>
      <c r="SHD43" s="595"/>
      <c r="SHE43" s="595"/>
      <c r="SHF43" s="595"/>
      <c r="SHG43" s="595"/>
      <c r="SHH43" s="595"/>
      <c r="SHI43" s="595"/>
      <c r="SHJ43" s="595"/>
      <c r="SHK43" s="595"/>
      <c r="SHL43" s="595"/>
      <c r="SHM43" s="595"/>
      <c r="SHN43" s="595"/>
      <c r="SHO43" s="595"/>
      <c r="SHP43" s="595"/>
      <c r="SHQ43" s="595"/>
      <c r="SHR43" s="595"/>
      <c r="SHS43" s="595"/>
      <c r="SHT43" s="595"/>
      <c r="SHU43" s="595"/>
      <c r="SHV43" s="595"/>
      <c r="SHW43" s="595"/>
      <c r="SHX43" s="595"/>
      <c r="SHY43" s="595"/>
      <c r="SHZ43" s="595"/>
      <c r="SIA43" s="595"/>
      <c r="SIB43" s="595"/>
      <c r="SIC43" s="595"/>
      <c r="SID43" s="595"/>
      <c r="SIE43" s="595"/>
      <c r="SIF43" s="595"/>
      <c r="SIG43" s="595"/>
      <c r="SIH43" s="595"/>
      <c r="SII43" s="595"/>
      <c r="SIJ43" s="595"/>
      <c r="SIK43" s="595"/>
      <c r="SIL43" s="595"/>
      <c r="SIM43" s="595"/>
      <c r="SIN43" s="595"/>
      <c r="SIO43" s="595"/>
      <c r="SIP43" s="595"/>
      <c r="SIQ43" s="595"/>
      <c r="SIR43" s="595"/>
      <c r="SIS43" s="595"/>
      <c r="SIT43" s="595"/>
      <c r="SIU43" s="595"/>
      <c r="SIV43" s="595"/>
      <c r="SIW43" s="595"/>
      <c r="SIX43" s="595"/>
      <c r="SIY43" s="595"/>
      <c r="SIZ43" s="595"/>
      <c r="SJA43" s="595"/>
      <c r="SJB43" s="595"/>
      <c r="SJC43" s="595"/>
      <c r="SJD43" s="595"/>
      <c r="SJE43" s="595"/>
      <c r="SJF43" s="595"/>
      <c r="SJG43" s="595"/>
      <c r="SJH43" s="595"/>
      <c r="SJI43" s="595"/>
      <c r="SJJ43" s="595"/>
      <c r="SJK43" s="595"/>
      <c r="SJL43" s="595"/>
      <c r="SJM43" s="595"/>
      <c r="SJN43" s="595"/>
      <c r="SJO43" s="595"/>
      <c r="SJP43" s="595"/>
      <c r="SJQ43" s="595"/>
      <c r="SJR43" s="595"/>
      <c r="SJS43" s="595"/>
      <c r="SJT43" s="595"/>
      <c r="SJU43" s="595"/>
      <c r="SJV43" s="595"/>
      <c r="SJW43" s="595"/>
      <c r="SJX43" s="595"/>
      <c r="SJY43" s="595"/>
      <c r="SJZ43" s="595"/>
      <c r="SKA43" s="595"/>
      <c r="SKB43" s="595"/>
      <c r="SKC43" s="595"/>
      <c r="SKD43" s="595"/>
      <c r="SKE43" s="595"/>
      <c r="SKF43" s="595"/>
      <c r="SKG43" s="595"/>
      <c r="SKH43" s="595"/>
      <c r="SKI43" s="595"/>
      <c r="SKJ43" s="595"/>
      <c r="SKK43" s="595"/>
      <c r="SKL43" s="595"/>
      <c r="SKM43" s="595"/>
      <c r="SKN43" s="595"/>
      <c r="SKO43" s="595"/>
      <c r="SKP43" s="595"/>
      <c r="SKQ43" s="595"/>
      <c r="SKR43" s="595"/>
      <c r="SKS43" s="595"/>
      <c r="SKT43" s="595"/>
      <c r="SKU43" s="595"/>
      <c r="SKV43" s="595"/>
      <c r="SKW43" s="595"/>
      <c r="SKX43" s="595"/>
      <c r="SKY43" s="595"/>
      <c r="SKZ43" s="595"/>
      <c r="SLA43" s="595"/>
      <c r="SLB43" s="595"/>
      <c r="SLC43" s="595"/>
      <c r="SLD43" s="595"/>
      <c r="SLE43" s="595"/>
      <c r="SLF43" s="595"/>
      <c r="SLG43" s="595"/>
      <c r="SLH43" s="595"/>
      <c r="SLI43" s="595"/>
      <c r="SLJ43" s="595"/>
      <c r="SLK43" s="595"/>
      <c r="SLL43" s="595"/>
      <c r="SLM43" s="595"/>
      <c r="SLN43" s="595"/>
      <c r="SLO43" s="595"/>
      <c r="SLP43" s="595"/>
      <c r="SLQ43" s="595"/>
      <c r="SLR43" s="595"/>
      <c r="SLS43" s="595"/>
      <c r="SLT43" s="595"/>
      <c r="SLU43" s="595"/>
      <c r="SLV43" s="595"/>
      <c r="SLW43" s="595"/>
      <c r="SLX43" s="595"/>
      <c r="SLY43" s="595"/>
      <c r="SLZ43" s="595"/>
      <c r="SMA43" s="595"/>
      <c r="SMB43" s="595"/>
      <c r="SMC43" s="595"/>
      <c r="SMD43" s="595"/>
      <c r="SME43" s="595"/>
      <c r="SMF43" s="595"/>
      <c r="SMG43" s="595"/>
      <c r="SMH43" s="595"/>
      <c r="SMI43" s="595"/>
      <c r="SMJ43" s="595"/>
      <c r="SMK43" s="595"/>
      <c r="SML43" s="595"/>
      <c r="SMM43" s="595"/>
      <c r="SMN43" s="595"/>
      <c r="SMO43" s="595"/>
      <c r="SMP43" s="595"/>
      <c r="SMQ43" s="595"/>
      <c r="SMR43" s="595"/>
      <c r="SMS43" s="595"/>
      <c r="SMT43" s="595"/>
      <c r="SMU43" s="595"/>
      <c r="SMV43" s="595"/>
      <c r="SMW43" s="595"/>
      <c r="SMX43" s="595"/>
      <c r="SMY43" s="595"/>
      <c r="SMZ43" s="595"/>
      <c r="SNA43" s="595"/>
      <c r="SNB43" s="595"/>
      <c r="SNC43" s="595"/>
      <c r="SND43" s="595"/>
      <c r="SNE43" s="595"/>
      <c r="SNF43" s="595"/>
      <c r="SNG43" s="595"/>
      <c r="SNH43" s="595"/>
      <c r="SNI43" s="595"/>
      <c r="SNJ43" s="595"/>
      <c r="SNK43" s="595"/>
      <c r="SNL43" s="595"/>
      <c r="SNM43" s="595"/>
      <c r="SNN43" s="595"/>
      <c r="SNO43" s="595"/>
      <c r="SNP43" s="595"/>
      <c r="SNQ43" s="595"/>
      <c r="SNR43" s="595"/>
      <c r="SNS43" s="595"/>
      <c r="SNT43" s="595"/>
      <c r="SNU43" s="595"/>
      <c r="SNV43" s="595"/>
      <c r="SNW43" s="595"/>
      <c r="SNX43" s="595"/>
      <c r="SNY43" s="595"/>
      <c r="SNZ43" s="595"/>
      <c r="SOA43" s="595"/>
      <c r="SOB43" s="595"/>
      <c r="SOC43" s="595"/>
      <c r="SOD43" s="595"/>
      <c r="SOE43" s="595"/>
      <c r="SOF43" s="595"/>
      <c r="SOG43" s="595"/>
      <c r="SOH43" s="595"/>
      <c r="SOI43" s="595"/>
      <c r="SOJ43" s="595"/>
      <c r="SOK43" s="595"/>
      <c r="SOL43" s="595"/>
      <c r="SOM43" s="595"/>
      <c r="SON43" s="595"/>
      <c r="SOO43" s="595"/>
      <c r="SOP43" s="595"/>
      <c r="SOQ43" s="595"/>
      <c r="SOR43" s="595"/>
      <c r="SOS43" s="595"/>
      <c r="SOT43" s="595"/>
      <c r="SOU43" s="595"/>
      <c r="SOV43" s="595"/>
      <c r="SOW43" s="595"/>
      <c r="SOX43" s="595"/>
      <c r="SOY43" s="595"/>
      <c r="SOZ43" s="595"/>
      <c r="SPA43" s="595"/>
      <c r="SPB43" s="595"/>
      <c r="SPC43" s="595"/>
      <c r="SPD43" s="595"/>
      <c r="SPE43" s="595"/>
      <c r="SPF43" s="595"/>
      <c r="SPG43" s="595"/>
      <c r="SPH43" s="595"/>
      <c r="SPI43" s="595"/>
      <c r="SPJ43" s="595"/>
      <c r="SPK43" s="595"/>
      <c r="SPL43" s="595"/>
      <c r="SPM43" s="595"/>
      <c r="SPN43" s="595"/>
      <c r="SPO43" s="595"/>
      <c r="SPP43" s="595"/>
      <c r="SPQ43" s="595"/>
      <c r="SPR43" s="595"/>
      <c r="SPS43" s="595"/>
      <c r="SPT43" s="595"/>
      <c r="SPU43" s="595"/>
      <c r="SPV43" s="595"/>
      <c r="SPW43" s="595"/>
      <c r="SPX43" s="595"/>
      <c r="SPY43" s="595"/>
      <c r="SPZ43" s="595"/>
      <c r="SQA43" s="595"/>
      <c r="SQB43" s="595"/>
      <c r="SQC43" s="595"/>
      <c r="SQD43" s="595"/>
      <c r="SQE43" s="595"/>
      <c r="SQF43" s="595"/>
      <c r="SQG43" s="595"/>
      <c r="SQH43" s="595"/>
      <c r="SQI43" s="595"/>
      <c r="SQJ43" s="595"/>
      <c r="SQK43" s="595"/>
      <c r="SQL43" s="595"/>
      <c r="SQM43" s="595"/>
      <c r="SQN43" s="595"/>
      <c r="SQO43" s="595"/>
      <c r="SQP43" s="595"/>
      <c r="SQQ43" s="595"/>
      <c r="SQR43" s="595"/>
      <c r="SQS43" s="595"/>
      <c r="SQT43" s="595"/>
      <c r="SQU43" s="595"/>
      <c r="SQV43" s="595"/>
      <c r="SQW43" s="595"/>
      <c r="SQX43" s="595"/>
      <c r="SQY43" s="595"/>
      <c r="SQZ43" s="595"/>
      <c r="SRA43" s="595"/>
      <c r="SRB43" s="595"/>
      <c r="SRC43" s="595"/>
      <c r="SRD43" s="595"/>
      <c r="SRE43" s="595"/>
      <c r="SRF43" s="595"/>
      <c r="SRG43" s="595"/>
      <c r="SRH43" s="595"/>
      <c r="SRI43" s="595"/>
      <c r="SRJ43" s="595"/>
      <c r="SRK43" s="595"/>
      <c r="SRL43" s="595"/>
      <c r="SRM43" s="595"/>
      <c r="SRN43" s="595"/>
      <c r="SRO43" s="595"/>
      <c r="SRP43" s="595"/>
      <c r="SRQ43" s="595"/>
      <c r="SRR43" s="595"/>
      <c r="SRS43" s="595"/>
      <c r="SRT43" s="595"/>
      <c r="SRU43" s="595"/>
      <c r="SRV43" s="595"/>
      <c r="SRW43" s="595"/>
      <c r="SRX43" s="595"/>
      <c r="SRY43" s="595"/>
      <c r="SRZ43" s="595"/>
      <c r="SSA43" s="595"/>
      <c r="SSB43" s="595"/>
      <c r="SSC43" s="595"/>
      <c r="SSD43" s="595"/>
      <c r="SSE43" s="595"/>
      <c r="SSF43" s="595"/>
      <c r="SSG43" s="595"/>
      <c r="SSH43" s="595"/>
      <c r="SSI43" s="595"/>
      <c r="SSJ43" s="595"/>
      <c r="SSK43" s="595"/>
      <c r="SSL43" s="595"/>
      <c r="SSM43" s="595"/>
      <c r="SSN43" s="595"/>
      <c r="SSO43" s="595"/>
      <c r="SSP43" s="595"/>
      <c r="SSQ43" s="595"/>
      <c r="SSR43" s="595"/>
      <c r="SSS43" s="595"/>
      <c r="SST43" s="595"/>
      <c r="SSU43" s="595"/>
      <c r="SSV43" s="595"/>
      <c r="SSW43" s="595"/>
      <c r="SSX43" s="595"/>
      <c r="SSY43" s="595"/>
      <c r="SSZ43" s="595"/>
      <c r="STA43" s="595"/>
      <c r="STB43" s="595"/>
      <c r="STC43" s="595"/>
      <c r="STD43" s="595"/>
      <c r="STE43" s="595"/>
      <c r="STF43" s="595"/>
      <c r="STG43" s="595"/>
      <c r="STH43" s="595"/>
      <c r="STI43" s="595"/>
      <c r="STJ43" s="595"/>
      <c r="STK43" s="595"/>
      <c r="STL43" s="595"/>
      <c r="STM43" s="595"/>
      <c r="STN43" s="595"/>
      <c r="STO43" s="595"/>
      <c r="STP43" s="595"/>
      <c r="STQ43" s="595"/>
      <c r="STR43" s="595"/>
      <c r="STS43" s="595"/>
      <c r="STT43" s="595"/>
      <c r="STU43" s="595"/>
      <c r="STV43" s="595"/>
      <c r="STW43" s="595"/>
      <c r="STX43" s="595"/>
      <c r="STY43" s="595"/>
      <c r="STZ43" s="595"/>
      <c r="SUA43" s="595"/>
      <c r="SUB43" s="595"/>
      <c r="SUC43" s="595"/>
      <c r="SUD43" s="595"/>
      <c r="SUE43" s="595"/>
      <c r="SUF43" s="595"/>
      <c r="SUG43" s="595"/>
      <c r="SUH43" s="595"/>
      <c r="SUI43" s="595"/>
      <c r="SUJ43" s="595"/>
      <c r="SUK43" s="595"/>
      <c r="SUL43" s="595"/>
      <c r="SUM43" s="595"/>
      <c r="SUN43" s="595"/>
      <c r="SUO43" s="595"/>
      <c r="SUP43" s="595"/>
      <c r="SUQ43" s="595"/>
      <c r="SUR43" s="595"/>
      <c r="SUS43" s="595"/>
      <c r="SUT43" s="595"/>
      <c r="SUU43" s="595"/>
      <c r="SUV43" s="595"/>
      <c r="SUW43" s="595"/>
      <c r="SUX43" s="595"/>
      <c r="SUY43" s="595"/>
      <c r="SUZ43" s="595"/>
      <c r="SVA43" s="595"/>
      <c r="SVB43" s="595"/>
      <c r="SVC43" s="595"/>
      <c r="SVD43" s="595"/>
      <c r="SVE43" s="595"/>
      <c r="SVF43" s="595"/>
      <c r="SVG43" s="595"/>
      <c r="SVH43" s="595"/>
      <c r="SVI43" s="595"/>
      <c r="SVJ43" s="595"/>
      <c r="SVK43" s="595"/>
      <c r="SVL43" s="595"/>
      <c r="SVM43" s="595"/>
      <c r="SVN43" s="595"/>
      <c r="SVO43" s="595"/>
      <c r="SVP43" s="595"/>
      <c r="SVQ43" s="595"/>
      <c r="SVR43" s="595"/>
      <c r="SVS43" s="595"/>
      <c r="SVT43" s="595"/>
      <c r="SVU43" s="595"/>
      <c r="SVV43" s="595"/>
      <c r="SVW43" s="595"/>
      <c r="SVX43" s="595"/>
      <c r="SVY43" s="595"/>
      <c r="SVZ43" s="595"/>
      <c r="SWA43" s="595"/>
      <c r="SWB43" s="595"/>
      <c r="SWC43" s="595"/>
      <c r="SWD43" s="595"/>
      <c r="SWE43" s="595"/>
      <c r="SWF43" s="595"/>
      <c r="SWG43" s="595"/>
      <c r="SWH43" s="595"/>
      <c r="SWI43" s="595"/>
      <c r="SWJ43" s="595"/>
      <c r="SWK43" s="595"/>
      <c r="SWL43" s="595"/>
      <c r="SWM43" s="595"/>
      <c r="SWN43" s="595"/>
      <c r="SWO43" s="595"/>
      <c r="SWP43" s="595"/>
      <c r="SWQ43" s="595"/>
      <c r="SWR43" s="595"/>
      <c r="SWS43" s="595"/>
      <c r="SWT43" s="595"/>
      <c r="SWU43" s="595"/>
      <c r="SWV43" s="595"/>
      <c r="SWW43" s="595"/>
      <c r="SWX43" s="595"/>
      <c r="SWY43" s="595"/>
      <c r="SWZ43" s="595"/>
      <c r="SXA43" s="595"/>
      <c r="SXB43" s="595"/>
      <c r="SXC43" s="595"/>
      <c r="SXD43" s="595"/>
      <c r="SXE43" s="595"/>
      <c r="SXF43" s="595"/>
      <c r="SXG43" s="595"/>
      <c r="SXH43" s="595"/>
      <c r="SXI43" s="595"/>
      <c r="SXJ43" s="595"/>
      <c r="SXK43" s="595"/>
      <c r="SXL43" s="595"/>
      <c r="SXM43" s="595"/>
      <c r="SXN43" s="595"/>
      <c r="SXO43" s="595"/>
      <c r="SXP43" s="595"/>
      <c r="SXQ43" s="595"/>
      <c r="SXR43" s="595"/>
      <c r="SXS43" s="595"/>
      <c r="SXT43" s="595"/>
      <c r="SXU43" s="595"/>
      <c r="SXV43" s="595"/>
      <c r="SXW43" s="595"/>
      <c r="SXX43" s="595"/>
      <c r="SXY43" s="595"/>
      <c r="SXZ43" s="595"/>
      <c r="SYA43" s="595"/>
      <c r="SYB43" s="595"/>
      <c r="SYC43" s="595"/>
      <c r="SYD43" s="595"/>
      <c r="SYE43" s="595"/>
      <c r="SYF43" s="595"/>
      <c r="SYG43" s="595"/>
      <c r="SYH43" s="595"/>
      <c r="SYI43" s="595"/>
      <c r="SYJ43" s="595"/>
      <c r="SYK43" s="595"/>
      <c r="SYL43" s="595"/>
      <c r="SYM43" s="595"/>
      <c r="SYN43" s="595"/>
      <c r="SYO43" s="595"/>
      <c r="SYP43" s="595"/>
      <c r="SYQ43" s="595"/>
      <c r="SYR43" s="595"/>
      <c r="SYS43" s="595"/>
      <c r="SYT43" s="595"/>
      <c r="SYU43" s="595"/>
      <c r="SYV43" s="595"/>
      <c r="SYW43" s="595"/>
      <c r="SYX43" s="595"/>
      <c r="SYY43" s="595"/>
      <c r="SYZ43" s="595"/>
      <c r="SZA43" s="595"/>
      <c r="SZB43" s="595"/>
      <c r="SZC43" s="595"/>
      <c r="SZD43" s="595"/>
      <c r="SZE43" s="595"/>
      <c r="SZF43" s="595"/>
      <c r="SZG43" s="595"/>
      <c r="SZH43" s="595"/>
      <c r="SZI43" s="595"/>
      <c r="SZJ43" s="595"/>
      <c r="SZK43" s="595"/>
      <c r="SZL43" s="595"/>
      <c r="SZM43" s="595"/>
      <c r="SZN43" s="595"/>
      <c r="SZO43" s="595"/>
      <c r="SZP43" s="595"/>
      <c r="SZQ43" s="595"/>
      <c r="SZR43" s="595"/>
      <c r="SZS43" s="595"/>
      <c r="SZT43" s="595"/>
      <c r="SZU43" s="595"/>
      <c r="SZV43" s="595"/>
      <c r="SZW43" s="595"/>
      <c r="SZX43" s="595"/>
      <c r="SZY43" s="595"/>
      <c r="SZZ43" s="595"/>
      <c r="TAA43" s="595"/>
      <c r="TAB43" s="595"/>
      <c r="TAC43" s="595"/>
      <c r="TAD43" s="595"/>
      <c r="TAE43" s="595"/>
      <c r="TAF43" s="595"/>
      <c r="TAG43" s="595"/>
      <c r="TAH43" s="595"/>
      <c r="TAI43" s="595"/>
      <c r="TAJ43" s="595"/>
      <c r="TAK43" s="595"/>
      <c r="TAL43" s="595"/>
      <c r="TAM43" s="595"/>
      <c r="TAN43" s="595"/>
      <c r="TAO43" s="595"/>
      <c r="TAP43" s="595"/>
      <c r="TAQ43" s="595"/>
      <c r="TAR43" s="595"/>
      <c r="TAS43" s="595"/>
      <c r="TAT43" s="595"/>
      <c r="TAU43" s="595"/>
      <c r="TAV43" s="595"/>
      <c r="TAW43" s="595"/>
      <c r="TAX43" s="595"/>
      <c r="TAY43" s="595"/>
      <c r="TAZ43" s="595"/>
      <c r="TBA43" s="595"/>
      <c r="TBB43" s="595"/>
      <c r="TBC43" s="595"/>
      <c r="TBD43" s="595"/>
      <c r="TBE43" s="595"/>
      <c r="TBF43" s="595"/>
      <c r="TBG43" s="595"/>
      <c r="TBH43" s="595"/>
      <c r="TBI43" s="595"/>
      <c r="TBJ43" s="595"/>
      <c r="TBK43" s="595"/>
      <c r="TBL43" s="595"/>
      <c r="TBM43" s="595"/>
      <c r="TBN43" s="595"/>
      <c r="TBO43" s="595"/>
      <c r="TBP43" s="595"/>
      <c r="TBQ43" s="595"/>
      <c r="TBR43" s="595"/>
      <c r="TBS43" s="595"/>
      <c r="TBT43" s="595"/>
      <c r="TBU43" s="595"/>
      <c r="TBV43" s="595"/>
      <c r="TBW43" s="595"/>
      <c r="TBX43" s="595"/>
      <c r="TBY43" s="595"/>
      <c r="TBZ43" s="595"/>
      <c r="TCA43" s="595"/>
      <c r="TCB43" s="595"/>
      <c r="TCC43" s="595"/>
      <c r="TCD43" s="595"/>
      <c r="TCE43" s="595"/>
      <c r="TCF43" s="595"/>
      <c r="TCG43" s="595"/>
      <c r="TCH43" s="595"/>
      <c r="TCI43" s="595"/>
      <c r="TCJ43" s="595"/>
      <c r="TCK43" s="595"/>
      <c r="TCL43" s="595"/>
      <c r="TCM43" s="595"/>
      <c r="TCN43" s="595"/>
      <c r="TCO43" s="595"/>
      <c r="TCP43" s="595"/>
      <c r="TCQ43" s="595"/>
      <c r="TCR43" s="595"/>
      <c r="TCS43" s="595"/>
      <c r="TCT43" s="595"/>
      <c r="TCU43" s="595"/>
      <c r="TCV43" s="595"/>
      <c r="TCW43" s="595"/>
      <c r="TCX43" s="595"/>
      <c r="TCY43" s="595"/>
      <c r="TCZ43" s="595"/>
      <c r="TDA43" s="595"/>
      <c r="TDB43" s="595"/>
      <c r="TDC43" s="595"/>
      <c r="TDD43" s="595"/>
      <c r="TDE43" s="595"/>
      <c r="TDF43" s="595"/>
      <c r="TDG43" s="595"/>
      <c r="TDH43" s="595"/>
      <c r="TDI43" s="595"/>
      <c r="TDJ43" s="595"/>
      <c r="TDK43" s="595"/>
      <c r="TDL43" s="595"/>
      <c r="TDM43" s="595"/>
      <c r="TDN43" s="595"/>
      <c r="TDO43" s="595"/>
      <c r="TDP43" s="595"/>
      <c r="TDQ43" s="595"/>
      <c r="TDR43" s="595"/>
      <c r="TDS43" s="595"/>
      <c r="TDT43" s="595"/>
      <c r="TDU43" s="595"/>
      <c r="TDV43" s="595"/>
      <c r="TDW43" s="595"/>
      <c r="TDX43" s="595"/>
      <c r="TDY43" s="595"/>
      <c r="TDZ43" s="595"/>
      <c r="TEA43" s="595"/>
      <c r="TEB43" s="595"/>
      <c r="TEC43" s="595"/>
      <c r="TED43" s="595"/>
      <c r="TEE43" s="595"/>
      <c r="TEF43" s="595"/>
      <c r="TEG43" s="595"/>
      <c r="TEH43" s="595"/>
      <c r="TEI43" s="595"/>
      <c r="TEJ43" s="595"/>
      <c r="TEK43" s="595"/>
      <c r="TEL43" s="595"/>
      <c r="TEM43" s="595"/>
      <c r="TEN43" s="595"/>
      <c r="TEO43" s="595"/>
      <c r="TEP43" s="595"/>
      <c r="TEQ43" s="595"/>
      <c r="TER43" s="595"/>
      <c r="TES43" s="595"/>
      <c r="TET43" s="595"/>
      <c r="TEU43" s="595"/>
      <c r="TEV43" s="595"/>
      <c r="TEW43" s="595"/>
      <c r="TEX43" s="595"/>
      <c r="TEY43" s="595"/>
      <c r="TEZ43" s="595"/>
      <c r="TFA43" s="595"/>
      <c r="TFB43" s="595"/>
      <c r="TFC43" s="595"/>
      <c r="TFD43" s="595"/>
      <c r="TFE43" s="595"/>
      <c r="TFF43" s="595"/>
      <c r="TFG43" s="595"/>
      <c r="TFH43" s="595"/>
      <c r="TFI43" s="595"/>
      <c r="TFJ43" s="595"/>
      <c r="TFK43" s="595"/>
      <c r="TFL43" s="595"/>
      <c r="TFM43" s="595"/>
      <c r="TFN43" s="595"/>
      <c r="TFO43" s="595"/>
      <c r="TFP43" s="595"/>
      <c r="TFQ43" s="595"/>
      <c r="TFR43" s="595"/>
      <c r="TFS43" s="595"/>
      <c r="TFT43" s="595"/>
      <c r="TFU43" s="595"/>
      <c r="TFV43" s="595"/>
      <c r="TFW43" s="595"/>
      <c r="TFX43" s="595"/>
      <c r="TFY43" s="595"/>
      <c r="TFZ43" s="595"/>
      <c r="TGA43" s="595"/>
      <c r="TGB43" s="595"/>
      <c r="TGC43" s="595"/>
      <c r="TGD43" s="595"/>
      <c r="TGE43" s="595"/>
      <c r="TGF43" s="595"/>
      <c r="TGG43" s="595"/>
      <c r="TGH43" s="595"/>
      <c r="TGI43" s="595"/>
      <c r="TGJ43" s="595"/>
      <c r="TGK43" s="595"/>
      <c r="TGL43" s="595"/>
      <c r="TGM43" s="595"/>
      <c r="TGN43" s="595"/>
      <c r="TGO43" s="595"/>
      <c r="TGP43" s="595"/>
      <c r="TGQ43" s="595"/>
      <c r="TGR43" s="595"/>
      <c r="TGS43" s="595"/>
      <c r="TGT43" s="595"/>
      <c r="TGU43" s="595"/>
      <c r="TGV43" s="595"/>
      <c r="TGW43" s="595"/>
      <c r="TGX43" s="595"/>
      <c r="TGY43" s="595"/>
      <c r="TGZ43" s="595"/>
      <c r="THA43" s="595"/>
      <c r="THB43" s="595"/>
      <c r="THC43" s="595"/>
      <c r="THD43" s="595"/>
      <c r="THE43" s="595"/>
      <c r="THF43" s="595"/>
      <c r="THG43" s="595"/>
      <c r="THH43" s="595"/>
      <c r="THI43" s="595"/>
      <c r="THJ43" s="595"/>
      <c r="THK43" s="595"/>
      <c r="THL43" s="595"/>
      <c r="THM43" s="595"/>
      <c r="THN43" s="595"/>
      <c r="THO43" s="595"/>
      <c r="THP43" s="595"/>
      <c r="THQ43" s="595"/>
      <c r="THR43" s="595"/>
      <c r="THS43" s="595"/>
      <c r="THT43" s="595"/>
      <c r="THU43" s="595"/>
      <c r="THV43" s="595"/>
      <c r="THW43" s="595"/>
      <c r="THX43" s="595"/>
      <c r="THY43" s="595"/>
      <c r="THZ43" s="595"/>
      <c r="TIA43" s="595"/>
      <c r="TIB43" s="595"/>
      <c r="TIC43" s="595"/>
      <c r="TID43" s="595"/>
      <c r="TIE43" s="595"/>
      <c r="TIF43" s="595"/>
      <c r="TIG43" s="595"/>
      <c r="TIH43" s="595"/>
      <c r="TII43" s="595"/>
      <c r="TIJ43" s="595"/>
      <c r="TIK43" s="595"/>
      <c r="TIL43" s="595"/>
      <c r="TIM43" s="595"/>
      <c r="TIN43" s="595"/>
      <c r="TIO43" s="595"/>
      <c r="TIP43" s="595"/>
      <c r="TIQ43" s="595"/>
      <c r="TIR43" s="595"/>
      <c r="TIS43" s="595"/>
      <c r="TIT43" s="595"/>
      <c r="TIU43" s="595"/>
      <c r="TIV43" s="595"/>
      <c r="TIW43" s="595"/>
      <c r="TIX43" s="595"/>
      <c r="TIY43" s="595"/>
      <c r="TIZ43" s="595"/>
      <c r="TJA43" s="595"/>
      <c r="TJB43" s="595"/>
      <c r="TJC43" s="595"/>
      <c r="TJD43" s="595"/>
      <c r="TJE43" s="595"/>
      <c r="TJF43" s="595"/>
      <c r="TJG43" s="595"/>
      <c r="TJH43" s="595"/>
      <c r="TJI43" s="595"/>
      <c r="TJJ43" s="595"/>
      <c r="TJK43" s="595"/>
      <c r="TJL43" s="595"/>
      <c r="TJM43" s="595"/>
      <c r="TJN43" s="595"/>
      <c r="TJO43" s="595"/>
      <c r="TJP43" s="595"/>
      <c r="TJQ43" s="595"/>
      <c r="TJR43" s="595"/>
      <c r="TJS43" s="595"/>
      <c r="TJT43" s="595"/>
      <c r="TJU43" s="595"/>
      <c r="TJV43" s="595"/>
      <c r="TJW43" s="595"/>
      <c r="TJX43" s="595"/>
      <c r="TJY43" s="595"/>
      <c r="TJZ43" s="595"/>
      <c r="TKA43" s="595"/>
      <c r="TKB43" s="595"/>
      <c r="TKC43" s="595"/>
      <c r="TKD43" s="595"/>
      <c r="TKE43" s="595"/>
      <c r="TKF43" s="595"/>
      <c r="TKG43" s="595"/>
      <c r="TKH43" s="595"/>
      <c r="TKI43" s="595"/>
      <c r="TKJ43" s="595"/>
      <c r="TKK43" s="595"/>
      <c r="TKL43" s="595"/>
      <c r="TKM43" s="595"/>
      <c r="TKN43" s="595"/>
      <c r="TKO43" s="595"/>
      <c r="TKP43" s="595"/>
      <c r="TKQ43" s="595"/>
      <c r="TKR43" s="595"/>
      <c r="TKS43" s="595"/>
      <c r="TKT43" s="595"/>
      <c r="TKU43" s="595"/>
      <c r="TKV43" s="595"/>
      <c r="TKW43" s="595"/>
      <c r="TKX43" s="595"/>
      <c r="TKY43" s="595"/>
      <c r="TKZ43" s="595"/>
      <c r="TLA43" s="595"/>
      <c r="TLB43" s="595"/>
      <c r="TLC43" s="595"/>
      <c r="TLD43" s="595"/>
      <c r="TLE43" s="595"/>
      <c r="TLF43" s="595"/>
      <c r="TLG43" s="595"/>
      <c r="TLH43" s="595"/>
      <c r="TLI43" s="595"/>
      <c r="TLJ43" s="595"/>
      <c r="TLK43" s="595"/>
      <c r="TLL43" s="595"/>
      <c r="TLM43" s="595"/>
      <c r="TLN43" s="595"/>
      <c r="TLO43" s="595"/>
      <c r="TLP43" s="595"/>
      <c r="TLQ43" s="595"/>
      <c r="TLR43" s="595"/>
      <c r="TLS43" s="595"/>
      <c r="TLT43" s="595"/>
      <c r="TLU43" s="595"/>
      <c r="TLV43" s="595"/>
      <c r="TLW43" s="595"/>
      <c r="TLX43" s="595"/>
      <c r="TLY43" s="595"/>
      <c r="TLZ43" s="595"/>
      <c r="TMA43" s="595"/>
      <c r="TMB43" s="595"/>
      <c r="TMC43" s="595"/>
      <c r="TMD43" s="595"/>
      <c r="TME43" s="595"/>
      <c r="TMF43" s="595"/>
      <c r="TMG43" s="595"/>
      <c r="TMH43" s="595"/>
      <c r="TMI43" s="595"/>
      <c r="TMJ43" s="595"/>
      <c r="TMK43" s="595"/>
      <c r="TML43" s="595"/>
      <c r="TMM43" s="595"/>
      <c r="TMN43" s="595"/>
      <c r="TMO43" s="595"/>
      <c r="TMP43" s="595"/>
      <c r="TMQ43" s="595"/>
      <c r="TMR43" s="595"/>
      <c r="TMS43" s="595"/>
      <c r="TMT43" s="595"/>
      <c r="TMU43" s="595"/>
      <c r="TMV43" s="595"/>
      <c r="TMW43" s="595"/>
      <c r="TMX43" s="595"/>
      <c r="TMY43" s="595"/>
      <c r="TMZ43" s="595"/>
      <c r="TNA43" s="595"/>
      <c r="TNB43" s="595"/>
      <c r="TNC43" s="595"/>
      <c r="TND43" s="595"/>
      <c r="TNE43" s="595"/>
      <c r="TNF43" s="595"/>
      <c r="TNG43" s="595"/>
      <c r="TNH43" s="595"/>
      <c r="TNI43" s="595"/>
      <c r="TNJ43" s="595"/>
      <c r="TNK43" s="595"/>
      <c r="TNL43" s="595"/>
      <c r="TNM43" s="595"/>
      <c r="TNN43" s="595"/>
      <c r="TNO43" s="595"/>
      <c r="TNP43" s="595"/>
      <c r="TNQ43" s="595"/>
      <c r="TNR43" s="595"/>
      <c r="TNS43" s="595"/>
      <c r="TNT43" s="595"/>
      <c r="TNU43" s="595"/>
      <c r="TNV43" s="595"/>
      <c r="TNW43" s="595"/>
      <c r="TNX43" s="595"/>
      <c r="TNY43" s="595"/>
      <c r="TNZ43" s="595"/>
      <c r="TOA43" s="595"/>
      <c r="TOB43" s="595"/>
      <c r="TOC43" s="595"/>
      <c r="TOD43" s="595"/>
      <c r="TOE43" s="595"/>
      <c r="TOF43" s="595"/>
      <c r="TOG43" s="595"/>
      <c r="TOH43" s="595"/>
      <c r="TOI43" s="595"/>
      <c r="TOJ43" s="595"/>
      <c r="TOK43" s="595"/>
      <c r="TOL43" s="595"/>
      <c r="TOM43" s="595"/>
      <c r="TON43" s="595"/>
      <c r="TOO43" s="595"/>
      <c r="TOP43" s="595"/>
      <c r="TOQ43" s="595"/>
      <c r="TOR43" s="595"/>
      <c r="TOS43" s="595"/>
      <c r="TOT43" s="595"/>
      <c r="TOU43" s="595"/>
      <c r="TOV43" s="595"/>
      <c r="TOW43" s="595"/>
      <c r="TOX43" s="595"/>
      <c r="TOY43" s="595"/>
      <c r="TOZ43" s="595"/>
      <c r="TPA43" s="595"/>
      <c r="TPB43" s="595"/>
      <c r="TPC43" s="595"/>
      <c r="TPD43" s="595"/>
      <c r="TPE43" s="595"/>
      <c r="TPF43" s="595"/>
      <c r="TPG43" s="595"/>
      <c r="TPH43" s="595"/>
      <c r="TPI43" s="595"/>
      <c r="TPJ43" s="595"/>
      <c r="TPK43" s="595"/>
      <c r="TPL43" s="595"/>
      <c r="TPM43" s="595"/>
      <c r="TPN43" s="595"/>
      <c r="TPO43" s="595"/>
      <c r="TPP43" s="595"/>
      <c r="TPQ43" s="595"/>
      <c r="TPR43" s="595"/>
      <c r="TPS43" s="595"/>
      <c r="TPT43" s="595"/>
      <c r="TPU43" s="595"/>
      <c r="TPV43" s="595"/>
      <c r="TPW43" s="595"/>
      <c r="TPX43" s="595"/>
      <c r="TPY43" s="595"/>
      <c r="TPZ43" s="595"/>
      <c r="TQA43" s="595"/>
      <c r="TQB43" s="595"/>
      <c r="TQC43" s="595"/>
      <c r="TQD43" s="595"/>
      <c r="TQE43" s="595"/>
      <c r="TQF43" s="595"/>
      <c r="TQG43" s="595"/>
      <c r="TQH43" s="595"/>
      <c r="TQI43" s="595"/>
      <c r="TQJ43" s="595"/>
      <c r="TQK43" s="595"/>
      <c r="TQL43" s="595"/>
      <c r="TQM43" s="595"/>
      <c r="TQN43" s="595"/>
      <c r="TQO43" s="595"/>
      <c r="TQP43" s="595"/>
      <c r="TQQ43" s="595"/>
      <c r="TQR43" s="595"/>
      <c r="TQS43" s="595"/>
      <c r="TQT43" s="595"/>
      <c r="TQU43" s="595"/>
      <c r="TQV43" s="595"/>
      <c r="TQW43" s="595"/>
      <c r="TQX43" s="595"/>
      <c r="TQY43" s="595"/>
      <c r="TQZ43" s="595"/>
      <c r="TRA43" s="595"/>
      <c r="TRB43" s="595"/>
      <c r="TRC43" s="595"/>
      <c r="TRD43" s="595"/>
      <c r="TRE43" s="595"/>
      <c r="TRF43" s="595"/>
      <c r="TRG43" s="595"/>
      <c r="TRH43" s="595"/>
      <c r="TRI43" s="595"/>
      <c r="TRJ43" s="595"/>
      <c r="TRK43" s="595"/>
      <c r="TRL43" s="595"/>
      <c r="TRM43" s="595"/>
      <c r="TRN43" s="595"/>
      <c r="TRO43" s="595"/>
      <c r="TRP43" s="595"/>
      <c r="TRQ43" s="595"/>
      <c r="TRR43" s="595"/>
      <c r="TRS43" s="595"/>
      <c r="TRT43" s="595"/>
      <c r="TRU43" s="595"/>
      <c r="TRV43" s="595"/>
      <c r="TRW43" s="595"/>
      <c r="TRX43" s="595"/>
      <c r="TRY43" s="595"/>
      <c r="TRZ43" s="595"/>
      <c r="TSA43" s="595"/>
      <c r="TSB43" s="595"/>
      <c r="TSC43" s="595"/>
      <c r="TSD43" s="595"/>
      <c r="TSE43" s="595"/>
      <c r="TSF43" s="595"/>
      <c r="TSG43" s="595"/>
      <c r="TSH43" s="595"/>
      <c r="TSI43" s="595"/>
      <c r="TSJ43" s="595"/>
      <c r="TSK43" s="595"/>
      <c r="TSL43" s="595"/>
      <c r="TSM43" s="595"/>
      <c r="TSN43" s="595"/>
      <c r="TSO43" s="595"/>
      <c r="TSP43" s="595"/>
      <c r="TSQ43" s="595"/>
      <c r="TSR43" s="595"/>
      <c r="TSS43" s="595"/>
      <c r="TST43" s="595"/>
      <c r="TSU43" s="595"/>
      <c r="TSV43" s="595"/>
      <c r="TSW43" s="595"/>
      <c r="TSX43" s="595"/>
      <c r="TSY43" s="595"/>
      <c r="TSZ43" s="595"/>
      <c r="TTA43" s="595"/>
      <c r="TTB43" s="595"/>
      <c r="TTC43" s="595"/>
      <c r="TTD43" s="595"/>
      <c r="TTE43" s="595"/>
      <c r="TTF43" s="595"/>
      <c r="TTG43" s="595"/>
      <c r="TTH43" s="595"/>
      <c r="TTI43" s="595"/>
      <c r="TTJ43" s="595"/>
      <c r="TTK43" s="595"/>
      <c r="TTL43" s="595"/>
      <c r="TTM43" s="595"/>
      <c r="TTN43" s="595"/>
      <c r="TTO43" s="595"/>
      <c r="TTP43" s="595"/>
      <c r="TTQ43" s="595"/>
      <c r="TTR43" s="595"/>
      <c r="TTS43" s="595"/>
      <c r="TTT43" s="595"/>
      <c r="TTU43" s="595"/>
      <c r="TTV43" s="595"/>
      <c r="TTW43" s="595"/>
      <c r="TTX43" s="595"/>
      <c r="TTY43" s="595"/>
      <c r="TTZ43" s="595"/>
      <c r="TUA43" s="595"/>
      <c r="TUB43" s="595"/>
      <c r="TUC43" s="595"/>
      <c r="TUD43" s="595"/>
      <c r="TUE43" s="595"/>
      <c r="TUF43" s="595"/>
      <c r="TUG43" s="595"/>
      <c r="TUH43" s="595"/>
      <c r="TUI43" s="595"/>
      <c r="TUJ43" s="595"/>
      <c r="TUK43" s="595"/>
      <c r="TUL43" s="595"/>
      <c r="TUM43" s="595"/>
      <c r="TUN43" s="595"/>
      <c r="TUO43" s="595"/>
      <c r="TUP43" s="595"/>
      <c r="TUQ43" s="595"/>
      <c r="TUR43" s="595"/>
      <c r="TUS43" s="595"/>
      <c r="TUT43" s="595"/>
      <c r="TUU43" s="595"/>
      <c r="TUV43" s="595"/>
      <c r="TUW43" s="595"/>
      <c r="TUX43" s="595"/>
      <c r="TUY43" s="595"/>
      <c r="TUZ43" s="595"/>
      <c r="TVA43" s="595"/>
      <c r="TVB43" s="595"/>
      <c r="TVC43" s="595"/>
      <c r="TVD43" s="595"/>
      <c r="TVE43" s="595"/>
      <c r="TVF43" s="595"/>
      <c r="TVG43" s="595"/>
      <c r="TVH43" s="595"/>
      <c r="TVI43" s="595"/>
      <c r="TVJ43" s="595"/>
      <c r="TVK43" s="595"/>
      <c r="TVL43" s="595"/>
      <c r="TVM43" s="595"/>
      <c r="TVN43" s="595"/>
      <c r="TVO43" s="595"/>
      <c r="TVP43" s="595"/>
      <c r="TVQ43" s="595"/>
      <c r="TVR43" s="595"/>
      <c r="TVS43" s="595"/>
      <c r="TVT43" s="595"/>
      <c r="TVU43" s="595"/>
      <c r="TVV43" s="595"/>
      <c r="TVW43" s="595"/>
      <c r="TVX43" s="595"/>
      <c r="TVY43" s="595"/>
      <c r="TVZ43" s="595"/>
      <c r="TWA43" s="595"/>
      <c r="TWB43" s="595"/>
      <c r="TWC43" s="595"/>
      <c r="TWD43" s="595"/>
      <c r="TWE43" s="595"/>
      <c r="TWF43" s="595"/>
      <c r="TWG43" s="595"/>
      <c r="TWH43" s="595"/>
      <c r="TWI43" s="595"/>
      <c r="TWJ43" s="595"/>
      <c r="TWK43" s="595"/>
      <c r="TWL43" s="595"/>
      <c r="TWM43" s="595"/>
      <c r="TWN43" s="595"/>
      <c r="TWO43" s="595"/>
      <c r="TWP43" s="595"/>
      <c r="TWQ43" s="595"/>
      <c r="TWR43" s="595"/>
      <c r="TWS43" s="595"/>
      <c r="TWT43" s="595"/>
      <c r="TWU43" s="595"/>
      <c r="TWV43" s="595"/>
      <c r="TWW43" s="595"/>
      <c r="TWX43" s="595"/>
      <c r="TWY43" s="595"/>
      <c r="TWZ43" s="595"/>
      <c r="TXA43" s="595"/>
      <c r="TXB43" s="595"/>
      <c r="TXC43" s="595"/>
      <c r="TXD43" s="595"/>
      <c r="TXE43" s="595"/>
      <c r="TXF43" s="595"/>
      <c r="TXG43" s="595"/>
      <c r="TXH43" s="595"/>
      <c r="TXI43" s="595"/>
      <c r="TXJ43" s="595"/>
      <c r="TXK43" s="595"/>
      <c r="TXL43" s="595"/>
      <c r="TXM43" s="595"/>
      <c r="TXN43" s="595"/>
      <c r="TXO43" s="595"/>
      <c r="TXP43" s="595"/>
      <c r="TXQ43" s="595"/>
      <c r="TXR43" s="595"/>
      <c r="TXS43" s="595"/>
      <c r="TXT43" s="595"/>
      <c r="TXU43" s="595"/>
      <c r="TXV43" s="595"/>
      <c r="TXW43" s="595"/>
      <c r="TXX43" s="595"/>
      <c r="TXY43" s="595"/>
      <c r="TXZ43" s="595"/>
      <c r="TYA43" s="595"/>
      <c r="TYB43" s="595"/>
      <c r="TYC43" s="595"/>
      <c r="TYD43" s="595"/>
      <c r="TYE43" s="595"/>
      <c r="TYF43" s="595"/>
      <c r="TYG43" s="595"/>
      <c r="TYH43" s="595"/>
      <c r="TYI43" s="595"/>
      <c r="TYJ43" s="595"/>
      <c r="TYK43" s="595"/>
      <c r="TYL43" s="595"/>
      <c r="TYM43" s="595"/>
      <c r="TYN43" s="595"/>
      <c r="TYO43" s="595"/>
      <c r="TYP43" s="595"/>
      <c r="TYQ43" s="595"/>
      <c r="TYR43" s="595"/>
      <c r="TYS43" s="595"/>
      <c r="TYT43" s="595"/>
      <c r="TYU43" s="595"/>
      <c r="TYV43" s="595"/>
      <c r="TYW43" s="595"/>
      <c r="TYX43" s="595"/>
      <c r="TYY43" s="595"/>
      <c r="TYZ43" s="595"/>
      <c r="TZA43" s="595"/>
      <c r="TZB43" s="595"/>
      <c r="TZC43" s="595"/>
      <c r="TZD43" s="595"/>
      <c r="TZE43" s="595"/>
      <c r="TZF43" s="595"/>
      <c r="TZG43" s="595"/>
      <c r="TZH43" s="595"/>
      <c r="TZI43" s="595"/>
      <c r="TZJ43" s="595"/>
      <c r="TZK43" s="595"/>
      <c r="TZL43" s="595"/>
      <c r="TZM43" s="595"/>
      <c r="TZN43" s="595"/>
      <c r="TZO43" s="595"/>
      <c r="TZP43" s="595"/>
      <c r="TZQ43" s="595"/>
      <c r="TZR43" s="595"/>
      <c r="TZS43" s="595"/>
      <c r="TZT43" s="595"/>
      <c r="TZU43" s="595"/>
      <c r="TZV43" s="595"/>
      <c r="TZW43" s="595"/>
      <c r="TZX43" s="595"/>
      <c r="TZY43" s="595"/>
      <c r="TZZ43" s="595"/>
      <c r="UAA43" s="595"/>
      <c r="UAB43" s="595"/>
      <c r="UAC43" s="595"/>
      <c r="UAD43" s="595"/>
      <c r="UAE43" s="595"/>
      <c r="UAF43" s="595"/>
      <c r="UAG43" s="595"/>
      <c r="UAH43" s="595"/>
      <c r="UAI43" s="595"/>
      <c r="UAJ43" s="595"/>
      <c r="UAK43" s="595"/>
      <c r="UAL43" s="595"/>
      <c r="UAM43" s="595"/>
      <c r="UAN43" s="595"/>
      <c r="UAO43" s="595"/>
      <c r="UAP43" s="595"/>
      <c r="UAQ43" s="595"/>
      <c r="UAR43" s="595"/>
      <c r="UAS43" s="595"/>
      <c r="UAT43" s="595"/>
      <c r="UAU43" s="595"/>
      <c r="UAV43" s="595"/>
      <c r="UAW43" s="595"/>
      <c r="UAX43" s="595"/>
      <c r="UAY43" s="595"/>
      <c r="UAZ43" s="595"/>
      <c r="UBA43" s="595"/>
      <c r="UBB43" s="595"/>
      <c r="UBC43" s="595"/>
      <c r="UBD43" s="595"/>
      <c r="UBE43" s="595"/>
      <c r="UBF43" s="595"/>
      <c r="UBG43" s="595"/>
      <c r="UBH43" s="595"/>
      <c r="UBI43" s="595"/>
      <c r="UBJ43" s="595"/>
      <c r="UBK43" s="595"/>
      <c r="UBL43" s="595"/>
      <c r="UBM43" s="595"/>
      <c r="UBN43" s="595"/>
      <c r="UBO43" s="595"/>
      <c r="UBP43" s="595"/>
      <c r="UBQ43" s="595"/>
      <c r="UBR43" s="595"/>
      <c r="UBS43" s="595"/>
      <c r="UBT43" s="595"/>
      <c r="UBU43" s="595"/>
      <c r="UBV43" s="595"/>
      <c r="UBW43" s="595"/>
      <c r="UBX43" s="595"/>
      <c r="UBY43" s="595"/>
      <c r="UBZ43" s="595"/>
      <c r="UCA43" s="595"/>
      <c r="UCB43" s="595"/>
      <c r="UCC43" s="595"/>
      <c r="UCD43" s="595"/>
      <c r="UCE43" s="595"/>
      <c r="UCF43" s="595"/>
      <c r="UCG43" s="595"/>
      <c r="UCH43" s="595"/>
      <c r="UCI43" s="595"/>
      <c r="UCJ43" s="595"/>
      <c r="UCK43" s="595"/>
      <c r="UCL43" s="595"/>
      <c r="UCM43" s="595"/>
      <c r="UCN43" s="595"/>
      <c r="UCO43" s="595"/>
      <c r="UCP43" s="595"/>
      <c r="UCQ43" s="595"/>
      <c r="UCR43" s="595"/>
      <c r="UCS43" s="595"/>
      <c r="UCT43" s="595"/>
      <c r="UCU43" s="595"/>
      <c r="UCV43" s="595"/>
      <c r="UCW43" s="595"/>
      <c r="UCX43" s="595"/>
      <c r="UCY43" s="595"/>
      <c r="UCZ43" s="595"/>
      <c r="UDA43" s="595"/>
      <c r="UDB43" s="595"/>
      <c r="UDC43" s="595"/>
      <c r="UDD43" s="595"/>
      <c r="UDE43" s="595"/>
      <c r="UDF43" s="595"/>
      <c r="UDG43" s="595"/>
      <c r="UDH43" s="595"/>
      <c r="UDI43" s="595"/>
      <c r="UDJ43" s="595"/>
      <c r="UDK43" s="595"/>
      <c r="UDL43" s="595"/>
      <c r="UDM43" s="595"/>
      <c r="UDN43" s="595"/>
      <c r="UDO43" s="595"/>
      <c r="UDP43" s="595"/>
      <c r="UDQ43" s="595"/>
      <c r="UDR43" s="595"/>
      <c r="UDS43" s="595"/>
      <c r="UDT43" s="595"/>
      <c r="UDU43" s="595"/>
      <c r="UDV43" s="595"/>
      <c r="UDW43" s="595"/>
      <c r="UDX43" s="595"/>
      <c r="UDY43" s="595"/>
      <c r="UDZ43" s="595"/>
      <c r="UEA43" s="595"/>
      <c r="UEB43" s="595"/>
      <c r="UEC43" s="595"/>
      <c r="UED43" s="595"/>
      <c r="UEE43" s="595"/>
      <c r="UEF43" s="595"/>
      <c r="UEG43" s="595"/>
      <c r="UEH43" s="595"/>
      <c r="UEI43" s="595"/>
      <c r="UEJ43" s="595"/>
      <c r="UEK43" s="595"/>
      <c r="UEL43" s="595"/>
      <c r="UEM43" s="595"/>
      <c r="UEN43" s="595"/>
      <c r="UEO43" s="595"/>
      <c r="UEP43" s="595"/>
      <c r="UEQ43" s="595"/>
      <c r="UER43" s="595"/>
      <c r="UES43" s="595"/>
      <c r="UET43" s="595"/>
      <c r="UEU43" s="595"/>
      <c r="UEV43" s="595"/>
      <c r="UEW43" s="595"/>
      <c r="UEX43" s="595"/>
      <c r="UEY43" s="595"/>
      <c r="UEZ43" s="595"/>
      <c r="UFA43" s="595"/>
      <c r="UFB43" s="595"/>
      <c r="UFC43" s="595"/>
      <c r="UFD43" s="595"/>
      <c r="UFE43" s="595"/>
      <c r="UFF43" s="595"/>
      <c r="UFG43" s="595"/>
      <c r="UFH43" s="595"/>
      <c r="UFI43" s="595"/>
      <c r="UFJ43" s="595"/>
      <c r="UFK43" s="595"/>
      <c r="UFL43" s="595"/>
      <c r="UFM43" s="595"/>
      <c r="UFN43" s="595"/>
      <c r="UFO43" s="595"/>
      <c r="UFP43" s="595"/>
      <c r="UFQ43" s="595"/>
      <c r="UFR43" s="595"/>
      <c r="UFS43" s="595"/>
      <c r="UFT43" s="595"/>
      <c r="UFU43" s="595"/>
      <c r="UFV43" s="595"/>
      <c r="UFW43" s="595"/>
      <c r="UFX43" s="595"/>
      <c r="UFY43" s="595"/>
      <c r="UFZ43" s="595"/>
      <c r="UGA43" s="595"/>
      <c r="UGB43" s="595"/>
      <c r="UGC43" s="595"/>
      <c r="UGD43" s="595"/>
      <c r="UGE43" s="595"/>
      <c r="UGF43" s="595"/>
      <c r="UGG43" s="595"/>
      <c r="UGH43" s="595"/>
      <c r="UGI43" s="595"/>
      <c r="UGJ43" s="595"/>
      <c r="UGK43" s="595"/>
      <c r="UGL43" s="595"/>
      <c r="UGM43" s="595"/>
      <c r="UGN43" s="595"/>
      <c r="UGO43" s="595"/>
      <c r="UGP43" s="595"/>
      <c r="UGQ43" s="595"/>
      <c r="UGR43" s="595"/>
      <c r="UGS43" s="595"/>
      <c r="UGT43" s="595"/>
      <c r="UGU43" s="595"/>
      <c r="UGV43" s="595"/>
      <c r="UGW43" s="595"/>
      <c r="UGX43" s="595"/>
      <c r="UGY43" s="595"/>
      <c r="UGZ43" s="595"/>
      <c r="UHA43" s="595"/>
      <c r="UHB43" s="595"/>
      <c r="UHC43" s="595"/>
      <c r="UHD43" s="595"/>
      <c r="UHE43" s="595"/>
      <c r="UHF43" s="595"/>
      <c r="UHG43" s="595"/>
      <c r="UHH43" s="595"/>
      <c r="UHI43" s="595"/>
      <c r="UHJ43" s="595"/>
      <c r="UHK43" s="595"/>
      <c r="UHL43" s="595"/>
      <c r="UHM43" s="595"/>
      <c r="UHN43" s="595"/>
      <c r="UHO43" s="595"/>
      <c r="UHP43" s="595"/>
      <c r="UHQ43" s="595"/>
      <c r="UHR43" s="595"/>
      <c r="UHS43" s="595"/>
      <c r="UHT43" s="595"/>
      <c r="UHU43" s="595"/>
      <c r="UHV43" s="595"/>
      <c r="UHW43" s="595"/>
      <c r="UHX43" s="595"/>
      <c r="UHY43" s="595"/>
      <c r="UHZ43" s="595"/>
      <c r="UIA43" s="595"/>
      <c r="UIB43" s="595"/>
      <c r="UIC43" s="595"/>
      <c r="UID43" s="595"/>
      <c r="UIE43" s="595"/>
      <c r="UIF43" s="595"/>
      <c r="UIG43" s="595"/>
      <c r="UIH43" s="595"/>
      <c r="UII43" s="595"/>
      <c r="UIJ43" s="595"/>
      <c r="UIK43" s="595"/>
      <c r="UIL43" s="595"/>
      <c r="UIM43" s="595"/>
      <c r="UIN43" s="595"/>
      <c r="UIO43" s="595"/>
      <c r="UIP43" s="595"/>
      <c r="UIQ43" s="595"/>
      <c r="UIR43" s="595"/>
      <c r="UIS43" s="595"/>
      <c r="UIT43" s="595"/>
      <c r="UIU43" s="595"/>
      <c r="UIV43" s="595"/>
      <c r="UIW43" s="595"/>
      <c r="UIX43" s="595"/>
      <c r="UIY43" s="595"/>
      <c r="UIZ43" s="595"/>
      <c r="UJA43" s="595"/>
      <c r="UJB43" s="595"/>
      <c r="UJC43" s="595"/>
      <c r="UJD43" s="595"/>
      <c r="UJE43" s="595"/>
      <c r="UJF43" s="595"/>
      <c r="UJG43" s="595"/>
      <c r="UJH43" s="595"/>
      <c r="UJI43" s="595"/>
      <c r="UJJ43" s="595"/>
      <c r="UJK43" s="595"/>
      <c r="UJL43" s="595"/>
      <c r="UJM43" s="595"/>
      <c r="UJN43" s="595"/>
      <c r="UJO43" s="595"/>
      <c r="UJP43" s="595"/>
      <c r="UJQ43" s="595"/>
      <c r="UJR43" s="595"/>
      <c r="UJS43" s="595"/>
      <c r="UJT43" s="595"/>
      <c r="UJU43" s="595"/>
      <c r="UJV43" s="595"/>
      <c r="UJW43" s="595"/>
      <c r="UJX43" s="595"/>
      <c r="UJY43" s="595"/>
      <c r="UJZ43" s="595"/>
      <c r="UKA43" s="595"/>
      <c r="UKB43" s="595"/>
      <c r="UKC43" s="595"/>
      <c r="UKD43" s="595"/>
      <c r="UKE43" s="595"/>
      <c r="UKF43" s="595"/>
      <c r="UKG43" s="595"/>
      <c r="UKH43" s="595"/>
      <c r="UKI43" s="595"/>
      <c r="UKJ43" s="595"/>
      <c r="UKK43" s="595"/>
      <c r="UKL43" s="595"/>
      <c r="UKM43" s="595"/>
      <c r="UKN43" s="595"/>
      <c r="UKO43" s="595"/>
      <c r="UKP43" s="595"/>
      <c r="UKQ43" s="595"/>
      <c r="UKR43" s="595"/>
      <c r="UKS43" s="595"/>
      <c r="UKT43" s="595"/>
      <c r="UKU43" s="595"/>
      <c r="UKV43" s="595"/>
      <c r="UKW43" s="595"/>
      <c r="UKX43" s="595"/>
      <c r="UKY43" s="595"/>
      <c r="UKZ43" s="595"/>
      <c r="ULA43" s="595"/>
      <c r="ULB43" s="595"/>
      <c r="ULC43" s="595"/>
      <c r="ULD43" s="595"/>
      <c r="ULE43" s="595"/>
      <c r="ULF43" s="595"/>
      <c r="ULG43" s="595"/>
      <c r="ULH43" s="595"/>
      <c r="ULI43" s="595"/>
      <c r="ULJ43" s="595"/>
      <c r="ULK43" s="595"/>
      <c r="ULL43" s="595"/>
      <c r="ULM43" s="595"/>
      <c r="ULN43" s="595"/>
      <c r="ULO43" s="595"/>
      <c r="ULP43" s="595"/>
      <c r="ULQ43" s="595"/>
      <c r="ULR43" s="595"/>
      <c r="ULS43" s="595"/>
      <c r="ULT43" s="595"/>
      <c r="ULU43" s="595"/>
      <c r="ULV43" s="595"/>
      <c r="ULW43" s="595"/>
      <c r="ULX43" s="595"/>
      <c r="ULY43" s="595"/>
      <c r="ULZ43" s="595"/>
      <c r="UMA43" s="595"/>
      <c r="UMB43" s="595"/>
      <c r="UMC43" s="595"/>
      <c r="UMD43" s="595"/>
      <c r="UME43" s="595"/>
      <c r="UMF43" s="595"/>
      <c r="UMG43" s="595"/>
      <c r="UMH43" s="595"/>
      <c r="UMI43" s="595"/>
      <c r="UMJ43" s="595"/>
      <c r="UMK43" s="595"/>
      <c r="UML43" s="595"/>
      <c r="UMM43" s="595"/>
      <c r="UMN43" s="595"/>
      <c r="UMO43" s="595"/>
      <c r="UMP43" s="595"/>
      <c r="UMQ43" s="595"/>
      <c r="UMR43" s="595"/>
      <c r="UMS43" s="595"/>
      <c r="UMT43" s="595"/>
      <c r="UMU43" s="595"/>
      <c r="UMV43" s="595"/>
      <c r="UMW43" s="595"/>
      <c r="UMX43" s="595"/>
      <c r="UMY43" s="595"/>
      <c r="UMZ43" s="595"/>
      <c r="UNA43" s="595"/>
      <c r="UNB43" s="595"/>
      <c r="UNC43" s="595"/>
      <c r="UND43" s="595"/>
      <c r="UNE43" s="595"/>
      <c r="UNF43" s="595"/>
      <c r="UNG43" s="595"/>
      <c r="UNH43" s="595"/>
      <c r="UNI43" s="595"/>
      <c r="UNJ43" s="595"/>
      <c r="UNK43" s="595"/>
      <c r="UNL43" s="595"/>
      <c r="UNM43" s="595"/>
      <c r="UNN43" s="595"/>
      <c r="UNO43" s="595"/>
      <c r="UNP43" s="595"/>
      <c r="UNQ43" s="595"/>
      <c r="UNR43" s="595"/>
      <c r="UNS43" s="595"/>
      <c r="UNT43" s="595"/>
      <c r="UNU43" s="595"/>
      <c r="UNV43" s="595"/>
      <c r="UNW43" s="595"/>
      <c r="UNX43" s="595"/>
      <c r="UNY43" s="595"/>
      <c r="UNZ43" s="595"/>
      <c r="UOA43" s="595"/>
      <c r="UOB43" s="595"/>
      <c r="UOC43" s="595"/>
      <c r="UOD43" s="595"/>
      <c r="UOE43" s="595"/>
      <c r="UOF43" s="595"/>
      <c r="UOG43" s="595"/>
      <c r="UOH43" s="595"/>
      <c r="UOI43" s="595"/>
      <c r="UOJ43" s="595"/>
      <c r="UOK43" s="595"/>
      <c r="UOL43" s="595"/>
      <c r="UOM43" s="595"/>
      <c r="UON43" s="595"/>
      <c r="UOO43" s="595"/>
      <c r="UOP43" s="595"/>
      <c r="UOQ43" s="595"/>
      <c r="UOR43" s="595"/>
      <c r="UOS43" s="595"/>
      <c r="UOT43" s="595"/>
      <c r="UOU43" s="595"/>
      <c r="UOV43" s="595"/>
      <c r="UOW43" s="595"/>
      <c r="UOX43" s="595"/>
      <c r="UOY43" s="595"/>
      <c r="UOZ43" s="595"/>
      <c r="UPA43" s="595"/>
      <c r="UPB43" s="595"/>
      <c r="UPC43" s="595"/>
      <c r="UPD43" s="595"/>
      <c r="UPE43" s="595"/>
      <c r="UPF43" s="595"/>
      <c r="UPG43" s="595"/>
      <c r="UPH43" s="595"/>
      <c r="UPI43" s="595"/>
      <c r="UPJ43" s="595"/>
      <c r="UPK43" s="595"/>
      <c r="UPL43" s="595"/>
      <c r="UPM43" s="595"/>
      <c r="UPN43" s="595"/>
      <c r="UPO43" s="595"/>
      <c r="UPP43" s="595"/>
      <c r="UPQ43" s="595"/>
      <c r="UPR43" s="595"/>
      <c r="UPS43" s="595"/>
      <c r="UPT43" s="595"/>
      <c r="UPU43" s="595"/>
      <c r="UPV43" s="595"/>
      <c r="UPW43" s="595"/>
      <c r="UPX43" s="595"/>
      <c r="UPY43" s="595"/>
      <c r="UPZ43" s="595"/>
      <c r="UQA43" s="595"/>
      <c r="UQB43" s="595"/>
      <c r="UQC43" s="595"/>
      <c r="UQD43" s="595"/>
      <c r="UQE43" s="595"/>
      <c r="UQF43" s="595"/>
      <c r="UQG43" s="595"/>
      <c r="UQH43" s="595"/>
      <c r="UQI43" s="595"/>
      <c r="UQJ43" s="595"/>
      <c r="UQK43" s="595"/>
      <c r="UQL43" s="595"/>
      <c r="UQM43" s="595"/>
      <c r="UQN43" s="595"/>
      <c r="UQO43" s="595"/>
      <c r="UQP43" s="595"/>
      <c r="UQQ43" s="595"/>
      <c r="UQR43" s="595"/>
      <c r="UQS43" s="595"/>
      <c r="UQT43" s="595"/>
      <c r="UQU43" s="595"/>
      <c r="UQV43" s="595"/>
      <c r="UQW43" s="595"/>
      <c r="UQX43" s="595"/>
      <c r="UQY43" s="595"/>
      <c r="UQZ43" s="595"/>
      <c r="URA43" s="595"/>
      <c r="URB43" s="595"/>
      <c r="URC43" s="595"/>
      <c r="URD43" s="595"/>
      <c r="URE43" s="595"/>
      <c r="URF43" s="595"/>
      <c r="URG43" s="595"/>
      <c r="URH43" s="595"/>
      <c r="URI43" s="595"/>
      <c r="URJ43" s="595"/>
      <c r="URK43" s="595"/>
      <c r="URL43" s="595"/>
      <c r="URM43" s="595"/>
      <c r="URN43" s="595"/>
      <c r="URO43" s="595"/>
      <c r="URP43" s="595"/>
      <c r="URQ43" s="595"/>
      <c r="URR43" s="595"/>
      <c r="URS43" s="595"/>
      <c r="URT43" s="595"/>
      <c r="URU43" s="595"/>
      <c r="URV43" s="595"/>
      <c r="URW43" s="595"/>
      <c r="URX43" s="595"/>
      <c r="URY43" s="595"/>
      <c r="URZ43" s="595"/>
      <c r="USA43" s="595"/>
      <c r="USB43" s="595"/>
      <c r="USC43" s="595"/>
      <c r="USD43" s="595"/>
      <c r="USE43" s="595"/>
      <c r="USF43" s="595"/>
      <c r="USG43" s="595"/>
      <c r="USH43" s="595"/>
      <c r="USI43" s="595"/>
      <c r="USJ43" s="595"/>
      <c r="USK43" s="595"/>
      <c r="USL43" s="595"/>
      <c r="USM43" s="595"/>
      <c r="USN43" s="595"/>
      <c r="USO43" s="595"/>
      <c r="USP43" s="595"/>
      <c r="USQ43" s="595"/>
      <c r="USR43" s="595"/>
      <c r="USS43" s="595"/>
      <c r="UST43" s="595"/>
      <c r="USU43" s="595"/>
      <c r="USV43" s="595"/>
      <c r="USW43" s="595"/>
      <c r="USX43" s="595"/>
      <c r="USY43" s="595"/>
      <c r="USZ43" s="595"/>
      <c r="UTA43" s="595"/>
      <c r="UTB43" s="595"/>
      <c r="UTC43" s="595"/>
      <c r="UTD43" s="595"/>
      <c r="UTE43" s="595"/>
      <c r="UTF43" s="595"/>
      <c r="UTG43" s="595"/>
      <c r="UTH43" s="595"/>
      <c r="UTI43" s="595"/>
      <c r="UTJ43" s="595"/>
      <c r="UTK43" s="595"/>
      <c r="UTL43" s="595"/>
      <c r="UTM43" s="595"/>
      <c r="UTN43" s="595"/>
      <c r="UTO43" s="595"/>
      <c r="UTP43" s="595"/>
      <c r="UTQ43" s="595"/>
      <c r="UTR43" s="595"/>
      <c r="UTS43" s="595"/>
      <c r="UTT43" s="595"/>
      <c r="UTU43" s="595"/>
      <c r="UTV43" s="595"/>
      <c r="UTW43" s="595"/>
      <c r="UTX43" s="595"/>
      <c r="UTY43" s="595"/>
      <c r="UTZ43" s="595"/>
      <c r="UUA43" s="595"/>
      <c r="UUB43" s="595"/>
      <c r="UUC43" s="595"/>
      <c r="UUD43" s="595"/>
      <c r="UUE43" s="595"/>
      <c r="UUF43" s="595"/>
      <c r="UUG43" s="595"/>
      <c r="UUH43" s="595"/>
      <c r="UUI43" s="595"/>
      <c r="UUJ43" s="595"/>
      <c r="UUK43" s="595"/>
      <c r="UUL43" s="595"/>
      <c r="UUM43" s="595"/>
      <c r="UUN43" s="595"/>
      <c r="UUO43" s="595"/>
      <c r="UUP43" s="595"/>
      <c r="UUQ43" s="595"/>
      <c r="UUR43" s="595"/>
      <c r="UUS43" s="595"/>
      <c r="UUT43" s="595"/>
      <c r="UUU43" s="595"/>
      <c r="UUV43" s="595"/>
      <c r="UUW43" s="595"/>
      <c r="UUX43" s="595"/>
      <c r="UUY43" s="595"/>
      <c r="UUZ43" s="595"/>
      <c r="UVA43" s="595"/>
      <c r="UVB43" s="595"/>
      <c r="UVC43" s="595"/>
      <c r="UVD43" s="595"/>
      <c r="UVE43" s="595"/>
      <c r="UVF43" s="595"/>
      <c r="UVG43" s="595"/>
      <c r="UVH43" s="595"/>
      <c r="UVI43" s="595"/>
      <c r="UVJ43" s="595"/>
      <c r="UVK43" s="595"/>
      <c r="UVL43" s="595"/>
      <c r="UVM43" s="595"/>
      <c r="UVN43" s="595"/>
      <c r="UVO43" s="595"/>
      <c r="UVP43" s="595"/>
      <c r="UVQ43" s="595"/>
      <c r="UVR43" s="595"/>
      <c r="UVS43" s="595"/>
      <c r="UVT43" s="595"/>
      <c r="UVU43" s="595"/>
      <c r="UVV43" s="595"/>
      <c r="UVW43" s="595"/>
      <c r="UVX43" s="595"/>
      <c r="UVY43" s="595"/>
      <c r="UVZ43" s="595"/>
      <c r="UWA43" s="595"/>
      <c r="UWB43" s="595"/>
      <c r="UWC43" s="595"/>
      <c r="UWD43" s="595"/>
      <c r="UWE43" s="595"/>
      <c r="UWF43" s="595"/>
      <c r="UWG43" s="595"/>
      <c r="UWH43" s="595"/>
      <c r="UWI43" s="595"/>
      <c r="UWJ43" s="595"/>
      <c r="UWK43" s="595"/>
      <c r="UWL43" s="595"/>
      <c r="UWM43" s="595"/>
      <c r="UWN43" s="595"/>
      <c r="UWO43" s="595"/>
      <c r="UWP43" s="595"/>
      <c r="UWQ43" s="595"/>
      <c r="UWR43" s="595"/>
      <c r="UWS43" s="595"/>
      <c r="UWT43" s="595"/>
      <c r="UWU43" s="595"/>
      <c r="UWV43" s="595"/>
      <c r="UWW43" s="595"/>
      <c r="UWX43" s="595"/>
      <c r="UWY43" s="595"/>
      <c r="UWZ43" s="595"/>
      <c r="UXA43" s="595"/>
      <c r="UXB43" s="595"/>
      <c r="UXC43" s="595"/>
      <c r="UXD43" s="595"/>
      <c r="UXE43" s="595"/>
      <c r="UXF43" s="595"/>
      <c r="UXG43" s="595"/>
      <c r="UXH43" s="595"/>
      <c r="UXI43" s="595"/>
      <c r="UXJ43" s="595"/>
      <c r="UXK43" s="595"/>
      <c r="UXL43" s="595"/>
      <c r="UXM43" s="595"/>
      <c r="UXN43" s="595"/>
      <c r="UXO43" s="595"/>
      <c r="UXP43" s="595"/>
      <c r="UXQ43" s="595"/>
      <c r="UXR43" s="595"/>
      <c r="UXS43" s="595"/>
      <c r="UXT43" s="595"/>
      <c r="UXU43" s="595"/>
      <c r="UXV43" s="595"/>
      <c r="UXW43" s="595"/>
      <c r="UXX43" s="595"/>
      <c r="UXY43" s="595"/>
      <c r="UXZ43" s="595"/>
      <c r="UYA43" s="595"/>
      <c r="UYB43" s="595"/>
      <c r="UYC43" s="595"/>
      <c r="UYD43" s="595"/>
      <c r="UYE43" s="595"/>
      <c r="UYF43" s="595"/>
      <c r="UYG43" s="595"/>
      <c r="UYH43" s="595"/>
      <c r="UYI43" s="595"/>
      <c r="UYJ43" s="595"/>
      <c r="UYK43" s="595"/>
      <c r="UYL43" s="595"/>
      <c r="UYM43" s="595"/>
      <c r="UYN43" s="595"/>
      <c r="UYO43" s="595"/>
      <c r="UYP43" s="595"/>
      <c r="UYQ43" s="595"/>
      <c r="UYR43" s="595"/>
      <c r="UYS43" s="595"/>
      <c r="UYT43" s="595"/>
      <c r="UYU43" s="595"/>
      <c r="UYV43" s="595"/>
      <c r="UYW43" s="595"/>
      <c r="UYX43" s="595"/>
      <c r="UYY43" s="595"/>
      <c r="UYZ43" s="595"/>
      <c r="UZA43" s="595"/>
      <c r="UZB43" s="595"/>
      <c r="UZC43" s="595"/>
      <c r="UZD43" s="595"/>
      <c r="UZE43" s="595"/>
      <c r="UZF43" s="595"/>
      <c r="UZG43" s="595"/>
      <c r="UZH43" s="595"/>
      <c r="UZI43" s="595"/>
      <c r="UZJ43" s="595"/>
      <c r="UZK43" s="595"/>
      <c r="UZL43" s="595"/>
      <c r="UZM43" s="595"/>
      <c r="UZN43" s="595"/>
      <c r="UZO43" s="595"/>
      <c r="UZP43" s="595"/>
      <c r="UZQ43" s="595"/>
      <c r="UZR43" s="595"/>
      <c r="UZS43" s="595"/>
      <c r="UZT43" s="595"/>
      <c r="UZU43" s="595"/>
      <c r="UZV43" s="595"/>
      <c r="UZW43" s="595"/>
      <c r="UZX43" s="595"/>
      <c r="UZY43" s="595"/>
      <c r="UZZ43" s="595"/>
      <c r="VAA43" s="595"/>
      <c r="VAB43" s="595"/>
      <c r="VAC43" s="595"/>
      <c r="VAD43" s="595"/>
      <c r="VAE43" s="595"/>
      <c r="VAF43" s="595"/>
      <c r="VAG43" s="595"/>
      <c r="VAH43" s="595"/>
      <c r="VAI43" s="595"/>
      <c r="VAJ43" s="595"/>
      <c r="VAK43" s="595"/>
      <c r="VAL43" s="595"/>
      <c r="VAM43" s="595"/>
      <c r="VAN43" s="595"/>
      <c r="VAO43" s="595"/>
      <c r="VAP43" s="595"/>
      <c r="VAQ43" s="595"/>
      <c r="VAR43" s="595"/>
      <c r="VAS43" s="595"/>
      <c r="VAT43" s="595"/>
      <c r="VAU43" s="595"/>
      <c r="VAV43" s="595"/>
      <c r="VAW43" s="595"/>
      <c r="VAX43" s="595"/>
      <c r="VAY43" s="595"/>
      <c r="VAZ43" s="595"/>
      <c r="VBA43" s="595"/>
      <c r="VBB43" s="595"/>
      <c r="VBC43" s="595"/>
      <c r="VBD43" s="595"/>
      <c r="VBE43" s="595"/>
      <c r="VBF43" s="595"/>
      <c r="VBG43" s="595"/>
      <c r="VBH43" s="595"/>
      <c r="VBI43" s="595"/>
      <c r="VBJ43" s="595"/>
      <c r="VBK43" s="595"/>
      <c r="VBL43" s="595"/>
      <c r="VBM43" s="595"/>
      <c r="VBN43" s="595"/>
      <c r="VBO43" s="595"/>
      <c r="VBP43" s="595"/>
      <c r="VBQ43" s="595"/>
      <c r="VBR43" s="595"/>
      <c r="VBS43" s="595"/>
      <c r="VBT43" s="595"/>
      <c r="VBU43" s="595"/>
      <c r="VBV43" s="595"/>
      <c r="VBW43" s="595"/>
      <c r="VBX43" s="595"/>
      <c r="VBY43" s="595"/>
      <c r="VBZ43" s="595"/>
      <c r="VCA43" s="595"/>
      <c r="VCB43" s="595"/>
      <c r="VCC43" s="595"/>
      <c r="VCD43" s="595"/>
      <c r="VCE43" s="595"/>
      <c r="VCF43" s="595"/>
      <c r="VCG43" s="595"/>
      <c r="VCH43" s="595"/>
      <c r="VCI43" s="595"/>
      <c r="VCJ43" s="595"/>
      <c r="VCK43" s="595"/>
      <c r="VCL43" s="595"/>
      <c r="VCM43" s="595"/>
      <c r="VCN43" s="595"/>
      <c r="VCO43" s="595"/>
      <c r="VCP43" s="595"/>
      <c r="VCQ43" s="595"/>
      <c r="VCR43" s="595"/>
      <c r="VCS43" s="595"/>
      <c r="VCT43" s="595"/>
      <c r="VCU43" s="595"/>
      <c r="VCV43" s="595"/>
      <c r="VCW43" s="595"/>
      <c r="VCX43" s="595"/>
      <c r="VCY43" s="595"/>
      <c r="VCZ43" s="595"/>
      <c r="VDA43" s="595"/>
      <c r="VDB43" s="595"/>
      <c r="VDC43" s="595"/>
      <c r="VDD43" s="595"/>
      <c r="VDE43" s="595"/>
      <c r="VDF43" s="595"/>
      <c r="VDG43" s="595"/>
      <c r="VDH43" s="595"/>
      <c r="VDI43" s="595"/>
      <c r="VDJ43" s="595"/>
      <c r="VDK43" s="595"/>
      <c r="VDL43" s="595"/>
      <c r="VDM43" s="595"/>
      <c r="VDN43" s="595"/>
      <c r="VDO43" s="595"/>
      <c r="VDP43" s="595"/>
      <c r="VDQ43" s="595"/>
      <c r="VDR43" s="595"/>
      <c r="VDS43" s="595"/>
      <c r="VDT43" s="595"/>
      <c r="VDU43" s="595"/>
      <c r="VDV43" s="595"/>
      <c r="VDW43" s="595"/>
      <c r="VDX43" s="595"/>
      <c r="VDY43" s="595"/>
      <c r="VDZ43" s="595"/>
      <c r="VEA43" s="595"/>
      <c r="VEB43" s="595"/>
      <c r="VEC43" s="595"/>
      <c r="VED43" s="595"/>
      <c r="VEE43" s="595"/>
      <c r="VEF43" s="595"/>
      <c r="VEG43" s="595"/>
      <c r="VEH43" s="595"/>
      <c r="VEI43" s="595"/>
      <c r="VEJ43" s="595"/>
      <c r="VEK43" s="595"/>
      <c r="VEL43" s="595"/>
      <c r="VEM43" s="595"/>
      <c r="VEN43" s="595"/>
      <c r="VEO43" s="595"/>
      <c r="VEP43" s="595"/>
      <c r="VEQ43" s="595"/>
      <c r="VER43" s="595"/>
      <c r="VES43" s="595"/>
      <c r="VET43" s="595"/>
      <c r="VEU43" s="595"/>
      <c r="VEV43" s="595"/>
      <c r="VEW43" s="595"/>
      <c r="VEX43" s="595"/>
      <c r="VEY43" s="595"/>
      <c r="VEZ43" s="595"/>
      <c r="VFA43" s="595"/>
      <c r="VFB43" s="595"/>
      <c r="VFC43" s="595"/>
      <c r="VFD43" s="595"/>
      <c r="VFE43" s="595"/>
      <c r="VFF43" s="595"/>
      <c r="VFG43" s="595"/>
      <c r="VFH43" s="595"/>
      <c r="VFI43" s="595"/>
      <c r="VFJ43" s="595"/>
      <c r="VFK43" s="595"/>
      <c r="VFL43" s="595"/>
      <c r="VFM43" s="595"/>
      <c r="VFN43" s="595"/>
      <c r="VFO43" s="595"/>
      <c r="VFP43" s="595"/>
      <c r="VFQ43" s="595"/>
      <c r="VFR43" s="595"/>
      <c r="VFS43" s="595"/>
      <c r="VFT43" s="595"/>
      <c r="VFU43" s="595"/>
      <c r="VFV43" s="595"/>
      <c r="VFW43" s="595"/>
      <c r="VFX43" s="595"/>
      <c r="VFY43" s="595"/>
      <c r="VFZ43" s="595"/>
      <c r="VGA43" s="595"/>
      <c r="VGB43" s="595"/>
      <c r="VGC43" s="595"/>
      <c r="VGD43" s="595"/>
      <c r="VGE43" s="595"/>
      <c r="VGF43" s="595"/>
      <c r="VGG43" s="595"/>
      <c r="VGH43" s="595"/>
      <c r="VGI43" s="595"/>
      <c r="VGJ43" s="595"/>
      <c r="VGK43" s="595"/>
      <c r="VGL43" s="595"/>
      <c r="VGM43" s="595"/>
      <c r="VGN43" s="595"/>
      <c r="VGO43" s="595"/>
      <c r="VGP43" s="595"/>
      <c r="VGQ43" s="595"/>
      <c r="VGR43" s="595"/>
      <c r="VGS43" s="595"/>
      <c r="VGT43" s="595"/>
      <c r="VGU43" s="595"/>
      <c r="VGV43" s="595"/>
      <c r="VGW43" s="595"/>
      <c r="VGX43" s="595"/>
      <c r="VGY43" s="595"/>
      <c r="VGZ43" s="595"/>
      <c r="VHA43" s="595"/>
      <c r="VHB43" s="595"/>
      <c r="VHC43" s="595"/>
      <c r="VHD43" s="595"/>
      <c r="VHE43" s="595"/>
      <c r="VHF43" s="595"/>
      <c r="VHG43" s="595"/>
      <c r="VHH43" s="595"/>
      <c r="VHI43" s="595"/>
      <c r="VHJ43" s="595"/>
      <c r="VHK43" s="595"/>
      <c r="VHL43" s="595"/>
      <c r="VHM43" s="595"/>
      <c r="VHN43" s="595"/>
      <c r="VHO43" s="595"/>
      <c r="VHP43" s="595"/>
      <c r="VHQ43" s="595"/>
      <c r="VHR43" s="595"/>
      <c r="VHS43" s="595"/>
      <c r="VHT43" s="595"/>
      <c r="VHU43" s="595"/>
      <c r="VHV43" s="595"/>
      <c r="VHW43" s="595"/>
      <c r="VHX43" s="595"/>
      <c r="VHY43" s="595"/>
      <c r="VHZ43" s="595"/>
      <c r="VIA43" s="595"/>
      <c r="VIB43" s="595"/>
      <c r="VIC43" s="595"/>
      <c r="VID43" s="595"/>
      <c r="VIE43" s="595"/>
      <c r="VIF43" s="595"/>
      <c r="VIG43" s="595"/>
      <c r="VIH43" s="595"/>
      <c r="VII43" s="595"/>
      <c r="VIJ43" s="595"/>
      <c r="VIK43" s="595"/>
      <c r="VIL43" s="595"/>
      <c r="VIM43" s="595"/>
      <c r="VIN43" s="595"/>
      <c r="VIO43" s="595"/>
      <c r="VIP43" s="595"/>
      <c r="VIQ43" s="595"/>
      <c r="VIR43" s="595"/>
      <c r="VIS43" s="595"/>
      <c r="VIT43" s="595"/>
      <c r="VIU43" s="595"/>
      <c r="VIV43" s="595"/>
      <c r="VIW43" s="595"/>
      <c r="VIX43" s="595"/>
      <c r="VIY43" s="595"/>
      <c r="VIZ43" s="595"/>
      <c r="VJA43" s="595"/>
      <c r="VJB43" s="595"/>
      <c r="VJC43" s="595"/>
      <c r="VJD43" s="595"/>
      <c r="VJE43" s="595"/>
      <c r="VJF43" s="595"/>
      <c r="VJG43" s="595"/>
      <c r="VJH43" s="595"/>
      <c r="VJI43" s="595"/>
      <c r="VJJ43" s="595"/>
      <c r="VJK43" s="595"/>
      <c r="VJL43" s="595"/>
      <c r="VJM43" s="595"/>
      <c r="VJN43" s="595"/>
      <c r="VJO43" s="595"/>
      <c r="VJP43" s="595"/>
      <c r="VJQ43" s="595"/>
      <c r="VJR43" s="595"/>
      <c r="VJS43" s="595"/>
      <c r="VJT43" s="595"/>
      <c r="VJU43" s="595"/>
      <c r="VJV43" s="595"/>
      <c r="VJW43" s="595"/>
      <c r="VJX43" s="595"/>
      <c r="VJY43" s="595"/>
      <c r="VJZ43" s="595"/>
      <c r="VKA43" s="595"/>
      <c r="VKB43" s="595"/>
      <c r="VKC43" s="595"/>
      <c r="VKD43" s="595"/>
      <c r="VKE43" s="595"/>
      <c r="VKF43" s="595"/>
      <c r="VKG43" s="595"/>
      <c r="VKH43" s="595"/>
      <c r="VKI43" s="595"/>
      <c r="VKJ43" s="595"/>
      <c r="VKK43" s="595"/>
      <c r="VKL43" s="595"/>
      <c r="VKM43" s="595"/>
      <c r="VKN43" s="595"/>
      <c r="VKO43" s="595"/>
      <c r="VKP43" s="595"/>
      <c r="VKQ43" s="595"/>
      <c r="VKR43" s="595"/>
      <c r="VKS43" s="595"/>
      <c r="VKT43" s="595"/>
      <c r="VKU43" s="595"/>
      <c r="VKV43" s="595"/>
      <c r="VKW43" s="595"/>
      <c r="VKX43" s="595"/>
      <c r="VKY43" s="595"/>
      <c r="VKZ43" s="595"/>
      <c r="VLA43" s="595"/>
      <c r="VLB43" s="595"/>
      <c r="VLC43" s="595"/>
      <c r="VLD43" s="595"/>
      <c r="VLE43" s="595"/>
      <c r="VLF43" s="595"/>
      <c r="VLG43" s="595"/>
      <c r="VLH43" s="595"/>
      <c r="VLI43" s="595"/>
      <c r="VLJ43" s="595"/>
      <c r="VLK43" s="595"/>
      <c r="VLL43" s="595"/>
      <c r="VLM43" s="595"/>
      <c r="VLN43" s="595"/>
      <c r="VLO43" s="595"/>
      <c r="VLP43" s="595"/>
      <c r="VLQ43" s="595"/>
      <c r="VLR43" s="595"/>
      <c r="VLS43" s="595"/>
      <c r="VLT43" s="595"/>
      <c r="VLU43" s="595"/>
      <c r="VLV43" s="595"/>
      <c r="VLW43" s="595"/>
      <c r="VLX43" s="595"/>
      <c r="VLY43" s="595"/>
      <c r="VLZ43" s="595"/>
      <c r="VMA43" s="595"/>
      <c r="VMB43" s="595"/>
      <c r="VMC43" s="595"/>
      <c r="VMD43" s="595"/>
      <c r="VME43" s="595"/>
      <c r="VMF43" s="595"/>
      <c r="VMG43" s="595"/>
      <c r="VMH43" s="595"/>
      <c r="VMI43" s="595"/>
      <c r="VMJ43" s="595"/>
      <c r="VMK43" s="595"/>
      <c r="VML43" s="595"/>
      <c r="VMM43" s="595"/>
      <c r="VMN43" s="595"/>
      <c r="VMO43" s="595"/>
      <c r="VMP43" s="595"/>
      <c r="VMQ43" s="595"/>
      <c r="VMR43" s="595"/>
      <c r="VMS43" s="595"/>
      <c r="VMT43" s="595"/>
      <c r="VMU43" s="595"/>
      <c r="VMV43" s="595"/>
      <c r="VMW43" s="595"/>
      <c r="VMX43" s="595"/>
      <c r="VMY43" s="595"/>
      <c r="VMZ43" s="595"/>
      <c r="VNA43" s="595"/>
      <c r="VNB43" s="595"/>
      <c r="VNC43" s="595"/>
      <c r="VND43" s="595"/>
      <c r="VNE43" s="595"/>
      <c r="VNF43" s="595"/>
      <c r="VNG43" s="595"/>
      <c r="VNH43" s="595"/>
      <c r="VNI43" s="595"/>
      <c r="VNJ43" s="595"/>
      <c r="VNK43" s="595"/>
      <c r="VNL43" s="595"/>
      <c r="VNM43" s="595"/>
      <c r="VNN43" s="595"/>
      <c r="VNO43" s="595"/>
      <c r="VNP43" s="595"/>
      <c r="VNQ43" s="595"/>
      <c r="VNR43" s="595"/>
      <c r="VNS43" s="595"/>
      <c r="VNT43" s="595"/>
      <c r="VNU43" s="595"/>
      <c r="VNV43" s="595"/>
      <c r="VNW43" s="595"/>
      <c r="VNX43" s="595"/>
      <c r="VNY43" s="595"/>
      <c r="VNZ43" s="595"/>
      <c r="VOA43" s="595"/>
      <c r="VOB43" s="595"/>
      <c r="VOC43" s="595"/>
      <c r="VOD43" s="595"/>
      <c r="VOE43" s="595"/>
      <c r="VOF43" s="595"/>
      <c r="VOG43" s="595"/>
      <c r="VOH43" s="595"/>
      <c r="VOI43" s="595"/>
      <c r="VOJ43" s="595"/>
      <c r="VOK43" s="595"/>
      <c r="VOL43" s="595"/>
      <c r="VOM43" s="595"/>
      <c r="VON43" s="595"/>
      <c r="VOO43" s="595"/>
      <c r="VOP43" s="595"/>
      <c r="VOQ43" s="595"/>
      <c r="VOR43" s="595"/>
      <c r="VOS43" s="595"/>
      <c r="VOT43" s="595"/>
      <c r="VOU43" s="595"/>
      <c r="VOV43" s="595"/>
      <c r="VOW43" s="595"/>
      <c r="VOX43" s="595"/>
      <c r="VOY43" s="595"/>
      <c r="VOZ43" s="595"/>
      <c r="VPA43" s="595"/>
      <c r="VPB43" s="595"/>
      <c r="VPC43" s="595"/>
      <c r="VPD43" s="595"/>
      <c r="VPE43" s="595"/>
      <c r="VPF43" s="595"/>
      <c r="VPG43" s="595"/>
      <c r="VPH43" s="595"/>
      <c r="VPI43" s="595"/>
      <c r="VPJ43" s="595"/>
      <c r="VPK43" s="595"/>
      <c r="VPL43" s="595"/>
      <c r="VPM43" s="595"/>
      <c r="VPN43" s="595"/>
      <c r="VPO43" s="595"/>
      <c r="VPP43" s="595"/>
      <c r="VPQ43" s="595"/>
      <c r="VPR43" s="595"/>
      <c r="VPS43" s="595"/>
      <c r="VPT43" s="595"/>
      <c r="VPU43" s="595"/>
      <c r="VPV43" s="595"/>
      <c r="VPW43" s="595"/>
      <c r="VPX43" s="595"/>
      <c r="VPY43" s="595"/>
      <c r="VPZ43" s="595"/>
      <c r="VQA43" s="595"/>
      <c r="VQB43" s="595"/>
      <c r="VQC43" s="595"/>
      <c r="VQD43" s="595"/>
      <c r="VQE43" s="595"/>
      <c r="VQF43" s="595"/>
      <c r="VQG43" s="595"/>
      <c r="VQH43" s="595"/>
      <c r="VQI43" s="595"/>
      <c r="VQJ43" s="595"/>
      <c r="VQK43" s="595"/>
      <c r="VQL43" s="595"/>
      <c r="VQM43" s="595"/>
      <c r="VQN43" s="595"/>
      <c r="VQO43" s="595"/>
      <c r="VQP43" s="595"/>
      <c r="VQQ43" s="595"/>
      <c r="VQR43" s="595"/>
      <c r="VQS43" s="595"/>
      <c r="VQT43" s="595"/>
      <c r="VQU43" s="595"/>
      <c r="VQV43" s="595"/>
      <c r="VQW43" s="595"/>
      <c r="VQX43" s="595"/>
      <c r="VQY43" s="595"/>
      <c r="VQZ43" s="595"/>
      <c r="VRA43" s="595"/>
      <c r="VRB43" s="595"/>
      <c r="VRC43" s="595"/>
      <c r="VRD43" s="595"/>
      <c r="VRE43" s="595"/>
      <c r="VRF43" s="595"/>
      <c r="VRG43" s="595"/>
      <c r="VRH43" s="595"/>
      <c r="VRI43" s="595"/>
      <c r="VRJ43" s="595"/>
      <c r="VRK43" s="595"/>
      <c r="VRL43" s="595"/>
      <c r="VRM43" s="595"/>
      <c r="VRN43" s="595"/>
      <c r="VRO43" s="595"/>
      <c r="VRP43" s="595"/>
      <c r="VRQ43" s="595"/>
      <c r="VRR43" s="595"/>
      <c r="VRS43" s="595"/>
      <c r="VRT43" s="595"/>
      <c r="VRU43" s="595"/>
      <c r="VRV43" s="595"/>
      <c r="VRW43" s="595"/>
      <c r="VRX43" s="595"/>
      <c r="VRY43" s="595"/>
      <c r="VRZ43" s="595"/>
      <c r="VSA43" s="595"/>
      <c r="VSB43" s="595"/>
      <c r="VSC43" s="595"/>
      <c r="VSD43" s="595"/>
      <c r="VSE43" s="595"/>
      <c r="VSF43" s="595"/>
      <c r="VSG43" s="595"/>
      <c r="VSH43" s="595"/>
      <c r="VSI43" s="595"/>
      <c r="VSJ43" s="595"/>
      <c r="VSK43" s="595"/>
      <c r="VSL43" s="595"/>
      <c r="VSM43" s="595"/>
      <c r="VSN43" s="595"/>
      <c r="VSO43" s="595"/>
      <c r="VSP43" s="595"/>
      <c r="VSQ43" s="595"/>
      <c r="VSR43" s="595"/>
      <c r="VSS43" s="595"/>
      <c r="VST43" s="595"/>
      <c r="VSU43" s="595"/>
      <c r="VSV43" s="595"/>
      <c r="VSW43" s="595"/>
      <c r="VSX43" s="595"/>
      <c r="VSY43" s="595"/>
      <c r="VSZ43" s="595"/>
      <c r="VTA43" s="595"/>
      <c r="VTB43" s="595"/>
      <c r="VTC43" s="595"/>
      <c r="VTD43" s="595"/>
      <c r="VTE43" s="595"/>
      <c r="VTF43" s="595"/>
      <c r="VTG43" s="595"/>
      <c r="VTH43" s="595"/>
      <c r="VTI43" s="595"/>
      <c r="VTJ43" s="595"/>
      <c r="VTK43" s="595"/>
      <c r="VTL43" s="595"/>
      <c r="VTM43" s="595"/>
      <c r="VTN43" s="595"/>
      <c r="VTO43" s="595"/>
      <c r="VTP43" s="595"/>
      <c r="VTQ43" s="595"/>
      <c r="VTR43" s="595"/>
      <c r="VTS43" s="595"/>
      <c r="VTT43" s="595"/>
      <c r="VTU43" s="595"/>
      <c r="VTV43" s="595"/>
      <c r="VTW43" s="595"/>
      <c r="VTX43" s="595"/>
      <c r="VTY43" s="595"/>
      <c r="VTZ43" s="595"/>
      <c r="VUA43" s="595"/>
      <c r="VUB43" s="595"/>
      <c r="VUC43" s="595"/>
      <c r="VUD43" s="595"/>
      <c r="VUE43" s="595"/>
      <c r="VUF43" s="595"/>
      <c r="VUG43" s="595"/>
      <c r="VUH43" s="595"/>
      <c r="VUI43" s="595"/>
      <c r="VUJ43" s="595"/>
      <c r="VUK43" s="595"/>
      <c r="VUL43" s="595"/>
      <c r="VUM43" s="595"/>
      <c r="VUN43" s="595"/>
      <c r="VUO43" s="595"/>
      <c r="VUP43" s="595"/>
      <c r="VUQ43" s="595"/>
      <c r="VUR43" s="595"/>
      <c r="VUS43" s="595"/>
      <c r="VUT43" s="595"/>
      <c r="VUU43" s="595"/>
      <c r="VUV43" s="595"/>
      <c r="VUW43" s="595"/>
      <c r="VUX43" s="595"/>
      <c r="VUY43" s="595"/>
      <c r="VUZ43" s="595"/>
      <c r="VVA43" s="595"/>
      <c r="VVB43" s="595"/>
      <c r="VVC43" s="595"/>
      <c r="VVD43" s="595"/>
      <c r="VVE43" s="595"/>
      <c r="VVF43" s="595"/>
      <c r="VVG43" s="595"/>
      <c r="VVH43" s="595"/>
      <c r="VVI43" s="595"/>
      <c r="VVJ43" s="595"/>
      <c r="VVK43" s="595"/>
      <c r="VVL43" s="595"/>
      <c r="VVM43" s="595"/>
      <c r="VVN43" s="595"/>
      <c r="VVO43" s="595"/>
      <c r="VVP43" s="595"/>
      <c r="VVQ43" s="595"/>
      <c r="VVR43" s="595"/>
      <c r="VVS43" s="595"/>
      <c r="VVT43" s="595"/>
      <c r="VVU43" s="595"/>
      <c r="VVV43" s="595"/>
      <c r="VVW43" s="595"/>
      <c r="VVX43" s="595"/>
      <c r="VVY43" s="595"/>
      <c r="VVZ43" s="595"/>
      <c r="VWA43" s="595"/>
      <c r="VWB43" s="595"/>
      <c r="VWC43" s="595"/>
      <c r="VWD43" s="595"/>
      <c r="VWE43" s="595"/>
      <c r="VWF43" s="595"/>
      <c r="VWG43" s="595"/>
      <c r="VWH43" s="595"/>
      <c r="VWI43" s="595"/>
      <c r="VWJ43" s="595"/>
      <c r="VWK43" s="595"/>
      <c r="VWL43" s="595"/>
      <c r="VWM43" s="595"/>
      <c r="VWN43" s="595"/>
      <c r="VWO43" s="595"/>
      <c r="VWP43" s="595"/>
      <c r="VWQ43" s="595"/>
      <c r="VWR43" s="595"/>
      <c r="VWS43" s="595"/>
      <c r="VWT43" s="595"/>
      <c r="VWU43" s="595"/>
      <c r="VWV43" s="595"/>
      <c r="VWW43" s="595"/>
      <c r="VWX43" s="595"/>
      <c r="VWY43" s="595"/>
      <c r="VWZ43" s="595"/>
      <c r="VXA43" s="595"/>
      <c r="VXB43" s="595"/>
      <c r="VXC43" s="595"/>
      <c r="VXD43" s="595"/>
      <c r="VXE43" s="595"/>
      <c r="VXF43" s="595"/>
      <c r="VXG43" s="595"/>
      <c r="VXH43" s="595"/>
      <c r="VXI43" s="595"/>
      <c r="VXJ43" s="595"/>
      <c r="VXK43" s="595"/>
      <c r="VXL43" s="595"/>
      <c r="VXM43" s="595"/>
      <c r="VXN43" s="595"/>
      <c r="VXO43" s="595"/>
      <c r="VXP43" s="595"/>
      <c r="VXQ43" s="595"/>
      <c r="VXR43" s="595"/>
      <c r="VXS43" s="595"/>
      <c r="VXT43" s="595"/>
      <c r="VXU43" s="595"/>
      <c r="VXV43" s="595"/>
      <c r="VXW43" s="595"/>
      <c r="VXX43" s="595"/>
      <c r="VXY43" s="595"/>
      <c r="VXZ43" s="595"/>
      <c r="VYA43" s="595"/>
      <c r="VYB43" s="595"/>
      <c r="VYC43" s="595"/>
      <c r="VYD43" s="595"/>
      <c r="VYE43" s="595"/>
      <c r="VYF43" s="595"/>
      <c r="VYG43" s="595"/>
      <c r="VYH43" s="595"/>
      <c r="VYI43" s="595"/>
      <c r="VYJ43" s="595"/>
      <c r="VYK43" s="595"/>
      <c r="VYL43" s="595"/>
      <c r="VYM43" s="595"/>
      <c r="VYN43" s="595"/>
      <c r="VYO43" s="595"/>
      <c r="VYP43" s="595"/>
      <c r="VYQ43" s="595"/>
      <c r="VYR43" s="595"/>
      <c r="VYS43" s="595"/>
      <c r="VYT43" s="595"/>
      <c r="VYU43" s="595"/>
      <c r="VYV43" s="595"/>
      <c r="VYW43" s="595"/>
      <c r="VYX43" s="595"/>
      <c r="VYY43" s="595"/>
      <c r="VYZ43" s="595"/>
      <c r="VZA43" s="595"/>
      <c r="VZB43" s="595"/>
      <c r="VZC43" s="595"/>
      <c r="VZD43" s="595"/>
      <c r="VZE43" s="595"/>
      <c r="VZF43" s="595"/>
      <c r="VZG43" s="595"/>
      <c r="VZH43" s="595"/>
      <c r="VZI43" s="595"/>
      <c r="VZJ43" s="595"/>
      <c r="VZK43" s="595"/>
      <c r="VZL43" s="595"/>
      <c r="VZM43" s="595"/>
      <c r="VZN43" s="595"/>
      <c r="VZO43" s="595"/>
      <c r="VZP43" s="595"/>
      <c r="VZQ43" s="595"/>
      <c r="VZR43" s="595"/>
      <c r="VZS43" s="595"/>
      <c r="VZT43" s="595"/>
      <c r="VZU43" s="595"/>
      <c r="VZV43" s="595"/>
      <c r="VZW43" s="595"/>
      <c r="VZX43" s="595"/>
      <c r="VZY43" s="595"/>
      <c r="VZZ43" s="595"/>
      <c r="WAA43" s="595"/>
      <c r="WAB43" s="595"/>
      <c r="WAC43" s="595"/>
      <c r="WAD43" s="595"/>
      <c r="WAE43" s="595"/>
      <c r="WAF43" s="595"/>
      <c r="WAG43" s="595"/>
      <c r="WAH43" s="595"/>
      <c r="WAI43" s="595"/>
      <c r="WAJ43" s="595"/>
      <c r="WAK43" s="595"/>
      <c r="WAL43" s="595"/>
      <c r="WAM43" s="595"/>
      <c r="WAN43" s="595"/>
      <c r="WAO43" s="595"/>
      <c r="WAP43" s="595"/>
      <c r="WAQ43" s="595"/>
      <c r="WAR43" s="595"/>
      <c r="WAS43" s="595"/>
      <c r="WAT43" s="595"/>
      <c r="WAU43" s="595"/>
      <c r="WAV43" s="595"/>
      <c r="WAW43" s="595"/>
      <c r="WAX43" s="595"/>
      <c r="WAY43" s="595"/>
      <c r="WAZ43" s="595"/>
      <c r="WBA43" s="595"/>
      <c r="WBB43" s="595"/>
      <c r="WBC43" s="595"/>
      <c r="WBD43" s="595"/>
      <c r="WBE43" s="595"/>
      <c r="WBF43" s="595"/>
      <c r="WBG43" s="595"/>
      <c r="WBH43" s="595"/>
      <c r="WBI43" s="595"/>
      <c r="WBJ43" s="595"/>
      <c r="WBK43" s="595"/>
      <c r="WBL43" s="595"/>
      <c r="WBM43" s="595"/>
      <c r="WBN43" s="595"/>
      <c r="WBO43" s="595"/>
      <c r="WBP43" s="595"/>
      <c r="WBQ43" s="595"/>
      <c r="WBR43" s="595"/>
      <c r="WBS43" s="595"/>
      <c r="WBT43" s="595"/>
      <c r="WBU43" s="595"/>
      <c r="WBV43" s="595"/>
      <c r="WBW43" s="595"/>
      <c r="WBX43" s="595"/>
      <c r="WBY43" s="595"/>
      <c r="WBZ43" s="595"/>
      <c r="WCA43" s="595"/>
      <c r="WCB43" s="595"/>
      <c r="WCC43" s="595"/>
      <c r="WCD43" s="595"/>
      <c r="WCE43" s="595"/>
      <c r="WCF43" s="595"/>
      <c r="WCG43" s="595"/>
      <c r="WCH43" s="595"/>
      <c r="WCI43" s="595"/>
      <c r="WCJ43" s="595"/>
      <c r="WCK43" s="595"/>
      <c r="WCL43" s="595"/>
      <c r="WCM43" s="595"/>
      <c r="WCN43" s="595"/>
      <c r="WCO43" s="595"/>
      <c r="WCP43" s="595"/>
      <c r="WCQ43" s="595"/>
      <c r="WCR43" s="595"/>
      <c r="WCS43" s="595"/>
      <c r="WCT43" s="595"/>
      <c r="WCU43" s="595"/>
      <c r="WCV43" s="595"/>
      <c r="WCW43" s="595"/>
      <c r="WCX43" s="595"/>
      <c r="WCY43" s="595"/>
      <c r="WCZ43" s="595"/>
      <c r="WDA43" s="595"/>
      <c r="WDB43" s="595"/>
      <c r="WDC43" s="595"/>
      <c r="WDD43" s="595"/>
      <c r="WDE43" s="595"/>
      <c r="WDF43" s="595"/>
      <c r="WDG43" s="595"/>
      <c r="WDH43" s="595"/>
      <c r="WDI43" s="595"/>
      <c r="WDJ43" s="595"/>
      <c r="WDK43" s="595"/>
      <c r="WDL43" s="595"/>
      <c r="WDM43" s="595"/>
      <c r="WDN43" s="595"/>
      <c r="WDO43" s="595"/>
      <c r="WDP43" s="595"/>
      <c r="WDQ43" s="595"/>
      <c r="WDR43" s="595"/>
      <c r="WDS43" s="595"/>
      <c r="WDT43" s="595"/>
      <c r="WDU43" s="595"/>
      <c r="WDV43" s="595"/>
      <c r="WDW43" s="595"/>
      <c r="WDX43" s="595"/>
      <c r="WDY43" s="595"/>
      <c r="WDZ43" s="595"/>
      <c r="WEA43" s="595"/>
      <c r="WEB43" s="595"/>
      <c r="WEC43" s="595"/>
      <c r="WED43" s="595"/>
      <c r="WEE43" s="595"/>
      <c r="WEF43" s="595"/>
      <c r="WEG43" s="595"/>
      <c r="WEH43" s="595"/>
      <c r="WEI43" s="595"/>
      <c r="WEJ43" s="595"/>
      <c r="WEK43" s="595"/>
      <c r="WEL43" s="595"/>
      <c r="WEM43" s="595"/>
      <c r="WEN43" s="595"/>
      <c r="WEO43" s="595"/>
      <c r="WEP43" s="595"/>
      <c r="WEQ43" s="595"/>
      <c r="WER43" s="595"/>
      <c r="WES43" s="595"/>
      <c r="WET43" s="595"/>
      <c r="WEU43" s="595"/>
      <c r="WEV43" s="595"/>
      <c r="WEW43" s="595"/>
      <c r="WEX43" s="595"/>
      <c r="WEY43" s="595"/>
      <c r="WEZ43" s="595"/>
      <c r="WFA43" s="595"/>
      <c r="WFB43" s="595"/>
      <c r="WFC43" s="595"/>
      <c r="WFD43" s="595"/>
      <c r="WFE43" s="595"/>
      <c r="WFF43" s="595"/>
      <c r="WFG43" s="595"/>
      <c r="WFH43" s="595"/>
      <c r="WFI43" s="595"/>
      <c r="WFJ43" s="595"/>
      <c r="WFK43" s="595"/>
      <c r="WFL43" s="595"/>
      <c r="WFM43" s="595"/>
      <c r="WFN43" s="595"/>
      <c r="WFO43" s="595"/>
      <c r="WFP43" s="595"/>
      <c r="WFQ43" s="595"/>
      <c r="WFR43" s="595"/>
      <c r="WFS43" s="595"/>
      <c r="WFT43" s="595"/>
      <c r="WFU43" s="595"/>
      <c r="WFV43" s="595"/>
      <c r="WFW43" s="595"/>
      <c r="WFX43" s="595"/>
      <c r="WFY43" s="595"/>
      <c r="WFZ43" s="595"/>
      <c r="WGA43" s="595"/>
      <c r="WGB43" s="595"/>
      <c r="WGC43" s="595"/>
      <c r="WGD43" s="595"/>
      <c r="WGE43" s="595"/>
      <c r="WGF43" s="595"/>
      <c r="WGG43" s="595"/>
      <c r="WGH43" s="595"/>
      <c r="WGI43" s="595"/>
      <c r="WGJ43" s="595"/>
      <c r="WGK43" s="595"/>
      <c r="WGL43" s="595"/>
      <c r="WGM43" s="595"/>
      <c r="WGN43" s="595"/>
      <c r="WGO43" s="595"/>
      <c r="WGP43" s="595"/>
      <c r="WGQ43" s="595"/>
      <c r="WGR43" s="595"/>
      <c r="WGS43" s="595"/>
      <c r="WGT43" s="595"/>
      <c r="WGU43" s="595"/>
      <c r="WGV43" s="595"/>
      <c r="WGW43" s="595"/>
      <c r="WGX43" s="595"/>
      <c r="WGY43" s="595"/>
      <c r="WGZ43" s="595"/>
      <c r="WHA43" s="595"/>
      <c r="WHB43" s="595"/>
      <c r="WHC43" s="595"/>
      <c r="WHD43" s="595"/>
      <c r="WHE43" s="595"/>
      <c r="WHF43" s="595"/>
      <c r="WHG43" s="595"/>
      <c r="WHH43" s="595"/>
      <c r="WHI43" s="595"/>
      <c r="WHJ43" s="595"/>
      <c r="WHK43" s="595"/>
      <c r="WHL43" s="595"/>
      <c r="WHM43" s="595"/>
      <c r="WHN43" s="595"/>
      <c r="WHO43" s="595"/>
      <c r="WHP43" s="595"/>
      <c r="WHQ43" s="595"/>
      <c r="WHR43" s="595"/>
      <c r="WHS43" s="595"/>
      <c r="WHT43" s="595"/>
      <c r="WHU43" s="595"/>
      <c r="WHV43" s="595"/>
      <c r="WHW43" s="595"/>
      <c r="WHX43" s="595"/>
      <c r="WHY43" s="595"/>
      <c r="WHZ43" s="595"/>
      <c r="WIA43" s="595"/>
      <c r="WIB43" s="595"/>
      <c r="WIC43" s="595"/>
      <c r="WID43" s="595"/>
      <c r="WIE43" s="595"/>
      <c r="WIF43" s="595"/>
      <c r="WIG43" s="595"/>
      <c r="WIH43" s="595"/>
      <c r="WII43" s="595"/>
      <c r="WIJ43" s="595"/>
      <c r="WIK43" s="595"/>
      <c r="WIL43" s="595"/>
      <c r="WIM43" s="595"/>
      <c r="WIN43" s="595"/>
      <c r="WIO43" s="595"/>
      <c r="WIP43" s="595"/>
      <c r="WIQ43" s="595"/>
      <c r="WIR43" s="595"/>
      <c r="WIS43" s="595"/>
      <c r="WIT43" s="595"/>
      <c r="WIU43" s="595"/>
      <c r="WIV43" s="595"/>
      <c r="WIW43" s="595"/>
      <c r="WIX43" s="595"/>
      <c r="WIY43" s="595"/>
      <c r="WIZ43" s="595"/>
      <c r="WJA43" s="595"/>
      <c r="WJB43" s="595"/>
      <c r="WJC43" s="595"/>
      <c r="WJD43" s="595"/>
      <c r="WJE43" s="595"/>
      <c r="WJF43" s="595"/>
      <c r="WJG43" s="595"/>
      <c r="WJH43" s="595"/>
      <c r="WJI43" s="595"/>
      <c r="WJJ43" s="595"/>
      <c r="WJK43" s="595"/>
      <c r="WJL43" s="595"/>
      <c r="WJM43" s="595"/>
      <c r="WJN43" s="595"/>
      <c r="WJO43" s="595"/>
      <c r="WJP43" s="595"/>
      <c r="WJQ43" s="595"/>
      <c r="WJR43" s="595"/>
      <c r="WJS43" s="595"/>
      <c r="WJT43" s="595"/>
      <c r="WJU43" s="595"/>
      <c r="WJV43" s="595"/>
      <c r="WJW43" s="595"/>
      <c r="WJX43" s="595"/>
      <c r="WJY43" s="595"/>
      <c r="WJZ43" s="595"/>
      <c r="WKA43" s="595"/>
      <c r="WKB43" s="595"/>
      <c r="WKC43" s="595"/>
      <c r="WKD43" s="595"/>
      <c r="WKE43" s="595"/>
      <c r="WKF43" s="595"/>
      <c r="WKG43" s="595"/>
      <c r="WKH43" s="595"/>
      <c r="WKI43" s="595"/>
      <c r="WKJ43" s="595"/>
      <c r="WKK43" s="595"/>
      <c r="WKL43" s="595"/>
      <c r="WKM43" s="595"/>
      <c r="WKN43" s="595"/>
      <c r="WKO43" s="595"/>
      <c r="WKP43" s="595"/>
      <c r="WKQ43" s="595"/>
      <c r="WKR43" s="595"/>
      <c r="WKS43" s="595"/>
      <c r="WKT43" s="595"/>
      <c r="WKU43" s="595"/>
      <c r="WKV43" s="595"/>
      <c r="WKW43" s="595"/>
      <c r="WKX43" s="595"/>
      <c r="WKY43" s="595"/>
      <c r="WKZ43" s="595"/>
      <c r="WLA43" s="595"/>
      <c r="WLB43" s="595"/>
      <c r="WLC43" s="595"/>
      <c r="WLD43" s="595"/>
      <c r="WLE43" s="595"/>
      <c r="WLF43" s="595"/>
      <c r="WLG43" s="595"/>
      <c r="WLH43" s="595"/>
      <c r="WLI43" s="595"/>
      <c r="WLJ43" s="595"/>
      <c r="WLK43" s="595"/>
      <c r="WLL43" s="595"/>
      <c r="WLM43" s="595"/>
      <c r="WLN43" s="595"/>
      <c r="WLO43" s="595"/>
      <c r="WLP43" s="595"/>
      <c r="WLQ43" s="595"/>
      <c r="WLR43" s="595"/>
      <c r="WLS43" s="595"/>
      <c r="WLT43" s="595"/>
      <c r="WLU43" s="595"/>
      <c r="WLV43" s="595"/>
      <c r="WLW43" s="595"/>
      <c r="WLX43" s="595"/>
      <c r="WLY43" s="595"/>
      <c r="WLZ43" s="595"/>
      <c r="WMA43" s="595"/>
      <c r="WMB43" s="595"/>
      <c r="WMC43" s="595"/>
      <c r="WMD43" s="595"/>
      <c r="WME43" s="595"/>
      <c r="WMF43" s="595"/>
      <c r="WMG43" s="595"/>
      <c r="WMH43" s="595"/>
      <c r="WMI43" s="595"/>
      <c r="WMJ43" s="595"/>
      <c r="WMK43" s="595"/>
      <c r="WML43" s="595"/>
      <c r="WMM43" s="595"/>
      <c r="WMN43" s="595"/>
      <c r="WMO43" s="595"/>
      <c r="WMP43" s="595"/>
      <c r="WMQ43" s="595"/>
      <c r="WMR43" s="595"/>
      <c r="WMS43" s="595"/>
      <c r="WMT43" s="595"/>
      <c r="WMU43" s="595"/>
      <c r="WMV43" s="595"/>
      <c r="WMW43" s="595"/>
      <c r="WMX43" s="595"/>
      <c r="WMY43" s="595"/>
      <c r="WMZ43" s="595"/>
      <c r="WNA43" s="595"/>
      <c r="WNB43" s="595"/>
      <c r="WNC43" s="595"/>
      <c r="WND43" s="595"/>
      <c r="WNE43" s="595"/>
      <c r="WNF43" s="595"/>
      <c r="WNG43" s="595"/>
      <c r="WNH43" s="595"/>
      <c r="WNI43" s="595"/>
      <c r="WNJ43" s="595"/>
      <c r="WNK43" s="595"/>
      <c r="WNL43" s="595"/>
      <c r="WNM43" s="595"/>
      <c r="WNN43" s="595"/>
      <c r="WNO43" s="595"/>
      <c r="WNP43" s="595"/>
      <c r="WNQ43" s="595"/>
      <c r="WNR43" s="595"/>
      <c r="WNS43" s="595"/>
      <c r="WNT43" s="595"/>
      <c r="WNU43" s="595"/>
      <c r="WNV43" s="595"/>
      <c r="WNW43" s="595"/>
      <c r="WNX43" s="595"/>
      <c r="WNY43" s="595"/>
      <c r="WNZ43" s="595"/>
      <c r="WOA43" s="595"/>
      <c r="WOB43" s="595"/>
      <c r="WOC43" s="595"/>
      <c r="WOD43" s="595"/>
      <c r="WOE43" s="595"/>
      <c r="WOF43" s="595"/>
      <c r="WOG43" s="595"/>
      <c r="WOH43" s="595"/>
      <c r="WOI43" s="595"/>
      <c r="WOJ43" s="595"/>
      <c r="WOK43" s="595"/>
      <c r="WOL43" s="595"/>
      <c r="WOM43" s="595"/>
      <c r="WON43" s="595"/>
      <c r="WOO43" s="595"/>
      <c r="WOP43" s="595"/>
      <c r="WOQ43" s="595"/>
      <c r="WOR43" s="595"/>
      <c r="WOS43" s="595"/>
      <c r="WOT43" s="595"/>
      <c r="WOU43" s="595"/>
      <c r="WOV43" s="595"/>
      <c r="WOW43" s="595"/>
      <c r="WOX43" s="595"/>
      <c r="WOY43" s="595"/>
      <c r="WOZ43" s="595"/>
      <c r="WPA43" s="595"/>
      <c r="WPB43" s="595"/>
      <c r="WPC43" s="595"/>
      <c r="WPD43" s="595"/>
      <c r="WPE43" s="595"/>
      <c r="WPF43" s="595"/>
      <c r="WPG43" s="595"/>
      <c r="WPH43" s="595"/>
      <c r="WPI43" s="595"/>
      <c r="WPJ43" s="595"/>
      <c r="WPK43" s="595"/>
      <c r="WPL43" s="595"/>
      <c r="WPM43" s="595"/>
      <c r="WPN43" s="595"/>
      <c r="WPO43" s="595"/>
      <c r="WPP43" s="595"/>
      <c r="WPQ43" s="595"/>
      <c r="WPR43" s="595"/>
      <c r="WPS43" s="595"/>
      <c r="WPT43" s="595"/>
      <c r="WPU43" s="595"/>
      <c r="WPV43" s="595"/>
      <c r="WPW43" s="595"/>
      <c r="WPX43" s="595"/>
      <c r="WPY43" s="595"/>
      <c r="WPZ43" s="595"/>
      <c r="WQA43" s="595"/>
      <c r="WQB43" s="595"/>
      <c r="WQC43" s="595"/>
      <c r="WQD43" s="595"/>
      <c r="WQE43" s="595"/>
      <c r="WQF43" s="595"/>
      <c r="WQG43" s="595"/>
      <c r="WQH43" s="595"/>
      <c r="WQI43" s="595"/>
      <c r="WQJ43" s="595"/>
      <c r="WQK43" s="595"/>
      <c r="WQL43" s="595"/>
      <c r="WQM43" s="595"/>
      <c r="WQN43" s="595"/>
      <c r="WQO43" s="595"/>
      <c r="WQP43" s="595"/>
      <c r="WQQ43" s="595"/>
      <c r="WQR43" s="595"/>
      <c r="WQS43" s="595"/>
      <c r="WQT43" s="595"/>
      <c r="WQU43" s="595"/>
      <c r="WQV43" s="595"/>
      <c r="WQW43" s="595"/>
      <c r="WQX43" s="595"/>
      <c r="WQY43" s="595"/>
      <c r="WQZ43" s="595"/>
      <c r="WRA43" s="595"/>
      <c r="WRB43" s="595"/>
      <c r="WRC43" s="595"/>
      <c r="WRD43" s="595"/>
      <c r="WRE43" s="595"/>
      <c r="WRF43" s="595"/>
      <c r="WRG43" s="595"/>
      <c r="WRH43" s="595"/>
      <c r="WRI43" s="595"/>
      <c r="WRJ43" s="595"/>
      <c r="WRK43" s="595"/>
      <c r="WRL43" s="595"/>
      <c r="WRM43" s="595"/>
      <c r="WRN43" s="595"/>
      <c r="WRO43" s="595"/>
      <c r="WRP43" s="595"/>
      <c r="WRQ43" s="595"/>
      <c r="WRR43" s="595"/>
      <c r="WRS43" s="595"/>
      <c r="WRT43" s="595"/>
      <c r="WRU43" s="595"/>
      <c r="WRV43" s="595"/>
      <c r="WRW43" s="595"/>
      <c r="WRX43" s="595"/>
      <c r="WRY43" s="595"/>
      <c r="WRZ43" s="595"/>
      <c r="WSA43" s="595"/>
      <c r="WSB43" s="595"/>
      <c r="WSC43" s="595"/>
      <c r="WSD43" s="595"/>
      <c r="WSE43" s="595"/>
      <c r="WSF43" s="595"/>
      <c r="WSG43" s="595"/>
      <c r="WSH43" s="595"/>
      <c r="WSI43" s="595"/>
      <c r="WSJ43" s="595"/>
      <c r="WSK43" s="595"/>
      <c r="WSL43" s="595"/>
      <c r="WSM43" s="595"/>
      <c r="WSN43" s="595"/>
      <c r="WSO43" s="595"/>
      <c r="WSP43" s="595"/>
      <c r="WSQ43" s="595"/>
      <c r="WSR43" s="595"/>
      <c r="WSS43" s="595"/>
      <c r="WST43" s="595"/>
      <c r="WSU43" s="595"/>
      <c r="WSV43" s="595"/>
      <c r="WSW43" s="595"/>
      <c r="WSX43" s="595"/>
      <c r="WSY43" s="595"/>
      <c r="WSZ43" s="595"/>
      <c r="WTA43" s="595"/>
      <c r="WTB43" s="595"/>
      <c r="WTC43" s="595"/>
      <c r="WTD43" s="595"/>
      <c r="WTE43" s="595"/>
      <c r="WTF43" s="595"/>
      <c r="WTG43" s="595"/>
      <c r="WTH43" s="595"/>
      <c r="WTI43" s="595"/>
      <c r="WTJ43" s="595"/>
      <c r="WTK43" s="595"/>
      <c r="WTL43" s="595"/>
      <c r="WTM43" s="595"/>
      <c r="WTN43" s="595"/>
      <c r="WTO43" s="595"/>
      <c r="WTP43" s="595"/>
      <c r="WTQ43" s="595"/>
      <c r="WTR43" s="595"/>
      <c r="WTS43" s="595"/>
      <c r="WTT43" s="595"/>
      <c r="WTU43" s="595"/>
      <c r="WTV43" s="595"/>
      <c r="WTW43" s="595"/>
      <c r="WTX43" s="595"/>
      <c r="WTY43" s="595"/>
      <c r="WTZ43" s="595"/>
      <c r="WUA43" s="595"/>
      <c r="WUB43" s="595"/>
      <c r="WUC43" s="595"/>
      <c r="WUD43" s="595"/>
      <c r="WUE43" s="595"/>
      <c r="WUF43" s="595"/>
      <c r="WUG43" s="595"/>
      <c r="WUH43" s="595"/>
      <c r="WUI43" s="595"/>
      <c r="WUJ43" s="595"/>
      <c r="WUK43" s="595"/>
      <c r="WUL43" s="595"/>
      <c r="WUM43" s="595"/>
      <c r="WUN43" s="595"/>
      <c r="WUO43" s="595"/>
      <c r="WUP43" s="595"/>
      <c r="WUQ43" s="595"/>
      <c r="WUR43" s="595"/>
      <c r="WUS43" s="595"/>
      <c r="WUT43" s="595"/>
      <c r="WUU43" s="595"/>
      <c r="WUV43" s="595"/>
      <c r="WUW43" s="595"/>
      <c r="WUX43" s="595"/>
      <c r="WUY43" s="595"/>
      <c r="WUZ43" s="595"/>
      <c r="WVA43" s="595"/>
      <c r="WVB43" s="595"/>
      <c r="WVC43" s="595"/>
      <c r="WVD43" s="595"/>
      <c r="WVE43" s="595"/>
      <c r="WVF43" s="595"/>
      <c r="WVG43" s="595"/>
      <c r="WVH43" s="595"/>
      <c r="WVI43" s="595"/>
      <c r="WVJ43" s="595"/>
      <c r="WVK43" s="595"/>
      <c r="WVL43" s="595"/>
      <c r="WVM43" s="595"/>
      <c r="WVN43" s="595"/>
      <c r="WVO43" s="595"/>
      <c r="WVP43" s="595"/>
      <c r="WVQ43" s="595"/>
    </row>
    <row r="45" spans="1:16137" s="601" customFormat="1">
      <c r="A45" s="963" t="s">
        <v>1490</v>
      </c>
      <c r="B45" s="595"/>
      <c r="C45" s="595"/>
      <c r="D45" s="595"/>
      <c r="E45" s="595"/>
      <c r="F45" s="954"/>
      <c r="G45" s="954"/>
      <c r="H45" s="595"/>
      <c r="I45" s="595"/>
      <c r="J45" s="595"/>
      <c r="CF45" s="595"/>
      <c r="CG45" s="595"/>
      <c r="CH45" s="595"/>
      <c r="CI45" s="595"/>
      <c r="CJ45" s="595"/>
      <c r="CK45" s="595"/>
      <c r="CL45" s="595"/>
      <c r="CM45" s="595"/>
      <c r="CN45" s="595"/>
      <c r="CO45" s="595"/>
      <c r="CP45" s="595"/>
      <c r="CQ45" s="595"/>
      <c r="CR45" s="595"/>
      <c r="CS45" s="595"/>
      <c r="CT45" s="595"/>
      <c r="CU45" s="595"/>
      <c r="CV45" s="595"/>
      <c r="CW45" s="595"/>
      <c r="CX45" s="595"/>
      <c r="CY45" s="595"/>
      <c r="CZ45" s="595"/>
      <c r="DA45" s="595"/>
      <c r="DB45" s="595"/>
      <c r="DC45" s="595"/>
      <c r="DD45" s="595"/>
      <c r="DE45" s="595"/>
      <c r="DF45" s="595"/>
      <c r="DG45" s="595"/>
      <c r="DH45" s="595"/>
      <c r="DI45" s="595"/>
      <c r="DJ45" s="595"/>
      <c r="DK45" s="595"/>
      <c r="DL45" s="595"/>
      <c r="DM45" s="595"/>
      <c r="DN45" s="595"/>
      <c r="DO45" s="595"/>
      <c r="DP45" s="595"/>
      <c r="DQ45" s="595"/>
      <c r="DR45" s="595"/>
      <c r="DS45" s="595"/>
      <c r="DT45" s="595"/>
      <c r="DU45" s="595"/>
      <c r="DV45" s="595"/>
      <c r="DW45" s="595"/>
      <c r="DX45" s="595"/>
      <c r="DY45" s="595"/>
      <c r="DZ45" s="595"/>
      <c r="EA45" s="595"/>
      <c r="EB45" s="595"/>
      <c r="EC45" s="595"/>
      <c r="ED45" s="595"/>
      <c r="EE45" s="595"/>
      <c r="EF45" s="595"/>
      <c r="EG45" s="595"/>
      <c r="EH45" s="595"/>
      <c r="EI45" s="595"/>
      <c r="EJ45" s="595"/>
      <c r="EK45" s="595"/>
      <c r="EL45" s="595"/>
      <c r="EM45" s="595"/>
      <c r="EN45" s="595"/>
      <c r="EO45" s="595"/>
      <c r="EP45" s="595"/>
      <c r="EQ45" s="595"/>
      <c r="ER45" s="595"/>
      <c r="ES45" s="595"/>
      <c r="ET45" s="595"/>
      <c r="EU45" s="595"/>
      <c r="EV45" s="595"/>
      <c r="EW45" s="595"/>
      <c r="EX45" s="595"/>
      <c r="EY45" s="595"/>
      <c r="EZ45" s="595"/>
      <c r="FA45" s="595"/>
      <c r="FB45" s="595"/>
      <c r="FC45" s="595"/>
      <c r="FD45" s="595"/>
      <c r="FE45" s="595"/>
      <c r="FF45" s="595"/>
      <c r="FG45" s="595"/>
      <c r="FH45" s="595"/>
      <c r="FI45" s="595"/>
      <c r="FJ45" s="595"/>
      <c r="FK45" s="595"/>
      <c r="FL45" s="595"/>
      <c r="FM45" s="595"/>
      <c r="FN45" s="595"/>
      <c r="FO45" s="595"/>
      <c r="FP45" s="595"/>
      <c r="FQ45" s="595"/>
      <c r="FR45" s="595"/>
      <c r="FS45" s="595"/>
      <c r="FT45" s="595"/>
      <c r="FU45" s="595"/>
      <c r="FV45" s="595"/>
      <c r="FW45" s="595"/>
      <c r="FX45" s="595"/>
      <c r="FY45" s="595"/>
      <c r="FZ45" s="595"/>
      <c r="GA45" s="595"/>
      <c r="GB45" s="595"/>
      <c r="GC45" s="595"/>
      <c r="GD45" s="595"/>
      <c r="GE45" s="595"/>
      <c r="GF45" s="595"/>
      <c r="GG45" s="595"/>
      <c r="GH45" s="595"/>
      <c r="GI45" s="595"/>
      <c r="GJ45" s="595"/>
      <c r="GK45" s="595"/>
      <c r="GL45" s="595"/>
      <c r="GM45" s="595"/>
      <c r="GN45" s="595"/>
      <c r="GO45" s="595"/>
      <c r="GP45" s="595"/>
      <c r="GQ45" s="595"/>
      <c r="GR45" s="595"/>
      <c r="GS45" s="595"/>
      <c r="GT45" s="595"/>
      <c r="GU45" s="595"/>
      <c r="GV45" s="595"/>
      <c r="GW45" s="595"/>
      <c r="GX45" s="595"/>
      <c r="GY45" s="595"/>
      <c r="GZ45" s="595"/>
      <c r="HA45" s="595"/>
      <c r="HB45" s="595"/>
      <c r="HC45" s="595"/>
      <c r="HD45" s="595"/>
      <c r="HE45" s="595"/>
      <c r="HF45" s="595"/>
      <c r="HG45" s="595"/>
      <c r="HH45" s="595"/>
      <c r="HI45" s="595"/>
      <c r="HJ45" s="595"/>
      <c r="HK45" s="595"/>
      <c r="HL45" s="595"/>
      <c r="HM45" s="595"/>
      <c r="HN45" s="595"/>
      <c r="HO45" s="595"/>
      <c r="HP45" s="595"/>
      <c r="HQ45" s="595"/>
      <c r="HR45" s="595"/>
      <c r="HS45" s="595"/>
      <c r="HT45" s="595"/>
      <c r="HU45" s="595"/>
      <c r="HV45" s="595"/>
      <c r="HW45" s="595"/>
      <c r="HX45" s="595"/>
      <c r="HY45" s="595"/>
      <c r="HZ45" s="595"/>
      <c r="IA45" s="595"/>
      <c r="IB45" s="595"/>
      <c r="IC45" s="595"/>
      <c r="ID45" s="595"/>
      <c r="IE45" s="595"/>
      <c r="IF45" s="595"/>
      <c r="IG45" s="595"/>
      <c r="IH45" s="595"/>
      <c r="II45" s="595"/>
      <c r="IJ45" s="595"/>
      <c r="IK45" s="595"/>
      <c r="IL45" s="595"/>
      <c r="IM45" s="595"/>
      <c r="IN45" s="595"/>
      <c r="IO45" s="595"/>
      <c r="IP45" s="595"/>
      <c r="IQ45" s="595"/>
      <c r="IR45" s="595"/>
      <c r="IS45" s="595"/>
      <c r="IT45" s="595"/>
      <c r="IU45" s="595"/>
      <c r="IV45" s="595"/>
      <c r="IW45" s="595"/>
      <c r="IX45" s="595"/>
      <c r="IY45" s="595"/>
      <c r="IZ45" s="595"/>
      <c r="JA45" s="595"/>
      <c r="JB45" s="595"/>
      <c r="JC45" s="595"/>
      <c r="JD45" s="595"/>
      <c r="JE45" s="595"/>
      <c r="JF45" s="595"/>
      <c r="JG45" s="595"/>
      <c r="JH45" s="595"/>
      <c r="JI45" s="595"/>
      <c r="JJ45" s="595"/>
      <c r="JK45" s="595"/>
      <c r="JL45" s="595"/>
      <c r="JM45" s="595"/>
      <c r="JN45" s="595"/>
      <c r="JO45" s="595"/>
      <c r="JP45" s="595"/>
      <c r="JQ45" s="595"/>
      <c r="JR45" s="595"/>
      <c r="JS45" s="595"/>
      <c r="JT45" s="595"/>
      <c r="JU45" s="595"/>
      <c r="JV45" s="595"/>
      <c r="JW45" s="595"/>
      <c r="JX45" s="595"/>
      <c r="JY45" s="595"/>
      <c r="JZ45" s="595"/>
      <c r="KA45" s="595"/>
      <c r="KB45" s="595"/>
      <c r="KC45" s="595"/>
      <c r="KD45" s="595"/>
      <c r="KE45" s="595"/>
      <c r="KF45" s="595"/>
      <c r="KG45" s="595"/>
      <c r="KH45" s="595"/>
      <c r="KI45" s="595"/>
      <c r="KJ45" s="595"/>
      <c r="KK45" s="595"/>
      <c r="KL45" s="595"/>
      <c r="KM45" s="595"/>
      <c r="KN45" s="595"/>
      <c r="KO45" s="595"/>
      <c r="KP45" s="595"/>
      <c r="KQ45" s="595"/>
      <c r="KR45" s="595"/>
      <c r="KS45" s="595"/>
      <c r="KT45" s="595"/>
      <c r="KU45" s="595"/>
      <c r="KV45" s="595"/>
      <c r="KW45" s="595"/>
      <c r="KX45" s="595"/>
      <c r="KY45" s="595"/>
      <c r="KZ45" s="595"/>
      <c r="LA45" s="595"/>
      <c r="LB45" s="595"/>
      <c r="LC45" s="595"/>
      <c r="LD45" s="595"/>
      <c r="LE45" s="595"/>
      <c r="LF45" s="595"/>
      <c r="LG45" s="595"/>
      <c r="LH45" s="595"/>
      <c r="LI45" s="595"/>
      <c r="LJ45" s="595"/>
      <c r="LK45" s="595"/>
      <c r="LL45" s="595"/>
      <c r="LM45" s="595"/>
      <c r="LN45" s="595"/>
      <c r="LO45" s="595"/>
      <c r="LP45" s="595"/>
      <c r="LQ45" s="595"/>
      <c r="LR45" s="595"/>
      <c r="LS45" s="595"/>
      <c r="LT45" s="595"/>
      <c r="LU45" s="595"/>
      <c r="LV45" s="595"/>
      <c r="LW45" s="595"/>
      <c r="LX45" s="595"/>
      <c r="LY45" s="595"/>
      <c r="LZ45" s="595"/>
      <c r="MA45" s="595"/>
      <c r="MB45" s="595"/>
      <c r="MC45" s="595"/>
      <c r="MD45" s="595"/>
      <c r="ME45" s="595"/>
      <c r="MF45" s="595"/>
      <c r="MG45" s="595"/>
      <c r="MH45" s="595"/>
      <c r="MI45" s="595"/>
      <c r="MJ45" s="595"/>
      <c r="MK45" s="595"/>
      <c r="ML45" s="595"/>
      <c r="MM45" s="595"/>
      <c r="MN45" s="595"/>
      <c r="MO45" s="595"/>
      <c r="MP45" s="595"/>
      <c r="MQ45" s="595"/>
      <c r="MR45" s="595"/>
      <c r="MS45" s="595"/>
      <c r="MT45" s="595"/>
      <c r="MU45" s="595"/>
      <c r="MV45" s="595"/>
      <c r="MW45" s="595"/>
      <c r="MX45" s="595"/>
      <c r="MY45" s="595"/>
      <c r="MZ45" s="595"/>
      <c r="NA45" s="595"/>
      <c r="NB45" s="595"/>
      <c r="NC45" s="595"/>
      <c r="ND45" s="595"/>
      <c r="NE45" s="595"/>
      <c r="NF45" s="595"/>
      <c r="NG45" s="595"/>
      <c r="NH45" s="595"/>
      <c r="NI45" s="595"/>
      <c r="NJ45" s="595"/>
      <c r="NK45" s="595"/>
      <c r="NL45" s="595"/>
      <c r="NM45" s="595"/>
      <c r="NN45" s="595"/>
      <c r="NO45" s="595"/>
      <c r="NP45" s="595"/>
      <c r="NQ45" s="595"/>
      <c r="NR45" s="595"/>
      <c r="NS45" s="595"/>
      <c r="NT45" s="595"/>
      <c r="NU45" s="595"/>
      <c r="NV45" s="595"/>
      <c r="NW45" s="595"/>
      <c r="NX45" s="595"/>
      <c r="NY45" s="595"/>
      <c r="NZ45" s="595"/>
      <c r="OA45" s="595"/>
      <c r="OB45" s="595"/>
      <c r="OC45" s="595"/>
      <c r="OD45" s="595"/>
      <c r="OE45" s="595"/>
      <c r="OF45" s="595"/>
      <c r="OG45" s="595"/>
      <c r="OH45" s="595"/>
      <c r="OI45" s="595"/>
      <c r="OJ45" s="595"/>
      <c r="OK45" s="595"/>
      <c r="OL45" s="595"/>
      <c r="OM45" s="595"/>
      <c r="ON45" s="595"/>
      <c r="OO45" s="595"/>
      <c r="OP45" s="595"/>
      <c r="OQ45" s="595"/>
      <c r="OR45" s="595"/>
      <c r="OS45" s="595"/>
      <c r="OT45" s="595"/>
      <c r="OU45" s="595"/>
      <c r="OV45" s="595"/>
      <c r="OW45" s="595"/>
      <c r="OX45" s="595"/>
      <c r="OY45" s="595"/>
      <c r="OZ45" s="595"/>
      <c r="PA45" s="595"/>
      <c r="PB45" s="595"/>
      <c r="PC45" s="595"/>
      <c r="PD45" s="595"/>
      <c r="PE45" s="595"/>
      <c r="PF45" s="595"/>
      <c r="PG45" s="595"/>
      <c r="PH45" s="595"/>
      <c r="PI45" s="595"/>
      <c r="PJ45" s="595"/>
      <c r="PK45" s="595"/>
      <c r="PL45" s="595"/>
      <c r="PM45" s="595"/>
      <c r="PN45" s="595"/>
      <c r="PO45" s="595"/>
      <c r="PP45" s="595"/>
      <c r="PQ45" s="595"/>
      <c r="PR45" s="595"/>
      <c r="PS45" s="595"/>
      <c r="PT45" s="595"/>
      <c r="PU45" s="595"/>
      <c r="PV45" s="595"/>
      <c r="PW45" s="595"/>
      <c r="PX45" s="595"/>
      <c r="PY45" s="595"/>
      <c r="PZ45" s="595"/>
      <c r="QA45" s="595"/>
      <c r="QB45" s="595"/>
      <c r="QC45" s="595"/>
      <c r="QD45" s="595"/>
      <c r="QE45" s="595"/>
      <c r="QF45" s="595"/>
      <c r="QG45" s="595"/>
      <c r="QH45" s="595"/>
      <c r="QI45" s="595"/>
      <c r="QJ45" s="595"/>
      <c r="QK45" s="595"/>
      <c r="QL45" s="595"/>
      <c r="QM45" s="595"/>
      <c r="QN45" s="595"/>
      <c r="QO45" s="595"/>
      <c r="QP45" s="595"/>
      <c r="QQ45" s="595"/>
      <c r="QR45" s="595"/>
      <c r="QS45" s="595"/>
      <c r="QT45" s="595"/>
      <c r="QU45" s="595"/>
      <c r="QV45" s="595"/>
      <c r="QW45" s="595"/>
      <c r="QX45" s="595"/>
      <c r="QY45" s="595"/>
      <c r="QZ45" s="595"/>
      <c r="RA45" s="595"/>
      <c r="RB45" s="595"/>
      <c r="RC45" s="595"/>
      <c r="RD45" s="595"/>
      <c r="RE45" s="595"/>
      <c r="RF45" s="595"/>
      <c r="RG45" s="595"/>
      <c r="RH45" s="595"/>
      <c r="RI45" s="595"/>
      <c r="RJ45" s="595"/>
      <c r="RK45" s="595"/>
      <c r="RL45" s="595"/>
      <c r="RM45" s="595"/>
      <c r="RN45" s="595"/>
      <c r="RO45" s="595"/>
      <c r="RP45" s="595"/>
      <c r="RQ45" s="595"/>
      <c r="RR45" s="595"/>
      <c r="RS45" s="595"/>
      <c r="RT45" s="595"/>
      <c r="RU45" s="595"/>
      <c r="RV45" s="595"/>
      <c r="RW45" s="595"/>
      <c r="RX45" s="595"/>
      <c r="RY45" s="595"/>
      <c r="RZ45" s="595"/>
      <c r="SA45" s="595"/>
      <c r="SB45" s="595"/>
      <c r="SC45" s="595"/>
      <c r="SD45" s="595"/>
      <c r="SE45" s="595"/>
      <c r="SF45" s="595"/>
      <c r="SG45" s="595"/>
      <c r="SH45" s="595"/>
      <c r="SI45" s="595"/>
      <c r="SJ45" s="595"/>
      <c r="SK45" s="595"/>
      <c r="SL45" s="595"/>
      <c r="SM45" s="595"/>
      <c r="SN45" s="595"/>
      <c r="SO45" s="595"/>
      <c r="SP45" s="595"/>
      <c r="SQ45" s="595"/>
      <c r="SR45" s="595"/>
      <c r="SS45" s="595"/>
      <c r="ST45" s="595"/>
      <c r="SU45" s="595"/>
      <c r="SV45" s="595"/>
      <c r="SW45" s="595"/>
      <c r="SX45" s="595"/>
      <c r="SY45" s="595"/>
      <c r="SZ45" s="595"/>
      <c r="TA45" s="595"/>
      <c r="TB45" s="595"/>
      <c r="TC45" s="595"/>
      <c r="TD45" s="595"/>
      <c r="TE45" s="595"/>
      <c r="TF45" s="595"/>
      <c r="TG45" s="595"/>
      <c r="TH45" s="595"/>
      <c r="TI45" s="595"/>
      <c r="TJ45" s="595"/>
      <c r="TK45" s="595"/>
      <c r="TL45" s="595"/>
      <c r="TM45" s="595"/>
      <c r="TN45" s="595"/>
      <c r="TO45" s="595"/>
      <c r="TP45" s="595"/>
      <c r="TQ45" s="595"/>
      <c r="TR45" s="595"/>
      <c r="TS45" s="595"/>
      <c r="TT45" s="595"/>
      <c r="TU45" s="595"/>
      <c r="TV45" s="595"/>
      <c r="TW45" s="595"/>
      <c r="TX45" s="595"/>
      <c r="TY45" s="595"/>
      <c r="TZ45" s="595"/>
      <c r="UA45" s="595"/>
      <c r="UB45" s="595"/>
      <c r="UC45" s="595"/>
      <c r="UD45" s="595"/>
      <c r="UE45" s="595"/>
      <c r="UF45" s="595"/>
      <c r="UG45" s="595"/>
      <c r="UH45" s="595"/>
      <c r="UI45" s="595"/>
      <c r="UJ45" s="595"/>
      <c r="UK45" s="595"/>
      <c r="UL45" s="595"/>
      <c r="UM45" s="595"/>
      <c r="UN45" s="595"/>
      <c r="UO45" s="595"/>
      <c r="UP45" s="595"/>
      <c r="UQ45" s="595"/>
      <c r="UR45" s="595"/>
      <c r="US45" s="595"/>
      <c r="UT45" s="595"/>
      <c r="UU45" s="595"/>
      <c r="UV45" s="595"/>
      <c r="UW45" s="595"/>
      <c r="UX45" s="595"/>
      <c r="UY45" s="595"/>
      <c r="UZ45" s="595"/>
      <c r="VA45" s="595"/>
      <c r="VB45" s="595"/>
      <c r="VC45" s="595"/>
      <c r="VD45" s="595"/>
      <c r="VE45" s="595"/>
      <c r="VF45" s="595"/>
      <c r="VG45" s="595"/>
      <c r="VH45" s="595"/>
      <c r="VI45" s="595"/>
      <c r="VJ45" s="595"/>
      <c r="VK45" s="595"/>
      <c r="VL45" s="595"/>
      <c r="VM45" s="595"/>
      <c r="VN45" s="595"/>
      <c r="VO45" s="595"/>
      <c r="VP45" s="595"/>
      <c r="VQ45" s="595"/>
      <c r="VR45" s="595"/>
      <c r="VS45" s="595"/>
      <c r="VT45" s="595"/>
      <c r="VU45" s="595"/>
      <c r="VV45" s="595"/>
      <c r="VW45" s="595"/>
      <c r="VX45" s="595"/>
      <c r="VY45" s="595"/>
      <c r="VZ45" s="595"/>
      <c r="WA45" s="595"/>
      <c r="WB45" s="595"/>
      <c r="WC45" s="595"/>
      <c r="WD45" s="595"/>
      <c r="WE45" s="595"/>
      <c r="WF45" s="595"/>
      <c r="WG45" s="595"/>
      <c r="WH45" s="595"/>
      <c r="WI45" s="595"/>
      <c r="WJ45" s="595"/>
      <c r="WK45" s="595"/>
      <c r="WL45" s="595"/>
      <c r="WM45" s="595"/>
      <c r="WN45" s="595"/>
      <c r="WO45" s="595"/>
      <c r="WP45" s="595"/>
      <c r="WQ45" s="595"/>
      <c r="WR45" s="595"/>
      <c r="WS45" s="595"/>
      <c r="WT45" s="595"/>
      <c r="WU45" s="595"/>
      <c r="WV45" s="595"/>
      <c r="WW45" s="595"/>
      <c r="WX45" s="595"/>
      <c r="WY45" s="595"/>
      <c r="WZ45" s="595"/>
      <c r="XA45" s="595"/>
      <c r="XB45" s="595"/>
      <c r="XC45" s="595"/>
      <c r="XD45" s="595"/>
      <c r="XE45" s="595"/>
      <c r="XF45" s="595"/>
      <c r="XG45" s="595"/>
      <c r="XH45" s="595"/>
      <c r="XI45" s="595"/>
      <c r="XJ45" s="595"/>
      <c r="XK45" s="595"/>
      <c r="XL45" s="595"/>
      <c r="XM45" s="595"/>
      <c r="XN45" s="595"/>
      <c r="XO45" s="595"/>
      <c r="XP45" s="595"/>
      <c r="XQ45" s="595"/>
      <c r="XR45" s="595"/>
      <c r="XS45" s="595"/>
      <c r="XT45" s="595"/>
      <c r="XU45" s="595"/>
      <c r="XV45" s="595"/>
      <c r="XW45" s="595"/>
      <c r="XX45" s="595"/>
      <c r="XY45" s="595"/>
      <c r="XZ45" s="595"/>
      <c r="YA45" s="595"/>
      <c r="YB45" s="595"/>
      <c r="YC45" s="595"/>
      <c r="YD45" s="595"/>
      <c r="YE45" s="595"/>
      <c r="YF45" s="595"/>
      <c r="YG45" s="595"/>
      <c r="YH45" s="595"/>
      <c r="YI45" s="595"/>
      <c r="YJ45" s="595"/>
      <c r="YK45" s="595"/>
      <c r="YL45" s="595"/>
      <c r="YM45" s="595"/>
      <c r="YN45" s="595"/>
      <c r="YO45" s="595"/>
      <c r="YP45" s="595"/>
      <c r="YQ45" s="595"/>
      <c r="YR45" s="595"/>
      <c r="YS45" s="595"/>
      <c r="YT45" s="595"/>
      <c r="YU45" s="595"/>
      <c r="YV45" s="595"/>
      <c r="YW45" s="595"/>
      <c r="YX45" s="595"/>
      <c r="YY45" s="595"/>
      <c r="YZ45" s="595"/>
      <c r="ZA45" s="595"/>
      <c r="ZB45" s="595"/>
      <c r="ZC45" s="595"/>
      <c r="ZD45" s="595"/>
      <c r="ZE45" s="595"/>
      <c r="ZF45" s="595"/>
      <c r="ZG45" s="595"/>
      <c r="ZH45" s="595"/>
      <c r="ZI45" s="595"/>
      <c r="ZJ45" s="595"/>
      <c r="ZK45" s="595"/>
      <c r="ZL45" s="595"/>
      <c r="ZM45" s="595"/>
      <c r="ZN45" s="595"/>
      <c r="ZO45" s="595"/>
      <c r="ZP45" s="595"/>
      <c r="ZQ45" s="595"/>
      <c r="ZR45" s="595"/>
      <c r="ZS45" s="595"/>
      <c r="ZT45" s="595"/>
      <c r="ZU45" s="595"/>
      <c r="ZV45" s="595"/>
      <c r="ZW45" s="595"/>
      <c r="ZX45" s="595"/>
      <c r="ZY45" s="595"/>
      <c r="ZZ45" s="595"/>
      <c r="AAA45" s="595"/>
      <c r="AAB45" s="595"/>
      <c r="AAC45" s="595"/>
      <c r="AAD45" s="595"/>
      <c r="AAE45" s="595"/>
      <c r="AAF45" s="595"/>
      <c r="AAG45" s="595"/>
      <c r="AAH45" s="595"/>
      <c r="AAI45" s="595"/>
      <c r="AAJ45" s="595"/>
      <c r="AAK45" s="595"/>
      <c r="AAL45" s="595"/>
      <c r="AAM45" s="595"/>
      <c r="AAN45" s="595"/>
      <c r="AAO45" s="595"/>
      <c r="AAP45" s="595"/>
      <c r="AAQ45" s="595"/>
      <c r="AAR45" s="595"/>
      <c r="AAS45" s="595"/>
      <c r="AAT45" s="595"/>
      <c r="AAU45" s="595"/>
      <c r="AAV45" s="595"/>
      <c r="AAW45" s="595"/>
      <c r="AAX45" s="595"/>
      <c r="AAY45" s="595"/>
      <c r="AAZ45" s="595"/>
      <c r="ABA45" s="595"/>
      <c r="ABB45" s="595"/>
      <c r="ABC45" s="595"/>
      <c r="ABD45" s="595"/>
      <c r="ABE45" s="595"/>
      <c r="ABF45" s="595"/>
      <c r="ABG45" s="595"/>
      <c r="ABH45" s="595"/>
      <c r="ABI45" s="595"/>
      <c r="ABJ45" s="595"/>
      <c r="ABK45" s="595"/>
      <c r="ABL45" s="595"/>
      <c r="ABM45" s="595"/>
      <c r="ABN45" s="595"/>
      <c r="ABO45" s="595"/>
      <c r="ABP45" s="595"/>
      <c r="ABQ45" s="595"/>
      <c r="ABR45" s="595"/>
      <c r="ABS45" s="595"/>
      <c r="ABT45" s="595"/>
      <c r="ABU45" s="595"/>
      <c r="ABV45" s="595"/>
      <c r="ABW45" s="595"/>
      <c r="ABX45" s="595"/>
      <c r="ABY45" s="595"/>
      <c r="ABZ45" s="595"/>
      <c r="ACA45" s="595"/>
      <c r="ACB45" s="595"/>
      <c r="ACC45" s="595"/>
      <c r="ACD45" s="595"/>
      <c r="ACE45" s="595"/>
      <c r="ACF45" s="595"/>
      <c r="ACG45" s="595"/>
      <c r="ACH45" s="595"/>
      <c r="ACI45" s="595"/>
      <c r="ACJ45" s="595"/>
      <c r="ACK45" s="595"/>
      <c r="ACL45" s="595"/>
      <c r="ACM45" s="595"/>
      <c r="ACN45" s="595"/>
      <c r="ACO45" s="595"/>
      <c r="ACP45" s="595"/>
      <c r="ACQ45" s="595"/>
      <c r="ACR45" s="595"/>
      <c r="ACS45" s="595"/>
      <c r="ACT45" s="595"/>
      <c r="ACU45" s="595"/>
      <c r="ACV45" s="595"/>
      <c r="ACW45" s="595"/>
      <c r="ACX45" s="595"/>
      <c r="ACY45" s="595"/>
      <c r="ACZ45" s="595"/>
      <c r="ADA45" s="595"/>
      <c r="ADB45" s="595"/>
      <c r="ADC45" s="595"/>
      <c r="ADD45" s="595"/>
      <c r="ADE45" s="595"/>
      <c r="ADF45" s="595"/>
      <c r="ADG45" s="595"/>
      <c r="ADH45" s="595"/>
      <c r="ADI45" s="595"/>
      <c r="ADJ45" s="595"/>
      <c r="ADK45" s="595"/>
      <c r="ADL45" s="595"/>
      <c r="ADM45" s="595"/>
      <c r="ADN45" s="595"/>
      <c r="ADO45" s="595"/>
      <c r="ADP45" s="595"/>
      <c r="ADQ45" s="595"/>
      <c r="ADR45" s="595"/>
      <c r="ADS45" s="595"/>
      <c r="ADT45" s="595"/>
      <c r="ADU45" s="595"/>
      <c r="ADV45" s="595"/>
      <c r="ADW45" s="595"/>
      <c r="ADX45" s="595"/>
      <c r="ADY45" s="595"/>
      <c r="ADZ45" s="595"/>
      <c r="AEA45" s="595"/>
      <c r="AEB45" s="595"/>
      <c r="AEC45" s="595"/>
      <c r="AED45" s="595"/>
      <c r="AEE45" s="595"/>
      <c r="AEF45" s="595"/>
      <c r="AEG45" s="595"/>
      <c r="AEH45" s="595"/>
      <c r="AEI45" s="595"/>
      <c r="AEJ45" s="595"/>
      <c r="AEK45" s="595"/>
      <c r="AEL45" s="595"/>
      <c r="AEM45" s="595"/>
      <c r="AEN45" s="595"/>
      <c r="AEO45" s="595"/>
      <c r="AEP45" s="595"/>
      <c r="AEQ45" s="595"/>
      <c r="AER45" s="595"/>
      <c r="AES45" s="595"/>
      <c r="AET45" s="595"/>
      <c r="AEU45" s="595"/>
      <c r="AEV45" s="595"/>
      <c r="AEW45" s="595"/>
      <c r="AEX45" s="595"/>
      <c r="AEY45" s="595"/>
      <c r="AEZ45" s="595"/>
      <c r="AFA45" s="595"/>
      <c r="AFB45" s="595"/>
      <c r="AFC45" s="595"/>
      <c r="AFD45" s="595"/>
      <c r="AFE45" s="595"/>
      <c r="AFF45" s="595"/>
      <c r="AFG45" s="595"/>
      <c r="AFH45" s="595"/>
      <c r="AFI45" s="595"/>
      <c r="AFJ45" s="595"/>
      <c r="AFK45" s="595"/>
      <c r="AFL45" s="595"/>
      <c r="AFM45" s="595"/>
      <c r="AFN45" s="595"/>
      <c r="AFO45" s="595"/>
      <c r="AFP45" s="595"/>
      <c r="AFQ45" s="595"/>
      <c r="AFR45" s="595"/>
      <c r="AFS45" s="595"/>
      <c r="AFT45" s="595"/>
      <c r="AFU45" s="595"/>
      <c r="AFV45" s="595"/>
      <c r="AFW45" s="595"/>
      <c r="AFX45" s="595"/>
      <c r="AFY45" s="595"/>
      <c r="AFZ45" s="595"/>
      <c r="AGA45" s="595"/>
      <c r="AGB45" s="595"/>
      <c r="AGC45" s="595"/>
      <c r="AGD45" s="595"/>
      <c r="AGE45" s="595"/>
      <c r="AGF45" s="595"/>
      <c r="AGG45" s="595"/>
      <c r="AGH45" s="595"/>
      <c r="AGI45" s="595"/>
      <c r="AGJ45" s="595"/>
      <c r="AGK45" s="595"/>
      <c r="AGL45" s="595"/>
      <c r="AGM45" s="595"/>
      <c r="AGN45" s="595"/>
      <c r="AGO45" s="595"/>
      <c r="AGP45" s="595"/>
      <c r="AGQ45" s="595"/>
      <c r="AGR45" s="595"/>
      <c r="AGS45" s="595"/>
      <c r="AGT45" s="595"/>
      <c r="AGU45" s="595"/>
      <c r="AGV45" s="595"/>
      <c r="AGW45" s="595"/>
      <c r="AGX45" s="595"/>
      <c r="AGY45" s="595"/>
      <c r="AGZ45" s="595"/>
      <c r="AHA45" s="595"/>
      <c r="AHB45" s="595"/>
      <c r="AHC45" s="595"/>
      <c r="AHD45" s="595"/>
      <c r="AHE45" s="595"/>
      <c r="AHF45" s="595"/>
      <c r="AHG45" s="595"/>
      <c r="AHH45" s="595"/>
      <c r="AHI45" s="595"/>
      <c r="AHJ45" s="595"/>
      <c r="AHK45" s="595"/>
      <c r="AHL45" s="595"/>
      <c r="AHM45" s="595"/>
      <c r="AHN45" s="595"/>
      <c r="AHO45" s="595"/>
      <c r="AHP45" s="595"/>
      <c r="AHQ45" s="595"/>
      <c r="AHR45" s="595"/>
      <c r="AHS45" s="595"/>
      <c r="AHT45" s="595"/>
      <c r="AHU45" s="595"/>
      <c r="AHV45" s="595"/>
      <c r="AHW45" s="595"/>
      <c r="AHX45" s="595"/>
      <c r="AHY45" s="595"/>
      <c r="AHZ45" s="595"/>
      <c r="AIA45" s="595"/>
      <c r="AIB45" s="595"/>
      <c r="AIC45" s="595"/>
      <c r="AID45" s="595"/>
      <c r="AIE45" s="595"/>
      <c r="AIF45" s="595"/>
      <c r="AIG45" s="595"/>
      <c r="AIH45" s="595"/>
      <c r="AII45" s="595"/>
      <c r="AIJ45" s="595"/>
      <c r="AIK45" s="595"/>
      <c r="AIL45" s="595"/>
      <c r="AIM45" s="595"/>
      <c r="AIN45" s="595"/>
      <c r="AIO45" s="595"/>
      <c r="AIP45" s="595"/>
      <c r="AIQ45" s="595"/>
      <c r="AIR45" s="595"/>
      <c r="AIS45" s="595"/>
      <c r="AIT45" s="595"/>
      <c r="AIU45" s="595"/>
      <c r="AIV45" s="595"/>
      <c r="AIW45" s="595"/>
      <c r="AIX45" s="595"/>
      <c r="AIY45" s="595"/>
      <c r="AIZ45" s="595"/>
      <c r="AJA45" s="595"/>
      <c r="AJB45" s="595"/>
      <c r="AJC45" s="595"/>
      <c r="AJD45" s="595"/>
      <c r="AJE45" s="595"/>
      <c r="AJF45" s="595"/>
      <c r="AJG45" s="595"/>
      <c r="AJH45" s="595"/>
      <c r="AJI45" s="595"/>
      <c r="AJJ45" s="595"/>
      <c r="AJK45" s="595"/>
      <c r="AJL45" s="595"/>
      <c r="AJM45" s="595"/>
      <c r="AJN45" s="595"/>
      <c r="AJO45" s="595"/>
      <c r="AJP45" s="595"/>
      <c r="AJQ45" s="595"/>
      <c r="AJR45" s="595"/>
      <c r="AJS45" s="595"/>
      <c r="AJT45" s="595"/>
      <c r="AJU45" s="595"/>
      <c r="AJV45" s="595"/>
      <c r="AJW45" s="595"/>
      <c r="AJX45" s="595"/>
      <c r="AJY45" s="595"/>
      <c r="AJZ45" s="595"/>
      <c r="AKA45" s="595"/>
      <c r="AKB45" s="595"/>
      <c r="AKC45" s="595"/>
      <c r="AKD45" s="595"/>
      <c r="AKE45" s="595"/>
      <c r="AKF45" s="595"/>
      <c r="AKG45" s="595"/>
      <c r="AKH45" s="595"/>
      <c r="AKI45" s="595"/>
      <c r="AKJ45" s="595"/>
      <c r="AKK45" s="595"/>
      <c r="AKL45" s="595"/>
      <c r="AKM45" s="595"/>
      <c r="AKN45" s="595"/>
      <c r="AKO45" s="595"/>
      <c r="AKP45" s="595"/>
      <c r="AKQ45" s="595"/>
      <c r="AKR45" s="595"/>
      <c r="AKS45" s="595"/>
      <c r="AKT45" s="595"/>
      <c r="AKU45" s="595"/>
      <c r="AKV45" s="595"/>
      <c r="AKW45" s="595"/>
      <c r="AKX45" s="595"/>
      <c r="AKY45" s="595"/>
      <c r="AKZ45" s="595"/>
      <c r="ALA45" s="595"/>
      <c r="ALB45" s="595"/>
      <c r="ALC45" s="595"/>
      <c r="ALD45" s="595"/>
      <c r="ALE45" s="595"/>
      <c r="ALF45" s="595"/>
      <c r="ALG45" s="595"/>
      <c r="ALH45" s="595"/>
      <c r="ALI45" s="595"/>
      <c r="ALJ45" s="595"/>
      <c r="ALK45" s="595"/>
      <c r="ALL45" s="595"/>
      <c r="ALM45" s="595"/>
      <c r="ALN45" s="595"/>
      <c r="ALO45" s="595"/>
      <c r="ALP45" s="595"/>
      <c r="ALQ45" s="595"/>
      <c r="ALR45" s="595"/>
      <c r="ALS45" s="595"/>
      <c r="ALT45" s="595"/>
      <c r="ALU45" s="595"/>
      <c r="ALV45" s="595"/>
      <c r="ALW45" s="595"/>
      <c r="ALX45" s="595"/>
      <c r="ALY45" s="595"/>
      <c r="ALZ45" s="595"/>
      <c r="AMA45" s="595"/>
      <c r="AMB45" s="595"/>
      <c r="AMC45" s="595"/>
      <c r="AMD45" s="595"/>
      <c r="AME45" s="595"/>
      <c r="AMF45" s="595"/>
      <c r="AMG45" s="595"/>
      <c r="AMH45" s="595"/>
      <c r="AMI45" s="595"/>
      <c r="AMJ45" s="595"/>
      <c r="AMK45" s="595"/>
      <c r="AML45" s="595"/>
      <c r="AMM45" s="595"/>
      <c r="AMN45" s="595"/>
      <c r="AMO45" s="595"/>
      <c r="AMP45" s="595"/>
      <c r="AMQ45" s="595"/>
      <c r="AMR45" s="595"/>
      <c r="AMS45" s="595"/>
      <c r="AMT45" s="595"/>
      <c r="AMU45" s="595"/>
      <c r="AMV45" s="595"/>
      <c r="AMW45" s="595"/>
      <c r="AMX45" s="595"/>
      <c r="AMY45" s="595"/>
      <c r="AMZ45" s="595"/>
      <c r="ANA45" s="595"/>
      <c r="ANB45" s="595"/>
      <c r="ANC45" s="595"/>
      <c r="AND45" s="595"/>
      <c r="ANE45" s="595"/>
      <c r="ANF45" s="595"/>
      <c r="ANG45" s="595"/>
      <c r="ANH45" s="595"/>
      <c r="ANI45" s="595"/>
      <c r="ANJ45" s="595"/>
      <c r="ANK45" s="595"/>
      <c r="ANL45" s="595"/>
      <c r="ANM45" s="595"/>
      <c r="ANN45" s="595"/>
      <c r="ANO45" s="595"/>
      <c r="ANP45" s="595"/>
      <c r="ANQ45" s="595"/>
      <c r="ANR45" s="595"/>
      <c r="ANS45" s="595"/>
      <c r="ANT45" s="595"/>
      <c r="ANU45" s="595"/>
      <c r="ANV45" s="595"/>
      <c r="ANW45" s="595"/>
      <c r="ANX45" s="595"/>
      <c r="ANY45" s="595"/>
      <c r="ANZ45" s="595"/>
      <c r="AOA45" s="595"/>
      <c r="AOB45" s="595"/>
      <c r="AOC45" s="595"/>
      <c r="AOD45" s="595"/>
      <c r="AOE45" s="595"/>
      <c r="AOF45" s="595"/>
      <c r="AOG45" s="595"/>
      <c r="AOH45" s="595"/>
      <c r="AOI45" s="595"/>
      <c r="AOJ45" s="595"/>
      <c r="AOK45" s="595"/>
      <c r="AOL45" s="595"/>
      <c r="AOM45" s="595"/>
      <c r="AON45" s="595"/>
      <c r="AOO45" s="595"/>
      <c r="AOP45" s="595"/>
      <c r="AOQ45" s="595"/>
      <c r="AOR45" s="595"/>
      <c r="AOS45" s="595"/>
      <c r="AOT45" s="595"/>
      <c r="AOU45" s="595"/>
      <c r="AOV45" s="595"/>
      <c r="AOW45" s="595"/>
      <c r="AOX45" s="595"/>
      <c r="AOY45" s="595"/>
      <c r="AOZ45" s="595"/>
      <c r="APA45" s="595"/>
      <c r="APB45" s="595"/>
      <c r="APC45" s="595"/>
      <c r="APD45" s="595"/>
      <c r="APE45" s="595"/>
      <c r="APF45" s="595"/>
      <c r="APG45" s="595"/>
      <c r="APH45" s="595"/>
      <c r="API45" s="595"/>
      <c r="APJ45" s="595"/>
      <c r="APK45" s="595"/>
      <c r="APL45" s="595"/>
      <c r="APM45" s="595"/>
      <c r="APN45" s="595"/>
      <c r="APO45" s="595"/>
      <c r="APP45" s="595"/>
      <c r="APQ45" s="595"/>
      <c r="APR45" s="595"/>
      <c r="APS45" s="595"/>
      <c r="APT45" s="595"/>
      <c r="APU45" s="595"/>
      <c r="APV45" s="595"/>
      <c r="APW45" s="595"/>
      <c r="APX45" s="595"/>
      <c r="APY45" s="595"/>
      <c r="APZ45" s="595"/>
      <c r="AQA45" s="595"/>
      <c r="AQB45" s="595"/>
      <c r="AQC45" s="595"/>
      <c r="AQD45" s="595"/>
      <c r="AQE45" s="595"/>
      <c r="AQF45" s="595"/>
      <c r="AQG45" s="595"/>
      <c r="AQH45" s="595"/>
      <c r="AQI45" s="595"/>
      <c r="AQJ45" s="595"/>
      <c r="AQK45" s="595"/>
      <c r="AQL45" s="595"/>
      <c r="AQM45" s="595"/>
      <c r="AQN45" s="595"/>
      <c r="AQO45" s="595"/>
      <c r="AQP45" s="595"/>
      <c r="AQQ45" s="595"/>
      <c r="AQR45" s="595"/>
      <c r="AQS45" s="595"/>
      <c r="AQT45" s="595"/>
      <c r="AQU45" s="595"/>
      <c r="AQV45" s="595"/>
      <c r="AQW45" s="595"/>
      <c r="AQX45" s="595"/>
      <c r="AQY45" s="595"/>
      <c r="AQZ45" s="595"/>
      <c r="ARA45" s="595"/>
      <c r="ARB45" s="595"/>
      <c r="ARC45" s="595"/>
      <c r="ARD45" s="595"/>
      <c r="ARE45" s="595"/>
      <c r="ARF45" s="595"/>
      <c r="ARG45" s="595"/>
      <c r="ARH45" s="595"/>
      <c r="ARI45" s="595"/>
      <c r="ARJ45" s="595"/>
      <c r="ARK45" s="595"/>
      <c r="ARL45" s="595"/>
      <c r="ARM45" s="595"/>
      <c r="ARN45" s="595"/>
      <c r="ARO45" s="595"/>
      <c r="ARP45" s="595"/>
      <c r="ARQ45" s="595"/>
      <c r="ARR45" s="595"/>
      <c r="ARS45" s="595"/>
      <c r="ART45" s="595"/>
      <c r="ARU45" s="595"/>
      <c r="ARV45" s="595"/>
      <c r="ARW45" s="595"/>
      <c r="ARX45" s="595"/>
      <c r="ARY45" s="595"/>
      <c r="ARZ45" s="595"/>
      <c r="ASA45" s="595"/>
      <c r="ASB45" s="595"/>
      <c r="ASC45" s="595"/>
      <c r="ASD45" s="595"/>
      <c r="ASE45" s="595"/>
      <c r="ASF45" s="595"/>
      <c r="ASG45" s="595"/>
      <c r="ASH45" s="595"/>
      <c r="ASI45" s="595"/>
      <c r="ASJ45" s="595"/>
      <c r="ASK45" s="595"/>
      <c r="ASL45" s="595"/>
      <c r="ASM45" s="595"/>
      <c r="ASN45" s="595"/>
      <c r="ASO45" s="595"/>
      <c r="ASP45" s="595"/>
      <c r="ASQ45" s="595"/>
      <c r="ASR45" s="595"/>
      <c r="ASS45" s="595"/>
      <c r="AST45" s="595"/>
      <c r="ASU45" s="595"/>
      <c r="ASV45" s="595"/>
      <c r="ASW45" s="595"/>
      <c r="ASX45" s="595"/>
      <c r="ASY45" s="595"/>
      <c r="ASZ45" s="595"/>
      <c r="ATA45" s="595"/>
      <c r="ATB45" s="595"/>
      <c r="ATC45" s="595"/>
      <c r="ATD45" s="595"/>
      <c r="ATE45" s="595"/>
      <c r="ATF45" s="595"/>
      <c r="ATG45" s="595"/>
      <c r="ATH45" s="595"/>
      <c r="ATI45" s="595"/>
      <c r="ATJ45" s="595"/>
      <c r="ATK45" s="595"/>
      <c r="ATL45" s="595"/>
      <c r="ATM45" s="595"/>
      <c r="ATN45" s="595"/>
      <c r="ATO45" s="595"/>
      <c r="ATP45" s="595"/>
      <c r="ATQ45" s="595"/>
      <c r="ATR45" s="595"/>
      <c r="ATS45" s="595"/>
      <c r="ATT45" s="595"/>
      <c r="ATU45" s="595"/>
      <c r="ATV45" s="595"/>
      <c r="ATW45" s="595"/>
      <c r="ATX45" s="595"/>
      <c r="ATY45" s="595"/>
      <c r="ATZ45" s="595"/>
      <c r="AUA45" s="595"/>
      <c r="AUB45" s="595"/>
      <c r="AUC45" s="595"/>
      <c r="AUD45" s="595"/>
      <c r="AUE45" s="595"/>
      <c r="AUF45" s="595"/>
      <c r="AUG45" s="595"/>
      <c r="AUH45" s="595"/>
      <c r="AUI45" s="595"/>
      <c r="AUJ45" s="595"/>
      <c r="AUK45" s="595"/>
      <c r="AUL45" s="595"/>
      <c r="AUM45" s="595"/>
      <c r="AUN45" s="595"/>
      <c r="AUO45" s="595"/>
      <c r="AUP45" s="595"/>
      <c r="AUQ45" s="595"/>
      <c r="AUR45" s="595"/>
      <c r="AUS45" s="595"/>
      <c r="AUT45" s="595"/>
      <c r="AUU45" s="595"/>
      <c r="AUV45" s="595"/>
      <c r="AUW45" s="595"/>
      <c r="AUX45" s="595"/>
      <c r="AUY45" s="595"/>
      <c r="AUZ45" s="595"/>
      <c r="AVA45" s="595"/>
      <c r="AVB45" s="595"/>
      <c r="AVC45" s="595"/>
      <c r="AVD45" s="595"/>
      <c r="AVE45" s="595"/>
      <c r="AVF45" s="595"/>
      <c r="AVG45" s="595"/>
      <c r="AVH45" s="595"/>
      <c r="AVI45" s="595"/>
      <c r="AVJ45" s="595"/>
      <c r="AVK45" s="595"/>
      <c r="AVL45" s="595"/>
      <c r="AVM45" s="595"/>
      <c r="AVN45" s="595"/>
      <c r="AVO45" s="595"/>
      <c r="AVP45" s="595"/>
      <c r="AVQ45" s="595"/>
      <c r="AVR45" s="595"/>
      <c r="AVS45" s="595"/>
      <c r="AVT45" s="595"/>
      <c r="AVU45" s="595"/>
      <c r="AVV45" s="595"/>
      <c r="AVW45" s="595"/>
      <c r="AVX45" s="595"/>
      <c r="AVY45" s="595"/>
      <c r="AVZ45" s="595"/>
      <c r="AWA45" s="595"/>
      <c r="AWB45" s="595"/>
      <c r="AWC45" s="595"/>
      <c r="AWD45" s="595"/>
      <c r="AWE45" s="595"/>
      <c r="AWF45" s="595"/>
      <c r="AWG45" s="595"/>
      <c r="AWH45" s="595"/>
      <c r="AWI45" s="595"/>
      <c r="AWJ45" s="595"/>
      <c r="AWK45" s="595"/>
      <c r="AWL45" s="595"/>
      <c r="AWM45" s="595"/>
      <c r="AWN45" s="595"/>
      <c r="AWO45" s="595"/>
      <c r="AWP45" s="595"/>
      <c r="AWQ45" s="595"/>
      <c r="AWR45" s="595"/>
      <c r="AWS45" s="595"/>
      <c r="AWT45" s="595"/>
      <c r="AWU45" s="595"/>
      <c r="AWV45" s="595"/>
      <c r="AWW45" s="595"/>
      <c r="AWX45" s="595"/>
      <c r="AWY45" s="595"/>
      <c r="AWZ45" s="595"/>
      <c r="AXA45" s="595"/>
      <c r="AXB45" s="595"/>
      <c r="AXC45" s="595"/>
      <c r="AXD45" s="595"/>
      <c r="AXE45" s="595"/>
      <c r="AXF45" s="595"/>
      <c r="AXG45" s="595"/>
      <c r="AXH45" s="595"/>
      <c r="AXI45" s="595"/>
      <c r="AXJ45" s="595"/>
      <c r="AXK45" s="595"/>
      <c r="AXL45" s="595"/>
      <c r="AXM45" s="595"/>
      <c r="AXN45" s="595"/>
      <c r="AXO45" s="595"/>
      <c r="AXP45" s="595"/>
      <c r="AXQ45" s="595"/>
      <c r="AXR45" s="595"/>
      <c r="AXS45" s="595"/>
      <c r="AXT45" s="595"/>
      <c r="AXU45" s="595"/>
      <c r="AXV45" s="595"/>
      <c r="AXW45" s="595"/>
      <c r="AXX45" s="595"/>
      <c r="AXY45" s="595"/>
      <c r="AXZ45" s="595"/>
      <c r="AYA45" s="595"/>
      <c r="AYB45" s="595"/>
      <c r="AYC45" s="595"/>
      <c r="AYD45" s="595"/>
      <c r="AYE45" s="595"/>
      <c r="AYF45" s="595"/>
      <c r="AYG45" s="595"/>
      <c r="AYH45" s="595"/>
      <c r="AYI45" s="595"/>
      <c r="AYJ45" s="595"/>
      <c r="AYK45" s="595"/>
      <c r="AYL45" s="595"/>
      <c r="AYM45" s="595"/>
      <c r="AYN45" s="595"/>
      <c r="AYO45" s="595"/>
      <c r="AYP45" s="595"/>
      <c r="AYQ45" s="595"/>
      <c r="AYR45" s="595"/>
      <c r="AYS45" s="595"/>
      <c r="AYT45" s="595"/>
      <c r="AYU45" s="595"/>
      <c r="AYV45" s="595"/>
      <c r="AYW45" s="595"/>
      <c r="AYX45" s="595"/>
      <c r="AYY45" s="595"/>
      <c r="AYZ45" s="595"/>
      <c r="AZA45" s="595"/>
      <c r="AZB45" s="595"/>
      <c r="AZC45" s="595"/>
      <c r="AZD45" s="595"/>
      <c r="AZE45" s="595"/>
      <c r="AZF45" s="595"/>
      <c r="AZG45" s="595"/>
      <c r="AZH45" s="595"/>
      <c r="AZI45" s="595"/>
      <c r="AZJ45" s="595"/>
      <c r="AZK45" s="595"/>
      <c r="AZL45" s="595"/>
      <c r="AZM45" s="595"/>
      <c r="AZN45" s="595"/>
      <c r="AZO45" s="595"/>
      <c r="AZP45" s="595"/>
      <c r="AZQ45" s="595"/>
      <c r="AZR45" s="595"/>
      <c r="AZS45" s="595"/>
      <c r="AZT45" s="595"/>
      <c r="AZU45" s="595"/>
      <c r="AZV45" s="595"/>
      <c r="AZW45" s="595"/>
      <c r="AZX45" s="595"/>
      <c r="AZY45" s="595"/>
      <c r="AZZ45" s="595"/>
      <c r="BAA45" s="595"/>
      <c r="BAB45" s="595"/>
      <c r="BAC45" s="595"/>
      <c r="BAD45" s="595"/>
      <c r="BAE45" s="595"/>
      <c r="BAF45" s="595"/>
      <c r="BAG45" s="595"/>
      <c r="BAH45" s="595"/>
      <c r="BAI45" s="595"/>
      <c r="BAJ45" s="595"/>
      <c r="BAK45" s="595"/>
      <c r="BAL45" s="595"/>
      <c r="BAM45" s="595"/>
      <c r="BAN45" s="595"/>
      <c r="BAO45" s="595"/>
      <c r="BAP45" s="595"/>
      <c r="BAQ45" s="595"/>
      <c r="BAR45" s="595"/>
      <c r="BAS45" s="595"/>
      <c r="BAT45" s="595"/>
      <c r="BAU45" s="595"/>
      <c r="BAV45" s="595"/>
      <c r="BAW45" s="595"/>
      <c r="BAX45" s="595"/>
      <c r="BAY45" s="595"/>
      <c r="BAZ45" s="595"/>
      <c r="BBA45" s="595"/>
      <c r="BBB45" s="595"/>
      <c r="BBC45" s="595"/>
      <c r="BBD45" s="595"/>
      <c r="BBE45" s="595"/>
      <c r="BBF45" s="595"/>
      <c r="BBG45" s="595"/>
      <c r="BBH45" s="595"/>
      <c r="BBI45" s="595"/>
      <c r="BBJ45" s="595"/>
      <c r="BBK45" s="595"/>
      <c r="BBL45" s="595"/>
      <c r="BBM45" s="595"/>
      <c r="BBN45" s="595"/>
      <c r="BBO45" s="595"/>
      <c r="BBP45" s="595"/>
      <c r="BBQ45" s="595"/>
      <c r="BBR45" s="595"/>
      <c r="BBS45" s="595"/>
      <c r="BBT45" s="595"/>
      <c r="BBU45" s="595"/>
      <c r="BBV45" s="595"/>
      <c r="BBW45" s="595"/>
      <c r="BBX45" s="595"/>
      <c r="BBY45" s="595"/>
      <c r="BBZ45" s="595"/>
      <c r="BCA45" s="595"/>
      <c r="BCB45" s="595"/>
      <c r="BCC45" s="595"/>
      <c r="BCD45" s="595"/>
      <c r="BCE45" s="595"/>
      <c r="BCF45" s="595"/>
      <c r="BCG45" s="595"/>
      <c r="BCH45" s="595"/>
      <c r="BCI45" s="595"/>
      <c r="BCJ45" s="595"/>
      <c r="BCK45" s="595"/>
      <c r="BCL45" s="595"/>
      <c r="BCM45" s="595"/>
      <c r="BCN45" s="595"/>
      <c r="BCO45" s="595"/>
      <c r="BCP45" s="595"/>
      <c r="BCQ45" s="595"/>
      <c r="BCR45" s="595"/>
      <c r="BCS45" s="595"/>
      <c r="BCT45" s="595"/>
      <c r="BCU45" s="595"/>
      <c r="BCV45" s="595"/>
      <c r="BCW45" s="595"/>
      <c r="BCX45" s="595"/>
      <c r="BCY45" s="595"/>
      <c r="BCZ45" s="595"/>
      <c r="BDA45" s="595"/>
      <c r="BDB45" s="595"/>
      <c r="BDC45" s="595"/>
      <c r="BDD45" s="595"/>
      <c r="BDE45" s="595"/>
      <c r="BDF45" s="595"/>
      <c r="BDG45" s="595"/>
      <c r="BDH45" s="595"/>
      <c r="BDI45" s="595"/>
      <c r="BDJ45" s="595"/>
      <c r="BDK45" s="595"/>
      <c r="BDL45" s="595"/>
      <c r="BDM45" s="595"/>
      <c r="BDN45" s="595"/>
      <c r="BDO45" s="595"/>
      <c r="BDP45" s="595"/>
      <c r="BDQ45" s="595"/>
      <c r="BDR45" s="595"/>
      <c r="BDS45" s="595"/>
      <c r="BDT45" s="595"/>
      <c r="BDU45" s="595"/>
      <c r="BDV45" s="595"/>
      <c r="BDW45" s="595"/>
      <c r="BDX45" s="595"/>
      <c r="BDY45" s="595"/>
      <c r="BDZ45" s="595"/>
      <c r="BEA45" s="595"/>
      <c r="BEB45" s="595"/>
      <c r="BEC45" s="595"/>
      <c r="BED45" s="595"/>
      <c r="BEE45" s="595"/>
      <c r="BEF45" s="595"/>
      <c r="BEG45" s="595"/>
      <c r="BEH45" s="595"/>
      <c r="BEI45" s="595"/>
      <c r="BEJ45" s="595"/>
      <c r="BEK45" s="595"/>
      <c r="BEL45" s="595"/>
      <c r="BEM45" s="595"/>
      <c r="BEN45" s="595"/>
      <c r="BEO45" s="595"/>
      <c r="BEP45" s="595"/>
      <c r="BEQ45" s="595"/>
      <c r="BER45" s="595"/>
      <c r="BES45" s="595"/>
      <c r="BET45" s="595"/>
      <c r="BEU45" s="595"/>
      <c r="BEV45" s="595"/>
      <c r="BEW45" s="595"/>
      <c r="BEX45" s="595"/>
      <c r="BEY45" s="595"/>
      <c r="BEZ45" s="595"/>
      <c r="BFA45" s="595"/>
      <c r="BFB45" s="595"/>
      <c r="BFC45" s="595"/>
      <c r="BFD45" s="595"/>
      <c r="BFE45" s="595"/>
      <c r="BFF45" s="595"/>
      <c r="BFG45" s="595"/>
      <c r="BFH45" s="595"/>
      <c r="BFI45" s="595"/>
      <c r="BFJ45" s="595"/>
      <c r="BFK45" s="595"/>
      <c r="BFL45" s="595"/>
      <c r="BFM45" s="595"/>
      <c r="BFN45" s="595"/>
      <c r="BFO45" s="595"/>
      <c r="BFP45" s="595"/>
      <c r="BFQ45" s="595"/>
      <c r="BFR45" s="595"/>
      <c r="BFS45" s="595"/>
      <c r="BFT45" s="595"/>
      <c r="BFU45" s="595"/>
      <c r="BFV45" s="595"/>
      <c r="BFW45" s="595"/>
      <c r="BFX45" s="595"/>
      <c r="BFY45" s="595"/>
      <c r="BFZ45" s="595"/>
      <c r="BGA45" s="595"/>
      <c r="BGB45" s="595"/>
      <c r="BGC45" s="595"/>
      <c r="BGD45" s="595"/>
      <c r="BGE45" s="595"/>
      <c r="BGF45" s="595"/>
      <c r="BGG45" s="595"/>
      <c r="BGH45" s="595"/>
      <c r="BGI45" s="595"/>
      <c r="BGJ45" s="595"/>
      <c r="BGK45" s="595"/>
      <c r="BGL45" s="595"/>
      <c r="BGM45" s="595"/>
      <c r="BGN45" s="595"/>
      <c r="BGO45" s="595"/>
      <c r="BGP45" s="595"/>
      <c r="BGQ45" s="595"/>
      <c r="BGR45" s="595"/>
      <c r="BGS45" s="595"/>
      <c r="BGT45" s="595"/>
      <c r="BGU45" s="595"/>
      <c r="BGV45" s="595"/>
      <c r="BGW45" s="595"/>
      <c r="BGX45" s="595"/>
      <c r="BGY45" s="595"/>
      <c r="BGZ45" s="595"/>
      <c r="BHA45" s="595"/>
      <c r="BHB45" s="595"/>
      <c r="BHC45" s="595"/>
      <c r="BHD45" s="595"/>
      <c r="BHE45" s="595"/>
      <c r="BHF45" s="595"/>
      <c r="BHG45" s="595"/>
      <c r="BHH45" s="595"/>
      <c r="BHI45" s="595"/>
      <c r="BHJ45" s="595"/>
      <c r="BHK45" s="595"/>
      <c r="BHL45" s="595"/>
      <c r="BHM45" s="595"/>
      <c r="BHN45" s="595"/>
      <c r="BHO45" s="595"/>
      <c r="BHP45" s="595"/>
      <c r="BHQ45" s="595"/>
      <c r="BHR45" s="595"/>
      <c r="BHS45" s="595"/>
      <c r="BHT45" s="595"/>
      <c r="BHU45" s="595"/>
      <c r="BHV45" s="595"/>
      <c r="BHW45" s="595"/>
      <c r="BHX45" s="595"/>
      <c r="BHY45" s="595"/>
      <c r="BHZ45" s="595"/>
      <c r="BIA45" s="595"/>
      <c r="BIB45" s="595"/>
      <c r="BIC45" s="595"/>
      <c r="BID45" s="595"/>
      <c r="BIE45" s="595"/>
      <c r="BIF45" s="595"/>
      <c r="BIG45" s="595"/>
      <c r="BIH45" s="595"/>
      <c r="BII45" s="595"/>
      <c r="BIJ45" s="595"/>
      <c r="BIK45" s="595"/>
      <c r="BIL45" s="595"/>
      <c r="BIM45" s="595"/>
      <c r="BIN45" s="595"/>
      <c r="BIO45" s="595"/>
      <c r="BIP45" s="595"/>
      <c r="BIQ45" s="595"/>
      <c r="BIR45" s="595"/>
      <c r="BIS45" s="595"/>
      <c r="BIT45" s="595"/>
      <c r="BIU45" s="595"/>
      <c r="BIV45" s="595"/>
      <c r="BIW45" s="595"/>
      <c r="BIX45" s="595"/>
      <c r="BIY45" s="595"/>
      <c r="BIZ45" s="595"/>
      <c r="BJA45" s="595"/>
      <c r="BJB45" s="595"/>
      <c r="BJC45" s="595"/>
      <c r="BJD45" s="595"/>
      <c r="BJE45" s="595"/>
      <c r="BJF45" s="595"/>
      <c r="BJG45" s="595"/>
      <c r="BJH45" s="595"/>
      <c r="BJI45" s="595"/>
      <c r="BJJ45" s="595"/>
      <c r="BJK45" s="595"/>
      <c r="BJL45" s="595"/>
      <c r="BJM45" s="595"/>
      <c r="BJN45" s="595"/>
      <c r="BJO45" s="595"/>
      <c r="BJP45" s="595"/>
      <c r="BJQ45" s="595"/>
      <c r="BJR45" s="595"/>
      <c r="BJS45" s="595"/>
      <c r="BJT45" s="595"/>
      <c r="BJU45" s="595"/>
      <c r="BJV45" s="595"/>
      <c r="BJW45" s="595"/>
      <c r="BJX45" s="595"/>
      <c r="BJY45" s="595"/>
      <c r="BJZ45" s="595"/>
      <c r="BKA45" s="595"/>
      <c r="BKB45" s="595"/>
      <c r="BKC45" s="595"/>
      <c r="BKD45" s="595"/>
      <c r="BKE45" s="595"/>
      <c r="BKF45" s="595"/>
      <c r="BKG45" s="595"/>
      <c r="BKH45" s="595"/>
      <c r="BKI45" s="595"/>
      <c r="BKJ45" s="595"/>
      <c r="BKK45" s="595"/>
      <c r="BKL45" s="595"/>
      <c r="BKM45" s="595"/>
      <c r="BKN45" s="595"/>
      <c r="BKO45" s="595"/>
      <c r="BKP45" s="595"/>
      <c r="BKQ45" s="595"/>
      <c r="BKR45" s="595"/>
      <c r="BKS45" s="595"/>
      <c r="BKT45" s="595"/>
      <c r="BKU45" s="595"/>
      <c r="BKV45" s="595"/>
      <c r="BKW45" s="595"/>
      <c r="BKX45" s="595"/>
      <c r="BKY45" s="595"/>
      <c r="BKZ45" s="595"/>
      <c r="BLA45" s="595"/>
      <c r="BLB45" s="595"/>
      <c r="BLC45" s="595"/>
      <c r="BLD45" s="595"/>
      <c r="BLE45" s="595"/>
      <c r="BLF45" s="595"/>
      <c r="BLG45" s="595"/>
      <c r="BLH45" s="595"/>
      <c r="BLI45" s="595"/>
      <c r="BLJ45" s="595"/>
      <c r="BLK45" s="595"/>
      <c r="BLL45" s="595"/>
      <c r="BLM45" s="595"/>
      <c r="BLN45" s="595"/>
      <c r="BLO45" s="595"/>
      <c r="BLP45" s="595"/>
      <c r="BLQ45" s="595"/>
      <c r="BLR45" s="595"/>
      <c r="BLS45" s="595"/>
      <c r="BLT45" s="595"/>
      <c r="BLU45" s="595"/>
      <c r="BLV45" s="595"/>
      <c r="BLW45" s="595"/>
      <c r="BLX45" s="595"/>
      <c r="BLY45" s="595"/>
      <c r="BLZ45" s="595"/>
      <c r="BMA45" s="595"/>
      <c r="BMB45" s="595"/>
      <c r="BMC45" s="595"/>
      <c r="BMD45" s="595"/>
      <c r="BME45" s="595"/>
      <c r="BMF45" s="595"/>
      <c r="BMG45" s="595"/>
      <c r="BMH45" s="595"/>
      <c r="BMI45" s="595"/>
      <c r="BMJ45" s="595"/>
      <c r="BMK45" s="595"/>
      <c r="BML45" s="595"/>
      <c r="BMM45" s="595"/>
      <c r="BMN45" s="595"/>
      <c r="BMO45" s="595"/>
      <c r="BMP45" s="595"/>
      <c r="BMQ45" s="595"/>
      <c r="BMR45" s="595"/>
      <c r="BMS45" s="595"/>
      <c r="BMT45" s="595"/>
      <c r="BMU45" s="595"/>
      <c r="BMV45" s="595"/>
      <c r="BMW45" s="595"/>
      <c r="BMX45" s="595"/>
      <c r="BMY45" s="595"/>
      <c r="BMZ45" s="595"/>
      <c r="BNA45" s="595"/>
      <c r="BNB45" s="595"/>
      <c r="BNC45" s="595"/>
      <c r="BND45" s="595"/>
      <c r="BNE45" s="595"/>
      <c r="BNF45" s="595"/>
      <c r="BNG45" s="595"/>
      <c r="BNH45" s="595"/>
      <c r="BNI45" s="595"/>
      <c r="BNJ45" s="595"/>
      <c r="BNK45" s="595"/>
      <c r="BNL45" s="595"/>
      <c r="BNM45" s="595"/>
      <c r="BNN45" s="595"/>
      <c r="BNO45" s="595"/>
      <c r="BNP45" s="595"/>
      <c r="BNQ45" s="595"/>
      <c r="BNR45" s="595"/>
      <c r="BNS45" s="595"/>
      <c r="BNT45" s="595"/>
      <c r="BNU45" s="595"/>
      <c r="BNV45" s="595"/>
      <c r="BNW45" s="595"/>
      <c r="BNX45" s="595"/>
      <c r="BNY45" s="595"/>
      <c r="BNZ45" s="595"/>
      <c r="BOA45" s="595"/>
      <c r="BOB45" s="595"/>
      <c r="BOC45" s="595"/>
      <c r="BOD45" s="595"/>
      <c r="BOE45" s="595"/>
      <c r="BOF45" s="595"/>
      <c r="BOG45" s="595"/>
      <c r="BOH45" s="595"/>
      <c r="BOI45" s="595"/>
      <c r="BOJ45" s="595"/>
      <c r="BOK45" s="595"/>
      <c r="BOL45" s="595"/>
      <c r="BOM45" s="595"/>
      <c r="BON45" s="595"/>
      <c r="BOO45" s="595"/>
      <c r="BOP45" s="595"/>
      <c r="BOQ45" s="595"/>
      <c r="BOR45" s="595"/>
      <c r="BOS45" s="595"/>
      <c r="BOT45" s="595"/>
      <c r="BOU45" s="595"/>
      <c r="BOV45" s="595"/>
      <c r="BOW45" s="595"/>
      <c r="BOX45" s="595"/>
      <c r="BOY45" s="595"/>
      <c r="BOZ45" s="595"/>
      <c r="BPA45" s="595"/>
      <c r="BPB45" s="595"/>
      <c r="BPC45" s="595"/>
      <c r="BPD45" s="595"/>
      <c r="BPE45" s="595"/>
      <c r="BPF45" s="595"/>
      <c r="BPG45" s="595"/>
      <c r="BPH45" s="595"/>
      <c r="BPI45" s="595"/>
      <c r="BPJ45" s="595"/>
      <c r="BPK45" s="595"/>
      <c r="BPL45" s="595"/>
      <c r="BPM45" s="595"/>
      <c r="BPN45" s="595"/>
      <c r="BPO45" s="595"/>
      <c r="BPP45" s="595"/>
      <c r="BPQ45" s="595"/>
      <c r="BPR45" s="595"/>
      <c r="BPS45" s="595"/>
      <c r="BPT45" s="595"/>
      <c r="BPU45" s="595"/>
      <c r="BPV45" s="595"/>
      <c r="BPW45" s="595"/>
      <c r="BPX45" s="595"/>
      <c r="BPY45" s="595"/>
      <c r="BPZ45" s="595"/>
      <c r="BQA45" s="595"/>
      <c r="BQB45" s="595"/>
      <c r="BQC45" s="595"/>
      <c r="BQD45" s="595"/>
      <c r="BQE45" s="595"/>
      <c r="BQF45" s="595"/>
      <c r="BQG45" s="595"/>
      <c r="BQH45" s="595"/>
      <c r="BQI45" s="595"/>
      <c r="BQJ45" s="595"/>
      <c r="BQK45" s="595"/>
      <c r="BQL45" s="595"/>
      <c r="BQM45" s="595"/>
      <c r="BQN45" s="595"/>
      <c r="BQO45" s="595"/>
      <c r="BQP45" s="595"/>
      <c r="BQQ45" s="595"/>
      <c r="BQR45" s="595"/>
      <c r="BQS45" s="595"/>
      <c r="BQT45" s="595"/>
      <c r="BQU45" s="595"/>
      <c r="BQV45" s="595"/>
      <c r="BQW45" s="595"/>
      <c r="BQX45" s="595"/>
      <c r="BQY45" s="595"/>
      <c r="BQZ45" s="595"/>
      <c r="BRA45" s="595"/>
      <c r="BRB45" s="595"/>
      <c r="BRC45" s="595"/>
      <c r="BRD45" s="595"/>
      <c r="BRE45" s="595"/>
      <c r="BRF45" s="595"/>
      <c r="BRG45" s="595"/>
      <c r="BRH45" s="595"/>
      <c r="BRI45" s="595"/>
      <c r="BRJ45" s="595"/>
      <c r="BRK45" s="595"/>
      <c r="BRL45" s="595"/>
      <c r="BRM45" s="595"/>
      <c r="BRN45" s="595"/>
      <c r="BRO45" s="595"/>
      <c r="BRP45" s="595"/>
      <c r="BRQ45" s="595"/>
      <c r="BRR45" s="595"/>
      <c r="BRS45" s="595"/>
      <c r="BRT45" s="595"/>
      <c r="BRU45" s="595"/>
      <c r="BRV45" s="595"/>
      <c r="BRW45" s="595"/>
      <c r="BRX45" s="595"/>
      <c r="BRY45" s="595"/>
      <c r="BRZ45" s="595"/>
      <c r="BSA45" s="595"/>
      <c r="BSB45" s="595"/>
      <c r="BSC45" s="595"/>
      <c r="BSD45" s="595"/>
      <c r="BSE45" s="595"/>
      <c r="BSF45" s="595"/>
      <c r="BSG45" s="595"/>
      <c r="BSH45" s="595"/>
      <c r="BSI45" s="595"/>
      <c r="BSJ45" s="595"/>
      <c r="BSK45" s="595"/>
      <c r="BSL45" s="595"/>
      <c r="BSM45" s="595"/>
      <c r="BSN45" s="595"/>
      <c r="BSO45" s="595"/>
      <c r="BSP45" s="595"/>
      <c r="BSQ45" s="595"/>
      <c r="BSR45" s="595"/>
      <c r="BSS45" s="595"/>
      <c r="BST45" s="595"/>
      <c r="BSU45" s="595"/>
      <c r="BSV45" s="595"/>
      <c r="BSW45" s="595"/>
      <c r="BSX45" s="595"/>
      <c r="BSY45" s="595"/>
      <c r="BSZ45" s="595"/>
      <c r="BTA45" s="595"/>
      <c r="BTB45" s="595"/>
      <c r="BTC45" s="595"/>
      <c r="BTD45" s="595"/>
      <c r="BTE45" s="595"/>
      <c r="BTF45" s="595"/>
      <c r="BTG45" s="595"/>
      <c r="BTH45" s="595"/>
      <c r="BTI45" s="595"/>
      <c r="BTJ45" s="595"/>
      <c r="BTK45" s="595"/>
      <c r="BTL45" s="595"/>
      <c r="BTM45" s="595"/>
      <c r="BTN45" s="595"/>
      <c r="BTO45" s="595"/>
      <c r="BTP45" s="595"/>
      <c r="BTQ45" s="595"/>
      <c r="BTR45" s="595"/>
      <c r="BTS45" s="595"/>
      <c r="BTT45" s="595"/>
      <c r="BTU45" s="595"/>
      <c r="BTV45" s="595"/>
      <c r="BTW45" s="595"/>
      <c r="BTX45" s="595"/>
      <c r="BTY45" s="595"/>
      <c r="BTZ45" s="595"/>
      <c r="BUA45" s="595"/>
      <c r="BUB45" s="595"/>
      <c r="BUC45" s="595"/>
      <c r="BUD45" s="595"/>
      <c r="BUE45" s="595"/>
      <c r="BUF45" s="595"/>
      <c r="BUG45" s="595"/>
      <c r="BUH45" s="595"/>
      <c r="BUI45" s="595"/>
      <c r="BUJ45" s="595"/>
      <c r="BUK45" s="595"/>
      <c r="BUL45" s="595"/>
      <c r="BUM45" s="595"/>
      <c r="BUN45" s="595"/>
      <c r="BUO45" s="595"/>
      <c r="BUP45" s="595"/>
      <c r="BUQ45" s="595"/>
      <c r="BUR45" s="595"/>
      <c r="BUS45" s="595"/>
      <c r="BUT45" s="595"/>
      <c r="BUU45" s="595"/>
      <c r="BUV45" s="595"/>
      <c r="BUW45" s="595"/>
      <c r="BUX45" s="595"/>
      <c r="BUY45" s="595"/>
      <c r="BUZ45" s="595"/>
      <c r="BVA45" s="595"/>
      <c r="BVB45" s="595"/>
      <c r="BVC45" s="595"/>
      <c r="BVD45" s="595"/>
      <c r="BVE45" s="595"/>
      <c r="BVF45" s="595"/>
      <c r="BVG45" s="595"/>
      <c r="BVH45" s="595"/>
      <c r="BVI45" s="595"/>
      <c r="BVJ45" s="595"/>
      <c r="BVK45" s="595"/>
      <c r="BVL45" s="595"/>
      <c r="BVM45" s="595"/>
      <c r="BVN45" s="595"/>
      <c r="BVO45" s="595"/>
      <c r="BVP45" s="595"/>
      <c r="BVQ45" s="595"/>
      <c r="BVR45" s="595"/>
      <c r="BVS45" s="595"/>
      <c r="BVT45" s="595"/>
      <c r="BVU45" s="595"/>
      <c r="BVV45" s="595"/>
      <c r="BVW45" s="595"/>
      <c r="BVX45" s="595"/>
      <c r="BVY45" s="595"/>
      <c r="BVZ45" s="595"/>
      <c r="BWA45" s="595"/>
      <c r="BWB45" s="595"/>
      <c r="BWC45" s="595"/>
      <c r="BWD45" s="595"/>
      <c r="BWE45" s="595"/>
      <c r="BWF45" s="595"/>
      <c r="BWG45" s="595"/>
      <c r="BWH45" s="595"/>
      <c r="BWI45" s="595"/>
      <c r="BWJ45" s="595"/>
      <c r="BWK45" s="595"/>
      <c r="BWL45" s="595"/>
      <c r="BWM45" s="595"/>
      <c r="BWN45" s="595"/>
      <c r="BWO45" s="595"/>
      <c r="BWP45" s="595"/>
      <c r="BWQ45" s="595"/>
      <c r="BWR45" s="595"/>
      <c r="BWS45" s="595"/>
      <c r="BWT45" s="595"/>
      <c r="BWU45" s="595"/>
      <c r="BWV45" s="595"/>
      <c r="BWW45" s="595"/>
      <c r="BWX45" s="595"/>
      <c r="BWY45" s="595"/>
      <c r="BWZ45" s="595"/>
      <c r="BXA45" s="595"/>
      <c r="BXB45" s="595"/>
      <c r="BXC45" s="595"/>
      <c r="BXD45" s="595"/>
      <c r="BXE45" s="595"/>
      <c r="BXF45" s="595"/>
      <c r="BXG45" s="595"/>
      <c r="BXH45" s="595"/>
      <c r="BXI45" s="595"/>
      <c r="BXJ45" s="595"/>
      <c r="BXK45" s="595"/>
      <c r="BXL45" s="595"/>
      <c r="BXM45" s="595"/>
      <c r="BXN45" s="595"/>
      <c r="BXO45" s="595"/>
      <c r="BXP45" s="595"/>
      <c r="BXQ45" s="595"/>
      <c r="BXR45" s="595"/>
      <c r="BXS45" s="595"/>
      <c r="BXT45" s="595"/>
      <c r="BXU45" s="595"/>
      <c r="BXV45" s="595"/>
      <c r="BXW45" s="595"/>
      <c r="BXX45" s="595"/>
      <c r="BXY45" s="595"/>
      <c r="BXZ45" s="595"/>
      <c r="BYA45" s="595"/>
      <c r="BYB45" s="595"/>
      <c r="BYC45" s="595"/>
      <c r="BYD45" s="595"/>
      <c r="BYE45" s="595"/>
      <c r="BYF45" s="595"/>
      <c r="BYG45" s="595"/>
      <c r="BYH45" s="595"/>
      <c r="BYI45" s="595"/>
      <c r="BYJ45" s="595"/>
      <c r="BYK45" s="595"/>
      <c r="BYL45" s="595"/>
      <c r="BYM45" s="595"/>
      <c r="BYN45" s="595"/>
      <c r="BYO45" s="595"/>
      <c r="BYP45" s="595"/>
      <c r="BYQ45" s="595"/>
      <c r="BYR45" s="595"/>
      <c r="BYS45" s="595"/>
      <c r="BYT45" s="595"/>
      <c r="BYU45" s="595"/>
      <c r="BYV45" s="595"/>
      <c r="BYW45" s="595"/>
      <c r="BYX45" s="595"/>
      <c r="BYY45" s="595"/>
      <c r="BYZ45" s="595"/>
      <c r="BZA45" s="595"/>
      <c r="BZB45" s="595"/>
      <c r="BZC45" s="595"/>
      <c r="BZD45" s="595"/>
      <c r="BZE45" s="595"/>
      <c r="BZF45" s="595"/>
      <c r="BZG45" s="595"/>
      <c r="BZH45" s="595"/>
      <c r="BZI45" s="595"/>
      <c r="BZJ45" s="595"/>
      <c r="BZK45" s="595"/>
      <c r="BZL45" s="595"/>
      <c r="BZM45" s="595"/>
      <c r="BZN45" s="595"/>
      <c r="BZO45" s="595"/>
      <c r="BZP45" s="595"/>
      <c r="BZQ45" s="595"/>
      <c r="BZR45" s="595"/>
      <c r="BZS45" s="595"/>
      <c r="BZT45" s="595"/>
      <c r="BZU45" s="595"/>
      <c r="BZV45" s="595"/>
      <c r="BZW45" s="595"/>
      <c r="BZX45" s="595"/>
      <c r="BZY45" s="595"/>
      <c r="BZZ45" s="595"/>
      <c r="CAA45" s="595"/>
      <c r="CAB45" s="595"/>
      <c r="CAC45" s="595"/>
      <c r="CAD45" s="595"/>
      <c r="CAE45" s="595"/>
      <c r="CAF45" s="595"/>
      <c r="CAG45" s="595"/>
      <c r="CAH45" s="595"/>
      <c r="CAI45" s="595"/>
      <c r="CAJ45" s="595"/>
      <c r="CAK45" s="595"/>
      <c r="CAL45" s="595"/>
      <c r="CAM45" s="595"/>
      <c r="CAN45" s="595"/>
      <c r="CAO45" s="595"/>
      <c r="CAP45" s="595"/>
      <c r="CAQ45" s="595"/>
      <c r="CAR45" s="595"/>
      <c r="CAS45" s="595"/>
      <c r="CAT45" s="595"/>
      <c r="CAU45" s="595"/>
      <c r="CAV45" s="595"/>
      <c r="CAW45" s="595"/>
      <c r="CAX45" s="595"/>
      <c r="CAY45" s="595"/>
      <c r="CAZ45" s="595"/>
      <c r="CBA45" s="595"/>
      <c r="CBB45" s="595"/>
      <c r="CBC45" s="595"/>
      <c r="CBD45" s="595"/>
      <c r="CBE45" s="595"/>
      <c r="CBF45" s="595"/>
      <c r="CBG45" s="595"/>
      <c r="CBH45" s="595"/>
      <c r="CBI45" s="595"/>
      <c r="CBJ45" s="595"/>
      <c r="CBK45" s="595"/>
      <c r="CBL45" s="595"/>
      <c r="CBM45" s="595"/>
      <c r="CBN45" s="595"/>
      <c r="CBO45" s="595"/>
      <c r="CBP45" s="595"/>
      <c r="CBQ45" s="595"/>
      <c r="CBR45" s="595"/>
      <c r="CBS45" s="595"/>
      <c r="CBT45" s="595"/>
      <c r="CBU45" s="595"/>
      <c r="CBV45" s="595"/>
      <c r="CBW45" s="595"/>
      <c r="CBX45" s="595"/>
      <c r="CBY45" s="595"/>
      <c r="CBZ45" s="595"/>
      <c r="CCA45" s="595"/>
      <c r="CCB45" s="595"/>
      <c r="CCC45" s="595"/>
      <c r="CCD45" s="595"/>
      <c r="CCE45" s="595"/>
      <c r="CCF45" s="595"/>
      <c r="CCG45" s="595"/>
      <c r="CCH45" s="595"/>
      <c r="CCI45" s="595"/>
      <c r="CCJ45" s="595"/>
      <c r="CCK45" s="595"/>
      <c r="CCL45" s="595"/>
      <c r="CCM45" s="595"/>
      <c r="CCN45" s="595"/>
      <c r="CCO45" s="595"/>
      <c r="CCP45" s="595"/>
      <c r="CCQ45" s="595"/>
      <c r="CCR45" s="595"/>
      <c r="CCS45" s="595"/>
      <c r="CCT45" s="595"/>
      <c r="CCU45" s="595"/>
      <c r="CCV45" s="595"/>
      <c r="CCW45" s="595"/>
      <c r="CCX45" s="595"/>
      <c r="CCY45" s="595"/>
      <c r="CCZ45" s="595"/>
      <c r="CDA45" s="595"/>
      <c r="CDB45" s="595"/>
      <c r="CDC45" s="595"/>
      <c r="CDD45" s="595"/>
      <c r="CDE45" s="595"/>
      <c r="CDF45" s="595"/>
      <c r="CDG45" s="595"/>
      <c r="CDH45" s="595"/>
      <c r="CDI45" s="595"/>
      <c r="CDJ45" s="595"/>
      <c r="CDK45" s="595"/>
      <c r="CDL45" s="595"/>
      <c r="CDM45" s="595"/>
      <c r="CDN45" s="595"/>
      <c r="CDO45" s="595"/>
      <c r="CDP45" s="595"/>
      <c r="CDQ45" s="595"/>
      <c r="CDR45" s="595"/>
      <c r="CDS45" s="595"/>
      <c r="CDT45" s="595"/>
      <c r="CDU45" s="595"/>
      <c r="CDV45" s="595"/>
      <c r="CDW45" s="595"/>
      <c r="CDX45" s="595"/>
      <c r="CDY45" s="595"/>
      <c r="CDZ45" s="595"/>
      <c r="CEA45" s="595"/>
      <c r="CEB45" s="595"/>
      <c r="CEC45" s="595"/>
      <c r="CED45" s="595"/>
      <c r="CEE45" s="595"/>
      <c r="CEF45" s="595"/>
      <c r="CEG45" s="595"/>
      <c r="CEH45" s="595"/>
      <c r="CEI45" s="595"/>
      <c r="CEJ45" s="595"/>
      <c r="CEK45" s="595"/>
      <c r="CEL45" s="595"/>
      <c r="CEM45" s="595"/>
      <c r="CEN45" s="595"/>
      <c r="CEO45" s="595"/>
      <c r="CEP45" s="595"/>
      <c r="CEQ45" s="595"/>
      <c r="CER45" s="595"/>
      <c r="CES45" s="595"/>
      <c r="CET45" s="595"/>
      <c r="CEU45" s="595"/>
      <c r="CEV45" s="595"/>
      <c r="CEW45" s="595"/>
      <c r="CEX45" s="595"/>
      <c r="CEY45" s="595"/>
      <c r="CEZ45" s="595"/>
      <c r="CFA45" s="595"/>
      <c r="CFB45" s="595"/>
      <c r="CFC45" s="595"/>
      <c r="CFD45" s="595"/>
      <c r="CFE45" s="595"/>
      <c r="CFF45" s="595"/>
      <c r="CFG45" s="595"/>
      <c r="CFH45" s="595"/>
      <c r="CFI45" s="595"/>
      <c r="CFJ45" s="595"/>
      <c r="CFK45" s="595"/>
      <c r="CFL45" s="595"/>
      <c r="CFM45" s="595"/>
      <c r="CFN45" s="595"/>
      <c r="CFO45" s="595"/>
      <c r="CFP45" s="595"/>
      <c r="CFQ45" s="595"/>
      <c r="CFR45" s="595"/>
      <c r="CFS45" s="595"/>
      <c r="CFT45" s="595"/>
      <c r="CFU45" s="595"/>
      <c r="CFV45" s="595"/>
      <c r="CFW45" s="595"/>
      <c r="CFX45" s="595"/>
      <c r="CFY45" s="595"/>
      <c r="CFZ45" s="595"/>
      <c r="CGA45" s="595"/>
      <c r="CGB45" s="595"/>
      <c r="CGC45" s="595"/>
      <c r="CGD45" s="595"/>
      <c r="CGE45" s="595"/>
      <c r="CGF45" s="595"/>
      <c r="CGG45" s="595"/>
      <c r="CGH45" s="595"/>
      <c r="CGI45" s="595"/>
      <c r="CGJ45" s="595"/>
      <c r="CGK45" s="595"/>
      <c r="CGL45" s="595"/>
      <c r="CGM45" s="595"/>
      <c r="CGN45" s="595"/>
      <c r="CGO45" s="595"/>
      <c r="CGP45" s="595"/>
      <c r="CGQ45" s="595"/>
      <c r="CGR45" s="595"/>
      <c r="CGS45" s="595"/>
      <c r="CGT45" s="595"/>
      <c r="CGU45" s="595"/>
      <c r="CGV45" s="595"/>
      <c r="CGW45" s="595"/>
      <c r="CGX45" s="595"/>
      <c r="CGY45" s="595"/>
      <c r="CGZ45" s="595"/>
      <c r="CHA45" s="595"/>
      <c r="CHB45" s="595"/>
      <c r="CHC45" s="595"/>
      <c r="CHD45" s="595"/>
      <c r="CHE45" s="595"/>
      <c r="CHF45" s="595"/>
      <c r="CHG45" s="595"/>
      <c r="CHH45" s="595"/>
      <c r="CHI45" s="595"/>
      <c r="CHJ45" s="595"/>
      <c r="CHK45" s="595"/>
      <c r="CHL45" s="595"/>
      <c r="CHM45" s="595"/>
      <c r="CHN45" s="595"/>
      <c r="CHO45" s="595"/>
      <c r="CHP45" s="595"/>
      <c r="CHQ45" s="595"/>
      <c r="CHR45" s="595"/>
      <c r="CHS45" s="595"/>
      <c r="CHT45" s="595"/>
      <c r="CHU45" s="595"/>
      <c r="CHV45" s="595"/>
      <c r="CHW45" s="595"/>
      <c r="CHX45" s="595"/>
      <c r="CHY45" s="595"/>
      <c r="CHZ45" s="595"/>
      <c r="CIA45" s="595"/>
      <c r="CIB45" s="595"/>
      <c r="CIC45" s="595"/>
      <c r="CID45" s="595"/>
      <c r="CIE45" s="595"/>
      <c r="CIF45" s="595"/>
      <c r="CIG45" s="595"/>
      <c r="CIH45" s="595"/>
      <c r="CII45" s="595"/>
      <c r="CIJ45" s="595"/>
      <c r="CIK45" s="595"/>
      <c r="CIL45" s="595"/>
      <c r="CIM45" s="595"/>
      <c r="CIN45" s="595"/>
      <c r="CIO45" s="595"/>
      <c r="CIP45" s="595"/>
      <c r="CIQ45" s="595"/>
      <c r="CIR45" s="595"/>
      <c r="CIS45" s="595"/>
      <c r="CIT45" s="595"/>
      <c r="CIU45" s="595"/>
      <c r="CIV45" s="595"/>
      <c r="CIW45" s="595"/>
      <c r="CIX45" s="595"/>
      <c r="CIY45" s="595"/>
      <c r="CIZ45" s="595"/>
      <c r="CJA45" s="595"/>
      <c r="CJB45" s="595"/>
      <c r="CJC45" s="595"/>
      <c r="CJD45" s="595"/>
      <c r="CJE45" s="595"/>
      <c r="CJF45" s="595"/>
      <c r="CJG45" s="595"/>
      <c r="CJH45" s="595"/>
      <c r="CJI45" s="595"/>
      <c r="CJJ45" s="595"/>
      <c r="CJK45" s="595"/>
      <c r="CJL45" s="595"/>
      <c r="CJM45" s="595"/>
      <c r="CJN45" s="595"/>
      <c r="CJO45" s="595"/>
      <c r="CJP45" s="595"/>
      <c r="CJQ45" s="595"/>
      <c r="CJR45" s="595"/>
      <c r="CJS45" s="595"/>
      <c r="CJT45" s="595"/>
      <c r="CJU45" s="595"/>
      <c r="CJV45" s="595"/>
      <c r="CJW45" s="595"/>
      <c r="CJX45" s="595"/>
      <c r="CJY45" s="595"/>
      <c r="CJZ45" s="595"/>
      <c r="CKA45" s="595"/>
      <c r="CKB45" s="595"/>
      <c r="CKC45" s="595"/>
      <c r="CKD45" s="595"/>
      <c r="CKE45" s="595"/>
      <c r="CKF45" s="595"/>
      <c r="CKG45" s="595"/>
      <c r="CKH45" s="595"/>
      <c r="CKI45" s="595"/>
      <c r="CKJ45" s="595"/>
      <c r="CKK45" s="595"/>
      <c r="CKL45" s="595"/>
      <c r="CKM45" s="595"/>
      <c r="CKN45" s="595"/>
      <c r="CKO45" s="595"/>
      <c r="CKP45" s="595"/>
      <c r="CKQ45" s="595"/>
      <c r="CKR45" s="595"/>
      <c r="CKS45" s="595"/>
      <c r="CKT45" s="595"/>
      <c r="CKU45" s="595"/>
      <c r="CKV45" s="595"/>
      <c r="CKW45" s="595"/>
      <c r="CKX45" s="595"/>
      <c r="CKY45" s="595"/>
      <c r="CKZ45" s="595"/>
      <c r="CLA45" s="595"/>
      <c r="CLB45" s="595"/>
      <c r="CLC45" s="595"/>
      <c r="CLD45" s="595"/>
      <c r="CLE45" s="595"/>
      <c r="CLF45" s="595"/>
      <c r="CLG45" s="595"/>
      <c r="CLH45" s="595"/>
      <c r="CLI45" s="595"/>
      <c r="CLJ45" s="595"/>
      <c r="CLK45" s="595"/>
      <c r="CLL45" s="595"/>
      <c r="CLM45" s="595"/>
      <c r="CLN45" s="595"/>
      <c r="CLO45" s="595"/>
      <c r="CLP45" s="595"/>
      <c r="CLQ45" s="595"/>
      <c r="CLR45" s="595"/>
      <c r="CLS45" s="595"/>
      <c r="CLT45" s="595"/>
      <c r="CLU45" s="595"/>
      <c r="CLV45" s="595"/>
      <c r="CLW45" s="595"/>
      <c r="CLX45" s="595"/>
      <c r="CLY45" s="595"/>
      <c r="CLZ45" s="595"/>
      <c r="CMA45" s="595"/>
      <c r="CMB45" s="595"/>
      <c r="CMC45" s="595"/>
      <c r="CMD45" s="595"/>
      <c r="CME45" s="595"/>
      <c r="CMF45" s="595"/>
      <c r="CMG45" s="595"/>
      <c r="CMH45" s="595"/>
      <c r="CMI45" s="595"/>
      <c r="CMJ45" s="595"/>
      <c r="CMK45" s="595"/>
      <c r="CML45" s="595"/>
      <c r="CMM45" s="595"/>
      <c r="CMN45" s="595"/>
      <c r="CMO45" s="595"/>
      <c r="CMP45" s="595"/>
      <c r="CMQ45" s="595"/>
      <c r="CMR45" s="595"/>
      <c r="CMS45" s="595"/>
      <c r="CMT45" s="595"/>
      <c r="CMU45" s="595"/>
      <c r="CMV45" s="595"/>
      <c r="CMW45" s="595"/>
      <c r="CMX45" s="595"/>
      <c r="CMY45" s="595"/>
      <c r="CMZ45" s="595"/>
      <c r="CNA45" s="595"/>
      <c r="CNB45" s="595"/>
      <c r="CNC45" s="595"/>
      <c r="CND45" s="595"/>
      <c r="CNE45" s="595"/>
      <c r="CNF45" s="595"/>
      <c r="CNG45" s="595"/>
      <c r="CNH45" s="595"/>
      <c r="CNI45" s="595"/>
      <c r="CNJ45" s="595"/>
      <c r="CNK45" s="595"/>
      <c r="CNL45" s="595"/>
      <c r="CNM45" s="595"/>
      <c r="CNN45" s="595"/>
      <c r="CNO45" s="595"/>
      <c r="CNP45" s="595"/>
      <c r="CNQ45" s="595"/>
      <c r="CNR45" s="595"/>
      <c r="CNS45" s="595"/>
      <c r="CNT45" s="595"/>
      <c r="CNU45" s="595"/>
      <c r="CNV45" s="595"/>
      <c r="CNW45" s="595"/>
      <c r="CNX45" s="595"/>
      <c r="CNY45" s="595"/>
      <c r="CNZ45" s="595"/>
      <c r="COA45" s="595"/>
      <c r="COB45" s="595"/>
      <c r="COC45" s="595"/>
      <c r="COD45" s="595"/>
      <c r="COE45" s="595"/>
      <c r="COF45" s="595"/>
      <c r="COG45" s="595"/>
      <c r="COH45" s="595"/>
      <c r="COI45" s="595"/>
      <c r="COJ45" s="595"/>
      <c r="COK45" s="595"/>
      <c r="COL45" s="595"/>
      <c r="COM45" s="595"/>
      <c r="CON45" s="595"/>
      <c r="COO45" s="595"/>
      <c r="COP45" s="595"/>
      <c r="COQ45" s="595"/>
      <c r="COR45" s="595"/>
      <c r="COS45" s="595"/>
      <c r="COT45" s="595"/>
      <c r="COU45" s="595"/>
      <c r="COV45" s="595"/>
      <c r="COW45" s="595"/>
      <c r="COX45" s="595"/>
      <c r="COY45" s="595"/>
      <c r="COZ45" s="595"/>
      <c r="CPA45" s="595"/>
      <c r="CPB45" s="595"/>
      <c r="CPC45" s="595"/>
      <c r="CPD45" s="595"/>
      <c r="CPE45" s="595"/>
      <c r="CPF45" s="595"/>
      <c r="CPG45" s="595"/>
      <c r="CPH45" s="595"/>
      <c r="CPI45" s="595"/>
      <c r="CPJ45" s="595"/>
      <c r="CPK45" s="595"/>
      <c r="CPL45" s="595"/>
      <c r="CPM45" s="595"/>
      <c r="CPN45" s="595"/>
      <c r="CPO45" s="595"/>
      <c r="CPP45" s="595"/>
      <c r="CPQ45" s="595"/>
      <c r="CPR45" s="595"/>
      <c r="CPS45" s="595"/>
      <c r="CPT45" s="595"/>
      <c r="CPU45" s="595"/>
      <c r="CPV45" s="595"/>
      <c r="CPW45" s="595"/>
      <c r="CPX45" s="595"/>
      <c r="CPY45" s="595"/>
      <c r="CPZ45" s="595"/>
      <c r="CQA45" s="595"/>
      <c r="CQB45" s="595"/>
      <c r="CQC45" s="595"/>
      <c r="CQD45" s="595"/>
      <c r="CQE45" s="595"/>
      <c r="CQF45" s="595"/>
      <c r="CQG45" s="595"/>
      <c r="CQH45" s="595"/>
      <c r="CQI45" s="595"/>
      <c r="CQJ45" s="595"/>
      <c r="CQK45" s="595"/>
      <c r="CQL45" s="595"/>
      <c r="CQM45" s="595"/>
      <c r="CQN45" s="595"/>
      <c r="CQO45" s="595"/>
      <c r="CQP45" s="595"/>
      <c r="CQQ45" s="595"/>
      <c r="CQR45" s="595"/>
      <c r="CQS45" s="595"/>
      <c r="CQT45" s="595"/>
      <c r="CQU45" s="595"/>
      <c r="CQV45" s="595"/>
      <c r="CQW45" s="595"/>
      <c r="CQX45" s="595"/>
      <c r="CQY45" s="595"/>
      <c r="CQZ45" s="595"/>
      <c r="CRA45" s="595"/>
      <c r="CRB45" s="595"/>
      <c r="CRC45" s="595"/>
      <c r="CRD45" s="595"/>
      <c r="CRE45" s="595"/>
      <c r="CRF45" s="595"/>
      <c r="CRG45" s="595"/>
      <c r="CRH45" s="595"/>
      <c r="CRI45" s="595"/>
      <c r="CRJ45" s="595"/>
      <c r="CRK45" s="595"/>
      <c r="CRL45" s="595"/>
      <c r="CRM45" s="595"/>
      <c r="CRN45" s="595"/>
      <c r="CRO45" s="595"/>
      <c r="CRP45" s="595"/>
      <c r="CRQ45" s="595"/>
      <c r="CRR45" s="595"/>
      <c r="CRS45" s="595"/>
      <c r="CRT45" s="595"/>
      <c r="CRU45" s="595"/>
      <c r="CRV45" s="595"/>
      <c r="CRW45" s="595"/>
      <c r="CRX45" s="595"/>
      <c r="CRY45" s="595"/>
      <c r="CRZ45" s="595"/>
      <c r="CSA45" s="595"/>
      <c r="CSB45" s="595"/>
      <c r="CSC45" s="595"/>
      <c r="CSD45" s="595"/>
      <c r="CSE45" s="595"/>
      <c r="CSF45" s="595"/>
      <c r="CSG45" s="595"/>
      <c r="CSH45" s="595"/>
      <c r="CSI45" s="595"/>
      <c r="CSJ45" s="595"/>
      <c r="CSK45" s="595"/>
      <c r="CSL45" s="595"/>
      <c r="CSM45" s="595"/>
      <c r="CSN45" s="595"/>
      <c r="CSO45" s="595"/>
      <c r="CSP45" s="595"/>
      <c r="CSQ45" s="595"/>
      <c r="CSR45" s="595"/>
      <c r="CSS45" s="595"/>
      <c r="CST45" s="595"/>
      <c r="CSU45" s="595"/>
      <c r="CSV45" s="595"/>
      <c r="CSW45" s="595"/>
      <c r="CSX45" s="595"/>
      <c r="CSY45" s="595"/>
      <c r="CSZ45" s="595"/>
      <c r="CTA45" s="595"/>
      <c r="CTB45" s="595"/>
      <c r="CTC45" s="595"/>
      <c r="CTD45" s="595"/>
      <c r="CTE45" s="595"/>
      <c r="CTF45" s="595"/>
      <c r="CTG45" s="595"/>
      <c r="CTH45" s="595"/>
      <c r="CTI45" s="595"/>
      <c r="CTJ45" s="595"/>
      <c r="CTK45" s="595"/>
      <c r="CTL45" s="595"/>
      <c r="CTM45" s="595"/>
      <c r="CTN45" s="595"/>
      <c r="CTO45" s="595"/>
      <c r="CTP45" s="595"/>
      <c r="CTQ45" s="595"/>
      <c r="CTR45" s="595"/>
      <c r="CTS45" s="595"/>
      <c r="CTT45" s="595"/>
      <c r="CTU45" s="595"/>
      <c r="CTV45" s="595"/>
      <c r="CTW45" s="595"/>
      <c r="CTX45" s="595"/>
      <c r="CTY45" s="595"/>
      <c r="CTZ45" s="595"/>
      <c r="CUA45" s="595"/>
      <c r="CUB45" s="595"/>
      <c r="CUC45" s="595"/>
      <c r="CUD45" s="595"/>
      <c r="CUE45" s="595"/>
      <c r="CUF45" s="595"/>
      <c r="CUG45" s="595"/>
      <c r="CUH45" s="595"/>
      <c r="CUI45" s="595"/>
      <c r="CUJ45" s="595"/>
      <c r="CUK45" s="595"/>
      <c r="CUL45" s="595"/>
      <c r="CUM45" s="595"/>
      <c r="CUN45" s="595"/>
      <c r="CUO45" s="595"/>
      <c r="CUP45" s="595"/>
      <c r="CUQ45" s="595"/>
      <c r="CUR45" s="595"/>
      <c r="CUS45" s="595"/>
      <c r="CUT45" s="595"/>
      <c r="CUU45" s="595"/>
      <c r="CUV45" s="595"/>
      <c r="CUW45" s="595"/>
      <c r="CUX45" s="595"/>
      <c r="CUY45" s="595"/>
      <c r="CUZ45" s="595"/>
      <c r="CVA45" s="595"/>
      <c r="CVB45" s="595"/>
      <c r="CVC45" s="595"/>
      <c r="CVD45" s="595"/>
      <c r="CVE45" s="595"/>
      <c r="CVF45" s="595"/>
      <c r="CVG45" s="595"/>
      <c r="CVH45" s="595"/>
      <c r="CVI45" s="595"/>
      <c r="CVJ45" s="595"/>
      <c r="CVK45" s="595"/>
      <c r="CVL45" s="595"/>
      <c r="CVM45" s="595"/>
      <c r="CVN45" s="595"/>
      <c r="CVO45" s="595"/>
      <c r="CVP45" s="595"/>
      <c r="CVQ45" s="595"/>
      <c r="CVR45" s="595"/>
      <c r="CVS45" s="595"/>
      <c r="CVT45" s="595"/>
      <c r="CVU45" s="595"/>
      <c r="CVV45" s="595"/>
      <c r="CVW45" s="595"/>
      <c r="CVX45" s="595"/>
      <c r="CVY45" s="595"/>
      <c r="CVZ45" s="595"/>
      <c r="CWA45" s="595"/>
      <c r="CWB45" s="595"/>
      <c r="CWC45" s="595"/>
      <c r="CWD45" s="595"/>
      <c r="CWE45" s="595"/>
      <c r="CWF45" s="595"/>
      <c r="CWG45" s="595"/>
      <c r="CWH45" s="595"/>
      <c r="CWI45" s="595"/>
      <c r="CWJ45" s="595"/>
      <c r="CWK45" s="595"/>
      <c r="CWL45" s="595"/>
      <c r="CWM45" s="595"/>
      <c r="CWN45" s="595"/>
      <c r="CWO45" s="595"/>
      <c r="CWP45" s="595"/>
      <c r="CWQ45" s="595"/>
      <c r="CWR45" s="595"/>
      <c r="CWS45" s="595"/>
      <c r="CWT45" s="595"/>
      <c r="CWU45" s="595"/>
      <c r="CWV45" s="595"/>
      <c r="CWW45" s="595"/>
      <c r="CWX45" s="595"/>
      <c r="CWY45" s="595"/>
      <c r="CWZ45" s="595"/>
      <c r="CXA45" s="595"/>
      <c r="CXB45" s="595"/>
      <c r="CXC45" s="595"/>
      <c r="CXD45" s="595"/>
      <c r="CXE45" s="595"/>
      <c r="CXF45" s="595"/>
      <c r="CXG45" s="595"/>
      <c r="CXH45" s="595"/>
      <c r="CXI45" s="595"/>
      <c r="CXJ45" s="595"/>
      <c r="CXK45" s="595"/>
      <c r="CXL45" s="595"/>
      <c r="CXM45" s="595"/>
      <c r="CXN45" s="595"/>
      <c r="CXO45" s="595"/>
      <c r="CXP45" s="595"/>
      <c r="CXQ45" s="595"/>
      <c r="CXR45" s="595"/>
      <c r="CXS45" s="595"/>
      <c r="CXT45" s="595"/>
      <c r="CXU45" s="595"/>
      <c r="CXV45" s="595"/>
      <c r="CXW45" s="595"/>
      <c r="CXX45" s="595"/>
      <c r="CXY45" s="595"/>
      <c r="CXZ45" s="595"/>
      <c r="CYA45" s="595"/>
      <c r="CYB45" s="595"/>
      <c r="CYC45" s="595"/>
      <c r="CYD45" s="595"/>
      <c r="CYE45" s="595"/>
      <c r="CYF45" s="595"/>
      <c r="CYG45" s="595"/>
      <c r="CYH45" s="595"/>
      <c r="CYI45" s="595"/>
      <c r="CYJ45" s="595"/>
      <c r="CYK45" s="595"/>
      <c r="CYL45" s="595"/>
      <c r="CYM45" s="595"/>
      <c r="CYN45" s="595"/>
      <c r="CYO45" s="595"/>
      <c r="CYP45" s="595"/>
      <c r="CYQ45" s="595"/>
      <c r="CYR45" s="595"/>
      <c r="CYS45" s="595"/>
      <c r="CYT45" s="595"/>
      <c r="CYU45" s="595"/>
      <c r="CYV45" s="595"/>
      <c r="CYW45" s="595"/>
      <c r="CYX45" s="595"/>
      <c r="CYY45" s="595"/>
      <c r="CYZ45" s="595"/>
      <c r="CZA45" s="595"/>
      <c r="CZB45" s="595"/>
      <c r="CZC45" s="595"/>
      <c r="CZD45" s="595"/>
      <c r="CZE45" s="595"/>
      <c r="CZF45" s="595"/>
      <c r="CZG45" s="595"/>
      <c r="CZH45" s="595"/>
      <c r="CZI45" s="595"/>
      <c r="CZJ45" s="595"/>
      <c r="CZK45" s="595"/>
      <c r="CZL45" s="595"/>
      <c r="CZM45" s="595"/>
      <c r="CZN45" s="595"/>
      <c r="CZO45" s="595"/>
      <c r="CZP45" s="595"/>
      <c r="CZQ45" s="595"/>
      <c r="CZR45" s="595"/>
      <c r="CZS45" s="595"/>
      <c r="CZT45" s="595"/>
      <c r="CZU45" s="595"/>
      <c r="CZV45" s="595"/>
      <c r="CZW45" s="595"/>
      <c r="CZX45" s="595"/>
      <c r="CZY45" s="595"/>
      <c r="CZZ45" s="595"/>
      <c r="DAA45" s="595"/>
      <c r="DAB45" s="595"/>
      <c r="DAC45" s="595"/>
      <c r="DAD45" s="595"/>
      <c r="DAE45" s="595"/>
      <c r="DAF45" s="595"/>
      <c r="DAG45" s="595"/>
      <c r="DAH45" s="595"/>
      <c r="DAI45" s="595"/>
      <c r="DAJ45" s="595"/>
      <c r="DAK45" s="595"/>
      <c r="DAL45" s="595"/>
      <c r="DAM45" s="595"/>
      <c r="DAN45" s="595"/>
      <c r="DAO45" s="595"/>
      <c r="DAP45" s="595"/>
      <c r="DAQ45" s="595"/>
      <c r="DAR45" s="595"/>
      <c r="DAS45" s="595"/>
      <c r="DAT45" s="595"/>
      <c r="DAU45" s="595"/>
      <c r="DAV45" s="595"/>
      <c r="DAW45" s="595"/>
      <c r="DAX45" s="595"/>
      <c r="DAY45" s="595"/>
      <c r="DAZ45" s="595"/>
      <c r="DBA45" s="595"/>
      <c r="DBB45" s="595"/>
      <c r="DBC45" s="595"/>
      <c r="DBD45" s="595"/>
      <c r="DBE45" s="595"/>
      <c r="DBF45" s="595"/>
      <c r="DBG45" s="595"/>
      <c r="DBH45" s="595"/>
      <c r="DBI45" s="595"/>
      <c r="DBJ45" s="595"/>
      <c r="DBK45" s="595"/>
      <c r="DBL45" s="595"/>
      <c r="DBM45" s="595"/>
      <c r="DBN45" s="595"/>
      <c r="DBO45" s="595"/>
      <c r="DBP45" s="595"/>
      <c r="DBQ45" s="595"/>
      <c r="DBR45" s="595"/>
      <c r="DBS45" s="595"/>
      <c r="DBT45" s="595"/>
      <c r="DBU45" s="595"/>
      <c r="DBV45" s="595"/>
      <c r="DBW45" s="595"/>
      <c r="DBX45" s="595"/>
      <c r="DBY45" s="595"/>
      <c r="DBZ45" s="595"/>
      <c r="DCA45" s="595"/>
      <c r="DCB45" s="595"/>
      <c r="DCC45" s="595"/>
      <c r="DCD45" s="595"/>
      <c r="DCE45" s="595"/>
      <c r="DCF45" s="595"/>
      <c r="DCG45" s="595"/>
      <c r="DCH45" s="595"/>
      <c r="DCI45" s="595"/>
      <c r="DCJ45" s="595"/>
      <c r="DCK45" s="595"/>
      <c r="DCL45" s="595"/>
      <c r="DCM45" s="595"/>
      <c r="DCN45" s="595"/>
      <c r="DCO45" s="595"/>
      <c r="DCP45" s="595"/>
      <c r="DCQ45" s="595"/>
      <c r="DCR45" s="595"/>
      <c r="DCS45" s="595"/>
      <c r="DCT45" s="595"/>
      <c r="DCU45" s="595"/>
      <c r="DCV45" s="595"/>
      <c r="DCW45" s="595"/>
      <c r="DCX45" s="595"/>
      <c r="DCY45" s="595"/>
      <c r="DCZ45" s="595"/>
      <c r="DDA45" s="595"/>
      <c r="DDB45" s="595"/>
      <c r="DDC45" s="595"/>
      <c r="DDD45" s="595"/>
      <c r="DDE45" s="595"/>
      <c r="DDF45" s="595"/>
      <c r="DDG45" s="595"/>
      <c r="DDH45" s="595"/>
      <c r="DDI45" s="595"/>
      <c r="DDJ45" s="595"/>
      <c r="DDK45" s="595"/>
      <c r="DDL45" s="595"/>
      <c r="DDM45" s="595"/>
      <c r="DDN45" s="595"/>
      <c r="DDO45" s="595"/>
      <c r="DDP45" s="595"/>
      <c r="DDQ45" s="595"/>
      <c r="DDR45" s="595"/>
      <c r="DDS45" s="595"/>
      <c r="DDT45" s="595"/>
      <c r="DDU45" s="595"/>
      <c r="DDV45" s="595"/>
      <c r="DDW45" s="595"/>
      <c r="DDX45" s="595"/>
      <c r="DDY45" s="595"/>
      <c r="DDZ45" s="595"/>
      <c r="DEA45" s="595"/>
      <c r="DEB45" s="595"/>
      <c r="DEC45" s="595"/>
      <c r="DED45" s="595"/>
      <c r="DEE45" s="595"/>
      <c r="DEF45" s="595"/>
      <c r="DEG45" s="595"/>
      <c r="DEH45" s="595"/>
      <c r="DEI45" s="595"/>
      <c r="DEJ45" s="595"/>
      <c r="DEK45" s="595"/>
      <c r="DEL45" s="595"/>
      <c r="DEM45" s="595"/>
      <c r="DEN45" s="595"/>
      <c r="DEO45" s="595"/>
      <c r="DEP45" s="595"/>
      <c r="DEQ45" s="595"/>
      <c r="DER45" s="595"/>
      <c r="DES45" s="595"/>
      <c r="DET45" s="595"/>
      <c r="DEU45" s="595"/>
      <c r="DEV45" s="595"/>
      <c r="DEW45" s="595"/>
      <c r="DEX45" s="595"/>
      <c r="DEY45" s="595"/>
      <c r="DEZ45" s="595"/>
      <c r="DFA45" s="595"/>
      <c r="DFB45" s="595"/>
      <c r="DFC45" s="595"/>
      <c r="DFD45" s="595"/>
      <c r="DFE45" s="595"/>
      <c r="DFF45" s="595"/>
      <c r="DFG45" s="595"/>
      <c r="DFH45" s="595"/>
      <c r="DFI45" s="595"/>
      <c r="DFJ45" s="595"/>
      <c r="DFK45" s="595"/>
      <c r="DFL45" s="595"/>
      <c r="DFM45" s="595"/>
      <c r="DFN45" s="595"/>
      <c r="DFO45" s="595"/>
      <c r="DFP45" s="595"/>
      <c r="DFQ45" s="595"/>
      <c r="DFR45" s="595"/>
      <c r="DFS45" s="595"/>
      <c r="DFT45" s="595"/>
      <c r="DFU45" s="595"/>
      <c r="DFV45" s="595"/>
      <c r="DFW45" s="595"/>
      <c r="DFX45" s="595"/>
      <c r="DFY45" s="595"/>
      <c r="DFZ45" s="595"/>
      <c r="DGA45" s="595"/>
      <c r="DGB45" s="595"/>
      <c r="DGC45" s="595"/>
      <c r="DGD45" s="595"/>
      <c r="DGE45" s="595"/>
      <c r="DGF45" s="595"/>
      <c r="DGG45" s="595"/>
      <c r="DGH45" s="595"/>
      <c r="DGI45" s="595"/>
      <c r="DGJ45" s="595"/>
      <c r="DGK45" s="595"/>
      <c r="DGL45" s="595"/>
      <c r="DGM45" s="595"/>
      <c r="DGN45" s="595"/>
      <c r="DGO45" s="595"/>
      <c r="DGP45" s="595"/>
      <c r="DGQ45" s="595"/>
      <c r="DGR45" s="595"/>
      <c r="DGS45" s="595"/>
      <c r="DGT45" s="595"/>
      <c r="DGU45" s="595"/>
      <c r="DGV45" s="595"/>
      <c r="DGW45" s="595"/>
      <c r="DGX45" s="595"/>
      <c r="DGY45" s="595"/>
      <c r="DGZ45" s="595"/>
      <c r="DHA45" s="595"/>
      <c r="DHB45" s="595"/>
      <c r="DHC45" s="595"/>
      <c r="DHD45" s="595"/>
      <c r="DHE45" s="595"/>
      <c r="DHF45" s="595"/>
      <c r="DHG45" s="595"/>
      <c r="DHH45" s="595"/>
      <c r="DHI45" s="595"/>
      <c r="DHJ45" s="595"/>
      <c r="DHK45" s="595"/>
      <c r="DHL45" s="595"/>
      <c r="DHM45" s="595"/>
      <c r="DHN45" s="595"/>
      <c r="DHO45" s="595"/>
      <c r="DHP45" s="595"/>
      <c r="DHQ45" s="595"/>
      <c r="DHR45" s="595"/>
      <c r="DHS45" s="595"/>
      <c r="DHT45" s="595"/>
      <c r="DHU45" s="595"/>
      <c r="DHV45" s="595"/>
      <c r="DHW45" s="595"/>
      <c r="DHX45" s="595"/>
      <c r="DHY45" s="595"/>
      <c r="DHZ45" s="595"/>
      <c r="DIA45" s="595"/>
      <c r="DIB45" s="595"/>
      <c r="DIC45" s="595"/>
      <c r="DID45" s="595"/>
      <c r="DIE45" s="595"/>
      <c r="DIF45" s="595"/>
      <c r="DIG45" s="595"/>
      <c r="DIH45" s="595"/>
      <c r="DII45" s="595"/>
      <c r="DIJ45" s="595"/>
      <c r="DIK45" s="595"/>
      <c r="DIL45" s="595"/>
      <c r="DIM45" s="595"/>
      <c r="DIN45" s="595"/>
      <c r="DIO45" s="595"/>
      <c r="DIP45" s="595"/>
      <c r="DIQ45" s="595"/>
      <c r="DIR45" s="595"/>
      <c r="DIS45" s="595"/>
      <c r="DIT45" s="595"/>
      <c r="DIU45" s="595"/>
      <c r="DIV45" s="595"/>
      <c r="DIW45" s="595"/>
      <c r="DIX45" s="595"/>
      <c r="DIY45" s="595"/>
      <c r="DIZ45" s="595"/>
      <c r="DJA45" s="595"/>
      <c r="DJB45" s="595"/>
      <c r="DJC45" s="595"/>
      <c r="DJD45" s="595"/>
      <c r="DJE45" s="595"/>
      <c r="DJF45" s="595"/>
      <c r="DJG45" s="595"/>
      <c r="DJH45" s="595"/>
      <c r="DJI45" s="595"/>
      <c r="DJJ45" s="595"/>
      <c r="DJK45" s="595"/>
      <c r="DJL45" s="595"/>
      <c r="DJM45" s="595"/>
      <c r="DJN45" s="595"/>
      <c r="DJO45" s="595"/>
      <c r="DJP45" s="595"/>
      <c r="DJQ45" s="595"/>
      <c r="DJR45" s="595"/>
      <c r="DJS45" s="595"/>
      <c r="DJT45" s="595"/>
      <c r="DJU45" s="595"/>
      <c r="DJV45" s="595"/>
      <c r="DJW45" s="595"/>
      <c r="DJX45" s="595"/>
      <c r="DJY45" s="595"/>
      <c r="DJZ45" s="595"/>
      <c r="DKA45" s="595"/>
      <c r="DKB45" s="595"/>
      <c r="DKC45" s="595"/>
      <c r="DKD45" s="595"/>
      <c r="DKE45" s="595"/>
      <c r="DKF45" s="595"/>
      <c r="DKG45" s="595"/>
      <c r="DKH45" s="595"/>
      <c r="DKI45" s="595"/>
      <c r="DKJ45" s="595"/>
      <c r="DKK45" s="595"/>
      <c r="DKL45" s="595"/>
      <c r="DKM45" s="595"/>
      <c r="DKN45" s="595"/>
      <c r="DKO45" s="595"/>
      <c r="DKP45" s="595"/>
      <c r="DKQ45" s="595"/>
      <c r="DKR45" s="595"/>
      <c r="DKS45" s="595"/>
      <c r="DKT45" s="595"/>
      <c r="DKU45" s="595"/>
      <c r="DKV45" s="595"/>
      <c r="DKW45" s="595"/>
      <c r="DKX45" s="595"/>
      <c r="DKY45" s="595"/>
      <c r="DKZ45" s="595"/>
      <c r="DLA45" s="595"/>
      <c r="DLB45" s="595"/>
      <c r="DLC45" s="595"/>
      <c r="DLD45" s="595"/>
      <c r="DLE45" s="595"/>
      <c r="DLF45" s="595"/>
      <c r="DLG45" s="595"/>
      <c r="DLH45" s="595"/>
      <c r="DLI45" s="595"/>
      <c r="DLJ45" s="595"/>
      <c r="DLK45" s="595"/>
      <c r="DLL45" s="595"/>
      <c r="DLM45" s="595"/>
      <c r="DLN45" s="595"/>
      <c r="DLO45" s="595"/>
      <c r="DLP45" s="595"/>
      <c r="DLQ45" s="595"/>
      <c r="DLR45" s="595"/>
      <c r="DLS45" s="595"/>
      <c r="DLT45" s="595"/>
      <c r="DLU45" s="595"/>
      <c r="DLV45" s="595"/>
      <c r="DLW45" s="595"/>
      <c r="DLX45" s="595"/>
      <c r="DLY45" s="595"/>
      <c r="DLZ45" s="595"/>
      <c r="DMA45" s="595"/>
      <c r="DMB45" s="595"/>
      <c r="DMC45" s="595"/>
      <c r="DMD45" s="595"/>
      <c r="DME45" s="595"/>
      <c r="DMF45" s="595"/>
      <c r="DMG45" s="595"/>
      <c r="DMH45" s="595"/>
      <c r="DMI45" s="595"/>
      <c r="DMJ45" s="595"/>
      <c r="DMK45" s="595"/>
      <c r="DML45" s="595"/>
      <c r="DMM45" s="595"/>
      <c r="DMN45" s="595"/>
      <c r="DMO45" s="595"/>
      <c r="DMP45" s="595"/>
      <c r="DMQ45" s="595"/>
      <c r="DMR45" s="595"/>
      <c r="DMS45" s="595"/>
      <c r="DMT45" s="595"/>
      <c r="DMU45" s="595"/>
      <c r="DMV45" s="595"/>
      <c r="DMW45" s="595"/>
      <c r="DMX45" s="595"/>
      <c r="DMY45" s="595"/>
      <c r="DMZ45" s="595"/>
      <c r="DNA45" s="595"/>
      <c r="DNB45" s="595"/>
      <c r="DNC45" s="595"/>
      <c r="DND45" s="595"/>
      <c r="DNE45" s="595"/>
      <c r="DNF45" s="595"/>
      <c r="DNG45" s="595"/>
      <c r="DNH45" s="595"/>
      <c r="DNI45" s="595"/>
      <c r="DNJ45" s="595"/>
      <c r="DNK45" s="595"/>
      <c r="DNL45" s="595"/>
      <c r="DNM45" s="595"/>
      <c r="DNN45" s="595"/>
      <c r="DNO45" s="595"/>
      <c r="DNP45" s="595"/>
      <c r="DNQ45" s="595"/>
      <c r="DNR45" s="595"/>
      <c r="DNS45" s="595"/>
      <c r="DNT45" s="595"/>
      <c r="DNU45" s="595"/>
      <c r="DNV45" s="595"/>
      <c r="DNW45" s="595"/>
      <c r="DNX45" s="595"/>
      <c r="DNY45" s="595"/>
      <c r="DNZ45" s="595"/>
      <c r="DOA45" s="595"/>
      <c r="DOB45" s="595"/>
      <c r="DOC45" s="595"/>
      <c r="DOD45" s="595"/>
      <c r="DOE45" s="595"/>
      <c r="DOF45" s="595"/>
      <c r="DOG45" s="595"/>
      <c r="DOH45" s="595"/>
      <c r="DOI45" s="595"/>
      <c r="DOJ45" s="595"/>
      <c r="DOK45" s="595"/>
      <c r="DOL45" s="595"/>
      <c r="DOM45" s="595"/>
      <c r="DON45" s="595"/>
      <c r="DOO45" s="595"/>
      <c r="DOP45" s="595"/>
      <c r="DOQ45" s="595"/>
      <c r="DOR45" s="595"/>
      <c r="DOS45" s="595"/>
      <c r="DOT45" s="595"/>
      <c r="DOU45" s="595"/>
      <c r="DOV45" s="595"/>
      <c r="DOW45" s="595"/>
      <c r="DOX45" s="595"/>
      <c r="DOY45" s="595"/>
      <c r="DOZ45" s="595"/>
      <c r="DPA45" s="595"/>
      <c r="DPB45" s="595"/>
      <c r="DPC45" s="595"/>
      <c r="DPD45" s="595"/>
      <c r="DPE45" s="595"/>
      <c r="DPF45" s="595"/>
      <c r="DPG45" s="595"/>
      <c r="DPH45" s="595"/>
      <c r="DPI45" s="595"/>
      <c r="DPJ45" s="595"/>
      <c r="DPK45" s="595"/>
      <c r="DPL45" s="595"/>
      <c r="DPM45" s="595"/>
      <c r="DPN45" s="595"/>
      <c r="DPO45" s="595"/>
      <c r="DPP45" s="595"/>
      <c r="DPQ45" s="595"/>
      <c r="DPR45" s="595"/>
      <c r="DPS45" s="595"/>
      <c r="DPT45" s="595"/>
      <c r="DPU45" s="595"/>
      <c r="DPV45" s="595"/>
      <c r="DPW45" s="595"/>
      <c r="DPX45" s="595"/>
      <c r="DPY45" s="595"/>
      <c r="DPZ45" s="595"/>
      <c r="DQA45" s="595"/>
      <c r="DQB45" s="595"/>
      <c r="DQC45" s="595"/>
      <c r="DQD45" s="595"/>
      <c r="DQE45" s="595"/>
      <c r="DQF45" s="595"/>
      <c r="DQG45" s="595"/>
      <c r="DQH45" s="595"/>
      <c r="DQI45" s="595"/>
      <c r="DQJ45" s="595"/>
      <c r="DQK45" s="595"/>
      <c r="DQL45" s="595"/>
      <c r="DQM45" s="595"/>
      <c r="DQN45" s="595"/>
      <c r="DQO45" s="595"/>
      <c r="DQP45" s="595"/>
      <c r="DQQ45" s="595"/>
      <c r="DQR45" s="595"/>
      <c r="DQS45" s="595"/>
      <c r="DQT45" s="595"/>
      <c r="DQU45" s="595"/>
      <c r="DQV45" s="595"/>
      <c r="DQW45" s="595"/>
      <c r="DQX45" s="595"/>
      <c r="DQY45" s="595"/>
      <c r="DQZ45" s="595"/>
      <c r="DRA45" s="595"/>
      <c r="DRB45" s="595"/>
      <c r="DRC45" s="595"/>
      <c r="DRD45" s="595"/>
      <c r="DRE45" s="595"/>
      <c r="DRF45" s="595"/>
      <c r="DRG45" s="595"/>
      <c r="DRH45" s="595"/>
      <c r="DRI45" s="595"/>
      <c r="DRJ45" s="595"/>
      <c r="DRK45" s="595"/>
      <c r="DRL45" s="595"/>
      <c r="DRM45" s="595"/>
      <c r="DRN45" s="595"/>
      <c r="DRO45" s="595"/>
      <c r="DRP45" s="595"/>
      <c r="DRQ45" s="595"/>
      <c r="DRR45" s="595"/>
      <c r="DRS45" s="595"/>
      <c r="DRT45" s="595"/>
      <c r="DRU45" s="595"/>
      <c r="DRV45" s="595"/>
      <c r="DRW45" s="595"/>
      <c r="DRX45" s="595"/>
      <c r="DRY45" s="595"/>
      <c r="DRZ45" s="595"/>
      <c r="DSA45" s="595"/>
      <c r="DSB45" s="595"/>
      <c r="DSC45" s="595"/>
      <c r="DSD45" s="595"/>
      <c r="DSE45" s="595"/>
      <c r="DSF45" s="595"/>
      <c r="DSG45" s="595"/>
      <c r="DSH45" s="595"/>
      <c r="DSI45" s="595"/>
      <c r="DSJ45" s="595"/>
      <c r="DSK45" s="595"/>
      <c r="DSL45" s="595"/>
      <c r="DSM45" s="595"/>
      <c r="DSN45" s="595"/>
      <c r="DSO45" s="595"/>
      <c r="DSP45" s="595"/>
      <c r="DSQ45" s="595"/>
      <c r="DSR45" s="595"/>
      <c r="DSS45" s="595"/>
      <c r="DST45" s="595"/>
      <c r="DSU45" s="595"/>
      <c r="DSV45" s="595"/>
      <c r="DSW45" s="595"/>
      <c r="DSX45" s="595"/>
      <c r="DSY45" s="595"/>
      <c r="DSZ45" s="595"/>
      <c r="DTA45" s="595"/>
      <c r="DTB45" s="595"/>
      <c r="DTC45" s="595"/>
      <c r="DTD45" s="595"/>
      <c r="DTE45" s="595"/>
      <c r="DTF45" s="595"/>
      <c r="DTG45" s="595"/>
      <c r="DTH45" s="595"/>
      <c r="DTI45" s="595"/>
      <c r="DTJ45" s="595"/>
      <c r="DTK45" s="595"/>
      <c r="DTL45" s="595"/>
      <c r="DTM45" s="595"/>
      <c r="DTN45" s="595"/>
      <c r="DTO45" s="595"/>
      <c r="DTP45" s="595"/>
      <c r="DTQ45" s="595"/>
      <c r="DTR45" s="595"/>
      <c r="DTS45" s="595"/>
      <c r="DTT45" s="595"/>
      <c r="DTU45" s="595"/>
      <c r="DTV45" s="595"/>
      <c r="DTW45" s="595"/>
      <c r="DTX45" s="595"/>
      <c r="DTY45" s="595"/>
      <c r="DTZ45" s="595"/>
      <c r="DUA45" s="595"/>
      <c r="DUB45" s="595"/>
      <c r="DUC45" s="595"/>
      <c r="DUD45" s="595"/>
      <c r="DUE45" s="595"/>
      <c r="DUF45" s="595"/>
      <c r="DUG45" s="595"/>
      <c r="DUH45" s="595"/>
      <c r="DUI45" s="595"/>
      <c r="DUJ45" s="595"/>
      <c r="DUK45" s="595"/>
      <c r="DUL45" s="595"/>
      <c r="DUM45" s="595"/>
      <c r="DUN45" s="595"/>
      <c r="DUO45" s="595"/>
      <c r="DUP45" s="595"/>
      <c r="DUQ45" s="595"/>
      <c r="DUR45" s="595"/>
      <c r="DUS45" s="595"/>
      <c r="DUT45" s="595"/>
      <c r="DUU45" s="595"/>
      <c r="DUV45" s="595"/>
      <c r="DUW45" s="595"/>
      <c r="DUX45" s="595"/>
      <c r="DUY45" s="595"/>
      <c r="DUZ45" s="595"/>
      <c r="DVA45" s="595"/>
      <c r="DVB45" s="595"/>
      <c r="DVC45" s="595"/>
      <c r="DVD45" s="595"/>
      <c r="DVE45" s="595"/>
      <c r="DVF45" s="595"/>
      <c r="DVG45" s="595"/>
      <c r="DVH45" s="595"/>
      <c r="DVI45" s="595"/>
      <c r="DVJ45" s="595"/>
      <c r="DVK45" s="595"/>
      <c r="DVL45" s="595"/>
      <c r="DVM45" s="595"/>
      <c r="DVN45" s="595"/>
      <c r="DVO45" s="595"/>
      <c r="DVP45" s="595"/>
      <c r="DVQ45" s="595"/>
      <c r="DVR45" s="595"/>
      <c r="DVS45" s="595"/>
      <c r="DVT45" s="595"/>
      <c r="DVU45" s="595"/>
      <c r="DVV45" s="595"/>
      <c r="DVW45" s="595"/>
      <c r="DVX45" s="595"/>
      <c r="DVY45" s="595"/>
      <c r="DVZ45" s="595"/>
      <c r="DWA45" s="595"/>
      <c r="DWB45" s="595"/>
      <c r="DWC45" s="595"/>
      <c r="DWD45" s="595"/>
      <c r="DWE45" s="595"/>
      <c r="DWF45" s="595"/>
      <c r="DWG45" s="595"/>
      <c r="DWH45" s="595"/>
      <c r="DWI45" s="595"/>
      <c r="DWJ45" s="595"/>
      <c r="DWK45" s="595"/>
      <c r="DWL45" s="595"/>
      <c r="DWM45" s="595"/>
      <c r="DWN45" s="595"/>
      <c r="DWO45" s="595"/>
      <c r="DWP45" s="595"/>
      <c r="DWQ45" s="595"/>
      <c r="DWR45" s="595"/>
      <c r="DWS45" s="595"/>
      <c r="DWT45" s="595"/>
      <c r="DWU45" s="595"/>
      <c r="DWV45" s="595"/>
      <c r="DWW45" s="595"/>
      <c r="DWX45" s="595"/>
      <c r="DWY45" s="595"/>
      <c r="DWZ45" s="595"/>
      <c r="DXA45" s="595"/>
      <c r="DXB45" s="595"/>
      <c r="DXC45" s="595"/>
      <c r="DXD45" s="595"/>
      <c r="DXE45" s="595"/>
      <c r="DXF45" s="595"/>
      <c r="DXG45" s="595"/>
      <c r="DXH45" s="595"/>
      <c r="DXI45" s="595"/>
      <c r="DXJ45" s="595"/>
      <c r="DXK45" s="595"/>
      <c r="DXL45" s="595"/>
      <c r="DXM45" s="595"/>
      <c r="DXN45" s="595"/>
      <c r="DXO45" s="595"/>
      <c r="DXP45" s="595"/>
      <c r="DXQ45" s="595"/>
      <c r="DXR45" s="595"/>
      <c r="DXS45" s="595"/>
      <c r="DXT45" s="595"/>
      <c r="DXU45" s="595"/>
      <c r="DXV45" s="595"/>
      <c r="DXW45" s="595"/>
      <c r="DXX45" s="595"/>
      <c r="DXY45" s="595"/>
      <c r="DXZ45" s="595"/>
      <c r="DYA45" s="595"/>
      <c r="DYB45" s="595"/>
      <c r="DYC45" s="595"/>
      <c r="DYD45" s="595"/>
      <c r="DYE45" s="595"/>
      <c r="DYF45" s="595"/>
      <c r="DYG45" s="595"/>
      <c r="DYH45" s="595"/>
      <c r="DYI45" s="595"/>
      <c r="DYJ45" s="595"/>
      <c r="DYK45" s="595"/>
      <c r="DYL45" s="595"/>
      <c r="DYM45" s="595"/>
      <c r="DYN45" s="595"/>
      <c r="DYO45" s="595"/>
      <c r="DYP45" s="595"/>
      <c r="DYQ45" s="595"/>
      <c r="DYR45" s="595"/>
      <c r="DYS45" s="595"/>
      <c r="DYT45" s="595"/>
      <c r="DYU45" s="595"/>
      <c r="DYV45" s="595"/>
      <c r="DYW45" s="595"/>
      <c r="DYX45" s="595"/>
      <c r="DYY45" s="595"/>
      <c r="DYZ45" s="595"/>
      <c r="DZA45" s="595"/>
      <c r="DZB45" s="595"/>
      <c r="DZC45" s="595"/>
      <c r="DZD45" s="595"/>
      <c r="DZE45" s="595"/>
      <c r="DZF45" s="595"/>
      <c r="DZG45" s="595"/>
      <c r="DZH45" s="595"/>
      <c r="DZI45" s="595"/>
      <c r="DZJ45" s="595"/>
      <c r="DZK45" s="595"/>
      <c r="DZL45" s="595"/>
      <c r="DZM45" s="595"/>
      <c r="DZN45" s="595"/>
      <c r="DZO45" s="595"/>
      <c r="DZP45" s="595"/>
      <c r="DZQ45" s="595"/>
      <c r="DZR45" s="595"/>
      <c r="DZS45" s="595"/>
      <c r="DZT45" s="595"/>
      <c r="DZU45" s="595"/>
      <c r="DZV45" s="595"/>
      <c r="DZW45" s="595"/>
      <c r="DZX45" s="595"/>
      <c r="DZY45" s="595"/>
      <c r="DZZ45" s="595"/>
      <c r="EAA45" s="595"/>
      <c r="EAB45" s="595"/>
      <c r="EAC45" s="595"/>
      <c r="EAD45" s="595"/>
      <c r="EAE45" s="595"/>
      <c r="EAF45" s="595"/>
      <c r="EAG45" s="595"/>
      <c r="EAH45" s="595"/>
      <c r="EAI45" s="595"/>
      <c r="EAJ45" s="595"/>
      <c r="EAK45" s="595"/>
      <c r="EAL45" s="595"/>
      <c r="EAM45" s="595"/>
      <c r="EAN45" s="595"/>
      <c r="EAO45" s="595"/>
      <c r="EAP45" s="595"/>
      <c r="EAQ45" s="595"/>
      <c r="EAR45" s="595"/>
      <c r="EAS45" s="595"/>
      <c r="EAT45" s="595"/>
      <c r="EAU45" s="595"/>
      <c r="EAV45" s="595"/>
      <c r="EAW45" s="595"/>
      <c r="EAX45" s="595"/>
      <c r="EAY45" s="595"/>
      <c r="EAZ45" s="595"/>
      <c r="EBA45" s="595"/>
      <c r="EBB45" s="595"/>
      <c r="EBC45" s="595"/>
      <c r="EBD45" s="595"/>
      <c r="EBE45" s="595"/>
      <c r="EBF45" s="595"/>
      <c r="EBG45" s="595"/>
      <c r="EBH45" s="595"/>
      <c r="EBI45" s="595"/>
      <c r="EBJ45" s="595"/>
      <c r="EBK45" s="595"/>
      <c r="EBL45" s="595"/>
      <c r="EBM45" s="595"/>
      <c r="EBN45" s="595"/>
      <c r="EBO45" s="595"/>
      <c r="EBP45" s="595"/>
      <c r="EBQ45" s="595"/>
      <c r="EBR45" s="595"/>
      <c r="EBS45" s="595"/>
      <c r="EBT45" s="595"/>
      <c r="EBU45" s="595"/>
      <c r="EBV45" s="595"/>
      <c r="EBW45" s="595"/>
      <c r="EBX45" s="595"/>
      <c r="EBY45" s="595"/>
      <c r="EBZ45" s="595"/>
      <c r="ECA45" s="595"/>
      <c r="ECB45" s="595"/>
      <c r="ECC45" s="595"/>
      <c r="ECD45" s="595"/>
      <c r="ECE45" s="595"/>
      <c r="ECF45" s="595"/>
      <c r="ECG45" s="595"/>
      <c r="ECH45" s="595"/>
      <c r="ECI45" s="595"/>
      <c r="ECJ45" s="595"/>
      <c r="ECK45" s="595"/>
      <c r="ECL45" s="595"/>
      <c r="ECM45" s="595"/>
      <c r="ECN45" s="595"/>
      <c r="ECO45" s="595"/>
      <c r="ECP45" s="595"/>
      <c r="ECQ45" s="595"/>
      <c r="ECR45" s="595"/>
      <c r="ECS45" s="595"/>
      <c r="ECT45" s="595"/>
      <c r="ECU45" s="595"/>
      <c r="ECV45" s="595"/>
      <c r="ECW45" s="595"/>
      <c r="ECX45" s="595"/>
      <c r="ECY45" s="595"/>
      <c r="ECZ45" s="595"/>
      <c r="EDA45" s="595"/>
      <c r="EDB45" s="595"/>
      <c r="EDC45" s="595"/>
      <c r="EDD45" s="595"/>
      <c r="EDE45" s="595"/>
      <c r="EDF45" s="595"/>
      <c r="EDG45" s="595"/>
      <c r="EDH45" s="595"/>
      <c r="EDI45" s="595"/>
      <c r="EDJ45" s="595"/>
      <c r="EDK45" s="595"/>
      <c r="EDL45" s="595"/>
      <c r="EDM45" s="595"/>
      <c r="EDN45" s="595"/>
      <c r="EDO45" s="595"/>
      <c r="EDP45" s="595"/>
      <c r="EDQ45" s="595"/>
      <c r="EDR45" s="595"/>
      <c r="EDS45" s="595"/>
      <c r="EDT45" s="595"/>
      <c r="EDU45" s="595"/>
      <c r="EDV45" s="595"/>
      <c r="EDW45" s="595"/>
      <c r="EDX45" s="595"/>
      <c r="EDY45" s="595"/>
      <c r="EDZ45" s="595"/>
      <c r="EEA45" s="595"/>
      <c r="EEB45" s="595"/>
      <c r="EEC45" s="595"/>
      <c r="EED45" s="595"/>
      <c r="EEE45" s="595"/>
      <c r="EEF45" s="595"/>
      <c r="EEG45" s="595"/>
      <c r="EEH45" s="595"/>
      <c r="EEI45" s="595"/>
      <c r="EEJ45" s="595"/>
      <c r="EEK45" s="595"/>
      <c r="EEL45" s="595"/>
      <c r="EEM45" s="595"/>
      <c r="EEN45" s="595"/>
      <c r="EEO45" s="595"/>
      <c r="EEP45" s="595"/>
      <c r="EEQ45" s="595"/>
      <c r="EER45" s="595"/>
      <c r="EES45" s="595"/>
      <c r="EET45" s="595"/>
      <c r="EEU45" s="595"/>
      <c r="EEV45" s="595"/>
      <c r="EEW45" s="595"/>
      <c r="EEX45" s="595"/>
      <c r="EEY45" s="595"/>
      <c r="EEZ45" s="595"/>
      <c r="EFA45" s="595"/>
      <c r="EFB45" s="595"/>
      <c r="EFC45" s="595"/>
      <c r="EFD45" s="595"/>
      <c r="EFE45" s="595"/>
      <c r="EFF45" s="595"/>
      <c r="EFG45" s="595"/>
      <c r="EFH45" s="595"/>
      <c r="EFI45" s="595"/>
      <c r="EFJ45" s="595"/>
      <c r="EFK45" s="595"/>
      <c r="EFL45" s="595"/>
      <c r="EFM45" s="595"/>
      <c r="EFN45" s="595"/>
      <c r="EFO45" s="595"/>
      <c r="EFP45" s="595"/>
      <c r="EFQ45" s="595"/>
      <c r="EFR45" s="595"/>
      <c r="EFS45" s="595"/>
      <c r="EFT45" s="595"/>
      <c r="EFU45" s="595"/>
      <c r="EFV45" s="595"/>
      <c r="EFW45" s="595"/>
      <c r="EFX45" s="595"/>
      <c r="EFY45" s="595"/>
      <c r="EFZ45" s="595"/>
      <c r="EGA45" s="595"/>
      <c r="EGB45" s="595"/>
      <c r="EGC45" s="595"/>
      <c r="EGD45" s="595"/>
      <c r="EGE45" s="595"/>
      <c r="EGF45" s="595"/>
      <c r="EGG45" s="595"/>
      <c r="EGH45" s="595"/>
      <c r="EGI45" s="595"/>
      <c r="EGJ45" s="595"/>
      <c r="EGK45" s="595"/>
      <c r="EGL45" s="595"/>
      <c r="EGM45" s="595"/>
      <c r="EGN45" s="595"/>
      <c r="EGO45" s="595"/>
      <c r="EGP45" s="595"/>
      <c r="EGQ45" s="595"/>
      <c r="EGR45" s="595"/>
      <c r="EGS45" s="595"/>
      <c r="EGT45" s="595"/>
      <c r="EGU45" s="595"/>
      <c r="EGV45" s="595"/>
      <c r="EGW45" s="595"/>
      <c r="EGX45" s="595"/>
      <c r="EGY45" s="595"/>
      <c r="EGZ45" s="595"/>
      <c r="EHA45" s="595"/>
      <c r="EHB45" s="595"/>
      <c r="EHC45" s="595"/>
      <c r="EHD45" s="595"/>
      <c r="EHE45" s="595"/>
      <c r="EHF45" s="595"/>
      <c r="EHG45" s="595"/>
      <c r="EHH45" s="595"/>
      <c r="EHI45" s="595"/>
      <c r="EHJ45" s="595"/>
      <c r="EHK45" s="595"/>
      <c r="EHL45" s="595"/>
      <c r="EHM45" s="595"/>
      <c r="EHN45" s="595"/>
      <c r="EHO45" s="595"/>
      <c r="EHP45" s="595"/>
      <c r="EHQ45" s="595"/>
      <c r="EHR45" s="595"/>
      <c r="EHS45" s="595"/>
      <c r="EHT45" s="595"/>
      <c r="EHU45" s="595"/>
      <c r="EHV45" s="595"/>
      <c r="EHW45" s="595"/>
      <c r="EHX45" s="595"/>
      <c r="EHY45" s="595"/>
      <c r="EHZ45" s="595"/>
      <c r="EIA45" s="595"/>
      <c r="EIB45" s="595"/>
      <c r="EIC45" s="595"/>
      <c r="EID45" s="595"/>
      <c r="EIE45" s="595"/>
      <c r="EIF45" s="595"/>
      <c r="EIG45" s="595"/>
      <c r="EIH45" s="595"/>
      <c r="EII45" s="595"/>
      <c r="EIJ45" s="595"/>
      <c r="EIK45" s="595"/>
      <c r="EIL45" s="595"/>
      <c r="EIM45" s="595"/>
      <c r="EIN45" s="595"/>
      <c r="EIO45" s="595"/>
      <c r="EIP45" s="595"/>
      <c r="EIQ45" s="595"/>
      <c r="EIR45" s="595"/>
      <c r="EIS45" s="595"/>
      <c r="EIT45" s="595"/>
      <c r="EIU45" s="595"/>
      <c r="EIV45" s="595"/>
      <c r="EIW45" s="595"/>
      <c r="EIX45" s="595"/>
      <c r="EIY45" s="595"/>
      <c r="EIZ45" s="595"/>
      <c r="EJA45" s="595"/>
      <c r="EJB45" s="595"/>
      <c r="EJC45" s="595"/>
      <c r="EJD45" s="595"/>
      <c r="EJE45" s="595"/>
      <c r="EJF45" s="595"/>
      <c r="EJG45" s="595"/>
      <c r="EJH45" s="595"/>
      <c r="EJI45" s="595"/>
      <c r="EJJ45" s="595"/>
      <c r="EJK45" s="595"/>
      <c r="EJL45" s="595"/>
      <c r="EJM45" s="595"/>
      <c r="EJN45" s="595"/>
      <c r="EJO45" s="595"/>
      <c r="EJP45" s="595"/>
      <c r="EJQ45" s="595"/>
      <c r="EJR45" s="595"/>
      <c r="EJS45" s="595"/>
      <c r="EJT45" s="595"/>
      <c r="EJU45" s="595"/>
      <c r="EJV45" s="595"/>
      <c r="EJW45" s="595"/>
      <c r="EJX45" s="595"/>
      <c r="EJY45" s="595"/>
      <c r="EJZ45" s="595"/>
      <c r="EKA45" s="595"/>
      <c r="EKB45" s="595"/>
      <c r="EKC45" s="595"/>
      <c r="EKD45" s="595"/>
      <c r="EKE45" s="595"/>
      <c r="EKF45" s="595"/>
      <c r="EKG45" s="595"/>
      <c r="EKH45" s="595"/>
      <c r="EKI45" s="595"/>
      <c r="EKJ45" s="595"/>
      <c r="EKK45" s="595"/>
      <c r="EKL45" s="595"/>
      <c r="EKM45" s="595"/>
      <c r="EKN45" s="595"/>
      <c r="EKO45" s="595"/>
      <c r="EKP45" s="595"/>
      <c r="EKQ45" s="595"/>
      <c r="EKR45" s="595"/>
      <c r="EKS45" s="595"/>
      <c r="EKT45" s="595"/>
      <c r="EKU45" s="595"/>
      <c r="EKV45" s="595"/>
      <c r="EKW45" s="595"/>
      <c r="EKX45" s="595"/>
      <c r="EKY45" s="595"/>
      <c r="EKZ45" s="595"/>
      <c r="ELA45" s="595"/>
      <c r="ELB45" s="595"/>
      <c r="ELC45" s="595"/>
      <c r="ELD45" s="595"/>
      <c r="ELE45" s="595"/>
      <c r="ELF45" s="595"/>
      <c r="ELG45" s="595"/>
      <c r="ELH45" s="595"/>
      <c r="ELI45" s="595"/>
      <c r="ELJ45" s="595"/>
      <c r="ELK45" s="595"/>
      <c r="ELL45" s="595"/>
      <c r="ELM45" s="595"/>
      <c r="ELN45" s="595"/>
      <c r="ELO45" s="595"/>
      <c r="ELP45" s="595"/>
      <c r="ELQ45" s="595"/>
      <c r="ELR45" s="595"/>
      <c r="ELS45" s="595"/>
      <c r="ELT45" s="595"/>
      <c r="ELU45" s="595"/>
      <c r="ELV45" s="595"/>
      <c r="ELW45" s="595"/>
      <c r="ELX45" s="595"/>
      <c r="ELY45" s="595"/>
      <c r="ELZ45" s="595"/>
      <c r="EMA45" s="595"/>
      <c r="EMB45" s="595"/>
      <c r="EMC45" s="595"/>
      <c r="EMD45" s="595"/>
      <c r="EME45" s="595"/>
      <c r="EMF45" s="595"/>
      <c r="EMG45" s="595"/>
      <c r="EMH45" s="595"/>
      <c r="EMI45" s="595"/>
      <c r="EMJ45" s="595"/>
      <c r="EMK45" s="595"/>
      <c r="EML45" s="595"/>
      <c r="EMM45" s="595"/>
      <c r="EMN45" s="595"/>
      <c r="EMO45" s="595"/>
      <c r="EMP45" s="595"/>
      <c r="EMQ45" s="595"/>
      <c r="EMR45" s="595"/>
      <c r="EMS45" s="595"/>
      <c r="EMT45" s="595"/>
      <c r="EMU45" s="595"/>
      <c r="EMV45" s="595"/>
      <c r="EMW45" s="595"/>
      <c r="EMX45" s="595"/>
      <c r="EMY45" s="595"/>
      <c r="EMZ45" s="595"/>
      <c r="ENA45" s="595"/>
      <c r="ENB45" s="595"/>
      <c r="ENC45" s="595"/>
      <c r="END45" s="595"/>
      <c r="ENE45" s="595"/>
      <c r="ENF45" s="595"/>
      <c r="ENG45" s="595"/>
      <c r="ENH45" s="595"/>
      <c r="ENI45" s="595"/>
      <c r="ENJ45" s="595"/>
      <c r="ENK45" s="595"/>
      <c r="ENL45" s="595"/>
      <c r="ENM45" s="595"/>
      <c r="ENN45" s="595"/>
      <c r="ENO45" s="595"/>
      <c r="ENP45" s="595"/>
      <c r="ENQ45" s="595"/>
      <c r="ENR45" s="595"/>
      <c r="ENS45" s="595"/>
      <c r="ENT45" s="595"/>
      <c r="ENU45" s="595"/>
      <c r="ENV45" s="595"/>
      <c r="ENW45" s="595"/>
      <c r="ENX45" s="595"/>
      <c r="ENY45" s="595"/>
      <c r="ENZ45" s="595"/>
      <c r="EOA45" s="595"/>
      <c r="EOB45" s="595"/>
      <c r="EOC45" s="595"/>
      <c r="EOD45" s="595"/>
      <c r="EOE45" s="595"/>
      <c r="EOF45" s="595"/>
      <c r="EOG45" s="595"/>
      <c r="EOH45" s="595"/>
      <c r="EOI45" s="595"/>
      <c r="EOJ45" s="595"/>
      <c r="EOK45" s="595"/>
      <c r="EOL45" s="595"/>
      <c r="EOM45" s="595"/>
      <c r="EON45" s="595"/>
      <c r="EOO45" s="595"/>
      <c r="EOP45" s="595"/>
      <c r="EOQ45" s="595"/>
      <c r="EOR45" s="595"/>
      <c r="EOS45" s="595"/>
      <c r="EOT45" s="595"/>
      <c r="EOU45" s="595"/>
      <c r="EOV45" s="595"/>
      <c r="EOW45" s="595"/>
      <c r="EOX45" s="595"/>
      <c r="EOY45" s="595"/>
      <c r="EOZ45" s="595"/>
      <c r="EPA45" s="595"/>
      <c r="EPB45" s="595"/>
      <c r="EPC45" s="595"/>
      <c r="EPD45" s="595"/>
      <c r="EPE45" s="595"/>
      <c r="EPF45" s="595"/>
      <c r="EPG45" s="595"/>
      <c r="EPH45" s="595"/>
      <c r="EPI45" s="595"/>
      <c r="EPJ45" s="595"/>
      <c r="EPK45" s="595"/>
      <c r="EPL45" s="595"/>
      <c r="EPM45" s="595"/>
      <c r="EPN45" s="595"/>
      <c r="EPO45" s="595"/>
      <c r="EPP45" s="595"/>
      <c r="EPQ45" s="595"/>
      <c r="EPR45" s="595"/>
      <c r="EPS45" s="595"/>
      <c r="EPT45" s="595"/>
      <c r="EPU45" s="595"/>
      <c r="EPV45" s="595"/>
      <c r="EPW45" s="595"/>
      <c r="EPX45" s="595"/>
      <c r="EPY45" s="595"/>
      <c r="EPZ45" s="595"/>
      <c r="EQA45" s="595"/>
      <c r="EQB45" s="595"/>
      <c r="EQC45" s="595"/>
      <c r="EQD45" s="595"/>
      <c r="EQE45" s="595"/>
      <c r="EQF45" s="595"/>
      <c r="EQG45" s="595"/>
      <c r="EQH45" s="595"/>
      <c r="EQI45" s="595"/>
      <c r="EQJ45" s="595"/>
      <c r="EQK45" s="595"/>
      <c r="EQL45" s="595"/>
      <c r="EQM45" s="595"/>
      <c r="EQN45" s="595"/>
      <c r="EQO45" s="595"/>
      <c r="EQP45" s="595"/>
      <c r="EQQ45" s="595"/>
      <c r="EQR45" s="595"/>
      <c r="EQS45" s="595"/>
      <c r="EQT45" s="595"/>
      <c r="EQU45" s="595"/>
      <c r="EQV45" s="595"/>
      <c r="EQW45" s="595"/>
      <c r="EQX45" s="595"/>
      <c r="EQY45" s="595"/>
      <c r="EQZ45" s="595"/>
      <c r="ERA45" s="595"/>
      <c r="ERB45" s="595"/>
      <c r="ERC45" s="595"/>
      <c r="ERD45" s="595"/>
      <c r="ERE45" s="595"/>
      <c r="ERF45" s="595"/>
      <c r="ERG45" s="595"/>
      <c r="ERH45" s="595"/>
      <c r="ERI45" s="595"/>
      <c r="ERJ45" s="595"/>
      <c r="ERK45" s="595"/>
      <c r="ERL45" s="595"/>
      <c r="ERM45" s="595"/>
      <c r="ERN45" s="595"/>
      <c r="ERO45" s="595"/>
      <c r="ERP45" s="595"/>
      <c r="ERQ45" s="595"/>
      <c r="ERR45" s="595"/>
      <c r="ERS45" s="595"/>
      <c r="ERT45" s="595"/>
      <c r="ERU45" s="595"/>
      <c r="ERV45" s="595"/>
      <c r="ERW45" s="595"/>
      <c r="ERX45" s="595"/>
      <c r="ERY45" s="595"/>
      <c r="ERZ45" s="595"/>
      <c r="ESA45" s="595"/>
      <c r="ESB45" s="595"/>
      <c r="ESC45" s="595"/>
      <c r="ESD45" s="595"/>
      <c r="ESE45" s="595"/>
      <c r="ESF45" s="595"/>
      <c r="ESG45" s="595"/>
      <c r="ESH45" s="595"/>
      <c r="ESI45" s="595"/>
      <c r="ESJ45" s="595"/>
      <c r="ESK45" s="595"/>
      <c r="ESL45" s="595"/>
      <c r="ESM45" s="595"/>
      <c r="ESN45" s="595"/>
      <c r="ESO45" s="595"/>
      <c r="ESP45" s="595"/>
      <c r="ESQ45" s="595"/>
      <c r="ESR45" s="595"/>
      <c r="ESS45" s="595"/>
      <c r="EST45" s="595"/>
      <c r="ESU45" s="595"/>
      <c r="ESV45" s="595"/>
      <c r="ESW45" s="595"/>
      <c r="ESX45" s="595"/>
      <c r="ESY45" s="595"/>
      <c r="ESZ45" s="595"/>
      <c r="ETA45" s="595"/>
      <c r="ETB45" s="595"/>
      <c r="ETC45" s="595"/>
      <c r="ETD45" s="595"/>
      <c r="ETE45" s="595"/>
      <c r="ETF45" s="595"/>
      <c r="ETG45" s="595"/>
      <c r="ETH45" s="595"/>
      <c r="ETI45" s="595"/>
      <c r="ETJ45" s="595"/>
      <c r="ETK45" s="595"/>
      <c r="ETL45" s="595"/>
      <c r="ETM45" s="595"/>
      <c r="ETN45" s="595"/>
      <c r="ETO45" s="595"/>
      <c r="ETP45" s="595"/>
      <c r="ETQ45" s="595"/>
      <c r="ETR45" s="595"/>
      <c r="ETS45" s="595"/>
      <c r="ETT45" s="595"/>
      <c r="ETU45" s="595"/>
      <c r="ETV45" s="595"/>
      <c r="ETW45" s="595"/>
      <c r="ETX45" s="595"/>
      <c r="ETY45" s="595"/>
      <c r="ETZ45" s="595"/>
      <c r="EUA45" s="595"/>
      <c r="EUB45" s="595"/>
      <c r="EUC45" s="595"/>
      <c r="EUD45" s="595"/>
      <c r="EUE45" s="595"/>
      <c r="EUF45" s="595"/>
      <c r="EUG45" s="595"/>
      <c r="EUH45" s="595"/>
      <c r="EUI45" s="595"/>
      <c r="EUJ45" s="595"/>
      <c r="EUK45" s="595"/>
      <c r="EUL45" s="595"/>
      <c r="EUM45" s="595"/>
      <c r="EUN45" s="595"/>
      <c r="EUO45" s="595"/>
      <c r="EUP45" s="595"/>
      <c r="EUQ45" s="595"/>
      <c r="EUR45" s="595"/>
      <c r="EUS45" s="595"/>
      <c r="EUT45" s="595"/>
      <c r="EUU45" s="595"/>
      <c r="EUV45" s="595"/>
      <c r="EUW45" s="595"/>
      <c r="EUX45" s="595"/>
      <c r="EUY45" s="595"/>
      <c r="EUZ45" s="595"/>
      <c r="EVA45" s="595"/>
      <c r="EVB45" s="595"/>
      <c r="EVC45" s="595"/>
      <c r="EVD45" s="595"/>
      <c r="EVE45" s="595"/>
      <c r="EVF45" s="595"/>
      <c r="EVG45" s="595"/>
      <c r="EVH45" s="595"/>
      <c r="EVI45" s="595"/>
      <c r="EVJ45" s="595"/>
      <c r="EVK45" s="595"/>
      <c r="EVL45" s="595"/>
      <c r="EVM45" s="595"/>
      <c r="EVN45" s="595"/>
      <c r="EVO45" s="595"/>
      <c r="EVP45" s="595"/>
      <c r="EVQ45" s="595"/>
      <c r="EVR45" s="595"/>
      <c r="EVS45" s="595"/>
      <c r="EVT45" s="595"/>
      <c r="EVU45" s="595"/>
      <c r="EVV45" s="595"/>
      <c r="EVW45" s="595"/>
      <c r="EVX45" s="595"/>
      <c r="EVY45" s="595"/>
      <c r="EVZ45" s="595"/>
      <c r="EWA45" s="595"/>
      <c r="EWB45" s="595"/>
      <c r="EWC45" s="595"/>
      <c r="EWD45" s="595"/>
      <c r="EWE45" s="595"/>
      <c r="EWF45" s="595"/>
      <c r="EWG45" s="595"/>
      <c r="EWH45" s="595"/>
      <c r="EWI45" s="595"/>
      <c r="EWJ45" s="595"/>
      <c r="EWK45" s="595"/>
      <c r="EWL45" s="595"/>
      <c r="EWM45" s="595"/>
      <c r="EWN45" s="595"/>
      <c r="EWO45" s="595"/>
      <c r="EWP45" s="595"/>
      <c r="EWQ45" s="595"/>
      <c r="EWR45" s="595"/>
      <c r="EWS45" s="595"/>
      <c r="EWT45" s="595"/>
      <c r="EWU45" s="595"/>
      <c r="EWV45" s="595"/>
      <c r="EWW45" s="595"/>
      <c r="EWX45" s="595"/>
      <c r="EWY45" s="595"/>
      <c r="EWZ45" s="595"/>
      <c r="EXA45" s="595"/>
      <c r="EXB45" s="595"/>
      <c r="EXC45" s="595"/>
      <c r="EXD45" s="595"/>
      <c r="EXE45" s="595"/>
      <c r="EXF45" s="595"/>
      <c r="EXG45" s="595"/>
      <c r="EXH45" s="595"/>
      <c r="EXI45" s="595"/>
      <c r="EXJ45" s="595"/>
      <c r="EXK45" s="595"/>
      <c r="EXL45" s="595"/>
      <c r="EXM45" s="595"/>
      <c r="EXN45" s="595"/>
      <c r="EXO45" s="595"/>
      <c r="EXP45" s="595"/>
      <c r="EXQ45" s="595"/>
      <c r="EXR45" s="595"/>
      <c r="EXS45" s="595"/>
      <c r="EXT45" s="595"/>
      <c r="EXU45" s="595"/>
      <c r="EXV45" s="595"/>
      <c r="EXW45" s="595"/>
      <c r="EXX45" s="595"/>
      <c r="EXY45" s="595"/>
      <c r="EXZ45" s="595"/>
      <c r="EYA45" s="595"/>
      <c r="EYB45" s="595"/>
      <c r="EYC45" s="595"/>
      <c r="EYD45" s="595"/>
      <c r="EYE45" s="595"/>
      <c r="EYF45" s="595"/>
      <c r="EYG45" s="595"/>
      <c r="EYH45" s="595"/>
      <c r="EYI45" s="595"/>
      <c r="EYJ45" s="595"/>
      <c r="EYK45" s="595"/>
      <c r="EYL45" s="595"/>
      <c r="EYM45" s="595"/>
      <c r="EYN45" s="595"/>
      <c r="EYO45" s="595"/>
      <c r="EYP45" s="595"/>
      <c r="EYQ45" s="595"/>
      <c r="EYR45" s="595"/>
      <c r="EYS45" s="595"/>
      <c r="EYT45" s="595"/>
      <c r="EYU45" s="595"/>
      <c r="EYV45" s="595"/>
      <c r="EYW45" s="595"/>
      <c r="EYX45" s="595"/>
      <c r="EYY45" s="595"/>
      <c r="EYZ45" s="595"/>
      <c r="EZA45" s="595"/>
      <c r="EZB45" s="595"/>
      <c r="EZC45" s="595"/>
      <c r="EZD45" s="595"/>
      <c r="EZE45" s="595"/>
      <c r="EZF45" s="595"/>
      <c r="EZG45" s="595"/>
      <c r="EZH45" s="595"/>
      <c r="EZI45" s="595"/>
      <c r="EZJ45" s="595"/>
      <c r="EZK45" s="595"/>
      <c r="EZL45" s="595"/>
      <c r="EZM45" s="595"/>
      <c r="EZN45" s="595"/>
      <c r="EZO45" s="595"/>
      <c r="EZP45" s="595"/>
      <c r="EZQ45" s="595"/>
      <c r="EZR45" s="595"/>
      <c r="EZS45" s="595"/>
      <c r="EZT45" s="595"/>
      <c r="EZU45" s="595"/>
      <c r="EZV45" s="595"/>
      <c r="EZW45" s="595"/>
      <c r="EZX45" s="595"/>
      <c r="EZY45" s="595"/>
      <c r="EZZ45" s="595"/>
      <c r="FAA45" s="595"/>
      <c r="FAB45" s="595"/>
      <c r="FAC45" s="595"/>
      <c r="FAD45" s="595"/>
      <c r="FAE45" s="595"/>
      <c r="FAF45" s="595"/>
      <c r="FAG45" s="595"/>
      <c r="FAH45" s="595"/>
      <c r="FAI45" s="595"/>
      <c r="FAJ45" s="595"/>
      <c r="FAK45" s="595"/>
      <c r="FAL45" s="595"/>
      <c r="FAM45" s="595"/>
      <c r="FAN45" s="595"/>
      <c r="FAO45" s="595"/>
      <c r="FAP45" s="595"/>
      <c r="FAQ45" s="595"/>
      <c r="FAR45" s="595"/>
      <c r="FAS45" s="595"/>
      <c r="FAT45" s="595"/>
      <c r="FAU45" s="595"/>
      <c r="FAV45" s="595"/>
      <c r="FAW45" s="595"/>
      <c r="FAX45" s="595"/>
      <c r="FAY45" s="595"/>
      <c r="FAZ45" s="595"/>
      <c r="FBA45" s="595"/>
      <c r="FBB45" s="595"/>
      <c r="FBC45" s="595"/>
      <c r="FBD45" s="595"/>
      <c r="FBE45" s="595"/>
      <c r="FBF45" s="595"/>
      <c r="FBG45" s="595"/>
      <c r="FBH45" s="595"/>
      <c r="FBI45" s="595"/>
      <c r="FBJ45" s="595"/>
      <c r="FBK45" s="595"/>
      <c r="FBL45" s="595"/>
      <c r="FBM45" s="595"/>
      <c r="FBN45" s="595"/>
      <c r="FBO45" s="595"/>
      <c r="FBP45" s="595"/>
      <c r="FBQ45" s="595"/>
      <c r="FBR45" s="595"/>
      <c r="FBS45" s="595"/>
      <c r="FBT45" s="595"/>
      <c r="FBU45" s="595"/>
      <c r="FBV45" s="595"/>
      <c r="FBW45" s="595"/>
      <c r="FBX45" s="595"/>
      <c r="FBY45" s="595"/>
      <c r="FBZ45" s="595"/>
      <c r="FCA45" s="595"/>
      <c r="FCB45" s="595"/>
      <c r="FCC45" s="595"/>
      <c r="FCD45" s="595"/>
      <c r="FCE45" s="595"/>
      <c r="FCF45" s="595"/>
      <c r="FCG45" s="595"/>
      <c r="FCH45" s="595"/>
      <c r="FCI45" s="595"/>
      <c r="FCJ45" s="595"/>
      <c r="FCK45" s="595"/>
      <c r="FCL45" s="595"/>
      <c r="FCM45" s="595"/>
      <c r="FCN45" s="595"/>
      <c r="FCO45" s="595"/>
      <c r="FCP45" s="595"/>
      <c r="FCQ45" s="595"/>
      <c r="FCR45" s="595"/>
      <c r="FCS45" s="595"/>
      <c r="FCT45" s="595"/>
      <c r="FCU45" s="595"/>
      <c r="FCV45" s="595"/>
      <c r="FCW45" s="595"/>
      <c r="FCX45" s="595"/>
      <c r="FCY45" s="595"/>
      <c r="FCZ45" s="595"/>
      <c r="FDA45" s="595"/>
      <c r="FDB45" s="595"/>
      <c r="FDC45" s="595"/>
      <c r="FDD45" s="595"/>
      <c r="FDE45" s="595"/>
      <c r="FDF45" s="595"/>
      <c r="FDG45" s="595"/>
      <c r="FDH45" s="595"/>
      <c r="FDI45" s="595"/>
      <c r="FDJ45" s="595"/>
      <c r="FDK45" s="595"/>
      <c r="FDL45" s="595"/>
      <c r="FDM45" s="595"/>
      <c r="FDN45" s="595"/>
      <c r="FDO45" s="595"/>
      <c r="FDP45" s="595"/>
      <c r="FDQ45" s="595"/>
      <c r="FDR45" s="595"/>
      <c r="FDS45" s="595"/>
      <c r="FDT45" s="595"/>
      <c r="FDU45" s="595"/>
      <c r="FDV45" s="595"/>
      <c r="FDW45" s="595"/>
      <c r="FDX45" s="595"/>
      <c r="FDY45" s="595"/>
      <c r="FDZ45" s="595"/>
      <c r="FEA45" s="595"/>
      <c r="FEB45" s="595"/>
      <c r="FEC45" s="595"/>
      <c r="FED45" s="595"/>
      <c r="FEE45" s="595"/>
      <c r="FEF45" s="595"/>
      <c r="FEG45" s="595"/>
      <c r="FEH45" s="595"/>
      <c r="FEI45" s="595"/>
      <c r="FEJ45" s="595"/>
      <c r="FEK45" s="595"/>
      <c r="FEL45" s="595"/>
      <c r="FEM45" s="595"/>
      <c r="FEN45" s="595"/>
      <c r="FEO45" s="595"/>
      <c r="FEP45" s="595"/>
      <c r="FEQ45" s="595"/>
      <c r="FER45" s="595"/>
      <c r="FES45" s="595"/>
      <c r="FET45" s="595"/>
      <c r="FEU45" s="595"/>
      <c r="FEV45" s="595"/>
      <c r="FEW45" s="595"/>
      <c r="FEX45" s="595"/>
      <c r="FEY45" s="595"/>
      <c r="FEZ45" s="595"/>
      <c r="FFA45" s="595"/>
      <c r="FFB45" s="595"/>
      <c r="FFC45" s="595"/>
      <c r="FFD45" s="595"/>
      <c r="FFE45" s="595"/>
      <c r="FFF45" s="595"/>
      <c r="FFG45" s="595"/>
      <c r="FFH45" s="595"/>
      <c r="FFI45" s="595"/>
      <c r="FFJ45" s="595"/>
      <c r="FFK45" s="595"/>
      <c r="FFL45" s="595"/>
      <c r="FFM45" s="595"/>
      <c r="FFN45" s="595"/>
      <c r="FFO45" s="595"/>
      <c r="FFP45" s="595"/>
      <c r="FFQ45" s="595"/>
      <c r="FFR45" s="595"/>
      <c r="FFS45" s="595"/>
      <c r="FFT45" s="595"/>
      <c r="FFU45" s="595"/>
      <c r="FFV45" s="595"/>
      <c r="FFW45" s="595"/>
      <c r="FFX45" s="595"/>
      <c r="FFY45" s="595"/>
      <c r="FFZ45" s="595"/>
      <c r="FGA45" s="595"/>
      <c r="FGB45" s="595"/>
      <c r="FGC45" s="595"/>
      <c r="FGD45" s="595"/>
      <c r="FGE45" s="595"/>
      <c r="FGF45" s="595"/>
      <c r="FGG45" s="595"/>
      <c r="FGH45" s="595"/>
      <c r="FGI45" s="595"/>
      <c r="FGJ45" s="595"/>
      <c r="FGK45" s="595"/>
      <c r="FGL45" s="595"/>
      <c r="FGM45" s="595"/>
      <c r="FGN45" s="595"/>
      <c r="FGO45" s="595"/>
      <c r="FGP45" s="595"/>
      <c r="FGQ45" s="595"/>
      <c r="FGR45" s="595"/>
      <c r="FGS45" s="595"/>
      <c r="FGT45" s="595"/>
      <c r="FGU45" s="595"/>
      <c r="FGV45" s="595"/>
      <c r="FGW45" s="595"/>
      <c r="FGX45" s="595"/>
      <c r="FGY45" s="595"/>
      <c r="FGZ45" s="595"/>
      <c r="FHA45" s="595"/>
      <c r="FHB45" s="595"/>
      <c r="FHC45" s="595"/>
      <c r="FHD45" s="595"/>
      <c r="FHE45" s="595"/>
      <c r="FHF45" s="595"/>
      <c r="FHG45" s="595"/>
      <c r="FHH45" s="595"/>
      <c r="FHI45" s="595"/>
      <c r="FHJ45" s="595"/>
      <c r="FHK45" s="595"/>
      <c r="FHL45" s="595"/>
      <c r="FHM45" s="595"/>
      <c r="FHN45" s="595"/>
      <c r="FHO45" s="595"/>
      <c r="FHP45" s="595"/>
      <c r="FHQ45" s="595"/>
      <c r="FHR45" s="595"/>
      <c r="FHS45" s="595"/>
      <c r="FHT45" s="595"/>
      <c r="FHU45" s="595"/>
      <c r="FHV45" s="595"/>
      <c r="FHW45" s="595"/>
      <c r="FHX45" s="595"/>
      <c r="FHY45" s="595"/>
      <c r="FHZ45" s="595"/>
      <c r="FIA45" s="595"/>
      <c r="FIB45" s="595"/>
      <c r="FIC45" s="595"/>
      <c r="FID45" s="595"/>
      <c r="FIE45" s="595"/>
      <c r="FIF45" s="595"/>
      <c r="FIG45" s="595"/>
      <c r="FIH45" s="595"/>
      <c r="FII45" s="595"/>
      <c r="FIJ45" s="595"/>
      <c r="FIK45" s="595"/>
      <c r="FIL45" s="595"/>
      <c r="FIM45" s="595"/>
      <c r="FIN45" s="595"/>
      <c r="FIO45" s="595"/>
      <c r="FIP45" s="595"/>
      <c r="FIQ45" s="595"/>
      <c r="FIR45" s="595"/>
      <c r="FIS45" s="595"/>
      <c r="FIT45" s="595"/>
      <c r="FIU45" s="595"/>
      <c r="FIV45" s="595"/>
      <c r="FIW45" s="595"/>
      <c r="FIX45" s="595"/>
      <c r="FIY45" s="595"/>
      <c r="FIZ45" s="595"/>
      <c r="FJA45" s="595"/>
      <c r="FJB45" s="595"/>
      <c r="FJC45" s="595"/>
      <c r="FJD45" s="595"/>
      <c r="FJE45" s="595"/>
      <c r="FJF45" s="595"/>
      <c r="FJG45" s="595"/>
      <c r="FJH45" s="595"/>
      <c r="FJI45" s="595"/>
      <c r="FJJ45" s="595"/>
      <c r="FJK45" s="595"/>
      <c r="FJL45" s="595"/>
      <c r="FJM45" s="595"/>
      <c r="FJN45" s="595"/>
      <c r="FJO45" s="595"/>
      <c r="FJP45" s="595"/>
      <c r="FJQ45" s="595"/>
      <c r="FJR45" s="595"/>
      <c r="FJS45" s="595"/>
      <c r="FJT45" s="595"/>
      <c r="FJU45" s="595"/>
      <c r="FJV45" s="595"/>
      <c r="FJW45" s="595"/>
      <c r="FJX45" s="595"/>
      <c r="FJY45" s="595"/>
      <c r="FJZ45" s="595"/>
      <c r="FKA45" s="595"/>
      <c r="FKB45" s="595"/>
      <c r="FKC45" s="595"/>
      <c r="FKD45" s="595"/>
      <c r="FKE45" s="595"/>
      <c r="FKF45" s="595"/>
      <c r="FKG45" s="595"/>
      <c r="FKH45" s="595"/>
      <c r="FKI45" s="595"/>
      <c r="FKJ45" s="595"/>
      <c r="FKK45" s="595"/>
      <c r="FKL45" s="595"/>
      <c r="FKM45" s="595"/>
      <c r="FKN45" s="595"/>
      <c r="FKO45" s="595"/>
      <c r="FKP45" s="595"/>
      <c r="FKQ45" s="595"/>
      <c r="FKR45" s="595"/>
      <c r="FKS45" s="595"/>
      <c r="FKT45" s="595"/>
      <c r="FKU45" s="595"/>
      <c r="FKV45" s="595"/>
      <c r="FKW45" s="595"/>
      <c r="FKX45" s="595"/>
      <c r="FKY45" s="595"/>
      <c r="FKZ45" s="595"/>
      <c r="FLA45" s="595"/>
      <c r="FLB45" s="595"/>
      <c r="FLC45" s="595"/>
      <c r="FLD45" s="595"/>
      <c r="FLE45" s="595"/>
      <c r="FLF45" s="595"/>
      <c r="FLG45" s="595"/>
      <c r="FLH45" s="595"/>
      <c r="FLI45" s="595"/>
      <c r="FLJ45" s="595"/>
      <c r="FLK45" s="595"/>
      <c r="FLL45" s="595"/>
      <c r="FLM45" s="595"/>
      <c r="FLN45" s="595"/>
      <c r="FLO45" s="595"/>
      <c r="FLP45" s="595"/>
      <c r="FLQ45" s="595"/>
      <c r="FLR45" s="595"/>
      <c r="FLS45" s="595"/>
      <c r="FLT45" s="595"/>
      <c r="FLU45" s="595"/>
      <c r="FLV45" s="595"/>
      <c r="FLW45" s="595"/>
      <c r="FLX45" s="595"/>
      <c r="FLY45" s="595"/>
      <c r="FLZ45" s="595"/>
      <c r="FMA45" s="595"/>
      <c r="FMB45" s="595"/>
      <c r="FMC45" s="595"/>
      <c r="FMD45" s="595"/>
      <c r="FME45" s="595"/>
      <c r="FMF45" s="595"/>
      <c r="FMG45" s="595"/>
      <c r="FMH45" s="595"/>
      <c r="FMI45" s="595"/>
      <c r="FMJ45" s="595"/>
      <c r="FMK45" s="595"/>
      <c r="FML45" s="595"/>
      <c r="FMM45" s="595"/>
      <c r="FMN45" s="595"/>
      <c r="FMO45" s="595"/>
      <c r="FMP45" s="595"/>
      <c r="FMQ45" s="595"/>
      <c r="FMR45" s="595"/>
      <c r="FMS45" s="595"/>
      <c r="FMT45" s="595"/>
      <c r="FMU45" s="595"/>
      <c r="FMV45" s="595"/>
      <c r="FMW45" s="595"/>
      <c r="FMX45" s="595"/>
      <c r="FMY45" s="595"/>
      <c r="FMZ45" s="595"/>
      <c r="FNA45" s="595"/>
      <c r="FNB45" s="595"/>
      <c r="FNC45" s="595"/>
      <c r="FND45" s="595"/>
      <c r="FNE45" s="595"/>
      <c r="FNF45" s="595"/>
      <c r="FNG45" s="595"/>
      <c r="FNH45" s="595"/>
      <c r="FNI45" s="595"/>
      <c r="FNJ45" s="595"/>
      <c r="FNK45" s="595"/>
      <c r="FNL45" s="595"/>
      <c r="FNM45" s="595"/>
      <c r="FNN45" s="595"/>
      <c r="FNO45" s="595"/>
      <c r="FNP45" s="595"/>
      <c r="FNQ45" s="595"/>
      <c r="FNR45" s="595"/>
      <c r="FNS45" s="595"/>
      <c r="FNT45" s="595"/>
      <c r="FNU45" s="595"/>
      <c r="FNV45" s="595"/>
      <c r="FNW45" s="595"/>
      <c r="FNX45" s="595"/>
      <c r="FNY45" s="595"/>
      <c r="FNZ45" s="595"/>
      <c r="FOA45" s="595"/>
      <c r="FOB45" s="595"/>
      <c r="FOC45" s="595"/>
      <c r="FOD45" s="595"/>
      <c r="FOE45" s="595"/>
      <c r="FOF45" s="595"/>
      <c r="FOG45" s="595"/>
      <c r="FOH45" s="595"/>
      <c r="FOI45" s="595"/>
      <c r="FOJ45" s="595"/>
      <c r="FOK45" s="595"/>
      <c r="FOL45" s="595"/>
      <c r="FOM45" s="595"/>
      <c r="FON45" s="595"/>
      <c r="FOO45" s="595"/>
      <c r="FOP45" s="595"/>
      <c r="FOQ45" s="595"/>
      <c r="FOR45" s="595"/>
      <c r="FOS45" s="595"/>
      <c r="FOT45" s="595"/>
      <c r="FOU45" s="595"/>
      <c r="FOV45" s="595"/>
      <c r="FOW45" s="595"/>
      <c r="FOX45" s="595"/>
      <c r="FOY45" s="595"/>
      <c r="FOZ45" s="595"/>
      <c r="FPA45" s="595"/>
      <c r="FPB45" s="595"/>
      <c r="FPC45" s="595"/>
      <c r="FPD45" s="595"/>
      <c r="FPE45" s="595"/>
      <c r="FPF45" s="595"/>
      <c r="FPG45" s="595"/>
      <c r="FPH45" s="595"/>
      <c r="FPI45" s="595"/>
      <c r="FPJ45" s="595"/>
      <c r="FPK45" s="595"/>
      <c r="FPL45" s="595"/>
      <c r="FPM45" s="595"/>
      <c r="FPN45" s="595"/>
      <c r="FPO45" s="595"/>
      <c r="FPP45" s="595"/>
      <c r="FPQ45" s="595"/>
      <c r="FPR45" s="595"/>
      <c r="FPS45" s="595"/>
      <c r="FPT45" s="595"/>
      <c r="FPU45" s="595"/>
      <c r="FPV45" s="595"/>
      <c r="FPW45" s="595"/>
      <c r="FPX45" s="595"/>
      <c r="FPY45" s="595"/>
      <c r="FPZ45" s="595"/>
      <c r="FQA45" s="595"/>
      <c r="FQB45" s="595"/>
      <c r="FQC45" s="595"/>
      <c r="FQD45" s="595"/>
      <c r="FQE45" s="595"/>
      <c r="FQF45" s="595"/>
      <c r="FQG45" s="595"/>
      <c r="FQH45" s="595"/>
      <c r="FQI45" s="595"/>
      <c r="FQJ45" s="595"/>
      <c r="FQK45" s="595"/>
      <c r="FQL45" s="595"/>
      <c r="FQM45" s="595"/>
      <c r="FQN45" s="595"/>
      <c r="FQO45" s="595"/>
      <c r="FQP45" s="595"/>
      <c r="FQQ45" s="595"/>
      <c r="FQR45" s="595"/>
      <c r="FQS45" s="595"/>
      <c r="FQT45" s="595"/>
      <c r="FQU45" s="595"/>
      <c r="FQV45" s="595"/>
      <c r="FQW45" s="595"/>
      <c r="FQX45" s="595"/>
      <c r="FQY45" s="595"/>
      <c r="FQZ45" s="595"/>
      <c r="FRA45" s="595"/>
      <c r="FRB45" s="595"/>
      <c r="FRC45" s="595"/>
      <c r="FRD45" s="595"/>
      <c r="FRE45" s="595"/>
      <c r="FRF45" s="595"/>
      <c r="FRG45" s="595"/>
      <c r="FRH45" s="595"/>
      <c r="FRI45" s="595"/>
      <c r="FRJ45" s="595"/>
      <c r="FRK45" s="595"/>
      <c r="FRL45" s="595"/>
      <c r="FRM45" s="595"/>
      <c r="FRN45" s="595"/>
      <c r="FRO45" s="595"/>
      <c r="FRP45" s="595"/>
      <c r="FRQ45" s="595"/>
      <c r="FRR45" s="595"/>
      <c r="FRS45" s="595"/>
      <c r="FRT45" s="595"/>
      <c r="FRU45" s="595"/>
      <c r="FRV45" s="595"/>
      <c r="FRW45" s="595"/>
      <c r="FRX45" s="595"/>
      <c r="FRY45" s="595"/>
      <c r="FRZ45" s="595"/>
      <c r="FSA45" s="595"/>
      <c r="FSB45" s="595"/>
      <c r="FSC45" s="595"/>
      <c r="FSD45" s="595"/>
      <c r="FSE45" s="595"/>
      <c r="FSF45" s="595"/>
      <c r="FSG45" s="595"/>
      <c r="FSH45" s="595"/>
      <c r="FSI45" s="595"/>
      <c r="FSJ45" s="595"/>
      <c r="FSK45" s="595"/>
      <c r="FSL45" s="595"/>
      <c r="FSM45" s="595"/>
      <c r="FSN45" s="595"/>
      <c r="FSO45" s="595"/>
      <c r="FSP45" s="595"/>
      <c r="FSQ45" s="595"/>
      <c r="FSR45" s="595"/>
      <c r="FSS45" s="595"/>
      <c r="FST45" s="595"/>
      <c r="FSU45" s="595"/>
      <c r="FSV45" s="595"/>
      <c r="FSW45" s="595"/>
      <c r="FSX45" s="595"/>
      <c r="FSY45" s="595"/>
      <c r="FSZ45" s="595"/>
      <c r="FTA45" s="595"/>
      <c r="FTB45" s="595"/>
      <c r="FTC45" s="595"/>
      <c r="FTD45" s="595"/>
      <c r="FTE45" s="595"/>
      <c r="FTF45" s="595"/>
      <c r="FTG45" s="595"/>
      <c r="FTH45" s="595"/>
      <c r="FTI45" s="595"/>
      <c r="FTJ45" s="595"/>
      <c r="FTK45" s="595"/>
      <c r="FTL45" s="595"/>
      <c r="FTM45" s="595"/>
      <c r="FTN45" s="595"/>
      <c r="FTO45" s="595"/>
      <c r="FTP45" s="595"/>
      <c r="FTQ45" s="595"/>
      <c r="FTR45" s="595"/>
      <c r="FTS45" s="595"/>
      <c r="FTT45" s="595"/>
      <c r="FTU45" s="595"/>
      <c r="FTV45" s="595"/>
      <c r="FTW45" s="595"/>
      <c r="FTX45" s="595"/>
      <c r="FTY45" s="595"/>
      <c r="FTZ45" s="595"/>
      <c r="FUA45" s="595"/>
      <c r="FUB45" s="595"/>
      <c r="FUC45" s="595"/>
      <c r="FUD45" s="595"/>
      <c r="FUE45" s="595"/>
      <c r="FUF45" s="595"/>
      <c r="FUG45" s="595"/>
      <c r="FUH45" s="595"/>
      <c r="FUI45" s="595"/>
      <c r="FUJ45" s="595"/>
      <c r="FUK45" s="595"/>
      <c r="FUL45" s="595"/>
      <c r="FUM45" s="595"/>
      <c r="FUN45" s="595"/>
      <c r="FUO45" s="595"/>
      <c r="FUP45" s="595"/>
      <c r="FUQ45" s="595"/>
      <c r="FUR45" s="595"/>
      <c r="FUS45" s="595"/>
      <c r="FUT45" s="595"/>
      <c r="FUU45" s="595"/>
      <c r="FUV45" s="595"/>
      <c r="FUW45" s="595"/>
      <c r="FUX45" s="595"/>
      <c r="FUY45" s="595"/>
      <c r="FUZ45" s="595"/>
      <c r="FVA45" s="595"/>
      <c r="FVB45" s="595"/>
      <c r="FVC45" s="595"/>
      <c r="FVD45" s="595"/>
      <c r="FVE45" s="595"/>
      <c r="FVF45" s="595"/>
      <c r="FVG45" s="595"/>
      <c r="FVH45" s="595"/>
      <c r="FVI45" s="595"/>
      <c r="FVJ45" s="595"/>
      <c r="FVK45" s="595"/>
      <c r="FVL45" s="595"/>
      <c r="FVM45" s="595"/>
      <c r="FVN45" s="595"/>
      <c r="FVO45" s="595"/>
      <c r="FVP45" s="595"/>
      <c r="FVQ45" s="595"/>
      <c r="FVR45" s="595"/>
      <c r="FVS45" s="595"/>
      <c r="FVT45" s="595"/>
      <c r="FVU45" s="595"/>
      <c r="FVV45" s="595"/>
      <c r="FVW45" s="595"/>
      <c r="FVX45" s="595"/>
      <c r="FVY45" s="595"/>
      <c r="FVZ45" s="595"/>
      <c r="FWA45" s="595"/>
      <c r="FWB45" s="595"/>
      <c r="FWC45" s="595"/>
      <c r="FWD45" s="595"/>
      <c r="FWE45" s="595"/>
      <c r="FWF45" s="595"/>
      <c r="FWG45" s="595"/>
      <c r="FWH45" s="595"/>
      <c r="FWI45" s="595"/>
      <c r="FWJ45" s="595"/>
      <c r="FWK45" s="595"/>
      <c r="FWL45" s="595"/>
      <c r="FWM45" s="595"/>
      <c r="FWN45" s="595"/>
      <c r="FWO45" s="595"/>
      <c r="FWP45" s="595"/>
      <c r="FWQ45" s="595"/>
      <c r="FWR45" s="595"/>
      <c r="FWS45" s="595"/>
      <c r="FWT45" s="595"/>
      <c r="FWU45" s="595"/>
      <c r="FWV45" s="595"/>
      <c r="FWW45" s="595"/>
      <c r="FWX45" s="595"/>
      <c r="FWY45" s="595"/>
      <c r="FWZ45" s="595"/>
      <c r="FXA45" s="595"/>
      <c r="FXB45" s="595"/>
      <c r="FXC45" s="595"/>
      <c r="FXD45" s="595"/>
      <c r="FXE45" s="595"/>
      <c r="FXF45" s="595"/>
      <c r="FXG45" s="595"/>
      <c r="FXH45" s="595"/>
      <c r="FXI45" s="595"/>
      <c r="FXJ45" s="595"/>
      <c r="FXK45" s="595"/>
      <c r="FXL45" s="595"/>
      <c r="FXM45" s="595"/>
      <c r="FXN45" s="595"/>
      <c r="FXO45" s="595"/>
      <c r="FXP45" s="595"/>
      <c r="FXQ45" s="595"/>
      <c r="FXR45" s="595"/>
      <c r="FXS45" s="595"/>
      <c r="FXT45" s="595"/>
      <c r="FXU45" s="595"/>
      <c r="FXV45" s="595"/>
      <c r="FXW45" s="595"/>
      <c r="FXX45" s="595"/>
      <c r="FXY45" s="595"/>
      <c r="FXZ45" s="595"/>
      <c r="FYA45" s="595"/>
      <c r="FYB45" s="595"/>
      <c r="FYC45" s="595"/>
      <c r="FYD45" s="595"/>
      <c r="FYE45" s="595"/>
      <c r="FYF45" s="595"/>
      <c r="FYG45" s="595"/>
      <c r="FYH45" s="595"/>
      <c r="FYI45" s="595"/>
      <c r="FYJ45" s="595"/>
      <c r="FYK45" s="595"/>
      <c r="FYL45" s="595"/>
      <c r="FYM45" s="595"/>
      <c r="FYN45" s="595"/>
      <c r="FYO45" s="595"/>
      <c r="FYP45" s="595"/>
      <c r="FYQ45" s="595"/>
      <c r="FYR45" s="595"/>
      <c r="FYS45" s="595"/>
      <c r="FYT45" s="595"/>
      <c r="FYU45" s="595"/>
      <c r="FYV45" s="595"/>
      <c r="FYW45" s="595"/>
      <c r="FYX45" s="595"/>
      <c r="FYY45" s="595"/>
      <c r="FYZ45" s="595"/>
      <c r="FZA45" s="595"/>
      <c r="FZB45" s="595"/>
      <c r="FZC45" s="595"/>
      <c r="FZD45" s="595"/>
      <c r="FZE45" s="595"/>
      <c r="FZF45" s="595"/>
      <c r="FZG45" s="595"/>
      <c r="FZH45" s="595"/>
      <c r="FZI45" s="595"/>
      <c r="FZJ45" s="595"/>
      <c r="FZK45" s="595"/>
      <c r="FZL45" s="595"/>
      <c r="FZM45" s="595"/>
      <c r="FZN45" s="595"/>
      <c r="FZO45" s="595"/>
      <c r="FZP45" s="595"/>
      <c r="FZQ45" s="595"/>
      <c r="FZR45" s="595"/>
      <c r="FZS45" s="595"/>
      <c r="FZT45" s="595"/>
      <c r="FZU45" s="595"/>
      <c r="FZV45" s="595"/>
      <c r="FZW45" s="595"/>
      <c r="FZX45" s="595"/>
      <c r="FZY45" s="595"/>
      <c r="FZZ45" s="595"/>
      <c r="GAA45" s="595"/>
      <c r="GAB45" s="595"/>
      <c r="GAC45" s="595"/>
      <c r="GAD45" s="595"/>
      <c r="GAE45" s="595"/>
      <c r="GAF45" s="595"/>
      <c r="GAG45" s="595"/>
      <c r="GAH45" s="595"/>
      <c r="GAI45" s="595"/>
      <c r="GAJ45" s="595"/>
      <c r="GAK45" s="595"/>
      <c r="GAL45" s="595"/>
      <c r="GAM45" s="595"/>
      <c r="GAN45" s="595"/>
      <c r="GAO45" s="595"/>
      <c r="GAP45" s="595"/>
      <c r="GAQ45" s="595"/>
      <c r="GAR45" s="595"/>
      <c r="GAS45" s="595"/>
      <c r="GAT45" s="595"/>
      <c r="GAU45" s="595"/>
      <c r="GAV45" s="595"/>
      <c r="GAW45" s="595"/>
      <c r="GAX45" s="595"/>
      <c r="GAY45" s="595"/>
      <c r="GAZ45" s="595"/>
      <c r="GBA45" s="595"/>
      <c r="GBB45" s="595"/>
      <c r="GBC45" s="595"/>
      <c r="GBD45" s="595"/>
      <c r="GBE45" s="595"/>
      <c r="GBF45" s="595"/>
      <c r="GBG45" s="595"/>
      <c r="GBH45" s="595"/>
      <c r="GBI45" s="595"/>
      <c r="GBJ45" s="595"/>
      <c r="GBK45" s="595"/>
      <c r="GBL45" s="595"/>
      <c r="GBM45" s="595"/>
      <c r="GBN45" s="595"/>
      <c r="GBO45" s="595"/>
      <c r="GBP45" s="595"/>
      <c r="GBQ45" s="595"/>
      <c r="GBR45" s="595"/>
      <c r="GBS45" s="595"/>
      <c r="GBT45" s="595"/>
      <c r="GBU45" s="595"/>
      <c r="GBV45" s="595"/>
      <c r="GBW45" s="595"/>
      <c r="GBX45" s="595"/>
      <c r="GBY45" s="595"/>
      <c r="GBZ45" s="595"/>
      <c r="GCA45" s="595"/>
      <c r="GCB45" s="595"/>
      <c r="GCC45" s="595"/>
      <c r="GCD45" s="595"/>
      <c r="GCE45" s="595"/>
      <c r="GCF45" s="595"/>
      <c r="GCG45" s="595"/>
      <c r="GCH45" s="595"/>
      <c r="GCI45" s="595"/>
      <c r="GCJ45" s="595"/>
      <c r="GCK45" s="595"/>
      <c r="GCL45" s="595"/>
      <c r="GCM45" s="595"/>
      <c r="GCN45" s="595"/>
      <c r="GCO45" s="595"/>
      <c r="GCP45" s="595"/>
      <c r="GCQ45" s="595"/>
      <c r="GCR45" s="595"/>
      <c r="GCS45" s="595"/>
      <c r="GCT45" s="595"/>
      <c r="GCU45" s="595"/>
      <c r="GCV45" s="595"/>
      <c r="GCW45" s="595"/>
      <c r="GCX45" s="595"/>
      <c r="GCY45" s="595"/>
      <c r="GCZ45" s="595"/>
      <c r="GDA45" s="595"/>
      <c r="GDB45" s="595"/>
      <c r="GDC45" s="595"/>
      <c r="GDD45" s="595"/>
      <c r="GDE45" s="595"/>
      <c r="GDF45" s="595"/>
      <c r="GDG45" s="595"/>
      <c r="GDH45" s="595"/>
      <c r="GDI45" s="595"/>
      <c r="GDJ45" s="595"/>
      <c r="GDK45" s="595"/>
      <c r="GDL45" s="595"/>
      <c r="GDM45" s="595"/>
      <c r="GDN45" s="595"/>
      <c r="GDO45" s="595"/>
      <c r="GDP45" s="595"/>
      <c r="GDQ45" s="595"/>
      <c r="GDR45" s="595"/>
      <c r="GDS45" s="595"/>
      <c r="GDT45" s="595"/>
      <c r="GDU45" s="595"/>
      <c r="GDV45" s="595"/>
      <c r="GDW45" s="595"/>
      <c r="GDX45" s="595"/>
      <c r="GDY45" s="595"/>
      <c r="GDZ45" s="595"/>
      <c r="GEA45" s="595"/>
      <c r="GEB45" s="595"/>
      <c r="GEC45" s="595"/>
      <c r="GED45" s="595"/>
      <c r="GEE45" s="595"/>
      <c r="GEF45" s="595"/>
      <c r="GEG45" s="595"/>
      <c r="GEH45" s="595"/>
      <c r="GEI45" s="595"/>
      <c r="GEJ45" s="595"/>
      <c r="GEK45" s="595"/>
      <c r="GEL45" s="595"/>
      <c r="GEM45" s="595"/>
      <c r="GEN45" s="595"/>
      <c r="GEO45" s="595"/>
      <c r="GEP45" s="595"/>
      <c r="GEQ45" s="595"/>
      <c r="GER45" s="595"/>
      <c r="GES45" s="595"/>
      <c r="GET45" s="595"/>
      <c r="GEU45" s="595"/>
      <c r="GEV45" s="595"/>
      <c r="GEW45" s="595"/>
      <c r="GEX45" s="595"/>
      <c r="GEY45" s="595"/>
      <c r="GEZ45" s="595"/>
      <c r="GFA45" s="595"/>
      <c r="GFB45" s="595"/>
      <c r="GFC45" s="595"/>
      <c r="GFD45" s="595"/>
      <c r="GFE45" s="595"/>
      <c r="GFF45" s="595"/>
      <c r="GFG45" s="595"/>
      <c r="GFH45" s="595"/>
      <c r="GFI45" s="595"/>
      <c r="GFJ45" s="595"/>
      <c r="GFK45" s="595"/>
      <c r="GFL45" s="595"/>
      <c r="GFM45" s="595"/>
      <c r="GFN45" s="595"/>
      <c r="GFO45" s="595"/>
      <c r="GFP45" s="595"/>
      <c r="GFQ45" s="595"/>
      <c r="GFR45" s="595"/>
      <c r="GFS45" s="595"/>
      <c r="GFT45" s="595"/>
      <c r="GFU45" s="595"/>
      <c r="GFV45" s="595"/>
      <c r="GFW45" s="595"/>
      <c r="GFX45" s="595"/>
      <c r="GFY45" s="595"/>
      <c r="GFZ45" s="595"/>
      <c r="GGA45" s="595"/>
      <c r="GGB45" s="595"/>
      <c r="GGC45" s="595"/>
      <c r="GGD45" s="595"/>
      <c r="GGE45" s="595"/>
      <c r="GGF45" s="595"/>
      <c r="GGG45" s="595"/>
      <c r="GGH45" s="595"/>
      <c r="GGI45" s="595"/>
      <c r="GGJ45" s="595"/>
      <c r="GGK45" s="595"/>
      <c r="GGL45" s="595"/>
      <c r="GGM45" s="595"/>
      <c r="GGN45" s="595"/>
      <c r="GGO45" s="595"/>
      <c r="GGP45" s="595"/>
      <c r="GGQ45" s="595"/>
      <c r="GGR45" s="595"/>
      <c r="GGS45" s="595"/>
      <c r="GGT45" s="595"/>
      <c r="GGU45" s="595"/>
      <c r="GGV45" s="595"/>
      <c r="GGW45" s="595"/>
      <c r="GGX45" s="595"/>
      <c r="GGY45" s="595"/>
      <c r="GGZ45" s="595"/>
      <c r="GHA45" s="595"/>
      <c r="GHB45" s="595"/>
      <c r="GHC45" s="595"/>
      <c r="GHD45" s="595"/>
      <c r="GHE45" s="595"/>
      <c r="GHF45" s="595"/>
      <c r="GHG45" s="595"/>
      <c r="GHH45" s="595"/>
      <c r="GHI45" s="595"/>
      <c r="GHJ45" s="595"/>
      <c r="GHK45" s="595"/>
      <c r="GHL45" s="595"/>
      <c r="GHM45" s="595"/>
      <c r="GHN45" s="595"/>
      <c r="GHO45" s="595"/>
      <c r="GHP45" s="595"/>
      <c r="GHQ45" s="595"/>
      <c r="GHR45" s="595"/>
      <c r="GHS45" s="595"/>
      <c r="GHT45" s="595"/>
      <c r="GHU45" s="595"/>
      <c r="GHV45" s="595"/>
      <c r="GHW45" s="595"/>
      <c r="GHX45" s="595"/>
      <c r="GHY45" s="595"/>
      <c r="GHZ45" s="595"/>
      <c r="GIA45" s="595"/>
      <c r="GIB45" s="595"/>
      <c r="GIC45" s="595"/>
      <c r="GID45" s="595"/>
      <c r="GIE45" s="595"/>
      <c r="GIF45" s="595"/>
      <c r="GIG45" s="595"/>
      <c r="GIH45" s="595"/>
      <c r="GII45" s="595"/>
      <c r="GIJ45" s="595"/>
      <c r="GIK45" s="595"/>
      <c r="GIL45" s="595"/>
      <c r="GIM45" s="595"/>
      <c r="GIN45" s="595"/>
      <c r="GIO45" s="595"/>
      <c r="GIP45" s="595"/>
      <c r="GIQ45" s="595"/>
      <c r="GIR45" s="595"/>
      <c r="GIS45" s="595"/>
      <c r="GIT45" s="595"/>
      <c r="GIU45" s="595"/>
      <c r="GIV45" s="595"/>
      <c r="GIW45" s="595"/>
      <c r="GIX45" s="595"/>
      <c r="GIY45" s="595"/>
      <c r="GIZ45" s="595"/>
      <c r="GJA45" s="595"/>
      <c r="GJB45" s="595"/>
      <c r="GJC45" s="595"/>
      <c r="GJD45" s="595"/>
      <c r="GJE45" s="595"/>
      <c r="GJF45" s="595"/>
      <c r="GJG45" s="595"/>
      <c r="GJH45" s="595"/>
      <c r="GJI45" s="595"/>
      <c r="GJJ45" s="595"/>
      <c r="GJK45" s="595"/>
      <c r="GJL45" s="595"/>
      <c r="GJM45" s="595"/>
      <c r="GJN45" s="595"/>
      <c r="GJO45" s="595"/>
      <c r="GJP45" s="595"/>
      <c r="GJQ45" s="595"/>
      <c r="GJR45" s="595"/>
      <c r="GJS45" s="595"/>
      <c r="GJT45" s="595"/>
      <c r="GJU45" s="595"/>
      <c r="GJV45" s="595"/>
      <c r="GJW45" s="595"/>
      <c r="GJX45" s="595"/>
      <c r="GJY45" s="595"/>
      <c r="GJZ45" s="595"/>
      <c r="GKA45" s="595"/>
      <c r="GKB45" s="595"/>
      <c r="GKC45" s="595"/>
      <c r="GKD45" s="595"/>
      <c r="GKE45" s="595"/>
      <c r="GKF45" s="595"/>
      <c r="GKG45" s="595"/>
      <c r="GKH45" s="595"/>
      <c r="GKI45" s="595"/>
      <c r="GKJ45" s="595"/>
      <c r="GKK45" s="595"/>
      <c r="GKL45" s="595"/>
      <c r="GKM45" s="595"/>
      <c r="GKN45" s="595"/>
      <c r="GKO45" s="595"/>
      <c r="GKP45" s="595"/>
      <c r="GKQ45" s="595"/>
      <c r="GKR45" s="595"/>
      <c r="GKS45" s="595"/>
      <c r="GKT45" s="595"/>
      <c r="GKU45" s="595"/>
      <c r="GKV45" s="595"/>
      <c r="GKW45" s="595"/>
      <c r="GKX45" s="595"/>
      <c r="GKY45" s="595"/>
      <c r="GKZ45" s="595"/>
      <c r="GLA45" s="595"/>
      <c r="GLB45" s="595"/>
      <c r="GLC45" s="595"/>
      <c r="GLD45" s="595"/>
      <c r="GLE45" s="595"/>
      <c r="GLF45" s="595"/>
      <c r="GLG45" s="595"/>
      <c r="GLH45" s="595"/>
      <c r="GLI45" s="595"/>
      <c r="GLJ45" s="595"/>
      <c r="GLK45" s="595"/>
      <c r="GLL45" s="595"/>
      <c r="GLM45" s="595"/>
      <c r="GLN45" s="595"/>
      <c r="GLO45" s="595"/>
      <c r="GLP45" s="595"/>
      <c r="GLQ45" s="595"/>
      <c r="GLR45" s="595"/>
      <c r="GLS45" s="595"/>
      <c r="GLT45" s="595"/>
      <c r="GLU45" s="595"/>
      <c r="GLV45" s="595"/>
      <c r="GLW45" s="595"/>
      <c r="GLX45" s="595"/>
      <c r="GLY45" s="595"/>
      <c r="GLZ45" s="595"/>
      <c r="GMA45" s="595"/>
      <c r="GMB45" s="595"/>
      <c r="GMC45" s="595"/>
      <c r="GMD45" s="595"/>
      <c r="GME45" s="595"/>
      <c r="GMF45" s="595"/>
      <c r="GMG45" s="595"/>
      <c r="GMH45" s="595"/>
      <c r="GMI45" s="595"/>
      <c r="GMJ45" s="595"/>
      <c r="GMK45" s="595"/>
      <c r="GML45" s="595"/>
      <c r="GMM45" s="595"/>
      <c r="GMN45" s="595"/>
      <c r="GMO45" s="595"/>
      <c r="GMP45" s="595"/>
      <c r="GMQ45" s="595"/>
      <c r="GMR45" s="595"/>
      <c r="GMS45" s="595"/>
      <c r="GMT45" s="595"/>
      <c r="GMU45" s="595"/>
      <c r="GMV45" s="595"/>
      <c r="GMW45" s="595"/>
      <c r="GMX45" s="595"/>
      <c r="GMY45" s="595"/>
      <c r="GMZ45" s="595"/>
      <c r="GNA45" s="595"/>
      <c r="GNB45" s="595"/>
      <c r="GNC45" s="595"/>
      <c r="GND45" s="595"/>
      <c r="GNE45" s="595"/>
      <c r="GNF45" s="595"/>
      <c r="GNG45" s="595"/>
      <c r="GNH45" s="595"/>
      <c r="GNI45" s="595"/>
      <c r="GNJ45" s="595"/>
      <c r="GNK45" s="595"/>
      <c r="GNL45" s="595"/>
      <c r="GNM45" s="595"/>
      <c r="GNN45" s="595"/>
      <c r="GNO45" s="595"/>
      <c r="GNP45" s="595"/>
      <c r="GNQ45" s="595"/>
      <c r="GNR45" s="595"/>
      <c r="GNS45" s="595"/>
      <c r="GNT45" s="595"/>
      <c r="GNU45" s="595"/>
      <c r="GNV45" s="595"/>
      <c r="GNW45" s="595"/>
      <c r="GNX45" s="595"/>
      <c r="GNY45" s="595"/>
      <c r="GNZ45" s="595"/>
      <c r="GOA45" s="595"/>
      <c r="GOB45" s="595"/>
      <c r="GOC45" s="595"/>
      <c r="GOD45" s="595"/>
      <c r="GOE45" s="595"/>
      <c r="GOF45" s="595"/>
      <c r="GOG45" s="595"/>
      <c r="GOH45" s="595"/>
      <c r="GOI45" s="595"/>
      <c r="GOJ45" s="595"/>
      <c r="GOK45" s="595"/>
      <c r="GOL45" s="595"/>
      <c r="GOM45" s="595"/>
      <c r="GON45" s="595"/>
      <c r="GOO45" s="595"/>
      <c r="GOP45" s="595"/>
      <c r="GOQ45" s="595"/>
      <c r="GOR45" s="595"/>
      <c r="GOS45" s="595"/>
      <c r="GOT45" s="595"/>
      <c r="GOU45" s="595"/>
      <c r="GOV45" s="595"/>
      <c r="GOW45" s="595"/>
      <c r="GOX45" s="595"/>
      <c r="GOY45" s="595"/>
      <c r="GOZ45" s="595"/>
      <c r="GPA45" s="595"/>
      <c r="GPB45" s="595"/>
      <c r="GPC45" s="595"/>
      <c r="GPD45" s="595"/>
      <c r="GPE45" s="595"/>
      <c r="GPF45" s="595"/>
      <c r="GPG45" s="595"/>
      <c r="GPH45" s="595"/>
      <c r="GPI45" s="595"/>
      <c r="GPJ45" s="595"/>
      <c r="GPK45" s="595"/>
      <c r="GPL45" s="595"/>
      <c r="GPM45" s="595"/>
      <c r="GPN45" s="595"/>
      <c r="GPO45" s="595"/>
      <c r="GPP45" s="595"/>
      <c r="GPQ45" s="595"/>
      <c r="GPR45" s="595"/>
      <c r="GPS45" s="595"/>
      <c r="GPT45" s="595"/>
      <c r="GPU45" s="595"/>
      <c r="GPV45" s="595"/>
      <c r="GPW45" s="595"/>
      <c r="GPX45" s="595"/>
      <c r="GPY45" s="595"/>
      <c r="GPZ45" s="595"/>
      <c r="GQA45" s="595"/>
      <c r="GQB45" s="595"/>
      <c r="GQC45" s="595"/>
      <c r="GQD45" s="595"/>
      <c r="GQE45" s="595"/>
      <c r="GQF45" s="595"/>
      <c r="GQG45" s="595"/>
      <c r="GQH45" s="595"/>
      <c r="GQI45" s="595"/>
      <c r="GQJ45" s="595"/>
      <c r="GQK45" s="595"/>
      <c r="GQL45" s="595"/>
      <c r="GQM45" s="595"/>
      <c r="GQN45" s="595"/>
      <c r="GQO45" s="595"/>
      <c r="GQP45" s="595"/>
      <c r="GQQ45" s="595"/>
      <c r="GQR45" s="595"/>
      <c r="GQS45" s="595"/>
      <c r="GQT45" s="595"/>
      <c r="GQU45" s="595"/>
      <c r="GQV45" s="595"/>
      <c r="GQW45" s="595"/>
      <c r="GQX45" s="595"/>
      <c r="GQY45" s="595"/>
      <c r="GQZ45" s="595"/>
      <c r="GRA45" s="595"/>
      <c r="GRB45" s="595"/>
      <c r="GRC45" s="595"/>
      <c r="GRD45" s="595"/>
      <c r="GRE45" s="595"/>
      <c r="GRF45" s="595"/>
      <c r="GRG45" s="595"/>
      <c r="GRH45" s="595"/>
      <c r="GRI45" s="595"/>
      <c r="GRJ45" s="595"/>
      <c r="GRK45" s="595"/>
      <c r="GRL45" s="595"/>
      <c r="GRM45" s="595"/>
      <c r="GRN45" s="595"/>
      <c r="GRO45" s="595"/>
      <c r="GRP45" s="595"/>
      <c r="GRQ45" s="595"/>
      <c r="GRR45" s="595"/>
      <c r="GRS45" s="595"/>
      <c r="GRT45" s="595"/>
      <c r="GRU45" s="595"/>
      <c r="GRV45" s="595"/>
      <c r="GRW45" s="595"/>
      <c r="GRX45" s="595"/>
      <c r="GRY45" s="595"/>
      <c r="GRZ45" s="595"/>
      <c r="GSA45" s="595"/>
      <c r="GSB45" s="595"/>
      <c r="GSC45" s="595"/>
      <c r="GSD45" s="595"/>
      <c r="GSE45" s="595"/>
      <c r="GSF45" s="595"/>
      <c r="GSG45" s="595"/>
      <c r="GSH45" s="595"/>
      <c r="GSI45" s="595"/>
      <c r="GSJ45" s="595"/>
      <c r="GSK45" s="595"/>
      <c r="GSL45" s="595"/>
      <c r="GSM45" s="595"/>
      <c r="GSN45" s="595"/>
      <c r="GSO45" s="595"/>
      <c r="GSP45" s="595"/>
      <c r="GSQ45" s="595"/>
      <c r="GSR45" s="595"/>
      <c r="GSS45" s="595"/>
      <c r="GST45" s="595"/>
      <c r="GSU45" s="595"/>
      <c r="GSV45" s="595"/>
      <c r="GSW45" s="595"/>
      <c r="GSX45" s="595"/>
      <c r="GSY45" s="595"/>
      <c r="GSZ45" s="595"/>
      <c r="GTA45" s="595"/>
      <c r="GTB45" s="595"/>
      <c r="GTC45" s="595"/>
      <c r="GTD45" s="595"/>
      <c r="GTE45" s="595"/>
      <c r="GTF45" s="595"/>
      <c r="GTG45" s="595"/>
      <c r="GTH45" s="595"/>
      <c r="GTI45" s="595"/>
      <c r="GTJ45" s="595"/>
      <c r="GTK45" s="595"/>
      <c r="GTL45" s="595"/>
      <c r="GTM45" s="595"/>
      <c r="GTN45" s="595"/>
      <c r="GTO45" s="595"/>
      <c r="GTP45" s="595"/>
      <c r="GTQ45" s="595"/>
      <c r="GTR45" s="595"/>
      <c r="GTS45" s="595"/>
      <c r="GTT45" s="595"/>
      <c r="GTU45" s="595"/>
      <c r="GTV45" s="595"/>
      <c r="GTW45" s="595"/>
      <c r="GTX45" s="595"/>
      <c r="GTY45" s="595"/>
      <c r="GTZ45" s="595"/>
      <c r="GUA45" s="595"/>
      <c r="GUB45" s="595"/>
      <c r="GUC45" s="595"/>
      <c r="GUD45" s="595"/>
      <c r="GUE45" s="595"/>
      <c r="GUF45" s="595"/>
      <c r="GUG45" s="595"/>
      <c r="GUH45" s="595"/>
      <c r="GUI45" s="595"/>
      <c r="GUJ45" s="595"/>
      <c r="GUK45" s="595"/>
      <c r="GUL45" s="595"/>
      <c r="GUM45" s="595"/>
      <c r="GUN45" s="595"/>
      <c r="GUO45" s="595"/>
      <c r="GUP45" s="595"/>
      <c r="GUQ45" s="595"/>
      <c r="GUR45" s="595"/>
      <c r="GUS45" s="595"/>
      <c r="GUT45" s="595"/>
      <c r="GUU45" s="595"/>
      <c r="GUV45" s="595"/>
      <c r="GUW45" s="595"/>
      <c r="GUX45" s="595"/>
      <c r="GUY45" s="595"/>
      <c r="GUZ45" s="595"/>
      <c r="GVA45" s="595"/>
      <c r="GVB45" s="595"/>
      <c r="GVC45" s="595"/>
      <c r="GVD45" s="595"/>
      <c r="GVE45" s="595"/>
      <c r="GVF45" s="595"/>
      <c r="GVG45" s="595"/>
      <c r="GVH45" s="595"/>
      <c r="GVI45" s="595"/>
      <c r="GVJ45" s="595"/>
      <c r="GVK45" s="595"/>
      <c r="GVL45" s="595"/>
      <c r="GVM45" s="595"/>
      <c r="GVN45" s="595"/>
      <c r="GVO45" s="595"/>
      <c r="GVP45" s="595"/>
      <c r="GVQ45" s="595"/>
      <c r="GVR45" s="595"/>
      <c r="GVS45" s="595"/>
      <c r="GVT45" s="595"/>
      <c r="GVU45" s="595"/>
      <c r="GVV45" s="595"/>
      <c r="GVW45" s="595"/>
      <c r="GVX45" s="595"/>
      <c r="GVY45" s="595"/>
      <c r="GVZ45" s="595"/>
      <c r="GWA45" s="595"/>
      <c r="GWB45" s="595"/>
      <c r="GWC45" s="595"/>
      <c r="GWD45" s="595"/>
      <c r="GWE45" s="595"/>
      <c r="GWF45" s="595"/>
      <c r="GWG45" s="595"/>
      <c r="GWH45" s="595"/>
      <c r="GWI45" s="595"/>
      <c r="GWJ45" s="595"/>
      <c r="GWK45" s="595"/>
      <c r="GWL45" s="595"/>
      <c r="GWM45" s="595"/>
      <c r="GWN45" s="595"/>
      <c r="GWO45" s="595"/>
      <c r="GWP45" s="595"/>
      <c r="GWQ45" s="595"/>
      <c r="GWR45" s="595"/>
      <c r="GWS45" s="595"/>
      <c r="GWT45" s="595"/>
      <c r="GWU45" s="595"/>
      <c r="GWV45" s="595"/>
      <c r="GWW45" s="595"/>
      <c r="GWX45" s="595"/>
      <c r="GWY45" s="595"/>
      <c r="GWZ45" s="595"/>
      <c r="GXA45" s="595"/>
      <c r="GXB45" s="595"/>
      <c r="GXC45" s="595"/>
      <c r="GXD45" s="595"/>
      <c r="GXE45" s="595"/>
      <c r="GXF45" s="595"/>
      <c r="GXG45" s="595"/>
      <c r="GXH45" s="595"/>
      <c r="GXI45" s="595"/>
      <c r="GXJ45" s="595"/>
      <c r="GXK45" s="595"/>
      <c r="GXL45" s="595"/>
      <c r="GXM45" s="595"/>
      <c r="GXN45" s="595"/>
      <c r="GXO45" s="595"/>
      <c r="GXP45" s="595"/>
      <c r="GXQ45" s="595"/>
      <c r="GXR45" s="595"/>
      <c r="GXS45" s="595"/>
      <c r="GXT45" s="595"/>
      <c r="GXU45" s="595"/>
      <c r="GXV45" s="595"/>
      <c r="GXW45" s="595"/>
      <c r="GXX45" s="595"/>
      <c r="GXY45" s="595"/>
      <c r="GXZ45" s="595"/>
      <c r="GYA45" s="595"/>
      <c r="GYB45" s="595"/>
      <c r="GYC45" s="595"/>
      <c r="GYD45" s="595"/>
      <c r="GYE45" s="595"/>
      <c r="GYF45" s="595"/>
      <c r="GYG45" s="595"/>
      <c r="GYH45" s="595"/>
      <c r="GYI45" s="595"/>
      <c r="GYJ45" s="595"/>
      <c r="GYK45" s="595"/>
      <c r="GYL45" s="595"/>
      <c r="GYM45" s="595"/>
      <c r="GYN45" s="595"/>
      <c r="GYO45" s="595"/>
      <c r="GYP45" s="595"/>
      <c r="GYQ45" s="595"/>
      <c r="GYR45" s="595"/>
      <c r="GYS45" s="595"/>
      <c r="GYT45" s="595"/>
      <c r="GYU45" s="595"/>
      <c r="GYV45" s="595"/>
      <c r="GYW45" s="595"/>
      <c r="GYX45" s="595"/>
      <c r="GYY45" s="595"/>
      <c r="GYZ45" s="595"/>
      <c r="GZA45" s="595"/>
      <c r="GZB45" s="595"/>
      <c r="GZC45" s="595"/>
      <c r="GZD45" s="595"/>
      <c r="GZE45" s="595"/>
      <c r="GZF45" s="595"/>
      <c r="GZG45" s="595"/>
      <c r="GZH45" s="595"/>
      <c r="GZI45" s="595"/>
      <c r="GZJ45" s="595"/>
      <c r="GZK45" s="595"/>
      <c r="GZL45" s="595"/>
      <c r="GZM45" s="595"/>
      <c r="GZN45" s="595"/>
      <c r="GZO45" s="595"/>
      <c r="GZP45" s="595"/>
      <c r="GZQ45" s="595"/>
      <c r="GZR45" s="595"/>
      <c r="GZS45" s="595"/>
      <c r="GZT45" s="595"/>
      <c r="GZU45" s="595"/>
      <c r="GZV45" s="595"/>
      <c r="GZW45" s="595"/>
      <c r="GZX45" s="595"/>
      <c r="GZY45" s="595"/>
      <c r="GZZ45" s="595"/>
      <c r="HAA45" s="595"/>
      <c r="HAB45" s="595"/>
      <c r="HAC45" s="595"/>
      <c r="HAD45" s="595"/>
      <c r="HAE45" s="595"/>
      <c r="HAF45" s="595"/>
      <c r="HAG45" s="595"/>
      <c r="HAH45" s="595"/>
      <c r="HAI45" s="595"/>
      <c r="HAJ45" s="595"/>
      <c r="HAK45" s="595"/>
      <c r="HAL45" s="595"/>
      <c r="HAM45" s="595"/>
      <c r="HAN45" s="595"/>
      <c r="HAO45" s="595"/>
      <c r="HAP45" s="595"/>
      <c r="HAQ45" s="595"/>
      <c r="HAR45" s="595"/>
      <c r="HAS45" s="595"/>
      <c r="HAT45" s="595"/>
      <c r="HAU45" s="595"/>
      <c r="HAV45" s="595"/>
      <c r="HAW45" s="595"/>
      <c r="HAX45" s="595"/>
      <c r="HAY45" s="595"/>
      <c r="HAZ45" s="595"/>
      <c r="HBA45" s="595"/>
      <c r="HBB45" s="595"/>
      <c r="HBC45" s="595"/>
      <c r="HBD45" s="595"/>
      <c r="HBE45" s="595"/>
      <c r="HBF45" s="595"/>
      <c r="HBG45" s="595"/>
      <c r="HBH45" s="595"/>
      <c r="HBI45" s="595"/>
      <c r="HBJ45" s="595"/>
      <c r="HBK45" s="595"/>
      <c r="HBL45" s="595"/>
      <c r="HBM45" s="595"/>
      <c r="HBN45" s="595"/>
      <c r="HBO45" s="595"/>
      <c r="HBP45" s="595"/>
      <c r="HBQ45" s="595"/>
      <c r="HBR45" s="595"/>
      <c r="HBS45" s="595"/>
      <c r="HBT45" s="595"/>
      <c r="HBU45" s="595"/>
      <c r="HBV45" s="595"/>
      <c r="HBW45" s="595"/>
      <c r="HBX45" s="595"/>
      <c r="HBY45" s="595"/>
      <c r="HBZ45" s="595"/>
      <c r="HCA45" s="595"/>
      <c r="HCB45" s="595"/>
      <c r="HCC45" s="595"/>
      <c r="HCD45" s="595"/>
      <c r="HCE45" s="595"/>
      <c r="HCF45" s="595"/>
      <c r="HCG45" s="595"/>
      <c r="HCH45" s="595"/>
      <c r="HCI45" s="595"/>
      <c r="HCJ45" s="595"/>
      <c r="HCK45" s="595"/>
      <c r="HCL45" s="595"/>
      <c r="HCM45" s="595"/>
      <c r="HCN45" s="595"/>
      <c r="HCO45" s="595"/>
      <c r="HCP45" s="595"/>
      <c r="HCQ45" s="595"/>
      <c r="HCR45" s="595"/>
      <c r="HCS45" s="595"/>
      <c r="HCT45" s="595"/>
      <c r="HCU45" s="595"/>
      <c r="HCV45" s="595"/>
      <c r="HCW45" s="595"/>
      <c r="HCX45" s="595"/>
      <c r="HCY45" s="595"/>
      <c r="HCZ45" s="595"/>
      <c r="HDA45" s="595"/>
      <c r="HDB45" s="595"/>
      <c r="HDC45" s="595"/>
      <c r="HDD45" s="595"/>
      <c r="HDE45" s="595"/>
      <c r="HDF45" s="595"/>
      <c r="HDG45" s="595"/>
      <c r="HDH45" s="595"/>
      <c r="HDI45" s="595"/>
      <c r="HDJ45" s="595"/>
      <c r="HDK45" s="595"/>
      <c r="HDL45" s="595"/>
      <c r="HDM45" s="595"/>
      <c r="HDN45" s="595"/>
      <c r="HDO45" s="595"/>
      <c r="HDP45" s="595"/>
      <c r="HDQ45" s="595"/>
      <c r="HDR45" s="595"/>
      <c r="HDS45" s="595"/>
      <c r="HDT45" s="595"/>
      <c r="HDU45" s="595"/>
      <c r="HDV45" s="595"/>
      <c r="HDW45" s="595"/>
      <c r="HDX45" s="595"/>
      <c r="HDY45" s="595"/>
      <c r="HDZ45" s="595"/>
      <c r="HEA45" s="595"/>
      <c r="HEB45" s="595"/>
      <c r="HEC45" s="595"/>
      <c r="HED45" s="595"/>
      <c r="HEE45" s="595"/>
      <c r="HEF45" s="595"/>
      <c r="HEG45" s="595"/>
      <c r="HEH45" s="595"/>
      <c r="HEI45" s="595"/>
      <c r="HEJ45" s="595"/>
      <c r="HEK45" s="595"/>
      <c r="HEL45" s="595"/>
      <c r="HEM45" s="595"/>
      <c r="HEN45" s="595"/>
      <c r="HEO45" s="595"/>
      <c r="HEP45" s="595"/>
      <c r="HEQ45" s="595"/>
      <c r="HER45" s="595"/>
      <c r="HES45" s="595"/>
      <c r="HET45" s="595"/>
      <c r="HEU45" s="595"/>
      <c r="HEV45" s="595"/>
      <c r="HEW45" s="595"/>
      <c r="HEX45" s="595"/>
      <c r="HEY45" s="595"/>
      <c r="HEZ45" s="595"/>
      <c r="HFA45" s="595"/>
      <c r="HFB45" s="595"/>
      <c r="HFC45" s="595"/>
      <c r="HFD45" s="595"/>
      <c r="HFE45" s="595"/>
      <c r="HFF45" s="595"/>
      <c r="HFG45" s="595"/>
      <c r="HFH45" s="595"/>
      <c r="HFI45" s="595"/>
      <c r="HFJ45" s="595"/>
      <c r="HFK45" s="595"/>
      <c r="HFL45" s="595"/>
      <c r="HFM45" s="595"/>
      <c r="HFN45" s="595"/>
      <c r="HFO45" s="595"/>
      <c r="HFP45" s="595"/>
      <c r="HFQ45" s="595"/>
      <c r="HFR45" s="595"/>
      <c r="HFS45" s="595"/>
      <c r="HFT45" s="595"/>
      <c r="HFU45" s="595"/>
      <c r="HFV45" s="595"/>
      <c r="HFW45" s="595"/>
      <c r="HFX45" s="595"/>
      <c r="HFY45" s="595"/>
      <c r="HFZ45" s="595"/>
      <c r="HGA45" s="595"/>
      <c r="HGB45" s="595"/>
      <c r="HGC45" s="595"/>
      <c r="HGD45" s="595"/>
      <c r="HGE45" s="595"/>
      <c r="HGF45" s="595"/>
      <c r="HGG45" s="595"/>
      <c r="HGH45" s="595"/>
      <c r="HGI45" s="595"/>
      <c r="HGJ45" s="595"/>
      <c r="HGK45" s="595"/>
      <c r="HGL45" s="595"/>
      <c r="HGM45" s="595"/>
      <c r="HGN45" s="595"/>
      <c r="HGO45" s="595"/>
      <c r="HGP45" s="595"/>
      <c r="HGQ45" s="595"/>
      <c r="HGR45" s="595"/>
      <c r="HGS45" s="595"/>
      <c r="HGT45" s="595"/>
      <c r="HGU45" s="595"/>
      <c r="HGV45" s="595"/>
      <c r="HGW45" s="595"/>
      <c r="HGX45" s="595"/>
      <c r="HGY45" s="595"/>
      <c r="HGZ45" s="595"/>
      <c r="HHA45" s="595"/>
      <c r="HHB45" s="595"/>
      <c r="HHC45" s="595"/>
      <c r="HHD45" s="595"/>
      <c r="HHE45" s="595"/>
      <c r="HHF45" s="595"/>
      <c r="HHG45" s="595"/>
      <c r="HHH45" s="595"/>
      <c r="HHI45" s="595"/>
      <c r="HHJ45" s="595"/>
      <c r="HHK45" s="595"/>
      <c r="HHL45" s="595"/>
      <c r="HHM45" s="595"/>
      <c r="HHN45" s="595"/>
      <c r="HHO45" s="595"/>
      <c r="HHP45" s="595"/>
      <c r="HHQ45" s="595"/>
      <c r="HHR45" s="595"/>
      <c r="HHS45" s="595"/>
      <c r="HHT45" s="595"/>
      <c r="HHU45" s="595"/>
      <c r="HHV45" s="595"/>
      <c r="HHW45" s="595"/>
      <c r="HHX45" s="595"/>
      <c r="HHY45" s="595"/>
      <c r="HHZ45" s="595"/>
      <c r="HIA45" s="595"/>
      <c r="HIB45" s="595"/>
      <c r="HIC45" s="595"/>
      <c r="HID45" s="595"/>
      <c r="HIE45" s="595"/>
      <c r="HIF45" s="595"/>
      <c r="HIG45" s="595"/>
      <c r="HIH45" s="595"/>
      <c r="HII45" s="595"/>
      <c r="HIJ45" s="595"/>
      <c r="HIK45" s="595"/>
      <c r="HIL45" s="595"/>
      <c r="HIM45" s="595"/>
      <c r="HIN45" s="595"/>
      <c r="HIO45" s="595"/>
      <c r="HIP45" s="595"/>
      <c r="HIQ45" s="595"/>
      <c r="HIR45" s="595"/>
      <c r="HIS45" s="595"/>
      <c r="HIT45" s="595"/>
      <c r="HIU45" s="595"/>
      <c r="HIV45" s="595"/>
      <c r="HIW45" s="595"/>
      <c r="HIX45" s="595"/>
      <c r="HIY45" s="595"/>
      <c r="HIZ45" s="595"/>
      <c r="HJA45" s="595"/>
      <c r="HJB45" s="595"/>
      <c r="HJC45" s="595"/>
      <c r="HJD45" s="595"/>
      <c r="HJE45" s="595"/>
      <c r="HJF45" s="595"/>
      <c r="HJG45" s="595"/>
      <c r="HJH45" s="595"/>
      <c r="HJI45" s="595"/>
      <c r="HJJ45" s="595"/>
      <c r="HJK45" s="595"/>
      <c r="HJL45" s="595"/>
      <c r="HJM45" s="595"/>
      <c r="HJN45" s="595"/>
      <c r="HJO45" s="595"/>
      <c r="HJP45" s="595"/>
      <c r="HJQ45" s="595"/>
      <c r="HJR45" s="595"/>
      <c r="HJS45" s="595"/>
      <c r="HJT45" s="595"/>
      <c r="HJU45" s="595"/>
      <c r="HJV45" s="595"/>
      <c r="HJW45" s="595"/>
      <c r="HJX45" s="595"/>
      <c r="HJY45" s="595"/>
      <c r="HJZ45" s="595"/>
      <c r="HKA45" s="595"/>
      <c r="HKB45" s="595"/>
      <c r="HKC45" s="595"/>
      <c r="HKD45" s="595"/>
      <c r="HKE45" s="595"/>
      <c r="HKF45" s="595"/>
      <c r="HKG45" s="595"/>
      <c r="HKH45" s="595"/>
      <c r="HKI45" s="595"/>
      <c r="HKJ45" s="595"/>
      <c r="HKK45" s="595"/>
      <c r="HKL45" s="595"/>
      <c r="HKM45" s="595"/>
      <c r="HKN45" s="595"/>
      <c r="HKO45" s="595"/>
      <c r="HKP45" s="595"/>
      <c r="HKQ45" s="595"/>
      <c r="HKR45" s="595"/>
      <c r="HKS45" s="595"/>
      <c r="HKT45" s="595"/>
      <c r="HKU45" s="595"/>
      <c r="HKV45" s="595"/>
      <c r="HKW45" s="595"/>
      <c r="HKX45" s="595"/>
      <c r="HKY45" s="595"/>
      <c r="HKZ45" s="595"/>
      <c r="HLA45" s="595"/>
      <c r="HLB45" s="595"/>
      <c r="HLC45" s="595"/>
      <c r="HLD45" s="595"/>
      <c r="HLE45" s="595"/>
      <c r="HLF45" s="595"/>
      <c r="HLG45" s="595"/>
      <c r="HLH45" s="595"/>
      <c r="HLI45" s="595"/>
      <c r="HLJ45" s="595"/>
      <c r="HLK45" s="595"/>
      <c r="HLL45" s="595"/>
      <c r="HLM45" s="595"/>
      <c r="HLN45" s="595"/>
      <c r="HLO45" s="595"/>
      <c r="HLP45" s="595"/>
      <c r="HLQ45" s="595"/>
      <c r="HLR45" s="595"/>
      <c r="HLS45" s="595"/>
      <c r="HLT45" s="595"/>
      <c r="HLU45" s="595"/>
      <c r="HLV45" s="595"/>
      <c r="HLW45" s="595"/>
      <c r="HLX45" s="595"/>
      <c r="HLY45" s="595"/>
      <c r="HLZ45" s="595"/>
      <c r="HMA45" s="595"/>
      <c r="HMB45" s="595"/>
      <c r="HMC45" s="595"/>
      <c r="HMD45" s="595"/>
      <c r="HME45" s="595"/>
      <c r="HMF45" s="595"/>
      <c r="HMG45" s="595"/>
      <c r="HMH45" s="595"/>
      <c r="HMI45" s="595"/>
      <c r="HMJ45" s="595"/>
      <c r="HMK45" s="595"/>
      <c r="HML45" s="595"/>
      <c r="HMM45" s="595"/>
      <c r="HMN45" s="595"/>
      <c r="HMO45" s="595"/>
      <c r="HMP45" s="595"/>
      <c r="HMQ45" s="595"/>
      <c r="HMR45" s="595"/>
      <c r="HMS45" s="595"/>
      <c r="HMT45" s="595"/>
      <c r="HMU45" s="595"/>
      <c r="HMV45" s="595"/>
      <c r="HMW45" s="595"/>
      <c r="HMX45" s="595"/>
      <c r="HMY45" s="595"/>
      <c r="HMZ45" s="595"/>
      <c r="HNA45" s="595"/>
      <c r="HNB45" s="595"/>
      <c r="HNC45" s="595"/>
      <c r="HND45" s="595"/>
      <c r="HNE45" s="595"/>
      <c r="HNF45" s="595"/>
      <c r="HNG45" s="595"/>
      <c r="HNH45" s="595"/>
      <c r="HNI45" s="595"/>
      <c r="HNJ45" s="595"/>
      <c r="HNK45" s="595"/>
      <c r="HNL45" s="595"/>
      <c r="HNM45" s="595"/>
      <c r="HNN45" s="595"/>
      <c r="HNO45" s="595"/>
      <c r="HNP45" s="595"/>
      <c r="HNQ45" s="595"/>
      <c r="HNR45" s="595"/>
      <c r="HNS45" s="595"/>
      <c r="HNT45" s="595"/>
      <c r="HNU45" s="595"/>
      <c r="HNV45" s="595"/>
      <c r="HNW45" s="595"/>
      <c r="HNX45" s="595"/>
      <c r="HNY45" s="595"/>
      <c r="HNZ45" s="595"/>
      <c r="HOA45" s="595"/>
      <c r="HOB45" s="595"/>
      <c r="HOC45" s="595"/>
      <c r="HOD45" s="595"/>
      <c r="HOE45" s="595"/>
      <c r="HOF45" s="595"/>
      <c r="HOG45" s="595"/>
      <c r="HOH45" s="595"/>
      <c r="HOI45" s="595"/>
      <c r="HOJ45" s="595"/>
      <c r="HOK45" s="595"/>
      <c r="HOL45" s="595"/>
      <c r="HOM45" s="595"/>
      <c r="HON45" s="595"/>
      <c r="HOO45" s="595"/>
      <c r="HOP45" s="595"/>
      <c r="HOQ45" s="595"/>
      <c r="HOR45" s="595"/>
      <c r="HOS45" s="595"/>
      <c r="HOT45" s="595"/>
      <c r="HOU45" s="595"/>
      <c r="HOV45" s="595"/>
      <c r="HOW45" s="595"/>
      <c r="HOX45" s="595"/>
      <c r="HOY45" s="595"/>
      <c r="HOZ45" s="595"/>
      <c r="HPA45" s="595"/>
      <c r="HPB45" s="595"/>
      <c r="HPC45" s="595"/>
      <c r="HPD45" s="595"/>
      <c r="HPE45" s="595"/>
      <c r="HPF45" s="595"/>
      <c r="HPG45" s="595"/>
      <c r="HPH45" s="595"/>
      <c r="HPI45" s="595"/>
      <c r="HPJ45" s="595"/>
      <c r="HPK45" s="595"/>
      <c r="HPL45" s="595"/>
      <c r="HPM45" s="595"/>
      <c r="HPN45" s="595"/>
      <c r="HPO45" s="595"/>
      <c r="HPP45" s="595"/>
      <c r="HPQ45" s="595"/>
      <c r="HPR45" s="595"/>
      <c r="HPS45" s="595"/>
      <c r="HPT45" s="595"/>
      <c r="HPU45" s="595"/>
      <c r="HPV45" s="595"/>
      <c r="HPW45" s="595"/>
      <c r="HPX45" s="595"/>
      <c r="HPY45" s="595"/>
      <c r="HPZ45" s="595"/>
      <c r="HQA45" s="595"/>
      <c r="HQB45" s="595"/>
      <c r="HQC45" s="595"/>
      <c r="HQD45" s="595"/>
      <c r="HQE45" s="595"/>
      <c r="HQF45" s="595"/>
      <c r="HQG45" s="595"/>
      <c r="HQH45" s="595"/>
      <c r="HQI45" s="595"/>
      <c r="HQJ45" s="595"/>
      <c r="HQK45" s="595"/>
      <c r="HQL45" s="595"/>
      <c r="HQM45" s="595"/>
      <c r="HQN45" s="595"/>
      <c r="HQO45" s="595"/>
      <c r="HQP45" s="595"/>
      <c r="HQQ45" s="595"/>
      <c r="HQR45" s="595"/>
      <c r="HQS45" s="595"/>
      <c r="HQT45" s="595"/>
      <c r="HQU45" s="595"/>
      <c r="HQV45" s="595"/>
      <c r="HQW45" s="595"/>
      <c r="HQX45" s="595"/>
      <c r="HQY45" s="595"/>
      <c r="HQZ45" s="595"/>
      <c r="HRA45" s="595"/>
      <c r="HRB45" s="595"/>
      <c r="HRC45" s="595"/>
      <c r="HRD45" s="595"/>
      <c r="HRE45" s="595"/>
      <c r="HRF45" s="595"/>
      <c r="HRG45" s="595"/>
      <c r="HRH45" s="595"/>
      <c r="HRI45" s="595"/>
      <c r="HRJ45" s="595"/>
      <c r="HRK45" s="595"/>
      <c r="HRL45" s="595"/>
      <c r="HRM45" s="595"/>
      <c r="HRN45" s="595"/>
      <c r="HRO45" s="595"/>
      <c r="HRP45" s="595"/>
      <c r="HRQ45" s="595"/>
      <c r="HRR45" s="595"/>
      <c r="HRS45" s="595"/>
      <c r="HRT45" s="595"/>
      <c r="HRU45" s="595"/>
      <c r="HRV45" s="595"/>
      <c r="HRW45" s="595"/>
      <c r="HRX45" s="595"/>
      <c r="HRY45" s="595"/>
      <c r="HRZ45" s="595"/>
      <c r="HSA45" s="595"/>
      <c r="HSB45" s="595"/>
      <c r="HSC45" s="595"/>
      <c r="HSD45" s="595"/>
      <c r="HSE45" s="595"/>
      <c r="HSF45" s="595"/>
      <c r="HSG45" s="595"/>
      <c r="HSH45" s="595"/>
      <c r="HSI45" s="595"/>
      <c r="HSJ45" s="595"/>
      <c r="HSK45" s="595"/>
      <c r="HSL45" s="595"/>
      <c r="HSM45" s="595"/>
      <c r="HSN45" s="595"/>
      <c r="HSO45" s="595"/>
      <c r="HSP45" s="595"/>
      <c r="HSQ45" s="595"/>
      <c r="HSR45" s="595"/>
      <c r="HSS45" s="595"/>
      <c r="HST45" s="595"/>
      <c r="HSU45" s="595"/>
      <c r="HSV45" s="595"/>
      <c r="HSW45" s="595"/>
      <c r="HSX45" s="595"/>
      <c r="HSY45" s="595"/>
      <c r="HSZ45" s="595"/>
      <c r="HTA45" s="595"/>
      <c r="HTB45" s="595"/>
      <c r="HTC45" s="595"/>
      <c r="HTD45" s="595"/>
      <c r="HTE45" s="595"/>
      <c r="HTF45" s="595"/>
      <c r="HTG45" s="595"/>
      <c r="HTH45" s="595"/>
      <c r="HTI45" s="595"/>
      <c r="HTJ45" s="595"/>
      <c r="HTK45" s="595"/>
      <c r="HTL45" s="595"/>
      <c r="HTM45" s="595"/>
      <c r="HTN45" s="595"/>
      <c r="HTO45" s="595"/>
      <c r="HTP45" s="595"/>
      <c r="HTQ45" s="595"/>
      <c r="HTR45" s="595"/>
      <c r="HTS45" s="595"/>
      <c r="HTT45" s="595"/>
      <c r="HTU45" s="595"/>
      <c r="HTV45" s="595"/>
      <c r="HTW45" s="595"/>
      <c r="HTX45" s="595"/>
      <c r="HTY45" s="595"/>
      <c r="HTZ45" s="595"/>
      <c r="HUA45" s="595"/>
      <c r="HUB45" s="595"/>
      <c r="HUC45" s="595"/>
      <c r="HUD45" s="595"/>
      <c r="HUE45" s="595"/>
      <c r="HUF45" s="595"/>
      <c r="HUG45" s="595"/>
      <c r="HUH45" s="595"/>
      <c r="HUI45" s="595"/>
      <c r="HUJ45" s="595"/>
      <c r="HUK45" s="595"/>
      <c r="HUL45" s="595"/>
      <c r="HUM45" s="595"/>
      <c r="HUN45" s="595"/>
      <c r="HUO45" s="595"/>
      <c r="HUP45" s="595"/>
      <c r="HUQ45" s="595"/>
      <c r="HUR45" s="595"/>
      <c r="HUS45" s="595"/>
      <c r="HUT45" s="595"/>
      <c r="HUU45" s="595"/>
      <c r="HUV45" s="595"/>
      <c r="HUW45" s="595"/>
      <c r="HUX45" s="595"/>
      <c r="HUY45" s="595"/>
      <c r="HUZ45" s="595"/>
      <c r="HVA45" s="595"/>
      <c r="HVB45" s="595"/>
      <c r="HVC45" s="595"/>
      <c r="HVD45" s="595"/>
      <c r="HVE45" s="595"/>
      <c r="HVF45" s="595"/>
      <c r="HVG45" s="595"/>
      <c r="HVH45" s="595"/>
      <c r="HVI45" s="595"/>
      <c r="HVJ45" s="595"/>
      <c r="HVK45" s="595"/>
      <c r="HVL45" s="595"/>
      <c r="HVM45" s="595"/>
      <c r="HVN45" s="595"/>
      <c r="HVO45" s="595"/>
      <c r="HVP45" s="595"/>
      <c r="HVQ45" s="595"/>
      <c r="HVR45" s="595"/>
      <c r="HVS45" s="595"/>
      <c r="HVT45" s="595"/>
      <c r="HVU45" s="595"/>
      <c r="HVV45" s="595"/>
      <c r="HVW45" s="595"/>
      <c r="HVX45" s="595"/>
      <c r="HVY45" s="595"/>
      <c r="HVZ45" s="595"/>
      <c r="HWA45" s="595"/>
      <c r="HWB45" s="595"/>
      <c r="HWC45" s="595"/>
      <c r="HWD45" s="595"/>
      <c r="HWE45" s="595"/>
      <c r="HWF45" s="595"/>
      <c r="HWG45" s="595"/>
      <c r="HWH45" s="595"/>
      <c r="HWI45" s="595"/>
      <c r="HWJ45" s="595"/>
      <c r="HWK45" s="595"/>
      <c r="HWL45" s="595"/>
      <c r="HWM45" s="595"/>
      <c r="HWN45" s="595"/>
      <c r="HWO45" s="595"/>
      <c r="HWP45" s="595"/>
      <c r="HWQ45" s="595"/>
      <c r="HWR45" s="595"/>
      <c r="HWS45" s="595"/>
      <c r="HWT45" s="595"/>
      <c r="HWU45" s="595"/>
      <c r="HWV45" s="595"/>
      <c r="HWW45" s="595"/>
      <c r="HWX45" s="595"/>
      <c r="HWY45" s="595"/>
      <c r="HWZ45" s="595"/>
      <c r="HXA45" s="595"/>
      <c r="HXB45" s="595"/>
      <c r="HXC45" s="595"/>
      <c r="HXD45" s="595"/>
      <c r="HXE45" s="595"/>
      <c r="HXF45" s="595"/>
      <c r="HXG45" s="595"/>
      <c r="HXH45" s="595"/>
      <c r="HXI45" s="595"/>
      <c r="HXJ45" s="595"/>
      <c r="HXK45" s="595"/>
      <c r="HXL45" s="595"/>
      <c r="HXM45" s="595"/>
      <c r="HXN45" s="595"/>
      <c r="HXO45" s="595"/>
      <c r="HXP45" s="595"/>
      <c r="HXQ45" s="595"/>
      <c r="HXR45" s="595"/>
      <c r="HXS45" s="595"/>
      <c r="HXT45" s="595"/>
      <c r="HXU45" s="595"/>
      <c r="HXV45" s="595"/>
      <c r="HXW45" s="595"/>
      <c r="HXX45" s="595"/>
      <c r="HXY45" s="595"/>
      <c r="HXZ45" s="595"/>
      <c r="HYA45" s="595"/>
      <c r="HYB45" s="595"/>
      <c r="HYC45" s="595"/>
      <c r="HYD45" s="595"/>
      <c r="HYE45" s="595"/>
      <c r="HYF45" s="595"/>
      <c r="HYG45" s="595"/>
      <c r="HYH45" s="595"/>
      <c r="HYI45" s="595"/>
      <c r="HYJ45" s="595"/>
      <c r="HYK45" s="595"/>
      <c r="HYL45" s="595"/>
      <c r="HYM45" s="595"/>
      <c r="HYN45" s="595"/>
      <c r="HYO45" s="595"/>
      <c r="HYP45" s="595"/>
      <c r="HYQ45" s="595"/>
      <c r="HYR45" s="595"/>
      <c r="HYS45" s="595"/>
      <c r="HYT45" s="595"/>
      <c r="HYU45" s="595"/>
      <c r="HYV45" s="595"/>
      <c r="HYW45" s="595"/>
      <c r="HYX45" s="595"/>
      <c r="HYY45" s="595"/>
      <c r="HYZ45" s="595"/>
      <c r="HZA45" s="595"/>
      <c r="HZB45" s="595"/>
      <c r="HZC45" s="595"/>
      <c r="HZD45" s="595"/>
      <c r="HZE45" s="595"/>
      <c r="HZF45" s="595"/>
      <c r="HZG45" s="595"/>
      <c r="HZH45" s="595"/>
      <c r="HZI45" s="595"/>
      <c r="HZJ45" s="595"/>
      <c r="HZK45" s="595"/>
      <c r="HZL45" s="595"/>
      <c r="HZM45" s="595"/>
      <c r="HZN45" s="595"/>
      <c r="HZO45" s="595"/>
      <c r="HZP45" s="595"/>
      <c r="HZQ45" s="595"/>
      <c r="HZR45" s="595"/>
      <c r="HZS45" s="595"/>
      <c r="HZT45" s="595"/>
      <c r="HZU45" s="595"/>
      <c r="HZV45" s="595"/>
      <c r="HZW45" s="595"/>
      <c r="HZX45" s="595"/>
      <c r="HZY45" s="595"/>
      <c r="HZZ45" s="595"/>
      <c r="IAA45" s="595"/>
      <c r="IAB45" s="595"/>
      <c r="IAC45" s="595"/>
      <c r="IAD45" s="595"/>
      <c r="IAE45" s="595"/>
      <c r="IAF45" s="595"/>
      <c r="IAG45" s="595"/>
      <c r="IAH45" s="595"/>
      <c r="IAI45" s="595"/>
      <c r="IAJ45" s="595"/>
      <c r="IAK45" s="595"/>
      <c r="IAL45" s="595"/>
      <c r="IAM45" s="595"/>
      <c r="IAN45" s="595"/>
      <c r="IAO45" s="595"/>
      <c r="IAP45" s="595"/>
      <c r="IAQ45" s="595"/>
      <c r="IAR45" s="595"/>
      <c r="IAS45" s="595"/>
      <c r="IAT45" s="595"/>
      <c r="IAU45" s="595"/>
      <c r="IAV45" s="595"/>
      <c r="IAW45" s="595"/>
      <c r="IAX45" s="595"/>
      <c r="IAY45" s="595"/>
      <c r="IAZ45" s="595"/>
      <c r="IBA45" s="595"/>
      <c r="IBB45" s="595"/>
      <c r="IBC45" s="595"/>
      <c r="IBD45" s="595"/>
      <c r="IBE45" s="595"/>
      <c r="IBF45" s="595"/>
      <c r="IBG45" s="595"/>
      <c r="IBH45" s="595"/>
      <c r="IBI45" s="595"/>
      <c r="IBJ45" s="595"/>
      <c r="IBK45" s="595"/>
      <c r="IBL45" s="595"/>
      <c r="IBM45" s="595"/>
      <c r="IBN45" s="595"/>
      <c r="IBO45" s="595"/>
      <c r="IBP45" s="595"/>
      <c r="IBQ45" s="595"/>
      <c r="IBR45" s="595"/>
      <c r="IBS45" s="595"/>
      <c r="IBT45" s="595"/>
      <c r="IBU45" s="595"/>
      <c r="IBV45" s="595"/>
      <c r="IBW45" s="595"/>
      <c r="IBX45" s="595"/>
      <c r="IBY45" s="595"/>
      <c r="IBZ45" s="595"/>
      <c r="ICA45" s="595"/>
      <c r="ICB45" s="595"/>
      <c r="ICC45" s="595"/>
      <c r="ICD45" s="595"/>
      <c r="ICE45" s="595"/>
      <c r="ICF45" s="595"/>
      <c r="ICG45" s="595"/>
      <c r="ICH45" s="595"/>
      <c r="ICI45" s="595"/>
      <c r="ICJ45" s="595"/>
      <c r="ICK45" s="595"/>
      <c r="ICL45" s="595"/>
      <c r="ICM45" s="595"/>
      <c r="ICN45" s="595"/>
      <c r="ICO45" s="595"/>
      <c r="ICP45" s="595"/>
      <c r="ICQ45" s="595"/>
      <c r="ICR45" s="595"/>
      <c r="ICS45" s="595"/>
      <c r="ICT45" s="595"/>
      <c r="ICU45" s="595"/>
      <c r="ICV45" s="595"/>
      <c r="ICW45" s="595"/>
      <c r="ICX45" s="595"/>
      <c r="ICY45" s="595"/>
      <c r="ICZ45" s="595"/>
      <c r="IDA45" s="595"/>
      <c r="IDB45" s="595"/>
      <c r="IDC45" s="595"/>
      <c r="IDD45" s="595"/>
      <c r="IDE45" s="595"/>
      <c r="IDF45" s="595"/>
      <c r="IDG45" s="595"/>
      <c r="IDH45" s="595"/>
      <c r="IDI45" s="595"/>
      <c r="IDJ45" s="595"/>
      <c r="IDK45" s="595"/>
      <c r="IDL45" s="595"/>
      <c r="IDM45" s="595"/>
      <c r="IDN45" s="595"/>
      <c r="IDO45" s="595"/>
      <c r="IDP45" s="595"/>
      <c r="IDQ45" s="595"/>
      <c r="IDR45" s="595"/>
      <c r="IDS45" s="595"/>
      <c r="IDT45" s="595"/>
      <c r="IDU45" s="595"/>
      <c r="IDV45" s="595"/>
      <c r="IDW45" s="595"/>
      <c r="IDX45" s="595"/>
      <c r="IDY45" s="595"/>
      <c r="IDZ45" s="595"/>
      <c r="IEA45" s="595"/>
      <c r="IEB45" s="595"/>
      <c r="IEC45" s="595"/>
      <c r="IED45" s="595"/>
      <c r="IEE45" s="595"/>
      <c r="IEF45" s="595"/>
      <c r="IEG45" s="595"/>
      <c r="IEH45" s="595"/>
      <c r="IEI45" s="595"/>
      <c r="IEJ45" s="595"/>
      <c r="IEK45" s="595"/>
      <c r="IEL45" s="595"/>
      <c r="IEM45" s="595"/>
      <c r="IEN45" s="595"/>
      <c r="IEO45" s="595"/>
      <c r="IEP45" s="595"/>
      <c r="IEQ45" s="595"/>
      <c r="IER45" s="595"/>
      <c r="IES45" s="595"/>
      <c r="IET45" s="595"/>
      <c r="IEU45" s="595"/>
      <c r="IEV45" s="595"/>
      <c r="IEW45" s="595"/>
      <c r="IEX45" s="595"/>
      <c r="IEY45" s="595"/>
      <c r="IEZ45" s="595"/>
      <c r="IFA45" s="595"/>
      <c r="IFB45" s="595"/>
      <c r="IFC45" s="595"/>
      <c r="IFD45" s="595"/>
      <c r="IFE45" s="595"/>
      <c r="IFF45" s="595"/>
      <c r="IFG45" s="595"/>
      <c r="IFH45" s="595"/>
      <c r="IFI45" s="595"/>
      <c r="IFJ45" s="595"/>
      <c r="IFK45" s="595"/>
      <c r="IFL45" s="595"/>
      <c r="IFM45" s="595"/>
      <c r="IFN45" s="595"/>
      <c r="IFO45" s="595"/>
      <c r="IFP45" s="595"/>
      <c r="IFQ45" s="595"/>
      <c r="IFR45" s="595"/>
      <c r="IFS45" s="595"/>
      <c r="IFT45" s="595"/>
      <c r="IFU45" s="595"/>
      <c r="IFV45" s="595"/>
      <c r="IFW45" s="595"/>
      <c r="IFX45" s="595"/>
      <c r="IFY45" s="595"/>
      <c r="IFZ45" s="595"/>
      <c r="IGA45" s="595"/>
      <c r="IGB45" s="595"/>
      <c r="IGC45" s="595"/>
      <c r="IGD45" s="595"/>
      <c r="IGE45" s="595"/>
      <c r="IGF45" s="595"/>
      <c r="IGG45" s="595"/>
      <c r="IGH45" s="595"/>
      <c r="IGI45" s="595"/>
      <c r="IGJ45" s="595"/>
      <c r="IGK45" s="595"/>
      <c r="IGL45" s="595"/>
      <c r="IGM45" s="595"/>
      <c r="IGN45" s="595"/>
      <c r="IGO45" s="595"/>
      <c r="IGP45" s="595"/>
      <c r="IGQ45" s="595"/>
      <c r="IGR45" s="595"/>
      <c r="IGS45" s="595"/>
      <c r="IGT45" s="595"/>
      <c r="IGU45" s="595"/>
      <c r="IGV45" s="595"/>
      <c r="IGW45" s="595"/>
      <c r="IGX45" s="595"/>
      <c r="IGY45" s="595"/>
      <c r="IGZ45" s="595"/>
      <c r="IHA45" s="595"/>
      <c r="IHB45" s="595"/>
      <c r="IHC45" s="595"/>
      <c r="IHD45" s="595"/>
      <c r="IHE45" s="595"/>
      <c r="IHF45" s="595"/>
      <c r="IHG45" s="595"/>
      <c r="IHH45" s="595"/>
      <c r="IHI45" s="595"/>
      <c r="IHJ45" s="595"/>
      <c r="IHK45" s="595"/>
      <c r="IHL45" s="595"/>
      <c r="IHM45" s="595"/>
      <c r="IHN45" s="595"/>
      <c r="IHO45" s="595"/>
      <c r="IHP45" s="595"/>
      <c r="IHQ45" s="595"/>
      <c r="IHR45" s="595"/>
      <c r="IHS45" s="595"/>
      <c r="IHT45" s="595"/>
      <c r="IHU45" s="595"/>
      <c r="IHV45" s="595"/>
      <c r="IHW45" s="595"/>
      <c r="IHX45" s="595"/>
      <c r="IHY45" s="595"/>
      <c r="IHZ45" s="595"/>
      <c r="IIA45" s="595"/>
      <c r="IIB45" s="595"/>
      <c r="IIC45" s="595"/>
      <c r="IID45" s="595"/>
      <c r="IIE45" s="595"/>
      <c r="IIF45" s="595"/>
      <c r="IIG45" s="595"/>
      <c r="IIH45" s="595"/>
      <c r="III45" s="595"/>
      <c r="IIJ45" s="595"/>
      <c r="IIK45" s="595"/>
      <c r="IIL45" s="595"/>
      <c r="IIM45" s="595"/>
      <c r="IIN45" s="595"/>
      <c r="IIO45" s="595"/>
      <c r="IIP45" s="595"/>
      <c r="IIQ45" s="595"/>
      <c r="IIR45" s="595"/>
      <c r="IIS45" s="595"/>
      <c r="IIT45" s="595"/>
      <c r="IIU45" s="595"/>
      <c r="IIV45" s="595"/>
      <c r="IIW45" s="595"/>
      <c r="IIX45" s="595"/>
      <c r="IIY45" s="595"/>
      <c r="IIZ45" s="595"/>
      <c r="IJA45" s="595"/>
      <c r="IJB45" s="595"/>
      <c r="IJC45" s="595"/>
      <c r="IJD45" s="595"/>
      <c r="IJE45" s="595"/>
      <c r="IJF45" s="595"/>
      <c r="IJG45" s="595"/>
      <c r="IJH45" s="595"/>
      <c r="IJI45" s="595"/>
      <c r="IJJ45" s="595"/>
      <c r="IJK45" s="595"/>
      <c r="IJL45" s="595"/>
      <c r="IJM45" s="595"/>
      <c r="IJN45" s="595"/>
      <c r="IJO45" s="595"/>
      <c r="IJP45" s="595"/>
      <c r="IJQ45" s="595"/>
      <c r="IJR45" s="595"/>
      <c r="IJS45" s="595"/>
      <c r="IJT45" s="595"/>
      <c r="IJU45" s="595"/>
      <c r="IJV45" s="595"/>
      <c r="IJW45" s="595"/>
      <c r="IJX45" s="595"/>
      <c r="IJY45" s="595"/>
      <c r="IJZ45" s="595"/>
      <c r="IKA45" s="595"/>
      <c r="IKB45" s="595"/>
      <c r="IKC45" s="595"/>
      <c r="IKD45" s="595"/>
      <c r="IKE45" s="595"/>
      <c r="IKF45" s="595"/>
      <c r="IKG45" s="595"/>
      <c r="IKH45" s="595"/>
      <c r="IKI45" s="595"/>
      <c r="IKJ45" s="595"/>
      <c r="IKK45" s="595"/>
      <c r="IKL45" s="595"/>
      <c r="IKM45" s="595"/>
      <c r="IKN45" s="595"/>
      <c r="IKO45" s="595"/>
      <c r="IKP45" s="595"/>
      <c r="IKQ45" s="595"/>
      <c r="IKR45" s="595"/>
      <c r="IKS45" s="595"/>
      <c r="IKT45" s="595"/>
      <c r="IKU45" s="595"/>
      <c r="IKV45" s="595"/>
      <c r="IKW45" s="595"/>
      <c r="IKX45" s="595"/>
      <c r="IKY45" s="595"/>
      <c r="IKZ45" s="595"/>
      <c r="ILA45" s="595"/>
      <c r="ILB45" s="595"/>
      <c r="ILC45" s="595"/>
      <c r="ILD45" s="595"/>
      <c r="ILE45" s="595"/>
      <c r="ILF45" s="595"/>
      <c r="ILG45" s="595"/>
      <c r="ILH45" s="595"/>
      <c r="ILI45" s="595"/>
      <c r="ILJ45" s="595"/>
      <c r="ILK45" s="595"/>
      <c r="ILL45" s="595"/>
      <c r="ILM45" s="595"/>
      <c r="ILN45" s="595"/>
      <c r="ILO45" s="595"/>
      <c r="ILP45" s="595"/>
      <c r="ILQ45" s="595"/>
      <c r="ILR45" s="595"/>
      <c r="ILS45" s="595"/>
      <c r="ILT45" s="595"/>
      <c r="ILU45" s="595"/>
      <c r="ILV45" s="595"/>
      <c r="ILW45" s="595"/>
      <c r="ILX45" s="595"/>
      <c r="ILY45" s="595"/>
      <c r="ILZ45" s="595"/>
      <c r="IMA45" s="595"/>
      <c r="IMB45" s="595"/>
      <c r="IMC45" s="595"/>
      <c r="IMD45" s="595"/>
      <c r="IME45" s="595"/>
      <c r="IMF45" s="595"/>
      <c r="IMG45" s="595"/>
      <c r="IMH45" s="595"/>
      <c r="IMI45" s="595"/>
      <c r="IMJ45" s="595"/>
      <c r="IMK45" s="595"/>
      <c r="IML45" s="595"/>
      <c r="IMM45" s="595"/>
      <c r="IMN45" s="595"/>
      <c r="IMO45" s="595"/>
      <c r="IMP45" s="595"/>
      <c r="IMQ45" s="595"/>
      <c r="IMR45" s="595"/>
      <c r="IMS45" s="595"/>
      <c r="IMT45" s="595"/>
      <c r="IMU45" s="595"/>
      <c r="IMV45" s="595"/>
      <c r="IMW45" s="595"/>
      <c r="IMX45" s="595"/>
      <c r="IMY45" s="595"/>
      <c r="IMZ45" s="595"/>
      <c r="INA45" s="595"/>
      <c r="INB45" s="595"/>
      <c r="INC45" s="595"/>
      <c r="IND45" s="595"/>
      <c r="INE45" s="595"/>
      <c r="INF45" s="595"/>
      <c r="ING45" s="595"/>
      <c r="INH45" s="595"/>
      <c r="INI45" s="595"/>
      <c r="INJ45" s="595"/>
      <c r="INK45" s="595"/>
      <c r="INL45" s="595"/>
      <c r="INM45" s="595"/>
      <c r="INN45" s="595"/>
      <c r="INO45" s="595"/>
      <c r="INP45" s="595"/>
      <c r="INQ45" s="595"/>
      <c r="INR45" s="595"/>
      <c r="INS45" s="595"/>
      <c r="INT45" s="595"/>
      <c r="INU45" s="595"/>
      <c r="INV45" s="595"/>
      <c r="INW45" s="595"/>
      <c r="INX45" s="595"/>
      <c r="INY45" s="595"/>
      <c r="INZ45" s="595"/>
      <c r="IOA45" s="595"/>
      <c r="IOB45" s="595"/>
      <c r="IOC45" s="595"/>
      <c r="IOD45" s="595"/>
      <c r="IOE45" s="595"/>
      <c r="IOF45" s="595"/>
      <c r="IOG45" s="595"/>
      <c r="IOH45" s="595"/>
      <c r="IOI45" s="595"/>
      <c r="IOJ45" s="595"/>
      <c r="IOK45" s="595"/>
      <c r="IOL45" s="595"/>
      <c r="IOM45" s="595"/>
      <c r="ION45" s="595"/>
      <c r="IOO45" s="595"/>
      <c r="IOP45" s="595"/>
      <c r="IOQ45" s="595"/>
      <c r="IOR45" s="595"/>
      <c r="IOS45" s="595"/>
      <c r="IOT45" s="595"/>
      <c r="IOU45" s="595"/>
      <c r="IOV45" s="595"/>
      <c r="IOW45" s="595"/>
      <c r="IOX45" s="595"/>
      <c r="IOY45" s="595"/>
      <c r="IOZ45" s="595"/>
      <c r="IPA45" s="595"/>
      <c r="IPB45" s="595"/>
      <c r="IPC45" s="595"/>
      <c r="IPD45" s="595"/>
      <c r="IPE45" s="595"/>
      <c r="IPF45" s="595"/>
      <c r="IPG45" s="595"/>
      <c r="IPH45" s="595"/>
      <c r="IPI45" s="595"/>
      <c r="IPJ45" s="595"/>
      <c r="IPK45" s="595"/>
      <c r="IPL45" s="595"/>
      <c r="IPM45" s="595"/>
      <c r="IPN45" s="595"/>
      <c r="IPO45" s="595"/>
      <c r="IPP45" s="595"/>
      <c r="IPQ45" s="595"/>
      <c r="IPR45" s="595"/>
      <c r="IPS45" s="595"/>
      <c r="IPT45" s="595"/>
      <c r="IPU45" s="595"/>
      <c r="IPV45" s="595"/>
      <c r="IPW45" s="595"/>
      <c r="IPX45" s="595"/>
      <c r="IPY45" s="595"/>
      <c r="IPZ45" s="595"/>
      <c r="IQA45" s="595"/>
      <c r="IQB45" s="595"/>
      <c r="IQC45" s="595"/>
      <c r="IQD45" s="595"/>
      <c r="IQE45" s="595"/>
      <c r="IQF45" s="595"/>
      <c r="IQG45" s="595"/>
      <c r="IQH45" s="595"/>
      <c r="IQI45" s="595"/>
      <c r="IQJ45" s="595"/>
      <c r="IQK45" s="595"/>
      <c r="IQL45" s="595"/>
      <c r="IQM45" s="595"/>
      <c r="IQN45" s="595"/>
      <c r="IQO45" s="595"/>
      <c r="IQP45" s="595"/>
      <c r="IQQ45" s="595"/>
      <c r="IQR45" s="595"/>
      <c r="IQS45" s="595"/>
      <c r="IQT45" s="595"/>
      <c r="IQU45" s="595"/>
      <c r="IQV45" s="595"/>
      <c r="IQW45" s="595"/>
      <c r="IQX45" s="595"/>
      <c r="IQY45" s="595"/>
      <c r="IQZ45" s="595"/>
      <c r="IRA45" s="595"/>
      <c r="IRB45" s="595"/>
      <c r="IRC45" s="595"/>
      <c r="IRD45" s="595"/>
      <c r="IRE45" s="595"/>
      <c r="IRF45" s="595"/>
      <c r="IRG45" s="595"/>
      <c r="IRH45" s="595"/>
      <c r="IRI45" s="595"/>
      <c r="IRJ45" s="595"/>
      <c r="IRK45" s="595"/>
      <c r="IRL45" s="595"/>
      <c r="IRM45" s="595"/>
      <c r="IRN45" s="595"/>
      <c r="IRO45" s="595"/>
      <c r="IRP45" s="595"/>
      <c r="IRQ45" s="595"/>
      <c r="IRR45" s="595"/>
      <c r="IRS45" s="595"/>
      <c r="IRT45" s="595"/>
      <c r="IRU45" s="595"/>
      <c r="IRV45" s="595"/>
      <c r="IRW45" s="595"/>
      <c r="IRX45" s="595"/>
      <c r="IRY45" s="595"/>
      <c r="IRZ45" s="595"/>
      <c r="ISA45" s="595"/>
      <c r="ISB45" s="595"/>
      <c r="ISC45" s="595"/>
      <c r="ISD45" s="595"/>
      <c r="ISE45" s="595"/>
      <c r="ISF45" s="595"/>
      <c r="ISG45" s="595"/>
      <c r="ISH45" s="595"/>
      <c r="ISI45" s="595"/>
      <c r="ISJ45" s="595"/>
      <c r="ISK45" s="595"/>
      <c r="ISL45" s="595"/>
      <c r="ISM45" s="595"/>
      <c r="ISN45" s="595"/>
      <c r="ISO45" s="595"/>
      <c r="ISP45" s="595"/>
      <c r="ISQ45" s="595"/>
      <c r="ISR45" s="595"/>
      <c r="ISS45" s="595"/>
      <c r="IST45" s="595"/>
      <c r="ISU45" s="595"/>
      <c r="ISV45" s="595"/>
      <c r="ISW45" s="595"/>
      <c r="ISX45" s="595"/>
      <c r="ISY45" s="595"/>
      <c r="ISZ45" s="595"/>
      <c r="ITA45" s="595"/>
      <c r="ITB45" s="595"/>
      <c r="ITC45" s="595"/>
      <c r="ITD45" s="595"/>
      <c r="ITE45" s="595"/>
      <c r="ITF45" s="595"/>
      <c r="ITG45" s="595"/>
      <c r="ITH45" s="595"/>
      <c r="ITI45" s="595"/>
      <c r="ITJ45" s="595"/>
      <c r="ITK45" s="595"/>
      <c r="ITL45" s="595"/>
      <c r="ITM45" s="595"/>
      <c r="ITN45" s="595"/>
      <c r="ITO45" s="595"/>
      <c r="ITP45" s="595"/>
      <c r="ITQ45" s="595"/>
      <c r="ITR45" s="595"/>
      <c r="ITS45" s="595"/>
      <c r="ITT45" s="595"/>
      <c r="ITU45" s="595"/>
      <c r="ITV45" s="595"/>
      <c r="ITW45" s="595"/>
      <c r="ITX45" s="595"/>
      <c r="ITY45" s="595"/>
      <c r="ITZ45" s="595"/>
      <c r="IUA45" s="595"/>
      <c r="IUB45" s="595"/>
      <c r="IUC45" s="595"/>
      <c r="IUD45" s="595"/>
      <c r="IUE45" s="595"/>
      <c r="IUF45" s="595"/>
      <c r="IUG45" s="595"/>
      <c r="IUH45" s="595"/>
      <c r="IUI45" s="595"/>
      <c r="IUJ45" s="595"/>
      <c r="IUK45" s="595"/>
      <c r="IUL45" s="595"/>
      <c r="IUM45" s="595"/>
      <c r="IUN45" s="595"/>
      <c r="IUO45" s="595"/>
      <c r="IUP45" s="595"/>
      <c r="IUQ45" s="595"/>
      <c r="IUR45" s="595"/>
      <c r="IUS45" s="595"/>
      <c r="IUT45" s="595"/>
      <c r="IUU45" s="595"/>
      <c r="IUV45" s="595"/>
      <c r="IUW45" s="595"/>
      <c r="IUX45" s="595"/>
      <c r="IUY45" s="595"/>
      <c r="IUZ45" s="595"/>
      <c r="IVA45" s="595"/>
      <c r="IVB45" s="595"/>
      <c r="IVC45" s="595"/>
      <c r="IVD45" s="595"/>
      <c r="IVE45" s="595"/>
      <c r="IVF45" s="595"/>
      <c r="IVG45" s="595"/>
      <c r="IVH45" s="595"/>
      <c r="IVI45" s="595"/>
      <c r="IVJ45" s="595"/>
      <c r="IVK45" s="595"/>
      <c r="IVL45" s="595"/>
      <c r="IVM45" s="595"/>
      <c r="IVN45" s="595"/>
      <c r="IVO45" s="595"/>
      <c r="IVP45" s="595"/>
      <c r="IVQ45" s="595"/>
      <c r="IVR45" s="595"/>
      <c r="IVS45" s="595"/>
      <c r="IVT45" s="595"/>
      <c r="IVU45" s="595"/>
      <c r="IVV45" s="595"/>
      <c r="IVW45" s="595"/>
      <c r="IVX45" s="595"/>
      <c r="IVY45" s="595"/>
      <c r="IVZ45" s="595"/>
      <c r="IWA45" s="595"/>
      <c r="IWB45" s="595"/>
      <c r="IWC45" s="595"/>
      <c r="IWD45" s="595"/>
      <c r="IWE45" s="595"/>
      <c r="IWF45" s="595"/>
      <c r="IWG45" s="595"/>
      <c r="IWH45" s="595"/>
      <c r="IWI45" s="595"/>
      <c r="IWJ45" s="595"/>
      <c r="IWK45" s="595"/>
      <c r="IWL45" s="595"/>
      <c r="IWM45" s="595"/>
      <c r="IWN45" s="595"/>
      <c r="IWO45" s="595"/>
      <c r="IWP45" s="595"/>
      <c r="IWQ45" s="595"/>
      <c r="IWR45" s="595"/>
      <c r="IWS45" s="595"/>
      <c r="IWT45" s="595"/>
      <c r="IWU45" s="595"/>
      <c r="IWV45" s="595"/>
      <c r="IWW45" s="595"/>
      <c r="IWX45" s="595"/>
      <c r="IWY45" s="595"/>
      <c r="IWZ45" s="595"/>
      <c r="IXA45" s="595"/>
      <c r="IXB45" s="595"/>
      <c r="IXC45" s="595"/>
      <c r="IXD45" s="595"/>
      <c r="IXE45" s="595"/>
      <c r="IXF45" s="595"/>
      <c r="IXG45" s="595"/>
      <c r="IXH45" s="595"/>
      <c r="IXI45" s="595"/>
      <c r="IXJ45" s="595"/>
      <c r="IXK45" s="595"/>
      <c r="IXL45" s="595"/>
      <c r="IXM45" s="595"/>
      <c r="IXN45" s="595"/>
      <c r="IXO45" s="595"/>
      <c r="IXP45" s="595"/>
      <c r="IXQ45" s="595"/>
      <c r="IXR45" s="595"/>
      <c r="IXS45" s="595"/>
      <c r="IXT45" s="595"/>
      <c r="IXU45" s="595"/>
      <c r="IXV45" s="595"/>
      <c r="IXW45" s="595"/>
      <c r="IXX45" s="595"/>
      <c r="IXY45" s="595"/>
      <c r="IXZ45" s="595"/>
      <c r="IYA45" s="595"/>
      <c r="IYB45" s="595"/>
      <c r="IYC45" s="595"/>
      <c r="IYD45" s="595"/>
      <c r="IYE45" s="595"/>
      <c r="IYF45" s="595"/>
      <c r="IYG45" s="595"/>
      <c r="IYH45" s="595"/>
      <c r="IYI45" s="595"/>
      <c r="IYJ45" s="595"/>
      <c r="IYK45" s="595"/>
      <c r="IYL45" s="595"/>
      <c r="IYM45" s="595"/>
      <c r="IYN45" s="595"/>
      <c r="IYO45" s="595"/>
      <c r="IYP45" s="595"/>
      <c r="IYQ45" s="595"/>
      <c r="IYR45" s="595"/>
      <c r="IYS45" s="595"/>
      <c r="IYT45" s="595"/>
      <c r="IYU45" s="595"/>
      <c r="IYV45" s="595"/>
      <c r="IYW45" s="595"/>
      <c r="IYX45" s="595"/>
      <c r="IYY45" s="595"/>
      <c r="IYZ45" s="595"/>
      <c r="IZA45" s="595"/>
      <c r="IZB45" s="595"/>
      <c r="IZC45" s="595"/>
      <c r="IZD45" s="595"/>
      <c r="IZE45" s="595"/>
      <c r="IZF45" s="595"/>
      <c r="IZG45" s="595"/>
      <c r="IZH45" s="595"/>
      <c r="IZI45" s="595"/>
      <c r="IZJ45" s="595"/>
      <c r="IZK45" s="595"/>
      <c r="IZL45" s="595"/>
      <c r="IZM45" s="595"/>
      <c r="IZN45" s="595"/>
      <c r="IZO45" s="595"/>
      <c r="IZP45" s="595"/>
      <c r="IZQ45" s="595"/>
      <c r="IZR45" s="595"/>
      <c r="IZS45" s="595"/>
      <c r="IZT45" s="595"/>
      <c r="IZU45" s="595"/>
      <c r="IZV45" s="595"/>
      <c r="IZW45" s="595"/>
      <c r="IZX45" s="595"/>
      <c r="IZY45" s="595"/>
      <c r="IZZ45" s="595"/>
      <c r="JAA45" s="595"/>
      <c r="JAB45" s="595"/>
      <c r="JAC45" s="595"/>
      <c r="JAD45" s="595"/>
      <c r="JAE45" s="595"/>
      <c r="JAF45" s="595"/>
      <c r="JAG45" s="595"/>
      <c r="JAH45" s="595"/>
      <c r="JAI45" s="595"/>
      <c r="JAJ45" s="595"/>
      <c r="JAK45" s="595"/>
      <c r="JAL45" s="595"/>
      <c r="JAM45" s="595"/>
      <c r="JAN45" s="595"/>
      <c r="JAO45" s="595"/>
      <c r="JAP45" s="595"/>
      <c r="JAQ45" s="595"/>
      <c r="JAR45" s="595"/>
      <c r="JAS45" s="595"/>
      <c r="JAT45" s="595"/>
      <c r="JAU45" s="595"/>
      <c r="JAV45" s="595"/>
      <c r="JAW45" s="595"/>
      <c r="JAX45" s="595"/>
      <c r="JAY45" s="595"/>
      <c r="JAZ45" s="595"/>
      <c r="JBA45" s="595"/>
      <c r="JBB45" s="595"/>
      <c r="JBC45" s="595"/>
      <c r="JBD45" s="595"/>
      <c r="JBE45" s="595"/>
      <c r="JBF45" s="595"/>
      <c r="JBG45" s="595"/>
      <c r="JBH45" s="595"/>
      <c r="JBI45" s="595"/>
      <c r="JBJ45" s="595"/>
      <c r="JBK45" s="595"/>
      <c r="JBL45" s="595"/>
      <c r="JBM45" s="595"/>
      <c r="JBN45" s="595"/>
      <c r="JBO45" s="595"/>
      <c r="JBP45" s="595"/>
      <c r="JBQ45" s="595"/>
      <c r="JBR45" s="595"/>
      <c r="JBS45" s="595"/>
      <c r="JBT45" s="595"/>
      <c r="JBU45" s="595"/>
      <c r="JBV45" s="595"/>
      <c r="JBW45" s="595"/>
      <c r="JBX45" s="595"/>
      <c r="JBY45" s="595"/>
      <c r="JBZ45" s="595"/>
      <c r="JCA45" s="595"/>
      <c r="JCB45" s="595"/>
      <c r="JCC45" s="595"/>
      <c r="JCD45" s="595"/>
      <c r="JCE45" s="595"/>
      <c r="JCF45" s="595"/>
      <c r="JCG45" s="595"/>
      <c r="JCH45" s="595"/>
      <c r="JCI45" s="595"/>
      <c r="JCJ45" s="595"/>
      <c r="JCK45" s="595"/>
      <c r="JCL45" s="595"/>
      <c r="JCM45" s="595"/>
      <c r="JCN45" s="595"/>
      <c r="JCO45" s="595"/>
      <c r="JCP45" s="595"/>
      <c r="JCQ45" s="595"/>
      <c r="JCR45" s="595"/>
      <c r="JCS45" s="595"/>
      <c r="JCT45" s="595"/>
      <c r="JCU45" s="595"/>
      <c r="JCV45" s="595"/>
      <c r="JCW45" s="595"/>
      <c r="JCX45" s="595"/>
      <c r="JCY45" s="595"/>
      <c r="JCZ45" s="595"/>
      <c r="JDA45" s="595"/>
      <c r="JDB45" s="595"/>
      <c r="JDC45" s="595"/>
      <c r="JDD45" s="595"/>
      <c r="JDE45" s="595"/>
      <c r="JDF45" s="595"/>
      <c r="JDG45" s="595"/>
      <c r="JDH45" s="595"/>
      <c r="JDI45" s="595"/>
      <c r="JDJ45" s="595"/>
      <c r="JDK45" s="595"/>
      <c r="JDL45" s="595"/>
      <c r="JDM45" s="595"/>
      <c r="JDN45" s="595"/>
      <c r="JDO45" s="595"/>
      <c r="JDP45" s="595"/>
      <c r="JDQ45" s="595"/>
      <c r="JDR45" s="595"/>
      <c r="JDS45" s="595"/>
      <c r="JDT45" s="595"/>
      <c r="JDU45" s="595"/>
      <c r="JDV45" s="595"/>
      <c r="JDW45" s="595"/>
      <c r="JDX45" s="595"/>
      <c r="JDY45" s="595"/>
      <c r="JDZ45" s="595"/>
      <c r="JEA45" s="595"/>
      <c r="JEB45" s="595"/>
      <c r="JEC45" s="595"/>
      <c r="JED45" s="595"/>
      <c r="JEE45" s="595"/>
      <c r="JEF45" s="595"/>
      <c r="JEG45" s="595"/>
      <c r="JEH45" s="595"/>
      <c r="JEI45" s="595"/>
      <c r="JEJ45" s="595"/>
      <c r="JEK45" s="595"/>
      <c r="JEL45" s="595"/>
      <c r="JEM45" s="595"/>
      <c r="JEN45" s="595"/>
      <c r="JEO45" s="595"/>
      <c r="JEP45" s="595"/>
      <c r="JEQ45" s="595"/>
      <c r="JER45" s="595"/>
      <c r="JES45" s="595"/>
      <c r="JET45" s="595"/>
      <c r="JEU45" s="595"/>
      <c r="JEV45" s="595"/>
      <c r="JEW45" s="595"/>
      <c r="JEX45" s="595"/>
      <c r="JEY45" s="595"/>
      <c r="JEZ45" s="595"/>
      <c r="JFA45" s="595"/>
      <c r="JFB45" s="595"/>
      <c r="JFC45" s="595"/>
      <c r="JFD45" s="595"/>
      <c r="JFE45" s="595"/>
      <c r="JFF45" s="595"/>
      <c r="JFG45" s="595"/>
      <c r="JFH45" s="595"/>
      <c r="JFI45" s="595"/>
      <c r="JFJ45" s="595"/>
      <c r="JFK45" s="595"/>
      <c r="JFL45" s="595"/>
      <c r="JFM45" s="595"/>
      <c r="JFN45" s="595"/>
      <c r="JFO45" s="595"/>
      <c r="JFP45" s="595"/>
      <c r="JFQ45" s="595"/>
      <c r="JFR45" s="595"/>
      <c r="JFS45" s="595"/>
      <c r="JFT45" s="595"/>
      <c r="JFU45" s="595"/>
      <c r="JFV45" s="595"/>
      <c r="JFW45" s="595"/>
      <c r="JFX45" s="595"/>
      <c r="JFY45" s="595"/>
      <c r="JFZ45" s="595"/>
      <c r="JGA45" s="595"/>
      <c r="JGB45" s="595"/>
      <c r="JGC45" s="595"/>
      <c r="JGD45" s="595"/>
      <c r="JGE45" s="595"/>
      <c r="JGF45" s="595"/>
      <c r="JGG45" s="595"/>
      <c r="JGH45" s="595"/>
      <c r="JGI45" s="595"/>
      <c r="JGJ45" s="595"/>
      <c r="JGK45" s="595"/>
      <c r="JGL45" s="595"/>
      <c r="JGM45" s="595"/>
      <c r="JGN45" s="595"/>
      <c r="JGO45" s="595"/>
      <c r="JGP45" s="595"/>
      <c r="JGQ45" s="595"/>
      <c r="JGR45" s="595"/>
      <c r="JGS45" s="595"/>
      <c r="JGT45" s="595"/>
      <c r="JGU45" s="595"/>
      <c r="JGV45" s="595"/>
      <c r="JGW45" s="595"/>
      <c r="JGX45" s="595"/>
      <c r="JGY45" s="595"/>
      <c r="JGZ45" s="595"/>
      <c r="JHA45" s="595"/>
      <c r="JHB45" s="595"/>
      <c r="JHC45" s="595"/>
      <c r="JHD45" s="595"/>
      <c r="JHE45" s="595"/>
      <c r="JHF45" s="595"/>
      <c r="JHG45" s="595"/>
      <c r="JHH45" s="595"/>
      <c r="JHI45" s="595"/>
      <c r="JHJ45" s="595"/>
      <c r="JHK45" s="595"/>
      <c r="JHL45" s="595"/>
      <c r="JHM45" s="595"/>
      <c r="JHN45" s="595"/>
      <c r="JHO45" s="595"/>
      <c r="JHP45" s="595"/>
      <c r="JHQ45" s="595"/>
      <c r="JHR45" s="595"/>
      <c r="JHS45" s="595"/>
      <c r="JHT45" s="595"/>
      <c r="JHU45" s="595"/>
      <c r="JHV45" s="595"/>
      <c r="JHW45" s="595"/>
      <c r="JHX45" s="595"/>
      <c r="JHY45" s="595"/>
      <c r="JHZ45" s="595"/>
      <c r="JIA45" s="595"/>
      <c r="JIB45" s="595"/>
      <c r="JIC45" s="595"/>
      <c r="JID45" s="595"/>
      <c r="JIE45" s="595"/>
      <c r="JIF45" s="595"/>
      <c r="JIG45" s="595"/>
      <c r="JIH45" s="595"/>
      <c r="JII45" s="595"/>
      <c r="JIJ45" s="595"/>
      <c r="JIK45" s="595"/>
      <c r="JIL45" s="595"/>
      <c r="JIM45" s="595"/>
      <c r="JIN45" s="595"/>
      <c r="JIO45" s="595"/>
      <c r="JIP45" s="595"/>
      <c r="JIQ45" s="595"/>
      <c r="JIR45" s="595"/>
      <c r="JIS45" s="595"/>
      <c r="JIT45" s="595"/>
      <c r="JIU45" s="595"/>
      <c r="JIV45" s="595"/>
      <c r="JIW45" s="595"/>
      <c r="JIX45" s="595"/>
      <c r="JIY45" s="595"/>
      <c r="JIZ45" s="595"/>
      <c r="JJA45" s="595"/>
      <c r="JJB45" s="595"/>
      <c r="JJC45" s="595"/>
      <c r="JJD45" s="595"/>
      <c r="JJE45" s="595"/>
      <c r="JJF45" s="595"/>
      <c r="JJG45" s="595"/>
      <c r="JJH45" s="595"/>
      <c r="JJI45" s="595"/>
      <c r="JJJ45" s="595"/>
      <c r="JJK45" s="595"/>
      <c r="JJL45" s="595"/>
      <c r="JJM45" s="595"/>
      <c r="JJN45" s="595"/>
      <c r="JJO45" s="595"/>
      <c r="JJP45" s="595"/>
      <c r="JJQ45" s="595"/>
      <c r="JJR45" s="595"/>
      <c r="JJS45" s="595"/>
      <c r="JJT45" s="595"/>
      <c r="JJU45" s="595"/>
      <c r="JJV45" s="595"/>
      <c r="JJW45" s="595"/>
      <c r="JJX45" s="595"/>
      <c r="JJY45" s="595"/>
      <c r="JJZ45" s="595"/>
      <c r="JKA45" s="595"/>
      <c r="JKB45" s="595"/>
      <c r="JKC45" s="595"/>
      <c r="JKD45" s="595"/>
      <c r="JKE45" s="595"/>
      <c r="JKF45" s="595"/>
      <c r="JKG45" s="595"/>
      <c r="JKH45" s="595"/>
      <c r="JKI45" s="595"/>
      <c r="JKJ45" s="595"/>
      <c r="JKK45" s="595"/>
      <c r="JKL45" s="595"/>
      <c r="JKM45" s="595"/>
      <c r="JKN45" s="595"/>
      <c r="JKO45" s="595"/>
      <c r="JKP45" s="595"/>
      <c r="JKQ45" s="595"/>
      <c r="JKR45" s="595"/>
      <c r="JKS45" s="595"/>
      <c r="JKT45" s="595"/>
      <c r="JKU45" s="595"/>
      <c r="JKV45" s="595"/>
      <c r="JKW45" s="595"/>
      <c r="JKX45" s="595"/>
      <c r="JKY45" s="595"/>
      <c r="JKZ45" s="595"/>
      <c r="JLA45" s="595"/>
      <c r="JLB45" s="595"/>
      <c r="JLC45" s="595"/>
      <c r="JLD45" s="595"/>
      <c r="JLE45" s="595"/>
      <c r="JLF45" s="595"/>
      <c r="JLG45" s="595"/>
      <c r="JLH45" s="595"/>
      <c r="JLI45" s="595"/>
      <c r="JLJ45" s="595"/>
      <c r="JLK45" s="595"/>
      <c r="JLL45" s="595"/>
      <c r="JLM45" s="595"/>
      <c r="JLN45" s="595"/>
      <c r="JLO45" s="595"/>
      <c r="JLP45" s="595"/>
      <c r="JLQ45" s="595"/>
      <c r="JLR45" s="595"/>
      <c r="JLS45" s="595"/>
      <c r="JLT45" s="595"/>
      <c r="JLU45" s="595"/>
      <c r="JLV45" s="595"/>
      <c r="JLW45" s="595"/>
      <c r="JLX45" s="595"/>
      <c r="JLY45" s="595"/>
      <c r="JLZ45" s="595"/>
      <c r="JMA45" s="595"/>
      <c r="JMB45" s="595"/>
      <c r="JMC45" s="595"/>
      <c r="JMD45" s="595"/>
      <c r="JME45" s="595"/>
      <c r="JMF45" s="595"/>
      <c r="JMG45" s="595"/>
      <c r="JMH45" s="595"/>
      <c r="JMI45" s="595"/>
      <c r="JMJ45" s="595"/>
      <c r="JMK45" s="595"/>
      <c r="JML45" s="595"/>
      <c r="JMM45" s="595"/>
      <c r="JMN45" s="595"/>
      <c r="JMO45" s="595"/>
      <c r="JMP45" s="595"/>
      <c r="JMQ45" s="595"/>
      <c r="JMR45" s="595"/>
      <c r="JMS45" s="595"/>
      <c r="JMT45" s="595"/>
      <c r="JMU45" s="595"/>
      <c r="JMV45" s="595"/>
      <c r="JMW45" s="595"/>
      <c r="JMX45" s="595"/>
      <c r="JMY45" s="595"/>
      <c r="JMZ45" s="595"/>
      <c r="JNA45" s="595"/>
      <c r="JNB45" s="595"/>
      <c r="JNC45" s="595"/>
      <c r="JND45" s="595"/>
      <c r="JNE45" s="595"/>
      <c r="JNF45" s="595"/>
      <c r="JNG45" s="595"/>
      <c r="JNH45" s="595"/>
      <c r="JNI45" s="595"/>
      <c r="JNJ45" s="595"/>
      <c r="JNK45" s="595"/>
      <c r="JNL45" s="595"/>
      <c r="JNM45" s="595"/>
      <c r="JNN45" s="595"/>
      <c r="JNO45" s="595"/>
      <c r="JNP45" s="595"/>
      <c r="JNQ45" s="595"/>
      <c r="JNR45" s="595"/>
      <c r="JNS45" s="595"/>
      <c r="JNT45" s="595"/>
      <c r="JNU45" s="595"/>
      <c r="JNV45" s="595"/>
      <c r="JNW45" s="595"/>
      <c r="JNX45" s="595"/>
      <c r="JNY45" s="595"/>
      <c r="JNZ45" s="595"/>
      <c r="JOA45" s="595"/>
      <c r="JOB45" s="595"/>
      <c r="JOC45" s="595"/>
      <c r="JOD45" s="595"/>
      <c r="JOE45" s="595"/>
      <c r="JOF45" s="595"/>
      <c r="JOG45" s="595"/>
      <c r="JOH45" s="595"/>
      <c r="JOI45" s="595"/>
      <c r="JOJ45" s="595"/>
      <c r="JOK45" s="595"/>
      <c r="JOL45" s="595"/>
      <c r="JOM45" s="595"/>
      <c r="JON45" s="595"/>
      <c r="JOO45" s="595"/>
      <c r="JOP45" s="595"/>
      <c r="JOQ45" s="595"/>
      <c r="JOR45" s="595"/>
      <c r="JOS45" s="595"/>
      <c r="JOT45" s="595"/>
      <c r="JOU45" s="595"/>
      <c r="JOV45" s="595"/>
      <c r="JOW45" s="595"/>
      <c r="JOX45" s="595"/>
      <c r="JOY45" s="595"/>
      <c r="JOZ45" s="595"/>
      <c r="JPA45" s="595"/>
      <c r="JPB45" s="595"/>
      <c r="JPC45" s="595"/>
      <c r="JPD45" s="595"/>
      <c r="JPE45" s="595"/>
      <c r="JPF45" s="595"/>
      <c r="JPG45" s="595"/>
      <c r="JPH45" s="595"/>
      <c r="JPI45" s="595"/>
      <c r="JPJ45" s="595"/>
      <c r="JPK45" s="595"/>
      <c r="JPL45" s="595"/>
      <c r="JPM45" s="595"/>
      <c r="JPN45" s="595"/>
      <c r="JPO45" s="595"/>
      <c r="JPP45" s="595"/>
      <c r="JPQ45" s="595"/>
      <c r="JPR45" s="595"/>
      <c r="JPS45" s="595"/>
      <c r="JPT45" s="595"/>
      <c r="JPU45" s="595"/>
      <c r="JPV45" s="595"/>
      <c r="JPW45" s="595"/>
      <c r="JPX45" s="595"/>
      <c r="JPY45" s="595"/>
      <c r="JPZ45" s="595"/>
      <c r="JQA45" s="595"/>
      <c r="JQB45" s="595"/>
      <c r="JQC45" s="595"/>
      <c r="JQD45" s="595"/>
      <c r="JQE45" s="595"/>
      <c r="JQF45" s="595"/>
      <c r="JQG45" s="595"/>
      <c r="JQH45" s="595"/>
      <c r="JQI45" s="595"/>
      <c r="JQJ45" s="595"/>
      <c r="JQK45" s="595"/>
      <c r="JQL45" s="595"/>
      <c r="JQM45" s="595"/>
      <c r="JQN45" s="595"/>
      <c r="JQO45" s="595"/>
      <c r="JQP45" s="595"/>
      <c r="JQQ45" s="595"/>
      <c r="JQR45" s="595"/>
      <c r="JQS45" s="595"/>
      <c r="JQT45" s="595"/>
      <c r="JQU45" s="595"/>
      <c r="JQV45" s="595"/>
      <c r="JQW45" s="595"/>
      <c r="JQX45" s="595"/>
      <c r="JQY45" s="595"/>
      <c r="JQZ45" s="595"/>
      <c r="JRA45" s="595"/>
      <c r="JRB45" s="595"/>
      <c r="JRC45" s="595"/>
      <c r="JRD45" s="595"/>
      <c r="JRE45" s="595"/>
      <c r="JRF45" s="595"/>
      <c r="JRG45" s="595"/>
      <c r="JRH45" s="595"/>
      <c r="JRI45" s="595"/>
      <c r="JRJ45" s="595"/>
      <c r="JRK45" s="595"/>
      <c r="JRL45" s="595"/>
      <c r="JRM45" s="595"/>
      <c r="JRN45" s="595"/>
      <c r="JRO45" s="595"/>
      <c r="JRP45" s="595"/>
      <c r="JRQ45" s="595"/>
      <c r="JRR45" s="595"/>
      <c r="JRS45" s="595"/>
      <c r="JRT45" s="595"/>
      <c r="JRU45" s="595"/>
      <c r="JRV45" s="595"/>
      <c r="JRW45" s="595"/>
      <c r="JRX45" s="595"/>
      <c r="JRY45" s="595"/>
      <c r="JRZ45" s="595"/>
      <c r="JSA45" s="595"/>
      <c r="JSB45" s="595"/>
      <c r="JSC45" s="595"/>
      <c r="JSD45" s="595"/>
      <c r="JSE45" s="595"/>
      <c r="JSF45" s="595"/>
      <c r="JSG45" s="595"/>
      <c r="JSH45" s="595"/>
      <c r="JSI45" s="595"/>
      <c r="JSJ45" s="595"/>
      <c r="JSK45" s="595"/>
      <c r="JSL45" s="595"/>
      <c r="JSM45" s="595"/>
      <c r="JSN45" s="595"/>
      <c r="JSO45" s="595"/>
      <c r="JSP45" s="595"/>
      <c r="JSQ45" s="595"/>
      <c r="JSR45" s="595"/>
      <c r="JSS45" s="595"/>
      <c r="JST45" s="595"/>
      <c r="JSU45" s="595"/>
      <c r="JSV45" s="595"/>
      <c r="JSW45" s="595"/>
      <c r="JSX45" s="595"/>
      <c r="JSY45" s="595"/>
      <c r="JSZ45" s="595"/>
      <c r="JTA45" s="595"/>
      <c r="JTB45" s="595"/>
      <c r="JTC45" s="595"/>
      <c r="JTD45" s="595"/>
      <c r="JTE45" s="595"/>
      <c r="JTF45" s="595"/>
      <c r="JTG45" s="595"/>
      <c r="JTH45" s="595"/>
      <c r="JTI45" s="595"/>
      <c r="JTJ45" s="595"/>
      <c r="JTK45" s="595"/>
      <c r="JTL45" s="595"/>
      <c r="JTM45" s="595"/>
      <c r="JTN45" s="595"/>
      <c r="JTO45" s="595"/>
      <c r="JTP45" s="595"/>
      <c r="JTQ45" s="595"/>
      <c r="JTR45" s="595"/>
      <c r="JTS45" s="595"/>
      <c r="JTT45" s="595"/>
      <c r="JTU45" s="595"/>
      <c r="JTV45" s="595"/>
      <c r="JTW45" s="595"/>
      <c r="JTX45" s="595"/>
      <c r="JTY45" s="595"/>
      <c r="JTZ45" s="595"/>
      <c r="JUA45" s="595"/>
      <c r="JUB45" s="595"/>
      <c r="JUC45" s="595"/>
      <c r="JUD45" s="595"/>
      <c r="JUE45" s="595"/>
      <c r="JUF45" s="595"/>
      <c r="JUG45" s="595"/>
      <c r="JUH45" s="595"/>
      <c r="JUI45" s="595"/>
      <c r="JUJ45" s="595"/>
      <c r="JUK45" s="595"/>
      <c r="JUL45" s="595"/>
      <c r="JUM45" s="595"/>
      <c r="JUN45" s="595"/>
      <c r="JUO45" s="595"/>
      <c r="JUP45" s="595"/>
      <c r="JUQ45" s="595"/>
      <c r="JUR45" s="595"/>
      <c r="JUS45" s="595"/>
      <c r="JUT45" s="595"/>
      <c r="JUU45" s="595"/>
      <c r="JUV45" s="595"/>
      <c r="JUW45" s="595"/>
      <c r="JUX45" s="595"/>
      <c r="JUY45" s="595"/>
      <c r="JUZ45" s="595"/>
      <c r="JVA45" s="595"/>
      <c r="JVB45" s="595"/>
      <c r="JVC45" s="595"/>
      <c r="JVD45" s="595"/>
      <c r="JVE45" s="595"/>
      <c r="JVF45" s="595"/>
      <c r="JVG45" s="595"/>
      <c r="JVH45" s="595"/>
      <c r="JVI45" s="595"/>
      <c r="JVJ45" s="595"/>
      <c r="JVK45" s="595"/>
      <c r="JVL45" s="595"/>
      <c r="JVM45" s="595"/>
      <c r="JVN45" s="595"/>
      <c r="JVO45" s="595"/>
      <c r="JVP45" s="595"/>
      <c r="JVQ45" s="595"/>
      <c r="JVR45" s="595"/>
      <c r="JVS45" s="595"/>
      <c r="JVT45" s="595"/>
      <c r="JVU45" s="595"/>
      <c r="JVV45" s="595"/>
      <c r="JVW45" s="595"/>
      <c r="JVX45" s="595"/>
      <c r="JVY45" s="595"/>
      <c r="JVZ45" s="595"/>
      <c r="JWA45" s="595"/>
      <c r="JWB45" s="595"/>
      <c r="JWC45" s="595"/>
      <c r="JWD45" s="595"/>
      <c r="JWE45" s="595"/>
      <c r="JWF45" s="595"/>
      <c r="JWG45" s="595"/>
      <c r="JWH45" s="595"/>
      <c r="JWI45" s="595"/>
      <c r="JWJ45" s="595"/>
      <c r="JWK45" s="595"/>
      <c r="JWL45" s="595"/>
      <c r="JWM45" s="595"/>
      <c r="JWN45" s="595"/>
      <c r="JWO45" s="595"/>
      <c r="JWP45" s="595"/>
      <c r="JWQ45" s="595"/>
      <c r="JWR45" s="595"/>
      <c r="JWS45" s="595"/>
      <c r="JWT45" s="595"/>
      <c r="JWU45" s="595"/>
      <c r="JWV45" s="595"/>
      <c r="JWW45" s="595"/>
      <c r="JWX45" s="595"/>
      <c r="JWY45" s="595"/>
      <c r="JWZ45" s="595"/>
      <c r="JXA45" s="595"/>
      <c r="JXB45" s="595"/>
      <c r="JXC45" s="595"/>
      <c r="JXD45" s="595"/>
      <c r="JXE45" s="595"/>
      <c r="JXF45" s="595"/>
      <c r="JXG45" s="595"/>
      <c r="JXH45" s="595"/>
      <c r="JXI45" s="595"/>
      <c r="JXJ45" s="595"/>
      <c r="JXK45" s="595"/>
      <c r="JXL45" s="595"/>
      <c r="JXM45" s="595"/>
      <c r="JXN45" s="595"/>
      <c r="JXO45" s="595"/>
      <c r="JXP45" s="595"/>
      <c r="JXQ45" s="595"/>
      <c r="JXR45" s="595"/>
      <c r="JXS45" s="595"/>
      <c r="JXT45" s="595"/>
      <c r="JXU45" s="595"/>
      <c r="JXV45" s="595"/>
      <c r="JXW45" s="595"/>
      <c r="JXX45" s="595"/>
      <c r="JXY45" s="595"/>
      <c r="JXZ45" s="595"/>
      <c r="JYA45" s="595"/>
      <c r="JYB45" s="595"/>
      <c r="JYC45" s="595"/>
      <c r="JYD45" s="595"/>
      <c r="JYE45" s="595"/>
      <c r="JYF45" s="595"/>
      <c r="JYG45" s="595"/>
      <c r="JYH45" s="595"/>
      <c r="JYI45" s="595"/>
      <c r="JYJ45" s="595"/>
      <c r="JYK45" s="595"/>
      <c r="JYL45" s="595"/>
      <c r="JYM45" s="595"/>
      <c r="JYN45" s="595"/>
      <c r="JYO45" s="595"/>
      <c r="JYP45" s="595"/>
      <c r="JYQ45" s="595"/>
      <c r="JYR45" s="595"/>
      <c r="JYS45" s="595"/>
      <c r="JYT45" s="595"/>
      <c r="JYU45" s="595"/>
      <c r="JYV45" s="595"/>
      <c r="JYW45" s="595"/>
      <c r="JYX45" s="595"/>
      <c r="JYY45" s="595"/>
      <c r="JYZ45" s="595"/>
      <c r="JZA45" s="595"/>
      <c r="JZB45" s="595"/>
      <c r="JZC45" s="595"/>
      <c r="JZD45" s="595"/>
      <c r="JZE45" s="595"/>
      <c r="JZF45" s="595"/>
      <c r="JZG45" s="595"/>
      <c r="JZH45" s="595"/>
      <c r="JZI45" s="595"/>
      <c r="JZJ45" s="595"/>
      <c r="JZK45" s="595"/>
      <c r="JZL45" s="595"/>
      <c r="JZM45" s="595"/>
      <c r="JZN45" s="595"/>
      <c r="JZO45" s="595"/>
      <c r="JZP45" s="595"/>
      <c r="JZQ45" s="595"/>
      <c r="JZR45" s="595"/>
      <c r="JZS45" s="595"/>
      <c r="JZT45" s="595"/>
      <c r="JZU45" s="595"/>
      <c r="JZV45" s="595"/>
      <c r="JZW45" s="595"/>
      <c r="JZX45" s="595"/>
      <c r="JZY45" s="595"/>
      <c r="JZZ45" s="595"/>
      <c r="KAA45" s="595"/>
      <c r="KAB45" s="595"/>
      <c r="KAC45" s="595"/>
      <c r="KAD45" s="595"/>
      <c r="KAE45" s="595"/>
      <c r="KAF45" s="595"/>
      <c r="KAG45" s="595"/>
      <c r="KAH45" s="595"/>
      <c r="KAI45" s="595"/>
      <c r="KAJ45" s="595"/>
      <c r="KAK45" s="595"/>
      <c r="KAL45" s="595"/>
      <c r="KAM45" s="595"/>
      <c r="KAN45" s="595"/>
      <c r="KAO45" s="595"/>
      <c r="KAP45" s="595"/>
      <c r="KAQ45" s="595"/>
      <c r="KAR45" s="595"/>
      <c r="KAS45" s="595"/>
      <c r="KAT45" s="595"/>
      <c r="KAU45" s="595"/>
      <c r="KAV45" s="595"/>
      <c r="KAW45" s="595"/>
      <c r="KAX45" s="595"/>
      <c r="KAY45" s="595"/>
      <c r="KAZ45" s="595"/>
      <c r="KBA45" s="595"/>
      <c r="KBB45" s="595"/>
      <c r="KBC45" s="595"/>
      <c r="KBD45" s="595"/>
      <c r="KBE45" s="595"/>
      <c r="KBF45" s="595"/>
      <c r="KBG45" s="595"/>
      <c r="KBH45" s="595"/>
      <c r="KBI45" s="595"/>
      <c r="KBJ45" s="595"/>
      <c r="KBK45" s="595"/>
      <c r="KBL45" s="595"/>
      <c r="KBM45" s="595"/>
      <c r="KBN45" s="595"/>
      <c r="KBO45" s="595"/>
      <c r="KBP45" s="595"/>
      <c r="KBQ45" s="595"/>
      <c r="KBR45" s="595"/>
      <c r="KBS45" s="595"/>
      <c r="KBT45" s="595"/>
      <c r="KBU45" s="595"/>
      <c r="KBV45" s="595"/>
      <c r="KBW45" s="595"/>
      <c r="KBX45" s="595"/>
      <c r="KBY45" s="595"/>
      <c r="KBZ45" s="595"/>
      <c r="KCA45" s="595"/>
      <c r="KCB45" s="595"/>
      <c r="KCC45" s="595"/>
      <c r="KCD45" s="595"/>
      <c r="KCE45" s="595"/>
      <c r="KCF45" s="595"/>
      <c r="KCG45" s="595"/>
      <c r="KCH45" s="595"/>
      <c r="KCI45" s="595"/>
      <c r="KCJ45" s="595"/>
      <c r="KCK45" s="595"/>
      <c r="KCL45" s="595"/>
      <c r="KCM45" s="595"/>
      <c r="KCN45" s="595"/>
      <c r="KCO45" s="595"/>
      <c r="KCP45" s="595"/>
      <c r="KCQ45" s="595"/>
      <c r="KCR45" s="595"/>
      <c r="KCS45" s="595"/>
      <c r="KCT45" s="595"/>
      <c r="KCU45" s="595"/>
      <c r="KCV45" s="595"/>
      <c r="KCW45" s="595"/>
      <c r="KCX45" s="595"/>
      <c r="KCY45" s="595"/>
      <c r="KCZ45" s="595"/>
      <c r="KDA45" s="595"/>
      <c r="KDB45" s="595"/>
      <c r="KDC45" s="595"/>
      <c r="KDD45" s="595"/>
      <c r="KDE45" s="595"/>
      <c r="KDF45" s="595"/>
      <c r="KDG45" s="595"/>
      <c r="KDH45" s="595"/>
      <c r="KDI45" s="595"/>
      <c r="KDJ45" s="595"/>
      <c r="KDK45" s="595"/>
      <c r="KDL45" s="595"/>
      <c r="KDM45" s="595"/>
      <c r="KDN45" s="595"/>
      <c r="KDO45" s="595"/>
      <c r="KDP45" s="595"/>
      <c r="KDQ45" s="595"/>
      <c r="KDR45" s="595"/>
      <c r="KDS45" s="595"/>
      <c r="KDT45" s="595"/>
      <c r="KDU45" s="595"/>
      <c r="KDV45" s="595"/>
      <c r="KDW45" s="595"/>
      <c r="KDX45" s="595"/>
      <c r="KDY45" s="595"/>
      <c r="KDZ45" s="595"/>
      <c r="KEA45" s="595"/>
      <c r="KEB45" s="595"/>
      <c r="KEC45" s="595"/>
      <c r="KED45" s="595"/>
      <c r="KEE45" s="595"/>
      <c r="KEF45" s="595"/>
      <c r="KEG45" s="595"/>
      <c r="KEH45" s="595"/>
      <c r="KEI45" s="595"/>
      <c r="KEJ45" s="595"/>
      <c r="KEK45" s="595"/>
      <c r="KEL45" s="595"/>
      <c r="KEM45" s="595"/>
      <c r="KEN45" s="595"/>
      <c r="KEO45" s="595"/>
      <c r="KEP45" s="595"/>
      <c r="KEQ45" s="595"/>
      <c r="KER45" s="595"/>
      <c r="KES45" s="595"/>
      <c r="KET45" s="595"/>
      <c r="KEU45" s="595"/>
      <c r="KEV45" s="595"/>
      <c r="KEW45" s="595"/>
      <c r="KEX45" s="595"/>
      <c r="KEY45" s="595"/>
      <c r="KEZ45" s="595"/>
      <c r="KFA45" s="595"/>
      <c r="KFB45" s="595"/>
      <c r="KFC45" s="595"/>
      <c r="KFD45" s="595"/>
      <c r="KFE45" s="595"/>
      <c r="KFF45" s="595"/>
      <c r="KFG45" s="595"/>
      <c r="KFH45" s="595"/>
      <c r="KFI45" s="595"/>
      <c r="KFJ45" s="595"/>
      <c r="KFK45" s="595"/>
      <c r="KFL45" s="595"/>
      <c r="KFM45" s="595"/>
      <c r="KFN45" s="595"/>
      <c r="KFO45" s="595"/>
      <c r="KFP45" s="595"/>
      <c r="KFQ45" s="595"/>
      <c r="KFR45" s="595"/>
      <c r="KFS45" s="595"/>
      <c r="KFT45" s="595"/>
      <c r="KFU45" s="595"/>
      <c r="KFV45" s="595"/>
      <c r="KFW45" s="595"/>
      <c r="KFX45" s="595"/>
      <c r="KFY45" s="595"/>
      <c r="KFZ45" s="595"/>
      <c r="KGA45" s="595"/>
      <c r="KGB45" s="595"/>
      <c r="KGC45" s="595"/>
      <c r="KGD45" s="595"/>
      <c r="KGE45" s="595"/>
      <c r="KGF45" s="595"/>
      <c r="KGG45" s="595"/>
      <c r="KGH45" s="595"/>
      <c r="KGI45" s="595"/>
      <c r="KGJ45" s="595"/>
      <c r="KGK45" s="595"/>
      <c r="KGL45" s="595"/>
      <c r="KGM45" s="595"/>
      <c r="KGN45" s="595"/>
      <c r="KGO45" s="595"/>
      <c r="KGP45" s="595"/>
      <c r="KGQ45" s="595"/>
      <c r="KGR45" s="595"/>
      <c r="KGS45" s="595"/>
      <c r="KGT45" s="595"/>
      <c r="KGU45" s="595"/>
      <c r="KGV45" s="595"/>
      <c r="KGW45" s="595"/>
      <c r="KGX45" s="595"/>
      <c r="KGY45" s="595"/>
      <c r="KGZ45" s="595"/>
      <c r="KHA45" s="595"/>
      <c r="KHB45" s="595"/>
      <c r="KHC45" s="595"/>
      <c r="KHD45" s="595"/>
      <c r="KHE45" s="595"/>
      <c r="KHF45" s="595"/>
      <c r="KHG45" s="595"/>
      <c r="KHH45" s="595"/>
      <c r="KHI45" s="595"/>
      <c r="KHJ45" s="595"/>
      <c r="KHK45" s="595"/>
      <c r="KHL45" s="595"/>
      <c r="KHM45" s="595"/>
      <c r="KHN45" s="595"/>
      <c r="KHO45" s="595"/>
      <c r="KHP45" s="595"/>
      <c r="KHQ45" s="595"/>
      <c r="KHR45" s="595"/>
      <c r="KHS45" s="595"/>
      <c r="KHT45" s="595"/>
      <c r="KHU45" s="595"/>
      <c r="KHV45" s="595"/>
      <c r="KHW45" s="595"/>
      <c r="KHX45" s="595"/>
      <c r="KHY45" s="595"/>
      <c r="KHZ45" s="595"/>
      <c r="KIA45" s="595"/>
      <c r="KIB45" s="595"/>
      <c r="KIC45" s="595"/>
      <c r="KID45" s="595"/>
      <c r="KIE45" s="595"/>
      <c r="KIF45" s="595"/>
      <c r="KIG45" s="595"/>
      <c r="KIH45" s="595"/>
      <c r="KII45" s="595"/>
      <c r="KIJ45" s="595"/>
      <c r="KIK45" s="595"/>
      <c r="KIL45" s="595"/>
      <c r="KIM45" s="595"/>
      <c r="KIN45" s="595"/>
      <c r="KIO45" s="595"/>
      <c r="KIP45" s="595"/>
      <c r="KIQ45" s="595"/>
      <c r="KIR45" s="595"/>
      <c r="KIS45" s="595"/>
      <c r="KIT45" s="595"/>
      <c r="KIU45" s="595"/>
      <c r="KIV45" s="595"/>
      <c r="KIW45" s="595"/>
      <c r="KIX45" s="595"/>
      <c r="KIY45" s="595"/>
      <c r="KIZ45" s="595"/>
      <c r="KJA45" s="595"/>
      <c r="KJB45" s="595"/>
      <c r="KJC45" s="595"/>
      <c r="KJD45" s="595"/>
      <c r="KJE45" s="595"/>
      <c r="KJF45" s="595"/>
      <c r="KJG45" s="595"/>
      <c r="KJH45" s="595"/>
      <c r="KJI45" s="595"/>
      <c r="KJJ45" s="595"/>
      <c r="KJK45" s="595"/>
      <c r="KJL45" s="595"/>
      <c r="KJM45" s="595"/>
      <c r="KJN45" s="595"/>
      <c r="KJO45" s="595"/>
      <c r="KJP45" s="595"/>
      <c r="KJQ45" s="595"/>
      <c r="KJR45" s="595"/>
      <c r="KJS45" s="595"/>
      <c r="KJT45" s="595"/>
      <c r="KJU45" s="595"/>
      <c r="KJV45" s="595"/>
      <c r="KJW45" s="595"/>
      <c r="KJX45" s="595"/>
      <c r="KJY45" s="595"/>
      <c r="KJZ45" s="595"/>
      <c r="KKA45" s="595"/>
      <c r="KKB45" s="595"/>
      <c r="KKC45" s="595"/>
      <c r="KKD45" s="595"/>
      <c r="KKE45" s="595"/>
      <c r="KKF45" s="595"/>
      <c r="KKG45" s="595"/>
      <c r="KKH45" s="595"/>
      <c r="KKI45" s="595"/>
      <c r="KKJ45" s="595"/>
      <c r="KKK45" s="595"/>
      <c r="KKL45" s="595"/>
      <c r="KKM45" s="595"/>
      <c r="KKN45" s="595"/>
      <c r="KKO45" s="595"/>
      <c r="KKP45" s="595"/>
      <c r="KKQ45" s="595"/>
      <c r="KKR45" s="595"/>
      <c r="KKS45" s="595"/>
      <c r="KKT45" s="595"/>
      <c r="KKU45" s="595"/>
      <c r="KKV45" s="595"/>
      <c r="KKW45" s="595"/>
      <c r="KKX45" s="595"/>
      <c r="KKY45" s="595"/>
      <c r="KKZ45" s="595"/>
      <c r="KLA45" s="595"/>
      <c r="KLB45" s="595"/>
      <c r="KLC45" s="595"/>
      <c r="KLD45" s="595"/>
      <c r="KLE45" s="595"/>
      <c r="KLF45" s="595"/>
      <c r="KLG45" s="595"/>
      <c r="KLH45" s="595"/>
      <c r="KLI45" s="595"/>
      <c r="KLJ45" s="595"/>
      <c r="KLK45" s="595"/>
      <c r="KLL45" s="595"/>
      <c r="KLM45" s="595"/>
      <c r="KLN45" s="595"/>
      <c r="KLO45" s="595"/>
      <c r="KLP45" s="595"/>
      <c r="KLQ45" s="595"/>
      <c r="KLR45" s="595"/>
      <c r="KLS45" s="595"/>
      <c r="KLT45" s="595"/>
      <c r="KLU45" s="595"/>
      <c r="KLV45" s="595"/>
      <c r="KLW45" s="595"/>
      <c r="KLX45" s="595"/>
      <c r="KLY45" s="595"/>
      <c r="KLZ45" s="595"/>
      <c r="KMA45" s="595"/>
      <c r="KMB45" s="595"/>
      <c r="KMC45" s="595"/>
      <c r="KMD45" s="595"/>
      <c r="KME45" s="595"/>
      <c r="KMF45" s="595"/>
      <c r="KMG45" s="595"/>
      <c r="KMH45" s="595"/>
      <c r="KMI45" s="595"/>
      <c r="KMJ45" s="595"/>
      <c r="KMK45" s="595"/>
      <c r="KML45" s="595"/>
      <c r="KMM45" s="595"/>
      <c r="KMN45" s="595"/>
      <c r="KMO45" s="595"/>
      <c r="KMP45" s="595"/>
      <c r="KMQ45" s="595"/>
      <c r="KMR45" s="595"/>
      <c r="KMS45" s="595"/>
      <c r="KMT45" s="595"/>
      <c r="KMU45" s="595"/>
      <c r="KMV45" s="595"/>
      <c r="KMW45" s="595"/>
      <c r="KMX45" s="595"/>
      <c r="KMY45" s="595"/>
      <c r="KMZ45" s="595"/>
      <c r="KNA45" s="595"/>
      <c r="KNB45" s="595"/>
      <c r="KNC45" s="595"/>
      <c r="KND45" s="595"/>
      <c r="KNE45" s="595"/>
      <c r="KNF45" s="595"/>
      <c r="KNG45" s="595"/>
      <c r="KNH45" s="595"/>
      <c r="KNI45" s="595"/>
      <c r="KNJ45" s="595"/>
      <c r="KNK45" s="595"/>
      <c r="KNL45" s="595"/>
      <c r="KNM45" s="595"/>
      <c r="KNN45" s="595"/>
      <c r="KNO45" s="595"/>
      <c r="KNP45" s="595"/>
      <c r="KNQ45" s="595"/>
      <c r="KNR45" s="595"/>
      <c r="KNS45" s="595"/>
      <c r="KNT45" s="595"/>
      <c r="KNU45" s="595"/>
      <c r="KNV45" s="595"/>
      <c r="KNW45" s="595"/>
      <c r="KNX45" s="595"/>
      <c r="KNY45" s="595"/>
      <c r="KNZ45" s="595"/>
      <c r="KOA45" s="595"/>
      <c r="KOB45" s="595"/>
      <c r="KOC45" s="595"/>
      <c r="KOD45" s="595"/>
      <c r="KOE45" s="595"/>
      <c r="KOF45" s="595"/>
      <c r="KOG45" s="595"/>
      <c r="KOH45" s="595"/>
      <c r="KOI45" s="595"/>
      <c r="KOJ45" s="595"/>
      <c r="KOK45" s="595"/>
      <c r="KOL45" s="595"/>
      <c r="KOM45" s="595"/>
      <c r="KON45" s="595"/>
      <c r="KOO45" s="595"/>
      <c r="KOP45" s="595"/>
      <c r="KOQ45" s="595"/>
      <c r="KOR45" s="595"/>
      <c r="KOS45" s="595"/>
      <c r="KOT45" s="595"/>
      <c r="KOU45" s="595"/>
      <c r="KOV45" s="595"/>
      <c r="KOW45" s="595"/>
      <c r="KOX45" s="595"/>
      <c r="KOY45" s="595"/>
      <c r="KOZ45" s="595"/>
      <c r="KPA45" s="595"/>
      <c r="KPB45" s="595"/>
      <c r="KPC45" s="595"/>
      <c r="KPD45" s="595"/>
      <c r="KPE45" s="595"/>
      <c r="KPF45" s="595"/>
      <c r="KPG45" s="595"/>
      <c r="KPH45" s="595"/>
      <c r="KPI45" s="595"/>
      <c r="KPJ45" s="595"/>
      <c r="KPK45" s="595"/>
      <c r="KPL45" s="595"/>
      <c r="KPM45" s="595"/>
      <c r="KPN45" s="595"/>
      <c r="KPO45" s="595"/>
      <c r="KPP45" s="595"/>
      <c r="KPQ45" s="595"/>
      <c r="KPR45" s="595"/>
      <c r="KPS45" s="595"/>
      <c r="KPT45" s="595"/>
      <c r="KPU45" s="595"/>
      <c r="KPV45" s="595"/>
      <c r="KPW45" s="595"/>
      <c r="KPX45" s="595"/>
      <c r="KPY45" s="595"/>
      <c r="KPZ45" s="595"/>
      <c r="KQA45" s="595"/>
      <c r="KQB45" s="595"/>
      <c r="KQC45" s="595"/>
      <c r="KQD45" s="595"/>
      <c r="KQE45" s="595"/>
      <c r="KQF45" s="595"/>
      <c r="KQG45" s="595"/>
      <c r="KQH45" s="595"/>
      <c r="KQI45" s="595"/>
      <c r="KQJ45" s="595"/>
      <c r="KQK45" s="595"/>
      <c r="KQL45" s="595"/>
      <c r="KQM45" s="595"/>
      <c r="KQN45" s="595"/>
      <c r="KQO45" s="595"/>
      <c r="KQP45" s="595"/>
      <c r="KQQ45" s="595"/>
      <c r="KQR45" s="595"/>
      <c r="KQS45" s="595"/>
      <c r="KQT45" s="595"/>
      <c r="KQU45" s="595"/>
      <c r="KQV45" s="595"/>
      <c r="KQW45" s="595"/>
      <c r="KQX45" s="595"/>
      <c r="KQY45" s="595"/>
      <c r="KQZ45" s="595"/>
      <c r="KRA45" s="595"/>
      <c r="KRB45" s="595"/>
      <c r="KRC45" s="595"/>
      <c r="KRD45" s="595"/>
      <c r="KRE45" s="595"/>
      <c r="KRF45" s="595"/>
      <c r="KRG45" s="595"/>
      <c r="KRH45" s="595"/>
      <c r="KRI45" s="595"/>
      <c r="KRJ45" s="595"/>
      <c r="KRK45" s="595"/>
      <c r="KRL45" s="595"/>
      <c r="KRM45" s="595"/>
      <c r="KRN45" s="595"/>
      <c r="KRO45" s="595"/>
      <c r="KRP45" s="595"/>
      <c r="KRQ45" s="595"/>
      <c r="KRR45" s="595"/>
      <c r="KRS45" s="595"/>
      <c r="KRT45" s="595"/>
      <c r="KRU45" s="595"/>
      <c r="KRV45" s="595"/>
      <c r="KRW45" s="595"/>
      <c r="KRX45" s="595"/>
      <c r="KRY45" s="595"/>
      <c r="KRZ45" s="595"/>
      <c r="KSA45" s="595"/>
      <c r="KSB45" s="595"/>
      <c r="KSC45" s="595"/>
      <c r="KSD45" s="595"/>
      <c r="KSE45" s="595"/>
      <c r="KSF45" s="595"/>
      <c r="KSG45" s="595"/>
      <c r="KSH45" s="595"/>
      <c r="KSI45" s="595"/>
      <c r="KSJ45" s="595"/>
      <c r="KSK45" s="595"/>
      <c r="KSL45" s="595"/>
      <c r="KSM45" s="595"/>
      <c r="KSN45" s="595"/>
      <c r="KSO45" s="595"/>
      <c r="KSP45" s="595"/>
      <c r="KSQ45" s="595"/>
      <c r="KSR45" s="595"/>
      <c r="KSS45" s="595"/>
      <c r="KST45" s="595"/>
      <c r="KSU45" s="595"/>
      <c r="KSV45" s="595"/>
      <c r="KSW45" s="595"/>
      <c r="KSX45" s="595"/>
      <c r="KSY45" s="595"/>
      <c r="KSZ45" s="595"/>
      <c r="KTA45" s="595"/>
      <c r="KTB45" s="595"/>
      <c r="KTC45" s="595"/>
      <c r="KTD45" s="595"/>
      <c r="KTE45" s="595"/>
      <c r="KTF45" s="595"/>
      <c r="KTG45" s="595"/>
      <c r="KTH45" s="595"/>
      <c r="KTI45" s="595"/>
      <c r="KTJ45" s="595"/>
      <c r="KTK45" s="595"/>
      <c r="KTL45" s="595"/>
      <c r="KTM45" s="595"/>
      <c r="KTN45" s="595"/>
      <c r="KTO45" s="595"/>
      <c r="KTP45" s="595"/>
      <c r="KTQ45" s="595"/>
      <c r="KTR45" s="595"/>
      <c r="KTS45" s="595"/>
      <c r="KTT45" s="595"/>
      <c r="KTU45" s="595"/>
      <c r="KTV45" s="595"/>
      <c r="KTW45" s="595"/>
      <c r="KTX45" s="595"/>
      <c r="KTY45" s="595"/>
      <c r="KTZ45" s="595"/>
      <c r="KUA45" s="595"/>
      <c r="KUB45" s="595"/>
      <c r="KUC45" s="595"/>
      <c r="KUD45" s="595"/>
      <c r="KUE45" s="595"/>
      <c r="KUF45" s="595"/>
      <c r="KUG45" s="595"/>
      <c r="KUH45" s="595"/>
      <c r="KUI45" s="595"/>
      <c r="KUJ45" s="595"/>
      <c r="KUK45" s="595"/>
      <c r="KUL45" s="595"/>
      <c r="KUM45" s="595"/>
      <c r="KUN45" s="595"/>
      <c r="KUO45" s="595"/>
      <c r="KUP45" s="595"/>
      <c r="KUQ45" s="595"/>
      <c r="KUR45" s="595"/>
      <c r="KUS45" s="595"/>
      <c r="KUT45" s="595"/>
      <c r="KUU45" s="595"/>
      <c r="KUV45" s="595"/>
      <c r="KUW45" s="595"/>
      <c r="KUX45" s="595"/>
      <c r="KUY45" s="595"/>
      <c r="KUZ45" s="595"/>
      <c r="KVA45" s="595"/>
      <c r="KVB45" s="595"/>
      <c r="KVC45" s="595"/>
      <c r="KVD45" s="595"/>
      <c r="KVE45" s="595"/>
      <c r="KVF45" s="595"/>
      <c r="KVG45" s="595"/>
      <c r="KVH45" s="595"/>
      <c r="KVI45" s="595"/>
      <c r="KVJ45" s="595"/>
      <c r="KVK45" s="595"/>
      <c r="KVL45" s="595"/>
      <c r="KVM45" s="595"/>
      <c r="KVN45" s="595"/>
      <c r="KVO45" s="595"/>
      <c r="KVP45" s="595"/>
      <c r="KVQ45" s="595"/>
      <c r="KVR45" s="595"/>
      <c r="KVS45" s="595"/>
      <c r="KVT45" s="595"/>
      <c r="KVU45" s="595"/>
      <c r="KVV45" s="595"/>
      <c r="KVW45" s="595"/>
      <c r="KVX45" s="595"/>
      <c r="KVY45" s="595"/>
      <c r="KVZ45" s="595"/>
      <c r="KWA45" s="595"/>
      <c r="KWB45" s="595"/>
      <c r="KWC45" s="595"/>
      <c r="KWD45" s="595"/>
      <c r="KWE45" s="595"/>
      <c r="KWF45" s="595"/>
      <c r="KWG45" s="595"/>
      <c r="KWH45" s="595"/>
      <c r="KWI45" s="595"/>
      <c r="KWJ45" s="595"/>
      <c r="KWK45" s="595"/>
      <c r="KWL45" s="595"/>
      <c r="KWM45" s="595"/>
      <c r="KWN45" s="595"/>
      <c r="KWO45" s="595"/>
      <c r="KWP45" s="595"/>
      <c r="KWQ45" s="595"/>
      <c r="KWR45" s="595"/>
      <c r="KWS45" s="595"/>
      <c r="KWT45" s="595"/>
      <c r="KWU45" s="595"/>
      <c r="KWV45" s="595"/>
      <c r="KWW45" s="595"/>
      <c r="KWX45" s="595"/>
      <c r="KWY45" s="595"/>
      <c r="KWZ45" s="595"/>
      <c r="KXA45" s="595"/>
      <c r="KXB45" s="595"/>
      <c r="KXC45" s="595"/>
      <c r="KXD45" s="595"/>
      <c r="KXE45" s="595"/>
      <c r="KXF45" s="595"/>
      <c r="KXG45" s="595"/>
      <c r="KXH45" s="595"/>
      <c r="KXI45" s="595"/>
      <c r="KXJ45" s="595"/>
      <c r="KXK45" s="595"/>
      <c r="KXL45" s="595"/>
      <c r="KXM45" s="595"/>
      <c r="KXN45" s="595"/>
      <c r="KXO45" s="595"/>
      <c r="KXP45" s="595"/>
      <c r="KXQ45" s="595"/>
      <c r="KXR45" s="595"/>
      <c r="KXS45" s="595"/>
      <c r="KXT45" s="595"/>
      <c r="KXU45" s="595"/>
      <c r="KXV45" s="595"/>
      <c r="KXW45" s="595"/>
      <c r="KXX45" s="595"/>
      <c r="KXY45" s="595"/>
      <c r="KXZ45" s="595"/>
      <c r="KYA45" s="595"/>
      <c r="KYB45" s="595"/>
      <c r="KYC45" s="595"/>
      <c r="KYD45" s="595"/>
      <c r="KYE45" s="595"/>
      <c r="KYF45" s="595"/>
      <c r="KYG45" s="595"/>
      <c r="KYH45" s="595"/>
      <c r="KYI45" s="595"/>
      <c r="KYJ45" s="595"/>
      <c r="KYK45" s="595"/>
      <c r="KYL45" s="595"/>
      <c r="KYM45" s="595"/>
      <c r="KYN45" s="595"/>
      <c r="KYO45" s="595"/>
      <c r="KYP45" s="595"/>
      <c r="KYQ45" s="595"/>
      <c r="KYR45" s="595"/>
      <c r="KYS45" s="595"/>
      <c r="KYT45" s="595"/>
      <c r="KYU45" s="595"/>
      <c r="KYV45" s="595"/>
      <c r="KYW45" s="595"/>
      <c r="KYX45" s="595"/>
      <c r="KYY45" s="595"/>
      <c r="KYZ45" s="595"/>
      <c r="KZA45" s="595"/>
      <c r="KZB45" s="595"/>
      <c r="KZC45" s="595"/>
      <c r="KZD45" s="595"/>
      <c r="KZE45" s="595"/>
      <c r="KZF45" s="595"/>
      <c r="KZG45" s="595"/>
      <c r="KZH45" s="595"/>
      <c r="KZI45" s="595"/>
      <c r="KZJ45" s="595"/>
      <c r="KZK45" s="595"/>
      <c r="KZL45" s="595"/>
      <c r="KZM45" s="595"/>
      <c r="KZN45" s="595"/>
      <c r="KZO45" s="595"/>
      <c r="KZP45" s="595"/>
      <c r="KZQ45" s="595"/>
      <c r="KZR45" s="595"/>
      <c r="KZS45" s="595"/>
      <c r="KZT45" s="595"/>
      <c r="KZU45" s="595"/>
      <c r="KZV45" s="595"/>
      <c r="KZW45" s="595"/>
      <c r="KZX45" s="595"/>
      <c r="KZY45" s="595"/>
      <c r="KZZ45" s="595"/>
      <c r="LAA45" s="595"/>
      <c r="LAB45" s="595"/>
      <c r="LAC45" s="595"/>
      <c r="LAD45" s="595"/>
      <c r="LAE45" s="595"/>
      <c r="LAF45" s="595"/>
      <c r="LAG45" s="595"/>
      <c r="LAH45" s="595"/>
      <c r="LAI45" s="595"/>
      <c r="LAJ45" s="595"/>
      <c r="LAK45" s="595"/>
      <c r="LAL45" s="595"/>
      <c r="LAM45" s="595"/>
      <c r="LAN45" s="595"/>
      <c r="LAO45" s="595"/>
      <c r="LAP45" s="595"/>
      <c r="LAQ45" s="595"/>
      <c r="LAR45" s="595"/>
      <c r="LAS45" s="595"/>
      <c r="LAT45" s="595"/>
      <c r="LAU45" s="595"/>
      <c r="LAV45" s="595"/>
      <c r="LAW45" s="595"/>
      <c r="LAX45" s="595"/>
      <c r="LAY45" s="595"/>
      <c r="LAZ45" s="595"/>
      <c r="LBA45" s="595"/>
      <c r="LBB45" s="595"/>
      <c r="LBC45" s="595"/>
      <c r="LBD45" s="595"/>
      <c r="LBE45" s="595"/>
      <c r="LBF45" s="595"/>
      <c r="LBG45" s="595"/>
      <c r="LBH45" s="595"/>
      <c r="LBI45" s="595"/>
      <c r="LBJ45" s="595"/>
      <c r="LBK45" s="595"/>
      <c r="LBL45" s="595"/>
      <c r="LBM45" s="595"/>
      <c r="LBN45" s="595"/>
      <c r="LBO45" s="595"/>
      <c r="LBP45" s="595"/>
      <c r="LBQ45" s="595"/>
      <c r="LBR45" s="595"/>
      <c r="LBS45" s="595"/>
      <c r="LBT45" s="595"/>
      <c r="LBU45" s="595"/>
      <c r="LBV45" s="595"/>
      <c r="LBW45" s="595"/>
      <c r="LBX45" s="595"/>
      <c r="LBY45" s="595"/>
      <c r="LBZ45" s="595"/>
      <c r="LCA45" s="595"/>
      <c r="LCB45" s="595"/>
      <c r="LCC45" s="595"/>
      <c r="LCD45" s="595"/>
      <c r="LCE45" s="595"/>
      <c r="LCF45" s="595"/>
      <c r="LCG45" s="595"/>
      <c r="LCH45" s="595"/>
      <c r="LCI45" s="595"/>
      <c r="LCJ45" s="595"/>
      <c r="LCK45" s="595"/>
      <c r="LCL45" s="595"/>
      <c r="LCM45" s="595"/>
      <c r="LCN45" s="595"/>
      <c r="LCO45" s="595"/>
      <c r="LCP45" s="595"/>
      <c r="LCQ45" s="595"/>
      <c r="LCR45" s="595"/>
      <c r="LCS45" s="595"/>
      <c r="LCT45" s="595"/>
      <c r="LCU45" s="595"/>
      <c r="LCV45" s="595"/>
      <c r="LCW45" s="595"/>
      <c r="LCX45" s="595"/>
      <c r="LCY45" s="595"/>
      <c r="LCZ45" s="595"/>
      <c r="LDA45" s="595"/>
      <c r="LDB45" s="595"/>
      <c r="LDC45" s="595"/>
      <c r="LDD45" s="595"/>
      <c r="LDE45" s="595"/>
      <c r="LDF45" s="595"/>
      <c r="LDG45" s="595"/>
      <c r="LDH45" s="595"/>
      <c r="LDI45" s="595"/>
      <c r="LDJ45" s="595"/>
      <c r="LDK45" s="595"/>
      <c r="LDL45" s="595"/>
      <c r="LDM45" s="595"/>
      <c r="LDN45" s="595"/>
      <c r="LDO45" s="595"/>
      <c r="LDP45" s="595"/>
      <c r="LDQ45" s="595"/>
      <c r="LDR45" s="595"/>
      <c r="LDS45" s="595"/>
      <c r="LDT45" s="595"/>
      <c r="LDU45" s="595"/>
      <c r="LDV45" s="595"/>
      <c r="LDW45" s="595"/>
      <c r="LDX45" s="595"/>
      <c r="LDY45" s="595"/>
      <c r="LDZ45" s="595"/>
      <c r="LEA45" s="595"/>
      <c r="LEB45" s="595"/>
      <c r="LEC45" s="595"/>
      <c r="LED45" s="595"/>
      <c r="LEE45" s="595"/>
      <c r="LEF45" s="595"/>
      <c r="LEG45" s="595"/>
      <c r="LEH45" s="595"/>
      <c r="LEI45" s="595"/>
      <c r="LEJ45" s="595"/>
      <c r="LEK45" s="595"/>
      <c r="LEL45" s="595"/>
      <c r="LEM45" s="595"/>
      <c r="LEN45" s="595"/>
      <c r="LEO45" s="595"/>
      <c r="LEP45" s="595"/>
      <c r="LEQ45" s="595"/>
      <c r="LER45" s="595"/>
      <c r="LES45" s="595"/>
      <c r="LET45" s="595"/>
      <c r="LEU45" s="595"/>
      <c r="LEV45" s="595"/>
      <c r="LEW45" s="595"/>
      <c r="LEX45" s="595"/>
      <c r="LEY45" s="595"/>
      <c r="LEZ45" s="595"/>
      <c r="LFA45" s="595"/>
      <c r="LFB45" s="595"/>
      <c r="LFC45" s="595"/>
      <c r="LFD45" s="595"/>
      <c r="LFE45" s="595"/>
      <c r="LFF45" s="595"/>
      <c r="LFG45" s="595"/>
      <c r="LFH45" s="595"/>
      <c r="LFI45" s="595"/>
      <c r="LFJ45" s="595"/>
      <c r="LFK45" s="595"/>
      <c r="LFL45" s="595"/>
      <c r="LFM45" s="595"/>
      <c r="LFN45" s="595"/>
      <c r="LFO45" s="595"/>
      <c r="LFP45" s="595"/>
      <c r="LFQ45" s="595"/>
      <c r="LFR45" s="595"/>
      <c r="LFS45" s="595"/>
      <c r="LFT45" s="595"/>
      <c r="LFU45" s="595"/>
      <c r="LFV45" s="595"/>
      <c r="LFW45" s="595"/>
      <c r="LFX45" s="595"/>
      <c r="LFY45" s="595"/>
      <c r="LFZ45" s="595"/>
      <c r="LGA45" s="595"/>
      <c r="LGB45" s="595"/>
      <c r="LGC45" s="595"/>
      <c r="LGD45" s="595"/>
      <c r="LGE45" s="595"/>
      <c r="LGF45" s="595"/>
      <c r="LGG45" s="595"/>
      <c r="LGH45" s="595"/>
      <c r="LGI45" s="595"/>
      <c r="LGJ45" s="595"/>
      <c r="LGK45" s="595"/>
      <c r="LGL45" s="595"/>
      <c r="LGM45" s="595"/>
      <c r="LGN45" s="595"/>
      <c r="LGO45" s="595"/>
      <c r="LGP45" s="595"/>
      <c r="LGQ45" s="595"/>
      <c r="LGR45" s="595"/>
      <c r="LGS45" s="595"/>
      <c r="LGT45" s="595"/>
      <c r="LGU45" s="595"/>
      <c r="LGV45" s="595"/>
      <c r="LGW45" s="595"/>
      <c r="LGX45" s="595"/>
      <c r="LGY45" s="595"/>
      <c r="LGZ45" s="595"/>
      <c r="LHA45" s="595"/>
      <c r="LHB45" s="595"/>
      <c r="LHC45" s="595"/>
      <c r="LHD45" s="595"/>
      <c r="LHE45" s="595"/>
      <c r="LHF45" s="595"/>
      <c r="LHG45" s="595"/>
      <c r="LHH45" s="595"/>
      <c r="LHI45" s="595"/>
      <c r="LHJ45" s="595"/>
      <c r="LHK45" s="595"/>
      <c r="LHL45" s="595"/>
      <c r="LHM45" s="595"/>
      <c r="LHN45" s="595"/>
      <c r="LHO45" s="595"/>
      <c r="LHP45" s="595"/>
      <c r="LHQ45" s="595"/>
      <c r="LHR45" s="595"/>
      <c r="LHS45" s="595"/>
      <c r="LHT45" s="595"/>
      <c r="LHU45" s="595"/>
      <c r="LHV45" s="595"/>
      <c r="LHW45" s="595"/>
      <c r="LHX45" s="595"/>
      <c r="LHY45" s="595"/>
      <c r="LHZ45" s="595"/>
      <c r="LIA45" s="595"/>
      <c r="LIB45" s="595"/>
      <c r="LIC45" s="595"/>
      <c r="LID45" s="595"/>
      <c r="LIE45" s="595"/>
      <c r="LIF45" s="595"/>
      <c r="LIG45" s="595"/>
      <c r="LIH45" s="595"/>
      <c r="LII45" s="595"/>
      <c r="LIJ45" s="595"/>
      <c r="LIK45" s="595"/>
      <c r="LIL45" s="595"/>
      <c r="LIM45" s="595"/>
      <c r="LIN45" s="595"/>
      <c r="LIO45" s="595"/>
      <c r="LIP45" s="595"/>
      <c r="LIQ45" s="595"/>
      <c r="LIR45" s="595"/>
      <c r="LIS45" s="595"/>
      <c r="LIT45" s="595"/>
      <c r="LIU45" s="595"/>
      <c r="LIV45" s="595"/>
      <c r="LIW45" s="595"/>
      <c r="LIX45" s="595"/>
      <c r="LIY45" s="595"/>
      <c r="LIZ45" s="595"/>
      <c r="LJA45" s="595"/>
      <c r="LJB45" s="595"/>
      <c r="LJC45" s="595"/>
      <c r="LJD45" s="595"/>
      <c r="LJE45" s="595"/>
      <c r="LJF45" s="595"/>
      <c r="LJG45" s="595"/>
      <c r="LJH45" s="595"/>
      <c r="LJI45" s="595"/>
      <c r="LJJ45" s="595"/>
      <c r="LJK45" s="595"/>
      <c r="LJL45" s="595"/>
      <c r="LJM45" s="595"/>
      <c r="LJN45" s="595"/>
      <c r="LJO45" s="595"/>
      <c r="LJP45" s="595"/>
      <c r="LJQ45" s="595"/>
      <c r="LJR45" s="595"/>
      <c r="LJS45" s="595"/>
      <c r="LJT45" s="595"/>
      <c r="LJU45" s="595"/>
      <c r="LJV45" s="595"/>
      <c r="LJW45" s="595"/>
      <c r="LJX45" s="595"/>
      <c r="LJY45" s="595"/>
      <c r="LJZ45" s="595"/>
      <c r="LKA45" s="595"/>
      <c r="LKB45" s="595"/>
      <c r="LKC45" s="595"/>
      <c r="LKD45" s="595"/>
      <c r="LKE45" s="595"/>
      <c r="LKF45" s="595"/>
      <c r="LKG45" s="595"/>
      <c r="LKH45" s="595"/>
      <c r="LKI45" s="595"/>
      <c r="LKJ45" s="595"/>
      <c r="LKK45" s="595"/>
      <c r="LKL45" s="595"/>
      <c r="LKM45" s="595"/>
      <c r="LKN45" s="595"/>
      <c r="LKO45" s="595"/>
      <c r="LKP45" s="595"/>
      <c r="LKQ45" s="595"/>
      <c r="LKR45" s="595"/>
      <c r="LKS45" s="595"/>
      <c r="LKT45" s="595"/>
      <c r="LKU45" s="595"/>
      <c r="LKV45" s="595"/>
      <c r="LKW45" s="595"/>
      <c r="LKX45" s="595"/>
      <c r="LKY45" s="595"/>
      <c r="LKZ45" s="595"/>
      <c r="LLA45" s="595"/>
      <c r="LLB45" s="595"/>
      <c r="LLC45" s="595"/>
      <c r="LLD45" s="595"/>
      <c r="LLE45" s="595"/>
      <c r="LLF45" s="595"/>
      <c r="LLG45" s="595"/>
      <c r="LLH45" s="595"/>
      <c r="LLI45" s="595"/>
      <c r="LLJ45" s="595"/>
      <c r="LLK45" s="595"/>
      <c r="LLL45" s="595"/>
      <c r="LLM45" s="595"/>
      <c r="LLN45" s="595"/>
      <c r="LLO45" s="595"/>
      <c r="LLP45" s="595"/>
      <c r="LLQ45" s="595"/>
      <c r="LLR45" s="595"/>
      <c r="LLS45" s="595"/>
      <c r="LLT45" s="595"/>
      <c r="LLU45" s="595"/>
      <c r="LLV45" s="595"/>
      <c r="LLW45" s="595"/>
      <c r="LLX45" s="595"/>
      <c r="LLY45" s="595"/>
      <c r="LLZ45" s="595"/>
      <c r="LMA45" s="595"/>
      <c r="LMB45" s="595"/>
      <c r="LMC45" s="595"/>
      <c r="LMD45" s="595"/>
      <c r="LME45" s="595"/>
      <c r="LMF45" s="595"/>
      <c r="LMG45" s="595"/>
      <c r="LMH45" s="595"/>
      <c r="LMI45" s="595"/>
      <c r="LMJ45" s="595"/>
      <c r="LMK45" s="595"/>
      <c r="LML45" s="595"/>
      <c r="LMM45" s="595"/>
      <c r="LMN45" s="595"/>
      <c r="LMO45" s="595"/>
      <c r="LMP45" s="595"/>
      <c r="LMQ45" s="595"/>
      <c r="LMR45" s="595"/>
      <c r="LMS45" s="595"/>
      <c r="LMT45" s="595"/>
      <c r="LMU45" s="595"/>
      <c r="LMV45" s="595"/>
      <c r="LMW45" s="595"/>
      <c r="LMX45" s="595"/>
      <c r="LMY45" s="595"/>
      <c r="LMZ45" s="595"/>
      <c r="LNA45" s="595"/>
      <c r="LNB45" s="595"/>
      <c r="LNC45" s="595"/>
      <c r="LND45" s="595"/>
      <c r="LNE45" s="595"/>
      <c r="LNF45" s="595"/>
      <c r="LNG45" s="595"/>
      <c r="LNH45" s="595"/>
      <c r="LNI45" s="595"/>
      <c r="LNJ45" s="595"/>
      <c r="LNK45" s="595"/>
      <c r="LNL45" s="595"/>
      <c r="LNM45" s="595"/>
      <c r="LNN45" s="595"/>
      <c r="LNO45" s="595"/>
      <c r="LNP45" s="595"/>
      <c r="LNQ45" s="595"/>
      <c r="LNR45" s="595"/>
      <c r="LNS45" s="595"/>
      <c r="LNT45" s="595"/>
      <c r="LNU45" s="595"/>
      <c r="LNV45" s="595"/>
      <c r="LNW45" s="595"/>
      <c r="LNX45" s="595"/>
      <c r="LNY45" s="595"/>
      <c r="LNZ45" s="595"/>
      <c r="LOA45" s="595"/>
      <c r="LOB45" s="595"/>
      <c r="LOC45" s="595"/>
      <c r="LOD45" s="595"/>
      <c r="LOE45" s="595"/>
      <c r="LOF45" s="595"/>
      <c r="LOG45" s="595"/>
      <c r="LOH45" s="595"/>
      <c r="LOI45" s="595"/>
      <c r="LOJ45" s="595"/>
      <c r="LOK45" s="595"/>
      <c r="LOL45" s="595"/>
      <c r="LOM45" s="595"/>
      <c r="LON45" s="595"/>
      <c r="LOO45" s="595"/>
      <c r="LOP45" s="595"/>
      <c r="LOQ45" s="595"/>
      <c r="LOR45" s="595"/>
      <c r="LOS45" s="595"/>
      <c r="LOT45" s="595"/>
      <c r="LOU45" s="595"/>
      <c r="LOV45" s="595"/>
      <c r="LOW45" s="595"/>
      <c r="LOX45" s="595"/>
      <c r="LOY45" s="595"/>
      <c r="LOZ45" s="595"/>
      <c r="LPA45" s="595"/>
      <c r="LPB45" s="595"/>
      <c r="LPC45" s="595"/>
      <c r="LPD45" s="595"/>
      <c r="LPE45" s="595"/>
      <c r="LPF45" s="595"/>
      <c r="LPG45" s="595"/>
      <c r="LPH45" s="595"/>
      <c r="LPI45" s="595"/>
      <c r="LPJ45" s="595"/>
      <c r="LPK45" s="595"/>
      <c r="LPL45" s="595"/>
      <c r="LPM45" s="595"/>
      <c r="LPN45" s="595"/>
      <c r="LPO45" s="595"/>
      <c r="LPP45" s="595"/>
      <c r="LPQ45" s="595"/>
      <c r="LPR45" s="595"/>
      <c r="LPS45" s="595"/>
      <c r="LPT45" s="595"/>
      <c r="LPU45" s="595"/>
      <c r="LPV45" s="595"/>
      <c r="LPW45" s="595"/>
      <c r="LPX45" s="595"/>
      <c r="LPY45" s="595"/>
      <c r="LPZ45" s="595"/>
      <c r="LQA45" s="595"/>
      <c r="LQB45" s="595"/>
      <c r="LQC45" s="595"/>
      <c r="LQD45" s="595"/>
      <c r="LQE45" s="595"/>
      <c r="LQF45" s="595"/>
      <c r="LQG45" s="595"/>
      <c r="LQH45" s="595"/>
      <c r="LQI45" s="595"/>
      <c r="LQJ45" s="595"/>
      <c r="LQK45" s="595"/>
      <c r="LQL45" s="595"/>
      <c r="LQM45" s="595"/>
      <c r="LQN45" s="595"/>
      <c r="LQO45" s="595"/>
      <c r="LQP45" s="595"/>
      <c r="LQQ45" s="595"/>
      <c r="LQR45" s="595"/>
      <c r="LQS45" s="595"/>
      <c r="LQT45" s="595"/>
      <c r="LQU45" s="595"/>
      <c r="LQV45" s="595"/>
      <c r="LQW45" s="595"/>
      <c r="LQX45" s="595"/>
      <c r="LQY45" s="595"/>
      <c r="LQZ45" s="595"/>
      <c r="LRA45" s="595"/>
      <c r="LRB45" s="595"/>
      <c r="LRC45" s="595"/>
      <c r="LRD45" s="595"/>
      <c r="LRE45" s="595"/>
      <c r="LRF45" s="595"/>
      <c r="LRG45" s="595"/>
      <c r="LRH45" s="595"/>
      <c r="LRI45" s="595"/>
      <c r="LRJ45" s="595"/>
      <c r="LRK45" s="595"/>
      <c r="LRL45" s="595"/>
      <c r="LRM45" s="595"/>
      <c r="LRN45" s="595"/>
      <c r="LRO45" s="595"/>
      <c r="LRP45" s="595"/>
      <c r="LRQ45" s="595"/>
      <c r="LRR45" s="595"/>
      <c r="LRS45" s="595"/>
      <c r="LRT45" s="595"/>
      <c r="LRU45" s="595"/>
      <c r="LRV45" s="595"/>
      <c r="LRW45" s="595"/>
      <c r="LRX45" s="595"/>
      <c r="LRY45" s="595"/>
      <c r="LRZ45" s="595"/>
      <c r="LSA45" s="595"/>
      <c r="LSB45" s="595"/>
      <c r="LSC45" s="595"/>
      <c r="LSD45" s="595"/>
      <c r="LSE45" s="595"/>
      <c r="LSF45" s="595"/>
      <c r="LSG45" s="595"/>
      <c r="LSH45" s="595"/>
      <c r="LSI45" s="595"/>
      <c r="LSJ45" s="595"/>
      <c r="LSK45" s="595"/>
      <c r="LSL45" s="595"/>
      <c r="LSM45" s="595"/>
      <c r="LSN45" s="595"/>
      <c r="LSO45" s="595"/>
      <c r="LSP45" s="595"/>
      <c r="LSQ45" s="595"/>
      <c r="LSR45" s="595"/>
      <c r="LSS45" s="595"/>
      <c r="LST45" s="595"/>
      <c r="LSU45" s="595"/>
      <c r="LSV45" s="595"/>
      <c r="LSW45" s="595"/>
      <c r="LSX45" s="595"/>
      <c r="LSY45" s="595"/>
      <c r="LSZ45" s="595"/>
      <c r="LTA45" s="595"/>
      <c r="LTB45" s="595"/>
      <c r="LTC45" s="595"/>
      <c r="LTD45" s="595"/>
      <c r="LTE45" s="595"/>
      <c r="LTF45" s="595"/>
      <c r="LTG45" s="595"/>
      <c r="LTH45" s="595"/>
      <c r="LTI45" s="595"/>
      <c r="LTJ45" s="595"/>
      <c r="LTK45" s="595"/>
      <c r="LTL45" s="595"/>
      <c r="LTM45" s="595"/>
      <c r="LTN45" s="595"/>
      <c r="LTO45" s="595"/>
      <c r="LTP45" s="595"/>
      <c r="LTQ45" s="595"/>
      <c r="LTR45" s="595"/>
      <c r="LTS45" s="595"/>
      <c r="LTT45" s="595"/>
      <c r="LTU45" s="595"/>
      <c r="LTV45" s="595"/>
      <c r="LTW45" s="595"/>
      <c r="LTX45" s="595"/>
      <c r="LTY45" s="595"/>
      <c r="LTZ45" s="595"/>
      <c r="LUA45" s="595"/>
      <c r="LUB45" s="595"/>
      <c r="LUC45" s="595"/>
      <c r="LUD45" s="595"/>
      <c r="LUE45" s="595"/>
      <c r="LUF45" s="595"/>
      <c r="LUG45" s="595"/>
      <c r="LUH45" s="595"/>
      <c r="LUI45" s="595"/>
      <c r="LUJ45" s="595"/>
      <c r="LUK45" s="595"/>
      <c r="LUL45" s="595"/>
      <c r="LUM45" s="595"/>
      <c r="LUN45" s="595"/>
      <c r="LUO45" s="595"/>
      <c r="LUP45" s="595"/>
      <c r="LUQ45" s="595"/>
      <c r="LUR45" s="595"/>
      <c r="LUS45" s="595"/>
      <c r="LUT45" s="595"/>
      <c r="LUU45" s="595"/>
      <c r="LUV45" s="595"/>
      <c r="LUW45" s="595"/>
      <c r="LUX45" s="595"/>
      <c r="LUY45" s="595"/>
      <c r="LUZ45" s="595"/>
      <c r="LVA45" s="595"/>
      <c r="LVB45" s="595"/>
      <c r="LVC45" s="595"/>
      <c r="LVD45" s="595"/>
      <c r="LVE45" s="595"/>
      <c r="LVF45" s="595"/>
      <c r="LVG45" s="595"/>
      <c r="LVH45" s="595"/>
      <c r="LVI45" s="595"/>
      <c r="LVJ45" s="595"/>
      <c r="LVK45" s="595"/>
      <c r="LVL45" s="595"/>
      <c r="LVM45" s="595"/>
      <c r="LVN45" s="595"/>
      <c r="LVO45" s="595"/>
      <c r="LVP45" s="595"/>
      <c r="LVQ45" s="595"/>
      <c r="LVR45" s="595"/>
      <c r="LVS45" s="595"/>
      <c r="LVT45" s="595"/>
      <c r="LVU45" s="595"/>
      <c r="LVV45" s="595"/>
      <c r="LVW45" s="595"/>
      <c r="LVX45" s="595"/>
      <c r="LVY45" s="595"/>
      <c r="LVZ45" s="595"/>
      <c r="LWA45" s="595"/>
      <c r="LWB45" s="595"/>
      <c r="LWC45" s="595"/>
      <c r="LWD45" s="595"/>
      <c r="LWE45" s="595"/>
      <c r="LWF45" s="595"/>
      <c r="LWG45" s="595"/>
      <c r="LWH45" s="595"/>
      <c r="LWI45" s="595"/>
      <c r="LWJ45" s="595"/>
      <c r="LWK45" s="595"/>
      <c r="LWL45" s="595"/>
      <c r="LWM45" s="595"/>
      <c r="LWN45" s="595"/>
      <c r="LWO45" s="595"/>
      <c r="LWP45" s="595"/>
      <c r="LWQ45" s="595"/>
      <c r="LWR45" s="595"/>
      <c r="LWS45" s="595"/>
      <c r="LWT45" s="595"/>
      <c r="LWU45" s="595"/>
      <c r="LWV45" s="595"/>
      <c r="LWW45" s="595"/>
      <c r="LWX45" s="595"/>
      <c r="LWY45" s="595"/>
      <c r="LWZ45" s="595"/>
      <c r="LXA45" s="595"/>
      <c r="LXB45" s="595"/>
      <c r="LXC45" s="595"/>
      <c r="LXD45" s="595"/>
      <c r="LXE45" s="595"/>
      <c r="LXF45" s="595"/>
      <c r="LXG45" s="595"/>
      <c r="LXH45" s="595"/>
      <c r="LXI45" s="595"/>
      <c r="LXJ45" s="595"/>
      <c r="LXK45" s="595"/>
      <c r="LXL45" s="595"/>
      <c r="LXM45" s="595"/>
      <c r="LXN45" s="595"/>
      <c r="LXO45" s="595"/>
      <c r="LXP45" s="595"/>
      <c r="LXQ45" s="595"/>
      <c r="LXR45" s="595"/>
      <c r="LXS45" s="595"/>
      <c r="LXT45" s="595"/>
      <c r="LXU45" s="595"/>
      <c r="LXV45" s="595"/>
      <c r="LXW45" s="595"/>
      <c r="LXX45" s="595"/>
      <c r="LXY45" s="595"/>
      <c r="LXZ45" s="595"/>
      <c r="LYA45" s="595"/>
      <c r="LYB45" s="595"/>
      <c r="LYC45" s="595"/>
      <c r="LYD45" s="595"/>
      <c r="LYE45" s="595"/>
      <c r="LYF45" s="595"/>
      <c r="LYG45" s="595"/>
      <c r="LYH45" s="595"/>
      <c r="LYI45" s="595"/>
      <c r="LYJ45" s="595"/>
      <c r="LYK45" s="595"/>
      <c r="LYL45" s="595"/>
      <c r="LYM45" s="595"/>
      <c r="LYN45" s="595"/>
      <c r="LYO45" s="595"/>
      <c r="LYP45" s="595"/>
      <c r="LYQ45" s="595"/>
      <c r="LYR45" s="595"/>
      <c r="LYS45" s="595"/>
      <c r="LYT45" s="595"/>
      <c r="LYU45" s="595"/>
      <c r="LYV45" s="595"/>
      <c r="LYW45" s="595"/>
      <c r="LYX45" s="595"/>
      <c r="LYY45" s="595"/>
      <c r="LYZ45" s="595"/>
      <c r="LZA45" s="595"/>
      <c r="LZB45" s="595"/>
      <c r="LZC45" s="595"/>
      <c r="LZD45" s="595"/>
      <c r="LZE45" s="595"/>
      <c r="LZF45" s="595"/>
      <c r="LZG45" s="595"/>
      <c r="LZH45" s="595"/>
      <c r="LZI45" s="595"/>
      <c r="LZJ45" s="595"/>
      <c r="LZK45" s="595"/>
      <c r="LZL45" s="595"/>
      <c r="LZM45" s="595"/>
      <c r="LZN45" s="595"/>
      <c r="LZO45" s="595"/>
      <c r="LZP45" s="595"/>
      <c r="LZQ45" s="595"/>
      <c r="LZR45" s="595"/>
      <c r="LZS45" s="595"/>
      <c r="LZT45" s="595"/>
      <c r="LZU45" s="595"/>
      <c r="LZV45" s="595"/>
      <c r="LZW45" s="595"/>
      <c r="LZX45" s="595"/>
      <c r="LZY45" s="595"/>
      <c r="LZZ45" s="595"/>
      <c r="MAA45" s="595"/>
      <c r="MAB45" s="595"/>
      <c r="MAC45" s="595"/>
      <c r="MAD45" s="595"/>
      <c r="MAE45" s="595"/>
      <c r="MAF45" s="595"/>
      <c r="MAG45" s="595"/>
      <c r="MAH45" s="595"/>
      <c r="MAI45" s="595"/>
      <c r="MAJ45" s="595"/>
      <c r="MAK45" s="595"/>
      <c r="MAL45" s="595"/>
      <c r="MAM45" s="595"/>
      <c r="MAN45" s="595"/>
      <c r="MAO45" s="595"/>
      <c r="MAP45" s="595"/>
      <c r="MAQ45" s="595"/>
      <c r="MAR45" s="595"/>
      <c r="MAS45" s="595"/>
      <c r="MAT45" s="595"/>
      <c r="MAU45" s="595"/>
      <c r="MAV45" s="595"/>
      <c r="MAW45" s="595"/>
      <c r="MAX45" s="595"/>
      <c r="MAY45" s="595"/>
      <c r="MAZ45" s="595"/>
      <c r="MBA45" s="595"/>
      <c r="MBB45" s="595"/>
      <c r="MBC45" s="595"/>
      <c r="MBD45" s="595"/>
      <c r="MBE45" s="595"/>
      <c r="MBF45" s="595"/>
      <c r="MBG45" s="595"/>
      <c r="MBH45" s="595"/>
      <c r="MBI45" s="595"/>
      <c r="MBJ45" s="595"/>
      <c r="MBK45" s="595"/>
      <c r="MBL45" s="595"/>
      <c r="MBM45" s="595"/>
      <c r="MBN45" s="595"/>
      <c r="MBO45" s="595"/>
      <c r="MBP45" s="595"/>
      <c r="MBQ45" s="595"/>
      <c r="MBR45" s="595"/>
      <c r="MBS45" s="595"/>
      <c r="MBT45" s="595"/>
      <c r="MBU45" s="595"/>
      <c r="MBV45" s="595"/>
      <c r="MBW45" s="595"/>
      <c r="MBX45" s="595"/>
      <c r="MBY45" s="595"/>
      <c r="MBZ45" s="595"/>
      <c r="MCA45" s="595"/>
      <c r="MCB45" s="595"/>
      <c r="MCC45" s="595"/>
      <c r="MCD45" s="595"/>
      <c r="MCE45" s="595"/>
      <c r="MCF45" s="595"/>
      <c r="MCG45" s="595"/>
      <c r="MCH45" s="595"/>
      <c r="MCI45" s="595"/>
      <c r="MCJ45" s="595"/>
      <c r="MCK45" s="595"/>
      <c r="MCL45" s="595"/>
      <c r="MCM45" s="595"/>
      <c r="MCN45" s="595"/>
      <c r="MCO45" s="595"/>
      <c r="MCP45" s="595"/>
      <c r="MCQ45" s="595"/>
      <c r="MCR45" s="595"/>
      <c r="MCS45" s="595"/>
      <c r="MCT45" s="595"/>
      <c r="MCU45" s="595"/>
      <c r="MCV45" s="595"/>
      <c r="MCW45" s="595"/>
      <c r="MCX45" s="595"/>
      <c r="MCY45" s="595"/>
      <c r="MCZ45" s="595"/>
      <c r="MDA45" s="595"/>
      <c r="MDB45" s="595"/>
      <c r="MDC45" s="595"/>
      <c r="MDD45" s="595"/>
      <c r="MDE45" s="595"/>
      <c r="MDF45" s="595"/>
      <c r="MDG45" s="595"/>
      <c r="MDH45" s="595"/>
      <c r="MDI45" s="595"/>
      <c r="MDJ45" s="595"/>
      <c r="MDK45" s="595"/>
      <c r="MDL45" s="595"/>
      <c r="MDM45" s="595"/>
      <c r="MDN45" s="595"/>
      <c r="MDO45" s="595"/>
      <c r="MDP45" s="595"/>
      <c r="MDQ45" s="595"/>
      <c r="MDR45" s="595"/>
      <c r="MDS45" s="595"/>
      <c r="MDT45" s="595"/>
      <c r="MDU45" s="595"/>
      <c r="MDV45" s="595"/>
      <c r="MDW45" s="595"/>
      <c r="MDX45" s="595"/>
      <c r="MDY45" s="595"/>
      <c r="MDZ45" s="595"/>
      <c r="MEA45" s="595"/>
      <c r="MEB45" s="595"/>
      <c r="MEC45" s="595"/>
      <c r="MED45" s="595"/>
      <c r="MEE45" s="595"/>
      <c r="MEF45" s="595"/>
      <c r="MEG45" s="595"/>
      <c r="MEH45" s="595"/>
      <c r="MEI45" s="595"/>
      <c r="MEJ45" s="595"/>
      <c r="MEK45" s="595"/>
      <c r="MEL45" s="595"/>
      <c r="MEM45" s="595"/>
      <c r="MEN45" s="595"/>
      <c r="MEO45" s="595"/>
      <c r="MEP45" s="595"/>
      <c r="MEQ45" s="595"/>
      <c r="MER45" s="595"/>
      <c r="MES45" s="595"/>
      <c r="MET45" s="595"/>
      <c r="MEU45" s="595"/>
      <c r="MEV45" s="595"/>
      <c r="MEW45" s="595"/>
      <c r="MEX45" s="595"/>
      <c r="MEY45" s="595"/>
      <c r="MEZ45" s="595"/>
      <c r="MFA45" s="595"/>
      <c r="MFB45" s="595"/>
      <c r="MFC45" s="595"/>
      <c r="MFD45" s="595"/>
      <c r="MFE45" s="595"/>
      <c r="MFF45" s="595"/>
      <c r="MFG45" s="595"/>
      <c r="MFH45" s="595"/>
      <c r="MFI45" s="595"/>
      <c r="MFJ45" s="595"/>
      <c r="MFK45" s="595"/>
      <c r="MFL45" s="595"/>
      <c r="MFM45" s="595"/>
      <c r="MFN45" s="595"/>
      <c r="MFO45" s="595"/>
      <c r="MFP45" s="595"/>
      <c r="MFQ45" s="595"/>
      <c r="MFR45" s="595"/>
      <c r="MFS45" s="595"/>
      <c r="MFT45" s="595"/>
      <c r="MFU45" s="595"/>
      <c r="MFV45" s="595"/>
      <c r="MFW45" s="595"/>
      <c r="MFX45" s="595"/>
      <c r="MFY45" s="595"/>
      <c r="MFZ45" s="595"/>
      <c r="MGA45" s="595"/>
      <c r="MGB45" s="595"/>
      <c r="MGC45" s="595"/>
      <c r="MGD45" s="595"/>
      <c r="MGE45" s="595"/>
      <c r="MGF45" s="595"/>
      <c r="MGG45" s="595"/>
      <c r="MGH45" s="595"/>
      <c r="MGI45" s="595"/>
      <c r="MGJ45" s="595"/>
      <c r="MGK45" s="595"/>
      <c r="MGL45" s="595"/>
      <c r="MGM45" s="595"/>
      <c r="MGN45" s="595"/>
      <c r="MGO45" s="595"/>
      <c r="MGP45" s="595"/>
      <c r="MGQ45" s="595"/>
      <c r="MGR45" s="595"/>
      <c r="MGS45" s="595"/>
      <c r="MGT45" s="595"/>
      <c r="MGU45" s="595"/>
      <c r="MGV45" s="595"/>
      <c r="MGW45" s="595"/>
      <c r="MGX45" s="595"/>
      <c r="MGY45" s="595"/>
      <c r="MGZ45" s="595"/>
      <c r="MHA45" s="595"/>
      <c r="MHB45" s="595"/>
      <c r="MHC45" s="595"/>
      <c r="MHD45" s="595"/>
      <c r="MHE45" s="595"/>
      <c r="MHF45" s="595"/>
      <c r="MHG45" s="595"/>
      <c r="MHH45" s="595"/>
      <c r="MHI45" s="595"/>
      <c r="MHJ45" s="595"/>
      <c r="MHK45" s="595"/>
      <c r="MHL45" s="595"/>
      <c r="MHM45" s="595"/>
      <c r="MHN45" s="595"/>
      <c r="MHO45" s="595"/>
      <c r="MHP45" s="595"/>
      <c r="MHQ45" s="595"/>
      <c r="MHR45" s="595"/>
      <c r="MHS45" s="595"/>
      <c r="MHT45" s="595"/>
      <c r="MHU45" s="595"/>
      <c r="MHV45" s="595"/>
      <c r="MHW45" s="595"/>
      <c r="MHX45" s="595"/>
      <c r="MHY45" s="595"/>
      <c r="MHZ45" s="595"/>
      <c r="MIA45" s="595"/>
      <c r="MIB45" s="595"/>
      <c r="MIC45" s="595"/>
      <c r="MID45" s="595"/>
      <c r="MIE45" s="595"/>
      <c r="MIF45" s="595"/>
      <c r="MIG45" s="595"/>
      <c r="MIH45" s="595"/>
      <c r="MII45" s="595"/>
      <c r="MIJ45" s="595"/>
      <c r="MIK45" s="595"/>
      <c r="MIL45" s="595"/>
      <c r="MIM45" s="595"/>
      <c r="MIN45" s="595"/>
      <c r="MIO45" s="595"/>
      <c r="MIP45" s="595"/>
      <c r="MIQ45" s="595"/>
      <c r="MIR45" s="595"/>
      <c r="MIS45" s="595"/>
      <c r="MIT45" s="595"/>
      <c r="MIU45" s="595"/>
      <c r="MIV45" s="595"/>
      <c r="MIW45" s="595"/>
      <c r="MIX45" s="595"/>
      <c r="MIY45" s="595"/>
      <c r="MIZ45" s="595"/>
      <c r="MJA45" s="595"/>
      <c r="MJB45" s="595"/>
      <c r="MJC45" s="595"/>
      <c r="MJD45" s="595"/>
      <c r="MJE45" s="595"/>
      <c r="MJF45" s="595"/>
      <c r="MJG45" s="595"/>
      <c r="MJH45" s="595"/>
      <c r="MJI45" s="595"/>
      <c r="MJJ45" s="595"/>
      <c r="MJK45" s="595"/>
      <c r="MJL45" s="595"/>
      <c r="MJM45" s="595"/>
      <c r="MJN45" s="595"/>
      <c r="MJO45" s="595"/>
      <c r="MJP45" s="595"/>
      <c r="MJQ45" s="595"/>
      <c r="MJR45" s="595"/>
      <c r="MJS45" s="595"/>
      <c r="MJT45" s="595"/>
      <c r="MJU45" s="595"/>
      <c r="MJV45" s="595"/>
      <c r="MJW45" s="595"/>
      <c r="MJX45" s="595"/>
      <c r="MJY45" s="595"/>
      <c r="MJZ45" s="595"/>
      <c r="MKA45" s="595"/>
      <c r="MKB45" s="595"/>
      <c r="MKC45" s="595"/>
      <c r="MKD45" s="595"/>
      <c r="MKE45" s="595"/>
      <c r="MKF45" s="595"/>
      <c r="MKG45" s="595"/>
      <c r="MKH45" s="595"/>
      <c r="MKI45" s="595"/>
      <c r="MKJ45" s="595"/>
      <c r="MKK45" s="595"/>
      <c r="MKL45" s="595"/>
      <c r="MKM45" s="595"/>
      <c r="MKN45" s="595"/>
      <c r="MKO45" s="595"/>
      <c r="MKP45" s="595"/>
      <c r="MKQ45" s="595"/>
      <c r="MKR45" s="595"/>
      <c r="MKS45" s="595"/>
      <c r="MKT45" s="595"/>
      <c r="MKU45" s="595"/>
      <c r="MKV45" s="595"/>
      <c r="MKW45" s="595"/>
      <c r="MKX45" s="595"/>
      <c r="MKY45" s="595"/>
      <c r="MKZ45" s="595"/>
      <c r="MLA45" s="595"/>
      <c r="MLB45" s="595"/>
      <c r="MLC45" s="595"/>
      <c r="MLD45" s="595"/>
      <c r="MLE45" s="595"/>
      <c r="MLF45" s="595"/>
      <c r="MLG45" s="595"/>
      <c r="MLH45" s="595"/>
      <c r="MLI45" s="595"/>
      <c r="MLJ45" s="595"/>
      <c r="MLK45" s="595"/>
      <c r="MLL45" s="595"/>
      <c r="MLM45" s="595"/>
      <c r="MLN45" s="595"/>
      <c r="MLO45" s="595"/>
      <c r="MLP45" s="595"/>
      <c r="MLQ45" s="595"/>
      <c r="MLR45" s="595"/>
      <c r="MLS45" s="595"/>
      <c r="MLT45" s="595"/>
      <c r="MLU45" s="595"/>
      <c r="MLV45" s="595"/>
      <c r="MLW45" s="595"/>
      <c r="MLX45" s="595"/>
      <c r="MLY45" s="595"/>
      <c r="MLZ45" s="595"/>
      <c r="MMA45" s="595"/>
      <c r="MMB45" s="595"/>
      <c r="MMC45" s="595"/>
      <c r="MMD45" s="595"/>
      <c r="MME45" s="595"/>
      <c r="MMF45" s="595"/>
      <c r="MMG45" s="595"/>
      <c r="MMH45" s="595"/>
      <c r="MMI45" s="595"/>
      <c r="MMJ45" s="595"/>
      <c r="MMK45" s="595"/>
      <c r="MML45" s="595"/>
      <c r="MMM45" s="595"/>
      <c r="MMN45" s="595"/>
      <c r="MMO45" s="595"/>
      <c r="MMP45" s="595"/>
      <c r="MMQ45" s="595"/>
      <c r="MMR45" s="595"/>
      <c r="MMS45" s="595"/>
      <c r="MMT45" s="595"/>
      <c r="MMU45" s="595"/>
      <c r="MMV45" s="595"/>
      <c r="MMW45" s="595"/>
      <c r="MMX45" s="595"/>
      <c r="MMY45" s="595"/>
      <c r="MMZ45" s="595"/>
      <c r="MNA45" s="595"/>
      <c r="MNB45" s="595"/>
      <c r="MNC45" s="595"/>
      <c r="MND45" s="595"/>
      <c r="MNE45" s="595"/>
      <c r="MNF45" s="595"/>
      <c r="MNG45" s="595"/>
      <c r="MNH45" s="595"/>
      <c r="MNI45" s="595"/>
      <c r="MNJ45" s="595"/>
      <c r="MNK45" s="595"/>
      <c r="MNL45" s="595"/>
      <c r="MNM45" s="595"/>
      <c r="MNN45" s="595"/>
      <c r="MNO45" s="595"/>
      <c r="MNP45" s="595"/>
      <c r="MNQ45" s="595"/>
      <c r="MNR45" s="595"/>
      <c r="MNS45" s="595"/>
      <c r="MNT45" s="595"/>
      <c r="MNU45" s="595"/>
      <c r="MNV45" s="595"/>
      <c r="MNW45" s="595"/>
      <c r="MNX45" s="595"/>
      <c r="MNY45" s="595"/>
      <c r="MNZ45" s="595"/>
      <c r="MOA45" s="595"/>
      <c r="MOB45" s="595"/>
      <c r="MOC45" s="595"/>
      <c r="MOD45" s="595"/>
      <c r="MOE45" s="595"/>
      <c r="MOF45" s="595"/>
      <c r="MOG45" s="595"/>
      <c r="MOH45" s="595"/>
      <c r="MOI45" s="595"/>
      <c r="MOJ45" s="595"/>
      <c r="MOK45" s="595"/>
      <c r="MOL45" s="595"/>
      <c r="MOM45" s="595"/>
      <c r="MON45" s="595"/>
      <c r="MOO45" s="595"/>
      <c r="MOP45" s="595"/>
      <c r="MOQ45" s="595"/>
      <c r="MOR45" s="595"/>
      <c r="MOS45" s="595"/>
      <c r="MOT45" s="595"/>
      <c r="MOU45" s="595"/>
      <c r="MOV45" s="595"/>
      <c r="MOW45" s="595"/>
      <c r="MOX45" s="595"/>
      <c r="MOY45" s="595"/>
      <c r="MOZ45" s="595"/>
      <c r="MPA45" s="595"/>
      <c r="MPB45" s="595"/>
      <c r="MPC45" s="595"/>
      <c r="MPD45" s="595"/>
      <c r="MPE45" s="595"/>
      <c r="MPF45" s="595"/>
      <c r="MPG45" s="595"/>
      <c r="MPH45" s="595"/>
      <c r="MPI45" s="595"/>
      <c r="MPJ45" s="595"/>
      <c r="MPK45" s="595"/>
      <c r="MPL45" s="595"/>
      <c r="MPM45" s="595"/>
      <c r="MPN45" s="595"/>
      <c r="MPO45" s="595"/>
      <c r="MPP45" s="595"/>
      <c r="MPQ45" s="595"/>
      <c r="MPR45" s="595"/>
      <c r="MPS45" s="595"/>
      <c r="MPT45" s="595"/>
      <c r="MPU45" s="595"/>
      <c r="MPV45" s="595"/>
      <c r="MPW45" s="595"/>
      <c r="MPX45" s="595"/>
      <c r="MPY45" s="595"/>
      <c r="MPZ45" s="595"/>
      <c r="MQA45" s="595"/>
      <c r="MQB45" s="595"/>
      <c r="MQC45" s="595"/>
      <c r="MQD45" s="595"/>
      <c r="MQE45" s="595"/>
      <c r="MQF45" s="595"/>
      <c r="MQG45" s="595"/>
      <c r="MQH45" s="595"/>
      <c r="MQI45" s="595"/>
      <c r="MQJ45" s="595"/>
      <c r="MQK45" s="595"/>
      <c r="MQL45" s="595"/>
      <c r="MQM45" s="595"/>
      <c r="MQN45" s="595"/>
      <c r="MQO45" s="595"/>
      <c r="MQP45" s="595"/>
      <c r="MQQ45" s="595"/>
      <c r="MQR45" s="595"/>
      <c r="MQS45" s="595"/>
      <c r="MQT45" s="595"/>
      <c r="MQU45" s="595"/>
      <c r="MQV45" s="595"/>
      <c r="MQW45" s="595"/>
      <c r="MQX45" s="595"/>
      <c r="MQY45" s="595"/>
      <c r="MQZ45" s="595"/>
      <c r="MRA45" s="595"/>
      <c r="MRB45" s="595"/>
      <c r="MRC45" s="595"/>
      <c r="MRD45" s="595"/>
      <c r="MRE45" s="595"/>
      <c r="MRF45" s="595"/>
      <c r="MRG45" s="595"/>
      <c r="MRH45" s="595"/>
      <c r="MRI45" s="595"/>
      <c r="MRJ45" s="595"/>
      <c r="MRK45" s="595"/>
      <c r="MRL45" s="595"/>
      <c r="MRM45" s="595"/>
      <c r="MRN45" s="595"/>
      <c r="MRO45" s="595"/>
      <c r="MRP45" s="595"/>
      <c r="MRQ45" s="595"/>
      <c r="MRR45" s="595"/>
      <c r="MRS45" s="595"/>
      <c r="MRT45" s="595"/>
      <c r="MRU45" s="595"/>
      <c r="MRV45" s="595"/>
      <c r="MRW45" s="595"/>
      <c r="MRX45" s="595"/>
      <c r="MRY45" s="595"/>
      <c r="MRZ45" s="595"/>
      <c r="MSA45" s="595"/>
      <c r="MSB45" s="595"/>
      <c r="MSC45" s="595"/>
      <c r="MSD45" s="595"/>
      <c r="MSE45" s="595"/>
      <c r="MSF45" s="595"/>
      <c r="MSG45" s="595"/>
      <c r="MSH45" s="595"/>
      <c r="MSI45" s="595"/>
      <c r="MSJ45" s="595"/>
      <c r="MSK45" s="595"/>
      <c r="MSL45" s="595"/>
      <c r="MSM45" s="595"/>
      <c r="MSN45" s="595"/>
      <c r="MSO45" s="595"/>
      <c r="MSP45" s="595"/>
      <c r="MSQ45" s="595"/>
      <c r="MSR45" s="595"/>
      <c r="MSS45" s="595"/>
      <c r="MST45" s="595"/>
      <c r="MSU45" s="595"/>
      <c r="MSV45" s="595"/>
      <c r="MSW45" s="595"/>
      <c r="MSX45" s="595"/>
      <c r="MSY45" s="595"/>
      <c r="MSZ45" s="595"/>
      <c r="MTA45" s="595"/>
      <c r="MTB45" s="595"/>
      <c r="MTC45" s="595"/>
      <c r="MTD45" s="595"/>
      <c r="MTE45" s="595"/>
      <c r="MTF45" s="595"/>
      <c r="MTG45" s="595"/>
      <c r="MTH45" s="595"/>
      <c r="MTI45" s="595"/>
      <c r="MTJ45" s="595"/>
      <c r="MTK45" s="595"/>
      <c r="MTL45" s="595"/>
      <c r="MTM45" s="595"/>
      <c r="MTN45" s="595"/>
      <c r="MTO45" s="595"/>
      <c r="MTP45" s="595"/>
      <c r="MTQ45" s="595"/>
      <c r="MTR45" s="595"/>
      <c r="MTS45" s="595"/>
      <c r="MTT45" s="595"/>
      <c r="MTU45" s="595"/>
      <c r="MTV45" s="595"/>
      <c r="MTW45" s="595"/>
      <c r="MTX45" s="595"/>
      <c r="MTY45" s="595"/>
      <c r="MTZ45" s="595"/>
      <c r="MUA45" s="595"/>
      <c r="MUB45" s="595"/>
      <c r="MUC45" s="595"/>
      <c r="MUD45" s="595"/>
      <c r="MUE45" s="595"/>
      <c r="MUF45" s="595"/>
      <c r="MUG45" s="595"/>
      <c r="MUH45" s="595"/>
      <c r="MUI45" s="595"/>
      <c r="MUJ45" s="595"/>
      <c r="MUK45" s="595"/>
      <c r="MUL45" s="595"/>
      <c r="MUM45" s="595"/>
      <c r="MUN45" s="595"/>
      <c r="MUO45" s="595"/>
      <c r="MUP45" s="595"/>
      <c r="MUQ45" s="595"/>
      <c r="MUR45" s="595"/>
      <c r="MUS45" s="595"/>
      <c r="MUT45" s="595"/>
      <c r="MUU45" s="595"/>
      <c r="MUV45" s="595"/>
      <c r="MUW45" s="595"/>
      <c r="MUX45" s="595"/>
      <c r="MUY45" s="595"/>
      <c r="MUZ45" s="595"/>
      <c r="MVA45" s="595"/>
      <c r="MVB45" s="595"/>
      <c r="MVC45" s="595"/>
      <c r="MVD45" s="595"/>
      <c r="MVE45" s="595"/>
      <c r="MVF45" s="595"/>
      <c r="MVG45" s="595"/>
      <c r="MVH45" s="595"/>
      <c r="MVI45" s="595"/>
      <c r="MVJ45" s="595"/>
      <c r="MVK45" s="595"/>
      <c r="MVL45" s="595"/>
      <c r="MVM45" s="595"/>
      <c r="MVN45" s="595"/>
      <c r="MVO45" s="595"/>
      <c r="MVP45" s="595"/>
      <c r="MVQ45" s="595"/>
      <c r="MVR45" s="595"/>
      <c r="MVS45" s="595"/>
      <c r="MVT45" s="595"/>
      <c r="MVU45" s="595"/>
      <c r="MVV45" s="595"/>
      <c r="MVW45" s="595"/>
      <c r="MVX45" s="595"/>
      <c r="MVY45" s="595"/>
      <c r="MVZ45" s="595"/>
      <c r="MWA45" s="595"/>
      <c r="MWB45" s="595"/>
      <c r="MWC45" s="595"/>
      <c r="MWD45" s="595"/>
      <c r="MWE45" s="595"/>
      <c r="MWF45" s="595"/>
      <c r="MWG45" s="595"/>
      <c r="MWH45" s="595"/>
      <c r="MWI45" s="595"/>
      <c r="MWJ45" s="595"/>
      <c r="MWK45" s="595"/>
      <c r="MWL45" s="595"/>
      <c r="MWM45" s="595"/>
      <c r="MWN45" s="595"/>
      <c r="MWO45" s="595"/>
      <c r="MWP45" s="595"/>
      <c r="MWQ45" s="595"/>
      <c r="MWR45" s="595"/>
      <c r="MWS45" s="595"/>
      <c r="MWT45" s="595"/>
      <c r="MWU45" s="595"/>
      <c r="MWV45" s="595"/>
      <c r="MWW45" s="595"/>
      <c r="MWX45" s="595"/>
      <c r="MWY45" s="595"/>
      <c r="MWZ45" s="595"/>
      <c r="MXA45" s="595"/>
      <c r="MXB45" s="595"/>
      <c r="MXC45" s="595"/>
      <c r="MXD45" s="595"/>
      <c r="MXE45" s="595"/>
      <c r="MXF45" s="595"/>
      <c r="MXG45" s="595"/>
      <c r="MXH45" s="595"/>
      <c r="MXI45" s="595"/>
      <c r="MXJ45" s="595"/>
      <c r="MXK45" s="595"/>
      <c r="MXL45" s="595"/>
      <c r="MXM45" s="595"/>
      <c r="MXN45" s="595"/>
      <c r="MXO45" s="595"/>
      <c r="MXP45" s="595"/>
      <c r="MXQ45" s="595"/>
      <c r="MXR45" s="595"/>
      <c r="MXS45" s="595"/>
      <c r="MXT45" s="595"/>
      <c r="MXU45" s="595"/>
      <c r="MXV45" s="595"/>
      <c r="MXW45" s="595"/>
      <c r="MXX45" s="595"/>
      <c r="MXY45" s="595"/>
      <c r="MXZ45" s="595"/>
      <c r="MYA45" s="595"/>
      <c r="MYB45" s="595"/>
      <c r="MYC45" s="595"/>
      <c r="MYD45" s="595"/>
      <c r="MYE45" s="595"/>
      <c r="MYF45" s="595"/>
      <c r="MYG45" s="595"/>
      <c r="MYH45" s="595"/>
      <c r="MYI45" s="595"/>
      <c r="MYJ45" s="595"/>
      <c r="MYK45" s="595"/>
      <c r="MYL45" s="595"/>
      <c r="MYM45" s="595"/>
      <c r="MYN45" s="595"/>
      <c r="MYO45" s="595"/>
      <c r="MYP45" s="595"/>
      <c r="MYQ45" s="595"/>
      <c r="MYR45" s="595"/>
      <c r="MYS45" s="595"/>
      <c r="MYT45" s="595"/>
      <c r="MYU45" s="595"/>
      <c r="MYV45" s="595"/>
      <c r="MYW45" s="595"/>
      <c r="MYX45" s="595"/>
      <c r="MYY45" s="595"/>
      <c r="MYZ45" s="595"/>
      <c r="MZA45" s="595"/>
      <c r="MZB45" s="595"/>
      <c r="MZC45" s="595"/>
      <c r="MZD45" s="595"/>
      <c r="MZE45" s="595"/>
      <c r="MZF45" s="595"/>
      <c r="MZG45" s="595"/>
      <c r="MZH45" s="595"/>
      <c r="MZI45" s="595"/>
      <c r="MZJ45" s="595"/>
      <c r="MZK45" s="595"/>
      <c r="MZL45" s="595"/>
      <c r="MZM45" s="595"/>
      <c r="MZN45" s="595"/>
      <c r="MZO45" s="595"/>
      <c r="MZP45" s="595"/>
      <c r="MZQ45" s="595"/>
      <c r="MZR45" s="595"/>
      <c r="MZS45" s="595"/>
      <c r="MZT45" s="595"/>
      <c r="MZU45" s="595"/>
      <c r="MZV45" s="595"/>
      <c r="MZW45" s="595"/>
      <c r="MZX45" s="595"/>
      <c r="MZY45" s="595"/>
      <c r="MZZ45" s="595"/>
      <c r="NAA45" s="595"/>
      <c r="NAB45" s="595"/>
      <c r="NAC45" s="595"/>
      <c r="NAD45" s="595"/>
      <c r="NAE45" s="595"/>
      <c r="NAF45" s="595"/>
      <c r="NAG45" s="595"/>
      <c r="NAH45" s="595"/>
      <c r="NAI45" s="595"/>
      <c r="NAJ45" s="595"/>
      <c r="NAK45" s="595"/>
      <c r="NAL45" s="595"/>
      <c r="NAM45" s="595"/>
      <c r="NAN45" s="595"/>
      <c r="NAO45" s="595"/>
      <c r="NAP45" s="595"/>
      <c r="NAQ45" s="595"/>
      <c r="NAR45" s="595"/>
      <c r="NAS45" s="595"/>
      <c r="NAT45" s="595"/>
      <c r="NAU45" s="595"/>
      <c r="NAV45" s="595"/>
      <c r="NAW45" s="595"/>
      <c r="NAX45" s="595"/>
      <c r="NAY45" s="595"/>
      <c r="NAZ45" s="595"/>
      <c r="NBA45" s="595"/>
      <c r="NBB45" s="595"/>
      <c r="NBC45" s="595"/>
      <c r="NBD45" s="595"/>
      <c r="NBE45" s="595"/>
      <c r="NBF45" s="595"/>
      <c r="NBG45" s="595"/>
      <c r="NBH45" s="595"/>
      <c r="NBI45" s="595"/>
      <c r="NBJ45" s="595"/>
      <c r="NBK45" s="595"/>
      <c r="NBL45" s="595"/>
      <c r="NBM45" s="595"/>
      <c r="NBN45" s="595"/>
      <c r="NBO45" s="595"/>
      <c r="NBP45" s="595"/>
      <c r="NBQ45" s="595"/>
      <c r="NBR45" s="595"/>
      <c r="NBS45" s="595"/>
      <c r="NBT45" s="595"/>
      <c r="NBU45" s="595"/>
      <c r="NBV45" s="595"/>
      <c r="NBW45" s="595"/>
      <c r="NBX45" s="595"/>
      <c r="NBY45" s="595"/>
      <c r="NBZ45" s="595"/>
      <c r="NCA45" s="595"/>
      <c r="NCB45" s="595"/>
      <c r="NCC45" s="595"/>
      <c r="NCD45" s="595"/>
      <c r="NCE45" s="595"/>
      <c r="NCF45" s="595"/>
      <c r="NCG45" s="595"/>
      <c r="NCH45" s="595"/>
      <c r="NCI45" s="595"/>
      <c r="NCJ45" s="595"/>
      <c r="NCK45" s="595"/>
      <c r="NCL45" s="595"/>
      <c r="NCM45" s="595"/>
      <c r="NCN45" s="595"/>
      <c r="NCO45" s="595"/>
      <c r="NCP45" s="595"/>
      <c r="NCQ45" s="595"/>
      <c r="NCR45" s="595"/>
      <c r="NCS45" s="595"/>
      <c r="NCT45" s="595"/>
      <c r="NCU45" s="595"/>
      <c r="NCV45" s="595"/>
      <c r="NCW45" s="595"/>
      <c r="NCX45" s="595"/>
      <c r="NCY45" s="595"/>
      <c r="NCZ45" s="595"/>
      <c r="NDA45" s="595"/>
      <c r="NDB45" s="595"/>
      <c r="NDC45" s="595"/>
      <c r="NDD45" s="595"/>
      <c r="NDE45" s="595"/>
      <c r="NDF45" s="595"/>
      <c r="NDG45" s="595"/>
      <c r="NDH45" s="595"/>
      <c r="NDI45" s="595"/>
      <c r="NDJ45" s="595"/>
      <c r="NDK45" s="595"/>
      <c r="NDL45" s="595"/>
      <c r="NDM45" s="595"/>
      <c r="NDN45" s="595"/>
      <c r="NDO45" s="595"/>
      <c r="NDP45" s="595"/>
      <c r="NDQ45" s="595"/>
      <c r="NDR45" s="595"/>
      <c r="NDS45" s="595"/>
      <c r="NDT45" s="595"/>
      <c r="NDU45" s="595"/>
      <c r="NDV45" s="595"/>
      <c r="NDW45" s="595"/>
      <c r="NDX45" s="595"/>
      <c r="NDY45" s="595"/>
      <c r="NDZ45" s="595"/>
      <c r="NEA45" s="595"/>
      <c r="NEB45" s="595"/>
      <c r="NEC45" s="595"/>
      <c r="NED45" s="595"/>
      <c r="NEE45" s="595"/>
      <c r="NEF45" s="595"/>
      <c r="NEG45" s="595"/>
      <c r="NEH45" s="595"/>
      <c r="NEI45" s="595"/>
      <c r="NEJ45" s="595"/>
      <c r="NEK45" s="595"/>
      <c r="NEL45" s="595"/>
      <c r="NEM45" s="595"/>
      <c r="NEN45" s="595"/>
      <c r="NEO45" s="595"/>
      <c r="NEP45" s="595"/>
      <c r="NEQ45" s="595"/>
      <c r="NER45" s="595"/>
      <c r="NES45" s="595"/>
      <c r="NET45" s="595"/>
      <c r="NEU45" s="595"/>
      <c r="NEV45" s="595"/>
      <c r="NEW45" s="595"/>
      <c r="NEX45" s="595"/>
      <c r="NEY45" s="595"/>
      <c r="NEZ45" s="595"/>
      <c r="NFA45" s="595"/>
      <c r="NFB45" s="595"/>
      <c r="NFC45" s="595"/>
      <c r="NFD45" s="595"/>
      <c r="NFE45" s="595"/>
      <c r="NFF45" s="595"/>
      <c r="NFG45" s="595"/>
      <c r="NFH45" s="595"/>
      <c r="NFI45" s="595"/>
      <c r="NFJ45" s="595"/>
      <c r="NFK45" s="595"/>
      <c r="NFL45" s="595"/>
      <c r="NFM45" s="595"/>
      <c r="NFN45" s="595"/>
      <c r="NFO45" s="595"/>
      <c r="NFP45" s="595"/>
      <c r="NFQ45" s="595"/>
      <c r="NFR45" s="595"/>
      <c r="NFS45" s="595"/>
      <c r="NFT45" s="595"/>
      <c r="NFU45" s="595"/>
      <c r="NFV45" s="595"/>
      <c r="NFW45" s="595"/>
      <c r="NFX45" s="595"/>
      <c r="NFY45" s="595"/>
      <c r="NFZ45" s="595"/>
      <c r="NGA45" s="595"/>
      <c r="NGB45" s="595"/>
      <c r="NGC45" s="595"/>
      <c r="NGD45" s="595"/>
      <c r="NGE45" s="595"/>
      <c r="NGF45" s="595"/>
      <c r="NGG45" s="595"/>
      <c r="NGH45" s="595"/>
      <c r="NGI45" s="595"/>
      <c r="NGJ45" s="595"/>
      <c r="NGK45" s="595"/>
      <c r="NGL45" s="595"/>
      <c r="NGM45" s="595"/>
      <c r="NGN45" s="595"/>
      <c r="NGO45" s="595"/>
      <c r="NGP45" s="595"/>
      <c r="NGQ45" s="595"/>
      <c r="NGR45" s="595"/>
      <c r="NGS45" s="595"/>
      <c r="NGT45" s="595"/>
      <c r="NGU45" s="595"/>
      <c r="NGV45" s="595"/>
      <c r="NGW45" s="595"/>
      <c r="NGX45" s="595"/>
      <c r="NGY45" s="595"/>
      <c r="NGZ45" s="595"/>
      <c r="NHA45" s="595"/>
      <c r="NHB45" s="595"/>
      <c r="NHC45" s="595"/>
      <c r="NHD45" s="595"/>
      <c r="NHE45" s="595"/>
      <c r="NHF45" s="595"/>
      <c r="NHG45" s="595"/>
      <c r="NHH45" s="595"/>
      <c r="NHI45" s="595"/>
      <c r="NHJ45" s="595"/>
      <c r="NHK45" s="595"/>
      <c r="NHL45" s="595"/>
      <c r="NHM45" s="595"/>
      <c r="NHN45" s="595"/>
      <c r="NHO45" s="595"/>
      <c r="NHP45" s="595"/>
      <c r="NHQ45" s="595"/>
      <c r="NHR45" s="595"/>
      <c r="NHS45" s="595"/>
      <c r="NHT45" s="595"/>
      <c r="NHU45" s="595"/>
      <c r="NHV45" s="595"/>
      <c r="NHW45" s="595"/>
      <c r="NHX45" s="595"/>
      <c r="NHY45" s="595"/>
      <c r="NHZ45" s="595"/>
      <c r="NIA45" s="595"/>
      <c r="NIB45" s="595"/>
      <c r="NIC45" s="595"/>
      <c r="NID45" s="595"/>
      <c r="NIE45" s="595"/>
      <c r="NIF45" s="595"/>
      <c r="NIG45" s="595"/>
      <c r="NIH45" s="595"/>
      <c r="NII45" s="595"/>
      <c r="NIJ45" s="595"/>
      <c r="NIK45" s="595"/>
      <c r="NIL45" s="595"/>
      <c r="NIM45" s="595"/>
      <c r="NIN45" s="595"/>
      <c r="NIO45" s="595"/>
      <c r="NIP45" s="595"/>
      <c r="NIQ45" s="595"/>
      <c r="NIR45" s="595"/>
      <c r="NIS45" s="595"/>
      <c r="NIT45" s="595"/>
      <c r="NIU45" s="595"/>
      <c r="NIV45" s="595"/>
      <c r="NIW45" s="595"/>
      <c r="NIX45" s="595"/>
      <c r="NIY45" s="595"/>
      <c r="NIZ45" s="595"/>
      <c r="NJA45" s="595"/>
      <c r="NJB45" s="595"/>
      <c r="NJC45" s="595"/>
      <c r="NJD45" s="595"/>
      <c r="NJE45" s="595"/>
      <c r="NJF45" s="595"/>
      <c r="NJG45" s="595"/>
      <c r="NJH45" s="595"/>
      <c r="NJI45" s="595"/>
      <c r="NJJ45" s="595"/>
      <c r="NJK45" s="595"/>
      <c r="NJL45" s="595"/>
      <c r="NJM45" s="595"/>
      <c r="NJN45" s="595"/>
      <c r="NJO45" s="595"/>
      <c r="NJP45" s="595"/>
      <c r="NJQ45" s="595"/>
      <c r="NJR45" s="595"/>
      <c r="NJS45" s="595"/>
      <c r="NJT45" s="595"/>
      <c r="NJU45" s="595"/>
      <c r="NJV45" s="595"/>
      <c r="NJW45" s="595"/>
      <c r="NJX45" s="595"/>
      <c r="NJY45" s="595"/>
      <c r="NJZ45" s="595"/>
      <c r="NKA45" s="595"/>
      <c r="NKB45" s="595"/>
      <c r="NKC45" s="595"/>
      <c r="NKD45" s="595"/>
      <c r="NKE45" s="595"/>
      <c r="NKF45" s="595"/>
      <c r="NKG45" s="595"/>
      <c r="NKH45" s="595"/>
      <c r="NKI45" s="595"/>
      <c r="NKJ45" s="595"/>
      <c r="NKK45" s="595"/>
      <c r="NKL45" s="595"/>
      <c r="NKM45" s="595"/>
      <c r="NKN45" s="595"/>
      <c r="NKO45" s="595"/>
      <c r="NKP45" s="595"/>
      <c r="NKQ45" s="595"/>
      <c r="NKR45" s="595"/>
      <c r="NKS45" s="595"/>
      <c r="NKT45" s="595"/>
      <c r="NKU45" s="595"/>
      <c r="NKV45" s="595"/>
      <c r="NKW45" s="595"/>
      <c r="NKX45" s="595"/>
      <c r="NKY45" s="595"/>
      <c r="NKZ45" s="595"/>
      <c r="NLA45" s="595"/>
      <c r="NLB45" s="595"/>
      <c r="NLC45" s="595"/>
      <c r="NLD45" s="595"/>
      <c r="NLE45" s="595"/>
      <c r="NLF45" s="595"/>
      <c r="NLG45" s="595"/>
      <c r="NLH45" s="595"/>
      <c r="NLI45" s="595"/>
      <c r="NLJ45" s="595"/>
      <c r="NLK45" s="595"/>
      <c r="NLL45" s="595"/>
      <c r="NLM45" s="595"/>
      <c r="NLN45" s="595"/>
      <c r="NLO45" s="595"/>
      <c r="NLP45" s="595"/>
      <c r="NLQ45" s="595"/>
      <c r="NLR45" s="595"/>
      <c r="NLS45" s="595"/>
      <c r="NLT45" s="595"/>
      <c r="NLU45" s="595"/>
      <c r="NLV45" s="595"/>
      <c r="NLW45" s="595"/>
      <c r="NLX45" s="595"/>
      <c r="NLY45" s="595"/>
      <c r="NLZ45" s="595"/>
      <c r="NMA45" s="595"/>
      <c r="NMB45" s="595"/>
      <c r="NMC45" s="595"/>
      <c r="NMD45" s="595"/>
      <c r="NME45" s="595"/>
      <c r="NMF45" s="595"/>
      <c r="NMG45" s="595"/>
      <c r="NMH45" s="595"/>
      <c r="NMI45" s="595"/>
      <c r="NMJ45" s="595"/>
      <c r="NMK45" s="595"/>
      <c r="NML45" s="595"/>
      <c r="NMM45" s="595"/>
      <c r="NMN45" s="595"/>
      <c r="NMO45" s="595"/>
      <c r="NMP45" s="595"/>
      <c r="NMQ45" s="595"/>
      <c r="NMR45" s="595"/>
      <c r="NMS45" s="595"/>
      <c r="NMT45" s="595"/>
      <c r="NMU45" s="595"/>
      <c r="NMV45" s="595"/>
      <c r="NMW45" s="595"/>
      <c r="NMX45" s="595"/>
      <c r="NMY45" s="595"/>
      <c r="NMZ45" s="595"/>
      <c r="NNA45" s="595"/>
      <c r="NNB45" s="595"/>
      <c r="NNC45" s="595"/>
      <c r="NND45" s="595"/>
      <c r="NNE45" s="595"/>
      <c r="NNF45" s="595"/>
      <c r="NNG45" s="595"/>
      <c r="NNH45" s="595"/>
      <c r="NNI45" s="595"/>
      <c r="NNJ45" s="595"/>
      <c r="NNK45" s="595"/>
      <c r="NNL45" s="595"/>
      <c r="NNM45" s="595"/>
      <c r="NNN45" s="595"/>
      <c r="NNO45" s="595"/>
      <c r="NNP45" s="595"/>
      <c r="NNQ45" s="595"/>
      <c r="NNR45" s="595"/>
      <c r="NNS45" s="595"/>
      <c r="NNT45" s="595"/>
      <c r="NNU45" s="595"/>
      <c r="NNV45" s="595"/>
      <c r="NNW45" s="595"/>
      <c r="NNX45" s="595"/>
      <c r="NNY45" s="595"/>
      <c r="NNZ45" s="595"/>
      <c r="NOA45" s="595"/>
      <c r="NOB45" s="595"/>
      <c r="NOC45" s="595"/>
      <c r="NOD45" s="595"/>
      <c r="NOE45" s="595"/>
      <c r="NOF45" s="595"/>
      <c r="NOG45" s="595"/>
      <c r="NOH45" s="595"/>
      <c r="NOI45" s="595"/>
      <c r="NOJ45" s="595"/>
      <c r="NOK45" s="595"/>
      <c r="NOL45" s="595"/>
      <c r="NOM45" s="595"/>
      <c r="NON45" s="595"/>
      <c r="NOO45" s="595"/>
      <c r="NOP45" s="595"/>
      <c r="NOQ45" s="595"/>
      <c r="NOR45" s="595"/>
      <c r="NOS45" s="595"/>
      <c r="NOT45" s="595"/>
      <c r="NOU45" s="595"/>
      <c r="NOV45" s="595"/>
      <c r="NOW45" s="595"/>
      <c r="NOX45" s="595"/>
      <c r="NOY45" s="595"/>
      <c r="NOZ45" s="595"/>
      <c r="NPA45" s="595"/>
      <c r="NPB45" s="595"/>
      <c r="NPC45" s="595"/>
      <c r="NPD45" s="595"/>
      <c r="NPE45" s="595"/>
      <c r="NPF45" s="595"/>
      <c r="NPG45" s="595"/>
      <c r="NPH45" s="595"/>
      <c r="NPI45" s="595"/>
      <c r="NPJ45" s="595"/>
      <c r="NPK45" s="595"/>
      <c r="NPL45" s="595"/>
      <c r="NPM45" s="595"/>
      <c r="NPN45" s="595"/>
      <c r="NPO45" s="595"/>
      <c r="NPP45" s="595"/>
      <c r="NPQ45" s="595"/>
      <c r="NPR45" s="595"/>
      <c r="NPS45" s="595"/>
      <c r="NPT45" s="595"/>
      <c r="NPU45" s="595"/>
      <c r="NPV45" s="595"/>
      <c r="NPW45" s="595"/>
      <c r="NPX45" s="595"/>
      <c r="NPY45" s="595"/>
      <c r="NPZ45" s="595"/>
      <c r="NQA45" s="595"/>
      <c r="NQB45" s="595"/>
      <c r="NQC45" s="595"/>
      <c r="NQD45" s="595"/>
      <c r="NQE45" s="595"/>
      <c r="NQF45" s="595"/>
      <c r="NQG45" s="595"/>
      <c r="NQH45" s="595"/>
      <c r="NQI45" s="595"/>
      <c r="NQJ45" s="595"/>
      <c r="NQK45" s="595"/>
      <c r="NQL45" s="595"/>
      <c r="NQM45" s="595"/>
      <c r="NQN45" s="595"/>
      <c r="NQO45" s="595"/>
      <c r="NQP45" s="595"/>
      <c r="NQQ45" s="595"/>
      <c r="NQR45" s="595"/>
      <c r="NQS45" s="595"/>
      <c r="NQT45" s="595"/>
      <c r="NQU45" s="595"/>
      <c r="NQV45" s="595"/>
      <c r="NQW45" s="595"/>
      <c r="NQX45" s="595"/>
      <c r="NQY45" s="595"/>
      <c r="NQZ45" s="595"/>
      <c r="NRA45" s="595"/>
      <c r="NRB45" s="595"/>
      <c r="NRC45" s="595"/>
      <c r="NRD45" s="595"/>
      <c r="NRE45" s="595"/>
      <c r="NRF45" s="595"/>
      <c r="NRG45" s="595"/>
      <c r="NRH45" s="595"/>
      <c r="NRI45" s="595"/>
      <c r="NRJ45" s="595"/>
      <c r="NRK45" s="595"/>
      <c r="NRL45" s="595"/>
      <c r="NRM45" s="595"/>
      <c r="NRN45" s="595"/>
      <c r="NRO45" s="595"/>
      <c r="NRP45" s="595"/>
      <c r="NRQ45" s="595"/>
      <c r="NRR45" s="595"/>
      <c r="NRS45" s="595"/>
      <c r="NRT45" s="595"/>
      <c r="NRU45" s="595"/>
      <c r="NRV45" s="595"/>
      <c r="NRW45" s="595"/>
      <c r="NRX45" s="595"/>
      <c r="NRY45" s="595"/>
      <c r="NRZ45" s="595"/>
      <c r="NSA45" s="595"/>
      <c r="NSB45" s="595"/>
      <c r="NSC45" s="595"/>
      <c r="NSD45" s="595"/>
      <c r="NSE45" s="595"/>
      <c r="NSF45" s="595"/>
      <c r="NSG45" s="595"/>
      <c r="NSH45" s="595"/>
      <c r="NSI45" s="595"/>
      <c r="NSJ45" s="595"/>
      <c r="NSK45" s="595"/>
      <c r="NSL45" s="595"/>
      <c r="NSM45" s="595"/>
      <c r="NSN45" s="595"/>
      <c r="NSO45" s="595"/>
      <c r="NSP45" s="595"/>
      <c r="NSQ45" s="595"/>
      <c r="NSR45" s="595"/>
      <c r="NSS45" s="595"/>
      <c r="NST45" s="595"/>
      <c r="NSU45" s="595"/>
      <c r="NSV45" s="595"/>
      <c r="NSW45" s="595"/>
      <c r="NSX45" s="595"/>
      <c r="NSY45" s="595"/>
      <c r="NSZ45" s="595"/>
      <c r="NTA45" s="595"/>
      <c r="NTB45" s="595"/>
      <c r="NTC45" s="595"/>
      <c r="NTD45" s="595"/>
      <c r="NTE45" s="595"/>
      <c r="NTF45" s="595"/>
      <c r="NTG45" s="595"/>
      <c r="NTH45" s="595"/>
      <c r="NTI45" s="595"/>
      <c r="NTJ45" s="595"/>
      <c r="NTK45" s="595"/>
      <c r="NTL45" s="595"/>
      <c r="NTM45" s="595"/>
      <c r="NTN45" s="595"/>
      <c r="NTO45" s="595"/>
      <c r="NTP45" s="595"/>
      <c r="NTQ45" s="595"/>
      <c r="NTR45" s="595"/>
      <c r="NTS45" s="595"/>
      <c r="NTT45" s="595"/>
      <c r="NTU45" s="595"/>
      <c r="NTV45" s="595"/>
      <c r="NTW45" s="595"/>
      <c r="NTX45" s="595"/>
      <c r="NTY45" s="595"/>
      <c r="NTZ45" s="595"/>
      <c r="NUA45" s="595"/>
      <c r="NUB45" s="595"/>
      <c r="NUC45" s="595"/>
      <c r="NUD45" s="595"/>
      <c r="NUE45" s="595"/>
      <c r="NUF45" s="595"/>
      <c r="NUG45" s="595"/>
      <c r="NUH45" s="595"/>
      <c r="NUI45" s="595"/>
      <c r="NUJ45" s="595"/>
      <c r="NUK45" s="595"/>
      <c r="NUL45" s="595"/>
      <c r="NUM45" s="595"/>
      <c r="NUN45" s="595"/>
      <c r="NUO45" s="595"/>
      <c r="NUP45" s="595"/>
      <c r="NUQ45" s="595"/>
      <c r="NUR45" s="595"/>
      <c r="NUS45" s="595"/>
      <c r="NUT45" s="595"/>
      <c r="NUU45" s="595"/>
      <c r="NUV45" s="595"/>
      <c r="NUW45" s="595"/>
      <c r="NUX45" s="595"/>
      <c r="NUY45" s="595"/>
      <c r="NUZ45" s="595"/>
      <c r="NVA45" s="595"/>
      <c r="NVB45" s="595"/>
      <c r="NVC45" s="595"/>
      <c r="NVD45" s="595"/>
      <c r="NVE45" s="595"/>
      <c r="NVF45" s="595"/>
      <c r="NVG45" s="595"/>
      <c r="NVH45" s="595"/>
      <c r="NVI45" s="595"/>
      <c r="NVJ45" s="595"/>
      <c r="NVK45" s="595"/>
      <c r="NVL45" s="595"/>
      <c r="NVM45" s="595"/>
      <c r="NVN45" s="595"/>
      <c r="NVO45" s="595"/>
      <c r="NVP45" s="595"/>
      <c r="NVQ45" s="595"/>
      <c r="NVR45" s="595"/>
      <c r="NVS45" s="595"/>
      <c r="NVT45" s="595"/>
      <c r="NVU45" s="595"/>
      <c r="NVV45" s="595"/>
      <c r="NVW45" s="595"/>
      <c r="NVX45" s="595"/>
      <c r="NVY45" s="595"/>
      <c r="NVZ45" s="595"/>
      <c r="NWA45" s="595"/>
      <c r="NWB45" s="595"/>
      <c r="NWC45" s="595"/>
      <c r="NWD45" s="595"/>
      <c r="NWE45" s="595"/>
      <c r="NWF45" s="595"/>
      <c r="NWG45" s="595"/>
      <c r="NWH45" s="595"/>
      <c r="NWI45" s="595"/>
      <c r="NWJ45" s="595"/>
      <c r="NWK45" s="595"/>
      <c r="NWL45" s="595"/>
      <c r="NWM45" s="595"/>
      <c r="NWN45" s="595"/>
      <c r="NWO45" s="595"/>
      <c r="NWP45" s="595"/>
      <c r="NWQ45" s="595"/>
      <c r="NWR45" s="595"/>
      <c r="NWS45" s="595"/>
      <c r="NWT45" s="595"/>
      <c r="NWU45" s="595"/>
      <c r="NWV45" s="595"/>
      <c r="NWW45" s="595"/>
      <c r="NWX45" s="595"/>
      <c r="NWY45" s="595"/>
      <c r="NWZ45" s="595"/>
      <c r="NXA45" s="595"/>
      <c r="NXB45" s="595"/>
      <c r="NXC45" s="595"/>
      <c r="NXD45" s="595"/>
      <c r="NXE45" s="595"/>
      <c r="NXF45" s="595"/>
      <c r="NXG45" s="595"/>
      <c r="NXH45" s="595"/>
      <c r="NXI45" s="595"/>
      <c r="NXJ45" s="595"/>
      <c r="NXK45" s="595"/>
      <c r="NXL45" s="595"/>
      <c r="NXM45" s="595"/>
      <c r="NXN45" s="595"/>
      <c r="NXO45" s="595"/>
      <c r="NXP45" s="595"/>
      <c r="NXQ45" s="595"/>
      <c r="NXR45" s="595"/>
      <c r="NXS45" s="595"/>
      <c r="NXT45" s="595"/>
      <c r="NXU45" s="595"/>
      <c r="NXV45" s="595"/>
      <c r="NXW45" s="595"/>
      <c r="NXX45" s="595"/>
      <c r="NXY45" s="595"/>
      <c r="NXZ45" s="595"/>
      <c r="NYA45" s="595"/>
      <c r="NYB45" s="595"/>
      <c r="NYC45" s="595"/>
      <c r="NYD45" s="595"/>
      <c r="NYE45" s="595"/>
      <c r="NYF45" s="595"/>
      <c r="NYG45" s="595"/>
      <c r="NYH45" s="595"/>
      <c r="NYI45" s="595"/>
      <c r="NYJ45" s="595"/>
      <c r="NYK45" s="595"/>
      <c r="NYL45" s="595"/>
      <c r="NYM45" s="595"/>
      <c r="NYN45" s="595"/>
      <c r="NYO45" s="595"/>
      <c r="NYP45" s="595"/>
      <c r="NYQ45" s="595"/>
      <c r="NYR45" s="595"/>
      <c r="NYS45" s="595"/>
      <c r="NYT45" s="595"/>
      <c r="NYU45" s="595"/>
      <c r="NYV45" s="595"/>
      <c r="NYW45" s="595"/>
      <c r="NYX45" s="595"/>
      <c r="NYY45" s="595"/>
      <c r="NYZ45" s="595"/>
      <c r="NZA45" s="595"/>
      <c r="NZB45" s="595"/>
      <c r="NZC45" s="595"/>
      <c r="NZD45" s="595"/>
      <c r="NZE45" s="595"/>
      <c r="NZF45" s="595"/>
      <c r="NZG45" s="595"/>
      <c r="NZH45" s="595"/>
      <c r="NZI45" s="595"/>
      <c r="NZJ45" s="595"/>
      <c r="NZK45" s="595"/>
      <c r="NZL45" s="595"/>
      <c r="NZM45" s="595"/>
      <c r="NZN45" s="595"/>
      <c r="NZO45" s="595"/>
      <c r="NZP45" s="595"/>
      <c r="NZQ45" s="595"/>
      <c r="NZR45" s="595"/>
      <c r="NZS45" s="595"/>
      <c r="NZT45" s="595"/>
      <c r="NZU45" s="595"/>
      <c r="NZV45" s="595"/>
      <c r="NZW45" s="595"/>
      <c r="NZX45" s="595"/>
      <c r="NZY45" s="595"/>
      <c r="NZZ45" s="595"/>
      <c r="OAA45" s="595"/>
      <c r="OAB45" s="595"/>
      <c r="OAC45" s="595"/>
      <c r="OAD45" s="595"/>
      <c r="OAE45" s="595"/>
      <c r="OAF45" s="595"/>
      <c r="OAG45" s="595"/>
      <c r="OAH45" s="595"/>
      <c r="OAI45" s="595"/>
      <c r="OAJ45" s="595"/>
      <c r="OAK45" s="595"/>
      <c r="OAL45" s="595"/>
      <c r="OAM45" s="595"/>
      <c r="OAN45" s="595"/>
      <c r="OAO45" s="595"/>
      <c r="OAP45" s="595"/>
      <c r="OAQ45" s="595"/>
      <c r="OAR45" s="595"/>
      <c r="OAS45" s="595"/>
      <c r="OAT45" s="595"/>
      <c r="OAU45" s="595"/>
      <c r="OAV45" s="595"/>
      <c r="OAW45" s="595"/>
      <c r="OAX45" s="595"/>
      <c r="OAY45" s="595"/>
      <c r="OAZ45" s="595"/>
      <c r="OBA45" s="595"/>
      <c r="OBB45" s="595"/>
      <c r="OBC45" s="595"/>
      <c r="OBD45" s="595"/>
      <c r="OBE45" s="595"/>
      <c r="OBF45" s="595"/>
      <c r="OBG45" s="595"/>
      <c r="OBH45" s="595"/>
      <c r="OBI45" s="595"/>
      <c r="OBJ45" s="595"/>
      <c r="OBK45" s="595"/>
      <c r="OBL45" s="595"/>
      <c r="OBM45" s="595"/>
      <c r="OBN45" s="595"/>
      <c r="OBO45" s="595"/>
      <c r="OBP45" s="595"/>
      <c r="OBQ45" s="595"/>
      <c r="OBR45" s="595"/>
      <c r="OBS45" s="595"/>
      <c r="OBT45" s="595"/>
      <c r="OBU45" s="595"/>
      <c r="OBV45" s="595"/>
      <c r="OBW45" s="595"/>
      <c r="OBX45" s="595"/>
      <c r="OBY45" s="595"/>
      <c r="OBZ45" s="595"/>
      <c r="OCA45" s="595"/>
      <c r="OCB45" s="595"/>
      <c r="OCC45" s="595"/>
      <c r="OCD45" s="595"/>
      <c r="OCE45" s="595"/>
      <c r="OCF45" s="595"/>
      <c r="OCG45" s="595"/>
      <c r="OCH45" s="595"/>
      <c r="OCI45" s="595"/>
      <c r="OCJ45" s="595"/>
      <c r="OCK45" s="595"/>
      <c r="OCL45" s="595"/>
      <c r="OCM45" s="595"/>
      <c r="OCN45" s="595"/>
      <c r="OCO45" s="595"/>
      <c r="OCP45" s="595"/>
      <c r="OCQ45" s="595"/>
      <c r="OCR45" s="595"/>
      <c r="OCS45" s="595"/>
      <c r="OCT45" s="595"/>
      <c r="OCU45" s="595"/>
      <c r="OCV45" s="595"/>
      <c r="OCW45" s="595"/>
      <c r="OCX45" s="595"/>
      <c r="OCY45" s="595"/>
      <c r="OCZ45" s="595"/>
      <c r="ODA45" s="595"/>
      <c r="ODB45" s="595"/>
      <c r="ODC45" s="595"/>
      <c r="ODD45" s="595"/>
      <c r="ODE45" s="595"/>
      <c r="ODF45" s="595"/>
      <c r="ODG45" s="595"/>
      <c r="ODH45" s="595"/>
      <c r="ODI45" s="595"/>
      <c r="ODJ45" s="595"/>
      <c r="ODK45" s="595"/>
      <c r="ODL45" s="595"/>
      <c r="ODM45" s="595"/>
      <c r="ODN45" s="595"/>
      <c r="ODO45" s="595"/>
      <c r="ODP45" s="595"/>
      <c r="ODQ45" s="595"/>
      <c r="ODR45" s="595"/>
      <c r="ODS45" s="595"/>
      <c r="ODT45" s="595"/>
      <c r="ODU45" s="595"/>
      <c r="ODV45" s="595"/>
      <c r="ODW45" s="595"/>
      <c r="ODX45" s="595"/>
      <c r="ODY45" s="595"/>
      <c r="ODZ45" s="595"/>
      <c r="OEA45" s="595"/>
      <c r="OEB45" s="595"/>
      <c r="OEC45" s="595"/>
      <c r="OED45" s="595"/>
      <c r="OEE45" s="595"/>
      <c r="OEF45" s="595"/>
      <c r="OEG45" s="595"/>
      <c r="OEH45" s="595"/>
      <c r="OEI45" s="595"/>
      <c r="OEJ45" s="595"/>
      <c r="OEK45" s="595"/>
      <c r="OEL45" s="595"/>
      <c r="OEM45" s="595"/>
      <c r="OEN45" s="595"/>
      <c r="OEO45" s="595"/>
      <c r="OEP45" s="595"/>
      <c r="OEQ45" s="595"/>
      <c r="OER45" s="595"/>
      <c r="OES45" s="595"/>
      <c r="OET45" s="595"/>
      <c r="OEU45" s="595"/>
      <c r="OEV45" s="595"/>
      <c r="OEW45" s="595"/>
      <c r="OEX45" s="595"/>
      <c r="OEY45" s="595"/>
      <c r="OEZ45" s="595"/>
      <c r="OFA45" s="595"/>
      <c r="OFB45" s="595"/>
      <c r="OFC45" s="595"/>
      <c r="OFD45" s="595"/>
      <c r="OFE45" s="595"/>
      <c r="OFF45" s="595"/>
      <c r="OFG45" s="595"/>
      <c r="OFH45" s="595"/>
      <c r="OFI45" s="595"/>
      <c r="OFJ45" s="595"/>
      <c r="OFK45" s="595"/>
      <c r="OFL45" s="595"/>
      <c r="OFM45" s="595"/>
      <c r="OFN45" s="595"/>
      <c r="OFO45" s="595"/>
      <c r="OFP45" s="595"/>
      <c r="OFQ45" s="595"/>
      <c r="OFR45" s="595"/>
      <c r="OFS45" s="595"/>
      <c r="OFT45" s="595"/>
      <c r="OFU45" s="595"/>
      <c r="OFV45" s="595"/>
      <c r="OFW45" s="595"/>
      <c r="OFX45" s="595"/>
      <c r="OFY45" s="595"/>
      <c r="OFZ45" s="595"/>
      <c r="OGA45" s="595"/>
      <c r="OGB45" s="595"/>
      <c r="OGC45" s="595"/>
      <c r="OGD45" s="595"/>
      <c r="OGE45" s="595"/>
      <c r="OGF45" s="595"/>
      <c r="OGG45" s="595"/>
      <c r="OGH45" s="595"/>
      <c r="OGI45" s="595"/>
      <c r="OGJ45" s="595"/>
      <c r="OGK45" s="595"/>
      <c r="OGL45" s="595"/>
      <c r="OGM45" s="595"/>
      <c r="OGN45" s="595"/>
      <c r="OGO45" s="595"/>
      <c r="OGP45" s="595"/>
      <c r="OGQ45" s="595"/>
      <c r="OGR45" s="595"/>
      <c r="OGS45" s="595"/>
      <c r="OGT45" s="595"/>
      <c r="OGU45" s="595"/>
      <c r="OGV45" s="595"/>
      <c r="OGW45" s="595"/>
      <c r="OGX45" s="595"/>
      <c r="OGY45" s="595"/>
      <c r="OGZ45" s="595"/>
      <c r="OHA45" s="595"/>
      <c r="OHB45" s="595"/>
      <c r="OHC45" s="595"/>
      <c r="OHD45" s="595"/>
      <c r="OHE45" s="595"/>
      <c r="OHF45" s="595"/>
      <c r="OHG45" s="595"/>
      <c r="OHH45" s="595"/>
      <c r="OHI45" s="595"/>
      <c r="OHJ45" s="595"/>
      <c r="OHK45" s="595"/>
      <c r="OHL45" s="595"/>
      <c r="OHM45" s="595"/>
      <c r="OHN45" s="595"/>
      <c r="OHO45" s="595"/>
      <c r="OHP45" s="595"/>
      <c r="OHQ45" s="595"/>
      <c r="OHR45" s="595"/>
      <c r="OHS45" s="595"/>
      <c r="OHT45" s="595"/>
      <c r="OHU45" s="595"/>
      <c r="OHV45" s="595"/>
      <c r="OHW45" s="595"/>
      <c r="OHX45" s="595"/>
      <c r="OHY45" s="595"/>
      <c r="OHZ45" s="595"/>
      <c r="OIA45" s="595"/>
      <c r="OIB45" s="595"/>
      <c r="OIC45" s="595"/>
      <c r="OID45" s="595"/>
      <c r="OIE45" s="595"/>
      <c r="OIF45" s="595"/>
      <c r="OIG45" s="595"/>
      <c r="OIH45" s="595"/>
      <c r="OII45" s="595"/>
      <c r="OIJ45" s="595"/>
      <c r="OIK45" s="595"/>
      <c r="OIL45" s="595"/>
      <c r="OIM45" s="595"/>
      <c r="OIN45" s="595"/>
      <c r="OIO45" s="595"/>
      <c r="OIP45" s="595"/>
      <c r="OIQ45" s="595"/>
      <c r="OIR45" s="595"/>
      <c r="OIS45" s="595"/>
      <c r="OIT45" s="595"/>
      <c r="OIU45" s="595"/>
      <c r="OIV45" s="595"/>
      <c r="OIW45" s="595"/>
      <c r="OIX45" s="595"/>
      <c r="OIY45" s="595"/>
      <c r="OIZ45" s="595"/>
      <c r="OJA45" s="595"/>
      <c r="OJB45" s="595"/>
      <c r="OJC45" s="595"/>
      <c r="OJD45" s="595"/>
      <c r="OJE45" s="595"/>
      <c r="OJF45" s="595"/>
      <c r="OJG45" s="595"/>
      <c r="OJH45" s="595"/>
      <c r="OJI45" s="595"/>
      <c r="OJJ45" s="595"/>
      <c r="OJK45" s="595"/>
      <c r="OJL45" s="595"/>
      <c r="OJM45" s="595"/>
      <c r="OJN45" s="595"/>
      <c r="OJO45" s="595"/>
      <c r="OJP45" s="595"/>
      <c r="OJQ45" s="595"/>
      <c r="OJR45" s="595"/>
      <c r="OJS45" s="595"/>
      <c r="OJT45" s="595"/>
      <c r="OJU45" s="595"/>
      <c r="OJV45" s="595"/>
      <c r="OJW45" s="595"/>
      <c r="OJX45" s="595"/>
      <c r="OJY45" s="595"/>
      <c r="OJZ45" s="595"/>
      <c r="OKA45" s="595"/>
      <c r="OKB45" s="595"/>
      <c r="OKC45" s="595"/>
      <c r="OKD45" s="595"/>
      <c r="OKE45" s="595"/>
      <c r="OKF45" s="595"/>
      <c r="OKG45" s="595"/>
      <c r="OKH45" s="595"/>
      <c r="OKI45" s="595"/>
      <c r="OKJ45" s="595"/>
      <c r="OKK45" s="595"/>
      <c r="OKL45" s="595"/>
      <c r="OKM45" s="595"/>
      <c r="OKN45" s="595"/>
      <c r="OKO45" s="595"/>
      <c r="OKP45" s="595"/>
      <c r="OKQ45" s="595"/>
      <c r="OKR45" s="595"/>
      <c r="OKS45" s="595"/>
      <c r="OKT45" s="595"/>
      <c r="OKU45" s="595"/>
      <c r="OKV45" s="595"/>
      <c r="OKW45" s="595"/>
      <c r="OKX45" s="595"/>
      <c r="OKY45" s="595"/>
      <c r="OKZ45" s="595"/>
      <c r="OLA45" s="595"/>
      <c r="OLB45" s="595"/>
      <c r="OLC45" s="595"/>
      <c r="OLD45" s="595"/>
      <c r="OLE45" s="595"/>
      <c r="OLF45" s="595"/>
      <c r="OLG45" s="595"/>
      <c r="OLH45" s="595"/>
      <c r="OLI45" s="595"/>
      <c r="OLJ45" s="595"/>
      <c r="OLK45" s="595"/>
      <c r="OLL45" s="595"/>
      <c r="OLM45" s="595"/>
      <c r="OLN45" s="595"/>
      <c r="OLO45" s="595"/>
      <c r="OLP45" s="595"/>
      <c r="OLQ45" s="595"/>
      <c r="OLR45" s="595"/>
      <c r="OLS45" s="595"/>
      <c r="OLT45" s="595"/>
      <c r="OLU45" s="595"/>
      <c r="OLV45" s="595"/>
      <c r="OLW45" s="595"/>
      <c r="OLX45" s="595"/>
      <c r="OLY45" s="595"/>
      <c r="OLZ45" s="595"/>
      <c r="OMA45" s="595"/>
      <c r="OMB45" s="595"/>
      <c r="OMC45" s="595"/>
      <c r="OMD45" s="595"/>
      <c r="OME45" s="595"/>
      <c r="OMF45" s="595"/>
      <c r="OMG45" s="595"/>
      <c r="OMH45" s="595"/>
      <c r="OMI45" s="595"/>
      <c r="OMJ45" s="595"/>
      <c r="OMK45" s="595"/>
      <c r="OML45" s="595"/>
      <c r="OMM45" s="595"/>
      <c r="OMN45" s="595"/>
      <c r="OMO45" s="595"/>
      <c r="OMP45" s="595"/>
      <c r="OMQ45" s="595"/>
      <c r="OMR45" s="595"/>
      <c r="OMS45" s="595"/>
      <c r="OMT45" s="595"/>
      <c r="OMU45" s="595"/>
      <c r="OMV45" s="595"/>
      <c r="OMW45" s="595"/>
      <c r="OMX45" s="595"/>
      <c r="OMY45" s="595"/>
      <c r="OMZ45" s="595"/>
      <c r="ONA45" s="595"/>
      <c r="ONB45" s="595"/>
      <c r="ONC45" s="595"/>
      <c r="OND45" s="595"/>
      <c r="ONE45" s="595"/>
      <c r="ONF45" s="595"/>
      <c r="ONG45" s="595"/>
      <c r="ONH45" s="595"/>
      <c r="ONI45" s="595"/>
      <c r="ONJ45" s="595"/>
      <c r="ONK45" s="595"/>
      <c r="ONL45" s="595"/>
      <c r="ONM45" s="595"/>
      <c r="ONN45" s="595"/>
      <c r="ONO45" s="595"/>
      <c r="ONP45" s="595"/>
      <c r="ONQ45" s="595"/>
      <c r="ONR45" s="595"/>
      <c r="ONS45" s="595"/>
      <c r="ONT45" s="595"/>
      <c r="ONU45" s="595"/>
      <c r="ONV45" s="595"/>
      <c r="ONW45" s="595"/>
      <c r="ONX45" s="595"/>
      <c r="ONY45" s="595"/>
      <c r="ONZ45" s="595"/>
      <c r="OOA45" s="595"/>
      <c r="OOB45" s="595"/>
      <c r="OOC45" s="595"/>
      <c r="OOD45" s="595"/>
      <c r="OOE45" s="595"/>
      <c r="OOF45" s="595"/>
      <c r="OOG45" s="595"/>
      <c r="OOH45" s="595"/>
      <c r="OOI45" s="595"/>
      <c r="OOJ45" s="595"/>
      <c r="OOK45" s="595"/>
      <c r="OOL45" s="595"/>
      <c r="OOM45" s="595"/>
      <c r="OON45" s="595"/>
      <c r="OOO45" s="595"/>
      <c r="OOP45" s="595"/>
      <c r="OOQ45" s="595"/>
      <c r="OOR45" s="595"/>
      <c r="OOS45" s="595"/>
      <c r="OOT45" s="595"/>
      <c r="OOU45" s="595"/>
      <c r="OOV45" s="595"/>
      <c r="OOW45" s="595"/>
      <c r="OOX45" s="595"/>
      <c r="OOY45" s="595"/>
      <c r="OOZ45" s="595"/>
      <c r="OPA45" s="595"/>
      <c r="OPB45" s="595"/>
      <c r="OPC45" s="595"/>
      <c r="OPD45" s="595"/>
      <c r="OPE45" s="595"/>
      <c r="OPF45" s="595"/>
      <c r="OPG45" s="595"/>
      <c r="OPH45" s="595"/>
      <c r="OPI45" s="595"/>
      <c r="OPJ45" s="595"/>
      <c r="OPK45" s="595"/>
      <c r="OPL45" s="595"/>
      <c r="OPM45" s="595"/>
      <c r="OPN45" s="595"/>
      <c r="OPO45" s="595"/>
      <c r="OPP45" s="595"/>
      <c r="OPQ45" s="595"/>
      <c r="OPR45" s="595"/>
      <c r="OPS45" s="595"/>
      <c r="OPT45" s="595"/>
      <c r="OPU45" s="595"/>
      <c r="OPV45" s="595"/>
      <c r="OPW45" s="595"/>
      <c r="OPX45" s="595"/>
      <c r="OPY45" s="595"/>
      <c r="OPZ45" s="595"/>
      <c r="OQA45" s="595"/>
      <c r="OQB45" s="595"/>
      <c r="OQC45" s="595"/>
      <c r="OQD45" s="595"/>
      <c r="OQE45" s="595"/>
      <c r="OQF45" s="595"/>
      <c r="OQG45" s="595"/>
      <c r="OQH45" s="595"/>
      <c r="OQI45" s="595"/>
      <c r="OQJ45" s="595"/>
      <c r="OQK45" s="595"/>
      <c r="OQL45" s="595"/>
      <c r="OQM45" s="595"/>
      <c r="OQN45" s="595"/>
      <c r="OQO45" s="595"/>
      <c r="OQP45" s="595"/>
      <c r="OQQ45" s="595"/>
      <c r="OQR45" s="595"/>
      <c r="OQS45" s="595"/>
      <c r="OQT45" s="595"/>
      <c r="OQU45" s="595"/>
      <c r="OQV45" s="595"/>
      <c r="OQW45" s="595"/>
      <c r="OQX45" s="595"/>
      <c r="OQY45" s="595"/>
      <c r="OQZ45" s="595"/>
      <c r="ORA45" s="595"/>
      <c r="ORB45" s="595"/>
      <c r="ORC45" s="595"/>
      <c r="ORD45" s="595"/>
      <c r="ORE45" s="595"/>
      <c r="ORF45" s="595"/>
      <c r="ORG45" s="595"/>
      <c r="ORH45" s="595"/>
      <c r="ORI45" s="595"/>
      <c r="ORJ45" s="595"/>
      <c r="ORK45" s="595"/>
      <c r="ORL45" s="595"/>
      <c r="ORM45" s="595"/>
      <c r="ORN45" s="595"/>
      <c r="ORO45" s="595"/>
      <c r="ORP45" s="595"/>
      <c r="ORQ45" s="595"/>
      <c r="ORR45" s="595"/>
      <c r="ORS45" s="595"/>
      <c r="ORT45" s="595"/>
      <c r="ORU45" s="595"/>
      <c r="ORV45" s="595"/>
      <c r="ORW45" s="595"/>
      <c r="ORX45" s="595"/>
      <c r="ORY45" s="595"/>
      <c r="ORZ45" s="595"/>
      <c r="OSA45" s="595"/>
      <c r="OSB45" s="595"/>
      <c r="OSC45" s="595"/>
      <c r="OSD45" s="595"/>
      <c r="OSE45" s="595"/>
      <c r="OSF45" s="595"/>
      <c r="OSG45" s="595"/>
      <c r="OSH45" s="595"/>
      <c r="OSI45" s="595"/>
      <c r="OSJ45" s="595"/>
      <c r="OSK45" s="595"/>
      <c r="OSL45" s="595"/>
      <c r="OSM45" s="595"/>
      <c r="OSN45" s="595"/>
      <c r="OSO45" s="595"/>
      <c r="OSP45" s="595"/>
      <c r="OSQ45" s="595"/>
      <c r="OSR45" s="595"/>
      <c r="OSS45" s="595"/>
      <c r="OST45" s="595"/>
      <c r="OSU45" s="595"/>
      <c r="OSV45" s="595"/>
      <c r="OSW45" s="595"/>
      <c r="OSX45" s="595"/>
      <c r="OSY45" s="595"/>
      <c r="OSZ45" s="595"/>
      <c r="OTA45" s="595"/>
      <c r="OTB45" s="595"/>
      <c r="OTC45" s="595"/>
      <c r="OTD45" s="595"/>
      <c r="OTE45" s="595"/>
      <c r="OTF45" s="595"/>
      <c r="OTG45" s="595"/>
      <c r="OTH45" s="595"/>
      <c r="OTI45" s="595"/>
      <c r="OTJ45" s="595"/>
      <c r="OTK45" s="595"/>
      <c r="OTL45" s="595"/>
      <c r="OTM45" s="595"/>
      <c r="OTN45" s="595"/>
      <c r="OTO45" s="595"/>
      <c r="OTP45" s="595"/>
      <c r="OTQ45" s="595"/>
      <c r="OTR45" s="595"/>
      <c r="OTS45" s="595"/>
      <c r="OTT45" s="595"/>
      <c r="OTU45" s="595"/>
      <c r="OTV45" s="595"/>
      <c r="OTW45" s="595"/>
      <c r="OTX45" s="595"/>
      <c r="OTY45" s="595"/>
      <c r="OTZ45" s="595"/>
      <c r="OUA45" s="595"/>
      <c r="OUB45" s="595"/>
      <c r="OUC45" s="595"/>
      <c r="OUD45" s="595"/>
      <c r="OUE45" s="595"/>
      <c r="OUF45" s="595"/>
      <c r="OUG45" s="595"/>
      <c r="OUH45" s="595"/>
      <c r="OUI45" s="595"/>
      <c r="OUJ45" s="595"/>
      <c r="OUK45" s="595"/>
      <c r="OUL45" s="595"/>
      <c r="OUM45" s="595"/>
      <c r="OUN45" s="595"/>
      <c r="OUO45" s="595"/>
      <c r="OUP45" s="595"/>
      <c r="OUQ45" s="595"/>
      <c r="OUR45" s="595"/>
      <c r="OUS45" s="595"/>
      <c r="OUT45" s="595"/>
      <c r="OUU45" s="595"/>
      <c r="OUV45" s="595"/>
      <c r="OUW45" s="595"/>
      <c r="OUX45" s="595"/>
      <c r="OUY45" s="595"/>
      <c r="OUZ45" s="595"/>
      <c r="OVA45" s="595"/>
      <c r="OVB45" s="595"/>
      <c r="OVC45" s="595"/>
      <c r="OVD45" s="595"/>
      <c r="OVE45" s="595"/>
      <c r="OVF45" s="595"/>
      <c r="OVG45" s="595"/>
      <c r="OVH45" s="595"/>
      <c r="OVI45" s="595"/>
      <c r="OVJ45" s="595"/>
      <c r="OVK45" s="595"/>
      <c r="OVL45" s="595"/>
      <c r="OVM45" s="595"/>
      <c r="OVN45" s="595"/>
      <c r="OVO45" s="595"/>
      <c r="OVP45" s="595"/>
      <c r="OVQ45" s="595"/>
      <c r="OVR45" s="595"/>
      <c r="OVS45" s="595"/>
      <c r="OVT45" s="595"/>
      <c r="OVU45" s="595"/>
      <c r="OVV45" s="595"/>
      <c r="OVW45" s="595"/>
      <c r="OVX45" s="595"/>
      <c r="OVY45" s="595"/>
      <c r="OVZ45" s="595"/>
      <c r="OWA45" s="595"/>
      <c r="OWB45" s="595"/>
      <c r="OWC45" s="595"/>
      <c r="OWD45" s="595"/>
      <c r="OWE45" s="595"/>
      <c r="OWF45" s="595"/>
      <c r="OWG45" s="595"/>
      <c r="OWH45" s="595"/>
      <c r="OWI45" s="595"/>
      <c r="OWJ45" s="595"/>
      <c r="OWK45" s="595"/>
      <c r="OWL45" s="595"/>
      <c r="OWM45" s="595"/>
      <c r="OWN45" s="595"/>
      <c r="OWO45" s="595"/>
      <c r="OWP45" s="595"/>
      <c r="OWQ45" s="595"/>
      <c r="OWR45" s="595"/>
      <c r="OWS45" s="595"/>
      <c r="OWT45" s="595"/>
      <c r="OWU45" s="595"/>
      <c r="OWV45" s="595"/>
      <c r="OWW45" s="595"/>
      <c r="OWX45" s="595"/>
      <c r="OWY45" s="595"/>
      <c r="OWZ45" s="595"/>
      <c r="OXA45" s="595"/>
      <c r="OXB45" s="595"/>
      <c r="OXC45" s="595"/>
      <c r="OXD45" s="595"/>
      <c r="OXE45" s="595"/>
      <c r="OXF45" s="595"/>
      <c r="OXG45" s="595"/>
      <c r="OXH45" s="595"/>
      <c r="OXI45" s="595"/>
      <c r="OXJ45" s="595"/>
      <c r="OXK45" s="595"/>
      <c r="OXL45" s="595"/>
      <c r="OXM45" s="595"/>
      <c r="OXN45" s="595"/>
      <c r="OXO45" s="595"/>
      <c r="OXP45" s="595"/>
      <c r="OXQ45" s="595"/>
      <c r="OXR45" s="595"/>
      <c r="OXS45" s="595"/>
      <c r="OXT45" s="595"/>
      <c r="OXU45" s="595"/>
      <c r="OXV45" s="595"/>
      <c r="OXW45" s="595"/>
      <c r="OXX45" s="595"/>
      <c r="OXY45" s="595"/>
      <c r="OXZ45" s="595"/>
      <c r="OYA45" s="595"/>
      <c r="OYB45" s="595"/>
      <c r="OYC45" s="595"/>
      <c r="OYD45" s="595"/>
      <c r="OYE45" s="595"/>
      <c r="OYF45" s="595"/>
      <c r="OYG45" s="595"/>
      <c r="OYH45" s="595"/>
      <c r="OYI45" s="595"/>
      <c r="OYJ45" s="595"/>
      <c r="OYK45" s="595"/>
      <c r="OYL45" s="595"/>
      <c r="OYM45" s="595"/>
      <c r="OYN45" s="595"/>
      <c r="OYO45" s="595"/>
      <c r="OYP45" s="595"/>
      <c r="OYQ45" s="595"/>
      <c r="OYR45" s="595"/>
      <c r="OYS45" s="595"/>
      <c r="OYT45" s="595"/>
      <c r="OYU45" s="595"/>
      <c r="OYV45" s="595"/>
      <c r="OYW45" s="595"/>
      <c r="OYX45" s="595"/>
      <c r="OYY45" s="595"/>
      <c r="OYZ45" s="595"/>
      <c r="OZA45" s="595"/>
      <c r="OZB45" s="595"/>
      <c r="OZC45" s="595"/>
      <c r="OZD45" s="595"/>
      <c r="OZE45" s="595"/>
      <c r="OZF45" s="595"/>
      <c r="OZG45" s="595"/>
      <c r="OZH45" s="595"/>
      <c r="OZI45" s="595"/>
      <c r="OZJ45" s="595"/>
      <c r="OZK45" s="595"/>
      <c r="OZL45" s="595"/>
      <c r="OZM45" s="595"/>
      <c r="OZN45" s="595"/>
      <c r="OZO45" s="595"/>
      <c r="OZP45" s="595"/>
      <c r="OZQ45" s="595"/>
      <c r="OZR45" s="595"/>
      <c r="OZS45" s="595"/>
      <c r="OZT45" s="595"/>
      <c r="OZU45" s="595"/>
      <c r="OZV45" s="595"/>
      <c r="OZW45" s="595"/>
      <c r="OZX45" s="595"/>
      <c r="OZY45" s="595"/>
      <c r="OZZ45" s="595"/>
      <c r="PAA45" s="595"/>
      <c r="PAB45" s="595"/>
      <c r="PAC45" s="595"/>
      <c r="PAD45" s="595"/>
      <c r="PAE45" s="595"/>
      <c r="PAF45" s="595"/>
      <c r="PAG45" s="595"/>
      <c r="PAH45" s="595"/>
      <c r="PAI45" s="595"/>
      <c r="PAJ45" s="595"/>
      <c r="PAK45" s="595"/>
      <c r="PAL45" s="595"/>
      <c r="PAM45" s="595"/>
      <c r="PAN45" s="595"/>
      <c r="PAO45" s="595"/>
      <c r="PAP45" s="595"/>
      <c r="PAQ45" s="595"/>
      <c r="PAR45" s="595"/>
      <c r="PAS45" s="595"/>
      <c r="PAT45" s="595"/>
      <c r="PAU45" s="595"/>
      <c r="PAV45" s="595"/>
      <c r="PAW45" s="595"/>
      <c r="PAX45" s="595"/>
      <c r="PAY45" s="595"/>
      <c r="PAZ45" s="595"/>
      <c r="PBA45" s="595"/>
      <c r="PBB45" s="595"/>
      <c r="PBC45" s="595"/>
      <c r="PBD45" s="595"/>
      <c r="PBE45" s="595"/>
      <c r="PBF45" s="595"/>
      <c r="PBG45" s="595"/>
      <c r="PBH45" s="595"/>
      <c r="PBI45" s="595"/>
      <c r="PBJ45" s="595"/>
      <c r="PBK45" s="595"/>
      <c r="PBL45" s="595"/>
      <c r="PBM45" s="595"/>
      <c r="PBN45" s="595"/>
      <c r="PBO45" s="595"/>
      <c r="PBP45" s="595"/>
      <c r="PBQ45" s="595"/>
      <c r="PBR45" s="595"/>
      <c r="PBS45" s="595"/>
      <c r="PBT45" s="595"/>
      <c r="PBU45" s="595"/>
      <c r="PBV45" s="595"/>
      <c r="PBW45" s="595"/>
      <c r="PBX45" s="595"/>
      <c r="PBY45" s="595"/>
      <c r="PBZ45" s="595"/>
      <c r="PCA45" s="595"/>
      <c r="PCB45" s="595"/>
      <c r="PCC45" s="595"/>
      <c r="PCD45" s="595"/>
      <c r="PCE45" s="595"/>
      <c r="PCF45" s="595"/>
      <c r="PCG45" s="595"/>
      <c r="PCH45" s="595"/>
      <c r="PCI45" s="595"/>
      <c r="PCJ45" s="595"/>
      <c r="PCK45" s="595"/>
      <c r="PCL45" s="595"/>
      <c r="PCM45" s="595"/>
      <c r="PCN45" s="595"/>
      <c r="PCO45" s="595"/>
      <c r="PCP45" s="595"/>
      <c r="PCQ45" s="595"/>
      <c r="PCR45" s="595"/>
      <c r="PCS45" s="595"/>
      <c r="PCT45" s="595"/>
      <c r="PCU45" s="595"/>
      <c r="PCV45" s="595"/>
      <c r="PCW45" s="595"/>
      <c r="PCX45" s="595"/>
      <c r="PCY45" s="595"/>
      <c r="PCZ45" s="595"/>
      <c r="PDA45" s="595"/>
      <c r="PDB45" s="595"/>
      <c r="PDC45" s="595"/>
      <c r="PDD45" s="595"/>
      <c r="PDE45" s="595"/>
      <c r="PDF45" s="595"/>
      <c r="PDG45" s="595"/>
      <c r="PDH45" s="595"/>
      <c r="PDI45" s="595"/>
      <c r="PDJ45" s="595"/>
      <c r="PDK45" s="595"/>
      <c r="PDL45" s="595"/>
      <c r="PDM45" s="595"/>
      <c r="PDN45" s="595"/>
      <c r="PDO45" s="595"/>
      <c r="PDP45" s="595"/>
      <c r="PDQ45" s="595"/>
      <c r="PDR45" s="595"/>
      <c r="PDS45" s="595"/>
      <c r="PDT45" s="595"/>
      <c r="PDU45" s="595"/>
      <c r="PDV45" s="595"/>
      <c r="PDW45" s="595"/>
      <c r="PDX45" s="595"/>
      <c r="PDY45" s="595"/>
      <c r="PDZ45" s="595"/>
      <c r="PEA45" s="595"/>
      <c r="PEB45" s="595"/>
      <c r="PEC45" s="595"/>
      <c r="PED45" s="595"/>
      <c r="PEE45" s="595"/>
      <c r="PEF45" s="595"/>
      <c r="PEG45" s="595"/>
      <c r="PEH45" s="595"/>
      <c r="PEI45" s="595"/>
      <c r="PEJ45" s="595"/>
      <c r="PEK45" s="595"/>
      <c r="PEL45" s="595"/>
      <c r="PEM45" s="595"/>
      <c r="PEN45" s="595"/>
      <c r="PEO45" s="595"/>
      <c r="PEP45" s="595"/>
      <c r="PEQ45" s="595"/>
      <c r="PER45" s="595"/>
      <c r="PES45" s="595"/>
      <c r="PET45" s="595"/>
      <c r="PEU45" s="595"/>
      <c r="PEV45" s="595"/>
      <c r="PEW45" s="595"/>
      <c r="PEX45" s="595"/>
      <c r="PEY45" s="595"/>
      <c r="PEZ45" s="595"/>
      <c r="PFA45" s="595"/>
      <c r="PFB45" s="595"/>
      <c r="PFC45" s="595"/>
      <c r="PFD45" s="595"/>
      <c r="PFE45" s="595"/>
      <c r="PFF45" s="595"/>
      <c r="PFG45" s="595"/>
      <c r="PFH45" s="595"/>
      <c r="PFI45" s="595"/>
      <c r="PFJ45" s="595"/>
      <c r="PFK45" s="595"/>
      <c r="PFL45" s="595"/>
      <c r="PFM45" s="595"/>
      <c r="PFN45" s="595"/>
      <c r="PFO45" s="595"/>
      <c r="PFP45" s="595"/>
      <c r="PFQ45" s="595"/>
      <c r="PFR45" s="595"/>
      <c r="PFS45" s="595"/>
      <c r="PFT45" s="595"/>
      <c r="PFU45" s="595"/>
      <c r="PFV45" s="595"/>
      <c r="PFW45" s="595"/>
      <c r="PFX45" s="595"/>
      <c r="PFY45" s="595"/>
      <c r="PFZ45" s="595"/>
      <c r="PGA45" s="595"/>
      <c r="PGB45" s="595"/>
      <c r="PGC45" s="595"/>
      <c r="PGD45" s="595"/>
      <c r="PGE45" s="595"/>
      <c r="PGF45" s="595"/>
      <c r="PGG45" s="595"/>
      <c r="PGH45" s="595"/>
      <c r="PGI45" s="595"/>
      <c r="PGJ45" s="595"/>
      <c r="PGK45" s="595"/>
      <c r="PGL45" s="595"/>
      <c r="PGM45" s="595"/>
      <c r="PGN45" s="595"/>
      <c r="PGO45" s="595"/>
      <c r="PGP45" s="595"/>
      <c r="PGQ45" s="595"/>
      <c r="PGR45" s="595"/>
      <c r="PGS45" s="595"/>
      <c r="PGT45" s="595"/>
      <c r="PGU45" s="595"/>
      <c r="PGV45" s="595"/>
      <c r="PGW45" s="595"/>
      <c r="PGX45" s="595"/>
      <c r="PGY45" s="595"/>
      <c r="PGZ45" s="595"/>
      <c r="PHA45" s="595"/>
      <c r="PHB45" s="595"/>
      <c r="PHC45" s="595"/>
      <c r="PHD45" s="595"/>
      <c r="PHE45" s="595"/>
      <c r="PHF45" s="595"/>
      <c r="PHG45" s="595"/>
      <c r="PHH45" s="595"/>
      <c r="PHI45" s="595"/>
      <c r="PHJ45" s="595"/>
      <c r="PHK45" s="595"/>
      <c r="PHL45" s="595"/>
      <c r="PHM45" s="595"/>
      <c r="PHN45" s="595"/>
      <c r="PHO45" s="595"/>
      <c r="PHP45" s="595"/>
      <c r="PHQ45" s="595"/>
      <c r="PHR45" s="595"/>
      <c r="PHS45" s="595"/>
      <c r="PHT45" s="595"/>
      <c r="PHU45" s="595"/>
      <c r="PHV45" s="595"/>
      <c r="PHW45" s="595"/>
      <c r="PHX45" s="595"/>
      <c r="PHY45" s="595"/>
      <c r="PHZ45" s="595"/>
      <c r="PIA45" s="595"/>
      <c r="PIB45" s="595"/>
      <c r="PIC45" s="595"/>
      <c r="PID45" s="595"/>
      <c r="PIE45" s="595"/>
      <c r="PIF45" s="595"/>
      <c r="PIG45" s="595"/>
      <c r="PIH45" s="595"/>
      <c r="PII45" s="595"/>
      <c r="PIJ45" s="595"/>
      <c r="PIK45" s="595"/>
      <c r="PIL45" s="595"/>
      <c r="PIM45" s="595"/>
      <c r="PIN45" s="595"/>
      <c r="PIO45" s="595"/>
      <c r="PIP45" s="595"/>
      <c r="PIQ45" s="595"/>
      <c r="PIR45" s="595"/>
      <c r="PIS45" s="595"/>
      <c r="PIT45" s="595"/>
      <c r="PIU45" s="595"/>
      <c r="PIV45" s="595"/>
      <c r="PIW45" s="595"/>
      <c r="PIX45" s="595"/>
      <c r="PIY45" s="595"/>
      <c r="PIZ45" s="595"/>
      <c r="PJA45" s="595"/>
      <c r="PJB45" s="595"/>
      <c r="PJC45" s="595"/>
      <c r="PJD45" s="595"/>
      <c r="PJE45" s="595"/>
      <c r="PJF45" s="595"/>
      <c r="PJG45" s="595"/>
      <c r="PJH45" s="595"/>
      <c r="PJI45" s="595"/>
      <c r="PJJ45" s="595"/>
      <c r="PJK45" s="595"/>
      <c r="PJL45" s="595"/>
      <c r="PJM45" s="595"/>
      <c r="PJN45" s="595"/>
      <c r="PJO45" s="595"/>
      <c r="PJP45" s="595"/>
      <c r="PJQ45" s="595"/>
      <c r="PJR45" s="595"/>
      <c r="PJS45" s="595"/>
      <c r="PJT45" s="595"/>
      <c r="PJU45" s="595"/>
      <c r="PJV45" s="595"/>
      <c r="PJW45" s="595"/>
      <c r="PJX45" s="595"/>
      <c r="PJY45" s="595"/>
      <c r="PJZ45" s="595"/>
      <c r="PKA45" s="595"/>
      <c r="PKB45" s="595"/>
      <c r="PKC45" s="595"/>
      <c r="PKD45" s="595"/>
      <c r="PKE45" s="595"/>
      <c r="PKF45" s="595"/>
      <c r="PKG45" s="595"/>
      <c r="PKH45" s="595"/>
      <c r="PKI45" s="595"/>
      <c r="PKJ45" s="595"/>
      <c r="PKK45" s="595"/>
      <c r="PKL45" s="595"/>
      <c r="PKM45" s="595"/>
      <c r="PKN45" s="595"/>
      <c r="PKO45" s="595"/>
      <c r="PKP45" s="595"/>
      <c r="PKQ45" s="595"/>
      <c r="PKR45" s="595"/>
      <c r="PKS45" s="595"/>
      <c r="PKT45" s="595"/>
      <c r="PKU45" s="595"/>
      <c r="PKV45" s="595"/>
      <c r="PKW45" s="595"/>
      <c r="PKX45" s="595"/>
      <c r="PKY45" s="595"/>
      <c r="PKZ45" s="595"/>
      <c r="PLA45" s="595"/>
      <c r="PLB45" s="595"/>
      <c r="PLC45" s="595"/>
      <c r="PLD45" s="595"/>
      <c r="PLE45" s="595"/>
      <c r="PLF45" s="595"/>
      <c r="PLG45" s="595"/>
      <c r="PLH45" s="595"/>
      <c r="PLI45" s="595"/>
      <c r="PLJ45" s="595"/>
      <c r="PLK45" s="595"/>
      <c r="PLL45" s="595"/>
      <c r="PLM45" s="595"/>
      <c r="PLN45" s="595"/>
      <c r="PLO45" s="595"/>
      <c r="PLP45" s="595"/>
      <c r="PLQ45" s="595"/>
      <c r="PLR45" s="595"/>
      <c r="PLS45" s="595"/>
      <c r="PLT45" s="595"/>
      <c r="PLU45" s="595"/>
      <c r="PLV45" s="595"/>
      <c r="PLW45" s="595"/>
      <c r="PLX45" s="595"/>
      <c r="PLY45" s="595"/>
      <c r="PLZ45" s="595"/>
      <c r="PMA45" s="595"/>
      <c r="PMB45" s="595"/>
      <c r="PMC45" s="595"/>
      <c r="PMD45" s="595"/>
      <c r="PME45" s="595"/>
      <c r="PMF45" s="595"/>
      <c r="PMG45" s="595"/>
      <c r="PMH45" s="595"/>
      <c r="PMI45" s="595"/>
      <c r="PMJ45" s="595"/>
      <c r="PMK45" s="595"/>
      <c r="PML45" s="595"/>
      <c r="PMM45" s="595"/>
      <c r="PMN45" s="595"/>
      <c r="PMO45" s="595"/>
      <c r="PMP45" s="595"/>
      <c r="PMQ45" s="595"/>
      <c r="PMR45" s="595"/>
      <c r="PMS45" s="595"/>
      <c r="PMT45" s="595"/>
      <c r="PMU45" s="595"/>
      <c r="PMV45" s="595"/>
      <c r="PMW45" s="595"/>
      <c r="PMX45" s="595"/>
      <c r="PMY45" s="595"/>
      <c r="PMZ45" s="595"/>
      <c r="PNA45" s="595"/>
      <c r="PNB45" s="595"/>
      <c r="PNC45" s="595"/>
      <c r="PND45" s="595"/>
      <c r="PNE45" s="595"/>
      <c r="PNF45" s="595"/>
      <c r="PNG45" s="595"/>
      <c r="PNH45" s="595"/>
      <c r="PNI45" s="595"/>
      <c r="PNJ45" s="595"/>
      <c r="PNK45" s="595"/>
      <c r="PNL45" s="595"/>
      <c r="PNM45" s="595"/>
      <c r="PNN45" s="595"/>
      <c r="PNO45" s="595"/>
      <c r="PNP45" s="595"/>
      <c r="PNQ45" s="595"/>
      <c r="PNR45" s="595"/>
      <c r="PNS45" s="595"/>
      <c r="PNT45" s="595"/>
      <c r="PNU45" s="595"/>
      <c r="PNV45" s="595"/>
      <c r="PNW45" s="595"/>
      <c r="PNX45" s="595"/>
      <c r="PNY45" s="595"/>
      <c r="PNZ45" s="595"/>
      <c r="POA45" s="595"/>
      <c r="POB45" s="595"/>
      <c r="POC45" s="595"/>
      <c r="POD45" s="595"/>
      <c r="POE45" s="595"/>
      <c r="POF45" s="595"/>
      <c r="POG45" s="595"/>
      <c r="POH45" s="595"/>
      <c r="POI45" s="595"/>
      <c r="POJ45" s="595"/>
      <c r="POK45" s="595"/>
      <c r="POL45" s="595"/>
      <c r="POM45" s="595"/>
      <c r="PON45" s="595"/>
      <c r="POO45" s="595"/>
      <c r="POP45" s="595"/>
      <c r="POQ45" s="595"/>
      <c r="POR45" s="595"/>
      <c r="POS45" s="595"/>
      <c r="POT45" s="595"/>
      <c r="POU45" s="595"/>
      <c r="POV45" s="595"/>
      <c r="POW45" s="595"/>
      <c r="POX45" s="595"/>
      <c r="POY45" s="595"/>
      <c r="POZ45" s="595"/>
      <c r="PPA45" s="595"/>
      <c r="PPB45" s="595"/>
      <c r="PPC45" s="595"/>
      <c r="PPD45" s="595"/>
      <c r="PPE45" s="595"/>
      <c r="PPF45" s="595"/>
      <c r="PPG45" s="595"/>
      <c r="PPH45" s="595"/>
      <c r="PPI45" s="595"/>
      <c r="PPJ45" s="595"/>
      <c r="PPK45" s="595"/>
      <c r="PPL45" s="595"/>
      <c r="PPM45" s="595"/>
      <c r="PPN45" s="595"/>
      <c r="PPO45" s="595"/>
      <c r="PPP45" s="595"/>
      <c r="PPQ45" s="595"/>
      <c r="PPR45" s="595"/>
      <c r="PPS45" s="595"/>
      <c r="PPT45" s="595"/>
      <c r="PPU45" s="595"/>
      <c r="PPV45" s="595"/>
      <c r="PPW45" s="595"/>
      <c r="PPX45" s="595"/>
      <c r="PPY45" s="595"/>
      <c r="PPZ45" s="595"/>
      <c r="PQA45" s="595"/>
      <c r="PQB45" s="595"/>
      <c r="PQC45" s="595"/>
      <c r="PQD45" s="595"/>
      <c r="PQE45" s="595"/>
      <c r="PQF45" s="595"/>
      <c r="PQG45" s="595"/>
      <c r="PQH45" s="595"/>
      <c r="PQI45" s="595"/>
      <c r="PQJ45" s="595"/>
      <c r="PQK45" s="595"/>
      <c r="PQL45" s="595"/>
      <c r="PQM45" s="595"/>
      <c r="PQN45" s="595"/>
      <c r="PQO45" s="595"/>
      <c r="PQP45" s="595"/>
      <c r="PQQ45" s="595"/>
      <c r="PQR45" s="595"/>
      <c r="PQS45" s="595"/>
      <c r="PQT45" s="595"/>
      <c r="PQU45" s="595"/>
      <c r="PQV45" s="595"/>
      <c r="PQW45" s="595"/>
      <c r="PQX45" s="595"/>
      <c r="PQY45" s="595"/>
      <c r="PQZ45" s="595"/>
      <c r="PRA45" s="595"/>
      <c r="PRB45" s="595"/>
      <c r="PRC45" s="595"/>
      <c r="PRD45" s="595"/>
      <c r="PRE45" s="595"/>
      <c r="PRF45" s="595"/>
      <c r="PRG45" s="595"/>
      <c r="PRH45" s="595"/>
      <c r="PRI45" s="595"/>
      <c r="PRJ45" s="595"/>
      <c r="PRK45" s="595"/>
      <c r="PRL45" s="595"/>
      <c r="PRM45" s="595"/>
      <c r="PRN45" s="595"/>
      <c r="PRO45" s="595"/>
      <c r="PRP45" s="595"/>
      <c r="PRQ45" s="595"/>
      <c r="PRR45" s="595"/>
      <c r="PRS45" s="595"/>
      <c r="PRT45" s="595"/>
      <c r="PRU45" s="595"/>
      <c r="PRV45" s="595"/>
      <c r="PRW45" s="595"/>
      <c r="PRX45" s="595"/>
      <c r="PRY45" s="595"/>
      <c r="PRZ45" s="595"/>
      <c r="PSA45" s="595"/>
      <c r="PSB45" s="595"/>
      <c r="PSC45" s="595"/>
      <c r="PSD45" s="595"/>
      <c r="PSE45" s="595"/>
      <c r="PSF45" s="595"/>
      <c r="PSG45" s="595"/>
      <c r="PSH45" s="595"/>
      <c r="PSI45" s="595"/>
      <c r="PSJ45" s="595"/>
      <c r="PSK45" s="595"/>
      <c r="PSL45" s="595"/>
      <c r="PSM45" s="595"/>
      <c r="PSN45" s="595"/>
      <c r="PSO45" s="595"/>
      <c r="PSP45" s="595"/>
      <c r="PSQ45" s="595"/>
      <c r="PSR45" s="595"/>
      <c r="PSS45" s="595"/>
      <c r="PST45" s="595"/>
      <c r="PSU45" s="595"/>
      <c r="PSV45" s="595"/>
      <c r="PSW45" s="595"/>
      <c r="PSX45" s="595"/>
      <c r="PSY45" s="595"/>
      <c r="PSZ45" s="595"/>
      <c r="PTA45" s="595"/>
      <c r="PTB45" s="595"/>
      <c r="PTC45" s="595"/>
      <c r="PTD45" s="595"/>
      <c r="PTE45" s="595"/>
      <c r="PTF45" s="595"/>
      <c r="PTG45" s="595"/>
      <c r="PTH45" s="595"/>
      <c r="PTI45" s="595"/>
      <c r="PTJ45" s="595"/>
      <c r="PTK45" s="595"/>
      <c r="PTL45" s="595"/>
      <c r="PTM45" s="595"/>
      <c r="PTN45" s="595"/>
      <c r="PTO45" s="595"/>
      <c r="PTP45" s="595"/>
      <c r="PTQ45" s="595"/>
      <c r="PTR45" s="595"/>
      <c r="PTS45" s="595"/>
      <c r="PTT45" s="595"/>
      <c r="PTU45" s="595"/>
      <c r="PTV45" s="595"/>
      <c r="PTW45" s="595"/>
      <c r="PTX45" s="595"/>
      <c r="PTY45" s="595"/>
      <c r="PTZ45" s="595"/>
      <c r="PUA45" s="595"/>
      <c r="PUB45" s="595"/>
      <c r="PUC45" s="595"/>
      <c r="PUD45" s="595"/>
      <c r="PUE45" s="595"/>
      <c r="PUF45" s="595"/>
      <c r="PUG45" s="595"/>
      <c r="PUH45" s="595"/>
      <c r="PUI45" s="595"/>
      <c r="PUJ45" s="595"/>
      <c r="PUK45" s="595"/>
      <c r="PUL45" s="595"/>
      <c r="PUM45" s="595"/>
      <c r="PUN45" s="595"/>
      <c r="PUO45" s="595"/>
      <c r="PUP45" s="595"/>
      <c r="PUQ45" s="595"/>
      <c r="PUR45" s="595"/>
      <c r="PUS45" s="595"/>
      <c r="PUT45" s="595"/>
      <c r="PUU45" s="595"/>
      <c r="PUV45" s="595"/>
      <c r="PUW45" s="595"/>
      <c r="PUX45" s="595"/>
      <c r="PUY45" s="595"/>
      <c r="PUZ45" s="595"/>
      <c r="PVA45" s="595"/>
      <c r="PVB45" s="595"/>
      <c r="PVC45" s="595"/>
      <c r="PVD45" s="595"/>
      <c r="PVE45" s="595"/>
      <c r="PVF45" s="595"/>
      <c r="PVG45" s="595"/>
      <c r="PVH45" s="595"/>
      <c r="PVI45" s="595"/>
      <c r="PVJ45" s="595"/>
      <c r="PVK45" s="595"/>
      <c r="PVL45" s="595"/>
      <c r="PVM45" s="595"/>
      <c r="PVN45" s="595"/>
      <c r="PVO45" s="595"/>
      <c r="PVP45" s="595"/>
      <c r="PVQ45" s="595"/>
      <c r="PVR45" s="595"/>
      <c r="PVS45" s="595"/>
      <c r="PVT45" s="595"/>
      <c r="PVU45" s="595"/>
      <c r="PVV45" s="595"/>
      <c r="PVW45" s="595"/>
      <c r="PVX45" s="595"/>
      <c r="PVY45" s="595"/>
      <c r="PVZ45" s="595"/>
      <c r="PWA45" s="595"/>
      <c r="PWB45" s="595"/>
      <c r="PWC45" s="595"/>
      <c r="PWD45" s="595"/>
      <c r="PWE45" s="595"/>
      <c r="PWF45" s="595"/>
      <c r="PWG45" s="595"/>
      <c r="PWH45" s="595"/>
      <c r="PWI45" s="595"/>
      <c r="PWJ45" s="595"/>
      <c r="PWK45" s="595"/>
      <c r="PWL45" s="595"/>
      <c r="PWM45" s="595"/>
      <c r="PWN45" s="595"/>
      <c r="PWO45" s="595"/>
      <c r="PWP45" s="595"/>
      <c r="PWQ45" s="595"/>
      <c r="PWR45" s="595"/>
      <c r="PWS45" s="595"/>
      <c r="PWT45" s="595"/>
      <c r="PWU45" s="595"/>
      <c r="PWV45" s="595"/>
      <c r="PWW45" s="595"/>
      <c r="PWX45" s="595"/>
      <c r="PWY45" s="595"/>
      <c r="PWZ45" s="595"/>
      <c r="PXA45" s="595"/>
      <c r="PXB45" s="595"/>
      <c r="PXC45" s="595"/>
      <c r="PXD45" s="595"/>
      <c r="PXE45" s="595"/>
      <c r="PXF45" s="595"/>
      <c r="PXG45" s="595"/>
      <c r="PXH45" s="595"/>
      <c r="PXI45" s="595"/>
      <c r="PXJ45" s="595"/>
      <c r="PXK45" s="595"/>
      <c r="PXL45" s="595"/>
      <c r="PXM45" s="595"/>
      <c r="PXN45" s="595"/>
      <c r="PXO45" s="595"/>
      <c r="PXP45" s="595"/>
      <c r="PXQ45" s="595"/>
      <c r="PXR45" s="595"/>
      <c r="PXS45" s="595"/>
      <c r="PXT45" s="595"/>
      <c r="PXU45" s="595"/>
      <c r="PXV45" s="595"/>
      <c r="PXW45" s="595"/>
      <c r="PXX45" s="595"/>
      <c r="PXY45" s="595"/>
      <c r="PXZ45" s="595"/>
      <c r="PYA45" s="595"/>
      <c r="PYB45" s="595"/>
      <c r="PYC45" s="595"/>
      <c r="PYD45" s="595"/>
      <c r="PYE45" s="595"/>
      <c r="PYF45" s="595"/>
      <c r="PYG45" s="595"/>
      <c r="PYH45" s="595"/>
      <c r="PYI45" s="595"/>
      <c r="PYJ45" s="595"/>
      <c r="PYK45" s="595"/>
      <c r="PYL45" s="595"/>
      <c r="PYM45" s="595"/>
      <c r="PYN45" s="595"/>
      <c r="PYO45" s="595"/>
      <c r="PYP45" s="595"/>
      <c r="PYQ45" s="595"/>
      <c r="PYR45" s="595"/>
      <c r="PYS45" s="595"/>
      <c r="PYT45" s="595"/>
      <c r="PYU45" s="595"/>
      <c r="PYV45" s="595"/>
      <c r="PYW45" s="595"/>
      <c r="PYX45" s="595"/>
      <c r="PYY45" s="595"/>
      <c r="PYZ45" s="595"/>
      <c r="PZA45" s="595"/>
      <c r="PZB45" s="595"/>
      <c r="PZC45" s="595"/>
      <c r="PZD45" s="595"/>
      <c r="PZE45" s="595"/>
      <c r="PZF45" s="595"/>
      <c r="PZG45" s="595"/>
      <c r="PZH45" s="595"/>
      <c r="PZI45" s="595"/>
      <c r="PZJ45" s="595"/>
      <c r="PZK45" s="595"/>
      <c r="PZL45" s="595"/>
      <c r="PZM45" s="595"/>
      <c r="PZN45" s="595"/>
      <c r="PZO45" s="595"/>
      <c r="PZP45" s="595"/>
      <c r="PZQ45" s="595"/>
      <c r="PZR45" s="595"/>
      <c r="PZS45" s="595"/>
      <c r="PZT45" s="595"/>
      <c r="PZU45" s="595"/>
      <c r="PZV45" s="595"/>
      <c r="PZW45" s="595"/>
      <c r="PZX45" s="595"/>
      <c r="PZY45" s="595"/>
      <c r="PZZ45" s="595"/>
      <c r="QAA45" s="595"/>
      <c r="QAB45" s="595"/>
      <c r="QAC45" s="595"/>
      <c r="QAD45" s="595"/>
      <c r="QAE45" s="595"/>
      <c r="QAF45" s="595"/>
      <c r="QAG45" s="595"/>
      <c r="QAH45" s="595"/>
      <c r="QAI45" s="595"/>
      <c r="QAJ45" s="595"/>
      <c r="QAK45" s="595"/>
      <c r="QAL45" s="595"/>
      <c r="QAM45" s="595"/>
      <c r="QAN45" s="595"/>
      <c r="QAO45" s="595"/>
      <c r="QAP45" s="595"/>
      <c r="QAQ45" s="595"/>
      <c r="QAR45" s="595"/>
      <c r="QAS45" s="595"/>
      <c r="QAT45" s="595"/>
      <c r="QAU45" s="595"/>
      <c r="QAV45" s="595"/>
      <c r="QAW45" s="595"/>
      <c r="QAX45" s="595"/>
      <c r="QAY45" s="595"/>
      <c r="QAZ45" s="595"/>
      <c r="QBA45" s="595"/>
      <c r="QBB45" s="595"/>
      <c r="QBC45" s="595"/>
      <c r="QBD45" s="595"/>
      <c r="QBE45" s="595"/>
      <c r="QBF45" s="595"/>
      <c r="QBG45" s="595"/>
      <c r="QBH45" s="595"/>
      <c r="QBI45" s="595"/>
      <c r="QBJ45" s="595"/>
      <c r="QBK45" s="595"/>
      <c r="QBL45" s="595"/>
      <c r="QBM45" s="595"/>
      <c r="QBN45" s="595"/>
      <c r="QBO45" s="595"/>
      <c r="QBP45" s="595"/>
      <c r="QBQ45" s="595"/>
      <c r="QBR45" s="595"/>
      <c r="QBS45" s="595"/>
      <c r="QBT45" s="595"/>
      <c r="QBU45" s="595"/>
      <c r="QBV45" s="595"/>
      <c r="QBW45" s="595"/>
      <c r="QBX45" s="595"/>
      <c r="QBY45" s="595"/>
      <c r="QBZ45" s="595"/>
      <c r="QCA45" s="595"/>
      <c r="QCB45" s="595"/>
      <c r="QCC45" s="595"/>
      <c r="QCD45" s="595"/>
      <c r="QCE45" s="595"/>
      <c r="QCF45" s="595"/>
      <c r="QCG45" s="595"/>
      <c r="QCH45" s="595"/>
      <c r="QCI45" s="595"/>
      <c r="QCJ45" s="595"/>
      <c r="QCK45" s="595"/>
      <c r="QCL45" s="595"/>
      <c r="QCM45" s="595"/>
      <c r="QCN45" s="595"/>
      <c r="QCO45" s="595"/>
      <c r="QCP45" s="595"/>
      <c r="QCQ45" s="595"/>
      <c r="QCR45" s="595"/>
      <c r="QCS45" s="595"/>
      <c r="QCT45" s="595"/>
      <c r="QCU45" s="595"/>
      <c r="QCV45" s="595"/>
      <c r="QCW45" s="595"/>
      <c r="QCX45" s="595"/>
      <c r="QCY45" s="595"/>
      <c r="QCZ45" s="595"/>
      <c r="QDA45" s="595"/>
      <c r="QDB45" s="595"/>
      <c r="QDC45" s="595"/>
      <c r="QDD45" s="595"/>
      <c r="QDE45" s="595"/>
      <c r="QDF45" s="595"/>
      <c r="QDG45" s="595"/>
      <c r="QDH45" s="595"/>
      <c r="QDI45" s="595"/>
      <c r="QDJ45" s="595"/>
      <c r="QDK45" s="595"/>
      <c r="QDL45" s="595"/>
      <c r="QDM45" s="595"/>
      <c r="QDN45" s="595"/>
      <c r="QDO45" s="595"/>
      <c r="QDP45" s="595"/>
      <c r="QDQ45" s="595"/>
      <c r="QDR45" s="595"/>
      <c r="QDS45" s="595"/>
      <c r="QDT45" s="595"/>
      <c r="QDU45" s="595"/>
      <c r="QDV45" s="595"/>
      <c r="QDW45" s="595"/>
      <c r="QDX45" s="595"/>
      <c r="QDY45" s="595"/>
      <c r="QDZ45" s="595"/>
      <c r="QEA45" s="595"/>
      <c r="QEB45" s="595"/>
      <c r="QEC45" s="595"/>
      <c r="QED45" s="595"/>
      <c r="QEE45" s="595"/>
      <c r="QEF45" s="595"/>
      <c r="QEG45" s="595"/>
      <c r="QEH45" s="595"/>
      <c r="QEI45" s="595"/>
      <c r="QEJ45" s="595"/>
      <c r="QEK45" s="595"/>
      <c r="QEL45" s="595"/>
      <c r="QEM45" s="595"/>
      <c r="QEN45" s="595"/>
      <c r="QEO45" s="595"/>
      <c r="QEP45" s="595"/>
      <c r="QEQ45" s="595"/>
      <c r="QER45" s="595"/>
      <c r="QES45" s="595"/>
      <c r="QET45" s="595"/>
      <c r="QEU45" s="595"/>
      <c r="QEV45" s="595"/>
      <c r="QEW45" s="595"/>
      <c r="QEX45" s="595"/>
      <c r="QEY45" s="595"/>
      <c r="QEZ45" s="595"/>
      <c r="QFA45" s="595"/>
      <c r="QFB45" s="595"/>
      <c r="QFC45" s="595"/>
      <c r="QFD45" s="595"/>
      <c r="QFE45" s="595"/>
      <c r="QFF45" s="595"/>
      <c r="QFG45" s="595"/>
      <c r="QFH45" s="595"/>
      <c r="QFI45" s="595"/>
      <c r="QFJ45" s="595"/>
      <c r="QFK45" s="595"/>
      <c r="QFL45" s="595"/>
      <c r="QFM45" s="595"/>
      <c r="QFN45" s="595"/>
      <c r="QFO45" s="595"/>
      <c r="QFP45" s="595"/>
      <c r="QFQ45" s="595"/>
      <c r="QFR45" s="595"/>
      <c r="QFS45" s="595"/>
      <c r="QFT45" s="595"/>
      <c r="QFU45" s="595"/>
      <c r="QFV45" s="595"/>
      <c r="QFW45" s="595"/>
      <c r="QFX45" s="595"/>
      <c r="QFY45" s="595"/>
      <c r="QFZ45" s="595"/>
      <c r="QGA45" s="595"/>
      <c r="QGB45" s="595"/>
      <c r="QGC45" s="595"/>
      <c r="QGD45" s="595"/>
      <c r="QGE45" s="595"/>
      <c r="QGF45" s="595"/>
      <c r="QGG45" s="595"/>
      <c r="QGH45" s="595"/>
      <c r="QGI45" s="595"/>
      <c r="QGJ45" s="595"/>
      <c r="QGK45" s="595"/>
      <c r="QGL45" s="595"/>
      <c r="QGM45" s="595"/>
      <c r="QGN45" s="595"/>
      <c r="QGO45" s="595"/>
      <c r="QGP45" s="595"/>
      <c r="QGQ45" s="595"/>
      <c r="QGR45" s="595"/>
      <c r="QGS45" s="595"/>
      <c r="QGT45" s="595"/>
      <c r="QGU45" s="595"/>
      <c r="QGV45" s="595"/>
      <c r="QGW45" s="595"/>
      <c r="QGX45" s="595"/>
      <c r="QGY45" s="595"/>
      <c r="QGZ45" s="595"/>
      <c r="QHA45" s="595"/>
      <c r="QHB45" s="595"/>
      <c r="QHC45" s="595"/>
      <c r="QHD45" s="595"/>
      <c r="QHE45" s="595"/>
      <c r="QHF45" s="595"/>
      <c r="QHG45" s="595"/>
      <c r="QHH45" s="595"/>
      <c r="QHI45" s="595"/>
      <c r="QHJ45" s="595"/>
      <c r="QHK45" s="595"/>
      <c r="QHL45" s="595"/>
      <c r="QHM45" s="595"/>
      <c r="QHN45" s="595"/>
      <c r="QHO45" s="595"/>
      <c r="QHP45" s="595"/>
      <c r="QHQ45" s="595"/>
      <c r="QHR45" s="595"/>
      <c r="QHS45" s="595"/>
      <c r="QHT45" s="595"/>
      <c r="QHU45" s="595"/>
      <c r="QHV45" s="595"/>
      <c r="QHW45" s="595"/>
      <c r="QHX45" s="595"/>
      <c r="QHY45" s="595"/>
      <c r="QHZ45" s="595"/>
      <c r="QIA45" s="595"/>
      <c r="QIB45" s="595"/>
      <c r="QIC45" s="595"/>
      <c r="QID45" s="595"/>
      <c r="QIE45" s="595"/>
      <c r="QIF45" s="595"/>
      <c r="QIG45" s="595"/>
      <c r="QIH45" s="595"/>
      <c r="QII45" s="595"/>
      <c r="QIJ45" s="595"/>
      <c r="QIK45" s="595"/>
      <c r="QIL45" s="595"/>
      <c r="QIM45" s="595"/>
      <c r="QIN45" s="595"/>
      <c r="QIO45" s="595"/>
      <c r="QIP45" s="595"/>
      <c r="QIQ45" s="595"/>
      <c r="QIR45" s="595"/>
      <c r="QIS45" s="595"/>
      <c r="QIT45" s="595"/>
      <c r="QIU45" s="595"/>
      <c r="QIV45" s="595"/>
      <c r="QIW45" s="595"/>
      <c r="QIX45" s="595"/>
      <c r="QIY45" s="595"/>
      <c r="QIZ45" s="595"/>
      <c r="QJA45" s="595"/>
      <c r="QJB45" s="595"/>
      <c r="QJC45" s="595"/>
      <c r="QJD45" s="595"/>
      <c r="QJE45" s="595"/>
      <c r="QJF45" s="595"/>
      <c r="QJG45" s="595"/>
      <c r="QJH45" s="595"/>
      <c r="QJI45" s="595"/>
      <c r="QJJ45" s="595"/>
      <c r="QJK45" s="595"/>
      <c r="QJL45" s="595"/>
      <c r="QJM45" s="595"/>
      <c r="QJN45" s="595"/>
      <c r="QJO45" s="595"/>
      <c r="QJP45" s="595"/>
      <c r="QJQ45" s="595"/>
      <c r="QJR45" s="595"/>
      <c r="QJS45" s="595"/>
      <c r="QJT45" s="595"/>
      <c r="QJU45" s="595"/>
      <c r="QJV45" s="595"/>
      <c r="QJW45" s="595"/>
      <c r="QJX45" s="595"/>
      <c r="QJY45" s="595"/>
      <c r="QJZ45" s="595"/>
      <c r="QKA45" s="595"/>
      <c r="QKB45" s="595"/>
      <c r="QKC45" s="595"/>
      <c r="QKD45" s="595"/>
      <c r="QKE45" s="595"/>
      <c r="QKF45" s="595"/>
      <c r="QKG45" s="595"/>
      <c r="QKH45" s="595"/>
      <c r="QKI45" s="595"/>
      <c r="QKJ45" s="595"/>
      <c r="QKK45" s="595"/>
      <c r="QKL45" s="595"/>
      <c r="QKM45" s="595"/>
      <c r="QKN45" s="595"/>
      <c r="QKO45" s="595"/>
      <c r="QKP45" s="595"/>
      <c r="QKQ45" s="595"/>
      <c r="QKR45" s="595"/>
      <c r="QKS45" s="595"/>
      <c r="QKT45" s="595"/>
      <c r="QKU45" s="595"/>
      <c r="QKV45" s="595"/>
      <c r="QKW45" s="595"/>
      <c r="QKX45" s="595"/>
      <c r="QKY45" s="595"/>
      <c r="QKZ45" s="595"/>
      <c r="QLA45" s="595"/>
      <c r="QLB45" s="595"/>
      <c r="QLC45" s="595"/>
      <c r="QLD45" s="595"/>
      <c r="QLE45" s="595"/>
      <c r="QLF45" s="595"/>
      <c r="QLG45" s="595"/>
      <c r="QLH45" s="595"/>
      <c r="QLI45" s="595"/>
      <c r="QLJ45" s="595"/>
      <c r="QLK45" s="595"/>
      <c r="QLL45" s="595"/>
      <c r="QLM45" s="595"/>
      <c r="QLN45" s="595"/>
      <c r="QLO45" s="595"/>
      <c r="QLP45" s="595"/>
      <c r="QLQ45" s="595"/>
      <c r="QLR45" s="595"/>
      <c r="QLS45" s="595"/>
      <c r="QLT45" s="595"/>
      <c r="QLU45" s="595"/>
      <c r="QLV45" s="595"/>
      <c r="QLW45" s="595"/>
      <c r="QLX45" s="595"/>
      <c r="QLY45" s="595"/>
      <c r="QLZ45" s="595"/>
      <c r="QMA45" s="595"/>
      <c r="QMB45" s="595"/>
      <c r="QMC45" s="595"/>
      <c r="QMD45" s="595"/>
      <c r="QME45" s="595"/>
      <c r="QMF45" s="595"/>
      <c r="QMG45" s="595"/>
      <c r="QMH45" s="595"/>
      <c r="QMI45" s="595"/>
      <c r="QMJ45" s="595"/>
      <c r="QMK45" s="595"/>
      <c r="QML45" s="595"/>
      <c r="QMM45" s="595"/>
      <c r="QMN45" s="595"/>
      <c r="QMO45" s="595"/>
      <c r="QMP45" s="595"/>
      <c r="QMQ45" s="595"/>
      <c r="QMR45" s="595"/>
      <c r="QMS45" s="595"/>
      <c r="QMT45" s="595"/>
      <c r="QMU45" s="595"/>
      <c r="QMV45" s="595"/>
      <c r="QMW45" s="595"/>
      <c r="QMX45" s="595"/>
      <c r="QMY45" s="595"/>
      <c r="QMZ45" s="595"/>
      <c r="QNA45" s="595"/>
      <c r="QNB45" s="595"/>
      <c r="QNC45" s="595"/>
      <c r="QND45" s="595"/>
      <c r="QNE45" s="595"/>
      <c r="QNF45" s="595"/>
      <c r="QNG45" s="595"/>
      <c r="QNH45" s="595"/>
      <c r="QNI45" s="595"/>
      <c r="QNJ45" s="595"/>
      <c r="QNK45" s="595"/>
      <c r="QNL45" s="595"/>
      <c r="QNM45" s="595"/>
      <c r="QNN45" s="595"/>
      <c r="QNO45" s="595"/>
      <c r="QNP45" s="595"/>
      <c r="QNQ45" s="595"/>
      <c r="QNR45" s="595"/>
      <c r="QNS45" s="595"/>
      <c r="QNT45" s="595"/>
      <c r="QNU45" s="595"/>
      <c r="QNV45" s="595"/>
      <c r="QNW45" s="595"/>
      <c r="QNX45" s="595"/>
      <c r="QNY45" s="595"/>
      <c r="QNZ45" s="595"/>
      <c r="QOA45" s="595"/>
      <c r="QOB45" s="595"/>
      <c r="QOC45" s="595"/>
      <c r="QOD45" s="595"/>
      <c r="QOE45" s="595"/>
      <c r="QOF45" s="595"/>
      <c r="QOG45" s="595"/>
      <c r="QOH45" s="595"/>
      <c r="QOI45" s="595"/>
      <c r="QOJ45" s="595"/>
      <c r="QOK45" s="595"/>
      <c r="QOL45" s="595"/>
      <c r="QOM45" s="595"/>
      <c r="QON45" s="595"/>
      <c r="QOO45" s="595"/>
      <c r="QOP45" s="595"/>
      <c r="QOQ45" s="595"/>
      <c r="QOR45" s="595"/>
      <c r="QOS45" s="595"/>
      <c r="QOT45" s="595"/>
      <c r="QOU45" s="595"/>
      <c r="QOV45" s="595"/>
      <c r="QOW45" s="595"/>
      <c r="QOX45" s="595"/>
      <c r="QOY45" s="595"/>
      <c r="QOZ45" s="595"/>
      <c r="QPA45" s="595"/>
      <c r="QPB45" s="595"/>
      <c r="QPC45" s="595"/>
      <c r="QPD45" s="595"/>
      <c r="QPE45" s="595"/>
      <c r="QPF45" s="595"/>
      <c r="QPG45" s="595"/>
      <c r="QPH45" s="595"/>
      <c r="QPI45" s="595"/>
      <c r="QPJ45" s="595"/>
      <c r="QPK45" s="595"/>
      <c r="QPL45" s="595"/>
      <c r="QPM45" s="595"/>
      <c r="QPN45" s="595"/>
      <c r="QPO45" s="595"/>
      <c r="QPP45" s="595"/>
      <c r="QPQ45" s="595"/>
      <c r="QPR45" s="595"/>
      <c r="QPS45" s="595"/>
      <c r="QPT45" s="595"/>
      <c r="QPU45" s="595"/>
      <c r="QPV45" s="595"/>
      <c r="QPW45" s="595"/>
      <c r="QPX45" s="595"/>
      <c r="QPY45" s="595"/>
      <c r="QPZ45" s="595"/>
      <c r="QQA45" s="595"/>
      <c r="QQB45" s="595"/>
      <c r="QQC45" s="595"/>
      <c r="QQD45" s="595"/>
      <c r="QQE45" s="595"/>
      <c r="QQF45" s="595"/>
      <c r="QQG45" s="595"/>
      <c r="QQH45" s="595"/>
      <c r="QQI45" s="595"/>
      <c r="QQJ45" s="595"/>
      <c r="QQK45" s="595"/>
      <c r="QQL45" s="595"/>
      <c r="QQM45" s="595"/>
      <c r="QQN45" s="595"/>
      <c r="QQO45" s="595"/>
      <c r="QQP45" s="595"/>
      <c r="QQQ45" s="595"/>
      <c r="QQR45" s="595"/>
      <c r="QQS45" s="595"/>
      <c r="QQT45" s="595"/>
      <c r="QQU45" s="595"/>
      <c r="QQV45" s="595"/>
      <c r="QQW45" s="595"/>
      <c r="QQX45" s="595"/>
      <c r="QQY45" s="595"/>
      <c r="QQZ45" s="595"/>
      <c r="QRA45" s="595"/>
      <c r="QRB45" s="595"/>
      <c r="QRC45" s="595"/>
      <c r="QRD45" s="595"/>
      <c r="QRE45" s="595"/>
      <c r="QRF45" s="595"/>
      <c r="QRG45" s="595"/>
      <c r="QRH45" s="595"/>
      <c r="QRI45" s="595"/>
      <c r="QRJ45" s="595"/>
      <c r="QRK45" s="595"/>
      <c r="QRL45" s="595"/>
      <c r="QRM45" s="595"/>
      <c r="QRN45" s="595"/>
      <c r="QRO45" s="595"/>
      <c r="QRP45" s="595"/>
      <c r="QRQ45" s="595"/>
      <c r="QRR45" s="595"/>
      <c r="QRS45" s="595"/>
      <c r="QRT45" s="595"/>
      <c r="QRU45" s="595"/>
      <c r="QRV45" s="595"/>
      <c r="QRW45" s="595"/>
      <c r="QRX45" s="595"/>
      <c r="QRY45" s="595"/>
      <c r="QRZ45" s="595"/>
      <c r="QSA45" s="595"/>
      <c r="QSB45" s="595"/>
      <c r="QSC45" s="595"/>
      <c r="QSD45" s="595"/>
      <c r="QSE45" s="595"/>
      <c r="QSF45" s="595"/>
      <c r="QSG45" s="595"/>
      <c r="QSH45" s="595"/>
      <c r="QSI45" s="595"/>
      <c r="QSJ45" s="595"/>
      <c r="QSK45" s="595"/>
      <c r="QSL45" s="595"/>
      <c r="QSM45" s="595"/>
      <c r="QSN45" s="595"/>
      <c r="QSO45" s="595"/>
      <c r="QSP45" s="595"/>
      <c r="QSQ45" s="595"/>
      <c r="QSR45" s="595"/>
      <c r="QSS45" s="595"/>
      <c r="QST45" s="595"/>
      <c r="QSU45" s="595"/>
      <c r="QSV45" s="595"/>
      <c r="QSW45" s="595"/>
      <c r="QSX45" s="595"/>
      <c r="QSY45" s="595"/>
      <c r="QSZ45" s="595"/>
      <c r="QTA45" s="595"/>
      <c r="QTB45" s="595"/>
      <c r="QTC45" s="595"/>
      <c r="QTD45" s="595"/>
      <c r="QTE45" s="595"/>
      <c r="QTF45" s="595"/>
      <c r="QTG45" s="595"/>
      <c r="QTH45" s="595"/>
      <c r="QTI45" s="595"/>
      <c r="QTJ45" s="595"/>
      <c r="QTK45" s="595"/>
      <c r="QTL45" s="595"/>
      <c r="QTM45" s="595"/>
      <c r="QTN45" s="595"/>
      <c r="QTO45" s="595"/>
      <c r="QTP45" s="595"/>
      <c r="QTQ45" s="595"/>
      <c r="QTR45" s="595"/>
      <c r="QTS45" s="595"/>
      <c r="QTT45" s="595"/>
      <c r="QTU45" s="595"/>
      <c r="QTV45" s="595"/>
      <c r="QTW45" s="595"/>
      <c r="QTX45" s="595"/>
      <c r="QTY45" s="595"/>
      <c r="QTZ45" s="595"/>
      <c r="QUA45" s="595"/>
      <c r="QUB45" s="595"/>
      <c r="QUC45" s="595"/>
      <c r="QUD45" s="595"/>
      <c r="QUE45" s="595"/>
      <c r="QUF45" s="595"/>
      <c r="QUG45" s="595"/>
      <c r="QUH45" s="595"/>
      <c r="QUI45" s="595"/>
      <c r="QUJ45" s="595"/>
      <c r="QUK45" s="595"/>
      <c r="QUL45" s="595"/>
      <c r="QUM45" s="595"/>
      <c r="QUN45" s="595"/>
      <c r="QUO45" s="595"/>
      <c r="QUP45" s="595"/>
      <c r="QUQ45" s="595"/>
      <c r="QUR45" s="595"/>
      <c r="QUS45" s="595"/>
      <c r="QUT45" s="595"/>
      <c r="QUU45" s="595"/>
      <c r="QUV45" s="595"/>
      <c r="QUW45" s="595"/>
      <c r="QUX45" s="595"/>
      <c r="QUY45" s="595"/>
      <c r="QUZ45" s="595"/>
      <c r="QVA45" s="595"/>
      <c r="QVB45" s="595"/>
      <c r="QVC45" s="595"/>
      <c r="QVD45" s="595"/>
      <c r="QVE45" s="595"/>
      <c r="QVF45" s="595"/>
      <c r="QVG45" s="595"/>
      <c r="QVH45" s="595"/>
      <c r="QVI45" s="595"/>
      <c r="QVJ45" s="595"/>
      <c r="QVK45" s="595"/>
      <c r="QVL45" s="595"/>
      <c r="QVM45" s="595"/>
      <c r="QVN45" s="595"/>
      <c r="QVO45" s="595"/>
      <c r="QVP45" s="595"/>
      <c r="QVQ45" s="595"/>
      <c r="QVR45" s="595"/>
      <c r="QVS45" s="595"/>
      <c r="QVT45" s="595"/>
      <c r="QVU45" s="595"/>
      <c r="QVV45" s="595"/>
      <c r="QVW45" s="595"/>
      <c r="QVX45" s="595"/>
      <c r="QVY45" s="595"/>
      <c r="QVZ45" s="595"/>
      <c r="QWA45" s="595"/>
      <c r="QWB45" s="595"/>
      <c r="QWC45" s="595"/>
      <c r="QWD45" s="595"/>
      <c r="QWE45" s="595"/>
      <c r="QWF45" s="595"/>
      <c r="QWG45" s="595"/>
      <c r="QWH45" s="595"/>
      <c r="QWI45" s="595"/>
      <c r="QWJ45" s="595"/>
      <c r="QWK45" s="595"/>
      <c r="QWL45" s="595"/>
      <c r="QWM45" s="595"/>
      <c r="QWN45" s="595"/>
      <c r="QWO45" s="595"/>
      <c r="QWP45" s="595"/>
      <c r="QWQ45" s="595"/>
      <c r="QWR45" s="595"/>
      <c r="QWS45" s="595"/>
      <c r="QWT45" s="595"/>
      <c r="QWU45" s="595"/>
      <c r="QWV45" s="595"/>
      <c r="QWW45" s="595"/>
      <c r="QWX45" s="595"/>
      <c r="QWY45" s="595"/>
      <c r="QWZ45" s="595"/>
      <c r="QXA45" s="595"/>
      <c r="QXB45" s="595"/>
      <c r="QXC45" s="595"/>
      <c r="QXD45" s="595"/>
      <c r="QXE45" s="595"/>
      <c r="QXF45" s="595"/>
      <c r="QXG45" s="595"/>
      <c r="QXH45" s="595"/>
      <c r="QXI45" s="595"/>
      <c r="QXJ45" s="595"/>
      <c r="QXK45" s="595"/>
      <c r="QXL45" s="595"/>
      <c r="QXM45" s="595"/>
      <c r="QXN45" s="595"/>
      <c r="QXO45" s="595"/>
      <c r="QXP45" s="595"/>
      <c r="QXQ45" s="595"/>
      <c r="QXR45" s="595"/>
      <c r="QXS45" s="595"/>
      <c r="QXT45" s="595"/>
      <c r="QXU45" s="595"/>
      <c r="QXV45" s="595"/>
      <c r="QXW45" s="595"/>
      <c r="QXX45" s="595"/>
      <c r="QXY45" s="595"/>
      <c r="QXZ45" s="595"/>
      <c r="QYA45" s="595"/>
      <c r="QYB45" s="595"/>
      <c r="QYC45" s="595"/>
      <c r="QYD45" s="595"/>
      <c r="QYE45" s="595"/>
      <c r="QYF45" s="595"/>
      <c r="QYG45" s="595"/>
      <c r="QYH45" s="595"/>
      <c r="QYI45" s="595"/>
      <c r="QYJ45" s="595"/>
      <c r="QYK45" s="595"/>
      <c r="QYL45" s="595"/>
      <c r="QYM45" s="595"/>
      <c r="QYN45" s="595"/>
      <c r="QYO45" s="595"/>
      <c r="QYP45" s="595"/>
      <c r="QYQ45" s="595"/>
      <c r="QYR45" s="595"/>
      <c r="QYS45" s="595"/>
      <c r="QYT45" s="595"/>
      <c r="QYU45" s="595"/>
      <c r="QYV45" s="595"/>
      <c r="QYW45" s="595"/>
      <c r="QYX45" s="595"/>
      <c r="QYY45" s="595"/>
      <c r="QYZ45" s="595"/>
      <c r="QZA45" s="595"/>
      <c r="QZB45" s="595"/>
      <c r="QZC45" s="595"/>
      <c r="QZD45" s="595"/>
      <c r="QZE45" s="595"/>
      <c r="QZF45" s="595"/>
      <c r="QZG45" s="595"/>
      <c r="QZH45" s="595"/>
      <c r="QZI45" s="595"/>
      <c r="QZJ45" s="595"/>
      <c r="QZK45" s="595"/>
      <c r="QZL45" s="595"/>
      <c r="QZM45" s="595"/>
      <c r="QZN45" s="595"/>
      <c r="QZO45" s="595"/>
      <c r="QZP45" s="595"/>
      <c r="QZQ45" s="595"/>
      <c r="QZR45" s="595"/>
      <c r="QZS45" s="595"/>
      <c r="QZT45" s="595"/>
      <c r="QZU45" s="595"/>
      <c r="QZV45" s="595"/>
      <c r="QZW45" s="595"/>
      <c r="QZX45" s="595"/>
      <c r="QZY45" s="595"/>
      <c r="QZZ45" s="595"/>
      <c r="RAA45" s="595"/>
      <c r="RAB45" s="595"/>
      <c r="RAC45" s="595"/>
      <c r="RAD45" s="595"/>
      <c r="RAE45" s="595"/>
      <c r="RAF45" s="595"/>
      <c r="RAG45" s="595"/>
      <c r="RAH45" s="595"/>
      <c r="RAI45" s="595"/>
      <c r="RAJ45" s="595"/>
      <c r="RAK45" s="595"/>
      <c r="RAL45" s="595"/>
      <c r="RAM45" s="595"/>
      <c r="RAN45" s="595"/>
      <c r="RAO45" s="595"/>
      <c r="RAP45" s="595"/>
      <c r="RAQ45" s="595"/>
      <c r="RAR45" s="595"/>
      <c r="RAS45" s="595"/>
      <c r="RAT45" s="595"/>
      <c r="RAU45" s="595"/>
      <c r="RAV45" s="595"/>
      <c r="RAW45" s="595"/>
      <c r="RAX45" s="595"/>
      <c r="RAY45" s="595"/>
      <c r="RAZ45" s="595"/>
      <c r="RBA45" s="595"/>
      <c r="RBB45" s="595"/>
      <c r="RBC45" s="595"/>
      <c r="RBD45" s="595"/>
      <c r="RBE45" s="595"/>
      <c r="RBF45" s="595"/>
      <c r="RBG45" s="595"/>
      <c r="RBH45" s="595"/>
      <c r="RBI45" s="595"/>
      <c r="RBJ45" s="595"/>
      <c r="RBK45" s="595"/>
      <c r="RBL45" s="595"/>
      <c r="RBM45" s="595"/>
      <c r="RBN45" s="595"/>
      <c r="RBO45" s="595"/>
      <c r="RBP45" s="595"/>
      <c r="RBQ45" s="595"/>
      <c r="RBR45" s="595"/>
      <c r="RBS45" s="595"/>
      <c r="RBT45" s="595"/>
      <c r="RBU45" s="595"/>
      <c r="RBV45" s="595"/>
      <c r="RBW45" s="595"/>
      <c r="RBX45" s="595"/>
      <c r="RBY45" s="595"/>
      <c r="RBZ45" s="595"/>
      <c r="RCA45" s="595"/>
      <c r="RCB45" s="595"/>
      <c r="RCC45" s="595"/>
      <c r="RCD45" s="595"/>
      <c r="RCE45" s="595"/>
      <c r="RCF45" s="595"/>
      <c r="RCG45" s="595"/>
      <c r="RCH45" s="595"/>
      <c r="RCI45" s="595"/>
      <c r="RCJ45" s="595"/>
      <c r="RCK45" s="595"/>
      <c r="RCL45" s="595"/>
      <c r="RCM45" s="595"/>
      <c r="RCN45" s="595"/>
      <c r="RCO45" s="595"/>
      <c r="RCP45" s="595"/>
      <c r="RCQ45" s="595"/>
      <c r="RCR45" s="595"/>
      <c r="RCS45" s="595"/>
      <c r="RCT45" s="595"/>
      <c r="RCU45" s="595"/>
      <c r="RCV45" s="595"/>
      <c r="RCW45" s="595"/>
      <c r="RCX45" s="595"/>
      <c r="RCY45" s="595"/>
      <c r="RCZ45" s="595"/>
      <c r="RDA45" s="595"/>
      <c r="RDB45" s="595"/>
      <c r="RDC45" s="595"/>
      <c r="RDD45" s="595"/>
      <c r="RDE45" s="595"/>
      <c r="RDF45" s="595"/>
      <c r="RDG45" s="595"/>
      <c r="RDH45" s="595"/>
      <c r="RDI45" s="595"/>
      <c r="RDJ45" s="595"/>
      <c r="RDK45" s="595"/>
      <c r="RDL45" s="595"/>
      <c r="RDM45" s="595"/>
      <c r="RDN45" s="595"/>
      <c r="RDO45" s="595"/>
      <c r="RDP45" s="595"/>
      <c r="RDQ45" s="595"/>
      <c r="RDR45" s="595"/>
      <c r="RDS45" s="595"/>
      <c r="RDT45" s="595"/>
      <c r="RDU45" s="595"/>
      <c r="RDV45" s="595"/>
      <c r="RDW45" s="595"/>
      <c r="RDX45" s="595"/>
      <c r="RDY45" s="595"/>
      <c r="RDZ45" s="595"/>
      <c r="REA45" s="595"/>
      <c r="REB45" s="595"/>
      <c r="REC45" s="595"/>
      <c r="RED45" s="595"/>
      <c r="REE45" s="595"/>
      <c r="REF45" s="595"/>
      <c r="REG45" s="595"/>
      <c r="REH45" s="595"/>
      <c r="REI45" s="595"/>
      <c r="REJ45" s="595"/>
      <c r="REK45" s="595"/>
      <c r="REL45" s="595"/>
      <c r="REM45" s="595"/>
      <c r="REN45" s="595"/>
      <c r="REO45" s="595"/>
      <c r="REP45" s="595"/>
      <c r="REQ45" s="595"/>
      <c r="RER45" s="595"/>
      <c r="RES45" s="595"/>
      <c r="RET45" s="595"/>
      <c r="REU45" s="595"/>
      <c r="REV45" s="595"/>
      <c r="REW45" s="595"/>
      <c r="REX45" s="595"/>
      <c r="REY45" s="595"/>
      <c r="REZ45" s="595"/>
      <c r="RFA45" s="595"/>
      <c r="RFB45" s="595"/>
      <c r="RFC45" s="595"/>
      <c r="RFD45" s="595"/>
      <c r="RFE45" s="595"/>
      <c r="RFF45" s="595"/>
      <c r="RFG45" s="595"/>
      <c r="RFH45" s="595"/>
      <c r="RFI45" s="595"/>
      <c r="RFJ45" s="595"/>
      <c r="RFK45" s="595"/>
      <c r="RFL45" s="595"/>
      <c r="RFM45" s="595"/>
      <c r="RFN45" s="595"/>
      <c r="RFO45" s="595"/>
      <c r="RFP45" s="595"/>
      <c r="RFQ45" s="595"/>
      <c r="RFR45" s="595"/>
      <c r="RFS45" s="595"/>
      <c r="RFT45" s="595"/>
      <c r="RFU45" s="595"/>
      <c r="RFV45" s="595"/>
      <c r="RFW45" s="595"/>
      <c r="RFX45" s="595"/>
      <c r="RFY45" s="595"/>
      <c r="RFZ45" s="595"/>
      <c r="RGA45" s="595"/>
      <c r="RGB45" s="595"/>
      <c r="RGC45" s="595"/>
      <c r="RGD45" s="595"/>
      <c r="RGE45" s="595"/>
      <c r="RGF45" s="595"/>
      <c r="RGG45" s="595"/>
      <c r="RGH45" s="595"/>
      <c r="RGI45" s="595"/>
      <c r="RGJ45" s="595"/>
      <c r="RGK45" s="595"/>
      <c r="RGL45" s="595"/>
      <c r="RGM45" s="595"/>
      <c r="RGN45" s="595"/>
      <c r="RGO45" s="595"/>
      <c r="RGP45" s="595"/>
      <c r="RGQ45" s="595"/>
      <c r="RGR45" s="595"/>
      <c r="RGS45" s="595"/>
      <c r="RGT45" s="595"/>
      <c r="RGU45" s="595"/>
      <c r="RGV45" s="595"/>
      <c r="RGW45" s="595"/>
      <c r="RGX45" s="595"/>
      <c r="RGY45" s="595"/>
      <c r="RGZ45" s="595"/>
      <c r="RHA45" s="595"/>
      <c r="RHB45" s="595"/>
      <c r="RHC45" s="595"/>
      <c r="RHD45" s="595"/>
      <c r="RHE45" s="595"/>
      <c r="RHF45" s="595"/>
      <c r="RHG45" s="595"/>
      <c r="RHH45" s="595"/>
      <c r="RHI45" s="595"/>
      <c r="RHJ45" s="595"/>
      <c r="RHK45" s="595"/>
      <c r="RHL45" s="595"/>
      <c r="RHM45" s="595"/>
      <c r="RHN45" s="595"/>
      <c r="RHO45" s="595"/>
      <c r="RHP45" s="595"/>
      <c r="RHQ45" s="595"/>
      <c r="RHR45" s="595"/>
      <c r="RHS45" s="595"/>
      <c r="RHT45" s="595"/>
      <c r="RHU45" s="595"/>
      <c r="RHV45" s="595"/>
      <c r="RHW45" s="595"/>
      <c r="RHX45" s="595"/>
      <c r="RHY45" s="595"/>
      <c r="RHZ45" s="595"/>
      <c r="RIA45" s="595"/>
      <c r="RIB45" s="595"/>
      <c r="RIC45" s="595"/>
      <c r="RID45" s="595"/>
      <c r="RIE45" s="595"/>
      <c r="RIF45" s="595"/>
      <c r="RIG45" s="595"/>
      <c r="RIH45" s="595"/>
      <c r="RII45" s="595"/>
      <c r="RIJ45" s="595"/>
      <c r="RIK45" s="595"/>
      <c r="RIL45" s="595"/>
      <c r="RIM45" s="595"/>
      <c r="RIN45" s="595"/>
      <c r="RIO45" s="595"/>
      <c r="RIP45" s="595"/>
      <c r="RIQ45" s="595"/>
      <c r="RIR45" s="595"/>
      <c r="RIS45" s="595"/>
      <c r="RIT45" s="595"/>
      <c r="RIU45" s="595"/>
      <c r="RIV45" s="595"/>
      <c r="RIW45" s="595"/>
      <c r="RIX45" s="595"/>
      <c r="RIY45" s="595"/>
      <c r="RIZ45" s="595"/>
      <c r="RJA45" s="595"/>
      <c r="RJB45" s="595"/>
      <c r="RJC45" s="595"/>
      <c r="RJD45" s="595"/>
      <c r="RJE45" s="595"/>
      <c r="RJF45" s="595"/>
      <c r="RJG45" s="595"/>
      <c r="RJH45" s="595"/>
      <c r="RJI45" s="595"/>
      <c r="RJJ45" s="595"/>
      <c r="RJK45" s="595"/>
      <c r="RJL45" s="595"/>
      <c r="RJM45" s="595"/>
      <c r="RJN45" s="595"/>
      <c r="RJO45" s="595"/>
      <c r="RJP45" s="595"/>
      <c r="RJQ45" s="595"/>
      <c r="RJR45" s="595"/>
      <c r="RJS45" s="595"/>
      <c r="RJT45" s="595"/>
      <c r="RJU45" s="595"/>
      <c r="RJV45" s="595"/>
      <c r="RJW45" s="595"/>
      <c r="RJX45" s="595"/>
      <c r="RJY45" s="595"/>
      <c r="RJZ45" s="595"/>
      <c r="RKA45" s="595"/>
      <c r="RKB45" s="595"/>
      <c r="RKC45" s="595"/>
      <c r="RKD45" s="595"/>
      <c r="RKE45" s="595"/>
      <c r="RKF45" s="595"/>
      <c r="RKG45" s="595"/>
      <c r="RKH45" s="595"/>
      <c r="RKI45" s="595"/>
      <c r="RKJ45" s="595"/>
      <c r="RKK45" s="595"/>
      <c r="RKL45" s="595"/>
      <c r="RKM45" s="595"/>
      <c r="RKN45" s="595"/>
      <c r="RKO45" s="595"/>
      <c r="RKP45" s="595"/>
      <c r="RKQ45" s="595"/>
      <c r="RKR45" s="595"/>
      <c r="RKS45" s="595"/>
      <c r="RKT45" s="595"/>
      <c r="RKU45" s="595"/>
      <c r="RKV45" s="595"/>
      <c r="RKW45" s="595"/>
      <c r="RKX45" s="595"/>
      <c r="RKY45" s="595"/>
      <c r="RKZ45" s="595"/>
      <c r="RLA45" s="595"/>
      <c r="RLB45" s="595"/>
      <c r="RLC45" s="595"/>
      <c r="RLD45" s="595"/>
      <c r="RLE45" s="595"/>
      <c r="RLF45" s="595"/>
      <c r="RLG45" s="595"/>
      <c r="RLH45" s="595"/>
      <c r="RLI45" s="595"/>
      <c r="RLJ45" s="595"/>
      <c r="RLK45" s="595"/>
      <c r="RLL45" s="595"/>
      <c r="RLM45" s="595"/>
      <c r="RLN45" s="595"/>
      <c r="RLO45" s="595"/>
      <c r="RLP45" s="595"/>
      <c r="RLQ45" s="595"/>
      <c r="RLR45" s="595"/>
      <c r="RLS45" s="595"/>
      <c r="RLT45" s="595"/>
      <c r="RLU45" s="595"/>
      <c r="RLV45" s="595"/>
      <c r="RLW45" s="595"/>
      <c r="RLX45" s="595"/>
      <c r="RLY45" s="595"/>
      <c r="RLZ45" s="595"/>
      <c r="RMA45" s="595"/>
      <c r="RMB45" s="595"/>
      <c r="RMC45" s="595"/>
      <c r="RMD45" s="595"/>
      <c r="RME45" s="595"/>
      <c r="RMF45" s="595"/>
      <c r="RMG45" s="595"/>
      <c r="RMH45" s="595"/>
      <c r="RMI45" s="595"/>
      <c r="RMJ45" s="595"/>
      <c r="RMK45" s="595"/>
      <c r="RML45" s="595"/>
      <c r="RMM45" s="595"/>
      <c r="RMN45" s="595"/>
      <c r="RMO45" s="595"/>
      <c r="RMP45" s="595"/>
      <c r="RMQ45" s="595"/>
      <c r="RMR45" s="595"/>
      <c r="RMS45" s="595"/>
      <c r="RMT45" s="595"/>
      <c r="RMU45" s="595"/>
      <c r="RMV45" s="595"/>
      <c r="RMW45" s="595"/>
      <c r="RMX45" s="595"/>
      <c r="RMY45" s="595"/>
      <c r="RMZ45" s="595"/>
      <c r="RNA45" s="595"/>
      <c r="RNB45" s="595"/>
      <c r="RNC45" s="595"/>
      <c r="RND45" s="595"/>
      <c r="RNE45" s="595"/>
      <c r="RNF45" s="595"/>
      <c r="RNG45" s="595"/>
      <c r="RNH45" s="595"/>
      <c r="RNI45" s="595"/>
      <c r="RNJ45" s="595"/>
      <c r="RNK45" s="595"/>
      <c r="RNL45" s="595"/>
      <c r="RNM45" s="595"/>
      <c r="RNN45" s="595"/>
      <c r="RNO45" s="595"/>
      <c r="RNP45" s="595"/>
      <c r="RNQ45" s="595"/>
      <c r="RNR45" s="595"/>
      <c r="RNS45" s="595"/>
      <c r="RNT45" s="595"/>
      <c r="RNU45" s="595"/>
      <c r="RNV45" s="595"/>
      <c r="RNW45" s="595"/>
      <c r="RNX45" s="595"/>
      <c r="RNY45" s="595"/>
      <c r="RNZ45" s="595"/>
      <c r="ROA45" s="595"/>
      <c r="ROB45" s="595"/>
      <c r="ROC45" s="595"/>
      <c r="ROD45" s="595"/>
      <c r="ROE45" s="595"/>
      <c r="ROF45" s="595"/>
      <c r="ROG45" s="595"/>
      <c r="ROH45" s="595"/>
      <c r="ROI45" s="595"/>
      <c r="ROJ45" s="595"/>
      <c r="ROK45" s="595"/>
      <c r="ROL45" s="595"/>
      <c r="ROM45" s="595"/>
      <c r="RON45" s="595"/>
      <c r="ROO45" s="595"/>
      <c r="ROP45" s="595"/>
      <c r="ROQ45" s="595"/>
      <c r="ROR45" s="595"/>
      <c r="ROS45" s="595"/>
      <c r="ROT45" s="595"/>
      <c r="ROU45" s="595"/>
      <c r="ROV45" s="595"/>
      <c r="ROW45" s="595"/>
      <c r="ROX45" s="595"/>
      <c r="ROY45" s="595"/>
      <c r="ROZ45" s="595"/>
      <c r="RPA45" s="595"/>
      <c r="RPB45" s="595"/>
      <c r="RPC45" s="595"/>
      <c r="RPD45" s="595"/>
      <c r="RPE45" s="595"/>
      <c r="RPF45" s="595"/>
      <c r="RPG45" s="595"/>
      <c r="RPH45" s="595"/>
      <c r="RPI45" s="595"/>
      <c r="RPJ45" s="595"/>
      <c r="RPK45" s="595"/>
      <c r="RPL45" s="595"/>
      <c r="RPM45" s="595"/>
      <c r="RPN45" s="595"/>
      <c r="RPO45" s="595"/>
      <c r="RPP45" s="595"/>
      <c r="RPQ45" s="595"/>
      <c r="RPR45" s="595"/>
      <c r="RPS45" s="595"/>
      <c r="RPT45" s="595"/>
      <c r="RPU45" s="595"/>
      <c r="RPV45" s="595"/>
      <c r="RPW45" s="595"/>
      <c r="RPX45" s="595"/>
      <c r="RPY45" s="595"/>
      <c r="RPZ45" s="595"/>
      <c r="RQA45" s="595"/>
      <c r="RQB45" s="595"/>
      <c r="RQC45" s="595"/>
      <c r="RQD45" s="595"/>
      <c r="RQE45" s="595"/>
      <c r="RQF45" s="595"/>
      <c r="RQG45" s="595"/>
      <c r="RQH45" s="595"/>
      <c r="RQI45" s="595"/>
      <c r="RQJ45" s="595"/>
      <c r="RQK45" s="595"/>
      <c r="RQL45" s="595"/>
      <c r="RQM45" s="595"/>
      <c r="RQN45" s="595"/>
      <c r="RQO45" s="595"/>
      <c r="RQP45" s="595"/>
      <c r="RQQ45" s="595"/>
      <c r="RQR45" s="595"/>
      <c r="RQS45" s="595"/>
      <c r="RQT45" s="595"/>
      <c r="RQU45" s="595"/>
      <c r="RQV45" s="595"/>
      <c r="RQW45" s="595"/>
      <c r="RQX45" s="595"/>
      <c r="RQY45" s="595"/>
      <c r="RQZ45" s="595"/>
      <c r="RRA45" s="595"/>
      <c r="RRB45" s="595"/>
      <c r="RRC45" s="595"/>
      <c r="RRD45" s="595"/>
      <c r="RRE45" s="595"/>
      <c r="RRF45" s="595"/>
      <c r="RRG45" s="595"/>
      <c r="RRH45" s="595"/>
      <c r="RRI45" s="595"/>
      <c r="RRJ45" s="595"/>
      <c r="RRK45" s="595"/>
      <c r="RRL45" s="595"/>
      <c r="RRM45" s="595"/>
      <c r="RRN45" s="595"/>
      <c r="RRO45" s="595"/>
      <c r="RRP45" s="595"/>
      <c r="RRQ45" s="595"/>
      <c r="RRR45" s="595"/>
      <c r="RRS45" s="595"/>
      <c r="RRT45" s="595"/>
      <c r="RRU45" s="595"/>
      <c r="RRV45" s="595"/>
      <c r="RRW45" s="595"/>
      <c r="RRX45" s="595"/>
      <c r="RRY45" s="595"/>
      <c r="RRZ45" s="595"/>
      <c r="RSA45" s="595"/>
      <c r="RSB45" s="595"/>
      <c r="RSC45" s="595"/>
      <c r="RSD45" s="595"/>
      <c r="RSE45" s="595"/>
      <c r="RSF45" s="595"/>
      <c r="RSG45" s="595"/>
      <c r="RSH45" s="595"/>
      <c r="RSI45" s="595"/>
      <c r="RSJ45" s="595"/>
      <c r="RSK45" s="595"/>
      <c r="RSL45" s="595"/>
      <c r="RSM45" s="595"/>
      <c r="RSN45" s="595"/>
      <c r="RSO45" s="595"/>
      <c r="RSP45" s="595"/>
      <c r="RSQ45" s="595"/>
      <c r="RSR45" s="595"/>
      <c r="RSS45" s="595"/>
      <c r="RST45" s="595"/>
      <c r="RSU45" s="595"/>
      <c r="RSV45" s="595"/>
      <c r="RSW45" s="595"/>
      <c r="RSX45" s="595"/>
      <c r="RSY45" s="595"/>
      <c r="RSZ45" s="595"/>
      <c r="RTA45" s="595"/>
      <c r="RTB45" s="595"/>
      <c r="RTC45" s="595"/>
      <c r="RTD45" s="595"/>
      <c r="RTE45" s="595"/>
      <c r="RTF45" s="595"/>
      <c r="RTG45" s="595"/>
      <c r="RTH45" s="595"/>
      <c r="RTI45" s="595"/>
      <c r="RTJ45" s="595"/>
      <c r="RTK45" s="595"/>
      <c r="RTL45" s="595"/>
      <c r="RTM45" s="595"/>
      <c r="RTN45" s="595"/>
      <c r="RTO45" s="595"/>
      <c r="RTP45" s="595"/>
      <c r="RTQ45" s="595"/>
      <c r="RTR45" s="595"/>
      <c r="RTS45" s="595"/>
      <c r="RTT45" s="595"/>
      <c r="RTU45" s="595"/>
      <c r="RTV45" s="595"/>
      <c r="RTW45" s="595"/>
      <c r="RTX45" s="595"/>
      <c r="RTY45" s="595"/>
      <c r="RTZ45" s="595"/>
      <c r="RUA45" s="595"/>
      <c r="RUB45" s="595"/>
      <c r="RUC45" s="595"/>
      <c r="RUD45" s="595"/>
      <c r="RUE45" s="595"/>
      <c r="RUF45" s="595"/>
      <c r="RUG45" s="595"/>
      <c r="RUH45" s="595"/>
      <c r="RUI45" s="595"/>
      <c r="RUJ45" s="595"/>
      <c r="RUK45" s="595"/>
      <c r="RUL45" s="595"/>
      <c r="RUM45" s="595"/>
      <c r="RUN45" s="595"/>
      <c r="RUO45" s="595"/>
      <c r="RUP45" s="595"/>
      <c r="RUQ45" s="595"/>
      <c r="RUR45" s="595"/>
      <c r="RUS45" s="595"/>
      <c r="RUT45" s="595"/>
      <c r="RUU45" s="595"/>
      <c r="RUV45" s="595"/>
      <c r="RUW45" s="595"/>
      <c r="RUX45" s="595"/>
      <c r="RUY45" s="595"/>
      <c r="RUZ45" s="595"/>
      <c r="RVA45" s="595"/>
      <c r="RVB45" s="595"/>
      <c r="RVC45" s="595"/>
      <c r="RVD45" s="595"/>
      <c r="RVE45" s="595"/>
      <c r="RVF45" s="595"/>
      <c r="RVG45" s="595"/>
      <c r="RVH45" s="595"/>
      <c r="RVI45" s="595"/>
      <c r="RVJ45" s="595"/>
      <c r="RVK45" s="595"/>
      <c r="RVL45" s="595"/>
      <c r="RVM45" s="595"/>
      <c r="RVN45" s="595"/>
      <c r="RVO45" s="595"/>
      <c r="RVP45" s="595"/>
      <c r="RVQ45" s="595"/>
      <c r="RVR45" s="595"/>
      <c r="RVS45" s="595"/>
      <c r="RVT45" s="595"/>
      <c r="RVU45" s="595"/>
      <c r="RVV45" s="595"/>
      <c r="RVW45" s="595"/>
      <c r="RVX45" s="595"/>
      <c r="RVY45" s="595"/>
      <c r="RVZ45" s="595"/>
      <c r="RWA45" s="595"/>
      <c r="RWB45" s="595"/>
      <c r="RWC45" s="595"/>
      <c r="RWD45" s="595"/>
      <c r="RWE45" s="595"/>
      <c r="RWF45" s="595"/>
      <c r="RWG45" s="595"/>
      <c r="RWH45" s="595"/>
      <c r="RWI45" s="595"/>
      <c r="RWJ45" s="595"/>
      <c r="RWK45" s="595"/>
      <c r="RWL45" s="595"/>
      <c r="RWM45" s="595"/>
      <c r="RWN45" s="595"/>
      <c r="RWO45" s="595"/>
      <c r="RWP45" s="595"/>
      <c r="RWQ45" s="595"/>
      <c r="RWR45" s="595"/>
      <c r="RWS45" s="595"/>
      <c r="RWT45" s="595"/>
      <c r="RWU45" s="595"/>
      <c r="RWV45" s="595"/>
      <c r="RWW45" s="595"/>
      <c r="RWX45" s="595"/>
      <c r="RWY45" s="595"/>
      <c r="RWZ45" s="595"/>
      <c r="RXA45" s="595"/>
      <c r="RXB45" s="595"/>
      <c r="RXC45" s="595"/>
      <c r="RXD45" s="595"/>
      <c r="RXE45" s="595"/>
      <c r="RXF45" s="595"/>
      <c r="RXG45" s="595"/>
      <c r="RXH45" s="595"/>
      <c r="RXI45" s="595"/>
      <c r="RXJ45" s="595"/>
      <c r="RXK45" s="595"/>
      <c r="RXL45" s="595"/>
      <c r="RXM45" s="595"/>
      <c r="RXN45" s="595"/>
      <c r="RXO45" s="595"/>
      <c r="RXP45" s="595"/>
      <c r="RXQ45" s="595"/>
      <c r="RXR45" s="595"/>
      <c r="RXS45" s="595"/>
      <c r="RXT45" s="595"/>
      <c r="RXU45" s="595"/>
      <c r="RXV45" s="595"/>
      <c r="RXW45" s="595"/>
      <c r="RXX45" s="595"/>
      <c r="RXY45" s="595"/>
      <c r="RXZ45" s="595"/>
      <c r="RYA45" s="595"/>
      <c r="RYB45" s="595"/>
      <c r="RYC45" s="595"/>
      <c r="RYD45" s="595"/>
      <c r="RYE45" s="595"/>
      <c r="RYF45" s="595"/>
      <c r="RYG45" s="595"/>
      <c r="RYH45" s="595"/>
      <c r="RYI45" s="595"/>
      <c r="RYJ45" s="595"/>
      <c r="RYK45" s="595"/>
      <c r="RYL45" s="595"/>
      <c r="RYM45" s="595"/>
      <c r="RYN45" s="595"/>
      <c r="RYO45" s="595"/>
      <c r="RYP45" s="595"/>
      <c r="RYQ45" s="595"/>
      <c r="RYR45" s="595"/>
      <c r="RYS45" s="595"/>
      <c r="RYT45" s="595"/>
      <c r="RYU45" s="595"/>
      <c r="RYV45" s="595"/>
      <c r="RYW45" s="595"/>
      <c r="RYX45" s="595"/>
      <c r="RYY45" s="595"/>
      <c r="RYZ45" s="595"/>
      <c r="RZA45" s="595"/>
      <c r="RZB45" s="595"/>
      <c r="RZC45" s="595"/>
      <c r="RZD45" s="595"/>
      <c r="RZE45" s="595"/>
      <c r="RZF45" s="595"/>
      <c r="RZG45" s="595"/>
      <c r="RZH45" s="595"/>
      <c r="RZI45" s="595"/>
      <c r="RZJ45" s="595"/>
      <c r="RZK45" s="595"/>
      <c r="RZL45" s="595"/>
      <c r="RZM45" s="595"/>
      <c r="RZN45" s="595"/>
      <c r="RZO45" s="595"/>
      <c r="RZP45" s="595"/>
      <c r="RZQ45" s="595"/>
      <c r="RZR45" s="595"/>
      <c r="RZS45" s="595"/>
      <c r="RZT45" s="595"/>
      <c r="RZU45" s="595"/>
      <c r="RZV45" s="595"/>
      <c r="RZW45" s="595"/>
      <c r="RZX45" s="595"/>
      <c r="RZY45" s="595"/>
      <c r="RZZ45" s="595"/>
      <c r="SAA45" s="595"/>
      <c r="SAB45" s="595"/>
      <c r="SAC45" s="595"/>
      <c r="SAD45" s="595"/>
      <c r="SAE45" s="595"/>
      <c r="SAF45" s="595"/>
      <c r="SAG45" s="595"/>
      <c r="SAH45" s="595"/>
      <c r="SAI45" s="595"/>
      <c r="SAJ45" s="595"/>
      <c r="SAK45" s="595"/>
      <c r="SAL45" s="595"/>
      <c r="SAM45" s="595"/>
      <c r="SAN45" s="595"/>
      <c r="SAO45" s="595"/>
      <c r="SAP45" s="595"/>
      <c r="SAQ45" s="595"/>
      <c r="SAR45" s="595"/>
      <c r="SAS45" s="595"/>
      <c r="SAT45" s="595"/>
      <c r="SAU45" s="595"/>
      <c r="SAV45" s="595"/>
      <c r="SAW45" s="595"/>
      <c r="SAX45" s="595"/>
      <c r="SAY45" s="595"/>
      <c r="SAZ45" s="595"/>
      <c r="SBA45" s="595"/>
      <c r="SBB45" s="595"/>
      <c r="SBC45" s="595"/>
      <c r="SBD45" s="595"/>
      <c r="SBE45" s="595"/>
      <c r="SBF45" s="595"/>
      <c r="SBG45" s="595"/>
      <c r="SBH45" s="595"/>
      <c r="SBI45" s="595"/>
      <c r="SBJ45" s="595"/>
      <c r="SBK45" s="595"/>
      <c r="SBL45" s="595"/>
      <c r="SBM45" s="595"/>
      <c r="SBN45" s="595"/>
      <c r="SBO45" s="595"/>
      <c r="SBP45" s="595"/>
      <c r="SBQ45" s="595"/>
      <c r="SBR45" s="595"/>
      <c r="SBS45" s="595"/>
      <c r="SBT45" s="595"/>
      <c r="SBU45" s="595"/>
      <c r="SBV45" s="595"/>
      <c r="SBW45" s="595"/>
      <c r="SBX45" s="595"/>
      <c r="SBY45" s="595"/>
      <c r="SBZ45" s="595"/>
      <c r="SCA45" s="595"/>
      <c r="SCB45" s="595"/>
      <c r="SCC45" s="595"/>
      <c r="SCD45" s="595"/>
      <c r="SCE45" s="595"/>
      <c r="SCF45" s="595"/>
      <c r="SCG45" s="595"/>
      <c r="SCH45" s="595"/>
      <c r="SCI45" s="595"/>
      <c r="SCJ45" s="595"/>
      <c r="SCK45" s="595"/>
      <c r="SCL45" s="595"/>
      <c r="SCM45" s="595"/>
      <c r="SCN45" s="595"/>
      <c r="SCO45" s="595"/>
      <c r="SCP45" s="595"/>
      <c r="SCQ45" s="595"/>
      <c r="SCR45" s="595"/>
      <c r="SCS45" s="595"/>
      <c r="SCT45" s="595"/>
      <c r="SCU45" s="595"/>
      <c r="SCV45" s="595"/>
      <c r="SCW45" s="595"/>
      <c r="SCX45" s="595"/>
      <c r="SCY45" s="595"/>
      <c r="SCZ45" s="595"/>
      <c r="SDA45" s="595"/>
      <c r="SDB45" s="595"/>
      <c r="SDC45" s="595"/>
      <c r="SDD45" s="595"/>
      <c r="SDE45" s="595"/>
      <c r="SDF45" s="595"/>
      <c r="SDG45" s="595"/>
      <c r="SDH45" s="595"/>
      <c r="SDI45" s="595"/>
      <c r="SDJ45" s="595"/>
      <c r="SDK45" s="595"/>
      <c r="SDL45" s="595"/>
      <c r="SDM45" s="595"/>
      <c r="SDN45" s="595"/>
      <c r="SDO45" s="595"/>
      <c r="SDP45" s="595"/>
      <c r="SDQ45" s="595"/>
      <c r="SDR45" s="595"/>
      <c r="SDS45" s="595"/>
      <c r="SDT45" s="595"/>
      <c r="SDU45" s="595"/>
      <c r="SDV45" s="595"/>
      <c r="SDW45" s="595"/>
      <c r="SDX45" s="595"/>
      <c r="SDY45" s="595"/>
      <c r="SDZ45" s="595"/>
      <c r="SEA45" s="595"/>
      <c r="SEB45" s="595"/>
      <c r="SEC45" s="595"/>
      <c r="SED45" s="595"/>
      <c r="SEE45" s="595"/>
      <c r="SEF45" s="595"/>
      <c r="SEG45" s="595"/>
      <c r="SEH45" s="595"/>
      <c r="SEI45" s="595"/>
      <c r="SEJ45" s="595"/>
      <c r="SEK45" s="595"/>
      <c r="SEL45" s="595"/>
      <c r="SEM45" s="595"/>
      <c r="SEN45" s="595"/>
      <c r="SEO45" s="595"/>
      <c r="SEP45" s="595"/>
      <c r="SEQ45" s="595"/>
      <c r="SER45" s="595"/>
      <c r="SES45" s="595"/>
      <c r="SET45" s="595"/>
      <c r="SEU45" s="595"/>
      <c r="SEV45" s="595"/>
      <c r="SEW45" s="595"/>
      <c r="SEX45" s="595"/>
      <c r="SEY45" s="595"/>
      <c r="SEZ45" s="595"/>
      <c r="SFA45" s="595"/>
      <c r="SFB45" s="595"/>
      <c r="SFC45" s="595"/>
      <c r="SFD45" s="595"/>
      <c r="SFE45" s="595"/>
      <c r="SFF45" s="595"/>
      <c r="SFG45" s="595"/>
      <c r="SFH45" s="595"/>
      <c r="SFI45" s="595"/>
      <c r="SFJ45" s="595"/>
      <c r="SFK45" s="595"/>
      <c r="SFL45" s="595"/>
      <c r="SFM45" s="595"/>
      <c r="SFN45" s="595"/>
      <c r="SFO45" s="595"/>
      <c r="SFP45" s="595"/>
      <c r="SFQ45" s="595"/>
      <c r="SFR45" s="595"/>
      <c r="SFS45" s="595"/>
      <c r="SFT45" s="595"/>
      <c r="SFU45" s="595"/>
      <c r="SFV45" s="595"/>
      <c r="SFW45" s="595"/>
      <c r="SFX45" s="595"/>
      <c r="SFY45" s="595"/>
      <c r="SFZ45" s="595"/>
      <c r="SGA45" s="595"/>
      <c r="SGB45" s="595"/>
      <c r="SGC45" s="595"/>
      <c r="SGD45" s="595"/>
      <c r="SGE45" s="595"/>
      <c r="SGF45" s="595"/>
      <c r="SGG45" s="595"/>
      <c r="SGH45" s="595"/>
      <c r="SGI45" s="595"/>
      <c r="SGJ45" s="595"/>
      <c r="SGK45" s="595"/>
      <c r="SGL45" s="595"/>
      <c r="SGM45" s="595"/>
      <c r="SGN45" s="595"/>
      <c r="SGO45" s="595"/>
      <c r="SGP45" s="595"/>
      <c r="SGQ45" s="595"/>
      <c r="SGR45" s="595"/>
      <c r="SGS45" s="595"/>
      <c r="SGT45" s="595"/>
      <c r="SGU45" s="595"/>
      <c r="SGV45" s="595"/>
      <c r="SGW45" s="595"/>
      <c r="SGX45" s="595"/>
      <c r="SGY45" s="595"/>
      <c r="SGZ45" s="595"/>
      <c r="SHA45" s="595"/>
      <c r="SHB45" s="595"/>
      <c r="SHC45" s="595"/>
      <c r="SHD45" s="595"/>
      <c r="SHE45" s="595"/>
      <c r="SHF45" s="595"/>
      <c r="SHG45" s="595"/>
      <c r="SHH45" s="595"/>
      <c r="SHI45" s="595"/>
      <c r="SHJ45" s="595"/>
      <c r="SHK45" s="595"/>
      <c r="SHL45" s="595"/>
      <c r="SHM45" s="595"/>
      <c r="SHN45" s="595"/>
      <c r="SHO45" s="595"/>
      <c r="SHP45" s="595"/>
      <c r="SHQ45" s="595"/>
      <c r="SHR45" s="595"/>
      <c r="SHS45" s="595"/>
      <c r="SHT45" s="595"/>
      <c r="SHU45" s="595"/>
      <c r="SHV45" s="595"/>
      <c r="SHW45" s="595"/>
      <c r="SHX45" s="595"/>
      <c r="SHY45" s="595"/>
      <c r="SHZ45" s="595"/>
      <c r="SIA45" s="595"/>
      <c r="SIB45" s="595"/>
      <c r="SIC45" s="595"/>
      <c r="SID45" s="595"/>
      <c r="SIE45" s="595"/>
      <c r="SIF45" s="595"/>
      <c r="SIG45" s="595"/>
      <c r="SIH45" s="595"/>
      <c r="SII45" s="595"/>
      <c r="SIJ45" s="595"/>
      <c r="SIK45" s="595"/>
      <c r="SIL45" s="595"/>
      <c r="SIM45" s="595"/>
      <c r="SIN45" s="595"/>
      <c r="SIO45" s="595"/>
      <c r="SIP45" s="595"/>
      <c r="SIQ45" s="595"/>
      <c r="SIR45" s="595"/>
      <c r="SIS45" s="595"/>
      <c r="SIT45" s="595"/>
      <c r="SIU45" s="595"/>
      <c r="SIV45" s="595"/>
      <c r="SIW45" s="595"/>
      <c r="SIX45" s="595"/>
      <c r="SIY45" s="595"/>
      <c r="SIZ45" s="595"/>
      <c r="SJA45" s="595"/>
      <c r="SJB45" s="595"/>
      <c r="SJC45" s="595"/>
      <c r="SJD45" s="595"/>
      <c r="SJE45" s="595"/>
      <c r="SJF45" s="595"/>
      <c r="SJG45" s="595"/>
      <c r="SJH45" s="595"/>
      <c r="SJI45" s="595"/>
      <c r="SJJ45" s="595"/>
      <c r="SJK45" s="595"/>
      <c r="SJL45" s="595"/>
      <c r="SJM45" s="595"/>
      <c r="SJN45" s="595"/>
      <c r="SJO45" s="595"/>
      <c r="SJP45" s="595"/>
      <c r="SJQ45" s="595"/>
      <c r="SJR45" s="595"/>
      <c r="SJS45" s="595"/>
      <c r="SJT45" s="595"/>
      <c r="SJU45" s="595"/>
      <c r="SJV45" s="595"/>
      <c r="SJW45" s="595"/>
      <c r="SJX45" s="595"/>
      <c r="SJY45" s="595"/>
      <c r="SJZ45" s="595"/>
      <c r="SKA45" s="595"/>
      <c r="SKB45" s="595"/>
      <c r="SKC45" s="595"/>
      <c r="SKD45" s="595"/>
      <c r="SKE45" s="595"/>
      <c r="SKF45" s="595"/>
      <c r="SKG45" s="595"/>
      <c r="SKH45" s="595"/>
      <c r="SKI45" s="595"/>
      <c r="SKJ45" s="595"/>
      <c r="SKK45" s="595"/>
      <c r="SKL45" s="595"/>
      <c r="SKM45" s="595"/>
      <c r="SKN45" s="595"/>
      <c r="SKO45" s="595"/>
      <c r="SKP45" s="595"/>
      <c r="SKQ45" s="595"/>
      <c r="SKR45" s="595"/>
      <c r="SKS45" s="595"/>
      <c r="SKT45" s="595"/>
      <c r="SKU45" s="595"/>
      <c r="SKV45" s="595"/>
      <c r="SKW45" s="595"/>
      <c r="SKX45" s="595"/>
      <c r="SKY45" s="595"/>
      <c r="SKZ45" s="595"/>
      <c r="SLA45" s="595"/>
      <c r="SLB45" s="595"/>
      <c r="SLC45" s="595"/>
      <c r="SLD45" s="595"/>
      <c r="SLE45" s="595"/>
      <c r="SLF45" s="595"/>
      <c r="SLG45" s="595"/>
      <c r="SLH45" s="595"/>
      <c r="SLI45" s="595"/>
      <c r="SLJ45" s="595"/>
      <c r="SLK45" s="595"/>
      <c r="SLL45" s="595"/>
      <c r="SLM45" s="595"/>
      <c r="SLN45" s="595"/>
      <c r="SLO45" s="595"/>
      <c r="SLP45" s="595"/>
      <c r="SLQ45" s="595"/>
      <c r="SLR45" s="595"/>
      <c r="SLS45" s="595"/>
      <c r="SLT45" s="595"/>
      <c r="SLU45" s="595"/>
      <c r="SLV45" s="595"/>
      <c r="SLW45" s="595"/>
      <c r="SLX45" s="595"/>
      <c r="SLY45" s="595"/>
      <c r="SLZ45" s="595"/>
      <c r="SMA45" s="595"/>
      <c r="SMB45" s="595"/>
      <c r="SMC45" s="595"/>
      <c r="SMD45" s="595"/>
      <c r="SME45" s="595"/>
      <c r="SMF45" s="595"/>
      <c r="SMG45" s="595"/>
      <c r="SMH45" s="595"/>
      <c r="SMI45" s="595"/>
      <c r="SMJ45" s="595"/>
      <c r="SMK45" s="595"/>
      <c r="SML45" s="595"/>
      <c r="SMM45" s="595"/>
      <c r="SMN45" s="595"/>
      <c r="SMO45" s="595"/>
      <c r="SMP45" s="595"/>
      <c r="SMQ45" s="595"/>
      <c r="SMR45" s="595"/>
      <c r="SMS45" s="595"/>
      <c r="SMT45" s="595"/>
      <c r="SMU45" s="595"/>
      <c r="SMV45" s="595"/>
      <c r="SMW45" s="595"/>
      <c r="SMX45" s="595"/>
      <c r="SMY45" s="595"/>
      <c r="SMZ45" s="595"/>
      <c r="SNA45" s="595"/>
      <c r="SNB45" s="595"/>
      <c r="SNC45" s="595"/>
      <c r="SND45" s="595"/>
      <c r="SNE45" s="595"/>
      <c r="SNF45" s="595"/>
      <c r="SNG45" s="595"/>
      <c r="SNH45" s="595"/>
      <c r="SNI45" s="595"/>
      <c r="SNJ45" s="595"/>
      <c r="SNK45" s="595"/>
      <c r="SNL45" s="595"/>
      <c r="SNM45" s="595"/>
      <c r="SNN45" s="595"/>
      <c r="SNO45" s="595"/>
      <c r="SNP45" s="595"/>
      <c r="SNQ45" s="595"/>
      <c r="SNR45" s="595"/>
      <c r="SNS45" s="595"/>
      <c r="SNT45" s="595"/>
      <c r="SNU45" s="595"/>
      <c r="SNV45" s="595"/>
      <c r="SNW45" s="595"/>
      <c r="SNX45" s="595"/>
      <c r="SNY45" s="595"/>
      <c r="SNZ45" s="595"/>
      <c r="SOA45" s="595"/>
      <c r="SOB45" s="595"/>
      <c r="SOC45" s="595"/>
      <c r="SOD45" s="595"/>
      <c r="SOE45" s="595"/>
      <c r="SOF45" s="595"/>
      <c r="SOG45" s="595"/>
      <c r="SOH45" s="595"/>
      <c r="SOI45" s="595"/>
      <c r="SOJ45" s="595"/>
      <c r="SOK45" s="595"/>
      <c r="SOL45" s="595"/>
      <c r="SOM45" s="595"/>
      <c r="SON45" s="595"/>
      <c r="SOO45" s="595"/>
      <c r="SOP45" s="595"/>
      <c r="SOQ45" s="595"/>
      <c r="SOR45" s="595"/>
      <c r="SOS45" s="595"/>
      <c r="SOT45" s="595"/>
      <c r="SOU45" s="595"/>
      <c r="SOV45" s="595"/>
      <c r="SOW45" s="595"/>
      <c r="SOX45" s="595"/>
      <c r="SOY45" s="595"/>
      <c r="SOZ45" s="595"/>
      <c r="SPA45" s="595"/>
      <c r="SPB45" s="595"/>
      <c r="SPC45" s="595"/>
      <c r="SPD45" s="595"/>
      <c r="SPE45" s="595"/>
      <c r="SPF45" s="595"/>
      <c r="SPG45" s="595"/>
      <c r="SPH45" s="595"/>
      <c r="SPI45" s="595"/>
      <c r="SPJ45" s="595"/>
      <c r="SPK45" s="595"/>
      <c r="SPL45" s="595"/>
      <c r="SPM45" s="595"/>
      <c r="SPN45" s="595"/>
      <c r="SPO45" s="595"/>
      <c r="SPP45" s="595"/>
      <c r="SPQ45" s="595"/>
      <c r="SPR45" s="595"/>
      <c r="SPS45" s="595"/>
      <c r="SPT45" s="595"/>
      <c r="SPU45" s="595"/>
      <c r="SPV45" s="595"/>
      <c r="SPW45" s="595"/>
      <c r="SPX45" s="595"/>
      <c r="SPY45" s="595"/>
      <c r="SPZ45" s="595"/>
      <c r="SQA45" s="595"/>
      <c r="SQB45" s="595"/>
      <c r="SQC45" s="595"/>
      <c r="SQD45" s="595"/>
      <c r="SQE45" s="595"/>
      <c r="SQF45" s="595"/>
      <c r="SQG45" s="595"/>
      <c r="SQH45" s="595"/>
      <c r="SQI45" s="595"/>
      <c r="SQJ45" s="595"/>
      <c r="SQK45" s="595"/>
      <c r="SQL45" s="595"/>
      <c r="SQM45" s="595"/>
      <c r="SQN45" s="595"/>
      <c r="SQO45" s="595"/>
      <c r="SQP45" s="595"/>
      <c r="SQQ45" s="595"/>
      <c r="SQR45" s="595"/>
      <c r="SQS45" s="595"/>
      <c r="SQT45" s="595"/>
      <c r="SQU45" s="595"/>
      <c r="SQV45" s="595"/>
      <c r="SQW45" s="595"/>
      <c r="SQX45" s="595"/>
      <c r="SQY45" s="595"/>
      <c r="SQZ45" s="595"/>
      <c r="SRA45" s="595"/>
      <c r="SRB45" s="595"/>
      <c r="SRC45" s="595"/>
      <c r="SRD45" s="595"/>
      <c r="SRE45" s="595"/>
      <c r="SRF45" s="595"/>
      <c r="SRG45" s="595"/>
      <c r="SRH45" s="595"/>
      <c r="SRI45" s="595"/>
      <c r="SRJ45" s="595"/>
      <c r="SRK45" s="595"/>
      <c r="SRL45" s="595"/>
      <c r="SRM45" s="595"/>
      <c r="SRN45" s="595"/>
      <c r="SRO45" s="595"/>
      <c r="SRP45" s="595"/>
      <c r="SRQ45" s="595"/>
      <c r="SRR45" s="595"/>
      <c r="SRS45" s="595"/>
      <c r="SRT45" s="595"/>
      <c r="SRU45" s="595"/>
      <c r="SRV45" s="595"/>
      <c r="SRW45" s="595"/>
      <c r="SRX45" s="595"/>
      <c r="SRY45" s="595"/>
      <c r="SRZ45" s="595"/>
      <c r="SSA45" s="595"/>
      <c r="SSB45" s="595"/>
      <c r="SSC45" s="595"/>
      <c r="SSD45" s="595"/>
      <c r="SSE45" s="595"/>
      <c r="SSF45" s="595"/>
      <c r="SSG45" s="595"/>
      <c r="SSH45" s="595"/>
      <c r="SSI45" s="595"/>
      <c r="SSJ45" s="595"/>
      <c r="SSK45" s="595"/>
      <c r="SSL45" s="595"/>
      <c r="SSM45" s="595"/>
      <c r="SSN45" s="595"/>
      <c r="SSO45" s="595"/>
      <c r="SSP45" s="595"/>
      <c r="SSQ45" s="595"/>
      <c r="SSR45" s="595"/>
      <c r="SSS45" s="595"/>
      <c r="SST45" s="595"/>
      <c r="SSU45" s="595"/>
      <c r="SSV45" s="595"/>
      <c r="SSW45" s="595"/>
      <c r="SSX45" s="595"/>
      <c r="SSY45" s="595"/>
      <c r="SSZ45" s="595"/>
      <c r="STA45" s="595"/>
      <c r="STB45" s="595"/>
      <c r="STC45" s="595"/>
      <c r="STD45" s="595"/>
      <c r="STE45" s="595"/>
      <c r="STF45" s="595"/>
      <c r="STG45" s="595"/>
      <c r="STH45" s="595"/>
      <c r="STI45" s="595"/>
      <c r="STJ45" s="595"/>
      <c r="STK45" s="595"/>
      <c r="STL45" s="595"/>
      <c r="STM45" s="595"/>
      <c r="STN45" s="595"/>
      <c r="STO45" s="595"/>
      <c r="STP45" s="595"/>
      <c r="STQ45" s="595"/>
      <c r="STR45" s="595"/>
      <c r="STS45" s="595"/>
      <c r="STT45" s="595"/>
      <c r="STU45" s="595"/>
      <c r="STV45" s="595"/>
      <c r="STW45" s="595"/>
      <c r="STX45" s="595"/>
      <c r="STY45" s="595"/>
      <c r="STZ45" s="595"/>
      <c r="SUA45" s="595"/>
      <c r="SUB45" s="595"/>
      <c r="SUC45" s="595"/>
      <c r="SUD45" s="595"/>
      <c r="SUE45" s="595"/>
      <c r="SUF45" s="595"/>
      <c r="SUG45" s="595"/>
      <c r="SUH45" s="595"/>
      <c r="SUI45" s="595"/>
      <c r="SUJ45" s="595"/>
      <c r="SUK45" s="595"/>
      <c r="SUL45" s="595"/>
      <c r="SUM45" s="595"/>
      <c r="SUN45" s="595"/>
      <c r="SUO45" s="595"/>
      <c r="SUP45" s="595"/>
      <c r="SUQ45" s="595"/>
      <c r="SUR45" s="595"/>
      <c r="SUS45" s="595"/>
      <c r="SUT45" s="595"/>
      <c r="SUU45" s="595"/>
      <c r="SUV45" s="595"/>
      <c r="SUW45" s="595"/>
      <c r="SUX45" s="595"/>
      <c r="SUY45" s="595"/>
      <c r="SUZ45" s="595"/>
      <c r="SVA45" s="595"/>
      <c r="SVB45" s="595"/>
      <c r="SVC45" s="595"/>
      <c r="SVD45" s="595"/>
      <c r="SVE45" s="595"/>
      <c r="SVF45" s="595"/>
      <c r="SVG45" s="595"/>
      <c r="SVH45" s="595"/>
      <c r="SVI45" s="595"/>
      <c r="SVJ45" s="595"/>
      <c r="SVK45" s="595"/>
      <c r="SVL45" s="595"/>
      <c r="SVM45" s="595"/>
      <c r="SVN45" s="595"/>
      <c r="SVO45" s="595"/>
      <c r="SVP45" s="595"/>
      <c r="SVQ45" s="595"/>
      <c r="SVR45" s="595"/>
      <c r="SVS45" s="595"/>
      <c r="SVT45" s="595"/>
      <c r="SVU45" s="595"/>
      <c r="SVV45" s="595"/>
      <c r="SVW45" s="595"/>
      <c r="SVX45" s="595"/>
      <c r="SVY45" s="595"/>
      <c r="SVZ45" s="595"/>
      <c r="SWA45" s="595"/>
      <c r="SWB45" s="595"/>
      <c r="SWC45" s="595"/>
      <c r="SWD45" s="595"/>
      <c r="SWE45" s="595"/>
      <c r="SWF45" s="595"/>
      <c r="SWG45" s="595"/>
      <c r="SWH45" s="595"/>
      <c r="SWI45" s="595"/>
      <c r="SWJ45" s="595"/>
      <c r="SWK45" s="595"/>
      <c r="SWL45" s="595"/>
      <c r="SWM45" s="595"/>
      <c r="SWN45" s="595"/>
      <c r="SWO45" s="595"/>
      <c r="SWP45" s="595"/>
      <c r="SWQ45" s="595"/>
      <c r="SWR45" s="595"/>
      <c r="SWS45" s="595"/>
      <c r="SWT45" s="595"/>
      <c r="SWU45" s="595"/>
      <c r="SWV45" s="595"/>
      <c r="SWW45" s="595"/>
      <c r="SWX45" s="595"/>
      <c r="SWY45" s="595"/>
      <c r="SWZ45" s="595"/>
      <c r="SXA45" s="595"/>
      <c r="SXB45" s="595"/>
      <c r="SXC45" s="595"/>
      <c r="SXD45" s="595"/>
      <c r="SXE45" s="595"/>
      <c r="SXF45" s="595"/>
      <c r="SXG45" s="595"/>
      <c r="SXH45" s="595"/>
      <c r="SXI45" s="595"/>
      <c r="SXJ45" s="595"/>
      <c r="SXK45" s="595"/>
      <c r="SXL45" s="595"/>
      <c r="SXM45" s="595"/>
      <c r="SXN45" s="595"/>
      <c r="SXO45" s="595"/>
      <c r="SXP45" s="595"/>
      <c r="SXQ45" s="595"/>
      <c r="SXR45" s="595"/>
      <c r="SXS45" s="595"/>
      <c r="SXT45" s="595"/>
      <c r="SXU45" s="595"/>
      <c r="SXV45" s="595"/>
      <c r="SXW45" s="595"/>
      <c r="SXX45" s="595"/>
      <c r="SXY45" s="595"/>
      <c r="SXZ45" s="595"/>
      <c r="SYA45" s="595"/>
      <c r="SYB45" s="595"/>
      <c r="SYC45" s="595"/>
      <c r="SYD45" s="595"/>
      <c r="SYE45" s="595"/>
      <c r="SYF45" s="595"/>
      <c r="SYG45" s="595"/>
      <c r="SYH45" s="595"/>
      <c r="SYI45" s="595"/>
      <c r="SYJ45" s="595"/>
      <c r="SYK45" s="595"/>
      <c r="SYL45" s="595"/>
      <c r="SYM45" s="595"/>
      <c r="SYN45" s="595"/>
      <c r="SYO45" s="595"/>
      <c r="SYP45" s="595"/>
      <c r="SYQ45" s="595"/>
      <c r="SYR45" s="595"/>
      <c r="SYS45" s="595"/>
      <c r="SYT45" s="595"/>
      <c r="SYU45" s="595"/>
      <c r="SYV45" s="595"/>
      <c r="SYW45" s="595"/>
      <c r="SYX45" s="595"/>
      <c r="SYY45" s="595"/>
      <c r="SYZ45" s="595"/>
      <c r="SZA45" s="595"/>
      <c r="SZB45" s="595"/>
      <c r="SZC45" s="595"/>
      <c r="SZD45" s="595"/>
      <c r="SZE45" s="595"/>
      <c r="SZF45" s="595"/>
      <c r="SZG45" s="595"/>
      <c r="SZH45" s="595"/>
      <c r="SZI45" s="595"/>
      <c r="SZJ45" s="595"/>
      <c r="SZK45" s="595"/>
      <c r="SZL45" s="595"/>
      <c r="SZM45" s="595"/>
      <c r="SZN45" s="595"/>
      <c r="SZO45" s="595"/>
      <c r="SZP45" s="595"/>
      <c r="SZQ45" s="595"/>
      <c r="SZR45" s="595"/>
      <c r="SZS45" s="595"/>
      <c r="SZT45" s="595"/>
      <c r="SZU45" s="595"/>
      <c r="SZV45" s="595"/>
      <c r="SZW45" s="595"/>
      <c r="SZX45" s="595"/>
      <c r="SZY45" s="595"/>
      <c r="SZZ45" s="595"/>
      <c r="TAA45" s="595"/>
      <c r="TAB45" s="595"/>
      <c r="TAC45" s="595"/>
      <c r="TAD45" s="595"/>
      <c r="TAE45" s="595"/>
      <c r="TAF45" s="595"/>
      <c r="TAG45" s="595"/>
      <c r="TAH45" s="595"/>
      <c r="TAI45" s="595"/>
      <c r="TAJ45" s="595"/>
      <c r="TAK45" s="595"/>
      <c r="TAL45" s="595"/>
      <c r="TAM45" s="595"/>
      <c r="TAN45" s="595"/>
      <c r="TAO45" s="595"/>
      <c r="TAP45" s="595"/>
      <c r="TAQ45" s="595"/>
      <c r="TAR45" s="595"/>
      <c r="TAS45" s="595"/>
      <c r="TAT45" s="595"/>
      <c r="TAU45" s="595"/>
      <c r="TAV45" s="595"/>
      <c r="TAW45" s="595"/>
      <c r="TAX45" s="595"/>
      <c r="TAY45" s="595"/>
      <c r="TAZ45" s="595"/>
      <c r="TBA45" s="595"/>
      <c r="TBB45" s="595"/>
      <c r="TBC45" s="595"/>
      <c r="TBD45" s="595"/>
      <c r="TBE45" s="595"/>
      <c r="TBF45" s="595"/>
      <c r="TBG45" s="595"/>
      <c r="TBH45" s="595"/>
      <c r="TBI45" s="595"/>
      <c r="TBJ45" s="595"/>
      <c r="TBK45" s="595"/>
      <c r="TBL45" s="595"/>
      <c r="TBM45" s="595"/>
      <c r="TBN45" s="595"/>
      <c r="TBO45" s="595"/>
      <c r="TBP45" s="595"/>
      <c r="TBQ45" s="595"/>
      <c r="TBR45" s="595"/>
      <c r="TBS45" s="595"/>
      <c r="TBT45" s="595"/>
      <c r="TBU45" s="595"/>
      <c r="TBV45" s="595"/>
      <c r="TBW45" s="595"/>
      <c r="TBX45" s="595"/>
      <c r="TBY45" s="595"/>
      <c r="TBZ45" s="595"/>
      <c r="TCA45" s="595"/>
      <c r="TCB45" s="595"/>
      <c r="TCC45" s="595"/>
      <c r="TCD45" s="595"/>
      <c r="TCE45" s="595"/>
      <c r="TCF45" s="595"/>
      <c r="TCG45" s="595"/>
      <c r="TCH45" s="595"/>
      <c r="TCI45" s="595"/>
      <c r="TCJ45" s="595"/>
      <c r="TCK45" s="595"/>
      <c r="TCL45" s="595"/>
      <c r="TCM45" s="595"/>
      <c r="TCN45" s="595"/>
      <c r="TCO45" s="595"/>
      <c r="TCP45" s="595"/>
      <c r="TCQ45" s="595"/>
      <c r="TCR45" s="595"/>
      <c r="TCS45" s="595"/>
      <c r="TCT45" s="595"/>
      <c r="TCU45" s="595"/>
      <c r="TCV45" s="595"/>
      <c r="TCW45" s="595"/>
      <c r="TCX45" s="595"/>
      <c r="TCY45" s="595"/>
      <c r="TCZ45" s="595"/>
      <c r="TDA45" s="595"/>
      <c r="TDB45" s="595"/>
      <c r="TDC45" s="595"/>
      <c r="TDD45" s="595"/>
      <c r="TDE45" s="595"/>
      <c r="TDF45" s="595"/>
      <c r="TDG45" s="595"/>
      <c r="TDH45" s="595"/>
      <c r="TDI45" s="595"/>
      <c r="TDJ45" s="595"/>
      <c r="TDK45" s="595"/>
      <c r="TDL45" s="595"/>
      <c r="TDM45" s="595"/>
      <c r="TDN45" s="595"/>
      <c r="TDO45" s="595"/>
      <c r="TDP45" s="595"/>
      <c r="TDQ45" s="595"/>
      <c r="TDR45" s="595"/>
      <c r="TDS45" s="595"/>
      <c r="TDT45" s="595"/>
      <c r="TDU45" s="595"/>
      <c r="TDV45" s="595"/>
      <c r="TDW45" s="595"/>
      <c r="TDX45" s="595"/>
      <c r="TDY45" s="595"/>
      <c r="TDZ45" s="595"/>
      <c r="TEA45" s="595"/>
      <c r="TEB45" s="595"/>
      <c r="TEC45" s="595"/>
      <c r="TED45" s="595"/>
      <c r="TEE45" s="595"/>
      <c r="TEF45" s="595"/>
      <c r="TEG45" s="595"/>
      <c r="TEH45" s="595"/>
      <c r="TEI45" s="595"/>
      <c r="TEJ45" s="595"/>
      <c r="TEK45" s="595"/>
      <c r="TEL45" s="595"/>
      <c r="TEM45" s="595"/>
      <c r="TEN45" s="595"/>
      <c r="TEO45" s="595"/>
      <c r="TEP45" s="595"/>
      <c r="TEQ45" s="595"/>
      <c r="TER45" s="595"/>
      <c r="TES45" s="595"/>
      <c r="TET45" s="595"/>
      <c r="TEU45" s="595"/>
      <c r="TEV45" s="595"/>
      <c r="TEW45" s="595"/>
      <c r="TEX45" s="595"/>
      <c r="TEY45" s="595"/>
      <c r="TEZ45" s="595"/>
      <c r="TFA45" s="595"/>
      <c r="TFB45" s="595"/>
      <c r="TFC45" s="595"/>
      <c r="TFD45" s="595"/>
      <c r="TFE45" s="595"/>
      <c r="TFF45" s="595"/>
      <c r="TFG45" s="595"/>
      <c r="TFH45" s="595"/>
      <c r="TFI45" s="595"/>
      <c r="TFJ45" s="595"/>
      <c r="TFK45" s="595"/>
      <c r="TFL45" s="595"/>
      <c r="TFM45" s="595"/>
      <c r="TFN45" s="595"/>
      <c r="TFO45" s="595"/>
      <c r="TFP45" s="595"/>
      <c r="TFQ45" s="595"/>
      <c r="TFR45" s="595"/>
      <c r="TFS45" s="595"/>
      <c r="TFT45" s="595"/>
      <c r="TFU45" s="595"/>
      <c r="TFV45" s="595"/>
      <c r="TFW45" s="595"/>
      <c r="TFX45" s="595"/>
      <c r="TFY45" s="595"/>
      <c r="TFZ45" s="595"/>
      <c r="TGA45" s="595"/>
      <c r="TGB45" s="595"/>
      <c r="TGC45" s="595"/>
      <c r="TGD45" s="595"/>
      <c r="TGE45" s="595"/>
      <c r="TGF45" s="595"/>
      <c r="TGG45" s="595"/>
      <c r="TGH45" s="595"/>
      <c r="TGI45" s="595"/>
      <c r="TGJ45" s="595"/>
      <c r="TGK45" s="595"/>
      <c r="TGL45" s="595"/>
      <c r="TGM45" s="595"/>
      <c r="TGN45" s="595"/>
      <c r="TGO45" s="595"/>
      <c r="TGP45" s="595"/>
      <c r="TGQ45" s="595"/>
      <c r="TGR45" s="595"/>
      <c r="TGS45" s="595"/>
      <c r="TGT45" s="595"/>
      <c r="TGU45" s="595"/>
      <c r="TGV45" s="595"/>
      <c r="TGW45" s="595"/>
      <c r="TGX45" s="595"/>
      <c r="TGY45" s="595"/>
      <c r="TGZ45" s="595"/>
      <c r="THA45" s="595"/>
      <c r="THB45" s="595"/>
      <c r="THC45" s="595"/>
      <c r="THD45" s="595"/>
      <c r="THE45" s="595"/>
      <c r="THF45" s="595"/>
      <c r="THG45" s="595"/>
      <c r="THH45" s="595"/>
      <c r="THI45" s="595"/>
      <c r="THJ45" s="595"/>
      <c r="THK45" s="595"/>
      <c r="THL45" s="595"/>
      <c r="THM45" s="595"/>
      <c r="THN45" s="595"/>
      <c r="THO45" s="595"/>
      <c r="THP45" s="595"/>
      <c r="THQ45" s="595"/>
      <c r="THR45" s="595"/>
      <c r="THS45" s="595"/>
      <c r="THT45" s="595"/>
      <c r="THU45" s="595"/>
      <c r="THV45" s="595"/>
      <c r="THW45" s="595"/>
      <c r="THX45" s="595"/>
      <c r="THY45" s="595"/>
      <c r="THZ45" s="595"/>
      <c r="TIA45" s="595"/>
      <c r="TIB45" s="595"/>
      <c r="TIC45" s="595"/>
      <c r="TID45" s="595"/>
      <c r="TIE45" s="595"/>
      <c r="TIF45" s="595"/>
      <c r="TIG45" s="595"/>
      <c r="TIH45" s="595"/>
      <c r="TII45" s="595"/>
      <c r="TIJ45" s="595"/>
      <c r="TIK45" s="595"/>
      <c r="TIL45" s="595"/>
      <c r="TIM45" s="595"/>
      <c r="TIN45" s="595"/>
      <c r="TIO45" s="595"/>
      <c r="TIP45" s="595"/>
      <c r="TIQ45" s="595"/>
      <c r="TIR45" s="595"/>
      <c r="TIS45" s="595"/>
      <c r="TIT45" s="595"/>
      <c r="TIU45" s="595"/>
      <c r="TIV45" s="595"/>
      <c r="TIW45" s="595"/>
      <c r="TIX45" s="595"/>
      <c r="TIY45" s="595"/>
      <c r="TIZ45" s="595"/>
      <c r="TJA45" s="595"/>
      <c r="TJB45" s="595"/>
      <c r="TJC45" s="595"/>
      <c r="TJD45" s="595"/>
      <c r="TJE45" s="595"/>
      <c r="TJF45" s="595"/>
      <c r="TJG45" s="595"/>
      <c r="TJH45" s="595"/>
      <c r="TJI45" s="595"/>
      <c r="TJJ45" s="595"/>
      <c r="TJK45" s="595"/>
      <c r="TJL45" s="595"/>
      <c r="TJM45" s="595"/>
      <c r="TJN45" s="595"/>
      <c r="TJO45" s="595"/>
      <c r="TJP45" s="595"/>
      <c r="TJQ45" s="595"/>
      <c r="TJR45" s="595"/>
      <c r="TJS45" s="595"/>
      <c r="TJT45" s="595"/>
      <c r="TJU45" s="595"/>
      <c r="TJV45" s="595"/>
      <c r="TJW45" s="595"/>
      <c r="TJX45" s="595"/>
      <c r="TJY45" s="595"/>
      <c r="TJZ45" s="595"/>
      <c r="TKA45" s="595"/>
      <c r="TKB45" s="595"/>
      <c r="TKC45" s="595"/>
      <c r="TKD45" s="595"/>
      <c r="TKE45" s="595"/>
      <c r="TKF45" s="595"/>
      <c r="TKG45" s="595"/>
      <c r="TKH45" s="595"/>
      <c r="TKI45" s="595"/>
      <c r="TKJ45" s="595"/>
      <c r="TKK45" s="595"/>
      <c r="TKL45" s="595"/>
      <c r="TKM45" s="595"/>
      <c r="TKN45" s="595"/>
      <c r="TKO45" s="595"/>
      <c r="TKP45" s="595"/>
      <c r="TKQ45" s="595"/>
      <c r="TKR45" s="595"/>
      <c r="TKS45" s="595"/>
      <c r="TKT45" s="595"/>
      <c r="TKU45" s="595"/>
      <c r="TKV45" s="595"/>
      <c r="TKW45" s="595"/>
      <c r="TKX45" s="595"/>
      <c r="TKY45" s="595"/>
      <c r="TKZ45" s="595"/>
      <c r="TLA45" s="595"/>
      <c r="TLB45" s="595"/>
      <c r="TLC45" s="595"/>
      <c r="TLD45" s="595"/>
      <c r="TLE45" s="595"/>
      <c r="TLF45" s="595"/>
      <c r="TLG45" s="595"/>
      <c r="TLH45" s="595"/>
      <c r="TLI45" s="595"/>
      <c r="TLJ45" s="595"/>
      <c r="TLK45" s="595"/>
      <c r="TLL45" s="595"/>
      <c r="TLM45" s="595"/>
      <c r="TLN45" s="595"/>
      <c r="TLO45" s="595"/>
      <c r="TLP45" s="595"/>
      <c r="TLQ45" s="595"/>
      <c r="TLR45" s="595"/>
      <c r="TLS45" s="595"/>
      <c r="TLT45" s="595"/>
      <c r="TLU45" s="595"/>
      <c r="TLV45" s="595"/>
      <c r="TLW45" s="595"/>
      <c r="TLX45" s="595"/>
      <c r="TLY45" s="595"/>
      <c r="TLZ45" s="595"/>
      <c r="TMA45" s="595"/>
      <c r="TMB45" s="595"/>
      <c r="TMC45" s="595"/>
      <c r="TMD45" s="595"/>
      <c r="TME45" s="595"/>
      <c r="TMF45" s="595"/>
      <c r="TMG45" s="595"/>
      <c r="TMH45" s="595"/>
      <c r="TMI45" s="595"/>
      <c r="TMJ45" s="595"/>
      <c r="TMK45" s="595"/>
      <c r="TML45" s="595"/>
      <c r="TMM45" s="595"/>
      <c r="TMN45" s="595"/>
      <c r="TMO45" s="595"/>
      <c r="TMP45" s="595"/>
      <c r="TMQ45" s="595"/>
      <c r="TMR45" s="595"/>
      <c r="TMS45" s="595"/>
      <c r="TMT45" s="595"/>
      <c r="TMU45" s="595"/>
      <c r="TMV45" s="595"/>
      <c r="TMW45" s="595"/>
      <c r="TMX45" s="595"/>
      <c r="TMY45" s="595"/>
      <c r="TMZ45" s="595"/>
      <c r="TNA45" s="595"/>
      <c r="TNB45" s="595"/>
      <c r="TNC45" s="595"/>
      <c r="TND45" s="595"/>
      <c r="TNE45" s="595"/>
      <c r="TNF45" s="595"/>
      <c r="TNG45" s="595"/>
      <c r="TNH45" s="595"/>
      <c r="TNI45" s="595"/>
      <c r="TNJ45" s="595"/>
      <c r="TNK45" s="595"/>
      <c r="TNL45" s="595"/>
      <c r="TNM45" s="595"/>
      <c r="TNN45" s="595"/>
      <c r="TNO45" s="595"/>
      <c r="TNP45" s="595"/>
      <c r="TNQ45" s="595"/>
      <c r="TNR45" s="595"/>
      <c r="TNS45" s="595"/>
      <c r="TNT45" s="595"/>
      <c r="TNU45" s="595"/>
      <c r="TNV45" s="595"/>
      <c r="TNW45" s="595"/>
      <c r="TNX45" s="595"/>
      <c r="TNY45" s="595"/>
      <c r="TNZ45" s="595"/>
      <c r="TOA45" s="595"/>
      <c r="TOB45" s="595"/>
      <c r="TOC45" s="595"/>
      <c r="TOD45" s="595"/>
      <c r="TOE45" s="595"/>
      <c r="TOF45" s="595"/>
      <c r="TOG45" s="595"/>
      <c r="TOH45" s="595"/>
      <c r="TOI45" s="595"/>
      <c r="TOJ45" s="595"/>
      <c r="TOK45" s="595"/>
      <c r="TOL45" s="595"/>
      <c r="TOM45" s="595"/>
      <c r="TON45" s="595"/>
      <c r="TOO45" s="595"/>
      <c r="TOP45" s="595"/>
      <c r="TOQ45" s="595"/>
      <c r="TOR45" s="595"/>
      <c r="TOS45" s="595"/>
      <c r="TOT45" s="595"/>
      <c r="TOU45" s="595"/>
      <c r="TOV45" s="595"/>
      <c r="TOW45" s="595"/>
      <c r="TOX45" s="595"/>
      <c r="TOY45" s="595"/>
      <c r="TOZ45" s="595"/>
      <c r="TPA45" s="595"/>
      <c r="TPB45" s="595"/>
      <c r="TPC45" s="595"/>
      <c r="TPD45" s="595"/>
      <c r="TPE45" s="595"/>
      <c r="TPF45" s="595"/>
      <c r="TPG45" s="595"/>
      <c r="TPH45" s="595"/>
      <c r="TPI45" s="595"/>
      <c r="TPJ45" s="595"/>
      <c r="TPK45" s="595"/>
      <c r="TPL45" s="595"/>
      <c r="TPM45" s="595"/>
      <c r="TPN45" s="595"/>
      <c r="TPO45" s="595"/>
      <c r="TPP45" s="595"/>
      <c r="TPQ45" s="595"/>
      <c r="TPR45" s="595"/>
      <c r="TPS45" s="595"/>
      <c r="TPT45" s="595"/>
      <c r="TPU45" s="595"/>
      <c r="TPV45" s="595"/>
      <c r="TPW45" s="595"/>
      <c r="TPX45" s="595"/>
      <c r="TPY45" s="595"/>
      <c r="TPZ45" s="595"/>
      <c r="TQA45" s="595"/>
      <c r="TQB45" s="595"/>
      <c r="TQC45" s="595"/>
      <c r="TQD45" s="595"/>
      <c r="TQE45" s="595"/>
      <c r="TQF45" s="595"/>
      <c r="TQG45" s="595"/>
      <c r="TQH45" s="595"/>
      <c r="TQI45" s="595"/>
      <c r="TQJ45" s="595"/>
      <c r="TQK45" s="595"/>
      <c r="TQL45" s="595"/>
      <c r="TQM45" s="595"/>
      <c r="TQN45" s="595"/>
      <c r="TQO45" s="595"/>
      <c r="TQP45" s="595"/>
      <c r="TQQ45" s="595"/>
      <c r="TQR45" s="595"/>
      <c r="TQS45" s="595"/>
      <c r="TQT45" s="595"/>
      <c r="TQU45" s="595"/>
      <c r="TQV45" s="595"/>
      <c r="TQW45" s="595"/>
      <c r="TQX45" s="595"/>
      <c r="TQY45" s="595"/>
      <c r="TQZ45" s="595"/>
      <c r="TRA45" s="595"/>
      <c r="TRB45" s="595"/>
      <c r="TRC45" s="595"/>
      <c r="TRD45" s="595"/>
      <c r="TRE45" s="595"/>
      <c r="TRF45" s="595"/>
      <c r="TRG45" s="595"/>
      <c r="TRH45" s="595"/>
      <c r="TRI45" s="595"/>
      <c r="TRJ45" s="595"/>
      <c r="TRK45" s="595"/>
      <c r="TRL45" s="595"/>
      <c r="TRM45" s="595"/>
      <c r="TRN45" s="595"/>
      <c r="TRO45" s="595"/>
      <c r="TRP45" s="595"/>
      <c r="TRQ45" s="595"/>
      <c r="TRR45" s="595"/>
      <c r="TRS45" s="595"/>
      <c r="TRT45" s="595"/>
      <c r="TRU45" s="595"/>
      <c r="TRV45" s="595"/>
      <c r="TRW45" s="595"/>
      <c r="TRX45" s="595"/>
      <c r="TRY45" s="595"/>
      <c r="TRZ45" s="595"/>
      <c r="TSA45" s="595"/>
      <c r="TSB45" s="595"/>
      <c r="TSC45" s="595"/>
      <c r="TSD45" s="595"/>
      <c r="TSE45" s="595"/>
      <c r="TSF45" s="595"/>
      <c r="TSG45" s="595"/>
      <c r="TSH45" s="595"/>
      <c r="TSI45" s="595"/>
      <c r="TSJ45" s="595"/>
      <c r="TSK45" s="595"/>
      <c r="TSL45" s="595"/>
      <c r="TSM45" s="595"/>
      <c r="TSN45" s="595"/>
      <c r="TSO45" s="595"/>
      <c r="TSP45" s="595"/>
      <c r="TSQ45" s="595"/>
      <c r="TSR45" s="595"/>
      <c r="TSS45" s="595"/>
      <c r="TST45" s="595"/>
      <c r="TSU45" s="595"/>
      <c r="TSV45" s="595"/>
      <c r="TSW45" s="595"/>
      <c r="TSX45" s="595"/>
      <c r="TSY45" s="595"/>
      <c r="TSZ45" s="595"/>
      <c r="TTA45" s="595"/>
      <c r="TTB45" s="595"/>
      <c r="TTC45" s="595"/>
      <c r="TTD45" s="595"/>
      <c r="TTE45" s="595"/>
      <c r="TTF45" s="595"/>
      <c r="TTG45" s="595"/>
      <c r="TTH45" s="595"/>
      <c r="TTI45" s="595"/>
      <c r="TTJ45" s="595"/>
      <c r="TTK45" s="595"/>
      <c r="TTL45" s="595"/>
      <c r="TTM45" s="595"/>
      <c r="TTN45" s="595"/>
      <c r="TTO45" s="595"/>
      <c r="TTP45" s="595"/>
      <c r="TTQ45" s="595"/>
      <c r="TTR45" s="595"/>
      <c r="TTS45" s="595"/>
      <c r="TTT45" s="595"/>
      <c r="TTU45" s="595"/>
      <c r="TTV45" s="595"/>
      <c r="TTW45" s="595"/>
      <c r="TTX45" s="595"/>
      <c r="TTY45" s="595"/>
      <c r="TTZ45" s="595"/>
      <c r="TUA45" s="595"/>
      <c r="TUB45" s="595"/>
      <c r="TUC45" s="595"/>
      <c r="TUD45" s="595"/>
      <c r="TUE45" s="595"/>
      <c r="TUF45" s="595"/>
      <c r="TUG45" s="595"/>
      <c r="TUH45" s="595"/>
      <c r="TUI45" s="595"/>
      <c r="TUJ45" s="595"/>
      <c r="TUK45" s="595"/>
      <c r="TUL45" s="595"/>
      <c r="TUM45" s="595"/>
      <c r="TUN45" s="595"/>
      <c r="TUO45" s="595"/>
      <c r="TUP45" s="595"/>
      <c r="TUQ45" s="595"/>
      <c r="TUR45" s="595"/>
      <c r="TUS45" s="595"/>
      <c r="TUT45" s="595"/>
      <c r="TUU45" s="595"/>
      <c r="TUV45" s="595"/>
      <c r="TUW45" s="595"/>
      <c r="TUX45" s="595"/>
      <c r="TUY45" s="595"/>
      <c r="TUZ45" s="595"/>
      <c r="TVA45" s="595"/>
      <c r="TVB45" s="595"/>
      <c r="TVC45" s="595"/>
      <c r="TVD45" s="595"/>
      <c r="TVE45" s="595"/>
      <c r="TVF45" s="595"/>
      <c r="TVG45" s="595"/>
      <c r="TVH45" s="595"/>
      <c r="TVI45" s="595"/>
      <c r="TVJ45" s="595"/>
      <c r="TVK45" s="595"/>
      <c r="TVL45" s="595"/>
      <c r="TVM45" s="595"/>
      <c r="TVN45" s="595"/>
      <c r="TVO45" s="595"/>
      <c r="TVP45" s="595"/>
      <c r="TVQ45" s="595"/>
      <c r="TVR45" s="595"/>
      <c r="TVS45" s="595"/>
      <c r="TVT45" s="595"/>
      <c r="TVU45" s="595"/>
      <c r="TVV45" s="595"/>
      <c r="TVW45" s="595"/>
      <c r="TVX45" s="595"/>
      <c r="TVY45" s="595"/>
      <c r="TVZ45" s="595"/>
      <c r="TWA45" s="595"/>
      <c r="TWB45" s="595"/>
      <c r="TWC45" s="595"/>
      <c r="TWD45" s="595"/>
      <c r="TWE45" s="595"/>
      <c r="TWF45" s="595"/>
      <c r="TWG45" s="595"/>
      <c r="TWH45" s="595"/>
      <c r="TWI45" s="595"/>
      <c r="TWJ45" s="595"/>
      <c r="TWK45" s="595"/>
      <c r="TWL45" s="595"/>
      <c r="TWM45" s="595"/>
      <c r="TWN45" s="595"/>
      <c r="TWO45" s="595"/>
      <c r="TWP45" s="595"/>
      <c r="TWQ45" s="595"/>
      <c r="TWR45" s="595"/>
      <c r="TWS45" s="595"/>
      <c r="TWT45" s="595"/>
      <c r="TWU45" s="595"/>
      <c r="TWV45" s="595"/>
      <c r="TWW45" s="595"/>
      <c r="TWX45" s="595"/>
      <c r="TWY45" s="595"/>
      <c r="TWZ45" s="595"/>
      <c r="TXA45" s="595"/>
      <c r="TXB45" s="595"/>
      <c r="TXC45" s="595"/>
      <c r="TXD45" s="595"/>
      <c r="TXE45" s="595"/>
      <c r="TXF45" s="595"/>
      <c r="TXG45" s="595"/>
      <c r="TXH45" s="595"/>
      <c r="TXI45" s="595"/>
      <c r="TXJ45" s="595"/>
      <c r="TXK45" s="595"/>
      <c r="TXL45" s="595"/>
      <c r="TXM45" s="595"/>
      <c r="TXN45" s="595"/>
      <c r="TXO45" s="595"/>
      <c r="TXP45" s="595"/>
      <c r="TXQ45" s="595"/>
      <c r="TXR45" s="595"/>
      <c r="TXS45" s="595"/>
      <c r="TXT45" s="595"/>
      <c r="TXU45" s="595"/>
      <c r="TXV45" s="595"/>
      <c r="TXW45" s="595"/>
      <c r="TXX45" s="595"/>
      <c r="TXY45" s="595"/>
      <c r="TXZ45" s="595"/>
      <c r="TYA45" s="595"/>
      <c r="TYB45" s="595"/>
      <c r="TYC45" s="595"/>
      <c r="TYD45" s="595"/>
      <c r="TYE45" s="595"/>
      <c r="TYF45" s="595"/>
      <c r="TYG45" s="595"/>
      <c r="TYH45" s="595"/>
      <c r="TYI45" s="595"/>
      <c r="TYJ45" s="595"/>
      <c r="TYK45" s="595"/>
      <c r="TYL45" s="595"/>
      <c r="TYM45" s="595"/>
      <c r="TYN45" s="595"/>
      <c r="TYO45" s="595"/>
      <c r="TYP45" s="595"/>
      <c r="TYQ45" s="595"/>
      <c r="TYR45" s="595"/>
      <c r="TYS45" s="595"/>
      <c r="TYT45" s="595"/>
      <c r="TYU45" s="595"/>
      <c r="TYV45" s="595"/>
      <c r="TYW45" s="595"/>
      <c r="TYX45" s="595"/>
      <c r="TYY45" s="595"/>
      <c r="TYZ45" s="595"/>
      <c r="TZA45" s="595"/>
      <c r="TZB45" s="595"/>
      <c r="TZC45" s="595"/>
      <c r="TZD45" s="595"/>
      <c r="TZE45" s="595"/>
      <c r="TZF45" s="595"/>
      <c r="TZG45" s="595"/>
      <c r="TZH45" s="595"/>
      <c r="TZI45" s="595"/>
      <c r="TZJ45" s="595"/>
      <c r="TZK45" s="595"/>
      <c r="TZL45" s="595"/>
      <c r="TZM45" s="595"/>
      <c r="TZN45" s="595"/>
      <c r="TZO45" s="595"/>
      <c r="TZP45" s="595"/>
      <c r="TZQ45" s="595"/>
      <c r="TZR45" s="595"/>
      <c r="TZS45" s="595"/>
      <c r="TZT45" s="595"/>
      <c r="TZU45" s="595"/>
      <c r="TZV45" s="595"/>
      <c r="TZW45" s="595"/>
      <c r="TZX45" s="595"/>
      <c r="TZY45" s="595"/>
      <c r="TZZ45" s="595"/>
      <c r="UAA45" s="595"/>
      <c r="UAB45" s="595"/>
      <c r="UAC45" s="595"/>
      <c r="UAD45" s="595"/>
      <c r="UAE45" s="595"/>
      <c r="UAF45" s="595"/>
      <c r="UAG45" s="595"/>
      <c r="UAH45" s="595"/>
      <c r="UAI45" s="595"/>
      <c r="UAJ45" s="595"/>
      <c r="UAK45" s="595"/>
      <c r="UAL45" s="595"/>
      <c r="UAM45" s="595"/>
      <c r="UAN45" s="595"/>
      <c r="UAO45" s="595"/>
      <c r="UAP45" s="595"/>
      <c r="UAQ45" s="595"/>
      <c r="UAR45" s="595"/>
      <c r="UAS45" s="595"/>
      <c r="UAT45" s="595"/>
      <c r="UAU45" s="595"/>
      <c r="UAV45" s="595"/>
      <c r="UAW45" s="595"/>
      <c r="UAX45" s="595"/>
      <c r="UAY45" s="595"/>
      <c r="UAZ45" s="595"/>
      <c r="UBA45" s="595"/>
      <c r="UBB45" s="595"/>
      <c r="UBC45" s="595"/>
      <c r="UBD45" s="595"/>
      <c r="UBE45" s="595"/>
      <c r="UBF45" s="595"/>
      <c r="UBG45" s="595"/>
      <c r="UBH45" s="595"/>
      <c r="UBI45" s="595"/>
      <c r="UBJ45" s="595"/>
      <c r="UBK45" s="595"/>
      <c r="UBL45" s="595"/>
      <c r="UBM45" s="595"/>
      <c r="UBN45" s="595"/>
      <c r="UBO45" s="595"/>
      <c r="UBP45" s="595"/>
      <c r="UBQ45" s="595"/>
      <c r="UBR45" s="595"/>
      <c r="UBS45" s="595"/>
      <c r="UBT45" s="595"/>
      <c r="UBU45" s="595"/>
      <c r="UBV45" s="595"/>
      <c r="UBW45" s="595"/>
      <c r="UBX45" s="595"/>
      <c r="UBY45" s="595"/>
      <c r="UBZ45" s="595"/>
      <c r="UCA45" s="595"/>
      <c r="UCB45" s="595"/>
      <c r="UCC45" s="595"/>
      <c r="UCD45" s="595"/>
      <c r="UCE45" s="595"/>
      <c r="UCF45" s="595"/>
      <c r="UCG45" s="595"/>
      <c r="UCH45" s="595"/>
      <c r="UCI45" s="595"/>
      <c r="UCJ45" s="595"/>
      <c r="UCK45" s="595"/>
      <c r="UCL45" s="595"/>
      <c r="UCM45" s="595"/>
      <c r="UCN45" s="595"/>
      <c r="UCO45" s="595"/>
      <c r="UCP45" s="595"/>
      <c r="UCQ45" s="595"/>
      <c r="UCR45" s="595"/>
      <c r="UCS45" s="595"/>
      <c r="UCT45" s="595"/>
      <c r="UCU45" s="595"/>
      <c r="UCV45" s="595"/>
      <c r="UCW45" s="595"/>
      <c r="UCX45" s="595"/>
      <c r="UCY45" s="595"/>
      <c r="UCZ45" s="595"/>
      <c r="UDA45" s="595"/>
      <c r="UDB45" s="595"/>
      <c r="UDC45" s="595"/>
      <c r="UDD45" s="595"/>
      <c r="UDE45" s="595"/>
      <c r="UDF45" s="595"/>
      <c r="UDG45" s="595"/>
      <c r="UDH45" s="595"/>
      <c r="UDI45" s="595"/>
      <c r="UDJ45" s="595"/>
      <c r="UDK45" s="595"/>
      <c r="UDL45" s="595"/>
      <c r="UDM45" s="595"/>
      <c r="UDN45" s="595"/>
      <c r="UDO45" s="595"/>
      <c r="UDP45" s="595"/>
      <c r="UDQ45" s="595"/>
      <c r="UDR45" s="595"/>
      <c r="UDS45" s="595"/>
      <c r="UDT45" s="595"/>
      <c r="UDU45" s="595"/>
      <c r="UDV45" s="595"/>
      <c r="UDW45" s="595"/>
      <c r="UDX45" s="595"/>
      <c r="UDY45" s="595"/>
      <c r="UDZ45" s="595"/>
      <c r="UEA45" s="595"/>
      <c r="UEB45" s="595"/>
      <c r="UEC45" s="595"/>
      <c r="UED45" s="595"/>
      <c r="UEE45" s="595"/>
      <c r="UEF45" s="595"/>
      <c r="UEG45" s="595"/>
      <c r="UEH45" s="595"/>
      <c r="UEI45" s="595"/>
      <c r="UEJ45" s="595"/>
      <c r="UEK45" s="595"/>
      <c r="UEL45" s="595"/>
      <c r="UEM45" s="595"/>
      <c r="UEN45" s="595"/>
      <c r="UEO45" s="595"/>
      <c r="UEP45" s="595"/>
      <c r="UEQ45" s="595"/>
      <c r="UER45" s="595"/>
      <c r="UES45" s="595"/>
      <c r="UET45" s="595"/>
      <c r="UEU45" s="595"/>
      <c r="UEV45" s="595"/>
      <c r="UEW45" s="595"/>
      <c r="UEX45" s="595"/>
      <c r="UEY45" s="595"/>
      <c r="UEZ45" s="595"/>
      <c r="UFA45" s="595"/>
      <c r="UFB45" s="595"/>
      <c r="UFC45" s="595"/>
      <c r="UFD45" s="595"/>
      <c r="UFE45" s="595"/>
      <c r="UFF45" s="595"/>
      <c r="UFG45" s="595"/>
      <c r="UFH45" s="595"/>
      <c r="UFI45" s="595"/>
      <c r="UFJ45" s="595"/>
      <c r="UFK45" s="595"/>
      <c r="UFL45" s="595"/>
      <c r="UFM45" s="595"/>
      <c r="UFN45" s="595"/>
      <c r="UFO45" s="595"/>
      <c r="UFP45" s="595"/>
      <c r="UFQ45" s="595"/>
      <c r="UFR45" s="595"/>
      <c r="UFS45" s="595"/>
      <c r="UFT45" s="595"/>
      <c r="UFU45" s="595"/>
      <c r="UFV45" s="595"/>
      <c r="UFW45" s="595"/>
      <c r="UFX45" s="595"/>
      <c r="UFY45" s="595"/>
      <c r="UFZ45" s="595"/>
      <c r="UGA45" s="595"/>
      <c r="UGB45" s="595"/>
      <c r="UGC45" s="595"/>
      <c r="UGD45" s="595"/>
      <c r="UGE45" s="595"/>
      <c r="UGF45" s="595"/>
      <c r="UGG45" s="595"/>
      <c r="UGH45" s="595"/>
      <c r="UGI45" s="595"/>
      <c r="UGJ45" s="595"/>
      <c r="UGK45" s="595"/>
      <c r="UGL45" s="595"/>
      <c r="UGM45" s="595"/>
      <c r="UGN45" s="595"/>
      <c r="UGO45" s="595"/>
      <c r="UGP45" s="595"/>
      <c r="UGQ45" s="595"/>
      <c r="UGR45" s="595"/>
      <c r="UGS45" s="595"/>
      <c r="UGT45" s="595"/>
      <c r="UGU45" s="595"/>
      <c r="UGV45" s="595"/>
      <c r="UGW45" s="595"/>
      <c r="UGX45" s="595"/>
      <c r="UGY45" s="595"/>
      <c r="UGZ45" s="595"/>
      <c r="UHA45" s="595"/>
      <c r="UHB45" s="595"/>
      <c r="UHC45" s="595"/>
      <c r="UHD45" s="595"/>
      <c r="UHE45" s="595"/>
      <c r="UHF45" s="595"/>
      <c r="UHG45" s="595"/>
      <c r="UHH45" s="595"/>
      <c r="UHI45" s="595"/>
      <c r="UHJ45" s="595"/>
      <c r="UHK45" s="595"/>
      <c r="UHL45" s="595"/>
      <c r="UHM45" s="595"/>
      <c r="UHN45" s="595"/>
      <c r="UHO45" s="595"/>
      <c r="UHP45" s="595"/>
      <c r="UHQ45" s="595"/>
      <c r="UHR45" s="595"/>
      <c r="UHS45" s="595"/>
      <c r="UHT45" s="595"/>
      <c r="UHU45" s="595"/>
      <c r="UHV45" s="595"/>
      <c r="UHW45" s="595"/>
      <c r="UHX45" s="595"/>
      <c r="UHY45" s="595"/>
      <c r="UHZ45" s="595"/>
      <c r="UIA45" s="595"/>
      <c r="UIB45" s="595"/>
      <c r="UIC45" s="595"/>
      <c r="UID45" s="595"/>
      <c r="UIE45" s="595"/>
      <c r="UIF45" s="595"/>
      <c r="UIG45" s="595"/>
      <c r="UIH45" s="595"/>
      <c r="UII45" s="595"/>
      <c r="UIJ45" s="595"/>
      <c r="UIK45" s="595"/>
      <c r="UIL45" s="595"/>
      <c r="UIM45" s="595"/>
      <c r="UIN45" s="595"/>
      <c r="UIO45" s="595"/>
      <c r="UIP45" s="595"/>
      <c r="UIQ45" s="595"/>
      <c r="UIR45" s="595"/>
      <c r="UIS45" s="595"/>
      <c r="UIT45" s="595"/>
      <c r="UIU45" s="595"/>
      <c r="UIV45" s="595"/>
      <c r="UIW45" s="595"/>
      <c r="UIX45" s="595"/>
      <c r="UIY45" s="595"/>
      <c r="UIZ45" s="595"/>
      <c r="UJA45" s="595"/>
      <c r="UJB45" s="595"/>
      <c r="UJC45" s="595"/>
      <c r="UJD45" s="595"/>
      <c r="UJE45" s="595"/>
      <c r="UJF45" s="595"/>
      <c r="UJG45" s="595"/>
      <c r="UJH45" s="595"/>
      <c r="UJI45" s="595"/>
      <c r="UJJ45" s="595"/>
      <c r="UJK45" s="595"/>
      <c r="UJL45" s="595"/>
      <c r="UJM45" s="595"/>
      <c r="UJN45" s="595"/>
      <c r="UJO45" s="595"/>
      <c r="UJP45" s="595"/>
      <c r="UJQ45" s="595"/>
      <c r="UJR45" s="595"/>
      <c r="UJS45" s="595"/>
      <c r="UJT45" s="595"/>
      <c r="UJU45" s="595"/>
      <c r="UJV45" s="595"/>
      <c r="UJW45" s="595"/>
      <c r="UJX45" s="595"/>
      <c r="UJY45" s="595"/>
      <c r="UJZ45" s="595"/>
      <c r="UKA45" s="595"/>
      <c r="UKB45" s="595"/>
      <c r="UKC45" s="595"/>
      <c r="UKD45" s="595"/>
      <c r="UKE45" s="595"/>
      <c r="UKF45" s="595"/>
      <c r="UKG45" s="595"/>
      <c r="UKH45" s="595"/>
      <c r="UKI45" s="595"/>
      <c r="UKJ45" s="595"/>
      <c r="UKK45" s="595"/>
      <c r="UKL45" s="595"/>
      <c r="UKM45" s="595"/>
      <c r="UKN45" s="595"/>
      <c r="UKO45" s="595"/>
      <c r="UKP45" s="595"/>
      <c r="UKQ45" s="595"/>
      <c r="UKR45" s="595"/>
      <c r="UKS45" s="595"/>
      <c r="UKT45" s="595"/>
      <c r="UKU45" s="595"/>
      <c r="UKV45" s="595"/>
      <c r="UKW45" s="595"/>
      <c r="UKX45" s="595"/>
      <c r="UKY45" s="595"/>
      <c r="UKZ45" s="595"/>
      <c r="ULA45" s="595"/>
      <c r="ULB45" s="595"/>
      <c r="ULC45" s="595"/>
      <c r="ULD45" s="595"/>
      <c r="ULE45" s="595"/>
      <c r="ULF45" s="595"/>
      <c r="ULG45" s="595"/>
      <c r="ULH45" s="595"/>
      <c r="ULI45" s="595"/>
      <c r="ULJ45" s="595"/>
      <c r="ULK45" s="595"/>
      <c r="ULL45" s="595"/>
      <c r="ULM45" s="595"/>
      <c r="ULN45" s="595"/>
      <c r="ULO45" s="595"/>
      <c r="ULP45" s="595"/>
      <c r="ULQ45" s="595"/>
      <c r="ULR45" s="595"/>
      <c r="ULS45" s="595"/>
      <c r="ULT45" s="595"/>
      <c r="ULU45" s="595"/>
      <c r="ULV45" s="595"/>
      <c r="ULW45" s="595"/>
      <c r="ULX45" s="595"/>
      <c r="ULY45" s="595"/>
      <c r="ULZ45" s="595"/>
      <c r="UMA45" s="595"/>
      <c r="UMB45" s="595"/>
      <c r="UMC45" s="595"/>
      <c r="UMD45" s="595"/>
      <c r="UME45" s="595"/>
      <c r="UMF45" s="595"/>
      <c r="UMG45" s="595"/>
      <c r="UMH45" s="595"/>
      <c r="UMI45" s="595"/>
      <c r="UMJ45" s="595"/>
      <c r="UMK45" s="595"/>
      <c r="UML45" s="595"/>
      <c r="UMM45" s="595"/>
      <c r="UMN45" s="595"/>
      <c r="UMO45" s="595"/>
      <c r="UMP45" s="595"/>
      <c r="UMQ45" s="595"/>
      <c r="UMR45" s="595"/>
      <c r="UMS45" s="595"/>
      <c r="UMT45" s="595"/>
      <c r="UMU45" s="595"/>
      <c r="UMV45" s="595"/>
      <c r="UMW45" s="595"/>
      <c r="UMX45" s="595"/>
      <c r="UMY45" s="595"/>
      <c r="UMZ45" s="595"/>
      <c r="UNA45" s="595"/>
      <c r="UNB45" s="595"/>
      <c r="UNC45" s="595"/>
      <c r="UND45" s="595"/>
      <c r="UNE45" s="595"/>
      <c r="UNF45" s="595"/>
      <c r="UNG45" s="595"/>
      <c r="UNH45" s="595"/>
      <c r="UNI45" s="595"/>
      <c r="UNJ45" s="595"/>
      <c r="UNK45" s="595"/>
      <c r="UNL45" s="595"/>
      <c r="UNM45" s="595"/>
      <c r="UNN45" s="595"/>
      <c r="UNO45" s="595"/>
      <c r="UNP45" s="595"/>
      <c r="UNQ45" s="595"/>
      <c r="UNR45" s="595"/>
      <c r="UNS45" s="595"/>
      <c r="UNT45" s="595"/>
      <c r="UNU45" s="595"/>
      <c r="UNV45" s="595"/>
      <c r="UNW45" s="595"/>
      <c r="UNX45" s="595"/>
      <c r="UNY45" s="595"/>
      <c r="UNZ45" s="595"/>
      <c r="UOA45" s="595"/>
      <c r="UOB45" s="595"/>
      <c r="UOC45" s="595"/>
      <c r="UOD45" s="595"/>
      <c r="UOE45" s="595"/>
      <c r="UOF45" s="595"/>
      <c r="UOG45" s="595"/>
      <c r="UOH45" s="595"/>
      <c r="UOI45" s="595"/>
      <c r="UOJ45" s="595"/>
      <c r="UOK45" s="595"/>
      <c r="UOL45" s="595"/>
      <c r="UOM45" s="595"/>
      <c r="UON45" s="595"/>
      <c r="UOO45" s="595"/>
      <c r="UOP45" s="595"/>
      <c r="UOQ45" s="595"/>
      <c r="UOR45" s="595"/>
      <c r="UOS45" s="595"/>
      <c r="UOT45" s="595"/>
      <c r="UOU45" s="595"/>
      <c r="UOV45" s="595"/>
      <c r="UOW45" s="595"/>
      <c r="UOX45" s="595"/>
      <c r="UOY45" s="595"/>
      <c r="UOZ45" s="595"/>
      <c r="UPA45" s="595"/>
      <c r="UPB45" s="595"/>
      <c r="UPC45" s="595"/>
      <c r="UPD45" s="595"/>
      <c r="UPE45" s="595"/>
      <c r="UPF45" s="595"/>
      <c r="UPG45" s="595"/>
      <c r="UPH45" s="595"/>
      <c r="UPI45" s="595"/>
      <c r="UPJ45" s="595"/>
      <c r="UPK45" s="595"/>
      <c r="UPL45" s="595"/>
      <c r="UPM45" s="595"/>
      <c r="UPN45" s="595"/>
      <c r="UPO45" s="595"/>
      <c r="UPP45" s="595"/>
      <c r="UPQ45" s="595"/>
      <c r="UPR45" s="595"/>
      <c r="UPS45" s="595"/>
      <c r="UPT45" s="595"/>
      <c r="UPU45" s="595"/>
      <c r="UPV45" s="595"/>
      <c r="UPW45" s="595"/>
      <c r="UPX45" s="595"/>
      <c r="UPY45" s="595"/>
      <c r="UPZ45" s="595"/>
      <c r="UQA45" s="595"/>
      <c r="UQB45" s="595"/>
      <c r="UQC45" s="595"/>
      <c r="UQD45" s="595"/>
      <c r="UQE45" s="595"/>
      <c r="UQF45" s="595"/>
      <c r="UQG45" s="595"/>
      <c r="UQH45" s="595"/>
      <c r="UQI45" s="595"/>
      <c r="UQJ45" s="595"/>
      <c r="UQK45" s="595"/>
      <c r="UQL45" s="595"/>
      <c r="UQM45" s="595"/>
      <c r="UQN45" s="595"/>
      <c r="UQO45" s="595"/>
      <c r="UQP45" s="595"/>
      <c r="UQQ45" s="595"/>
      <c r="UQR45" s="595"/>
      <c r="UQS45" s="595"/>
      <c r="UQT45" s="595"/>
      <c r="UQU45" s="595"/>
      <c r="UQV45" s="595"/>
      <c r="UQW45" s="595"/>
      <c r="UQX45" s="595"/>
      <c r="UQY45" s="595"/>
      <c r="UQZ45" s="595"/>
      <c r="URA45" s="595"/>
      <c r="URB45" s="595"/>
      <c r="URC45" s="595"/>
      <c r="URD45" s="595"/>
      <c r="URE45" s="595"/>
      <c r="URF45" s="595"/>
      <c r="URG45" s="595"/>
      <c r="URH45" s="595"/>
      <c r="URI45" s="595"/>
      <c r="URJ45" s="595"/>
      <c r="URK45" s="595"/>
      <c r="URL45" s="595"/>
      <c r="URM45" s="595"/>
      <c r="URN45" s="595"/>
      <c r="URO45" s="595"/>
      <c r="URP45" s="595"/>
      <c r="URQ45" s="595"/>
      <c r="URR45" s="595"/>
      <c r="URS45" s="595"/>
      <c r="URT45" s="595"/>
      <c r="URU45" s="595"/>
      <c r="URV45" s="595"/>
      <c r="URW45" s="595"/>
      <c r="URX45" s="595"/>
      <c r="URY45" s="595"/>
      <c r="URZ45" s="595"/>
      <c r="USA45" s="595"/>
      <c r="USB45" s="595"/>
      <c r="USC45" s="595"/>
      <c r="USD45" s="595"/>
      <c r="USE45" s="595"/>
      <c r="USF45" s="595"/>
      <c r="USG45" s="595"/>
      <c r="USH45" s="595"/>
      <c r="USI45" s="595"/>
      <c r="USJ45" s="595"/>
      <c r="USK45" s="595"/>
      <c r="USL45" s="595"/>
      <c r="USM45" s="595"/>
      <c r="USN45" s="595"/>
      <c r="USO45" s="595"/>
      <c r="USP45" s="595"/>
      <c r="USQ45" s="595"/>
      <c r="USR45" s="595"/>
      <c r="USS45" s="595"/>
      <c r="UST45" s="595"/>
      <c r="USU45" s="595"/>
      <c r="USV45" s="595"/>
      <c r="USW45" s="595"/>
      <c r="USX45" s="595"/>
      <c r="USY45" s="595"/>
      <c r="USZ45" s="595"/>
      <c r="UTA45" s="595"/>
      <c r="UTB45" s="595"/>
      <c r="UTC45" s="595"/>
      <c r="UTD45" s="595"/>
      <c r="UTE45" s="595"/>
      <c r="UTF45" s="595"/>
      <c r="UTG45" s="595"/>
      <c r="UTH45" s="595"/>
      <c r="UTI45" s="595"/>
      <c r="UTJ45" s="595"/>
      <c r="UTK45" s="595"/>
      <c r="UTL45" s="595"/>
      <c r="UTM45" s="595"/>
      <c r="UTN45" s="595"/>
      <c r="UTO45" s="595"/>
      <c r="UTP45" s="595"/>
      <c r="UTQ45" s="595"/>
      <c r="UTR45" s="595"/>
      <c r="UTS45" s="595"/>
      <c r="UTT45" s="595"/>
      <c r="UTU45" s="595"/>
      <c r="UTV45" s="595"/>
      <c r="UTW45" s="595"/>
      <c r="UTX45" s="595"/>
      <c r="UTY45" s="595"/>
      <c r="UTZ45" s="595"/>
      <c r="UUA45" s="595"/>
      <c r="UUB45" s="595"/>
      <c r="UUC45" s="595"/>
      <c r="UUD45" s="595"/>
      <c r="UUE45" s="595"/>
      <c r="UUF45" s="595"/>
      <c r="UUG45" s="595"/>
      <c r="UUH45" s="595"/>
      <c r="UUI45" s="595"/>
      <c r="UUJ45" s="595"/>
      <c r="UUK45" s="595"/>
      <c r="UUL45" s="595"/>
      <c r="UUM45" s="595"/>
      <c r="UUN45" s="595"/>
      <c r="UUO45" s="595"/>
      <c r="UUP45" s="595"/>
      <c r="UUQ45" s="595"/>
      <c r="UUR45" s="595"/>
      <c r="UUS45" s="595"/>
      <c r="UUT45" s="595"/>
      <c r="UUU45" s="595"/>
      <c r="UUV45" s="595"/>
      <c r="UUW45" s="595"/>
      <c r="UUX45" s="595"/>
      <c r="UUY45" s="595"/>
      <c r="UUZ45" s="595"/>
      <c r="UVA45" s="595"/>
      <c r="UVB45" s="595"/>
      <c r="UVC45" s="595"/>
      <c r="UVD45" s="595"/>
      <c r="UVE45" s="595"/>
      <c r="UVF45" s="595"/>
      <c r="UVG45" s="595"/>
      <c r="UVH45" s="595"/>
      <c r="UVI45" s="595"/>
      <c r="UVJ45" s="595"/>
      <c r="UVK45" s="595"/>
      <c r="UVL45" s="595"/>
      <c r="UVM45" s="595"/>
      <c r="UVN45" s="595"/>
      <c r="UVO45" s="595"/>
      <c r="UVP45" s="595"/>
      <c r="UVQ45" s="595"/>
      <c r="UVR45" s="595"/>
      <c r="UVS45" s="595"/>
      <c r="UVT45" s="595"/>
      <c r="UVU45" s="595"/>
      <c r="UVV45" s="595"/>
      <c r="UVW45" s="595"/>
      <c r="UVX45" s="595"/>
      <c r="UVY45" s="595"/>
      <c r="UVZ45" s="595"/>
      <c r="UWA45" s="595"/>
      <c r="UWB45" s="595"/>
      <c r="UWC45" s="595"/>
      <c r="UWD45" s="595"/>
      <c r="UWE45" s="595"/>
      <c r="UWF45" s="595"/>
      <c r="UWG45" s="595"/>
      <c r="UWH45" s="595"/>
      <c r="UWI45" s="595"/>
      <c r="UWJ45" s="595"/>
      <c r="UWK45" s="595"/>
      <c r="UWL45" s="595"/>
      <c r="UWM45" s="595"/>
      <c r="UWN45" s="595"/>
      <c r="UWO45" s="595"/>
      <c r="UWP45" s="595"/>
      <c r="UWQ45" s="595"/>
      <c r="UWR45" s="595"/>
      <c r="UWS45" s="595"/>
      <c r="UWT45" s="595"/>
      <c r="UWU45" s="595"/>
      <c r="UWV45" s="595"/>
      <c r="UWW45" s="595"/>
      <c r="UWX45" s="595"/>
      <c r="UWY45" s="595"/>
      <c r="UWZ45" s="595"/>
      <c r="UXA45" s="595"/>
      <c r="UXB45" s="595"/>
      <c r="UXC45" s="595"/>
      <c r="UXD45" s="595"/>
      <c r="UXE45" s="595"/>
      <c r="UXF45" s="595"/>
      <c r="UXG45" s="595"/>
      <c r="UXH45" s="595"/>
      <c r="UXI45" s="595"/>
      <c r="UXJ45" s="595"/>
      <c r="UXK45" s="595"/>
      <c r="UXL45" s="595"/>
      <c r="UXM45" s="595"/>
      <c r="UXN45" s="595"/>
      <c r="UXO45" s="595"/>
      <c r="UXP45" s="595"/>
      <c r="UXQ45" s="595"/>
      <c r="UXR45" s="595"/>
      <c r="UXS45" s="595"/>
      <c r="UXT45" s="595"/>
      <c r="UXU45" s="595"/>
      <c r="UXV45" s="595"/>
      <c r="UXW45" s="595"/>
      <c r="UXX45" s="595"/>
      <c r="UXY45" s="595"/>
      <c r="UXZ45" s="595"/>
      <c r="UYA45" s="595"/>
      <c r="UYB45" s="595"/>
      <c r="UYC45" s="595"/>
      <c r="UYD45" s="595"/>
      <c r="UYE45" s="595"/>
      <c r="UYF45" s="595"/>
      <c r="UYG45" s="595"/>
      <c r="UYH45" s="595"/>
      <c r="UYI45" s="595"/>
      <c r="UYJ45" s="595"/>
      <c r="UYK45" s="595"/>
      <c r="UYL45" s="595"/>
      <c r="UYM45" s="595"/>
      <c r="UYN45" s="595"/>
      <c r="UYO45" s="595"/>
      <c r="UYP45" s="595"/>
      <c r="UYQ45" s="595"/>
      <c r="UYR45" s="595"/>
      <c r="UYS45" s="595"/>
      <c r="UYT45" s="595"/>
      <c r="UYU45" s="595"/>
      <c r="UYV45" s="595"/>
      <c r="UYW45" s="595"/>
      <c r="UYX45" s="595"/>
      <c r="UYY45" s="595"/>
      <c r="UYZ45" s="595"/>
      <c r="UZA45" s="595"/>
      <c r="UZB45" s="595"/>
      <c r="UZC45" s="595"/>
      <c r="UZD45" s="595"/>
      <c r="UZE45" s="595"/>
      <c r="UZF45" s="595"/>
      <c r="UZG45" s="595"/>
      <c r="UZH45" s="595"/>
      <c r="UZI45" s="595"/>
      <c r="UZJ45" s="595"/>
      <c r="UZK45" s="595"/>
      <c r="UZL45" s="595"/>
      <c r="UZM45" s="595"/>
      <c r="UZN45" s="595"/>
      <c r="UZO45" s="595"/>
      <c r="UZP45" s="595"/>
      <c r="UZQ45" s="595"/>
      <c r="UZR45" s="595"/>
      <c r="UZS45" s="595"/>
      <c r="UZT45" s="595"/>
      <c r="UZU45" s="595"/>
      <c r="UZV45" s="595"/>
      <c r="UZW45" s="595"/>
      <c r="UZX45" s="595"/>
      <c r="UZY45" s="595"/>
      <c r="UZZ45" s="595"/>
      <c r="VAA45" s="595"/>
      <c r="VAB45" s="595"/>
      <c r="VAC45" s="595"/>
      <c r="VAD45" s="595"/>
      <c r="VAE45" s="595"/>
      <c r="VAF45" s="595"/>
      <c r="VAG45" s="595"/>
      <c r="VAH45" s="595"/>
      <c r="VAI45" s="595"/>
      <c r="VAJ45" s="595"/>
      <c r="VAK45" s="595"/>
      <c r="VAL45" s="595"/>
      <c r="VAM45" s="595"/>
      <c r="VAN45" s="595"/>
      <c r="VAO45" s="595"/>
      <c r="VAP45" s="595"/>
      <c r="VAQ45" s="595"/>
      <c r="VAR45" s="595"/>
      <c r="VAS45" s="595"/>
      <c r="VAT45" s="595"/>
      <c r="VAU45" s="595"/>
      <c r="VAV45" s="595"/>
      <c r="VAW45" s="595"/>
      <c r="VAX45" s="595"/>
      <c r="VAY45" s="595"/>
      <c r="VAZ45" s="595"/>
      <c r="VBA45" s="595"/>
      <c r="VBB45" s="595"/>
      <c r="VBC45" s="595"/>
      <c r="VBD45" s="595"/>
      <c r="VBE45" s="595"/>
      <c r="VBF45" s="595"/>
      <c r="VBG45" s="595"/>
      <c r="VBH45" s="595"/>
      <c r="VBI45" s="595"/>
      <c r="VBJ45" s="595"/>
      <c r="VBK45" s="595"/>
      <c r="VBL45" s="595"/>
      <c r="VBM45" s="595"/>
      <c r="VBN45" s="595"/>
      <c r="VBO45" s="595"/>
      <c r="VBP45" s="595"/>
      <c r="VBQ45" s="595"/>
      <c r="VBR45" s="595"/>
      <c r="VBS45" s="595"/>
      <c r="VBT45" s="595"/>
      <c r="VBU45" s="595"/>
      <c r="VBV45" s="595"/>
      <c r="VBW45" s="595"/>
      <c r="VBX45" s="595"/>
      <c r="VBY45" s="595"/>
      <c r="VBZ45" s="595"/>
      <c r="VCA45" s="595"/>
      <c r="VCB45" s="595"/>
      <c r="VCC45" s="595"/>
      <c r="VCD45" s="595"/>
      <c r="VCE45" s="595"/>
      <c r="VCF45" s="595"/>
      <c r="VCG45" s="595"/>
      <c r="VCH45" s="595"/>
      <c r="VCI45" s="595"/>
      <c r="VCJ45" s="595"/>
      <c r="VCK45" s="595"/>
      <c r="VCL45" s="595"/>
      <c r="VCM45" s="595"/>
      <c r="VCN45" s="595"/>
      <c r="VCO45" s="595"/>
      <c r="VCP45" s="595"/>
      <c r="VCQ45" s="595"/>
      <c r="VCR45" s="595"/>
      <c r="VCS45" s="595"/>
      <c r="VCT45" s="595"/>
      <c r="VCU45" s="595"/>
      <c r="VCV45" s="595"/>
      <c r="VCW45" s="595"/>
      <c r="VCX45" s="595"/>
      <c r="VCY45" s="595"/>
      <c r="VCZ45" s="595"/>
      <c r="VDA45" s="595"/>
      <c r="VDB45" s="595"/>
      <c r="VDC45" s="595"/>
      <c r="VDD45" s="595"/>
      <c r="VDE45" s="595"/>
      <c r="VDF45" s="595"/>
      <c r="VDG45" s="595"/>
      <c r="VDH45" s="595"/>
      <c r="VDI45" s="595"/>
      <c r="VDJ45" s="595"/>
      <c r="VDK45" s="595"/>
      <c r="VDL45" s="595"/>
      <c r="VDM45" s="595"/>
      <c r="VDN45" s="595"/>
      <c r="VDO45" s="595"/>
      <c r="VDP45" s="595"/>
      <c r="VDQ45" s="595"/>
      <c r="VDR45" s="595"/>
      <c r="VDS45" s="595"/>
      <c r="VDT45" s="595"/>
      <c r="VDU45" s="595"/>
      <c r="VDV45" s="595"/>
      <c r="VDW45" s="595"/>
      <c r="VDX45" s="595"/>
      <c r="VDY45" s="595"/>
      <c r="VDZ45" s="595"/>
      <c r="VEA45" s="595"/>
      <c r="VEB45" s="595"/>
      <c r="VEC45" s="595"/>
      <c r="VED45" s="595"/>
      <c r="VEE45" s="595"/>
      <c r="VEF45" s="595"/>
      <c r="VEG45" s="595"/>
      <c r="VEH45" s="595"/>
      <c r="VEI45" s="595"/>
      <c r="VEJ45" s="595"/>
      <c r="VEK45" s="595"/>
      <c r="VEL45" s="595"/>
      <c r="VEM45" s="595"/>
      <c r="VEN45" s="595"/>
      <c r="VEO45" s="595"/>
      <c r="VEP45" s="595"/>
      <c r="VEQ45" s="595"/>
      <c r="VER45" s="595"/>
      <c r="VES45" s="595"/>
      <c r="VET45" s="595"/>
      <c r="VEU45" s="595"/>
      <c r="VEV45" s="595"/>
      <c r="VEW45" s="595"/>
      <c r="VEX45" s="595"/>
      <c r="VEY45" s="595"/>
      <c r="VEZ45" s="595"/>
      <c r="VFA45" s="595"/>
      <c r="VFB45" s="595"/>
      <c r="VFC45" s="595"/>
      <c r="VFD45" s="595"/>
      <c r="VFE45" s="595"/>
      <c r="VFF45" s="595"/>
      <c r="VFG45" s="595"/>
      <c r="VFH45" s="595"/>
      <c r="VFI45" s="595"/>
      <c r="VFJ45" s="595"/>
      <c r="VFK45" s="595"/>
      <c r="VFL45" s="595"/>
      <c r="VFM45" s="595"/>
      <c r="VFN45" s="595"/>
      <c r="VFO45" s="595"/>
      <c r="VFP45" s="595"/>
      <c r="VFQ45" s="595"/>
      <c r="VFR45" s="595"/>
      <c r="VFS45" s="595"/>
      <c r="VFT45" s="595"/>
      <c r="VFU45" s="595"/>
      <c r="VFV45" s="595"/>
      <c r="VFW45" s="595"/>
      <c r="VFX45" s="595"/>
      <c r="VFY45" s="595"/>
      <c r="VFZ45" s="595"/>
      <c r="VGA45" s="595"/>
      <c r="VGB45" s="595"/>
      <c r="VGC45" s="595"/>
      <c r="VGD45" s="595"/>
      <c r="VGE45" s="595"/>
      <c r="VGF45" s="595"/>
      <c r="VGG45" s="595"/>
      <c r="VGH45" s="595"/>
      <c r="VGI45" s="595"/>
      <c r="VGJ45" s="595"/>
      <c r="VGK45" s="595"/>
      <c r="VGL45" s="595"/>
      <c r="VGM45" s="595"/>
      <c r="VGN45" s="595"/>
      <c r="VGO45" s="595"/>
      <c r="VGP45" s="595"/>
      <c r="VGQ45" s="595"/>
      <c r="VGR45" s="595"/>
      <c r="VGS45" s="595"/>
      <c r="VGT45" s="595"/>
      <c r="VGU45" s="595"/>
      <c r="VGV45" s="595"/>
      <c r="VGW45" s="595"/>
      <c r="VGX45" s="595"/>
      <c r="VGY45" s="595"/>
      <c r="VGZ45" s="595"/>
      <c r="VHA45" s="595"/>
      <c r="VHB45" s="595"/>
      <c r="VHC45" s="595"/>
      <c r="VHD45" s="595"/>
      <c r="VHE45" s="595"/>
      <c r="VHF45" s="595"/>
      <c r="VHG45" s="595"/>
      <c r="VHH45" s="595"/>
      <c r="VHI45" s="595"/>
      <c r="VHJ45" s="595"/>
      <c r="VHK45" s="595"/>
      <c r="VHL45" s="595"/>
      <c r="VHM45" s="595"/>
      <c r="VHN45" s="595"/>
      <c r="VHO45" s="595"/>
      <c r="VHP45" s="595"/>
      <c r="VHQ45" s="595"/>
      <c r="VHR45" s="595"/>
      <c r="VHS45" s="595"/>
      <c r="VHT45" s="595"/>
      <c r="VHU45" s="595"/>
      <c r="VHV45" s="595"/>
      <c r="VHW45" s="595"/>
      <c r="VHX45" s="595"/>
      <c r="VHY45" s="595"/>
      <c r="VHZ45" s="595"/>
      <c r="VIA45" s="595"/>
      <c r="VIB45" s="595"/>
      <c r="VIC45" s="595"/>
      <c r="VID45" s="595"/>
      <c r="VIE45" s="595"/>
      <c r="VIF45" s="595"/>
      <c r="VIG45" s="595"/>
      <c r="VIH45" s="595"/>
      <c r="VII45" s="595"/>
      <c r="VIJ45" s="595"/>
      <c r="VIK45" s="595"/>
      <c r="VIL45" s="595"/>
      <c r="VIM45" s="595"/>
      <c r="VIN45" s="595"/>
      <c r="VIO45" s="595"/>
      <c r="VIP45" s="595"/>
      <c r="VIQ45" s="595"/>
      <c r="VIR45" s="595"/>
      <c r="VIS45" s="595"/>
      <c r="VIT45" s="595"/>
      <c r="VIU45" s="595"/>
      <c r="VIV45" s="595"/>
      <c r="VIW45" s="595"/>
      <c r="VIX45" s="595"/>
      <c r="VIY45" s="595"/>
      <c r="VIZ45" s="595"/>
      <c r="VJA45" s="595"/>
      <c r="VJB45" s="595"/>
      <c r="VJC45" s="595"/>
      <c r="VJD45" s="595"/>
      <c r="VJE45" s="595"/>
      <c r="VJF45" s="595"/>
      <c r="VJG45" s="595"/>
      <c r="VJH45" s="595"/>
      <c r="VJI45" s="595"/>
      <c r="VJJ45" s="595"/>
      <c r="VJK45" s="595"/>
      <c r="VJL45" s="595"/>
      <c r="VJM45" s="595"/>
      <c r="VJN45" s="595"/>
      <c r="VJO45" s="595"/>
      <c r="VJP45" s="595"/>
      <c r="VJQ45" s="595"/>
      <c r="VJR45" s="595"/>
      <c r="VJS45" s="595"/>
      <c r="VJT45" s="595"/>
      <c r="VJU45" s="595"/>
      <c r="VJV45" s="595"/>
      <c r="VJW45" s="595"/>
      <c r="VJX45" s="595"/>
      <c r="VJY45" s="595"/>
      <c r="VJZ45" s="595"/>
      <c r="VKA45" s="595"/>
      <c r="VKB45" s="595"/>
      <c r="VKC45" s="595"/>
      <c r="VKD45" s="595"/>
      <c r="VKE45" s="595"/>
      <c r="VKF45" s="595"/>
      <c r="VKG45" s="595"/>
      <c r="VKH45" s="595"/>
      <c r="VKI45" s="595"/>
      <c r="VKJ45" s="595"/>
      <c r="VKK45" s="595"/>
      <c r="VKL45" s="595"/>
      <c r="VKM45" s="595"/>
      <c r="VKN45" s="595"/>
      <c r="VKO45" s="595"/>
      <c r="VKP45" s="595"/>
      <c r="VKQ45" s="595"/>
      <c r="VKR45" s="595"/>
      <c r="VKS45" s="595"/>
      <c r="VKT45" s="595"/>
      <c r="VKU45" s="595"/>
      <c r="VKV45" s="595"/>
      <c r="VKW45" s="595"/>
      <c r="VKX45" s="595"/>
      <c r="VKY45" s="595"/>
      <c r="VKZ45" s="595"/>
      <c r="VLA45" s="595"/>
      <c r="VLB45" s="595"/>
      <c r="VLC45" s="595"/>
      <c r="VLD45" s="595"/>
      <c r="VLE45" s="595"/>
      <c r="VLF45" s="595"/>
      <c r="VLG45" s="595"/>
      <c r="VLH45" s="595"/>
      <c r="VLI45" s="595"/>
      <c r="VLJ45" s="595"/>
      <c r="VLK45" s="595"/>
      <c r="VLL45" s="595"/>
      <c r="VLM45" s="595"/>
      <c r="VLN45" s="595"/>
      <c r="VLO45" s="595"/>
      <c r="VLP45" s="595"/>
      <c r="VLQ45" s="595"/>
      <c r="VLR45" s="595"/>
      <c r="VLS45" s="595"/>
      <c r="VLT45" s="595"/>
      <c r="VLU45" s="595"/>
      <c r="VLV45" s="595"/>
      <c r="VLW45" s="595"/>
      <c r="VLX45" s="595"/>
      <c r="VLY45" s="595"/>
      <c r="VLZ45" s="595"/>
      <c r="VMA45" s="595"/>
      <c r="VMB45" s="595"/>
      <c r="VMC45" s="595"/>
      <c r="VMD45" s="595"/>
      <c r="VME45" s="595"/>
      <c r="VMF45" s="595"/>
      <c r="VMG45" s="595"/>
      <c r="VMH45" s="595"/>
      <c r="VMI45" s="595"/>
      <c r="VMJ45" s="595"/>
      <c r="VMK45" s="595"/>
      <c r="VML45" s="595"/>
      <c r="VMM45" s="595"/>
      <c r="VMN45" s="595"/>
      <c r="VMO45" s="595"/>
      <c r="VMP45" s="595"/>
      <c r="VMQ45" s="595"/>
      <c r="VMR45" s="595"/>
      <c r="VMS45" s="595"/>
      <c r="VMT45" s="595"/>
      <c r="VMU45" s="595"/>
      <c r="VMV45" s="595"/>
      <c r="VMW45" s="595"/>
      <c r="VMX45" s="595"/>
      <c r="VMY45" s="595"/>
      <c r="VMZ45" s="595"/>
      <c r="VNA45" s="595"/>
      <c r="VNB45" s="595"/>
      <c r="VNC45" s="595"/>
      <c r="VND45" s="595"/>
      <c r="VNE45" s="595"/>
      <c r="VNF45" s="595"/>
      <c r="VNG45" s="595"/>
      <c r="VNH45" s="595"/>
      <c r="VNI45" s="595"/>
      <c r="VNJ45" s="595"/>
      <c r="VNK45" s="595"/>
      <c r="VNL45" s="595"/>
      <c r="VNM45" s="595"/>
      <c r="VNN45" s="595"/>
      <c r="VNO45" s="595"/>
      <c r="VNP45" s="595"/>
      <c r="VNQ45" s="595"/>
      <c r="VNR45" s="595"/>
      <c r="VNS45" s="595"/>
      <c r="VNT45" s="595"/>
      <c r="VNU45" s="595"/>
      <c r="VNV45" s="595"/>
      <c r="VNW45" s="595"/>
      <c r="VNX45" s="595"/>
      <c r="VNY45" s="595"/>
      <c r="VNZ45" s="595"/>
      <c r="VOA45" s="595"/>
      <c r="VOB45" s="595"/>
      <c r="VOC45" s="595"/>
      <c r="VOD45" s="595"/>
      <c r="VOE45" s="595"/>
      <c r="VOF45" s="595"/>
      <c r="VOG45" s="595"/>
      <c r="VOH45" s="595"/>
      <c r="VOI45" s="595"/>
      <c r="VOJ45" s="595"/>
      <c r="VOK45" s="595"/>
      <c r="VOL45" s="595"/>
      <c r="VOM45" s="595"/>
      <c r="VON45" s="595"/>
      <c r="VOO45" s="595"/>
      <c r="VOP45" s="595"/>
      <c r="VOQ45" s="595"/>
      <c r="VOR45" s="595"/>
      <c r="VOS45" s="595"/>
      <c r="VOT45" s="595"/>
      <c r="VOU45" s="595"/>
      <c r="VOV45" s="595"/>
      <c r="VOW45" s="595"/>
      <c r="VOX45" s="595"/>
      <c r="VOY45" s="595"/>
      <c r="VOZ45" s="595"/>
      <c r="VPA45" s="595"/>
      <c r="VPB45" s="595"/>
      <c r="VPC45" s="595"/>
      <c r="VPD45" s="595"/>
      <c r="VPE45" s="595"/>
      <c r="VPF45" s="595"/>
      <c r="VPG45" s="595"/>
      <c r="VPH45" s="595"/>
      <c r="VPI45" s="595"/>
      <c r="VPJ45" s="595"/>
      <c r="VPK45" s="595"/>
      <c r="VPL45" s="595"/>
      <c r="VPM45" s="595"/>
      <c r="VPN45" s="595"/>
      <c r="VPO45" s="595"/>
      <c r="VPP45" s="595"/>
      <c r="VPQ45" s="595"/>
      <c r="VPR45" s="595"/>
      <c r="VPS45" s="595"/>
      <c r="VPT45" s="595"/>
      <c r="VPU45" s="595"/>
      <c r="VPV45" s="595"/>
      <c r="VPW45" s="595"/>
      <c r="VPX45" s="595"/>
      <c r="VPY45" s="595"/>
      <c r="VPZ45" s="595"/>
      <c r="VQA45" s="595"/>
      <c r="VQB45" s="595"/>
      <c r="VQC45" s="595"/>
      <c r="VQD45" s="595"/>
      <c r="VQE45" s="595"/>
      <c r="VQF45" s="595"/>
      <c r="VQG45" s="595"/>
      <c r="VQH45" s="595"/>
      <c r="VQI45" s="595"/>
      <c r="VQJ45" s="595"/>
      <c r="VQK45" s="595"/>
      <c r="VQL45" s="595"/>
      <c r="VQM45" s="595"/>
      <c r="VQN45" s="595"/>
      <c r="VQO45" s="595"/>
      <c r="VQP45" s="595"/>
      <c r="VQQ45" s="595"/>
      <c r="VQR45" s="595"/>
      <c r="VQS45" s="595"/>
      <c r="VQT45" s="595"/>
      <c r="VQU45" s="595"/>
      <c r="VQV45" s="595"/>
      <c r="VQW45" s="595"/>
      <c r="VQX45" s="595"/>
      <c r="VQY45" s="595"/>
      <c r="VQZ45" s="595"/>
      <c r="VRA45" s="595"/>
      <c r="VRB45" s="595"/>
      <c r="VRC45" s="595"/>
      <c r="VRD45" s="595"/>
      <c r="VRE45" s="595"/>
      <c r="VRF45" s="595"/>
      <c r="VRG45" s="595"/>
      <c r="VRH45" s="595"/>
      <c r="VRI45" s="595"/>
      <c r="VRJ45" s="595"/>
      <c r="VRK45" s="595"/>
      <c r="VRL45" s="595"/>
      <c r="VRM45" s="595"/>
      <c r="VRN45" s="595"/>
      <c r="VRO45" s="595"/>
      <c r="VRP45" s="595"/>
      <c r="VRQ45" s="595"/>
      <c r="VRR45" s="595"/>
      <c r="VRS45" s="595"/>
      <c r="VRT45" s="595"/>
      <c r="VRU45" s="595"/>
      <c r="VRV45" s="595"/>
      <c r="VRW45" s="595"/>
      <c r="VRX45" s="595"/>
      <c r="VRY45" s="595"/>
      <c r="VRZ45" s="595"/>
      <c r="VSA45" s="595"/>
      <c r="VSB45" s="595"/>
      <c r="VSC45" s="595"/>
      <c r="VSD45" s="595"/>
      <c r="VSE45" s="595"/>
      <c r="VSF45" s="595"/>
      <c r="VSG45" s="595"/>
      <c r="VSH45" s="595"/>
      <c r="VSI45" s="595"/>
      <c r="VSJ45" s="595"/>
      <c r="VSK45" s="595"/>
      <c r="VSL45" s="595"/>
      <c r="VSM45" s="595"/>
      <c r="VSN45" s="595"/>
      <c r="VSO45" s="595"/>
      <c r="VSP45" s="595"/>
      <c r="VSQ45" s="595"/>
      <c r="VSR45" s="595"/>
      <c r="VSS45" s="595"/>
      <c r="VST45" s="595"/>
      <c r="VSU45" s="595"/>
      <c r="VSV45" s="595"/>
      <c r="VSW45" s="595"/>
      <c r="VSX45" s="595"/>
      <c r="VSY45" s="595"/>
      <c r="VSZ45" s="595"/>
      <c r="VTA45" s="595"/>
      <c r="VTB45" s="595"/>
      <c r="VTC45" s="595"/>
      <c r="VTD45" s="595"/>
      <c r="VTE45" s="595"/>
      <c r="VTF45" s="595"/>
      <c r="VTG45" s="595"/>
      <c r="VTH45" s="595"/>
      <c r="VTI45" s="595"/>
      <c r="VTJ45" s="595"/>
      <c r="VTK45" s="595"/>
      <c r="VTL45" s="595"/>
      <c r="VTM45" s="595"/>
      <c r="VTN45" s="595"/>
      <c r="VTO45" s="595"/>
      <c r="VTP45" s="595"/>
      <c r="VTQ45" s="595"/>
      <c r="VTR45" s="595"/>
      <c r="VTS45" s="595"/>
      <c r="VTT45" s="595"/>
      <c r="VTU45" s="595"/>
      <c r="VTV45" s="595"/>
      <c r="VTW45" s="595"/>
      <c r="VTX45" s="595"/>
      <c r="VTY45" s="595"/>
      <c r="VTZ45" s="595"/>
      <c r="VUA45" s="595"/>
      <c r="VUB45" s="595"/>
      <c r="VUC45" s="595"/>
      <c r="VUD45" s="595"/>
      <c r="VUE45" s="595"/>
      <c r="VUF45" s="595"/>
      <c r="VUG45" s="595"/>
      <c r="VUH45" s="595"/>
      <c r="VUI45" s="595"/>
      <c r="VUJ45" s="595"/>
      <c r="VUK45" s="595"/>
      <c r="VUL45" s="595"/>
      <c r="VUM45" s="595"/>
      <c r="VUN45" s="595"/>
      <c r="VUO45" s="595"/>
      <c r="VUP45" s="595"/>
      <c r="VUQ45" s="595"/>
      <c r="VUR45" s="595"/>
      <c r="VUS45" s="595"/>
      <c r="VUT45" s="595"/>
      <c r="VUU45" s="595"/>
      <c r="VUV45" s="595"/>
      <c r="VUW45" s="595"/>
      <c r="VUX45" s="595"/>
      <c r="VUY45" s="595"/>
      <c r="VUZ45" s="595"/>
      <c r="VVA45" s="595"/>
      <c r="VVB45" s="595"/>
      <c r="VVC45" s="595"/>
      <c r="VVD45" s="595"/>
      <c r="VVE45" s="595"/>
      <c r="VVF45" s="595"/>
      <c r="VVG45" s="595"/>
      <c r="VVH45" s="595"/>
      <c r="VVI45" s="595"/>
      <c r="VVJ45" s="595"/>
      <c r="VVK45" s="595"/>
      <c r="VVL45" s="595"/>
      <c r="VVM45" s="595"/>
      <c r="VVN45" s="595"/>
      <c r="VVO45" s="595"/>
      <c r="VVP45" s="595"/>
      <c r="VVQ45" s="595"/>
      <c r="VVR45" s="595"/>
      <c r="VVS45" s="595"/>
      <c r="VVT45" s="595"/>
      <c r="VVU45" s="595"/>
      <c r="VVV45" s="595"/>
      <c r="VVW45" s="595"/>
      <c r="VVX45" s="595"/>
      <c r="VVY45" s="595"/>
      <c r="VVZ45" s="595"/>
      <c r="VWA45" s="595"/>
      <c r="VWB45" s="595"/>
      <c r="VWC45" s="595"/>
      <c r="VWD45" s="595"/>
      <c r="VWE45" s="595"/>
      <c r="VWF45" s="595"/>
      <c r="VWG45" s="595"/>
      <c r="VWH45" s="595"/>
      <c r="VWI45" s="595"/>
      <c r="VWJ45" s="595"/>
      <c r="VWK45" s="595"/>
      <c r="VWL45" s="595"/>
      <c r="VWM45" s="595"/>
      <c r="VWN45" s="595"/>
      <c r="VWO45" s="595"/>
      <c r="VWP45" s="595"/>
      <c r="VWQ45" s="595"/>
      <c r="VWR45" s="595"/>
      <c r="VWS45" s="595"/>
      <c r="VWT45" s="595"/>
      <c r="VWU45" s="595"/>
      <c r="VWV45" s="595"/>
      <c r="VWW45" s="595"/>
      <c r="VWX45" s="595"/>
      <c r="VWY45" s="595"/>
      <c r="VWZ45" s="595"/>
      <c r="VXA45" s="595"/>
      <c r="VXB45" s="595"/>
      <c r="VXC45" s="595"/>
      <c r="VXD45" s="595"/>
      <c r="VXE45" s="595"/>
      <c r="VXF45" s="595"/>
      <c r="VXG45" s="595"/>
      <c r="VXH45" s="595"/>
      <c r="VXI45" s="595"/>
      <c r="VXJ45" s="595"/>
      <c r="VXK45" s="595"/>
      <c r="VXL45" s="595"/>
      <c r="VXM45" s="595"/>
      <c r="VXN45" s="595"/>
      <c r="VXO45" s="595"/>
      <c r="VXP45" s="595"/>
      <c r="VXQ45" s="595"/>
      <c r="VXR45" s="595"/>
      <c r="VXS45" s="595"/>
      <c r="VXT45" s="595"/>
      <c r="VXU45" s="595"/>
      <c r="VXV45" s="595"/>
      <c r="VXW45" s="595"/>
      <c r="VXX45" s="595"/>
      <c r="VXY45" s="595"/>
      <c r="VXZ45" s="595"/>
      <c r="VYA45" s="595"/>
      <c r="VYB45" s="595"/>
      <c r="VYC45" s="595"/>
      <c r="VYD45" s="595"/>
      <c r="VYE45" s="595"/>
      <c r="VYF45" s="595"/>
      <c r="VYG45" s="595"/>
      <c r="VYH45" s="595"/>
      <c r="VYI45" s="595"/>
      <c r="VYJ45" s="595"/>
      <c r="VYK45" s="595"/>
      <c r="VYL45" s="595"/>
      <c r="VYM45" s="595"/>
      <c r="VYN45" s="595"/>
      <c r="VYO45" s="595"/>
      <c r="VYP45" s="595"/>
      <c r="VYQ45" s="595"/>
      <c r="VYR45" s="595"/>
      <c r="VYS45" s="595"/>
      <c r="VYT45" s="595"/>
      <c r="VYU45" s="595"/>
      <c r="VYV45" s="595"/>
      <c r="VYW45" s="595"/>
      <c r="VYX45" s="595"/>
      <c r="VYY45" s="595"/>
      <c r="VYZ45" s="595"/>
      <c r="VZA45" s="595"/>
      <c r="VZB45" s="595"/>
      <c r="VZC45" s="595"/>
      <c r="VZD45" s="595"/>
      <c r="VZE45" s="595"/>
      <c r="VZF45" s="595"/>
      <c r="VZG45" s="595"/>
      <c r="VZH45" s="595"/>
      <c r="VZI45" s="595"/>
      <c r="VZJ45" s="595"/>
      <c r="VZK45" s="595"/>
      <c r="VZL45" s="595"/>
      <c r="VZM45" s="595"/>
      <c r="VZN45" s="595"/>
      <c r="VZO45" s="595"/>
      <c r="VZP45" s="595"/>
      <c r="VZQ45" s="595"/>
      <c r="VZR45" s="595"/>
      <c r="VZS45" s="595"/>
      <c r="VZT45" s="595"/>
      <c r="VZU45" s="595"/>
      <c r="VZV45" s="595"/>
      <c r="VZW45" s="595"/>
      <c r="VZX45" s="595"/>
      <c r="VZY45" s="595"/>
      <c r="VZZ45" s="595"/>
      <c r="WAA45" s="595"/>
      <c r="WAB45" s="595"/>
      <c r="WAC45" s="595"/>
      <c r="WAD45" s="595"/>
      <c r="WAE45" s="595"/>
      <c r="WAF45" s="595"/>
      <c r="WAG45" s="595"/>
      <c r="WAH45" s="595"/>
      <c r="WAI45" s="595"/>
      <c r="WAJ45" s="595"/>
      <c r="WAK45" s="595"/>
      <c r="WAL45" s="595"/>
      <c r="WAM45" s="595"/>
      <c r="WAN45" s="595"/>
      <c r="WAO45" s="595"/>
      <c r="WAP45" s="595"/>
      <c r="WAQ45" s="595"/>
      <c r="WAR45" s="595"/>
      <c r="WAS45" s="595"/>
      <c r="WAT45" s="595"/>
      <c r="WAU45" s="595"/>
      <c r="WAV45" s="595"/>
      <c r="WAW45" s="595"/>
      <c r="WAX45" s="595"/>
      <c r="WAY45" s="595"/>
      <c r="WAZ45" s="595"/>
      <c r="WBA45" s="595"/>
      <c r="WBB45" s="595"/>
      <c r="WBC45" s="595"/>
      <c r="WBD45" s="595"/>
      <c r="WBE45" s="595"/>
      <c r="WBF45" s="595"/>
      <c r="WBG45" s="595"/>
      <c r="WBH45" s="595"/>
      <c r="WBI45" s="595"/>
      <c r="WBJ45" s="595"/>
      <c r="WBK45" s="595"/>
      <c r="WBL45" s="595"/>
      <c r="WBM45" s="595"/>
      <c r="WBN45" s="595"/>
      <c r="WBO45" s="595"/>
      <c r="WBP45" s="595"/>
      <c r="WBQ45" s="595"/>
      <c r="WBR45" s="595"/>
      <c r="WBS45" s="595"/>
      <c r="WBT45" s="595"/>
      <c r="WBU45" s="595"/>
      <c r="WBV45" s="595"/>
      <c r="WBW45" s="595"/>
      <c r="WBX45" s="595"/>
      <c r="WBY45" s="595"/>
      <c r="WBZ45" s="595"/>
      <c r="WCA45" s="595"/>
      <c r="WCB45" s="595"/>
      <c r="WCC45" s="595"/>
      <c r="WCD45" s="595"/>
      <c r="WCE45" s="595"/>
      <c r="WCF45" s="595"/>
      <c r="WCG45" s="595"/>
      <c r="WCH45" s="595"/>
      <c r="WCI45" s="595"/>
      <c r="WCJ45" s="595"/>
      <c r="WCK45" s="595"/>
      <c r="WCL45" s="595"/>
      <c r="WCM45" s="595"/>
      <c r="WCN45" s="595"/>
      <c r="WCO45" s="595"/>
      <c r="WCP45" s="595"/>
      <c r="WCQ45" s="595"/>
      <c r="WCR45" s="595"/>
      <c r="WCS45" s="595"/>
      <c r="WCT45" s="595"/>
      <c r="WCU45" s="595"/>
      <c r="WCV45" s="595"/>
      <c r="WCW45" s="595"/>
      <c r="WCX45" s="595"/>
      <c r="WCY45" s="595"/>
      <c r="WCZ45" s="595"/>
      <c r="WDA45" s="595"/>
      <c r="WDB45" s="595"/>
      <c r="WDC45" s="595"/>
      <c r="WDD45" s="595"/>
      <c r="WDE45" s="595"/>
      <c r="WDF45" s="595"/>
      <c r="WDG45" s="595"/>
      <c r="WDH45" s="595"/>
      <c r="WDI45" s="595"/>
      <c r="WDJ45" s="595"/>
      <c r="WDK45" s="595"/>
      <c r="WDL45" s="595"/>
      <c r="WDM45" s="595"/>
      <c r="WDN45" s="595"/>
      <c r="WDO45" s="595"/>
      <c r="WDP45" s="595"/>
      <c r="WDQ45" s="595"/>
      <c r="WDR45" s="595"/>
      <c r="WDS45" s="595"/>
      <c r="WDT45" s="595"/>
      <c r="WDU45" s="595"/>
      <c r="WDV45" s="595"/>
      <c r="WDW45" s="595"/>
      <c r="WDX45" s="595"/>
      <c r="WDY45" s="595"/>
      <c r="WDZ45" s="595"/>
      <c r="WEA45" s="595"/>
      <c r="WEB45" s="595"/>
      <c r="WEC45" s="595"/>
      <c r="WED45" s="595"/>
      <c r="WEE45" s="595"/>
      <c r="WEF45" s="595"/>
      <c r="WEG45" s="595"/>
      <c r="WEH45" s="595"/>
      <c r="WEI45" s="595"/>
      <c r="WEJ45" s="595"/>
      <c r="WEK45" s="595"/>
      <c r="WEL45" s="595"/>
      <c r="WEM45" s="595"/>
      <c r="WEN45" s="595"/>
      <c r="WEO45" s="595"/>
      <c r="WEP45" s="595"/>
      <c r="WEQ45" s="595"/>
      <c r="WER45" s="595"/>
      <c r="WES45" s="595"/>
      <c r="WET45" s="595"/>
      <c r="WEU45" s="595"/>
      <c r="WEV45" s="595"/>
      <c r="WEW45" s="595"/>
      <c r="WEX45" s="595"/>
      <c r="WEY45" s="595"/>
      <c r="WEZ45" s="595"/>
      <c r="WFA45" s="595"/>
      <c r="WFB45" s="595"/>
      <c r="WFC45" s="595"/>
      <c r="WFD45" s="595"/>
      <c r="WFE45" s="595"/>
      <c r="WFF45" s="595"/>
      <c r="WFG45" s="595"/>
      <c r="WFH45" s="595"/>
      <c r="WFI45" s="595"/>
      <c r="WFJ45" s="595"/>
      <c r="WFK45" s="595"/>
      <c r="WFL45" s="595"/>
      <c r="WFM45" s="595"/>
      <c r="WFN45" s="595"/>
      <c r="WFO45" s="595"/>
      <c r="WFP45" s="595"/>
      <c r="WFQ45" s="595"/>
      <c r="WFR45" s="595"/>
      <c r="WFS45" s="595"/>
      <c r="WFT45" s="595"/>
      <c r="WFU45" s="595"/>
      <c r="WFV45" s="595"/>
      <c r="WFW45" s="595"/>
      <c r="WFX45" s="595"/>
      <c r="WFY45" s="595"/>
      <c r="WFZ45" s="595"/>
      <c r="WGA45" s="595"/>
      <c r="WGB45" s="595"/>
      <c r="WGC45" s="595"/>
      <c r="WGD45" s="595"/>
      <c r="WGE45" s="595"/>
      <c r="WGF45" s="595"/>
      <c r="WGG45" s="595"/>
      <c r="WGH45" s="595"/>
      <c r="WGI45" s="595"/>
      <c r="WGJ45" s="595"/>
      <c r="WGK45" s="595"/>
      <c r="WGL45" s="595"/>
      <c r="WGM45" s="595"/>
      <c r="WGN45" s="595"/>
      <c r="WGO45" s="595"/>
      <c r="WGP45" s="595"/>
      <c r="WGQ45" s="595"/>
      <c r="WGR45" s="595"/>
      <c r="WGS45" s="595"/>
      <c r="WGT45" s="595"/>
      <c r="WGU45" s="595"/>
      <c r="WGV45" s="595"/>
      <c r="WGW45" s="595"/>
      <c r="WGX45" s="595"/>
      <c r="WGY45" s="595"/>
      <c r="WGZ45" s="595"/>
      <c r="WHA45" s="595"/>
      <c r="WHB45" s="595"/>
      <c r="WHC45" s="595"/>
      <c r="WHD45" s="595"/>
      <c r="WHE45" s="595"/>
      <c r="WHF45" s="595"/>
      <c r="WHG45" s="595"/>
      <c r="WHH45" s="595"/>
      <c r="WHI45" s="595"/>
      <c r="WHJ45" s="595"/>
      <c r="WHK45" s="595"/>
      <c r="WHL45" s="595"/>
      <c r="WHM45" s="595"/>
      <c r="WHN45" s="595"/>
      <c r="WHO45" s="595"/>
      <c r="WHP45" s="595"/>
      <c r="WHQ45" s="595"/>
      <c r="WHR45" s="595"/>
      <c r="WHS45" s="595"/>
      <c r="WHT45" s="595"/>
      <c r="WHU45" s="595"/>
      <c r="WHV45" s="595"/>
      <c r="WHW45" s="595"/>
      <c r="WHX45" s="595"/>
      <c r="WHY45" s="595"/>
      <c r="WHZ45" s="595"/>
      <c r="WIA45" s="595"/>
      <c r="WIB45" s="595"/>
      <c r="WIC45" s="595"/>
      <c r="WID45" s="595"/>
      <c r="WIE45" s="595"/>
      <c r="WIF45" s="595"/>
      <c r="WIG45" s="595"/>
      <c r="WIH45" s="595"/>
      <c r="WII45" s="595"/>
      <c r="WIJ45" s="595"/>
      <c r="WIK45" s="595"/>
      <c r="WIL45" s="595"/>
      <c r="WIM45" s="595"/>
      <c r="WIN45" s="595"/>
      <c r="WIO45" s="595"/>
      <c r="WIP45" s="595"/>
      <c r="WIQ45" s="595"/>
      <c r="WIR45" s="595"/>
      <c r="WIS45" s="595"/>
      <c r="WIT45" s="595"/>
      <c r="WIU45" s="595"/>
      <c r="WIV45" s="595"/>
      <c r="WIW45" s="595"/>
      <c r="WIX45" s="595"/>
      <c r="WIY45" s="595"/>
      <c r="WIZ45" s="595"/>
      <c r="WJA45" s="595"/>
      <c r="WJB45" s="595"/>
      <c r="WJC45" s="595"/>
      <c r="WJD45" s="595"/>
      <c r="WJE45" s="595"/>
      <c r="WJF45" s="595"/>
      <c r="WJG45" s="595"/>
      <c r="WJH45" s="595"/>
      <c r="WJI45" s="595"/>
      <c r="WJJ45" s="595"/>
      <c r="WJK45" s="595"/>
      <c r="WJL45" s="595"/>
      <c r="WJM45" s="595"/>
      <c r="WJN45" s="595"/>
      <c r="WJO45" s="595"/>
      <c r="WJP45" s="595"/>
      <c r="WJQ45" s="595"/>
      <c r="WJR45" s="595"/>
      <c r="WJS45" s="595"/>
      <c r="WJT45" s="595"/>
      <c r="WJU45" s="595"/>
      <c r="WJV45" s="595"/>
      <c r="WJW45" s="595"/>
      <c r="WJX45" s="595"/>
      <c r="WJY45" s="595"/>
      <c r="WJZ45" s="595"/>
      <c r="WKA45" s="595"/>
      <c r="WKB45" s="595"/>
      <c r="WKC45" s="595"/>
      <c r="WKD45" s="595"/>
      <c r="WKE45" s="595"/>
      <c r="WKF45" s="595"/>
      <c r="WKG45" s="595"/>
      <c r="WKH45" s="595"/>
      <c r="WKI45" s="595"/>
      <c r="WKJ45" s="595"/>
      <c r="WKK45" s="595"/>
      <c r="WKL45" s="595"/>
      <c r="WKM45" s="595"/>
      <c r="WKN45" s="595"/>
      <c r="WKO45" s="595"/>
      <c r="WKP45" s="595"/>
      <c r="WKQ45" s="595"/>
      <c r="WKR45" s="595"/>
      <c r="WKS45" s="595"/>
      <c r="WKT45" s="595"/>
      <c r="WKU45" s="595"/>
      <c r="WKV45" s="595"/>
      <c r="WKW45" s="595"/>
      <c r="WKX45" s="595"/>
      <c r="WKY45" s="595"/>
      <c r="WKZ45" s="595"/>
      <c r="WLA45" s="595"/>
      <c r="WLB45" s="595"/>
      <c r="WLC45" s="595"/>
      <c r="WLD45" s="595"/>
      <c r="WLE45" s="595"/>
      <c r="WLF45" s="595"/>
      <c r="WLG45" s="595"/>
      <c r="WLH45" s="595"/>
      <c r="WLI45" s="595"/>
      <c r="WLJ45" s="595"/>
      <c r="WLK45" s="595"/>
      <c r="WLL45" s="595"/>
      <c r="WLM45" s="595"/>
      <c r="WLN45" s="595"/>
      <c r="WLO45" s="595"/>
      <c r="WLP45" s="595"/>
      <c r="WLQ45" s="595"/>
      <c r="WLR45" s="595"/>
      <c r="WLS45" s="595"/>
      <c r="WLT45" s="595"/>
      <c r="WLU45" s="595"/>
      <c r="WLV45" s="595"/>
      <c r="WLW45" s="595"/>
      <c r="WLX45" s="595"/>
      <c r="WLY45" s="595"/>
      <c r="WLZ45" s="595"/>
      <c r="WMA45" s="595"/>
      <c r="WMB45" s="595"/>
      <c r="WMC45" s="595"/>
      <c r="WMD45" s="595"/>
      <c r="WME45" s="595"/>
      <c r="WMF45" s="595"/>
      <c r="WMG45" s="595"/>
      <c r="WMH45" s="595"/>
      <c r="WMI45" s="595"/>
      <c r="WMJ45" s="595"/>
      <c r="WMK45" s="595"/>
      <c r="WML45" s="595"/>
      <c r="WMM45" s="595"/>
      <c r="WMN45" s="595"/>
      <c r="WMO45" s="595"/>
      <c r="WMP45" s="595"/>
      <c r="WMQ45" s="595"/>
      <c r="WMR45" s="595"/>
      <c r="WMS45" s="595"/>
      <c r="WMT45" s="595"/>
      <c r="WMU45" s="595"/>
      <c r="WMV45" s="595"/>
      <c r="WMW45" s="595"/>
      <c r="WMX45" s="595"/>
      <c r="WMY45" s="595"/>
      <c r="WMZ45" s="595"/>
      <c r="WNA45" s="595"/>
      <c r="WNB45" s="595"/>
      <c r="WNC45" s="595"/>
      <c r="WND45" s="595"/>
      <c r="WNE45" s="595"/>
      <c r="WNF45" s="595"/>
      <c r="WNG45" s="595"/>
      <c r="WNH45" s="595"/>
      <c r="WNI45" s="595"/>
      <c r="WNJ45" s="595"/>
      <c r="WNK45" s="595"/>
      <c r="WNL45" s="595"/>
      <c r="WNM45" s="595"/>
      <c r="WNN45" s="595"/>
      <c r="WNO45" s="595"/>
      <c r="WNP45" s="595"/>
      <c r="WNQ45" s="595"/>
      <c r="WNR45" s="595"/>
      <c r="WNS45" s="595"/>
      <c r="WNT45" s="595"/>
      <c r="WNU45" s="595"/>
      <c r="WNV45" s="595"/>
      <c r="WNW45" s="595"/>
      <c r="WNX45" s="595"/>
      <c r="WNY45" s="595"/>
      <c r="WNZ45" s="595"/>
      <c r="WOA45" s="595"/>
      <c r="WOB45" s="595"/>
      <c r="WOC45" s="595"/>
      <c r="WOD45" s="595"/>
      <c r="WOE45" s="595"/>
      <c r="WOF45" s="595"/>
      <c r="WOG45" s="595"/>
      <c r="WOH45" s="595"/>
      <c r="WOI45" s="595"/>
      <c r="WOJ45" s="595"/>
      <c r="WOK45" s="595"/>
      <c r="WOL45" s="595"/>
      <c r="WOM45" s="595"/>
      <c r="WON45" s="595"/>
      <c r="WOO45" s="595"/>
      <c r="WOP45" s="595"/>
      <c r="WOQ45" s="595"/>
      <c r="WOR45" s="595"/>
      <c r="WOS45" s="595"/>
      <c r="WOT45" s="595"/>
      <c r="WOU45" s="595"/>
      <c r="WOV45" s="595"/>
      <c r="WOW45" s="595"/>
      <c r="WOX45" s="595"/>
      <c r="WOY45" s="595"/>
      <c r="WOZ45" s="595"/>
      <c r="WPA45" s="595"/>
      <c r="WPB45" s="595"/>
      <c r="WPC45" s="595"/>
      <c r="WPD45" s="595"/>
      <c r="WPE45" s="595"/>
      <c r="WPF45" s="595"/>
      <c r="WPG45" s="595"/>
      <c r="WPH45" s="595"/>
      <c r="WPI45" s="595"/>
      <c r="WPJ45" s="595"/>
      <c r="WPK45" s="595"/>
      <c r="WPL45" s="595"/>
      <c r="WPM45" s="595"/>
      <c r="WPN45" s="595"/>
      <c r="WPO45" s="595"/>
      <c r="WPP45" s="595"/>
      <c r="WPQ45" s="595"/>
      <c r="WPR45" s="595"/>
      <c r="WPS45" s="595"/>
      <c r="WPT45" s="595"/>
      <c r="WPU45" s="595"/>
      <c r="WPV45" s="595"/>
      <c r="WPW45" s="595"/>
      <c r="WPX45" s="595"/>
      <c r="WPY45" s="595"/>
      <c r="WPZ45" s="595"/>
      <c r="WQA45" s="595"/>
      <c r="WQB45" s="595"/>
      <c r="WQC45" s="595"/>
      <c r="WQD45" s="595"/>
      <c r="WQE45" s="595"/>
      <c r="WQF45" s="595"/>
      <c r="WQG45" s="595"/>
      <c r="WQH45" s="595"/>
      <c r="WQI45" s="595"/>
      <c r="WQJ45" s="595"/>
      <c r="WQK45" s="595"/>
      <c r="WQL45" s="595"/>
      <c r="WQM45" s="595"/>
      <c r="WQN45" s="595"/>
      <c r="WQO45" s="595"/>
      <c r="WQP45" s="595"/>
      <c r="WQQ45" s="595"/>
      <c r="WQR45" s="595"/>
      <c r="WQS45" s="595"/>
      <c r="WQT45" s="595"/>
      <c r="WQU45" s="595"/>
      <c r="WQV45" s="595"/>
      <c r="WQW45" s="595"/>
      <c r="WQX45" s="595"/>
      <c r="WQY45" s="595"/>
      <c r="WQZ45" s="595"/>
      <c r="WRA45" s="595"/>
      <c r="WRB45" s="595"/>
      <c r="WRC45" s="595"/>
      <c r="WRD45" s="595"/>
      <c r="WRE45" s="595"/>
      <c r="WRF45" s="595"/>
      <c r="WRG45" s="595"/>
      <c r="WRH45" s="595"/>
      <c r="WRI45" s="595"/>
      <c r="WRJ45" s="595"/>
      <c r="WRK45" s="595"/>
      <c r="WRL45" s="595"/>
      <c r="WRM45" s="595"/>
      <c r="WRN45" s="595"/>
      <c r="WRO45" s="595"/>
      <c r="WRP45" s="595"/>
      <c r="WRQ45" s="595"/>
      <c r="WRR45" s="595"/>
      <c r="WRS45" s="595"/>
      <c r="WRT45" s="595"/>
      <c r="WRU45" s="595"/>
      <c r="WRV45" s="595"/>
      <c r="WRW45" s="595"/>
      <c r="WRX45" s="595"/>
      <c r="WRY45" s="595"/>
      <c r="WRZ45" s="595"/>
      <c r="WSA45" s="595"/>
      <c r="WSB45" s="595"/>
      <c r="WSC45" s="595"/>
      <c r="WSD45" s="595"/>
      <c r="WSE45" s="595"/>
      <c r="WSF45" s="595"/>
      <c r="WSG45" s="595"/>
      <c r="WSH45" s="595"/>
      <c r="WSI45" s="595"/>
      <c r="WSJ45" s="595"/>
      <c r="WSK45" s="595"/>
      <c r="WSL45" s="595"/>
      <c r="WSM45" s="595"/>
      <c r="WSN45" s="595"/>
      <c r="WSO45" s="595"/>
      <c r="WSP45" s="595"/>
      <c r="WSQ45" s="595"/>
      <c r="WSR45" s="595"/>
      <c r="WSS45" s="595"/>
      <c r="WST45" s="595"/>
      <c r="WSU45" s="595"/>
      <c r="WSV45" s="595"/>
      <c r="WSW45" s="595"/>
      <c r="WSX45" s="595"/>
      <c r="WSY45" s="595"/>
      <c r="WSZ45" s="595"/>
      <c r="WTA45" s="595"/>
      <c r="WTB45" s="595"/>
      <c r="WTC45" s="595"/>
      <c r="WTD45" s="595"/>
      <c r="WTE45" s="595"/>
      <c r="WTF45" s="595"/>
      <c r="WTG45" s="595"/>
      <c r="WTH45" s="595"/>
      <c r="WTI45" s="595"/>
      <c r="WTJ45" s="595"/>
      <c r="WTK45" s="595"/>
      <c r="WTL45" s="595"/>
      <c r="WTM45" s="595"/>
      <c r="WTN45" s="595"/>
      <c r="WTO45" s="595"/>
      <c r="WTP45" s="595"/>
      <c r="WTQ45" s="595"/>
      <c r="WTR45" s="595"/>
      <c r="WTS45" s="595"/>
      <c r="WTT45" s="595"/>
      <c r="WTU45" s="595"/>
      <c r="WTV45" s="595"/>
      <c r="WTW45" s="595"/>
      <c r="WTX45" s="595"/>
      <c r="WTY45" s="595"/>
      <c r="WTZ45" s="595"/>
      <c r="WUA45" s="595"/>
      <c r="WUB45" s="595"/>
      <c r="WUC45" s="595"/>
      <c r="WUD45" s="595"/>
      <c r="WUE45" s="595"/>
      <c r="WUF45" s="595"/>
      <c r="WUG45" s="595"/>
      <c r="WUH45" s="595"/>
      <c r="WUI45" s="595"/>
      <c r="WUJ45" s="595"/>
      <c r="WUK45" s="595"/>
      <c r="WUL45" s="595"/>
      <c r="WUM45" s="595"/>
      <c r="WUN45" s="595"/>
      <c r="WUO45" s="595"/>
      <c r="WUP45" s="595"/>
      <c r="WUQ45" s="595"/>
      <c r="WUR45" s="595"/>
      <c r="WUS45" s="595"/>
      <c r="WUT45" s="595"/>
      <c r="WUU45" s="595"/>
      <c r="WUV45" s="595"/>
      <c r="WUW45" s="595"/>
      <c r="WUX45" s="595"/>
      <c r="WUY45" s="595"/>
      <c r="WUZ45" s="595"/>
      <c r="WVA45" s="595"/>
      <c r="WVB45" s="595"/>
      <c r="WVC45" s="595"/>
      <c r="WVD45" s="595"/>
      <c r="WVE45" s="595"/>
      <c r="WVF45" s="595"/>
      <c r="WVG45" s="595"/>
      <c r="WVH45" s="595"/>
      <c r="WVI45" s="595"/>
      <c r="WVJ45" s="595"/>
      <c r="WVK45" s="595"/>
      <c r="WVL45" s="595"/>
      <c r="WVM45" s="595"/>
      <c r="WVN45" s="595"/>
      <c r="WVO45" s="595"/>
      <c r="WVP45" s="595"/>
      <c r="WVQ45" s="595"/>
    </row>
    <row r="46" spans="1:16137" s="601" customFormat="1" ht="66" customHeight="1">
      <c r="A46" s="1137" t="s">
        <v>1493</v>
      </c>
      <c r="B46" s="1138"/>
      <c r="C46" s="1138"/>
      <c r="D46" s="1138"/>
      <c r="E46" s="1138"/>
      <c r="F46" s="1138"/>
      <c r="G46" s="1138"/>
      <c r="H46" s="1138"/>
      <c r="I46" s="1138"/>
      <c r="J46" s="595"/>
      <c r="CF46" s="595"/>
      <c r="CG46" s="595"/>
      <c r="CH46" s="595"/>
      <c r="CI46" s="595"/>
      <c r="CJ46" s="595"/>
      <c r="CK46" s="595"/>
      <c r="CL46" s="595"/>
      <c r="CM46" s="595"/>
      <c r="CN46" s="595"/>
      <c r="CO46" s="595"/>
      <c r="CP46" s="595"/>
      <c r="CQ46" s="595"/>
      <c r="CR46" s="595"/>
      <c r="CS46" s="595"/>
      <c r="CT46" s="595"/>
      <c r="CU46" s="595"/>
      <c r="CV46" s="595"/>
      <c r="CW46" s="595"/>
      <c r="CX46" s="595"/>
      <c r="CY46" s="595"/>
      <c r="CZ46" s="595"/>
      <c r="DA46" s="595"/>
      <c r="DB46" s="595"/>
      <c r="DC46" s="595"/>
      <c r="DD46" s="595"/>
      <c r="DE46" s="595"/>
      <c r="DF46" s="595"/>
      <c r="DG46" s="595"/>
      <c r="DH46" s="595"/>
      <c r="DI46" s="595"/>
      <c r="DJ46" s="595"/>
      <c r="DK46" s="595"/>
      <c r="DL46" s="595"/>
      <c r="DM46" s="595"/>
      <c r="DN46" s="595"/>
      <c r="DO46" s="595"/>
      <c r="DP46" s="595"/>
      <c r="DQ46" s="595"/>
      <c r="DR46" s="595"/>
      <c r="DS46" s="595"/>
      <c r="DT46" s="595"/>
      <c r="DU46" s="595"/>
      <c r="DV46" s="595"/>
      <c r="DW46" s="595"/>
      <c r="DX46" s="595"/>
      <c r="DY46" s="595"/>
      <c r="DZ46" s="595"/>
      <c r="EA46" s="595"/>
      <c r="EB46" s="595"/>
      <c r="EC46" s="595"/>
      <c r="ED46" s="595"/>
      <c r="EE46" s="595"/>
      <c r="EF46" s="595"/>
      <c r="EG46" s="595"/>
      <c r="EH46" s="595"/>
      <c r="EI46" s="595"/>
      <c r="EJ46" s="595"/>
      <c r="EK46" s="595"/>
      <c r="EL46" s="595"/>
      <c r="EM46" s="595"/>
      <c r="EN46" s="595"/>
      <c r="EO46" s="595"/>
      <c r="EP46" s="595"/>
      <c r="EQ46" s="595"/>
      <c r="ER46" s="595"/>
      <c r="ES46" s="595"/>
      <c r="ET46" s="595"/>
      <c r="EU46" s="595"/>
      <c r="EV46" s="595"/>
      <c r="EW46" s="595"/>
      <c r="EX46" s="595"/>
      <c r="EY46" s="595"/>
      <c r="EZ46" s="595"/>
      <c r="FA46" s="595"/>
      <c r="FB46" s="595"/>
      <c r="FC46" s="595"/>
      <c r="FD46" s="595"/>
      <c r="FE46" s="595"/>
      <c r="FF46" s="595"/>
      <c r="FG46" s="595"/>
      <c r="FH46" s="595"/>
      <c r="FI46" s="595"/>
      <c r="FJ46" s="595"/>
      <c r="FK46" s="595"/>
      <c r="FL46" s="595"/>
      <c r="FM46" s="595"/>
      <c r="FN46" s="595"/>
      <c r="FO46" s="595"/>
      <c r="FP46" s="595"/>
      <c r="FQ46" s="595"/>
      <c r="FR46" s="595"/>
      <c r="FS46" s="595"/>
      <c r="FT46" s="595"/>
      <c r="FU46" s="595"/>
      <c r="FV46" s="595"/>
      <c r="FW46" s="595"/>
      <c r="FX46" s="595"/>
      <c r="FY46" s="595"/>
      <c r="FZ46" s="595"/>
      <c r="GA46" s="595"/>
      <c r="GB46" s="595"/>
      <c r="GC46" s="595"/>
      <c r="GD46" s="595"/>
      <c r="GE46" s="595"/>
      <c r="GF46" s="595"/>
      <c r="GG46" s="595"/>
      <c r="GH46" s="595"/>
      <c r="GI46" s="595"/>
      <c r="GJ46" s="595"/>
      <c r="GK46" s="595"/>
      <c r="GL46" s="595"/>
      <c r="GM46" s="595"/>
      <c r="GN46" s="595"/>
      <c r="GO46" s="595"/>
      <c r="GP46" s="595"/>
      <c r="GQ46" s="595"/>
      <c r="GR46" s="595"/>
      <c r="GS46" s="595"/>
      <c r="GT46" s="595"/>
      <c r="GU46" s="595"/>
      <c r="GV46" s="595"/>
      <c r="GW46" s="595"/>
      <c r="GX46" s="595"/>
      <c r="GY46" s="595"/>
      <c r="GZ46" s="595"/>
      <c r="HA46" s="595"/>
      <c r="HB46" s="595"/>
      <c r="HC46" s="595"/>
      <c r="HD46" s="595"/>
      <c r="HE46" s="595"/>
      <c r="HF46" s="595"/>
      <c r="HG46" s="595"/>
      <c r="HH46" s="595"/>
      <c r="HI46" s="595"/>
      <c r="HJ46" s="595"/>
      <c r="HK46" s="595"/>
      <c r="HL46" s="595"/>
      <c r="HM46" s="595"/>
      <c r="HN46" s="595"/>
      <c r="HO46" s="595"/>
      <c r="HP46" s="595"/>
      <c r="HQ46" s="595"/>
      <c r="HR46" s="595"/>
      <c r="HS46" s="595"/>
      <c r="HT46" s="595"/>
      <c r="HU46" s="595"/>
      <c r="HV46" s="595"/>
      <c r="HW46" s="595"/>
      <c r="HX46" s="595"/>
      <c r="HY46" s="595"/>
      <c r="HZ46" s="595"/>
      <c r="IA46" s="595"/>
      <c r="IB46" s="595"/>
      <c r="IC46" s="595"/>
      <c r="ID46" s="595"/>
      <c r="IE46" s="595"/>
      <c r="IF46" s="595"/>
      <c r="IG46" s="595"/>
      <c r="IH46" s="595"/>
      <c r="II46" s="595"/>
      <c r="IJ46" s="595"/>
      <c r="IK46" s="595"/>
      <c r="IL46" s="595"/>
      <c r="IM46" s="595"/>
      <c r="IN46" s="595"/>
      <c r="IO46" s="595"/>
      <c r="IP46" s="595"/>
      <c r="IQ46" s="595"/>
      <c r="IR46" s="595"/>
      <c r="IS46" s="595"/>
      <c r="IT46" s="595"/>
      <c r="IU46" s="595"/>
      <c r="IV46" s="595"/>
      <c r="IW46" s="595"/>
      <c r="IX46" s="595"/>
      <c r="IY46" s="595"/>
      <c r="IZ46" s="595"/>
      <c r="JA46" s="595"/>
      <c r="JB46" s="595"/>
      <c r="JC46" s="595"/>
      <c r="JD46" s="595"/>
      <c r="JE46" s="595"/>
      <c r="JF46" s="595"/>
      <c r="JG46" s="595"/>
      <c r="JH46" s="595"/>
      <c r="JI46" s="595"/>
      <c r="JJ46" s="595"/>
      <c r="JK46" s="595"/>
      <c r="JL46" s="595"/>
      <c r="JM46" s="595"/>
      <c r="JN46" s="595"/>
      <c r="JO46" s="595"/>
      <c r="JP46" s="595"/>
      <c r="JQ46" s="595"/>
      <c r="JR46" s="595"/>
      <c r="JS46" s="595"/>
      <c r="JT46" s="595"/>
      <c r="JU46" s="595"/>
      <c r="JV46" s="595"/>
      <c r="JW46" s="595"/>
      <c r="JX46" s="595"/>
      <c r="JY46" s="595"/>
      <c r="JZ46" s="595"/>
      <c r="KA46" s="595"/>
      <c r="KB46" s="595"/>
      <c r="KC46" s="595"/>
      <c r="KD46" s="595"/>
      <c r="KE46" s="595"/>
      <c r="KF46" s="595"/>
      <c r="KG46" s="595"/>
      <c r="KH46" s="595"/>
      <c r="KI46" s="595"/>
      <c r="KJ46" s="595"/>
      <c r="KK46" s="595"/>
      <c r="KL46" s="595"/>
      <c r="KM46" s="595"/>
      <c r="KN46" s="595"/>
      <c r="KO46" s="595"/>
      <c r="KP46" s="595"/>
      <c r="KQ46" s="595"/>
      <c r="KR46" s="595"/>
      <c r="KS46" s="595"/>
      <c r="KT46" s="595"/>
      <c r="KU46" s="595"/>
      <c r="KV46" s="595"/>
      <c r="KW46" s="595"/>
      <c r="KX46" s="595"/>
      <c r="KY46" s="595"/>
      <c r="KZ46" s="595"/>
      <c r="LA46" s="595"/>
      <c r="LB46" s="595"/>
      <c r="LC46" s="595"/>
      <c r="LD46" s="595"/>
      <c r="LE46" s="595"/>
      <c r="LF46" s="595"/>
      <c r="LG46" s="595"/>
      <c r="LH46" s="595"/>
      <c r="LI46" s="595"/>
      <c r="LJ46" s="595"/>
      <c r="LK46" s="595"/>
      <c r="LL46" s="595"/>
      <c r="LM46" s="595"/>
      <c r="LN46" s="595"/>
      <c r="LO46" s="595"/>
      <c r="LP46" s="595"/>
      <c r="LQ46" s="595"/>
      <c r="LR46" s="595"/>
      <c r="LS46" s="595"/>
      <c r="LT46" s="595"/>
      <c r="LU46" s="595"/>
      <c r="LV46" s="595"/>
      <c r="LW46" s="595"/>
      <c r="LX46" s="595"/>
      <c r="LY46" s="595"/>
      <c r="LZ46" s="595"/>
      <c r="MA46" s="595"/>
      <c r="MB46" s="595"/>
      <c r="MC46" s="595"/>
      <c r="MD46" s="595"/>
      <c r="ME46" s="595"/>
      <c r="MF46" s="595"/>
      <c r="MG46" s="595"/>
      <c r="MH46" s="595"/>
      <c r="MI46" s="595"/>
      <c r="MJ46" s="595"/>
      <c r="MK46" s="595"/>
      <c r="ML46" s="595"/>
      <c r="MM46" s="595"/>
      <c r="MN46" s="595"/>
      <c r="MO46" s="595"/>
      <c r="MP46" s="595"/>
      <c r="MQ46" s="595"/>
      <c r="MR46" s="595"/>
      <c r="MS46" s="595"/>
      <c r="MT46" s="595"/>
      <c r="MU46" s="595"/>
      <c r="MV46" s="595"/>
      <c r="MW46" s="595"/>
      <c r="MX46" s="595"/>
      <c r="MY46" s="595"/>
      <c r="MZ46" s="595"/>
      <c r="NA46" s="595"/>
      <c r="NB46" s="595"/>
      <c r="NC46" s="595"/>
      <c r="ND46" s="595"/>
      <c r="NE46" s="595"/>
      <c r="NF46" s="595"/>
      <c r="NG46" s="595"/>
      <c r="NH46" s="595"/>
      <c r="NI46" s="595"/>
      <c r="NJ46" s="595"/>
      <c r="NK46" s="595"/>
      <c r="NL46" s="595"/>
      <c r="NM46" s="595"/>
      <c r="NN46" s="595"/>
      <c r="NO46" s="595"/>
      <c r="NP46" s="595"/>
      <c r="NQ46" s="595"/>
      <c r="NR46" s="595"/>
      <c r="NS46" s="595"/>
      <c r="NT46" s="595"/>
      <c r="NU46" s="595"/>
      <c r="NV46" s="595"/>
      <c r="NW46" s="595"/>
      <c r="NX46" s="595"/>
      <c r="NY46" s="595"/>
      <c r="NZ46" s="595"/>
      <c r="OA46" s="595"/>
      <c r="OB46" s="595"/>
      <c r="OC46" s="595"/>
      <c r="OD46" s="595"/>
      <c r="OE46" s="595"/>
      <c r="OF46" s="595"/>
      <c r="OG46" s="595"/>
      <c r="OH46" s="595"/>
      <c r="OI46" s="595"/>
      <c r="OJ46" s="595"/>
      <c r="OK46" s="595"/>
      <c r="OL46" s="595"/>
      <c r="OM46" s="595"/>
      <c r="ON46" s="595"/>
      <c r="OO46" s="595"/>
      <c r="OP46" s="595"/>
      <c r="OQ46" s="595"/>
      <c r="OR46" s="595"/>
      <c r="OS46" s="595"/>
      <c r="OT46" s="595"/>
      <c r="OU46" s="595"/>
      <c r="OV46" s="595"/>
      <c r="OW46" s="595"/>
      <c r="OX46" s="595"/>
      <c r="OY46" s="595"/>
      <c r="OZ46" s="595"/>
      <c r="PA46" s="595"/>
      <c r="PB46" s="595"/>
      <c r="PC46" s="595"/>
      <c r="PD46" s="595"/>
      <c r="PE46" s="595"/>
      <c r="PF46" s="595"/>
      <c r="PG46" s="595"/>
      <c r="PH46" s="595"/>
      <c r="PI46" s="595"/>
      <c r="PJ46" s="595"/>
      <c r="PK46" s="595"/>
      <c r="PL46" s="595"/>
      <c r="PM46" s="595"/>
      <c r="PN46" s="595"/>
      <c r="PO46" s="595"/>
      <c r="PP46" s="595"/>
      <c r="PQ46" s="595"/>
      <c r="PR46" s="595"/>
      <c r="PS46" s="595"/>
      <c r="PT46" s="595"/>
      <c r="PU46" s="595"/>
      <c r="PV46" s="595"/>
      <c r="PW46" s="595"/>
      <c r="PX46" s="595"/>
      <c r="PY46" s="595"/>
      <c r="PZ46" s="595"/>
      <c r="QA46" s="595"/>
      <c r="QB46" s="595"/>
      <c r="QC46" s="595"/>
      <c r="QD46" s="595"/>
      <c r="QE46" s="595"/>
      <c r="QF46" s="595"/>
      <c r="QG46" s="595"/>
      <c r="QH46" s="595"/>
      <c r="QI46" s="595"/>
      <c r="QJ46" s="595"/>
      <c r="QK46" s="595"/>
      <c r="QL46" s="595"/>
      <c r="QM46" s="595"/>
      <c r="QN46" s="595"/>
      <c r="QO46" s="595"/>
      <c r="QP46" s="595"/>
      <c r="QQ46" s="595"/>
      <c r="QR46" s="595"/>
      <c r="QS46" s="595"/>
      <c r="QT46" s="595"/>
      <c r="QU46" s="595"/>
      <c r="QV46" s="595"/>
      <c r="QW46" s="595"/>
      <c r="QX46" s="595"/>
      <c r="QY46" s="595"/>
      <c r="QZ46" s="595"/>
      <c r="RA46" s="595"/>
      <c r="RB46" s="595"/>
      <c r="RC46" s="595"/>
      <c r="RD46" s="595"/>
      <c r="RE46" s="595"/>
      <c r="RF46" s="595"/>
      <c r="RG46" s="595"/>
      <c r="RH46" s="595"/>
      <c r="RI46" s="595"/>
      <c r="RJ46" s="595"/>
      <c r="RK46" s="595"/>
      <c r="RL46" s="595"/>
      <c r="RM46" s="595"/>
      <c r="RN46" s="595"/>
      <c r="RO46" s="595"/>
      <c r="RP46" s="595"/>
      <c r="RQ46" s="595"/>
      <c r="RR46" s="595"/>
      <c r="RS46" s="595"/>
      <c r="RT46" s="595"/>
      <c r="RU46" s="595"/>
      <c r="RV46" s="595"/>
      <c r="RW46" s="595"/>
      <c r="RX46" s="595"/>
      <c r="RY46" s="595"/>
      <c r="RZ46" s="595"/>
      <c r="SA46" s="595"/>
      <c r="SB46" s="595"/>
      <c r="SC46" s="595"/>
      <c r="SD46" s="595"/>
      <c r="SE46" s="595"/>
      <c r="SF46" s="595"/>
      <c r="SG46" s="595"/>
      <c r="SH46" s="595"/>
      <c r="SI46" s="595"/>
      <c r="SJ46" s="595"/>
      <c r="SK46" s="595"/>
      <c r="SL46" s="595"/>
      <c r="SM46" s="595"/>
      <c r="SN46" s="595"/>
      <c r="SO46" s="595"/>
      <c r="SP46" s="595"/>
      <c r="SQ46" s="595"/>
      <c r="SR46" s="595"/>
      <c r="SS46" s="595"/>
      <c r="ST46" s="595"/>
      <c r="SU46" s="595"/>
      <c r="SV46" s="595"/>
      <c r="SW46" s="595"/>
      <c r="SX46" s="595"/>
      <c r="SY46" s="595"/>
      <c r="SZ46" s="595"/>
      <c r="TA46" s="595"/>
      <c r="TB46" s="595"/>
      <c r="TC46" s="595"/>
      <c r="TD46" s="595"/>
      <c r="TE46" s="595"/>
      <c r="TF46" s="595"/>
      <c r="TG46" s="595"/>
      <c r="TH46" s="595"/>
      <c r="TI46" s="595"/>
      <c r="TJ46" s="595"/>
      <c r="TK46" s="595"/>
      <c r="TL46" s="595"/>
      <c r="TM46" s="595"/>
      <c r="TN46" s="595"/>
      <c r="TO46" s="595"/>
      <c r="TP46" s="595"/>
      <c r="TQ46" s="595"/>
      <c r="TR46" s="595"/>
      <c r="TS46" s="595"/>
      <c r="TT46" s="595"/>
      <c r="TU46" s="595"/>
      <c r="TV46" s="595"/>
      <c r="TW46" s="595"/>
      <c r="TX46" s="595"/>
      <c r="TY46" s="595"/>
      <c r="TZ46" s="595"/>
      <c r="UA46" s="595"/>
      <c r="UB46" s="595"/>
      <c r="UC46" s="595"/>
      <c r="UD46" s="595"/>
      <c r="UE46" s="595"/>
      <c r="UF46" s="595"/>
      <c r="UG46" s="595"/>
      <c r="UH46" s="595"/>
      <c r="UI46" s="595"/>
      <c r="UJ46" s="595"/>
      <c r="UK46" s="595"/>
      <c r="UL46" s="595"/>
      <c r="UM46" s="595"/>
      <c r="UN46" s="595"/>
      <c r="UO46" s="595"/>
      <c r="UP46" s="595"/>
      <c r="UQ46" s="595"/>
      <c r="UR46" s="595"/>
      <c r="US46" s="595"/>
      <c r="UT46" s="595"/>
      <c r="UU46" s="595"/>
      <c r="UV46" s="595"/>
      <c r="UW46" s="595"/>
      <c r="UX46" s="595"/>
      <c r="UY46" s="595"/>
      <c r="UZ46" s="595"/>
      <c r="VA46" s="595"/>
      <c r="VB46" s="595"/>
      <c r="VC46" s="595"/>
      <c r="VD46" s="595"/>
      <c r="VE46" s="595"/>
      <c r="VF46" s="595"/>
      <c r="VG46" s="595"/>
      <c r="VH46" s="595"/>
      <c r="VI46" s="595"/>
      <c r="VJ46" s="595"/>
      <c r="VK46" s="595"/>
      <c r="VL46" s="595"/>
      <c r="VM46" s="595"/>
      <c r="VN46" s="595"/>
      <c r="VO46" s="595"/>
      <c r="VP46" s="595"/>
      <c r="VQ46" s="595"/>
      <c r="VR46" s="595"/>
      <c r="VS46" s="595"/>
      <c r="VT46" s="595"/>
      <c r="VU46" s="595"/>
      <c r="VV46" s="595"/>
      <c r="VW46" s="595"/>
      <c r="VX46" s="595"/>
      <c r="VY46" s="595"/>
      <c r="VZ46" s="595"/>
      <c r="WA46" s="595"/>
      <c r="WB46" s="595"/>
      <c r="WC46" s="595"/>
      <c r="WD46" s="595"/>
      <c r="WE46" s="595"/>
      <c r="WF46" s="595"/>
      <c r="WG46" s="595"/>
      <c r="WH46" s="595"/>
      <c r="WI46" s="595"/>
      <c r="WJ46" s="595"/>
      <c r="WK46" s="595"/>
      <c r="WL46" s="595"/>
      <c r="WM46" s="595"/>
      <c r="WN46" s="595"/>
      <c r="WO46" s="595"/>
      <c r="WP46" s="595"/>
      <c r="WQ46" s="595"/>
      <c r="WR46" s="595"/>
      <c r="WS46" s="595"/>
      <c r="WT46" s="595"/>
      <c r="WU46" s="595"/>
      <c r="WV46" s="595"/>
      <c r="WW46" s="595"/>
      <c r="WX46" s="595"/>
      <c r="WY46" s="595"/>
      <c r="WZ46" s="595"/>
      <c r="XA46" s="595"/>
      <c r="XB46" s="595"/>
      <c r="XC46" s="595"/>
      <c r="XD46" s="595"/>
      <c r="XE46" s="595"/>
      <c r="XF46" s="595"/>
      <c r="XG46" s="595"/>
      <c r="XH46" s="595"/>
      <c r="XI46" s="595"/>
      <c r="XJ46" s="595"/>
      <c r="XK46" s="595"/>
      <c r="XL46" s="595"/>
      <c r="XM46" s="595"/>
      <c r="XN46" s="595"/>
      <c r="XO46" s="595"/>
      <c r="XP46" s="595"/>
      <c r="XQ46" s="595"/>
      <c r="XR46" s="595"/>
      <c r="XS46" s="595"/>
      <c r="XT46" s="595"/>
      <c r="XU46" s="595"/>
      <c r="XV46" s="595"/>
      <c r="XW46" s="595"/>
      <c r="XX46" s="595"/>
      <c r="XY46" s="595"/>
      <c r="XZ46" s="595"/>
      <c r="YA46" s="595"/>
      <c r="YB46" s="595"/>
      <c r="YC46" s="595"/>
      <c r="YD46" s="595"/>
      <c r="YE46" s="595"/>
      <c r="YF46" s="595"/>
      <c r="YG46" s="595"/>
      <c r="YH46" s="595"/>
      <c r="YI46" s="595"/>
      <c r="YJ46" s="595"/>
      <c r="YK46" s="595"/>
      <c r="YL46" s="595"/>
      <c r="YM46" s="595"/>
      <c r="YN46" s="595"/>
      <c r="YO46" s="595"/>
      <c r="YP46" s="595"/>
      <c r="YQ46" s="595"/>
      <c r="YR46" s="595"/>
      <c r="YS46" s="595"/>
      <c r="YT46" s="595"/>
      <c r="YU46" s="595"/>
      <c r="YV46" s="595"/>
      <c r="YW46" s="595"/>
      <c r="YX46" s="595"/>
      <c r="YY46" s="595"/>
      <c r="YZ46" s="595"/>
      <c r="ZA46" s="595"/>
      <c r="ZB46" s="595"/>
      <c r="ZC46" s="595"/>
      <c r="ZD46" s="595"/>
      <c r="ZE46" s="595"/>
      <c r="ZF46" s="595"/>
      <c r="ZG46" s="595"/>
      <c r="ZH46" s="595"/>
      <c r="ZI46" s="595"/>
      <c r="ZJ46" s="595"/>
      <c r="ZK46" s="595"/>
      <c r="ZL46" s="595"/>
      <c r="ZM46" s="595"/>
      <c r="ZN46" s="595"/>
      <c r="ZO46" s="595"/>
      <c r="ZP46" s="595"/>
      <c r="ZQ46" s="595"/>
      <c r="ZR46" s="595"/>
      <c r="ZS46" s="595"/>
      <c r="ZT46" s="595"/>
      <c r="ZU46" s="595"/>
      <c r="ZV46" s="595"/>
      <c r="ZW46" s="595"/>
      <c r="ZX46" s="595"/>
      <c r="ZY46" s="595"/>
      <c r="ZZ46" s="595"/>
      <c r="AAA46" s="595"/>
      <c r="AAB46" s="595"/>
      <c r="AAC46" s="595"/>
      <c r="AAD46" s="595"/>
      <c r="AAE46" s="595"/>
      <c r="AAF46" s="595"/>
      <c r="AAG46" s="595"/>
      <c r="AAH46" s="595"/>
      <c r="AAI46" s="595"/>
      <c r="AAJ46" s="595"/>
      <c r="AAK46" s="595"/>
      <c r="AAL46" s="595"/>
      <c r="AAM46" s="595"/>
      <c r="AAN46" s="595"/>
      <c r="AAO46" s="595"/>
      <c r="AAP46" s="595"/>
      <c r="AAQ46" s="595"/>
      <c r="AAR46" s="595"/>
      <c r="AAS46" s="595"/>
      <c r="AAT46" s="595"/>
      <c r="AAU46" s="595"/>
      <c r="AAV46" s="595"/>
      <c r="AAW46" s="595"/>
      <c r="AAX46" s="595"/>
      <c r="AAY46" s="595"/>
      <c r="AAZ46" s="595"/>
      <c r="ABA46" s="595"/>
      <c r="ABB46" s="595"/>
      <c r="ABC46" s="595"/>
      <c r="ABD46" s="595"/>
      <c r="ABE46" s="595"/>
      <c r="ABF46" s="595"/>
      <c r="ABG46" s="595"/>
      <c r="ABH46" s="595"/>
      <c r="ABI46" s="595"/>
      <c r="ABJ46" s="595"/>
      <c r="ABK46" s="595"/>
      <c r="ABL46" s="595"/>
      <c r="ABM46" s="595"/>
      <c r="ABN46" s="595"/>
      <c r="ABO46" s="595"/>
      <c r="ABP46" s="595"/>
      <c r="ABQ46" s="595"/>
      <c r="ABR46" s="595"/>
      <c r="ABS46" s="595"/>
      <c r="ABT46" s="595"/>
      <c r="ABU46" s="595"/>
      <c r="ABV46" s="595"/>
      <c r="ABW46" s="595"/>
      <c r="ABX46" s="595"/>
      <c r="ABY46" s="595"/>
      <c r="ABZ46" s="595"/>
      <c r="ACA46" s="595"/>
      <c r="ACB46" s="595"/>
      <c r="ACC46" s="595"/>
      <c r="ACD46" s="595"/>
      <c r="ACE46" s="595"/>
      <c r="ACF46" s="595"/>
      <c r="ACG46" s="595"/>
      <c r="ACH46" s="595"/>
      <c r="ACI46" s="595"/>
      <c r="ACJ46" s="595"/>
      <c r="ACK46" s="595"/>
      <c r="ACL46" s="595"/>
      <c r="ACM46" s="595"/>
      <c r="ACN46" s="595"/>
      <c r="ACO46" s="595"/>
      <c r="ACP46" s="595"/>
      <c r="ACQ46" s="595"/>
      <c r="ACR46" s="595"/>
      <c r="ACS46" s="595"/>
      <c r="ACT46" s="595"/>
      <c r="ACU46" s="595"/>
      <c r="ACV46" s="595"/>
      <c r="ACW46" s="595"/>
      <c r="ACX46" s="595"/>
      <c r="ACY46" s="595"/>
      <c r="ACZ46" s="595"/>
      <c r="ADA46" s="595"/>
      <c r="ADB46" s="595"/>
      <c r="ADC46" s="595"/>
      <c r="ADD46" s="595"/>
      <c r="ADE46" s="595"/>
      <c r="ADF46" s="595"/>
      <c r="ADG46" s="595"/>
      <c r="ADH46" s="595"/>
      <c r="ADI46" s="595"/>
      <c r="ADJ46" s="595"/>
      <c r="ADK46" s="595"/>
      <c r="ADL46" s="595"/>
      <c r="ADM46" s="595"/>
      <c r="ADN46" s="595"/>
      <c r="ADO46" s="595"/>
      <c r="ADP46" s="595"/>
      <c r="ADQ46" s="595"/>
      <c r="ADR46" s="595"/>
      <c r="ADS46" s="595"/>
      <c r="ADT46" s="595"/>
      <c r="ADU46" s="595"/>
      <c r="ADV46" s="595"/>
      <c r="ADW46" s="595"/>
      <c r="ADX46" s="595"/>
      <c r="ADY46" s="595"/>
      <c r="ADZ46" s="595"/>
      <c r="AEA46" s="595"/>
      <c r="AEB46" s="595"/>
      <c r="AEC46" s="595"/>
      <c r="AED46" s="595"/>
      <c r="AEE46" s="595"/>
      <c r="AEF46" s="595"/>
      <c r="AEG46" s="595"/>
      <c r="AEH46" s="595"/>
      <c r="AEI46" s="595"/>
      <c r="AEJ46" s="595"/>
      <c r="AEK46" s="595"/>
      <c r="AEL46" s="595"/>
      <c r="AEM46" s="595"/>
      <c r="AEN46" s="595"/>
      <c r="AEO46" s="595"/>
      <c r="AEP46" s="595"/>
      <c r="AEQ46" s="595"/>
      <c r="AER46" s="595"/>
      <c r="AES46" s="595"/>
      <c r="AET46" s="595"/>
      <c r="AEU46" s="595"/>
      <c r="AEV46" s="595"/>
      <c r="AEW46" s="595"/>
      <c r="AEX46" s="595"/>
      <c r="AEY46" s="595"/>
      <c r="AEZ46" s="595"/>
      <c r="AFA46" s="595"/>
      <c r="AFB46" s="595"/>
      <c r="AFC46" s="595"/>
      <c r="AFD46" s="595"/>
      <c r="AFE46" s="595"/>
      <c r="AFF46" s="595"/>
      <c r="AFG46" s="595"/>
      <c r="AFH46" s="595"/>
      <c r="AFI46" s="595"/>
      <c r="AFJ46" s="595"/>
      <c r="AFK46" s="595"/>
      <c r="AFL46" s="595"/>
      <c r="AFM46" s="595"/>
      <c r="AFN46" s="595"/>
      <c r="AFO46" s="595"/>
      <c r="AFP46" s="595"/>
      <c r="AFQ46" s="595"/>
      <c r="AFR46" s="595"/>
      <c r="AFS46" s="595"/>
      <c r="AFT46" s="595"/>
      <c r="AFU46" s="595"/>
      <c r="AFV46" s="595"/>
      <c r="AFW46" s="595"/>
      <c r="AFX46" s="595"/>
      <c r="AFY46" s="595"/>
      <c r="AFZ46" s="595"/>
      <c r="AGA46" s="595"/>
      <c r="AGB46" s="595"/>
      <c r="AGC46" s="595"/>
      <c r="AGD46" s="595"/>
      <c r="AGE46" s="595"/>
      <c r="AGF46" s="595"/>
      <c r="AGG46" s="595"/>
      <c r="AGH46" s="595"/>
      <c r="AGI46" s="595"/>
      <c r="AGJ46" s="595"/>
      <c r="AGK46" s="595"/>
      <c r="AGL46" s="595"/>
      <c r="AGM46" s="595"/>
      <c r="AGN46" s="595"/>
      <c r="AGO46" s="595"/>
      <c r="AGP46" s="595"/>
      <c r="AGQ46" s="595"/>
      <c r="AGR46" s="595"/>
      <c r="AGS46" s="595"/>
      <c r="AGT46" s="595"/>
      <c r="AGU46" s="595"/>
      <c r="AGV46" s="595"/>
      <c r="AGW46" s="595"/>
      <c r="AGX46" s="595"/>
      <c r="AGY46" s="595"/>
      <c r="AGZ46" s="595"/>
      <c r="AHA46" s="595"/>
      <c r="AHB46" s="595"/>
      <c r="AHC46" s="595"/>
      <c r="AHD46" s="595"/>
      <c r="AHE46" s="595"/>
      <c r="AHF46" s="595"/>
      <c r="AHG46" s="595"/>
      <c r="AHH46" s="595"/>
      <c r="AHI46" s="595"/>
      <c r="AHJ46" s="595"/>
      <c r="AHK46" s="595"/>
      <c r="AHL46" s="595"/>
      <c r="AHM46" s="595"/>
      <c r="AHN46" s="595"/>
      <c r="AHO46" s="595"/>
      <c r="AHP46" s="595"/>
      <c r="AHQ46" s="595"/>
      <c r="AHR46" s="595"/>
      <c r="AHS46" s="595"/>
      <c r="AHT46" s="595"/>
      <c r="AHU46" s="595"/>
      <c r="AHV46" s="595"/>
      <c r="AHW46" s="595"/>
      <c r="AHX46" s="595"/>
      <c r="AHY46" s="595"/>
      <c r="AHZ46" s="595"/>
      <c r="AIA46" s="595"/>
      <c r="AIB46" s="595"/>
      <c r="AIC46" s="595"/>
      <c r="AID46" s="595"/>
      <c r="AIE46" s="595"/>
      <c r="AIF46" s="595"/>
      <c r="AIG46" s="595"/>
      <c r="AIH46" s="595"/>
      <c r="AII46" s="595"/>
      <c r="AIJ46" s="595"/>
      <c r="AIK46" s="595"/>
      <c r="AIL46" s="595"/>
      <c r="AIM46" s="595"/>
      <c r="AIN46" s="595"/>
      <c r="AIO46" s="595"/>
      <c r="AIP46" s="595"/>
      <c r="AIQ46" s="595"/>
      <c r="AIR46" s="595"/>
      <c r="AIS46" s="595"/>
      <c r="AIT46" s="595"/>
      <c r="AIU46" s="595"/>
      <c r="AIV46" s="595"/>
      <c r="AIW46" s="595"/>
      <c r="AIX46" s="595"/>
      <c r="AIY46" s="595"/>
      <c r="AIZ46" s="595"/>
      <c r="AJA46" s="595"/>
      <c r="AJB46" s="595"/>
      <c r="AJC46" s="595"/>
      <c r="AJD46" s="595"/>
      <c r="AJE46" s="595"/>
      <c r="AJF46" s="595"/>
      <c r="AJG46" s="595"/>
      <c r="AJH46" s="595"/>
      <c r="AJI46" s="595"/>
      <c r="AJJ46" s="595"/>
      <c r="AJK46" s="595"/>
      <c r="AJL46" s="595"/>
      <c r="AJM46" s="595"/>
      <c r="AJN46" s="595"/>
      <c r="AJO46" s="595"/>
      <c r="AJP46" s="595"/>
      <c r="AJQ46" s="595"/>
      <c r="AJR46" s="595"/>
      <c r="AJS46" s="595"/>
      <c r="AJT46" s="595"/>
      <c r="AJU46" s="595"/>
      <c r="AJV46" s="595"/>
      <c r="AJW46" s="595"/>
      <c r="AJX46" s="595"/>
      <c r="AJY46" s="595"/>
      <c r="AJZ46" s="595"/>
      <c r="AKA46" s="595"/>
      <c r="AKB46" s="595"/>
      <c r="AKC46" s="595"/>
      <c r="AKD46" s="595"/>
      <c r="AKE46" s="595"/>
      <c r="AKF46" s="595"/>
      <c r="AKG46" s="595"/>
      <c r="AKH46" s="595"/>
      <c r="AKI46" s="595"/>
      <c r="AKJ46" s="595"/>
      <c r="AKK46" s="595"/>
      <c r="AKL46" s="595"/>
      <c r="AKM46" s="595"/>
      <c r="AKN46" s="595"/>
      <c r="AKO46" s="595"/>
      <c r="AKP46" s="595"/>
      <c r="AKQ46" s="595"/>
      <c r="AKR46" s="595"/>
      <c r="AKS46" s="595"/>
      <c r="AKT46" s="595"/>
      <c r="AKU46" s="595"/>
      <c r="AKV46" s="595"/>
      <c r="AKW46" s="595"/>
      <c r="AKX46" s="595"/>
      <c r="AKY46" s="595"/>
      <c r="AKZ46" s="595"/>
      <c r="ALA46" s="595"/>
      <c r="ALB46" s="595"/>
      <c r="ALC46" s="595"/>
      <c r="ALD46" s="595"/>
      <c r="ALE46" s="595"/>
      <c r="ALF46" s="595"/>
      <c r="ALG46" s="595"/>
      <c r="ALH46" s="595"/>
      <c r="ALI46" s="595"/>
      <c r="ALJ46" s="595"/>
      <c r="ALK46" s="595"/>
      <c r="ALL46" s="595"/>
      <c r="ALM46" s="595"/>
      <c r="ALN46" s="595"/>
      <c r="ALO46" s="595"/>
      <c r="ALP46" s="595"/>
      <c r="ALQ46" s="595"/>
      <c r="ALR46" s="595"/>
      <c r="ALS46" s="595"/>
      <c r="ALT46" s="595"/>
      <c r="ALU46" s="595"/>
      <c r="ALV46" s="595"/>
      <c r="ALW46" s="595"/>
      <c r="ALX46" s="595"/>
      <c r="ALY46" s="595"/>
      <c r="ALZ46" s="595"/>
      <c r="AMA46" s="595"/>
      <c r="AMB46" s="595"/>
      <c r="AMC46" s="595"/>
      <c r="AMD46" s="595"/>
      <c r="AME46" s="595"/>
      <c r="AMF46" s="595"/>
      <c r="AMG46" s="595"/>
      <c r="AMH46" s="595"/>
      <c r="AMI46" s="595"/>
      <c r="AMJ46" s="595"/>
      <c r="AMK46" s="595"/>
      <c r="AML46" s="595"/>
      <c r="AMM46" s="595"/>
      <c r="AMN46" s="595"/>
      <c r="AMO46" s="595"/>
      <c r="AMP46" s="595"/>
      <c r="AMQ46" s="595"/>
      <c r="AMR46" s="595"/>
      <c r="AMS46" s="595"/>
      <c r="AMT46" s="595"/>
      <c r="AMU46" s="595"/>
      <c r="AMV46" s="595"/>
      <c r="AMW46" s="595"/>
      <c r="AMX46" s="595"/>
      <c r="AMY46" s="595"/>
      <c r="AMZ46" s="595"/>
      <c r="ANA46" s="595"/>
      <c r="ANB46" s="595"/>
      <c r="ANC46" s="595"/>
      <c r="AND46" s="595"/>
      <c r="ANE46" s="595"/>
      <c r="ANF46" s="595"/>
      <c r="ANG46" s="595"/>
      <c r="ANH46" s="595"/>
      <c r="ANI46" s="595"/>
      <c r="ANJ46" s="595"/>
      <c r="ANK46" s="595"/>
      <c r="ANL46" s="595"/>
      <c r="ANM46" s="595"/>
      <c r="ANN46" s="595"/>
      <c r="ANO46" s="595"/>
      <c r="ANP46" s="595"/>
      <c r="ANQ46" s="595"/>
      <c r="ANR46" s="595"/>
      <c r="ANS46" s="595"/>
      <c r="ANT46" s="595"/>
      <c r="ANU46" s="595"/>
      <c r="ANV46" s="595"/>
      <c r="ANW46" s="595"/>
      <c r="ANX46" s="595"/>
      <c r="ANY46" s="595"/>
      <c r="ANZ46" s="595"/>
      <c r="AOA46" s="595"/>
      <c r="AOB46" s="595"/>
      <c r="AOC46" s="595"/>
      <c r="AOD46" s="595"/>
      <c r="AOE46" s="595"/>
      <c r="AOF46" s="595"/>
      <c r="AOG46" s="595"/>
      <c r="AOH46" s="595"/>
      <c r="AOI46" s="595"/>
      <c r="AOJ46" s="595"/>
      <c r="AOK46" s="595"/>
      <c r="AOL46" s="595"/>
      <c r="AOM46" s="595"/>
      <c r="AON46" s="595"/>
      <c r="AOO46" s="595"/>
      <c r="AOP46" s="595"/>
      <c r="AOQ46" s="595"/>
      <c r="AOR46" s="595"/>
      <c r="AOS46" s="595"/>
      <c r="AOT46" s="595"/>
      <c r="AOU46" s="595"/>
      <c r="AOV46" s="595"/>
      <c r="AOW46" s="595"/>
      <c r="AOX46" s="595"/>
      <c r="AOY46" s="595"/>
      <c r="AOZ46" s="595"/>
      <c r="APA46" s="595"/>
      <c r="APB46" s="595"/>
      <c r="APC46" s="595"/>
      <c r="APD46" s="595"/>
      <c r="APE46" s="595"/>
      <c r="APF46" s="595"/>
      <c r="APG46" s="595"/>
      <c r="APH46" s="595"/>
      <c r="API46" s="595"/>
      <c r="APJ46" s="595"/>
      <c r="APK46" s="595"/>
      <c r="APL46" s="595"/>
      <c r="APM46" s="595"/>
      <c r="APN46" s="595"/>
      <c r="APO46" s="595"/>
      <c r="APP46" s="595"/>
      <c r="APQ46" s="595"/>
      <c r="APR46" s="595"/>
      <c r="APS46" s="595"/>
      <c r="APT46" s="595"/>
      <c r="APU46" s="595"/>
      <c r="APV46" s="595"/>
      <c r="APW46" s="595"/>
      <c r="APX46" s="595"/>
      <c r="APY46" s="595"/>
      <c r="APZ46" s="595"/>
      <c r="AQA46" s="595"/>
      <c r="AQB46" s="595"/>
      <c r="AQC46" s="595"/>
      <c r="AQD46" s="595"/>
      <c r="AQE46" s="595"/>
      <c r="AQF46" s="595"/>
      <c r="AQG46" s="595"/>
      <c r="AQH46" s="595"/>
      <c r="AQI46" s="595"/>
      <c r="AQJ46" s="595"/>
      <c r="AQK46" s="595"/>
      <c r="AQL46" s="595"/>
      <c r="AQM46" s="595"/>
      <c r="AQN46" s="595"/>
      <c r="AQO46" s="595"/>
      <c r="AQP46" s="595"/>
      <c r="AQQ46" s="595"/>
      <c r="AQR46" s="595"/>
      <c r="AQS46" s="595"/>
      <c r="AQT46" s="595"/>
      <c r="AQU46" s="595"/>
      <c r="AQV46" s="595"/>
      <c r="AQW46" s="595"/>
      <c r="AQX46" s="595"/>
      <c r="AQY46" s="595"/>
      <c r="AQZ46" s="595"/>
      <c r="ARA46" s="595"/>
      <c r="ARB46" s="595"/>
      <c r="ARC46" s="595"/>
      <c r="ARD46" s="595"/>
      <c r="ARE46" s="595"/>
      <c r="ARF46" s="595"/>
      <c r="ARG46" s="595"/>
      <c r="ARH46" s="595"/>
      <c r="ARI46" s="595"/>
      <c r="ARJ46" s="595"/>
      <c r="ARK46" s="595"/>
      <c r="ARL46" s="595"/>
      <c r="ARM46" s="595"/>
      <c r="ARN46" s="595"/>
      <c r="ARO46" s="595"/>
      <c r="ARP46" s="595"/>
      <c r="ARQ46" s="595"/>
      <c r="ARR46" s="595"/>
      <c r="ARS46" s="595"/>
      <c r="ART46" s="595"/>
      <c r="ARU46" s="595"/>
      <c r="ARV46" s="595"/>
      <c r="ARW46" s="595"/>
      <c r="ARX46" s="595"/>
      <c r="ARY46" s="595"/>
      <c r="ARZ46" s="595"/>
      <c r="ASA46" s="595"/>
      <c r="ASB46" s="595"/>
      <c r="ASC46" s="595"/>
      <c r="ASD46" s="595"/>
      <c r="ASE46" s="595"/>
      <c r="ASF46" s="595"/>
      <c r="ASG46" s="595"/>
      <c r="ASH46" s="595"/>
      <c r="ASI46" s="595"/>
      <c r="ASJ46" s="595"/>
      <c r="ASK46" s="595"/>
      <c r="ASL46" s="595"/>
      <c r="ASM46" s="595"/>
      <c r="ASN46" s="595"/>
      <c r="ASO46" s="595"/>
      <c r="ASP46" s="595"/>
      <c r="ASQ46" s="595"/>
      <c r="ASR46" s="595"/>
      <c r="ASS46" s="595"/>
      <c r="AST46" s="595"/>
      <c r="ASU46" s="595"/>
      <c r="ASV46" s="595"/>
      <c r="ASW46" s="595"/>
      <c r="ASX46" s="595"/>
      <c r="ASY46" s="595"/>
      <c r="ASZ46" s="595"/>
      <c r="ATA46" s="595"/>
      <c r="ATB46" s="595"/>
      <c r="ATC46" s="595"/>
      <c r="ATD46" s="595"/>
      <c r="ATE46" s="595"/>
      <c r="ATF46" s="595"/>
      <c r="ATG46" s="595"/>
      <c r="ATH46" s="595"/>
      <c r="ATI46" s="595"/>
      <c r="ATJ46" s="595"/>
      <c r="ATK46" s="595"/>
      <c r="ATL46" s="595"/>
      <c r="ATM46" s="595"/>
      <c r="ATN46" s="595"/>
      <c r="ATO46" s="595"/>
      <c r="ATP46" s="595"/>
      <c r="ATQ46" s="595"/>
      <c r="ATR46" s="595"/>
      <c r="ATS46" s="595"/>
      <c r="ATT46" s="595"/>
      <c r="ATU46" s="595"/>
      <c r="ATV46" s="595"/>
      <c r="ATW46" s="595"/>
      <c r="ATX46" s="595"/>
      <c r="ATY46" s="595"/>
      <c r="ATZ46" s="595"/>
      <c r="AUA46" s="595"/>
      <c r="AUB46" s="595"/>
      <c r="AUC46" s="595"/>
      <c r="AUD46" s="595"/>
      <c r="AUE46" s="595"/>
      <c r="AUF46" s="595"/>
      <c r="AUG46" s="595"/>
      <c r="AUH46" s="595"/>
      <c r="AUI46" s="595"/>
      <c r="AUJ46" s="595"/>
      <c r="AUK46" s="595"/>
      <c r="AUL46" s="595"/>
      <c r="AUM46" s="595"/>
      <c r="AUN46" s="595"/>
      <c r="AUO46" s="595"/>
      <c r="AUP46" s="595"/>
      <c r="AUQ46" s="595"/>
      <c r="AUR46" s="595"/>
      <c r="AUS46" s="595"/>
      <c r="AUT46" s="595"/>
      <c r="AUU46" s="595"/>
      <c r="AUV46" s="595"/>
      <c r="AUW46" s="595"/>
      <c r="AUX46" s="595"/>
      <c r="AUY46" s="595"/>
      <c r="AUZ46" s="595"/>
      <c r="AVA46" s="595"/>
      <c r="AVB46" s="595"/>
      <c r="AVC46" s="595"/>
      <c r="AVD46" s="595"/>
      <c r="AVE46" s="595"/>
      <c r="AVF46" s="595"/>
      <c r="AVG46" s="595"/>
      <c r="AVH46" s="595"/>
      <c r="AVI46" s="595"/>
      <c r="AVJ46" s="595"/>
      <c r="AVK46" s="595"/>
      <c r="AVL46" s="595"/>
      <c r="AVM46" s="595"/>
      <c r="AVN46" s="595"/>
      <c r="AVO46" s="595"/>
      <c r="AVP46" s="595"/>
      <c r="AVQ46" s="595"/>
      <c r="AVR46" s="595"/>
      <c r="AVS46" s="595"/>
      <c r="AVT46" s="595"/>
      <c r="AVU46" s="595"/>
      <c r="AVV46" s="595"/>
      <c r="AVW46" s="595"/>
      <c r="AVX46" s="595"/>
      <c r="AVY46" s="595"/>
      <c r="AVZ46" s="595"/>
      <c r="AWA46" s="595"/>
      <c r="AWB46" s="595"/>
      <c r="AWC46" s="595"/>
      <c r="AWD46" s="595"/>
      <c r="AWE46" s="595"/>
      <c r="AWF46" s="595"/>
      <c r="AWG46" s="595"/>
      <c r="AWH46" s="595"/>
      <c r="AWI46" s="595"/>
      <c r="AWJ46" s="595"/>
      <c r="AWK46" s="595"/>
      <c r="AWL46" s="595"/>
      <c r="AWM46" s="595"/>
      <c r="AWN46" s="595"/>
      <c r="AWO46" s="595"/>
      <c r="AWP46" s="595"/>
      <c r="AWQ46" s="595"/>
      <c r="AWR46" s="595"/>
      <c r="AWS46" s="595"/>
      <c r="AWT46" s="595"/>
      <c r="AWU46" s="595"/>
      <c r="AWV46" s="595"/>
      <c r="AWW46" s="595"/>
      <c r="AWX46" s="595"/>
      <c r="AWY46" s="595"/>
      <c r="AWZ46" s="595"/>
      <c r="AXA46" s="595"/>
      <c r="AXB46" s="595"/>
      <c r="AXC46" s="595"/>
      <c r="AXD46" s="595"/>
      <c r="AXE46" s="595"/>
      <c r="AXF46" s="595"/>
      <c r="AXG46" s="595"/>
      <c r="AXH46" s="595"/>
      <c r="AXI46" s="595"/>
      <c r="AXJ46" s="595"/>
      <c r="AXK46" s="595"/>
      <c r="AXL46" s="595"/>
      <c r="AXM46" s="595"/>
      <c r="AXN46" s="595"/>
      <c r="AXO46" s="595"/>
      <c r="AXP46" s="595"/>
      <c r="AXQ46" s="595"/>
      <c r="AXR46" s="595"/>
      <c r="AXS46" s="595"/>
      <c r="AXT46" s="595"/>
      <c r="AXU46" s="595"/>
      <c r="AXV46" s="595"/>
      <c r="AXW46" s="595"/>
      <c r="AXX46" s="595"/>
      <c r="AXY46" s="595"/>
      <c r="AXZ46" s="595"/>
      <c r="AYA46" s="595"/>
      <c r="AYB46" s="595"/>
      <c r="AYC46" s="595"/>
      <c r="AYD46" s="595"/>
      <c r="AYE46" s="595"/>
      <c r="AYF46" s="595"/>
      <c r="AYG46" s="595"/>
      <c r="AYH46" s="595"/>
      <c r="AYI46" s="595"/>
      <c r="AYJ46" s="595"/>
      <c r="AYK46" s="595"/>
      <c r="AYL46" s="595"/>
      <c r="AYM46" s="595"/>
      <c r="AYN46" s="595"/>
      <c r="AYO46" s="595"/>
      <c r="AYP46" s="595"/>
      <c r="AYQ46" s="595"/>
      <c r="AYR46" s="595"/>
      <c r="AYS46" s="595"/>
      <c r="AYT46" s="595"/>
      <c r="AYU46" s="595"/>
      <c r="AYV46" s="595"/>
      <c r="AYW46" s="595"/>
      <c r="AYX46" s="595"/>
      <c r="AYY46" s="595"/>
      <c r="AYZ46" s="595"/>
      <c r="AZA46" s="595"/>
      <c r="AZB46" s="595"/>
      <c r="AZC46" s="595"/>
      <c r="AZD46" s="595"/>
      <c r="AZE46" s="595"/>
      <c r="AZF46" s="595"/>
      <c r="AZG46" s="595"/>
      <c r="AZH46" s="595"/>
      <c r="AZI46" s="595"/>
      <c r="AZJ46" s="595"/>
      <c r="AZK46" s="595"/>
      <c r="AZL46" s="595"/>
      <c r="AZM46" s="595"/>
      <c r="AZN46" s="595"/>
      <c r="AZO46" s="595"/>
      <c r="AZP46" s="595"/>
      <c r="AZQ46" s="595"/>
      <c r="AZR46" s="595"/>
      <c r="AZS46" s="595"/>
      <c r="AZT46" s="595"/>
      <c r="AZU46" s="595"/>
      <c r="AZV46" s="595"/>
      <c r="AZW46" s="595"/>
      <c r="AZX46" s="595"/>
      <c r="AZY46" s="595"/>
      <c r="AZZ46" s="595"/>
      <c r="BAA46" s="595"/>
      <c r="BAB46" s="595"/>
      <c r="BAC46" s="595"/>
      <c r="BAD46" s="595"/>
      <c r="BAE46" s="595"/>
      <c r="BAF46" s="595"/>
      <c r="BAG46" s="595"/>
      <c r="BAH46" s="595"/>
      <c r="BAI46" s="595"/>
      <c r="BAJ46" s="595"/>
      <c r="BAK46" s="595"/>
      <c r="BAL46" s="595"/>
      <c r="BAM46" s="595"/>
      <c r="BAN46" s="595"/>
      <c r="BAO46" s="595"/>
      <c r="BAP46" s="595"/>
      <c r="BAQ46" s="595"/>
      <c r="BAR46" s="595"/>
      <c r="BAS46" s="595"/>
      <c r="BAT46" s="595"/>
      <c r="BAU46" s="595"/>
      <c r="BAV46" s="595"/>
      <c r="BAW46" s="595"/>
      <c r="BAX46" s="595"/>
      <c r="BAY46" s="595"/>
      <c r="BAZ46" s="595"/>
      <c r="BBA46" s="595"/>
      <c r="BBB46" s="595"/>
      <c r="BBC46" s="595"/>
      <c r="BBD46" s="595"/>
      <c r="BBE46" s="595"/>
      <c r="BBF46" s="595"/>
      <c r="BBG46" s="595"/>
      <c r="BBH46" s="595"/>
      <c r="BBI46" s="595"/>
      <c r="BBJ46" s="595"/>
      <c r="BBK46" s="595"/>
      <c r="BBL46" s="595"/>
      <c r="BBM46" s="595"/>
      <c r="BBN46" s="595"/>
      <c r="BBO46" s="595"/>
      <c r="BBP46" s="595"/>
      <c r="BBQ46" s="595"/>
      <c r="BBR46" s="595"/>
      <c r="BBS46" s="595"/>
      <c r="BBT46" s="595"/>
      <c r="BBU46" s="595"/>
      <c r="BBV46" s="595"/>
      <c r="BBW46" s="595"/>
      <c r="BBX46" s="595"/>
      <c r="BBY46" s="595"/>
      <c r="BBZ46" s="595"/>
      <c r="BCA46" s="595"/>
      <c r="BCB46" s="595"/>
      <c r="BCC46" s="595"/>
      <c r="BCD46" s="595"/>
      <c r="BCE46" s="595"/>
      <c r="BCF46" s="595"/>
      <c r="BCG46" s="595"/>
      <c r="BCH46" s="595"/>
      <c r="BCI46" s="595"/>
      <c r="BCJ46" s="595"/>
      <c r="BCK46" s="595"/>
      <c r="BCL46" s="595"/>
      <c r="BCM46" s="595"/>
      <c r="BCN46" s="595"/>
      <c r="BCO46" s="595"/>
      <c r="BCP46" s="595"/>
      <c r="BCQ46" s="595"/>
      <c r="BCR46" s="595"/>
      <c r="BCS46" s="595"/>
      <c r="BCT46" s="595"/>
      <c r="BCU46" s="595"/>
      <c r="BCV46" s="595"/>
      <c r="BCW46" s="595"/>
      <c r="BCX46" s="595"/>
      <c r="BCY46" s="595"/>
      <c r="BCZ46" s="595"/>
      <c r="BDA46" s="595"/>
      <c r="BDB46" s="595"/>
      <c r="BDC46" s="595"/>
      <c r="BDD46" s="595"/>
      <c r="BDE46" s="595"/>
      <c r="BDF46" s="595"/>
      <c r="BDG46" s="595"/>
      <c r="BDH46" s="595"/>
      <c r="BDI46" s="595"/>
      <c r="BDJ46" s="595"/>
      <c r="BDK46" s="595"/>
      <c r="BDL46" s="595"/>
      <c r="BDM46" s="595"/>
      <c r="BDN46" s="595"/>
      <c r="BDO46" s="595"/>
      <c r="BDP46" s="595"/>
      <c r="BDQ46" s="595"/>
      <c r="BDR46" s="595"/>
      <c r="BDS46" s="595"/>
      <c r="BDT46" s="595"/>
      <c r="BDU46" s="595"/>
      <c r="BDV46" s="595"/>
      <c r="BDW46" s="595"/>
      <c r="BDX46" s="595"/>
      <c r="BDY46" s="595"/>
      <c r="BDZ46" s="595"/>
      <c r="BEA46" s="595"/>
      <c r="BEB46" s="595"/>
      <c r="BEC46" s="595"/>
      <c r="BED46" s="595"/>
      <c r="BEE46" s="595"/>
      <c r="BEF46" s="595"/>
      <c r="BEG46" s="595"/>
      <c r="BEH46" s="595"/>
      <c r="BEI46" s="595"/>
      <c r="BEJ46" s="595"/>
      <c r="BEK46" s="595"/>
      <c r="BEL46" s="595"/>
      <c r="BEM46" s="595"/>
      <c r="BEN46" s="595"/>
      <c r="BEO46" s="595"/>
      <c r="BEP46" s="595"/>
      <c r="BEQ46" s="595"/>
      <c r="BER46" s="595"/>
      <c r="BES46" s="595"/>
      <c r="BET46" s="595"/>
      <c r="BEU46" s="595"/>
      <c r="BEV46" s="595"/>
      <c r="BEW46" s="595"/>
      <c r="BEX46" s="595"/>
      <c r="BEY46" s="595"/>
      <c r="BEZ46" s="595"/>
      <c r="BFA46" s="595"/>
      <c r="BFB46" s="595"/>
      <c r="BFC46" s="595"/>
      <c r="BFD46" s="595"/>
      <c r="BFE46" s="595"/>
      <c r="BFF46" s="595"/>
      <c r="BFG46" s="595"/>
      <c r="BFH46" s="595"/>
      <c r="BFI46" s="595"/>
      <c r="BFJ46" s="595"/>
      <c r="BFK46" s="595"/>
      <c r="BFL46" s="595"/>
      <c r="BFM46" s="595"/>
      <c r="BFN46" s="595"/>
      <c r="BFO46" s="595"/>
      <c r="BFP46" s="595"/>
      <c r="BFQ46" s="595"/>
      <c r="BFR46" s="595"/>
      <c r="BFS46" s="595"/>
      <c r="BFT46" s="595"/>
      <c r="BFU46" s="595"/>
      <c r="BFV46" s="595"/>
      <c r="BFW46" s="595"/>
      <c r="BFX46" s="595"/>
      <c r="BFY46" s="595"/>
      <c r="BFZ46" s="595"/>
      <c r="BGA46" s="595"/>
      <c r="BGB46" s="595"/>
      <c r="BGC46" s="595"/>
      <c r="BGD46" s="595"/>
      <c r="BGE46" s="595"/>
      <c r="BGF46" s="595"/>
      <c r="BGG46" s="595"/>
      <c r="BGH46" s="595"/>
      <c r="BGI46" s="595"/>
      <c r="BGJ46" s="595"/>
      <c r="BGK46" s="595"/>
      <c r="BGL46" s="595"/>
      <c r="BGM46" s="595"/>
      <c r="BGN46" s="595"/>
      <c r="BGO46" s="595"/>
      <c r="BGP46" s="595"/>
      <c r="BGQ46" s="595"/>
      <c r="BGR46" s="595"/>
      <c r="BGS46" s="595"/>
      <c r="BGT46" s="595"/>
      <c r="BGU46" s="595"/>
      <c r="BGV46" s="595"/>
      <c r="BGW46" s="595"/>
      <c r="BGX46" s="595"/>
      <c r="BGY46" s="595"/>
      <c r="BGZ46" s="595"/>
      <c r="BHA46" s="595"/>
      <c r="BHB46" s="595"/>
      <c r="BHC46" s="595"/>
      <c r="BHD46" s="595"/>
      <c r="BHE46" s="595"/>
      <c r="BHF46" s="595"/>
      <c r="BHG46" s="595"/>
      <c r="BHH46" s="595"/>
      <c r="BHI46" s="595"/>
      <c r="BHJ46" s="595"/>
      <c r="BHK46" s="595"/>
      <c r="BHL46" s="595"/>
      <c r="BHM46" s="595"/>
      <c r="BHN46" s="595"/>
      <c r="BHO46" s="595"/>
      <c r="BHP46" s="595"/>
      <c r="BHQ46" s="595"/>
      <c r="BHR46" s="595"/>
      <c r="BHS46" s="595"/>
      <c r="BHT46" s="595"/>
      <c r="BHU46" s="595"/>
      <c r="BHV46" s="595"/>
      <c r="BHW46" s="595"/>
      <c r="BHX46" s="595"/>
      <c r="BHY46" s="595"/>
      <c r="BHZ46" s="595"/>
      <c r="BIA46" s="595"/>
      <c r="BIB46" s="595"/>
      <c r="BIC46" s="595"/>
      <c r="BID46" s="595"/>
      <c r="BIE46" s="595"/>
      <c r="BIF46" s="595"/>
      <c r="BIG46" s="595"/>
      <c r="BIH46" s="595"/>
      <c r="BII46" s="595"/>
      <c r="BIJ46" s="595"/>
      <c r="BIK46" s="595"/>
      <c r="BIL46" s="595"/>
      <c r="BIM46" s="595"/>
      <c r="BIN46" s="595"/>
      <c r="BIO46" s="595"/>
      <c r="BIP46" s="595"/>
      <c r="BIQ46" s="595"/>
      <c r="BIR46" s="595"/>
      <c r="BIS46" s="595"/>
      <c r="BIT46" s="595"/>
      <c r="BIU46" s="595"/>
      <c r="BIV46" s="595"/>
      <c r="BIW46" s="595"/>
      <c r="BIX46" s="595"/>
      <c r="BIY46" s="595"/>
      <c r="BIZ46" s="595"/>
      <c r="BJA46" s="595"/>
      <c r="BJB46" s="595"/>
      <c r="BJC46" s="595"/>
      <c r="BJD46" s="595"/>
      <c r="BJE46" s="595"/>
      <c r="BJF46" s="595"/>
      <c r="BJG46" s="595"/>
      <c r="BJH46" s="595"/>
      <c r="BJI46" s="595"/>
      <c r="BJJ46" s="595"/>
      <c r="BJK46" s="595"/>
      <c r="BJL46" s="595"/>
      <c r="BJM46" s="595"/>
      <c r="BJN46" s="595"/>
      <c r="BJO46" s="595"/>
      <c r="BJP46" s="595"/>
      <c r="BJQ46" s="595"/>
      <c r="BJR46" s="595"/>
      <c r="BJS46" s="595"/>
      <c r="BJT46" s="595"/>
      <c r="BJU46" s="595"/>
      <c r="BJV46" s="595"/>
      <c r="BJW46" s="595"/>
      <c r="BJX46" s="595"/>
      <c r="BJY46" s="595"/>
      <c r="BJZ46" s="595"/>
      <c r="BKA46" s="595"/>
      <c r="BKB46" s="595"/>
      <c r="BKC46" s="595"/>
      <c r="BKD46" s="595"/>
      <c r="BKE46" s="595"/>
      <c r="BKF46" s="595"/>
      <c r="BKG46" s="595"/>
      <c r="BKH46" s="595"/>
      <c r="BKI46" s="595"/>
      <c r="BKJ46" s="595"/>
      <c r="BKK46" s="595"/>
      <c r="BKL46" s="595"/>
      <c r="BKM46" s="595"/>
      <c r="BKN46" s="595"/>
      <c r="BKO46" s="595"/>
      <c r="BKP46" s="595"/>
      <c r="BKQ46" s="595"/>
      <c r="BKR46" s="595"/>
      <c r="BKS46" s="595"/>
      <c r="BKT46" s="595"/>
      <c r="BKU46" s="595"/>
      <c r="BKV46" s="595"/>
      <c r="BKW46" s="595"/>
      <c r="BKX46" s="595"/>
      <c r="BKY46" s="595"/>
      <c r="BKZ46" s="595"/>
      <c r="BLA46" s="595"/>
      <c r="BLB46" s="595"/>
      <c r="BLC46" s="595"/>
      <c r="BLD46" s="595"/>
      <c r="BLE46" s="595"/>
      <c r="BLF46" s="595"/>
      <c r="BLG46" s="595"/>
      <c r="BLH46" s="595"/>
      <c r="BLI46" s="595"/>
      <c r="BLJ46" s="595"/>
      <c r="BLK46" s="595"/>
      <c r="BLL46" s="595"/>
      <c r="BLM46" s="595"/>
      <c r="BLN46" s="595"/>
      <c r="BLO46" s="595"/>
      <c r="BLP46" s="595"/>
      <c r="BLQ46" s="595"/>
      <c r="BLR46" s="595"/>
      <c r="BLS46" s="595"/>
      <c r="BLT46" s="595"/>
      <c r="BLU46" s="595"/>
      <c r="BLV46" s="595"/>
      <c r="BLW46" s="595"/>
      <c r="BLX46" s="595"/>
      <c r="BLY46" s="595"/>
      <c r="BLZ46" s="595"/>
      <c r="BMA46" s="595"/>
      <c r="BMB46" s="595"/>
      <c r="BMC46" s="595"/>
      <c r="BMD46" s="595"/>
      <c r="BME46" s="595"/>
      <c r="BMF46" s="595"/>
      <c r="BMG46" s="595"/>
      <c r="BMH46" s="595"/>
      <c r="BMI46" s="595"/>
      <c r="BMJ46" s="595"/>
      <c r="BMK46" s="595"/>
      <c r="BML46" s="595"/>
      <c r="BMM46" s="595"/>
      <c r="BMN46" s="595"/>
      <c r="BMO46" s="595"/>
      <c r="BMP46" s="595"/>
      <c r="BMQ46" s="595"/>
      <c r="BMR46" s="595"/>
      <c r="BMS46" s="595"/>
      <c r="BMT46" s="595"/>
      <c r="BMU46" s="595"/>
      <c r="BMV46" s="595"/>
      <c r="BMW46" s="595"/>
      <c r="BMX46" s="595"/>
      <c r="BMY46" s="595"/>
      <c r="BMZ46" s="595"/>
      <c r="BNA46" s="595"/>
      <c r="BNB46" s="595"/>
      <c r="BNC46" s="595"/>
      <c r="BND46" s="595"/>
      <c r="BNE46" s="595"/>
      <c r="BNF46" s="595"/>
      <c r="BNG46" s="595"/>
      <c r="BNH46" s="595"/>
      <c r="BNI46" s="595"/>
      <c r="BNJ46" s="595"/>
      <c r="BNK46" s="595"/>
      <c r="BNL46" s="595"/>
      <c r="BNM46" s="595"/>
      <c r="BNN46" s="595"/>
      <c r="BNO46" s="595"/>
      <c r="BNP46" s="595"/>
      <c r="BNQ46" s="595"/>
      <c r="BNR46" s="595"/>
      <c r="BNS46" s="595"/>
      <c r="BNT46" s="595"/>
      <c r="BNU46" s="595"/>
      <c r="BNV46" s="595"/>
      <c r="BNW46" s="595"/>
      <c r="BNX46" s="595"/>
      <c r="BNY46" s="595"/>
      <c r="BNZ46" s="595"/>
      <c r="BOA46" s="595"/>
      <c r="BOB46" s="595"/>
      <c r="BOC46" s="595"/>
      <c r="BOD46" s="595"/>
      <c r="BOE46" s="595"/>
      <c r="BOF46" s="595"/>
      <c r="BOG46" s="595"/>
      <c r="BOH46" s="595"/>
      <c r="BOI46" s="595"/>
      <c r="BOJ46" s="595"/>
      <c r="BOK46" s="595"/>
      <c r="BOL46" s="595"/>
      <c r="BOM46" s="595"/>
      <c r="BON46" s="595"/>
      <c r="BOO46" s="595"/>
      <c r="BOP46" s="595"/>
      <c r="BOQ46" s="595"/>
      <c r="BOR46" s="595"/>
      <c r="BOS46" s="595"/>
      <c r="BOT46" s="595"/>
      <c r="BOU46" s="595"/>
      <c r="BOV46" s="595"/>
      <c r="BOW46" s="595"/>
      <c r="BOX46" s="595"/>
      <c r="BOY46" s="595"/>
      <c r="BOZ46" s="595"/>
      <c r="BPA46" s="595"/>
      <c r="BPB46" s="595"/>
      <c r="BPC46" s="595"/>
      <c r="BPD46" s="595"/>
      <c r="BPE46" s="595"/>
      <c r="BPF46" s="595"/>
      <c r="BPG46" s="595"/>
      <c r="BPH46" s="595"/>
      <c r="BPI46" s="595"/>
      <c r="BPJ46" s="595"/>
      <c r="BPK46" s="595"/>
      <c r="BPL46" s="595"/>
      <c r="BPM46" s="595"/>
      <c r="BPN46" s="595"/>
      <c r="BPO46" s="595"/>
      <c r="BPP46" s="595"/>
      <c r="BPQ46" s="595"/>
      <c r="BPR46" s="595"/>
      <c r="BPS46" s="595"/>
      <c r="BPT46" s="595"/>
      <c r="BPU46" s="595"/>
      <c r="BPV46" s="595"/>
      <c r="BPW46" s="595"/>
      <c r="BPX46" s="595"/>
      <c r="BPY46" s="595"/>
      <c r="BPZ46" s="595"/>
      <c r="BQA46" s="595"/>
      <c r="BQB46" s="595"/>
      <c r="BQC46" s="595"/>
      <c r="BQD46" s="595"/>
      <c r="BQE46" s="595"/>
      <c r="BQF46" s="595"/>
      <c r="BQG46" s="595"/>
      <c r="BQH46" s="595"/>
      <c r="BQI46" s="595"/>
      <c r="BQJ46" s="595"/>
      <c r="BQK46" s="595"/>
      <c r="BQL46" s="595"/>
      <c r="BQM46" s="595"/>
      <c r="BQN46" s="595"/>
      <c r="BQO46" s="595"/>
      <c r="BQP46" s="595"/>
      <c r="BQQ46" s="595"/>
      <c r="BQR46" s="595"/>
      <c r="BQS46" s="595"/>
      <c r="BQT46" s="595"/>
      <c r="BQU46" s="595"/>
      <c r="BQV46" s="595"/>
      <c r="BQW46" s="595"/>
      <c r="BQX46" s="595"/>
      <c r="BQY46" s="595"/>
      <c r="BQZ46" s="595"/>
      <c r="BRA46" s="595"/>
      <c r="BRB46" s="595"/>
      <c r="BRC46" s="595"/>
      <c r="BRD46" s="595"/>
      <c r="BRE46" s="595"/>
      <c r="BRF46" s="595"/>
      <c r="BRG46" s="595"/>
      <c r="BRH46" s="595"/>
      <c r="BRI46" s="595"/>
      <c r="BRJ46" s="595"/>
      <c r="BRK46" s="595"/>
      <c r="BRL46" s="595"/>
      <c r="BRM46" s="595"/>
      <c r="BRN46" s="595"/>
      <c r="BRO46" s="595"/>
      <c r="BRP46" s="595"/>
      <c r="BRQ46" s="595"/>
      <c r="BRR46" s="595"/>
      <c r="BRS46" s="595"/>
      <c r="BRT46" s="595"/>
      <c r="BRU46" s="595"/>
      <c r="BRV46" s="595"/>
      <c r="BRW46" s="595"/>
      <c r="BRX46" s="595"/>
      <c r="BRY46" s="595"/>
      <c r="BRZ46" s="595"/>
      <c r="BSA46" s="595"/>
      <c r="BSB46" s="595"/>
      <c r="BSC46" s="595"/>
      <c r="BSD46" s="595"/>
      <c r="BSE46" s="595"/>
      <c r="BSF46" s="595"/>
      <c r="BSG46" s="595"/>
      <c r="BSH46" s="595"/>
      <c r="BSI46" s="595"/>
      <c r="BSJ46" s="595"/>
      <c r="BSK46" s="595"/>
      <c r="BSL46" s="595"/>
      <c r="BSM46" s="595"/>
      <c r="BSN46" s="595"/>
      <c r="BSO46" s="595"/>
      <c r="BSP46" s="595"/>
      <c r="BSQ46" s="595"/>
      <c r="BSR46" s="595"/>
      <c r="BSS46" s="595"/>
      <c r="BST46" s="595"/>
      <c r="BSU46" s="595"/>
      <c r="BSV46" s="595"/>
      <c r="BSW46" s="595"/>
      <c r="BSX46" s="595"/>
      <c r="BSY46" s="595"/>
      <c r="BSZ46" s="595"/>
      <c r="BTA46" s="595"/>
      <c r="BTB46" s="595"/>
      <c r="BTC46" s="595"/>
      <c r="BTD46" s="595"/>
      <c r="BTE46" s="595"/>
      <c r="BTF46" s="595"/>
      <c r="BTG46" s="595"/>
      <c r="BTH46" s="595"/>
      <c r="BTI46" s="595"/>
      <c r="BTJ46" s="595"/>
      <c r="BTK46" s="595"/>
      <c r="BTL46" s="595"/>
      <c r="BTM46" s="595"/>
      <c r="BTN46" s="595"/>
      <c r="BTO46" s="595"/>
      <c r="BTP46" s="595"/>
      <c r="BTQ46" s="595"/>
      <c r="BTR46" s="595"/>
      <c r="BTS46" s="595"/>
      <c r="BTT46" s="595"/>
      <c r="BTU46" s="595"/>
      <c r="BTV46" s="595"/>
      <c r="BTW46" s="595"/>
      <c r="BTX46" s="595"/>
      <c r="BTY46" s="595"/>
      <c r="BTZ46" s="595"/>
      <c r="BUA46" s="595"/>
      <c r="BUB46" s="595"/>
      <c r="BUC46" s="595"/>
      <c r="BUD46" s="595"/>
      <c r="BUE46" s="595"/>
      <c r="BUF46" s="595"/>
      <c r="BUG46" s="595"/>
      <c r="BUH46" s="595"/>
      <c r="BUI46" s="595"/>
      <c r="BUJ46" s="595"/>
      <c r="BUK46" s="595"/>
      <c r="BUL46" s="595"/>
      <c r="BUM46" s="595"/>
      <c r="BUN46" s="595"/>
      <c r="BUO46" s="595"/>
      <c r="BUP46" s="595"/>
      <c r="BUQ46" s="595"/>
      <c r="BUR46" s="595"/>
      <c r="BUS46" s="595"/>
      <c r="BUT46" s="595"/>
      <c r="BUU46" s="595"/>
      <c r="BUV46" s="595"/>
      <c r="BUW46" s="595"/>
      <c r="BUX46" s="595"/>
      <c r="BUY46" s="595"/>
      <c r="BUZ46" s="595"/>
      <c r="BVA46" s="595"/>
      <c r="BVB46" s="595"/>
      <c r="BVC46" s="595"/>
      <c r="BVD46" s="595"/>
      <c r="BVE46" s="595"/>
      <c r="BVF46" s="595"/>
      <c r="BVG46" s="595"/>
      <c r="BVH46" s="595"/>
      <c r="BVI46" s="595"/>
      <c r="BVJ46" s="595"/>
      <c r="BVK46" s="595"/>
      <c r="BVL46" s="595"/>
      <c r="BVM46" s="595"/>
      <c r="BVN46" s="595"/>
      <c r="BVO46" s="595"/>
      <c r="BVP46" s="595"/>
      <c r="BVQ46" s="595"/>
      <c r="BVR46" s="595"/>
      <c r="BVS46" s="595"/>
      <c r="BVT46" s="595"/>
      <c r="BVU46" s="595"/>
      <c r="BVV46" s="595"/>
      <c r="BVW46" s="595"/>
      <c r="BVX46" s="595"/>
      <c r="BVY46" s="595"/>
      <c r="BVZ46" s="595"/>
      <c r="BWA46" s="595"/>
      <c r="BWB46" s="595"/>
      <c r="BWC46" s="595"/>
      <c r="BWD46" s="595"/>
      <c r="BWE46" s="595"/>
      <c r="BWF46" s="595"/>
      <c r="BWG46" s="595"/>
      <c r="BWH46" s="595"/>
      <c r="BWI46" s="595"/>
      <c r="BWJ46" s="595"/>
      <c r="BWK46" s="595"/>
      <c r="BWL46" s="595"/>
      <c r="BWM46" s="595"/>
      <c r="BWN46" s="595"/>
      <c r="BWO46" s="595"/>
      <c r="BWP46" s="595"/>
      <c r="BWQ46" s="595"/>
      <c r="BWR46" s="595"/>
      <c r="BWS46" s="595"/>
      <c r="BWT46" s="595"/>
      <c r="BWU46" s="595"/>
      <c r="BWV46" s="595"/>
      <c r="BWW46" s="595"/>
      <c r="BWX46" s="595"/>
      <c r="BWY46" s="595"/>
      <c r="BWZ46" s="595"/>
      <c r="BXA46" s="595"/>
      <c r="BXB46" s="595"/>
      <c r="BXC46" s="595"/>
      <c r="BXD46" s="595"/>
      <c r="BXE46" s="595"/>
      <c r="BXF46" s="595"/>
      <c r="BXG46" s="595"/>
      <c r="BXH46" s="595"/>
      <c r="BXI46" s="595"/>
      <c r="BXJ46" s="595"/>
      <c r="BXK46" s="595"/>
      <c r="BXL46" s="595"/>
      <c r="BXM46" s="595"/>
      <c r="BXN46" s="595"/>
      <c r="BXO46" s="595"/>
      <c r="BXP46" s="595"/>
      <c r="BXQ46" s="595"/>
      <c r="BXR46" s="595"/>
      <c r="BXS46" s="595"/>
      <c r="BXT46" s="595"/>
      <c r="BXU46" s="595"/>
      <c r="BXV46" s="595"/>
      <c r="BXW46" s="595"/>
      <c r="BXX46" s="595"/>
      <c r="BXY46" s="595"/>
      <c r="BXZ46" s="595"/>
      <c r="BYA46" s="595"/>
      <c r="BYB46" s="595"/>
      <c r="BYC46" s="595"/>
      <c r="BYD46" s="595"/>
      <c r="BYE46" s="595"/>
      <c r="BYF46" s="595"/>
      <c r="BYG46" s="595"/>
      <c r="BYH46" s="595"/>
      <c r="BYI46" s="595"/>
      <c r="BYJ46" s="595"/>
      <c r="BYK46" s="595"/>
      <c r="BYL46" s="595"/>
      <c r="BYM46" s="595"/>
      <c r="BYN46" s="595"/>
      <c r="BYO46" s="595"/>
      <c r="BYP46" s="595"/>
      <c r="BYQ46" s="595"/>
      <c r="BYR46" s="595"/>
      <c r="BYS46" s="595"/>
      <c r="BYT46" s="595"/>
      <c r="BYU46" s="595"/>
      <c r="BYV46" s="595"/>
      <c r="BYW46" s="595"/>
      <c r="BYX46" s="595"/>
      <c r="BYY46" s="595"/>
      <c r="BYZ46" s="595"/>
      <c r="BZA46" s="595"/>
      <c r="BZB46" s="595"/>
      <c r="BZC46" s="595"/>
      <c r="BZD46" s="595"/>
      <c r="BZE46" s="595"/>
      <c r="BZF46" s="595"/>
      <c r="BZG46" s="595"/>
      <c r="BZH46" s="595"/>
      <c r="BZI46" s="595"/>
      <c r="BZJ46" s="595"/>
      <c r="BZK46" s="595"/>
      <c r="BZL46" s="595"/>
      <c r="BZM46" s="595"/>
      <c r="BZN46" s="595"/>
      <c r="BZO46" s="595"/>
      <c r="BZP46" s="595"/>
      <c r="BZQ46" s="595"/>
      <c r="BZR46" s="595"/>
      <c r="BZS46" s="595"/>
      <c r="BZT46" s="595"/>
      <c r="BZU46" s="595"/>
      <c r="BZV46" s="595"/>
      <c r="BZW46" s="595"/>
      <c r="BZX46" s="595"/>
      <c r="BZY46" s="595"/>
      <c r="BZZ46" s="595"/>
      <c r="CAA46" s="595"/>
      <c r="CAB46" s="595"/>
      <c r="CAC46" s="595"/>
      <c r="CAD46" s="595"/>
      <c r="CAE46" s="595"/>
      <c r="CAF46" s="595"/>
      <c r="CAG46" s="595"/>
      <c r="CAH46" s="595"/>
      <c r="CAI46" s="595"/>
      <c r="CAJ46" s="595"/>
      <c r="CAK46" s="595"/>
      <c r="CAL46" s="595"/>
      <c r="CAM46" s="595"/>
      <c r="CAN46" s="595"/>
      <c r="CAO46" s="595"/>
      <c r="CAP46" s="595"/>
      <c r="CAQ46" s="595"/>
      <c r="CAR46" s="595"/>
      <c r="CAS46" s="595"/>
      <c r="CAT46" s="595"/>
      <c r="CAU46" s="595"/>
      <c r="CAV46" s="595"/>
      <c r="CAW46" s="595"/>
      <c r="CAX46" s="595"/>
      <c r="CAY46" s="595"/>
      <c r="CAZ46" s="595"/>
      <c r="CBA46" s="595"/>
      <c r="CBB46" s="595"/>
      <c r="CBC46" s="595"/>
      <c r="CBD46" s="595"/>
      <c r="CBE46" s="595"/>
      <c r="CBF46" s="595"/>
      <c r="CBG46" s="595"/>
      <c r="CBH46" s="595"/>
      <c r="CBI46" s="595"/>
      <c r="CBJ46" s="595"/>
      <c r="CBK46" s="595"/>
      <c r="CBL46" s="595"/>
      <c r="CBM46" s="595"/>
      <c r="CBN46" s="595"/>
      <c r="CBO46" s="595"/>
      <c r="CBP46" s="595"/>
      <c r="CBQ46" s="595"/>
      <c r="CBR46" s="595"/>
      <c r="CBS46" s="595"/>
      <c r="CBT46" s="595"/>
      <c r="CBU46" s="595"/>
      <c r="CBV46" s="595"/>
      <c r="CBW46" s="595"/>
      <c r="CBX46" s="595"/>
      <c r="CBY46" s="595"/>
      <c r="CBZ46" s="595"/>
      <c r="CCA46" s="595"/>
      <c r="CCB46" s="595"/>
      <c r="CCC46" s="595"/>
      <c r="CCD46" s="595"/>
      <c r="CCE46" s="595"/>
      <c r="CCF46" s="595"/>
      <c r="CCG46" s="595"/>
      <c r="CCH46" s="595"/>
      <c r="CCI46" s="595"/>
      <c r="CCJ46" s="595"/>
      <c r="CCK46" s="595"/>
      <c r="CCL46" s="595"/>
      <c r="CCM46" s="595"/>
      <c r="CCN46" s="595"/>
      <c r="CCO46" s="595"/>
      <c r="CCP46" s="595"/>
      <c r="CCQ46" s="595"/>
      <c r="CCR46" s="595"/>
      <c r="CCS46" s="595"/>
      <c r="CCT46" s="595"/>
      <c r="CCU46" s="595"/>
      <c r="CCV46" s="595"/>
      <c r="CCW46" s="595"/>
      <c r="CCX46" s="595"/>
      <c r="CCY46" s="595"/>
      <c r="CCZ46" s="595"/>
      <c r="CDA46" s="595"/>
      <c r="CDB46" s="595"/>
      <c r="CDC46" s="595"/>
      <c r="CDD46" s="595"/>
      <c r="CDE46" s="595"/>
      <c r="CDF46" s="595"/>
      <c r="CDG46" s="595"/>
      <c r="CDH46" s="595"/>
      <c r="CDI46" s="595"/>
      <c r="CDJ46" s="595"/>
      <c r="CDK46" s="595"/>
      <c r="CDL46" s="595"/>
      <c r="CDM46" s="595"/>
      <c r="CDN46" s="595"/>
      <c r="CDO46" s="595"/>
      <c r="CDP46" s="595"/>
      <c r="CDQ46" s="595"/>
      <c r="CDR46" s="595"/>
      <c r="CDS46" s="595"/>
      <c r="CDT46" s="595"/>
      <c r="CDU46" s="595"/>
      <c r="CDV46" s="595"/>
      <c r="CDW46" s="595"/>
      <c r="CDX46" s="595"/>
      <c r="CDY46" s="595"/>
      <c r="CDZ46" s="595"/>
      <c r="CEA46" s="595"/>
      <c r="CEB46" s="595"/>
      <c r="CEC46" s="595"/>
      <c r="CED46" s="595"/>
      <c r="CEE46" s="595"/>
      <c r="CEF46" s="595"/>
      <c r="CEG46" s="595"/>
      <c r="CEH46" s="595"/>
      <c r="CEI46" s="595"/>
      <c r="CEJ46" s="595"/>
      <c r="CEK46" s="595"/>
      <c r="CEL46" s="595"/>
      <c r="CEM46" s="595"/>
      <c r="CEN46" s="595"/>
      <c r="CEO46" s="595"/>
      <c r="CEP46" s="595"/>
      <c r="CEQ46" s="595"/>
      <c r="CER46" s="595"/>
      <c r="CES46" s="595"/>
      <c r="CET46" s="595"/>
      <c r="CEU46" s="595"/>
      <c r="CEV46" s="595"/>
      <c r="CEW46" s="595"/>
      <c r="CEX46" s="595"/>
      <c r="CEY46" s="595"/>
      <c r="CEZ46" s="595"/>
      <c r="CFA46" s="595"/>
      <c r="CFB46" s="595"/>
      <c r="CFC46" s="595"/>
      <c r="CFD46" s="595"/>
      <c r="CFE46" s="595"/>
      <c r="CFF46" s="595"/>
      <c r="CFG46" s="595"/>
      <c r="CFH46" s="595"/>
      <c r="CFI46" s="595"/>
      <c r="CFJ46" s="595"/>
      <c r="CFK46" s="595"/>
      <c r="CFL46" s="595"/>
      <c r="CFM46" s="595"/>
      <c r="CFN46" s="595"/>
      <c r="CFO46" s="595"/>
      <c r="CFP46" s="595"/>
      <c r="CFQ46" s="595"/>
      <c r="CFR46" s="595"/>
      <c r="CFS46" s="595"/>
      <c r="CFT46" s="595"/>
      <c r="CFU46" s="595"/>
      <c r="CFV46" s="595"/>
      <c r="CFW46" s="595"/>
      <c r="CFX46" s="595"/>
      <c r="CFY46" s="595"/>
      <c r="CFZ46" s="595"/>
      <c r="CGA46" s="595"/>
      <c r="CGB46" s="595"/>
      <c r="CGC46" s="595"/>
      <c r="CGD46" s="595"/>
      <c r="CGE46" s="595"/>
      <c r="CGF46" s="595"/>
      <c r="CGG46" s="595"/>
      <c r="CGH46" s="595"/>
      <c r="CGI46" s="595"/>
      <c r="CGJ46" s="595"/>
      <c r="CGK46" s="595"/>
      <c r="CGL46" s="595"/>
      <c r="CGM46" s="595"/>
      <c r="CGN46" s="595"/>
      <c r="CGO46" s="595"/>
      <c r="CGP46" s="595"/>
      <c r="CGQ46" s="595"/>
      <c r="CGR46" s="595"/>
      <c r="CGS46" s="595"/>
      <c r="CGT46" s="595"/>
      <c r="CGU46" s="595"/>
      <c r="CGV46" s="595"/>
      <c r="CGW46" s="595"/>
      <c r="CGX46" s="595"/>
      <c r="CGY46" s="595"/>
      <c r="CGZ46" s="595"/>
      <c r="CHA46" s="595"/>
      <c r="CHB46" s="595"/>
      <c r="CHC46" s="595"/>
      <c r="CHD46" s="595"/>
      <c r="CHE46" s="595"/>
      <c r="CHF46" s="595"/>
      <c r="CHG46" s="595"/>
      <c r="CHH46" s="595"/>
      <c r="CHI46" s="595"/>
      <c r="CHJ46" s="595"/>
      <c r="CHK46" s="595"/>
      <c r="CHL46" s="595"/>
      <c r="CHM46" s="595"/>
      <c r="CHN46" s="595"/>
      <c r="CHO46" s="595"/>
      <c r="CHP46" s="595"/>
      <c r="CHQ46" s="595"/>
      <c r="CHR46" s="595"/>
      <c r="CHS46" s="595"/>
      <c r="CHT46" s="595"/>
      <c r="CHU46" s="595"/>
      <c r="CHV46" s="595"/>
      <c r="CHW46" s="595"/>
      <c r="CHX46" s="595"/>
      <c r="CHY46" s="595"/>
      <c r="CHZ46" s="595"/>
      <c r="CIA46" s="595"/>
      <c r="CIB46" s="595"/>
      <c r="CIC46" s="595"/>
      <c r="CID46" s="595"/>
      <c r="CIE46" s="595"/>
      <c r="CIF46" s="595"/>
      <c r="CIG46" s="595"/>
      <c r="CIH46" s="595"/>
      <c r="CII46" s="595"/>
      <c r="CIJ46" s="595"/>
      <c r="CIK46" s="595"/>
      <c r="CIL46" s="595"/>
      <c r="CIM46" s="595"/>
      <c r="CIN46" s="595"/>
      <c r="CIO46" s="595"/>
      <c r="CIP46" s="595"/>
      <c r="CIQ46" s="595"/>
      <c r="CIR46" s="595"/>
      <c r="CIS46" s="595"/>
      <c r="CIT46" s="595"/>
      <c r="CIU46" s="595"/>
      <c r="CIV46" s="595"/>
      <c r="CIW46" s="595"/>
      <c r="CIX46" s="595"/>
      <c r="CIY46" s="595"/>
      <c r="CIZ46" s="595"/>
      <c r="CJA46" s="595"/>
      <c r="CJB46" s="595"/>
      <c r="CJC46" s="595"/>
      <c r="CJD46" s="595"/>
      <c r="CJE46" s="595"/>
      <c r="CJF46" s="595"/>
      <c r="CJG46" s="595"/>
      <c r="CJH46" s="595"/>
      <c r="CJI46" s="595"/>
      <c r="CJJ46" s="595"/>
      <c r="CJK46" s="595"/>
      <c r="CJL46" s="595"/>
      <c r="CJM46" s="595"/>
      <c r="CJN46" s="595"/>
      <c r="CJO46" s="595"/>
      <c r="CJP46" s="595"/>
      <c r="CJQ46" s="595"/>
      <c r="CJR46" s="595"/>
      <c r="CJS46" s="595"/>
      <c r="CJT46" s="595"/>
      <c r="CJU46" s="595"/>
      <c r="CJV46" s="595"/>
      <c r="CJW46" s="595"/>
      <c r="CJX46" s="595"/>
      <c r="CJY46" s="595"/>
      <c r="CJZ46" s="595"/>
      <c r="CKA46" s="595"/>
      <c r="CKB46" s="595"/>
      <c r="CKC46" s="595"/>
      <c r="CKD46" s="595"/>
      <c r="CKE46" s="595"/>
      <c r="CKF46" s="595"/>
      <c r="CKG46" s="595"/>
      <c r="CKH46" s="595"/>
      <c r="CKI46" s="595"/>
      <c r="CKJ46" s="595"/>
      <c r="CKK46" s="595"/>
      <c r="CKL46" s="595"/>
      <c r="CKM46" s="595"/>
      <c r="CKN46" s="595"/>
      <c r="CKO46" s="595"/>
      <c r="CKP46" s="595"/>
      <c r="CKQ46" s="595"/>
      <c r="CKR46" s="595"/>
      <c r="CKS46" s="595"/>
      <c r="CKT46" s="595"/>
      <c r="CKU46" s="595"/>
      <c r="CKV46" s="595"/>
      <c r="CKW46" s="595"/>
      <c r="CKX46" s="595"/>
      <c r="CKY46" s="595"/>
      <c r="CKZ46" s="595"/>
      <c r="CLA46" s="595"/>
      <c r="CLB46" s="595"/>
      <c r="CLC46" s="595"/>
      <c r="CLD46" s="595"/>
      <c r="CLE46" s="595"/>
      <c r="CLF46" s="595"/>
      <c r="CLG46" s="595"/>
      <c r="CLH46" s="595"/>
      <c r="CLI46" s="595"/>
      <c r="CLJ46" s="595"/>
      <c r="CLK46" s="595"/>
      <c r="CLL46" s="595"/>
      <c r="CLM46" s="595"/>
      <c r="CLN46" s="595"/>
      <c r="CLO46" s="595"/>
      <c r="CLP46" s="595"/>
      <c r="CLQ46" s="595"/>
      <c r="CLR46" s="595"/>
      <c r="CLS46" s="595"/>
      <c r="CLT46" s="595"/>
      <c r="CLU46" s="595"/>
      <c r="CLV46" s="595"/>
      <c r="CLW46" s="595"/>
      <c r="CLX46" s="595"/>
      <c r="CLY46" s="595"/>
      <c r="CLZ46" s="595"/>
      <c r="CMA46" s="595"/>
      <c r="CMB46" s="595"/>
      <c r="CMC46" s="595"/>
      <c r="CMD46" s="595"/>
      <c r="CME46" s="595"/>
      <c r="CMF46" s="595"/>
      <c r="CMG46" s="595"/>
      <c r="CMH46" s="595"/>
      <c r="CMI46" s="595"/>
      <c r="CMJ46" s="595"/>
      <c r="CMK46" s="595"/>
      <c r="CML46" s="595"/>
      <c r="CMM46" s="595"/>
      <c r="CMN46" s="595"/>
      <c r="CMO46" s="595"/>
      <c r="CMP46" s="595"/>
      <c r="CMQ46" s="595"/>
      <c r="CMR46" s="595"/>
      <c r="CMS46" s="595"/>
      <c r="CMT46" s="595"/>
      <c r="CMU46" s="595"/>
      <c r="CMV46" s="595"/>
      <c r="CMW46" s="595"/>
      <c r="CMX46" s="595"/>
      <c r="CMY46" s="595"/>
      <c r="CMZ46" s="595"/>
      <c r="CNA46" s="595"/>
      <c r="CNB46" s="595"/>
      <c r="CNC46" s="595"/>
      <c r="CND46" s="595"/>
      <c r="CNE46" s="595"/>
      <c r="CNF46" s="595"/>
      <c r="CNG46" s="595"/>
      <c r="CNH46" s="595"/>
      <c r="CNI46" s="595"/>
      <c r="CNJ46" s="595"/>
      <c r="CNK46" s="595"/>
      <c r="CNL46" s="595"/>
      <c r="CNM46" s="595"/>
      <c r="CNN46" s="595"/>
      <c r="CNO46" s="595"/>
      <c r="CNP46" s="595"/>
      <c r="CNQ46" s="595"/>
      <c r="CNR46" s="595"/>
      <c r="CNS46" s="595"/>
      <c r="CNT46" s="595"/>
      <c r="CNU46" s="595"/>
      <c r="CNV46" s="595"/>
      <c r="CNW46" s="595"/>
      <c r="CNX46" s="595"/>
      <c r="CNY46" s="595"/>
      <c r="CNZ46" s="595"/>
      <c r="COA46" s="595"/>
      <c r="COB46" s="595"/>
      <c r="COC46" s="595"/>
      <c r="COD46" s="595"/>
      <c r="COE46" s="595"/>
      <c r="COF46" s="595"/>
      <c r="COG46" s="595"/>
      <c r="COH46" s="595"/>
      <c r="COI46" s="595"/>
      <c r="COJ46" s="595"/>
      <c r="COK46" s="595"/>
      <c r="COL46" s="595"/>
      <c r="COM46" s="595"/>
      <c r="CON46" s="595"/>
      <c r="COO46" s="595"/>
      <c r="COP46" s="595"/>
      <c r="COQ46" s="595"/>
      <c r="COR46" s="595"/>
      <c r="COS46" s="595"/>
      <c r="COT46" s="595"/>
      <c r="COU46" s="595"/>
      <c r="COV46" s="595"/>
      <c r="COW46" s="595"/>
      <c r="COX46" s="595"/>
      <c r="COY46" s="595"/>
      <c r="COZ46" s="595"/>
      <c r="CPA46" s="595"/>
      <c r="CPB46" s="595"/>
      <c r="CPC46" s="595"/>
      <c r="CPD46" s="595"/>
      <c r="CPE46" s="595"/>
      <c r="CPF46" s="595"/>
      <c r="CPG46" s="595"/>
      <c r="CPH46" s="595"/>
      <c r="CPI46" s="595"/>
      <c r="CPJ46" s="595"/>
      <c r="CPK46" s="595"/>
      <c r="CPL46" s="595"/>
      <c r="CPM46" s="595"/>
      <c r="CPN46" s="595"/>
      <c r="CPO46" s="595"/>
      <c r="CPP46" s="595"/>
      <c r="CPQ46" s="595"/>
      <c r="CPR46" s="595"/>
      <c r="CPS46" s="595"/>
      <c r="CPT46" s="595"/>
      <c r="CPU46" s="595"/>
      <c r="CPV46" s="595"/>
      <c r="CPW46" s="595"/>
      <c r="CPX46" s="595"/>
      <c r="CPY46" s="595"/>
      <c r="CPZ46" s="595"/>
      <c r="CQA46" s="595"/>
      <c r="CQB46" s="595"/>
      <c r="CQC46" s="595"/>
      <c r="CQD46" s="595"/>
      <c r="CQE46" s="595"/>
      <c r="CQF46" s="595"/>
      <c r="CQG46" s="595"/>
      <c r="CQH46" s="595"/>
      <c r="CQI46" s="595"/>
      <c r="CQJ46" s="595"/>
      <c r="CQK46" s="595"/>
      <c r="CQL46" s="595"/>
      <c r="CQM46" s="595"/>
      <c r="CQN46" s="595"/>
      <c r="CQO46" s="595"/>
      <c r="CQP46" s="595"/>
      <c r="CQQ46" s="595"/>
      <c r="CQR46" s="595"/>
      <c r="CQS46" s="595"/>
      <c r="CQT46" s="595"/>
      <c r="CQU46" s="595"/>
      <c r="CQV46" s="595"/>
      <c r="CQW46" s="595"/>
      <c r="CQX46" s="595"/>
      <c r="CQY46" s="595"/>
      <c r="CQZ46" s="595"/>
      <c r="CRA46" s="595"/>
      <c r="CRB46" s="595"/>
      <c r="CRC46" s="595"/>
      <c r="CRD46" s="595"/>
      <c r="CRE46" s="595"/>
      <c r="CRF46" s="595"/>
      <c r="CRG46" s="595"/>
      <c r="CRH46" s="595"/>
      <c r="CRI46" s="595"/>
      <c r="CRJ46" s="595"/>
      <c r="CRK46" s="595"/>
      <c r="CRL46" s="595"/>
      <c r="CRM46" s="595"/>
      <c r="CRN46" s="595"/>
      <c r="CRO46" s="595"/>
      <c r="CRP46" s="595"/>
      <c r="CRQ46" s="595"/>
      <c r="CRR46" s="595"/>
      <c r="CRS46" s="595"/>
      <c r="CRT46" s="595"/>
      <c r="CRU46" s="595"/>
      <c r="CRV46" s="595"/>
      <c r="CRW46" s="595"/>
      <c r="CRX46" s="595"/>
      <c r="CRY46" s="595"/>
      <c r="CRZ46" s="595"/>
      <c r="CSA46" s="595"/>
      <c r="CSB46" s="595"/>
      <c r="CSC46" s="595"/>
      <c r="CSD46" s="595"/>
      <c r="CSE46" s="595"/>
      <c r="CSF46" s="595"/>
      <c r="CSG46" s="595"/>
      <c r="CSH46" s="595"/>
      <c r="CSI46" s="595"/>
      <c r="CSJ46" s="595"/>
      <c r="CSK46" s="595"/>
      <c r="CSL46" s="595"/>
      <c r="CSM46" s="595"/>
      <c r="CSN46" s="595"/>
      <c r="CSO46" s="595"/>
      <c r="CSP46" s="595"/>
      <c r="CSQ46" s="595"/>
      <c r="CSR46" s="595"/>
      <c r="CSS46" s="595"/>
      <c r="CST46" s="595"/>
      <c r="CSU46" s="595"/>
      <c r="CSV46" s="595"/>
      <c r="CSW46" s="595"/>
      <c r="CSX46" s="595"/>
      <c r="CSY46" s="595"/>
      <c r="CSZ46" s="595"/>
      <c r="CTA46" s="595"/>
      <c r="CTB46" s="595"/>
      <c r="CTC46" s="595"/>
      <c r="CTD46" s="595"/>
      <c r="CTE46" s="595"/>
      <c r="CTF46" s="595"/>
      <c r="CTG46" s="595"/>
      <c r="CTH46" s="595"/>
      <c r="CTI46" s="595"/>
      <c r="CTJ46" s="595"/>
      <c r="CTK46" s="595"/>
      <c r="CTL46" s="595"/>
      <c r="CTM46" s="595"/>
      <c r="CTN46" s="595"/>
      <c r="CTO46" s="595"/>
      <c r="CTP46" s="595"/>
      <c r="CTQ46" s="595"/>
      <c r="CTR46" s="595"/>
      <c r="CTS46" s="595"/>
      <c r="CTT46" s="595"/>
      <c r="CTU46" s="595"/>
      <c r="CTV46" s="595"/>
      <c r="CTW46" s="595"/>
      <c r="CTX46" s="595"/>
      <c r="CTY46" s="595"/>
      <c r="CTZ46" s="595"/>
      <c r="CUA46" s="595"/>
      <c r="CUB46" s="595"/>
      <c r="CUC46" s="595"/>
      <c r="CUD46" s="595"/>
      <c r="CUE46" s="595"/>
      <c r="CUF46" s="595"/>
      <c r="CUG46" s="595"/>
      <c r="CUH46" s="595"/>
      <c r="CUI46" s="595"/>
      <c r="CUJ46" s="595"/>
      <c r="CUK46" s="595"/>
      <c r="CUL46" s="595"/>
      <c r="CUM46" s="595"/>
      <c r="CUN46" s="595"/>
      <c r="CUO46" s="595"/>
      <c r="CUP46" s="595"/>
      <c r="CUQ46" s="595"/>
      <c r="CUR46" s="595"/>
      <c r="CUS46" s="595"/>
      <c r="CUT46" s="595"/>
      <c r="CUU46" s="595"/>
      <c r="CUV46" s="595"/>
      <c r="CUW46" s="595"/>
      <c r="CUX46" s="595"/>
      <c r="CUY46" s="595"/>
      <c r="CUZ46" s="595"/>
      <c r="CVA46" s="595"/>
      <c r="CVB46" s="595"/>
      <c r="CVC46" s="595"/>
      <c r="CVD46" s="595"/>
      <c r="CVE46" s="595"/>
      <c r="CVF46" s="595"/>
      <c r="CVG46" s="595"/>
      <c r="CVH46" s="595"/>
      <c r="CVI46" s="595"/>
      <c r="CVJ46" s="595"/>
      <c r="CVK46" s="595"/>
      <c r="CVL46" s="595"/>
      <c r="CVM46" s="595"/>
      <c r="CVN46" s="595"/>
      <c r="CVO46" s="595"/>
      <c r="CVP46" s="595"/>
      <c r="CVQ46" s="595"/>
      <c r="CVR46" s="595"/>
      <c r="CVS46" s="595"/>
      <c r="CVT46" s="595"/>
      <c r="CVU46" s="595"/>
      <c r="CVV46" s="595"/>
      <c r="CVW46" s="595"/>
      <c r="CVX46" s="595"/>
      <c r="CVY46" s="595"/>
      <c r="CVZ46" s="595"/>
      <c r="CWA46" s="595"/>
      <c r="CWB46" s="595"/>
      <c r="CWC46" s="595"/>
      <c r="CWD46" s="595"/>
      <c r="CWE46" s="595"/>
      <c r="CWF46" s="595"/>
      <c r="CWG46" s="595"/>
      <c r="CWH46" s="595"/>
      <c r="CWI46" s="595"/>
      <c r="CWJ46" s="595"/>
      <c r="CWK46" s="595"/>
      <c r="CWL46" s="595"/>
      <c r="CWM46" s="595"/>
      <c r="CWN46" s="595"/>
      <c r="CWO46" s="595"/>
      <c r="CWP46" s="595"/>
      <c r="CWQ46" s="595"/>
      <c r="CWR46" s="595"/>
      <c r="CWS46" s="595"/>
      <c r="CWT46" s="595"/>
      <c r="CWU46" s="595"/>
      <c r="CWV46" s="595"/>
      <c r="CWW46" s="595"/>
      <c r="CWX46" s="595"/>
      <c r="CWY46" s="595"/>
      <c r="CWZ46" s="595"/>
      <c r="CXA46" s="595"/>
      <c r="CXB46" s="595"/>
      <c r="CXC46" s="595"/>
      <c r="CXD46" s="595"/>
      <c r="CXE46" s="595"/>
      <c r="CXF46" s="595"/>
      <c r="CXG46" s="595"/>
      <c r="CXH46" s="595"/>
      <c r="CXI46" s="595"/>
      <c r="CXJ46" s="595"/>
      <c r="CXK46" s="595"/>
      <c r="CXL46" s="595"/>
      <c r="CXM46" s="595"/>
      <c r="CXN46" s="595"/>
      <c r="CXO46" s="595"/>
      <c r="CXP46" s="595"/>
      <c r="CXQ46" s="595"/>
      <c r="CXR46" s="595"/>
      <c r="CXS46" s="595"/>
      <c r="CXT46" s="595"/>
      <c r="CXU46" s="595"/>
      <c r="CXV46" s="595"/>
      <c r="CXW46" s="595"/>
      <c r="CXX46" s="595"/>
      <c r="CXY46" s="595"/>
      <c r="CXZ46" s="595"/>
      <c r="CYA46" s="595"/>
      <c r="CYB46" s="595"/>
      <c r="CYC46" s="595"/>
      <c r="CYD46" s="595"/>
      <c r="CYE46" s="595"/>
      <c r="CYF46" s="595"/>
      <c r="CYG46" s="595"/>
      <c r="CYH46" s="595"/>
      <c r="CYI46" s="595"/>
      <c r="CYJ46" s="595"/>
      <c r="CYK46" s="595"/>
      <c r="CYL46" s="595"/>
      <c r="CYM46" s="595"/>
      <c r="CYN46" s="595"/>
      <c r="CYO46" s="595"/>
      <c r="CYP46" s="595"/>
      <c r="CYQ46" s="595"/>
      <c r="CYR46" s="595"/>
      <c r="CYS46" s="595"/>
      <c r="CYT46" s="595"/>
      <c r="CYU46" s="595"/>
      <c r="CYV46" s="595"/>
      <c r="CYW46" s="595"/>
      <c r="CYX46" s="595"/>
      <c r="CYY46" s="595"/>
      <c r="CYZ46" s="595"/>
      <c r="CZA46" s="595"/>
      <c r="CZB46" s="595"/>
      <c r="CZC46" s="595"/>
      <c r="CZD46" s="595"/>
      <c r="CZE46" s="595"/>
      <c r="CZF46" s="595"/>
      <c r="CZG46" s="595"/>
      <c r="CZH46" s="595"/>
      <c r="CZI46" s="595"/>
      <c r="CZJ46" s="595"/>
      <c r="CZK46" s="595"/>
      <c r="CZL46" s="595"/>
      <c r="CZM46" s="595"/>
      <c r="CZN46" s="595"/>
      <c r="CZO46" s="595"/>
      <c r="CZP46" s="595"/>
      <c r="CZQ46" s="595"/>
      <c r="CZR46" s="595"/>
      <c r="CZS46" s="595"/>
      <c r="CZT46" s="595"/>
      <c r="CZU46" s="595"/>
      <c r="CZV46" s="595"/>
      <c r="CZW46" s="595"/>
      <c r="CZX46" s="595"/>
      <c r="CZY46" s="595"/>
      <c r="CZZ46" s="595"/>
      <c r="DAA46" s="595"/>
      <c r="DAB46" s="595"/>
      <c r="DAC46" s="595"/>
      <c r="DAD46" s="595"/>
      <c r="DAE46" s="595"/>
      <c r="DAF46" s="595"/>
      <c r="DAG46" s="595"/>
      <c r="DAH46" s="595"/>
      <c r="DAI46" s="595"/>
      <c r="DAJ46" s="595"/>
      <c r="DAK46" s="595"/>
      <c r="DAL46" s="595"/>
      <c r="DAM46" s="595"/>
      <c r="DAN46" s="595"/>
      <c r="DAO46" s="595"/>
      <c r="DAP46" s="595"/>
      <c r="DAQ46" s="595"/>
      <c r="DAR46" s="595"/>
      <c r="DAS46" s="595"/>
      <c r="DAT46" s="595"/>
      <c r="DAU46" s="595"/>
      <c r="DAV46" s="595"/>
      <c r="DAW46" s="595"/>
      <c r="DAX46" s="595"/>
      <c r="DAY46" s="595"/>
      <c r="DAZ46" s="595"/>
      <c r="DBA46" s="595"/>
      <c r="DBB46" s="595"/>
      <c r="DBC46" s="595"/>
      <c r="DBD46" s="595"/>
      <c r="DBE46" s="595"/>
      <c r="DBF46" s="595"/>
      <c r="DBG46" s="595"/>
      <c r="DBH46" s="595"/>
      <c r="DBI46" s="595"/>
      <c r="DBJ46" s="595"/>
      <c r="DBK46" s="595"/>
      <c r="DBL46" s="595"/>
      <c r="DBM46" s="595"/>
      <c r="DBN46" s="595"/>
      <c r="DBO46" s="595"/>
      <c r="DBP46" s="595"/>
      <c r="DBQ46" s="595"/>
      <c r="DBR46" s="595"/>
      <c r="DBS46" s="595"/>
      <c r="DBT46" s="595"/>
      <c r="DBU46" s="595"/>
      <c r="DBV46" s="595"/>
      <c r="DBW46" s="595"/>
      <c r="DBX46" s="595"/>
      <c r="DBY46" s="595"/>
      <c r="DBZ46" s="595"/>
      <c r="DCA46" s="595"/>
      <c r="DCB46" s="595"/>
      <c r="DCC46" s="595"/>
      <c r="DCD46" s="595"/>
      <c r="DCE46" s="595"/>
      <c r="DCF46" s="595"/>
      <c r="DCG46" s="595"/>
      <c r="DCH46" s="595"/>
      <c r="DCI46" s="595"/>
      <c r="DCJ46" s="595"/>
      <c r="DCK46" s="595"/>
      <c r="DCL46" s="595"/>
      <c r="DCM46" s="595"/>
      <c r="DCN46" s="595"/>
      <c r="DCO46" s="595"/>
      <c r="DCP46" s="595"/>
      <c r="DCQ46" s="595"/>
      <c r="DCR46" s="595"/>
      <c r="DCS46" s="595"/>
      <c r="DCT46" s="595"/>
      <c r="DCU46" s="595"/>
      <c r="DCV46" s="595"/>
      <c r="DCW46" s="595"/>
      <c r="DCX46" s="595"/>
      <c r="DCY46" s="595"/>
      <c r="DCZ46" s="595"/>
      <c r="DDA46" s="595"/>
      <c r="DDB46" s="595"/>
      <c r="DDC46" s="595"/>
      <c r="DDD46" s="595"/>
      <c r="DDE46" s="595"/>
      <c r="DDF46" s="595"/>
      <c r="DDG46" s="595"/>
      <c r="DDH46" s="595"/>
      <c r="DDI46" s="595"/>
      <c r="DDJ46" s="595"/>
      <c r="DDK46" s="595"/>
      <c r="DDL46" s="595"/>
      <c r="DDM46" s="595"/>
      <c r="DDN46" s="595"/>
      <c r="DDO46" s="595"/>
      <c r="DDP46" s="595"/>
      <c r="DDQ46" s="595"/>
      <c r="DDR46" s="595"/>
      <c r="DDS46" s="595"/>
      <c r="DDT46" s="595"/>
      <c r="DDU46" s="595"/>
      <c r="DDV46" s="595"/>
      <c r="DDW46" s="595"/>
      <c r="DDX46" s="595"/>
      <c r="DDY46" s="595"/>
      <c r="DDZ46" s="595"/>
      <c r="DEA46" s="595"/>
      <c r="DEB46" s="595"/>
      <c r="DEC46" s="595"/>
      <c r="DED46" s="595"/>
      <c r="DEE46" s="595"/>
      <c r="DEF46" s="595"/>
      <c r="DEG46" s="595"/>
      <c r="DEH46" s="595"/>
      <c r="DEI46" s="595"/>
      <c r="DEJ46" s="595"/>
      <c r="DEK46" s="595"/>
      <c r="DEL46" s="595"/>
      <c r="DEM46" s="595"/>
      <c r="DEN46" s="595"/>
      <c r="DEO46" s="595"/>
      <c r="DEP46" s="595"/>
      <c r="DEQ46" s="595"/>
      <c r="DER46" s="595"/>
      <c r="DES46" s="595"/>
      <c r="DET46" s="595"/>
      <c r="DEU46" s="595"/>
      <c r="DEV46" s="595"/>
      <c r="DEW46" s="595"/>
      <c r="DEX46" s="595"/>
      <c r="DEY46" s="595"/>
      <c r="DEZ46" s="595"/>
      <c r="DFA46" s="595"/>
      <c r="DFB46" s="595"/>
      <c r="DFC46" s="595"/>
      <c r="DFD46" s="595"/>
      <c r="DFE46" s="595"/>
      <c r="DFF46" s="595"/>
      <c r="DFG46" s="595"/>
      <c r="DFH46" s="595"/>
      <c r="DFI46" s="595"/>
      <c r="DFJ46" s="595"/>
      <c r="DFK46" s="595"/>
      <c r="DFL46" s="595"/>
      <c r="DFM46" s="595"/>
      <c r="DFN46" s="595"/>
      <c r="DFO46" s="595"/>
      <c r="DFP46" s="595"/>
      <c r="DFQ46" s="595"/>
      <c r="DFR46" s="595"/>
      <c r="DFS46" s="595"/>
      <c r="DFT46" s="595"/>
      <c r="DFU46" s="595"/>
      <c r="DFV46" s="595"/>
      <c r="DFW46" s="595"/>
      <c r="DFX46" s="595"/>
      <c r="DFY46" s="595"/>
      <c r="DFZ46" s="595"/>
      <c r="DGA46" s="595"/>
      <c r="DGB46" s="595"/>
      <c r="DGC46" s="595"/>
      <c r="DGD46" s="595"/>
      <c r="DGE46" s="595"/>
      <c r="DGF46" s="595"/>
      <c r="DGG46" s="595"/>
      <c r="DGH46" s="595"/>
      <c r="DGI46" s="595"/>
      <c r="DGJ46" s="595"/>
      <c r="DGK46" s="595"/>
      <c r="DGL46" s="595"/>
      <c r="DGM46" s="595"/>
      <c r="DGN46" s="595"/>
      <c r="DGO46" s="595"/>
      <c r="DGP46" s="595"/>
      <c r="DGQ46" s="595"/>
      <c r="DGR46" s="595"/>
      <c r="DGS46" s="595"/>
      <c r="DGT46" s="595"/>
      <c r="DGU46" s="595"/>
      <c r="DGV46" s="595"/>
      <c r="DGW46" s="595"/>
      <c r="DGX46" s="595"/>
      <c r="DGY46" s="595"/>
      <c r="DGZ46" s="595"/>
      <c r="DHA46" s="595"/>
      <c r="DHB46" s="595"/>
      <c r="DHC46" s="595"/>
      <c r="DHD46" s="595"/>
      <c r="DHE46" s="595"/>
      <c r="DHF46" s="595"/>
      <c r="DHG46" s="595"/>
      <c r="DHH46" s="595"/>
      <c r="DHI46" s="595"/>
      <c r="DHJ46" s="595"/>
      <c r="DHK46" s="595"/>
      <c r="DHL46" s="595"/>
      <c r="DHM46" s="595"/>
      <c r="DHN46" s="595"/>
      <c r="DHO46" s="595"/>
      <c r="DHP46" s="595"/>
      <c r="DHQ46" s="595"/>
      <c r="DHR46" s="595"/>
      <c r="DHS46" s="595"/>
      <c r="DHT46" s="595"/>
      <c r="DHU46" s="595"/>
      <c r="DHV46" s="595"/>
      <c r="DHW46" s="595"/>
      <c r="DHX46" s="595"/>
      <c r="DHY46" s="595"/>
      <c r="DHZ46" s="595"/>
      <c r="DIA46" s="595"/>
      <c r="DIB46" s="595"/>
      <c r="DIC46" s="595"/>
      <c r="DID46" s="595"/>
      <c r="DIE46" s="595"/>
      <c r="DIF46" s="595"/>
      <c r="DIG46" s="595"/>
      <c r="DIH46" s="595"/>
      <c r="DII46" s="595"/>
      <c r="DIJ46" s="595"/>
      <c r="DIK46" s="595"/>
      <c r="DIL46" s="595"/>
      <c r="DIM46" s="595"/>
      <c r="DIN46" s="595"/>
      <c r="DIO46" s="595"/>
      <c r="DIP46" s="595"/>
      <c r="DIQ46" s="595"/>
      <c r="DIR46" s="595"/>
      <c r="DIS46" s="595"/>
      <c r="DIT46" s="595"/>
      <c r="DIU46" s="595"/>
      <c r="DIV46" s="595"/>
      <c r="DIW46" s="595"/>
      <c r="DIX46" s="595"/>
      <c r="DIY46" s="595"/>
      <c r="DIZ46" s="595"/>
      <c r="DJA46" s="595"/>
      <c r="DJB46" s="595"/>
      <c r="DJC46" s="595"/>
      <c r="DJD46" s="595"/>
      <c r="DJE46" s="595"/>
      <c r="DJF46" s="595"/>
      <c r="DJG46" s="595"/>
      <c r="DJH46" s="595"/>
      <c r="DJI46" s="595"/>
      <c r="DJJ46" s="595"/>
      <c r="DJK46" s="595"/>
      <c r="DJL46" s="595"/>
      <c r="DJM46" s="595"/>
      <c r="DJN46" s="595"/>
      <c r="DJO46" s="595"/>
      <c r="DJP46" s="595"/>
      <c r="DJQ46" s="595"/>
      <c r="DJR46" s="595"/>
      <c r="DJS46" s="595"/>
      <c r="DJT46" s="595"/>
      <c r="DJU46" s="595"/>
      <c r="DJV46" s="595"/>
      <c r="DJW46" s="595"/>
      <c r="DJX46" s="595"/>
      <c r="DJY46" s="595"/>
      <c r="DJZ46" s="595"/>
      <c r="DKA46" s="595"/>
      <c r="DKB46" s="595"/>
      <c r="DKC46" s="595"/>
      <c r="DKD46" s="595"/>
      <c r="DKE46" s="595"/>
      <c r="DKF46" s="595"/>
      <c r="DKG46" s="595"/>
      <c r="DKH46" s="595"/>
      <c r="DKI46" s="595"/>
      <c r="DKJ46" s="595"/>
      <c r="DKK46" s="595"/>
      <c r="DKL46" s="595"/>
      <c r="DKM46" s="595"/>
      <c r="DKN46" s="595"/>
      <c r="DKO46" s="595"/>
      <c r="DKP46" s="595"/>
      <c r="DKQ46" s="595"/>
      <c r="DKR46" s="595"/>
      <c r="DKS46" s="595"/>
      <c r="DKT46" s="595"/>
      <c r="DKU46" s="595"/>
      <c r="DKV46" s="595"/>
      <c r="DKW46" s="595"/>
      <c r="DKX46" s="595"/>
      <c r="DKY46" s="595"/>
      <c r="DKZ46" s="595"/>
      <c r="DLA46" s="595"/>
      <c r="DLB46" s="595"/>
      <c r="DLC46" s="595"/>
      <c r="DLD46" s="595"/>
      <c r="DLE46" s="595"/>
      <c r="DLF46" s="595"/>
      <c r="DLG46" s="595"/>
      <c r="DLH46" s="595"/>
      <c r="DLI46" s="595"/>
      <c r="DLJ46" s="595"/>
      <c r="DLK46" s="595"/>
      <c r="DLL46" s="595"/>
      <c r="DLM46" s="595"/>
      <c r="DLN46" s="595"/>
      <c r="DLO46" s="595"/>
      <c r="DLP46" s="595"/>
      <c r="DLQ46" s="595"/>
      <c r="DLR46" s="595"/>
      <c r="DLS46" s="595"/>
      <c r="DLT46" s="595"/>
      <c r="DLU46" s="595"/>
      <c r="DLV46" s="595"/>
      <c r="DLW46" s="595"/>
      <c r="DLX46" s="595"/>
      <c r="DLY46" s="595"/>
      <c r="DLZ46" s="595"/>
      <c r="DMA46" s="595"/>
      <c r="DMB46" s="595"/>
      <c r="DMC46" s="595"/>
      <c r="DMD46" s="595"/>
      <c r="DME46" s="595"/>
      <c r="DMF46" s="595"/>
      <c r="DMG46" s="595"/>
      <c r="DMH46" s="595"/>
      <c r="DMI46" s="595"/>
      <c r="DMJ46" s="595"/>
      <c r="DMK46" s="595"/>
      <c r="DML46" s="595"/>
      <c r="DMM46" s="595"/>
      <c r="DMN46" s="595"/>
      <c r="DMO46" s="595"/>
      <c r="DMP46" s="595"/>
      <c r="DMQ46" s="595"/>
      <c r="DMR46" s="595"/>
      <c r="DMS46" s="595"/>
      <c r="DMT46" s="595"/>
      <c r="DMU46" s="595"/>
      <c r="DMV46" s="595"/>
      <c r="DMW46" s="595"/>
      <c r="DMX46" s="595"/>
      <c r="DMY46" s="595"/>
      <c r="DMZ46" s="595"/>
      <c r="DNA46" s="595"/>
      <c r="DNB46" s="595"/>
      <c r="DNC46" s="595"/>
      <c r="DND46" s="595"/>
      <c r="DNE46" s="595"/>
      <c r="DNF46" s="595"/>
      <c r="DNG46" s="595"/>
      <c r="DNH46" s="595"/>
      <c r="DNI46" s="595"/>
      <c r="DNJ46" s="595"/>
      <c r="DNK46" s="595"/>
      <c r="DNL46" s="595"/>
      <c r="DNM46" s="595"/>
      <c r="DNN46" s="595"/>
      <c r="DNO46" s="595"/>
      <c r="DNP46" s="595"/>
      <c r="DNQ46" s="595"/>
      <c r="DNR46" s="595"/>
      <c r="DNS46" s="595"/>
      <c r="DNT46" s="595"/>
      <c r="DNU46" s="595"/>
      <c r="DNV46" s="595"/>
      <c r="DNW46" s="595"/>
      <c r="DNX46" s="595"/>
      <c r="DNY46" s="595"/>
      <c r="DNZ46" s="595"/>
      <c r="DOA46" s="595"/>
      <c r="DOB46" s="595"/>
      <c r="DOC46" s="595"/>
      <c r="DOD46" s="595"/>
      <c r="DOE46" s="595"/>
      <c r="DOF46" s="595"/>
      <c r="DOG46" s="595"/>
      <c r="DOH46" s="595"/>
      <c r="DOI46" s="595"/>
      <c r="DOJ46" s="595"/>
      <c r="DOK46" s="595"/>
      <c r="DOL46" s="595"/>
      <c r="DOM46" s="595"/>
      <c r="DON46" s="595"/>
      <c r="DOO46" s="595"/>
      <c r="DOP46" s="595"/>
      <c r="DOQ46" s="595"/>
      <c r="DOR46" s="595"/>
      <c r="DOS46" s="595"/>
      <c r="DOT46" s="595"/>
      <c r="DOU46" s="595"/>
      <c r="DOV46" s="595"/>
      <c r="DOW46" s="595"/>
      <c r="DOX46" s="595"/>
      <c r="DOY46" s="595"/>
      <c r="DOZ46" s="595"/>
      <c r="DPA46" s="595"/>
      <c r="DPB46" s="595"/>
      <c r="DPC46" s="595"/>
      <c r="DPD46" s="595"/>
      <c r="DPE46" s="595"/>
      <c r="DPF46" s="595"/>
      <c r="DPG46" s="595"/>
      <c r="DPH46" s="595"/>
      <c r="DPI46" s="595"/>
      <c r="DPJ46" s="595"/>
      <c r="DPK46" s="595"/>
      <c r="DPL46" s="595"/>
      <c r="DPM46" s="595"/>
      <c r="DPN46" s="595"/>
      <c r="DPO46" s="595"/>
      <c r="DPP46" s="595"/>
      <c r="DPQ46" s="595"/>
      <c r="DPR46" s="595"/>
      <c r="DPS46" s="595"/>
      <c r="DPT46" s="595"/>
      <c r="DPU46" s="595"/>
      <c r="DPV46" s="595"/>
      <c r="DPW46" s="595"/>
      <c r="DPX46" s="595"/>
      <c r="DPY46" s="595"/>
      <c r="DPZ46" s="595"/>
      <c r="DQA46" s="595"/>
      <c r="DQB46" s="595"/>
      <c r="DQC46" s="595"/>
      <c r="DQD46" s="595"/>
      <c r="DQE46" s="595"/>
      <c r="DQF46" s="595"/>
      <c r="DQG46" s="595"/>
      <c r="DQH46" s="595"/>
      <c r="DQI46" s="595"/>
      <c r="DQJ46" s="595"/>
      <c r="DQK46" s="595"/>
      <c r="DQL46" s="595"/>
      <c r="DQM46" s="595"/>
      <c r="DQN46" s="595"/>
      <c r="DQO46" s="595"/>
      <c r="DQP46" s="595"/>
      <c r="DQQ46" s="595"/>
      <c r="DQR46" s="595"/>
      <c r="DQS46" s="595"/>
      <c r="DQT46" s="595"/>
      <c r="DQU46" s="595"/>
      <c r="DQV46" s="595"/>
      <c r="DQW46" s="595"/>
      <c r="DQX46" s="595"/>
      <c r="DQY46" s="595"/>
      <c r="DQZ46" s="595"/>
      <c r="DRA46" s="595"/>
      <c r="DRB46" s="595"/>
      <c r="DRC46" s="595"/>
      <c r="DRD46" s="595"/>
      <c r="DRE46" s="595"/>
      <c r="DRF46" s="595"/>
      <c r="DRG46" s="595"/>
      <c r="DRH46" s="595"/>
      <c r="DRI46" s="595"/>
      <c r="DRJ46" s="595"/>
      <c r="DRK46" s="595"/>
      <c r="DRL46" s="595"/>
      <c r="DRM46" s="595"/>
      <c r="DRN46" s="595"/>
      <c r="DRO46" s="595"/>
      <c r="DRP46" s="595"/>
      <c r="DRQ46" s="595"/>
      <c r="DRR46" s="595"/>
      <c r="DRS46" s="595"/>
      <c r="DRT46" s="595"/>
      <c r="DRU46" s="595"/>
      <c r="DRV46" s="595"/>
      <c r="DRW46" s="595"/>
      <c r="DRX46" s="595"/>
      <c r="DRY46" s="595"/>
      <c r="DRZ46" s="595"/>
      <c r="DSA46" s="595"/>
      <c r="DSB46" s="595"/>
      <c r="DSC46" s="595"/>
      <c r="DSD46" s="595"/>
      <c r="DSE46" s="595"/>
      <c r="DSF46" s="595"/>
      <c r="DSG46" s="595"/>
      <c r="DSH46" s="595"/>
      <c r="DSI46" s="595"/>
      <c r="DSJ46" s="595"/>
      <c r="DSK46" s="595"/>
      <c r="DSL46" s="595"/>
      <c r="DSM46" s="595"/>
      <c r="DSN46" s="595"/>
      <c r="DSO46" s="595"/>
      <c r="DSP46" s="595"/>
      <c r="DSQ46" s="595"/>
      <c r="DSR46" s="595"/>
      <c r="DSS46" s="595"/>
      <c r="DST46" s="595"/>
      <c r="DSU46" s="595"/>
      <c r="DSV46" s="595"/>
      <c r="DSW46" s="595"/>
      <c r="DSX46" s="595"/>
      <c r="DSY46" s="595"/>
      <c r="DSZ46" s="595"/>
      <c r="DTA46" s="595"/>
      <c r="DTB46" s="595"/>
      <c r="DTC46" s="595"/>
      <c r="DTD46" s="595"/>
      <c r="DTE46" s="595"/>
      <c r="DTF46" s="595"/>
      <c r="DTG46" s="595"/>
      <c r="DTH46" s="595"/>
      <c r="DTI46" s="595"/>
      <c r="DTJ46" s="595"/>
      <c r="DTK46" s="595"/>
      <c r="DTL46" s="595"/>
      <c r="DTM46" s="595"/>
      <c r="DTN46" s="595"/>
      <c r="DTO46" s="595"/>
      <c r="DTP46" s="595"/>
      <c r="DTQ46" s="595"/>
      <c r="DTR46" s="595"/>
      <c r="DTS46" s="595"/>
      <c r="DTT46" s="595"/>
      <c r="DTU46" s="595"/>
      <c r="DTV46" s="595"/>
      <c r="DTW46" s="595"/>
      <c r="DTX46" s="595"/>
      <c r="DTY46" s="595"/>
      <c r="DTZ46" s="595"/>
      <c r="DUA46" s="595"/>
      <c r="DUB46" s="595"/>
      <c r="DUC46" s="595"/>
      <c r="DUD46" s="595"/>
      <c r="DUE46" s="595"/>
      <c r="DUF46" s="595"/>
      <c r="DUG46" s="595"/>
      <c r="DUH46" s="595"/>
      <c r="DUI46" s="595"/>
      <c r="DUJ46" s="595"/>
      <c r="DUK46" s="595"/>
      <c r="DUL46" s="595"/>
      <c r="DUM46" s="595"/>
      <c r="DUN46" s="595"/>
      <c r="DUO46" s="595"/>
      <c r="DUP46" s="595"/>
      <c r="DUQ46" s="595"/>
      <c r="DUR46" s="595"/>
      <c r="DUS46" s="595"/>
      <c r="DUT46" s="595"/>
      <c r="DUU46" s="595"/>
      <c r="DUV46" s="595"/>
      <c r="DUW46" s="595"/>
      <c r="DUX46" s="595"/>
      <c r="DUY46" s="595"/>
      <c r="DUZ46" s="595"/>
      <c r="DVA46" s="595"/>
      <c r="DVB46" s="595"/>
      <c r="DVC46" s="595"/>
      <c r="DVD46" s="595"/>
      <c r="DVE46" s="595"/>
      <c r="DVF46" s="595"/>
      <c r="DVG46" s="595"/>
      <c r="DVH46" s="595"/>
      <c r="DVI46" s="595"/>
      <c r="DVJ46" s="595"/>
      <c r="DVK46" s="595"/>
      <c r="DVL46" s="595"/>
      <c r="DVM46" s="595"/>
      <c r="DVN46" s="595"/>
      <c r="DVO46" s="595"/>
      <c r="DVP46" s="595"/>
      <c r="DVQ46" s="595"/>
      <c r="DVR46" s="595"/>
      <c r="DVS46" s="595"/>
      <c r="DVT46" s="595"/>
      <c r="DVU46" s="595"/>
      <c r="DVV46" s="595"/>
      <c r="DVW46" s="595"/>
      <c r="DVX46" s="595"/>
      <c r="DVY46" s="595"/>
      <c r="DVZ46" s="595"/>
      <c r="DWA46" s="595"/>
      <c r="DWB46" s="595"/>
      <c r="DWC46" s="595"/>
      <c r="DWD46" s="595"/>
      <c r="DWE46" s="595"/>
      <c r="DWF46" s="595"/>
      <c r="DWG46" s="595"/>
      <c r="DWH46" s="595"/>
      <c r="DWI46" s="595"/>
      <c r="DWJ46" s="595"/>
      <c r="DWK46" s="595"/>
      <c r="DWL46" s="595"/>
      <c r="DWM46" s="595"/>
      <c r="DWN46" s="595"/>
      <c r="DWO46" s="595"/>
      <c r="DWP46" s="595"/>
      <c r="DWQ46" s="595"/>
      <c r="DWR46" s="595"/>
      <c r="DWS46" s="595"/>
      <c r="DWT46" s="595"/>
      <c r="DWU46" s="595"/>
      <c r="DWV46" s="595"/>
      <c r="DWW46" s="595"/>
      <c r="DWX46" s="595"/>
      <c r="DWY46" s="595"/>
      <c r="DWZ46" s="595"/>
      <c r="DXA46" s="595"/>
      <c r="DXB46" s="595"/>
      <c r="DXC46" s="595"/>
      <c r="DXD46" s="595"/>
      <c r="DXE46" s="595"/>
      <c r="DXF46" s="595"/>
      <c r="DXG46" s="595"/>
      <c r="DXH46" s="595"/>
      <c r="DXI46" s="595"/>
      <c r="DXJ46" s="595"/>
      <c r="DXK46" s="595"/>
      <c r="DXL46" s="595"/>
      <c r="DXM46" s="595"/>
      <c r="DXN46" s="595"/>
      <c r="DXO46" s="595"/>
      <c r="DXP46" s="595"/>
      <c r="DXQ46" s="595"/>
      <c r="DXR46" s="595"/>
      <c r="DXS46" s="595"/>
      <c r="DXT46" s="595"/>
      <c r="DXU46" s="595"/>
      <c r="DXV46" s="595"/>
      <c r="DXW46" s="595"/>
      <c r="DXX46" s="595"/>
      <c r="DXY46" s="595"/>
      <c r="DXZ46" s="595"/>
      <c r="DYA46" s="595"/>
      <c r="DYB46" s="595"/>
      <c r="DYC46" s="595"/>
      <c r="DYD46" s="595"/>
      <c r="DYE46" s="595"/>
      <c r="DYF46" s="595"/>
      <c r="DYG46" s="595"/>
      <c r="DYH46" s="595"/>
      <c r="DYI46" s="595"/>
      <c r="DYJ46" s="595"/>
      <c r="DYK46" s="595"/>
      <c r="DYL46" s="595"/>
      <c r="DYM46" s="595"/>
      <c r="DYN46" s="595"/>
      <c r="DYO46" s="595"/>
      <c r="DYP46" s="595"/>
      <c r="DYQ46" s="595"/>
      <c r="DYR46" s="595"/>
      <c r="DYS46" s="595"/>
      <c r="DYT46" s="595"/>
      <c r="DYU46" s="595"/>
      <c r="DYV46" s="595"/>
      <c r="DYW46" s="595"/>
      <c r="DYX46" s="595"/>
      <c r="DYY46" s="595"/>
      <c r="DYZ46" s="595"/>
      <c r="DZA46" s="595"/>
      <c r="DZB46" s="595"/>
      <c r="DZC46" s="595"/>
      <c r="DZD46" s="595"/>
      <c r="DZE46" s="595"/>
      <c r="DZF46" s="595"/>
      <c r="DZG46" s="595"/>
      <c r="DZH46" s="595"/>
      <c r="DZI46" s="595"/>
      <c r="DZJ46" s="595"/>
      <c r="DZK46" s="595"/>
      <c r="DZL46" s="595"/>
      <c r="DZM46" s="595"/>
      <c r="DZN46" s="595"/>
      <c r="DZO46" s="595"/>
      <c r="DZP46" s="595"/>
      <c r="DZQ46" s="595"/>
      <c r="DZR46" s="595"/>
      <c r="DZS46" s="595"/>
      <c r="DZT46" s="595"/>
      <c r="DZU46" s="595"/>
      <c r="DZV46" s="595"/>
      <c r="DZW46" s="595"/>
      <c r="DZX46" s="595"/>
      <c r="DZY46" s="595"/>
      <c r="DZZ46" s="595"/>
      <c r="EAA46" s="595"/>
      <c r="EAB46" s="595"/>
      <c r="EAC46" s="595"/>
      <c r="EAD46" s="595"/>
      <c r="EAE46" s="595"/>
      <c r="EAF46" s="595"/>
      <c r="EAG46" s="595"/>
      <c r="EAH46" s="595"/>
      <c r="EAI46" s="595"/>
      <c r="EAJ46" s="595"/>
      <c r="EAK46" s="595"/>
      <c r="EAL46" s="595"/>
      <c r="EAM46" s="595"/>
      <c r="EAN46" s="595"/>
      <c r="EAO46" s="595"/>
      <c r="EAP46" s="595"/>
      <c r="EAQ46" s="595"/>
      <c r="EAR46" s="595"/>
      <c r="EAS46" s="595"/>
      <c r="EAT46" s="595"/>
      <c r="EAU46" s="595"/>
      <c r="EAV46" s="595"/>
      <c r="EAW46" s="595"/>
      <c r="EAX46" s="595"/>
      <c r="EAY46" s="595"/>
      <c r="EAZ46" s="595"/>
      <c r="EBA46" s="595"/>
      <c r="EBB46" s="595"/>
      <c r="EBC46" s="595"/>
      <c r="EBD46" s="595"/>
      <c r="EBE46" s="595"/>
      <c r="EBF46" s="595"/>
      <c r="EBG46" s="595"/>
      <c r="EBH46" s="595"/>
      <c r="EBI46" s="595"/>
      <c r="EBJ46" s="595"/>
      <c r="EBK46" s="595"/>
      <c r="EBL46" s="595"/>
      <c r="EBM46" s="595"/>
      <c r="EBN46" s="595"/>
      <c r="EBO46" s="595"/>
      <c r="EBP46" s="595"/>
      <c r="EBQ46" s="595"/>
      <c r="EBR46" s="595"/>
      <c r="EBS46" s="595"/>
      <c r="EBT46" s="595"/>
      <c r="EBU46" s="595"/>
      <c r="EBV46" s="595"/>
      <c r="EBW46" s="595"/>
      <c r="EBX46" s="595"/>
      <c r="EBY46" s="595"/>
      <c r="EBZ46" s="595"/>
      <c r="ECA46" s="595"/>
      <c r="ECB46" s="595"/>
      <c r="ECC46" s="595"/>
      <c r="ECD46" s="595"/>
      <c r="ECE46" s="595"/>
      <c r="ECF46" s="595"/>
      <c r="ECG46" s="595"/>
      <c r="ECH46" s="595"/>
      <c r="ECI46" s="595"/>
      <c r="ECJ46" s="595"/>
      <c r="ECK46" s="595"/>
      <c r="ECL46" s="595"/>
      <c r="ECM46" s="595"/>
      <c r="ECN46" s="595"/>
      <c r="ECO46" s="595"/>
      <c r="ECP46" s="595"/>
      <c r="ECQ46" s="595"/>
      <c r="ECR46" s="595"/>
      <c r="ECS46" s="595"/>
      <c r="ECT46" s="595"/>
      <c r="ECU46" s="595"/>
      <c r="ECV46" s="595"/>
      <c r="ECW46" s="595"/>
      <c r="ECX46" s="595"/>
      <c r="ECY46" s="595"/>
      <c r="ECZ46" s="595"/>
      <c r="EDA46" s="595"/>
      <c r="EDB46" s="595"/>
      <c r="EDC46" s="595"/>
      <c r="EDD46" s="595"/>
      <c r="EDE46" s="595"/>
      <c r="EDF46" s="595"/>
      <c r="EDG46" s="595"/>
      <c r="EDH46" s="595"/>
      <c r="EDI46" s="595"/>
      <c r="EDJ46" s="595"/>
      <c r="EDK46" s="595"/>
      <c r="EDL46" s="595"/>
      <c r="EDM46" s="595"/>
      <c r="EDN46" s="595"/>
      <c r="EDO46" s="595"/>
      <c r="EDP46" s="595"/>
      <c r="EDQ46" s="595"/>
      <c r="EDR46" s="595"/>
      <c r="EDS46" s="595"/>
      <c r="EDT46" s="595"/>
      <c r="EDU46" s="595"/>
      <c r="EDV46" s="595"/>
      <c r="EDW46" s="595"/>
      <c r="EDX46" s="595"/>
      <c r="EDY46" s="595"/>
      <c r="EDZ46" s="595"/>
      <c r="EEA46" s="595"/>
      <c r="EEB46" s="595"/>
      <c r="EEC46" s="595"/>
      <c r="EED46" s="595"/>
      <c r="EEE46" s="595"/>
      <c r="EEF46" s="595"/>
      <c r="EEG46" s="595"/>
      <c r="EEH46" s="595"/>
      <c r="EEI46" s="595"/>
      <c r="EEJ46" s="595"/>
      <c r="EEK46" s="595"/>
      <c r="EEL46" s="595"/>
      <c r="EEM46" s="595"/>
      <c r="EEN46" s="595"/>
      <c r="EEO46" s="595"/>
      <c r="EEP46" s="595"/>
      <c r="EEQ46" s="595"/>
      <c r="EER46" s="595"/>
      <c r="EES46" s="595"/>
      <c r="EET46" s="595"/>
      <c r="EEU46" s="595"/>
      <c r="EEV46" s="595"/>
      <c r="EEW46" s="595"/>
      <c r="EEX46" s="595"/>
      <c r="EEY46" s="595"/>
      <c r="EEZ46" s="595"/>
      <c r="EFA46" s="595"/>
      <c r="EFB46" s="595"/>
      <c r="EFC46" s="595"/>
      <c r="EFD46" s="595"/>
      <c r="EFE46" s="595"/>
      <c r="EFF46" s="595"/>
      <c r="EFG46" s="595"/>
      <c r="EFH46" s="595"/>
      <c r="EFI46" s="595"/>
      <c r="EFJ46" s="595"/>
      <c r="EFK46" s="595"/>
      <c r="EFL46" s="595"/>
      <c r="EFM46" s="595"/>
      <c r="EFN46" s="595"/>
      <c r="EFO46" s="595"/>
      <c r="EFP46" s="595"/>
      <c r="EFQ46" s="595"/>
      <c r="EFR46" s="595"/>
      <c r="EFS46" s="595"/>
      <c r="EFT46" s="595"/>
      <c r="EFU46" s="595"/>
      <c r="EFV46" s="595"/>
      <c r="EFW46" s="595"/>
      <c r="EFX46" s="595"/>
      <c r="EFY46" s="595"/>
      <c r="EFZ46" s="595"/>
      <c r="EGA46" s="595"/>
      <c r="EGB46" s="595"/>
      <c r="EGC46" s="595"/>
      <c r="EGD46" s="595"/>
      <c r="EGE46" s="595"/>
      <c r="EGF46" s="595"/>
      <c r="EGG46" s="595"/>
      <c r="EGH46" s="595"/>
      <c r="EGI46" s="595"/>
      <c r="EGJ46" s="595"/>
      <c r="EGK46" s="595"/>
      <c r="EGL46" s="595"/>
      <c r="EGM46" s="595"/>
      <c r="EGN46" s="595"/>
      <c r="EGO46" s="595"/>
      <c r="EGP46" s="595"/>
      <c r="EGQ46" s="595"/>
      <c r="EGR46" s="595"/>
      <c r="EGS46" s="595"/>
      <c r="EGT46" s="595"/>
      <c r="EGU46" s="595"/>
      <c r="EGV46" s="595"/>
      <c r="EGW46" s="595"/>
      <c r="EGX46" s="595"/>
      <c r="EGY46" s="595"/>
      <c r="EGZ46" s="595"/>
      <c r="EHA46" s="595"/>
      <c r="EHB46" s="595"/>
      <c r="EHC46" s="595"/>
      <c r="EHD46" s="595"/>
      <c r="EHE46" s="595"/>
      <c r="EHF46" s="595"/>
      <c r="EHG46" s="595"/>
      <c r="EHH46" s="595"/>
      <c r="EHI46" s="595"/>
      <c r="EHJ46" s="595"/>
      <c r="EHK46" s="595"/>
      <c r="EHL46" s="595"/>
      <c r="EHM46" s="595"/>
      <c r="EHN46" s="595"/>
      <c r="EHO46" s="595"/>
      <c r="EHP46" s="595"/>
      <c r="EHQ46" s="595"/>
      <c r="EHR46" s="595"/>
      <c r="EHS46" s="595"/>
      <c r="EHT46" s="595"/>
      <c r="EHU46" s="595"/>
      <c r="EHV46" s="595"/>
      <c r="EHW46" s="595"/>
      <c r="EHX46" s="595"/>
      <c r="EHY46" s="595"/>
      <c r="EHZ46" s="595"/>
      <c r="EIA46" s="595"/>
      <c r="EIB46" s="595"/>
      <c r="EIC46" s="595"/>
      <c r="EID46" s="595"/>
      <c r="EIE46" s="595"/>
      <c r="EIF46" s="595"/>
      <c r="EIG46" s="595"/>
      <c r="EIH46" s="595"/>
      <c r="EII46" s="595"/>
      <c r="EIJ46" s="595"/>
      <c r="EIK46" s="595"/>
      <c r="EIL46" s="595"/>
      <c r="EIM46" s="595"/>
      <c r="EIN46" s="595"/>
      <c r="EIO46" s="595"/>
      <c r="EIP46" s="595"/>
      <c r="EIQ46" s="595"/>
      <c r="EIR46" s="595"/>
      <c r="EIS46" s="595"/>
      <c r="EIT46" s="595"/>
      <c r="EIU46" s="595"/>
      <c r="EIV46" s="595"/>
      <c r="EIW46" s="595"/>
      <c r="EIX46" s="595"/>
      <c r="EIY46" s="595"/>
      <c r="EIZ46" s="595"/>
      <c r="EJA46" s="595"/>
      <c r="EJB46" s="595"/>
      <c r="EJC46" s="595"/>
      <c r="EJD46" s="595"/>
      <c r="EJE46" s="595"/>
      <c r="EJF46" s="595"/>
      <c r="EJG46" s="595"/>
      <c r="EJH46" s="595"/>
      <c r="EJI46" s="595"/>
      <c r="EJJ46" s="595"/>
      <c r="EJK46" s="595"/>
      <c r="EJL46" s="595"/>
      <c r="EJM46" s="595"/>
      <c r="EJN46" s="595"/>
      <c r="EJO46" s="595"/>
      <c r="EJP46" s="595"/>
      <c r="EJQ46" s="595"/>
      <c r="EJR46" s="595"/>
      <c r="EJS46" s="595"/>
      <c r="EJT46" s="595"/>
      <c r="EJU46" s="595"/>
      <c r="EJV46" s="595"/>
      <c r="EJW46" s="595"/>
      <c r="EJX46" s="595"/>
      <c r="EJY46" s="595"/>
      <c r="EJZ46" s="595"/>
      <c r="EKA46" s="595"/>
      <c r="EKB46" s="595"/>
      <c r="EKC46" s="595"/>
      <c r="EKD46" s="595"/>
      <c r="EKE46" s="595"/>
      <c r="EKF46" s="595"/>
      <c r="EKG46" s="595"/>
      <c r="EKH46" s="595"/>
      <c r="EKI46" s="595"/>
      <c r="EKJ46" s="595"/>
      <c r="EKK46" s="595"/>
      <c r="EKL46" s="595"/>
      <c r="EKM46" s="595"/>
      <c r="EKN46" s="595"/>
      <c r="EKO46" s="595"/>
      <c r="EKP46" s="595"/>
      <c r="EKQ46" s="595"/>
      <c r="EKR46" s="595"/>
      <c r="EKS46" s="595"/>
      <c r="EKT46" s="595"/>
      <c r="EKU46" s="595"/>
      <c r="EKV46" s="595"/>
      <c r="EKW46" s="595"/>
      <c r="EKX46" s="595"/>
      <c r="EKY46" s="595"/>
      <c r="EKZ46" s="595"/>
      <c r="ELA46" s="595"/>
      <c r="ELB46" s="595"/>
      <c r="ELC46" s="595"/>
      <c r="ELD46" s="595"/>
      <c r="ELE46" s="595"/>
      <c r="ELF46" s="595"/>
      <c r="ELG46" s="595"/>
      <c r="ELH46" s="595"/>
      <c r="ELI46" s="595"/>
      <c r="ELJ46" s="595"/>
      <c r="ELK46" s="595"/>
      <c r="ELL46" s="595"/>
      <c r="ELM46" s="595"/>
      <c r="ELN46" s="595"/>
      <c r="ELO46" s="595"/>
      <c r="ELP46" s="595"/>
      <c r="ELQ46" s="595"/>
      <c r="ELR46" s="595"/>
      <c r="ELS46" s="595"/>
      <c r="ELT46" s="595"/>
      <c r="ELU46" s="595"/>
      <c r="ELV46" s="595"/>
      <c r="ELW46" s="595"/>
      <c r="ELX46" s="595"/>
      <c r="ELY46" s="595"/>
      <c r="ELZ46" s="595"/>
      <c r="EMA46" s="595"/>
      <c r="EMB46" s="595"/>
      <c r="EMC46" s="595"/>
      <c r="EMD46" s="595"/>
      <c r="EME46" s="595"/>
      <c r="EMF46" s="595"/>
      <c r="EMG46" s="595"/>
      <c r="EMH46" s="595"/>
      <c r="EMI46" s="595"/>
      <c r="EMJ46" s="595"/>
      <c r="EMK46" s="595"/>
      <c r="EML46" s="595"/>
      <c r="EMM46" s="595"/>
      <c r="EMN46" s="595"/>
      <c r="EMO46" s="595"/>
      <c r="EMP46" s="595"/>
      <c r="EMQ46" s="595"/>
      <c r="EMR46" s="595"/>
      <c r="EMS46" s="595"/>
      <c r="EMT46" s="595"/>
      <c r="EMU46" s="595"/>
      <c r="EMV46" s="595"/>
      <c r="EMW46" s="595"/>
      <c r="EMX46" s="595"/>
      <c r="EMY46" s="595"/>
      <c r="EMZ46" s="595"/>
      <c r="ENA46" s="595"/>
      <c r="ENB46" s="595"/>
      <c r="ENC46" s="595"/>
      <c r="END46" s="595"/>
      <c r="ENE46" s="595"/>
      <c r="ENF46" s="595"/>
      <c r="ENG46" s="595"/>
      <c r="ENH46" s="595"/>
      <c r="ENI46" s="595"/>
      <c r="ENJ46" s="595"/>
      <c r="ENK46" s="595"/>
      <c r="ENL46" s="595"/>
      <c r="ENM46" s="595"/>
      <c r="ENN46" s="595"/>
      <c r="ENO46" s="595"/>
      <c r="ENP46" s="595"/>
      <c r="ENQ46" s="595"/>
      <c r="ENR46" s="595"/>
      <c r="ENS46" s="595"/>
      <c r="ENT46" s="595"/>
      <c r="ENU46" s="595"/>
      <c r="ENV46" s="595"/>
      <c r="ENW46" s="595"/>
      <c r="ENX46" s="595"/>
      <c r="ENY46" s="595"/>
      <c r="ENZ46" s="595"/>
      <c r="EOA46" s="595"/>
      <c r="EOB46" s="595"/>
      <c r="EOC46" s="595"/>
      <c r="EOD46" s="595"/>
      <c r="EOE46" s="595"/>
      <c r="EOF46" s="595"/>
      <c r="EOG46" s="595"/>
      <c r="EOH46" s="595"/>
      <c r="EOI46" s="595"/>
      <c r="EOJ46" s="595"/>
      <c r="EOK46" s="595"/>
      <c r="EOL46" s="595"/>
      <c r="EOM46" s="595"/>
      <c r="EON46" s="595"/>
      <c r="EOO46" s="595"/>
      <c r="EOP46" s="595"/>
      <c r="EOQ46" s="595"/>
      <c r="EOR46" s="595"/>
      <c r="EOS46" s="595"/>
      <c r="EOT46" s="595"/>
      <c r="EOU46" s="595"/>
      <c r="EOV46" s="595"/>
      <c r="EOW46" s="595"/>
      <c r="EOX46" s="595"/>
      <c r="EOY46" s="595"/>
      <c r="EOZ46" s="595"/>
      <c r="EPA46" s="595"/>
      <c r="EPB46" s="595"/>
      <c r="EPC46" s="595"/>
      <c r="EPD46" s="595"/>
      <c r="EPE46" s="595"/>
      <c r="EPF46" s="595"/>
      <c r="EPG46" s="595"/>
      <c r="EPH46" s="595"/>
      <c r="EPI46" s="595"/>
      <c r="EPJ46" s="595"/>
      <c r="EPK46" s="595"/>
      <c r="EPL46" s="595"/>
      <c r="EPM46" s="595"/>
      <c r="EPN46" s="595"/>
      <c r="EPO46" s="595"/>
      <c r="EPP46" s="595"/>
      <c r="EPQ46" s="595"/>
      <c r="EPR46" s="595"/>
      <c r="EPS46" s="595"/>
      <c r="EPT46" s="595"/>
      <c r="EPU46" s="595"/>
      <c r="EPV46" s="595"/>
      <c r="EPW46" s="595"/>
      <c r="EPX46" s="595"/>
      <c r="EPY46" s="595"/>
      <c r="EPZ46" s="595"/>
      <c r="EQA46" s="595"/>
      <c r="EQB46" s="595"/>
      <c r="EQC46" s="595"/>
      <c r="EQD46" s="595"/>
      <c r="EQE46" s="595"/>
      <c r="EQF46" s="595"/>
      <c r="EQG46" s="595"/>
      <c r="EQH46" s="595"/>
      <c r="EQI46" s="595"/>
      <c r="EQJ46" s="595"/>
      <c r="EQK46" s="595"/>
      <c r="EQL46" s="595"/>
      <c r="EQM46" s="595"/>
      <c r="EQN46" s="595"/>
      <c r="EQO46" s="595"/>
      <c r="EQP46" s="595"/>
      <c r="EQQ46" s="595"/>
      <c r="EQR46" s="595"/>
      <c r="EQS46" s="595"/>
      <c r="EQT46" s="595"/>
      <c r="EQU46" s="595"/>
      <c r="EQV46" s="595"/>
      <c r="EQW46" s="595"/>
      <c r="EQX46" s="595"/>
      <c r="EQY46" s="595"/>
      <c r="EQZ46" s="595"/>
      <c r="ERA46" s="595"/>
      <c r="ERB46" s="595"/>
      <c r="ERC46" s="595"/>
      <c r="ERD46" s="595"/>
      <c r="ERE46" s="595"/>
      <c r="ERF46" s="595"/>
      <c r="ERG46" s="595"/>
      <c r="ERH46" s="595"/>
      <c r="ERI46" s="595"/>
      <c r="ERJ46" s="595"/>
      <c r="ERK46" s="595"/>
      <c r="ERL46" s="595"/>
      <c r="ERM46" s="595"/>
      <c r="ERN46" s="595"/>
      <c r="ERO46" s="595"/>
      <c r="ERP46" s="595"/>
      <c r="ERQ46" s="595"/>
      <c r="ERR46" s="595"/>
      <c r="ERS46" s="595"/>
      <c r="ERT46" s="595"/>
      <c r="ERU46" s="595"/>
      <c r="ERV46" s="595"/>
      <c r="ERW46" s="595"/>
      <c r="ERX46" s="595"/>
      <c r="ERY46" s="595"/>
      <c r="ERZ46" s="595"/>
      <c r="ESA46" s="595"/>
      <c r="ESB46" s="595"/>
      <c r="ESC46" s="595"/>
      <c r="ESD46" s="595"/>
      <c r="ESE46" s="595"/>
      <c r="ESF46" s="595"/>
      <c r="ESG46" s="595"/>
      <c r="ESH46" s="595"/>
      <c r="ESI46" s="595"/>
      <c r="ESJ46" s="595"/>
      <c r="ESK46" s="595"/>
      <c r="ESL46" s="595"/>
      <c r="ESM46" s="595"/>
      <c r="ESN46" s="595"/>
      <c r="ESO46" s="595"/>
      <c r="ESP46" s="595"/>
      <c r="ESQ46" s="595"/>
      <c r="ESR46" s="595"/>
      <c r="ESS46" s="595"/>
      <c r="EST46" s="595"/>
      <c r="ESU46" s="595"/>
      <c r="ESV46" s="595"/>
      <c r="ESW46" s="595"/>
      <c r="ESX46" s="595"/>
      <c r="ESY46" s="595"/>
      <c r="ESZ46" s="595"/>
      <c r="ETA46" s="595"/>
      <c r="ETB46" s="595"/>
      <c r="ETC46" s="595"/>
      <c r="ETD46" s="595"/>
      <c r="ETE46" s="595"/>
      <c r="ETF46" s="595"/>
      <c r="ETG46" s="595"/>
      <c r="ETH46" s="595"/>
      <c r="ETI46" s="595"/>
      <c r="ETJ46" s="595"/>
      <c r="ETK46" s="595"/>
      <c r="ETL46" s="595"/>
      <c r="ETM46" s="595"/>
      <c r="ETN46" s="595"/>
      <c r="ETO46" s="595"/>
      <c r="ETP46" s="595"/>
      <c r="ETQ46" s="595"/>
      <c r="ETR46" s="595"/>
      <c r="ETS46" s="595"/>
      <c r="ETT46" s="595"/>
      <c r="ETU46" s="595"/>
      <c r="ETV46" s="595"/>
      <c r="ETW46" s="595"/>
      <c r="ETX46" s="595"/>
      <c r="ETY46" s="595"/>
      <c r="ETZ46" s="595"/>
      <c r="EUA46" s="595"/>
      <c r="EUB46" s="595"/>
      <c r="EUC46" s="595"/>
      <c r="EUD46" s="595"/>
      <c r="EUE46" s="595"/>
      <c r="EUF46" s="595"/>
      <c r="EUG46" s="595"/>
      <c r="EUH46" s="595"/>
      <c r="EUI46" s="595"/>
      <c r="EUJ46" s="595"/>
      <c r="EUK46" s="595"/>
      <c r="EUL46" s="595"/>
      <c r="EUM46" s="595"/>
      <c r="EUN46" s="595"/>
      <c r="EUO46" s="595"/>
      <c r="EUP46" s="595"/>
      <c r="EUQ46" s="595"/>
      <c r="EUR46" s="595"/>
      <c r="EUS46" s="595"/>
      <c r="EUT46" s="595"/>
      <c r="EUU46" s="595"/>
      <c r="EUV46" s="595"/>
      <c r="EUW46" s="595"/>
      <c r="EUX46" s="595"/>
      <c r="EUY46" s="595"/>
      <c r="EUZ46" s="595"/>
      <c r="EVA46" s="595"/>
      <c r="EVB46" s="595"/>
      <c r="EVC46" s="595"/>
      <c r="EVD46" s="595"/>
      <c r="EVE46" s="595"/>
      <c r="EVF46" s="595"/>
      <c r="EVG46" s="595"/>
      <c r="EVH46" s="595"/>
      <c r="EVI46" s="595"/>
      <c r="EVJ46" s="595"/>
      <c r="EVK46" s="595"/>
      <c r="EVL46" s="595"/>
      <c r="EVM46" s="595"/>
      <c r="EVN46" s="595"/>
      <c r="EVO46" s="595"/>
      <c r="EVP46" s="595"/>
      <c r="EVQ46" s="595"/>
      <c r="EVR46" s="595"/>
      <c r="EVS46" s="595"/>
      <c r="EVT46" s="595"/>
      <c r="EVU46" s="595"/>
      <c r="EVV46" s="595"/>
      <c r="EVW46" s="595"/>
      <c r="EVX46" s="595"/>
      <c r="EVY46" s="595"/>
      <c r="EVZ46" s="595"/>
      <c r="EWA46" s="595"/>
      <c r="EWB46" s="595"/>
      <c r="EWC46" s="595"/>
      <c r="EWD46" s="595"/>
      <c r="EWE46" s="595"/>
      <c r="EWF46" s="595"/>
      <c r="EWG46" s="595"/>
      <c r="EWH46" s="595"/>
      <c r="EWI46" s="595"/>
      <c r="EWJ46" s="595"/>
      <c r="EWK46" s="595"/>
      <c r="EWL46" s="595"/>
      <c r="EWM46" s="595"/>
      <c r="EWN46" s="595"/>
      <c r="EWO46" s="595"/>
      <c r="EWP46" s="595"/>
      <c r="EWQ46" s="595"/>
      <c r="EWR46" s="595"/>
      <c r="EWS46" s="595"/>
      <c r="EWT46" s="595"/>
      <c r="EWU46" s="595"/>
      <c r="EWV46" s="595"/>
      <c r="EWW46" s="595"/>
      <c r="EWX46" s="595"/>
      <c r="EWY46" s="595"/>
      <c r="EWZ46" s="595"/>
      <c r="EXA46" s="595"/>
      <c r="EXB46" s="595"/>
      <c r="EXC46" s="595"/>
      <c r="EXD46" s="595"/>
      <c r="EXE46" s="595"/>
      <c r="EXF46" s="595"/>
      <c r="EXG46" s="595"/>
      <c r="EXH46" s="595"/>
      <c r="EXI46" s="595"/>
      <c r="EXJ46" s="595"/>
      <c r="EXK46" s="595"/>
      <c r="EXL46" s="595"/>
      <c r="EXM46" s="595"/>
      <c r="EXN46" s="595"/>
      <c r="EXO46" s="595"/>
      <c r="EXP46" s="595"/>
      <c r="EXQ46" s="595"/>
      <c r="EXR46" s="595"/>
      <c r="EXS46" s="595"/>
      <c r="EXT46" s="595"/>
      <c r="EXU46" s="595"/>
      <c r="EXV46" s="595"/>
      <c r="EXW46" s="595"/>
      <c r="EXX46" s="595"/>
      <c r="EXY46" s="595"/>
      <c r="EXZ46" s="595"/>
      <c r="EYA46" s="595"/>
      <c r="EYB46" s="595"/>
      <c r="EYC46" s="595"/>
      <c r="EYD46" s="595"/>
      <c r="EYE46" s="595"/>
      <c r="EYF46" s="595"/>
      <c r="EYG46" s="595"/>
      <c r="EYH46" s="595"/>
      <c r="EYI46" s="595"/>
      <c r="EYJ46" s="595"/>
      <c r="EYK46" s="595"/>
      <c r="EYL46" s="595"/>
      <c r="EYM46" s="595"/>
      <c r="EYN46" s="595"/>
      <c r="EYO46" s="595"/>
      <c r="EYP46" s="595"/>
      <c r="EYQ46" s="595"/>
      <c r="EYR46" s="595"/>
      <c r="EYS46" s="595"/>
      <c r="EYT46" s="595"/>
      <c r="EYU46" s="595"/>
      <c r="EYV46" s="595"/>
      <c r="EYW46" s="595"/>
      <c r="EYX46" s="595"/>
      <c r="EYY46" s="595"/>
      <c r="EYZ46" s="595"/>
      <c r="EZA46" s="595"/>
      <c r="EZB46" s="595"/>
      <c r="EZC46" s="595"/>
      <c r="EZD46" s="595"/>
      <c r="EZE46" s="595"/>
      <c r="EZF46" s="595"/>
      <c r="EZG46" s="595"/>
      <c r="EZH46" s="595"/>
      <c r="EZI46" s="595"/>
      <c r="EZJ46" s="595"/>
      <c r="EZK46" s="595"/>
      <c r="EZL46" s="595"/>
      <c r="EZM46" s="595"/>
      <c r="EZN46" s="595"/>
      <c r="EZO46" s="595"/>
      <c r="EZP46" s="595"/>
      <c r="EZQ46" s="595"/>
      <c r="EZR46" s="595"/>
      <c r="EZS46" s="595"/>
      <c r="EZT46" s="595"/>
      <c r="EZU46" s="595"/>
      <c r="EZV46" s="595"/>
      <c r="EZW46" s="595"/>
      <c r="EZX46" s="595"/>
      <c r="EZY46" s="595"/>
      <c r="EZZ46" s="595"/>
      <c r="FAA46" s="595"/>
      <c r="FAB46" s="595"/>
      <c r="FAC46" s="595"/>
      <c r="FAD46" s="595"/>
      <c r="FAE46" s="595"/>
      <c r="FAF46" s="595"/>
      <c r="FAG46" s="595"/>
      <c r="FAH46" s="595"/>
      <c r="FAI46" s="595"/>
      <c r="FAJ46" s="595"/>
      <c r="FAK46" s="595"/>
      <c r="FAL46" s="595"/>
      <c r="FAM46" s="595"/>
      <c r="FAN46" s="595"/>
      <c r="FAO46" s="595"/>
      <c r="FAP46" s="595"/>
      <c r="FAQ46" s="595"/>
      <c r="FAR46" s="595"/>
      <c r="FAS46" s="595"/>
      <c r="FAT46" s="595"/>
      <c r="FAU46" s="595"/>
      <c r="FAV46" s="595"/>
      <c r="FAW46" s="595"/>
      <c r="FAX46" s="595"/>
      <c r="FAY46" s="595"/>
      <c r="FAZ46" s="595"/>
      <c r="FBA46" s="595"/>
      <c r="FBB46" s="595"/>
      <c r="FBC46" s="595"/>
      <c r="FBD46" s="595"/>
      <c r="FBE46" s="595"/>
      <c r="FBF46" s="595"/>
      <c r="FBG46" s="595"/>
      <c r="FBH46" s="595"/>
      <c r="FBI46" s="595"/>
      <c r="FBJ46" s="595"/>
      <c r="FBK46" s="595"/>
      <c r="FBL46" s="595"/>
      <c r="FBM46" s="595"/>
      <c r="FBN46" s="595"/>
      <c r="FBO46" s="595"/>
      <c r="FBP46" s="595"/>
      <c r="FBQ46" s="595"/>
      <c r="FBR46" s="595"/>
      <c r="FBS46" s="595"/>
      <c r="FBT46" s="595"/>
      <c r="FBU46" s="595"/>
      <c r="FBV46" s="595"/>
      <c r="FBW46" s="595"/>
      <c r="FBX46" s="595"/>
      <c r="FBY46" s="595"/>
      <c r="FBZ46" s="595"/>
      <c r="FCA46" s="595"/>
      <c r="FCB46" s="595"/>
      <c r="FCC46" s="595"/>
      <c r="FCD46" s="595"/>
      <c r="FCE46" s="595"/>
      <c r="FCF46" s="595"/>
      <c r="FCG46" s="595"/>
      <c r="FCH46" s="595"/>
      <c r="FCI46" s="595"/>
      <c r="FCJ46" s="595"/>
      <c r="FCK46" s="595"/>
      <c r="FCL46" s="595"/>
      <c r="FCM46" s="595"/>
      <c r="FCN46" s="595"/>
      <c r="FCO46" s="595"/>
      <c r="FCP46" s="595"/>
      <c r="FCQ46" s="595"/>
      <c r="FCR46" s="595"/>
      <c r="FCS46" s="595"/>
      <c r="FCT46" s="595"/>
      <c r="FCU46" s="595"/>
      <c r="FCV46" s="595"/>
      <c r="FCW46" s="595"/>
      <c r="FCX46" s="595"/>
      <c r="FCY46" s="595"/>
      <c r="FCZ46" s="595"/>
      <c r="FDA46" s="595"/>
      <c r="FDB46" s="595"/>
      <c r="FDC46" s="595"/>
      <c r="FDD46" s="595"/>
      <c r="FDE46" s="595"/>
      <c r="FDF46" s="595"/>
      <c r="FDG46" s="595"/>
      <c r="FDH46" s="595"/>
      <c r="FDI46" s="595"/>
      <c r="FDJ46" s="595"/>
      <c r="FDK46" s="595"/>
      <c r="FDL46" s="595"/>
      <c r="FDM46" s="595"/>
      <c r="FDN46" s="595"/>
      <c r="FDO46" s="595"/>
      <c r="FDP46" s="595"/>
      <c r="FDQ46" s="595"/>
      <c r="FDR46" s="595"/>
      <c r="FDS46" s="595"/>
      <c r="FDT46" s="595"/>
      <c r="FDU46" s="595"/>
      <c r="FDV46" s="595"/>
      <c r="FDW46" s="595"/>
      <c r="FDX46" s="595"/>
      <c r="FDY46" s="595"/>
      <c r="FDZ46" s="595"/>
      <c r="FEA46" s="595"/>
      <c r="FEB46" s="595"/>
      <c r="FEC46" s="595"/>
      <c r="FED46" s="595"/>
      <c r="FEE46" s="595"/>
      <c r="FEF46" s="595"/>
      <c r="FEG46" s="595"/>
      <c r="FEH46" s="595"/>
      <c r="FEI46" s="595"/>
      <c r="FEJ46" s="595"/>
      <c r="FEK46" s="595"/>
      <c r="FEL46" s="595"/>
      <c r="FEM46" s="595"/>
      <c r="FEN46" s="595"/>
      <c r="FEO46" s="595"/>
      <c r="FEP46" s="595"/>
      <c r="FEQ46" s="595"/>
      <c r="FER46" s="595"/>
      <c r="FES46" s="595"/>
      <c r="FET46" s="595"/>
      <c r="FEU46" s="595"/>
      <c r="FEV46" s="595"/>
      <c r="FEW46" s="595"/>
      <c r="FEX46" s="595"/>
      <c r="FEY46" s="595"/>
      <c r="FEZ46" s="595"/>
      <c r="FFA46" s="595"/>
      <c r="FFB46" s="595"/>
      <c r="FFC46" s="595"/>
      <c r="FFD46" s="595"/>
      <c r="FFE46" s="595"/>
      <c r="FFF46" s="595"/>
      <c r="FFG46" s="595"/>
      <c r="FFH46" s="595"/>
      <c r="FFI46" s="595"/>
      <c r="FFJ46" s="595"/>
      <c r="FFK46" s="595"/>
      <c r="FFL46" s="595"/>
      <c r="FFM46" s="595"/>
      <c r="FFN46" s="595"/>
      <c r="FFO46" s="595"/>
      <c r="FFP46" s="595"/>
      <c r="FFQ46" s="595"/>
      <c r="FFR46" s="595"/>
      <c r="FFS46" s="595"/>
      <c r="FFT46" s="595"/>
      <c r="FFU46" s="595"/>
      <c r="FFV46" s="595"/>
      <c r="FFW46" s="595"/>
      <c r="FFX46" s="595"/>
      <c r="FFY46" s="595"/>
      <c r="FFZ46" s="595"/>
      <c r="FGA46" s="595"/>
      <c r="FGB46" s="595"/>
      <c r="FGC46" s="595"/>
      <c r="FGD46" s="595"/>
      <c r="FGE46" s="595"/>
      <c r="FGF46" s="595"/>
      <c r="FGG46" s="595"/>
      <c r="FGH46" s="595"/>
      <c r="FGI46" s="595"/>
      <c r="FGJ46" s="595"/>
      <c r="FGK46" s="595"/>
      <c r="FGL46" s="595"/>
      <c r="FGM46" s="595"/>
      <c r="FGN46" s="595"/>
      <c r="FGO46" s="595"/>
      <c r="FGP46" s="595"/>
      <c r="FGQ46" s="595"/>
      <c r="FGR46" s="595"/>
      <c r="FGS46" s="595"/>
      <c r="FGT46" s="595"/>
      <c r="FGU46" s="595"/>
      <c r="FGV46" s="595"/>
      <c r="FGW46" s="595"/>
      <c r="FGX46" s="595"/>
      <c r="FGY46" s="595"/>
      <c r="FGZ46" s="595"/>
      <c r="FHA46" s="595"/>
      <c r="FHB46" s="595"/>
      <c r="FHC46" s="595"/>
      <c r="FHD46" s="595"/>
      <c r="FHE46" s="595"/>
      <c r="FHF46" s="595"/>
      <c r="FHG46" s="595"/>
      <c r="FHH46" s="595"/>
      <c r="FHI46" s="595"/>
      <c r="FHJ46" s="595"/>
      <c r="FHK46" s="595"/>
      <c r="FHL46" s="595"/>
      <c r="FHM46" s="595"/>
      <c r="FHN46" s="595"/>
      <c r="FHO46" s="595"/>
      <c r="FHP46" s="595"/>
      <c r="FHQ46" s="595"/>
      <c r="FHR46" s="595"/>
      <c r="FHS46" s="595"/>
      <c r="FHT46" s="595"/>
      <c r="FHU46" s="595"/>
      <c r="FHV46" s="595"/>
      <c r="FHW46" s="595"/>
      <c r="FHX46" s="595"/>
      <c r="FHY46" s="595"/>
      <c r="FHZ46" s="595"/>
      <c r="FIA46" s="595"/>
      <c r="FIB46" s="595"/>
      <c r="FIC46" s="595"/>
      <c r="FID46" s="595"/>
      <c r="FIE46" s="595"/>
      <c r="FIF46" s="595"/>
      <c r="FIG46" s="595"/>
      <c r="FIH46" s="595"/>
      <c r="FII46" s="595"/>
      <c r="FIJ46" s="595"/>
      <c r="FIK46" s="595"/>
      <c r="FIL46" s="595"/>
      <c r="FIM46" s="595"/>
      <c r="FIN46" s="595"/>
      <c r="FIO46" s="595"/>
      <c r="FIP46" s="595"/>
      <c r="FIQ46" s="595"/>
      <c r="FIR46" s="595"/>
      <c r="FIS46" s="595"/>
      <c r="FIT46" s="595"/>
      <c r="FIU46" s="595"/>
      <c r="FIV46" s="595"/>
      <c r="FIW46" s="595"/>
      <c r="FIX46" s="595"/>
      <c r="FIY46" s="595"/>
      <c r="FIZ46" s="595"/>
      <c r="FJA46" s="595"/>
      <c r="FJB46" s="595"/>
      <c r="FJC46" s="595"/>
      <c r="FJD46" s="595"/>
      <c r="FJE46" s="595"/>
      <c r="FJF46" s="595"/>
      <c r="FJG46" s="595"/>
      <c r="FJH46" s="595"/>
      <c r="FJI46" s="595"/>
      <c r="FJJ46" s="595"/>
      <c r="FJK46" s="595"/>
      <c r="FJL46" s="595"/>
      <c r="FJM46" s="595"/>
      <c r="FJN46" s="595"/>
      <c r="FJO46" s="595"/>
      <c r="FJP46" s="595"/>
      <c r="FJQ46" s="595"/>
      <c r="FJR46" s="595"/>
      <c r="FJS46" s="595"/>
      <c r="FJT46" s="595"/>
      <c r="FJU46" s="595"/>
      <c r="FJV46" s="595"/>
      <c r="FJW46" s="595"/>
      <c r="FJX46" s="595"/>
      <c r="FJY46" s="595"/>
      <c r="FJZ46" s="595"/>
      <c r="FKA46" s="595"/>
      <c r="FKB46" s="595"/>
      <c r="FKC46" s="595"/>
      <c r="FKD46" s="595"/>
      <c r="FKE46" s="595"/>
      <c r="FKF46" s="595"/>
      <c r="FKG46" s="595"/>
      <c r="FKH46" s="595"/>
      <c r="FKI46" s="595"/>
      <c r="FKJ46" s="595"/>
      <c r="FKK46" s="595"/>
      <c r="FKL46" s="595"/>
      <c r="FKM46" s="595"/>
      <c r="FKN46" s="595"/>
      <c r="FKO46" s="595"/>
      <c r="FKP46" s="595"/>
      <c r="FKQ46" s="595"/>
      <c r="FKR46" s="595"/>
      <c r="FKS46" s="595"/>
      <c r="FKT46" s="595"/>
      <c r="FKU46" s="595"/>
      <c r="FKV46" s="595"/>
      <c r="FKW46" s="595"/>
      <c r="FKX46" s="595"/>
      <c r="FKY46" s="595"/>
      <c r="FKZ46" s="595"/>
      <c r="FLA46" s="595"/>
      <c r="FLB46" s="595"/>
      <c r="FLC46" s="595"/>
      <c r="FLD46" s="595"/>
      <c r="FLE46" s="595"/>
      <c r="FLF46" s="595"/>
      <c r="FLG46" s="595"/>
      <c r="FLH46" s="595"/>
      <c r="FLI46" s="595"/>
      <c r="FLJ46" s="595"/>
      <c r="FLK46" s="595"/>
      <c r="FLL46" s="595"/>
      <c r="FLM46" s="595"/>
      <c r="FLN46" s="595"/>
      <c r="FLO46" s="595"/>
      <c r="FLP46" s="595"/>
      <c r="FLQ46" s="595"/>
      <c r="FLR46" s="595"/>
      <c r="FLS46" s="595"/>
      <c r="FLT46" s="595"/>
      <c r="FLU46" s="595"/>
      <c r="FLV46" s="595"/>
      <c r="FLW46" s="595"/>
      <c r="FLX46" s="595"/>
      <c r="FLY46" s="595"/>
      <c r="FLZ46" s="595"/>
      <c r="FMA46" s="595"/>
      <c r="FMB46" s="595"/>
      <c r="FMC46" s="595"/>
      <c r="FMD46" s="595"/>
      <c r="FME46" s="595"/>
      <c r="FMF46" s="595"/>
      <c r="FMG46" s="595"/>
      <c r="FMH46" s="595"/>
      <c r="FMI46" s="595"/>
      <c r="FMJ46" s="595"/>
      <c r="FMK46" s="595"/>
      <c r="FML46" s="595"/>
      <c r="FMM46" s="595"/>
      <c r="FMN46" s="595"/>
      <c r="FMO46" s="595"/>
      <c r="FMP46" s="595"/>
      <c r="FMQ46" s="595"/>
      <c r="FMR46" s="595"/>
      <c r="FMS46" s="595"/>
      <c r="FMT46" s="595"/>
      <c r="FMU46" s="595"/>
      <c r="FMV46" s="595"/>
      <c r="FMW46" s="595"/>
      <c r="FMX46" s="595"/>
      <c r="FMY46" s="595"/>
      <c r="FMZ46" s="595"/>
      <c r="FNA46" s="595"/>
      <c r="FNB46" s="595"/>
      <c r="FNC46" s="595"/>
      <c r="FND46" s="595"/>
      <c r="FNE46" s="595"/>
      <c r="FNF46" s="595"/>
      <c r="FNG46" s="595"/>
      <c r="FNH46" s="595"/>
      <c r="FNI46" s="595"/>
      <c r="FNJ46" s="595"/>
      <c r="FNK46" s="595"/>
      <c r="FNL46" s="595"/>
      <c r="FNM46" s="595"/>
      <c r="FNN46" s="595"/>
      <c r="FNO46" s="595"/>
      <c r="FNP46" s="595"/>
      <c r="FNQ46" s="595"/>
      <c r="FNR46" s="595"/>
      <c r="FNS46" s="595"/>
      <c r="FNT46" s="595"/>
      <c r="FNU46" s="595"/>
      <c r="FNV46" s="595"/>
      <c r="FNW46" s="595"/>
      <c r="FNX46" s="595"/>
      <c r="FNY46" s="595"/>
      <c r="FNZ46" s="595"/>
      <c r="FOA46" s="595"/>
      <c r="FOB46" s="595"/>
      <c r="FOC46" s="595"/>
      <c r="FOD46" s="595"/>
      <c r="FOE46" s="595"/>
      <c r="FOF46" s="595"/>
      <c r="FOG46" s="595"/>
      <c r="FOH46" s="595"/>
      <c r="FOI46" s="595"/>
      <c r="FOJ46" s="595"/>
      <c r="FOK46" s="595"/>
      <c r="FOL46" s="595"/>
      <c r="FOM46" s="595"/>
      <c r="FON46" s="595"/>
      <c r="FOO46" s="595"/>
      <c r="FOP46" s="595"/>
      <c r="FOQ46" s="595"/>
      <c r="FOR46" s="595"/>
      <c r="FOS46" s="595"/>
      <c r="FOT46" s="595"/>
      <c r="FOU46" s="595"/>
      <c r="FOV46" s="595"/>
      <c r="FOW46" s="595"/>
      <c r="FOX46" s="595"/>
      <c r="FOY46" s="595"/>
      <c r="FOZ46" s="595"/>
      <c r="FPA46" s="595"/>
      <c r="FPB46" s="595"/>
      <c r="FPC46" s="595"/>
      <c r="FPD46" s="595"/>
      <c r="FPE46" s="595"/>
      <c r="FPF46" s="595"/>
      <c r="FPG46" s="595"/>
      <c r="FPH46" s="595"/>
      <c r="FPI46" s="595"/>
      <c r="FPJ46" s="595"/>
      <c r="FPK46" s="595"/>
      <c r="FPL46" s="595"/>
      <c r="FPM46" s="595"/>
      <c r="FPN46" s="595"/>
      <c r="FPO46" s="595"/>
      <c r="FPP46" s="595"/>
      <c r="FPQ46" s="595"/>
      <c r="FPR46" s="595"/>
      <c r="FPS46" s="595"/>
      <c r="FPT46" s="595"/>
      <c r="FPU46" s="595"/>
      <c r="FPV46" s="595"/>
      <c r="FPW46" s="595"/>
      <c r="FPX46" s="595"/>
      <c r="FPY46" s="595"/>
      <c r="FPZ46" s="595"/>
      <c r="FQA46" s="595"/>
      <c r="FQB46" s="595"/>
      <c r="FQC46" s="595"/>
      <c r="FQD46" s="595"/>
      <c r="FQE46" s="595"/>
      <c r="FQF46" s="595"/>
      <c r="FQG46" s="595"/>
      <c r="FQH46" s="595"/>
      <c r="FQI46" s="595"/>
      <c r="FQJ46" s="595"/>
      <c r="FQK46" s="595"/>
      <c r="FQL46" s="595"/>
      <c r="FQM46" s="595"/>
      <c r="FQN46" s="595"/>
      <c r="FQO46" s="595"/>
      <c r="FQP46" s="595"/>
      <c r="FQQ46" s="595"/>
      <c r="FQR46" s="595"/>
      <c r="FQS46" s="595"/>
      <c r="FQT46" s="595"/>
      <c r="FQU46" s="595"/>
      <c r="FQV46" s="595"/>
      <c r="FQW46" s="595"/>
      <c r="FQX46" s="595"/>
      <c r="FQY46" s="595"/>
      <c r="FQZ46" s="595"/>
      <c r="FRA46" s="595"/>
      <c r="FRB46" s="595"/>
      <c r="FRC46" s="595"/>
      <c r="FRD46" s="595"/>
      <c r="FRE46" s="595"/>
      <c r="FRF46" s="595"/>
      <c r="FRG46" s="595"/>
      <c r="FRH46" s="595"/>
      <c r="FRI46" s="595"/>
      <c r="FRJ46" s="595"/>
      <c r="FRK46" s="595"/>
      <c r="FRL46" s="595"/>
      <c r="FRM46" s="595"/>
      <c r="FRN46" s="595"/>
      <c r="FRO46" s="595"/>
      <c r="FRP46" s="595"/>
      <c r="FRQ46" s="595"/>
      <c r="FRR46" s="595"/>
      <c r="FRS46" s="595"/>
      <c r="FRT46" s="595"/>
      <c r="FRU46" s="595"/>
      <c r="FRV46" s="595"/>
      <c r="FRW46" s="595"/>
      <c r="FRX46" s="595"/>
      <c r="FRY46" s="595"/>
      <c r="FRZ46" s="595"/>
      <c r="FSA46" s="595"/>
      <c r="FSB46" s="595"/>
      <c r="FSC46" s="595"/>
      <c r="FSD46" s="595"/>
      <c r="FSE46" s="595"/>
      <c r="FSF46" s="595"/>
      <c r="FSG46" s="595"/>
      <c r="FSH46" s="595"/>
      <c r="FSI46" s="595"/>
      <c r="FSJ46" s="595"/>
      <c r="FSK46" s="595"/>
      <c r="FSL46" s="595"/>
      <c r="FSM46" s="595"/>
      <c r="FSN46" s="595"/>
      <c r="FSO46" s="595"/>
      <c r="FSP46" s="595"/>
      <c r="FSQ46" s="595"/>
      <c r="FSR46" s="595"/>
      <c r="FSS46" s="595"/>
      <c r="FST46" s="595"/>
      <c r="FSU46" s="595"/>
      <c r="FSV46" s="595"/>
      <c r="FSW46" s="595"/>
      <c r="FSX46" s="595"/>
      <c r="FSY46" s="595"/>
      <c r="FSZ46" s="595"/>
      <c r="FTA46" s="595"/>
      <c r="FTB46" s="595"/>
      <c r="FTC46" s="595"/>
      <c r="FTD46" s="595"/>
      <c r="FTE46" s="595"/>
      <c r="FTF46" s="595"/>
      <c r="FTG46" s="595"/>
      <c r="FTH46" s="595"/>
      <c r="FTI46" s="595"/>
      <c r="FTJ46" s="595"/>
      <c r="FTK46" s="595"/>
      <c r="FTL46" s="595"/>
      <c r="FTM46" s="595"/>
      <c r="FTN46" s="595"/>
      <c r="FTO46" s="595"/>
      <c r="FTP46" s="595"/>
      <c r="FTQ46" s="595"/>
      <c r="FTR46" s="595"/>
      <c r="FTS46" s="595"/>
      <c r="FTT46" s="595"/>
      <c r="FTU46" s="595"/>
      <c r="FTV46" s="595"/>
      <c r="FTW46" s="595"/>
      <c r="FTX46" s="595"/>
      <c r="FTY46" s="595"/>
      <c r="FTZ46" s="595"/>
      <c r="FUA46" s="595"/>
      <c r="FUB46" s="595"/>
      <c r="FUC46" s="595"/>
      <c r="FUD46" s="595"/>
      <c r="FUE46" s="595"/>
      <c r="FUF46" s="595"/>
      <c r="FUG46" s="595"/>
      <c r="FUH46" s="595"/>
      <c r="FUI46" s="595"/>
      <c r="FUJ46" s="595"/>
      <c r="FUK46" s="595"/>
      <c r="FUL46" s="595"/>
      <c r="FUM46" s="595"/>
      <c r="FUN46" s="595"/>
      <c r="FUO46" s="595"/>
      <c r="FUP46" s="595"/>
      <c r="FUQ46" s="595"/>
      <c r="FUR46" s="595"/>
      <c r="FUS46" s="595"/>
      <c r="FUT46" s="595"/>
      <c r="FUU46" s="595"/>
      <c r="FUV46" s="595"/>
      <c r="FUW46" s="595"/>
      <c r="FUX46" s="595"/>
      <c r="FUY46" s="595"/>
      <c r="FUZ46" s="595"/>
      <c r="FVA46" s="595"/>
      <c r="FVB46" s="595"/>
      <c r="FVC46" s="595"/>
      <c r="FVD46" s="595"/>
      <c r="FVE46" s="595"/>
      <c r="FVF46" s="595"/>
      <c r="FVG46" s="595"/>
      <c r="FVH46" s="595"/>
      <c r="FVI46" s="595"/>
      <c r="FVJ46" s="595"/>
      <c r="FVK46" s="595"/>
      <c r="FVL46" s="595"/>
      <c r="FVM46" s="595"/>
      <c r="FVN46" s="595"/>
      <c r="FVO46" s="595"/>
      <c r="FVP46" s="595"/>
      <c r="FVQ46" s="595"/>
      <c r="FVR46" s="595"/>
      <c r="FVS46" s="595"/>
      <c r="FVT46" s="595"/>
      <c r="FVU46" s="595"/>
      <c r="FVV46" s="595"/>
      <c r="FVW46" s="595"/>
      <c r="FVX46" s="595"/>
      <c r="FVY46" s="595"/>
      <c r="FVZ46" s="595"/>
      <c r="FWA46" s="595"/>
      <c r="FWB46" s="595"/>
      <c r="FWC46" s="595"/>
      <c r="FWD46" s="595"/>
      <c r="FWE46" s="595"/>
      <c r="FWF46" s="595"/>
      <c r="FWG46" s="595"/>
      <c r="FWH46" s="595"/>
      <c r="FWI46" s="595"/>
      <c r="FWJ46" s="595"/>
      <c r="FWK46" s="595"/>
      <c r="FWL46" s="595"/>
      <c r="FWM46" s="595"/>
      <c r="FWN46" s="595"/>
      <c r="FWO46" s="595"/>
      <c r="FWP46" s="595"/>
      <c r="FWQ46" s="595"/>
      <c r="FWR46" s="595"/>
      <c r="FWS46" s="595"/>
      <c r="FWT46" s="595"/>
      <c r="FWU46" s="595"/>
      <c r="FWV46" s="595"/>
      <c r="FWW46" s="595"/>
      <c r="FWX46" s="595"/>
      <c r="FWY46" s="595"/>
      <c r="FWZ46" s="595"/>
      <c r="FXA46" s="595"/>
      <c r="FXB46" s="595"/>
      <c r="FXC46" s="595"/>
      <c r="FXD46" s="595"/>
      <c r="FXE46" s="595"/>
      <c r="FXF46" s="595"/>
      <c r="FXG46" s="595"/>
      <c r="FXH46" s="595"/>
      <c r="FXI46" s="595"/>
      <c r="FXJ46" s="595"/>
      <c r="FXK46" s="595"/>
      <c r="FXL46" s="595"/>
      <c r="FXM46" s="595"/>
      <c r="FXN46" s="595"/>
      <c r="FXO46" s="595"/>
      <c r="FXP46" s="595"/>
      <c r="FXQ46" s="595"/>
      <c r="FXR46" s="595"/>
      <c r="FXS46" s="595"/>
      <c r="FXT46" s="595"/>
      <c r="FXU46" s="595"/>
      <c r="FXV46" s="595"/>
      <c r="FXW46" s="595"/>
      <c r="FXX46" s="595"/>
      <c r="FXY46" s="595"/>
      <c r="FXZ46" s="595"/>
      <c r="FYA46" s="595"/>
      <c r="FYB46" s="595"/>
      <c r="FYC46" s="595"/>
      <c r="FYD46" s="595"/>
      <c r="FYE46" s="595"/>
      <c r="FYF46" s="595"/>
      <c r="FYG46" s="595"/>
      <c r="FYH46" s="595"/>
      <c r="FYI46" s="595"/>
      <c r="FYJ46" s="595"/>
      <c r="FYK46" s="595"/>
      <c r="FYL46" s="595"/>
      <c r="FYM46" s="595"/>
      <c r="FYN46" s="595"/>
      <c r="FYO46" s="595"/>
      <c r="FYP46" s="595"/>
      <c r="FYQ46" s="595"/>
      <c r="FYR46" s="595"/>
      <c r="FYS46" s="595"/>
      <c r="FYT46" s="595"/>
      <c r="FYU46" s="595"/>
      <c r="FYV46" s="595"/>
      <c r="FYW46" s="595"/>
      <c r="FYX46" s="595"/>
      <c r="FYY46" s="595"/>
      <c r="FYZ46" s="595"/>
      <c r="FZA46" s="595"/>
      <c r="FZB46" s="595"/>
      <c r="FZC46" s="595"/>
      <c r="FZD46" s="595"/>
      <c r="FZE46" s="595"/>
      <c r="FZF46" s="595"/>
      <c r="FZG46" s="595"/>
      <c r="FZH46" s="595"/>
      <c r="FZI46" s="595"/>
      <c r="FZJ46" s="595"/>
      <c r="FZK46" s="595"/>
      <c r="FZL46" s="595"/>
      <c r="FZM46" s="595"/>
      <c r="FZN46" s="595"/>
      <c r="FZO46" s="595"/>
      <c r="FZP46" s="595"/>
      <c r="FZQ46" s="595"/>
      <c r="FZR46" s="595"/>
      <c r="FZS46" s="595"/>
      <c r="FZT46" s="595"/>
      <c r="FZU46" s="595"/>
      <c r="FZV46" s="595"/>
      <c r="FZW46" s="595"/>
      <c r="FZX46" s="595"/>
      <c r="FZY46" s="595"/>
      <c r="FZZ46" s="595"/>
      <c r="GAA46" s="595"/>
      <c r="GAB46" s="595"/>
      <c r="GAC46" s="595"/>
      <c r="GAD46" s="595"/>
      <c r="GAE46" s="595"/>
      <c r="GAF46" s="595"/>
      <c r="GAG46" s="595"/>
      <c r="GAH46" s="595"/>
      <c r="GAI46" s="595"/>
      <c r="GAJ46" s="595"/>
      <c r="GAK46" s="595"/>
      <c r="GAL46" s="595"/>
      <c r="GAM46" s="595"/>
      <c r="GAN46" s="595"/>
      <c r="GAO46" s="595"/>
      <c r="GAP46" s="595"/>
      <c r="GAQ46" s="595"/>
      <c r="GAR46" s="595"/>
      <c r="GAS46" s="595"/>
      <c r="GAT46" s="595"/>
      <c r="GAU46" s="595"/>
      <c r="GAV46" s="595"/>
      <c r="GAW46" s="595"/>
      <c r="GAX46" s="595"/>
      <c r="GAY46" s="595"/>
      <c r="GAZ46" s="595"/>
      <c r="GBA46" s="595"/>
      <c r="GBB46" s="595"/>
      <c r="GBC46" s="595"/>
      <c r="GBD46" s="595"/>
      <c r="GBE46" s="595"/>
      <c r="GBF46" s="595"/>
      <c r="GBG46" s="595"/>
      <c r="GBH46" s="595"/>
      <c r="GBI46" s="595"/>
      <c r="GBJ46" s="595"/>
      <c r="GBK46" s="595"/>
      <c r="GBL46" s="595"/>
      <c r="GBM46" s="595"/>
      <c r="GBN46" s="595"/>
      <c r="GBO46" s="595"/>
      <c r="GBP46" s="595"/>
      <c r="GBQ46" s="595"/>
      <c r="GBR46" s="595"/>
      <c r="GBS46" s="595"/>
      <c r="GBT46" s="595"/>
      <c r="GBU46" s="595"/>
      <c r="GBV46" s="595"/>
      <c r="GBW46" s="595"/>
      <c r="GBX46" s="595"/>
      <c r="GBY46" s="595"/>
      <c r="GBZ46" s="595"/>
      <c r="GCA46" s="595"/>
      <c r="GCB46" s="595"/>
      <c r="GCC46" s="595"/>
      <c r="GCD46" s="595"/>
      <c r="GCE46" s="595"/>
      <c r="GCF46" s="595"/>
      <c r="GCG46" s="595"/>
      <c r="GCH46" s="595"/>
      <c r="GCI46" s="595"/>
      <c r="GCJ46" s="595"/>
      <c r="GCK46" s="595"/>
      <c r="GCL46" s="595"/>
      <c r="GCM46" s="595"/>
      <c r="GCN46" s="595"/>
      <c r="GCO46" s="595"/>
      <c r="GCP46" s="595"/>
      <c r="GCQ46" s="595"/>
      <c r="GCR46" s="595"/>
      <c r="GCS46" s="595"/>
      <c r="GCT46" s="595"/>
      <c r="GCU46" s="595"/>
      <c r="GCV46" s="595"/>
      <c r="GCW46" s="595"/>
      <c r="GCX46" s="595"/>
      <c r="GCY46" s="595"/>
      <c r="GCZ46" s="595"/>
      <c r="GDA46" s="595"/>
      <c r="GDB46" s="595"/>
      <c r="GDC46" s="595"/>
      <c r="GDD46" s="595"/>
      <c r="GDE46" s="595"/>
      <c r="GDF46" s="595"/>
      <c r="GDG46" s="595"/>
      <c r="GDH46" s="595"/>
      <c r="GDI46" s="595"/>
      <c r="GDJ46" s="595"/>
      <c r="GDK46" s="595"/>
      <c r="GDL46" s="595"/>
      <c r="GDM46" s="595"/>
      <c r="GDN46" s="595"/>
      <c r="GDO46" s="595"/>
      <c r="GDP46" s="595"/>
      <c r="GDQ46" s="595"/>
      <c r="GDR46" s="595"/>
      <c r="GDS46" s="595"/>
      <c r="GDT46" s="595"/>
      <c r="GDU46" s="595"/>
      <c r="GDV46" s="595"/>
      <c r="GDW46" s="595"/>
      <c r="GDX46" s="595"/>
      <c r="GDY46" s="595"/>
      <c r="GDZ46" s="595"/>
      <c r="GEA46" s="595"/>
      <c r="GEB46" s="595"/>
      <c r="GEC46" s="595"/>
      <c r="GED46" s="595"/>
      <c r="GEE46" s="595"/>
      <c r="GEF46" s="595"/>
      <c r="GEG46" s="595"/>
      <c r="GEH46" s="595"/>
      <c r="GEI46" s="595"/>
      <c r="GEJ46" s="595"/>
      <c r="GEK46" s="595"/>
      <c r="GEL46" s="595"/>
      <c r="GEM46" s="595"/>
      <c r="GEN46" s="595"/>
      <c r="GEO46" s="595"/>
      <c r="GEP46" s="595"/>
      <c r="GEQ46" s="595"/>
      <c r="GER46" s="595"/>
      <c r="GES46" s="595"/>
      <c r="GET46" s="595"/>
      <c r="GEU46" s="595"/>
      <c r="GEV46" s="595"/>
      <c r="GEW46" s="595"/>
      <c r="GEX46" s="595"/>
      <c r="GEY46" s="595"/>
      <c r="GEZ46" s="595"/>
      <c r="GFA46" s="595"/>
      <c r="GFB46" s="595"/>
      <c r="GFC46" s="595"/>
      <c r="GFD46" s="595"/>
      <c r="GFE46" s="595"/>
      <c r="GFF46" s="595"/>
      <c r="GFG46" s="595"/>
      <c r="GFH46" s="595"/>
      <c r="GFI46" s="595"/>
      <c r="GFJ46" s="595"/>
      <c r="GFK46" s="595"/>
      <c r="GFL46" s="595"/>
      <c r="GFM46" s="595"/>
      <c r="GFN46" s="595"/>
      <c r="GFO46" s="595"/>
      <c r="GFP46" s="595"/>
      <c r="GFQ46" s="595"/>
      <c r="GFR46" s="595"/>
      <c r="GFS46" s="595"/>
      <c r="GFT46" s="595"/>
      <c r="GFU46" s="595"/>
      <c r="GFV46" s="595"/>
      <c r="GFW46" s="595"/>
      <c r="GFX46" s="595"/>
      <c r="GFY46" s="595"/>
      <c r="GFZ46" s="595"/>
      <c r="GGA46" s="595"/>
      <c r="GGB46" s="595"/>
      <c r="GGC46" s="595"/>
      <c r="GGD46" s="595"/>
      <c r="GGE46" s="595"/>
      <c r="GGF46" s="595"/>
      <c r="GGG46" s="595"/>
      <c r="GGH46" s="595"/>
      <c r="GGI46" s="595"/>
      <c r="GGJ46" s="595"/>
      <c r="GGK46" s="595"/>
      <c r="GGL46" s="595"/>
      <c r="GGM46" s="595"/>
      <c r="GGN46" s="595"/>
      <c r="GGO46" s="595"/>
      <c r="GGP46" s="595"/>
      <c r="GGQ46" s="595"/>
      <c r="GGR46" s="595"/>
      <c r="GGS46" s="595"/>
      <c r="GGT46" s="595"/>
      <c r="GGU46" s="595"/>
      <c r="GGV46" s="595"/>
      <c r="GGW46" s="595"/>
      <c r="GGX46" s="595"/>
      <c r="GGY46" s="595"/>
      <c r="GGZ46" s="595"/>
      <c r="GHA46" s="595"/>
      <c r="GHB46" s="595"/>
      <c r="GHC46" s="595"/>
      <c r="GHD46" s="595"/>
      <c r="GHE46" s="595"/>
      <c r="GHF46" s="595"/>
      <c r="GHG46" s="595"/>
      <c r="GHH46" s="595"/>
      <c r="GHI46" s="595"/>
      <c r="GHJ46" s="595"/>
      <c r="GHK46" s="595"/>
      <c r="GHL46" s="595"/>
      <c r="GHM46" s="595"/>
      <c r="GHN46" s="595"/>
      <c r="GHO46" s="595"/>
      <c r="GHP46" s="595"/>
      <c r="GHQ46" s="595"/>
      <c r="GHR46" s="595"/>
      <c r="GHS46" s="595"/>
      <c r="GHT46" s="595"/>
      <c r="GHU46" s="595"/>
      <c r="GHV46" s="595"/>
      <c r="GHW46" s="595"/>
      <c r="GHX46" s="595"/>
      <c r="GHY46" s="595"/>
      <c r="GHZ46" s="595"/>
      <c r="GIA46" s="595"/>
      <c r="GIB46" s="595"/>
      <c r="GIC46" s="595"/>
      <c r="GID46" s="595"/>
      <c r="GIE46" s="595"/>
      <c r="GIF46" s="595"/>
      <c r="GIG46" s="595"/>
      <c r="GIH46" s="595"/>
      <c r="GII46" s="595"/>
      <c r="GIJ46" s="595"/>
      <c r="GIK46" s="595"/>
      <c r="GIL46" s="595"/>
      <c r="GIM46" s="595"/>
      <c r="GIN46" s="595"/>
      <c r="GIO46" s="595"/>
      <c r="GIP46" s="595"/>
      <c r="GIQ46" s="595"/>
      <c r="GIR46" s="595"/>
      <c r="GIS46" s="595"/>
      <c r="GIT46" s="595"/>
      <c r="GIU46" s="595"/>
      <c r="GIV46" s="595"/>
      <c r="GIW46" s="595"/>
      <c r="GIX46" s="595"/>
      <c r="GIY46" s="595"/>
      <c r="GIZ46" s="595"/>
      <c r="GJA46" s="595"/>
      <c r="GJB46" s="595"/>
      <c r="GJC46" s="595"/>
      <c r="GJD46" s="595"/>
      <c r="GJE46" s="595"/>
      <c r="GJF46" s="595"/>
      <c r="GJG46" s="595"/>
      <c r="GJH46" s="595"/>
      <c r="GJI46" s="595"/>
      <c r="GJJ46" s="595"/>
      <c r="GJK46" s="595"/>
      <c r="GJL46" s="595"/>
      <c r="GJM46" s="595"/>
      <c r="GJN46" s="595"/>
      <c r="GJO46" s="595"/>
      <c r="GJP46" s="595"/>
      <c r="GJQ46" s="595"/>
      <c r="GJR46" s="595"/>
      <c r="GJS46" s="595"/>
      <c r="GJT46" s="595"/>
      <c r="GJU46" s="595"/>
      <c r="GJV46" s="595"/>
      <c r="GJW46" s="595"/>
      <c r="GJX46" s="595"/>
      <c r="GJY46" s="595"/>
      <c r="GJZ46" s="595"/>
      <c r="GKA46" s="595"/>
      <c r="GKB46" s="595"/>
      <c r="GKC46" s="595"/>
      <c r="GKD46" s="595"/>
      <c r="GKE46" s="595"/>
      <c r="GKF46" s="595"/>
      <c r="GKG46" s="595"/>
      <c r="GKH46" s="595"/>
      <c r="GKI46" s="595"/>
      <c r="GKJ46" s="595"/>
      <c r="GKK46" s="595"/>
      <c r="GKL46" s="595"/>
      <c r="GKM46" s="595"/>
      <c r="GKN46" s="595"/>
      <c r="GKO46" s="595"/>
      <c r="GKP46" s="595"/>
      <c r="GKQ46" s="595"/>
      <c r="GKR46" s="595"/>
      <c r="GKS46" s="595"/>
      <c r="GKT46" s="595"/>
      <c r="GKU46" s="595"/>
      <c r="GKV46" s="595"/>
      <c r="GKW46" s="595"/>
      <c r="GKX46" s="595"/>
      <c r="GKY46" s="595"/>
      <c r="GKZ46" s="595"/>
      <c r="GLA46" s="595"/>
      <c r="GLB46" s="595"/>
      <c r="GLC46" s="595"/>
      <c r="GLD46" s="595"/>
      <c r="GLE46" s="595"/>
      <c r="GLF46" s="595"/>
      <c r="GLG46" s="595"/>
      <c r="GLH46" s="595"/>
      <c r="GLI46" s="595"/>
      <c r="GLJ46" s="595"/>
      <c r="GLK46" s="595"/>
      <c r="GLL46" s="595"/>
      <c r="GLM46" s="595"/>
      <c r="GLN46" s="595"/>
      <c r="GLO46" s="595"/>
      <c r="GLP46" s="595"/>
      <c r="GLQ46" s="595"/>
      <c r="GLR46" s="595"/>
      <c r="GLS46" s="595"/>
      <c r="GLT46" s="595"/>
      <c r="GLU46" s="595"/>
      <c r="GLV46" s="595"/>
      <c r="GLW46" s="595"/>
      <c r="GLX46" s="595"/>
      <c r="GLY46" s="595"/>
      <c r="GLZ46" s="595"/>
      <c r="GMA46" s="595"/>
      <c r="GMB46" s="595"/>
      <c r="GMC46" s="595"/>
      <c r="GMD46" s="595"/>
      <c r="GME46" s="595"/>
      <c r="GMF46" s="595"/>
      <c r="GMG46" s="595"/>
      <c r="GMH46" s="595"/>
      <c r="GMI46" s="595"/>
      <c r="GMJ46" s="595"/>
      <c r="GMK46" s="595"/>
      <c r="GML46" s="595"/>
      <c r="GMM46" s="595"/>
      <c r="GMN46" s="595"/>
      <c r="GMO46" s="595"/>
      <c r="GMP46" s="595"/>
      <c r="GMQ46" s="595"/>
      <c r="GMR46" s="595"/>
      <c r="GMS46" s="595"/>
      <c r="GMT46" s="595"/>
      <c r="GMU46" s="595"/>
      <c r="GMV46" s="595"/>
      <c r="GMW46" s="595"/>
      <c r="GMX46" s="595"/>
      <c r="GMY46" s="595"/>
      <c r="GMZ46" s="595"/>
      <c r="GNA46" s="595"/>
      <c r="GNB46" s="595"/>
      <c r="GNC46" s="595"/>
      <c r="GND46" s="595"/>
      <c r="GNE46" s="595"/>
      <c r="GNF46" s="595"/>
      <c r="GNG46" s="595"/>
      <c r="GNH46" s="595"/>
      <c r="GNI46" s="595"/>
      <c r="GNJ46" s="595"/>
      <c r="GNK46" s="595"/>
      <c r="GNL46" s="595"/>
      <c r="GNM46" s="595"/>
      <c r="GNN46" s="595"/>
      <c r="GNO46" s="595"/>
      <c r="GNP46" s="595"/>
      <c r="GNQ46" s="595"/>
      <c r="GNR46" s="595"/>
      <c r="GNS46" s="595"/>
      <c r="GNT46" s="595"/>
      <c r="GNU46" s="595"/>
      <c r="GNV46" s="595"/>
      <c r="GNW46" s="595"/>
      <c r="GNX46" s="595"/>
      <c r="GNY46" s="595"/>
      <c r="GNZ46" s="595"/>
      <c r="GOA46" s="595"/>
      <c r="GOB46" s="595"/>
      <c r="GOC46" s="595"/>
      <c r="GOD46" s="595"/>
      <c r="GOE46" s="595"/>
      <c r="GOF46" s="595"/>
      <c r="GOG46" s="595"/>
      <c r="GOH46" s="595"/>
      <c r="GOI46" s="595"/>
      <c r="GOJ46" s="595"/>
      <c r="GOK46" s="595"/>
      <c r="GOL46" s="595"/>
      <c r="GOM46" s="595"/>
      <c r="GON46" s="595"/>
      <c r="GOO46" s="595"/>
      <c r="GOP46" s="595"/>
      <c r="GOQ46" s="595"/>
      <c r="GOR46" s="595"/>
      <c r="GOS46" s="595"/>
      <c r="GOT46" s="595"/>
      <c r="GOU46" s="595"/>
      <c r="GOV46" s="595"/>
      <c r="GOW46" s="595"/>
      <c r="GOX46" s="595"/>
      <c r="GOY46" s="595"/>
      <c r="GOZ46" s="595"/>
      <c r="GPA46" s="595"/>
      <c r="GPB46" s="595"/>
      <c r="GPC46" s="595"/>
      <c r="GPD46" s="595"/>
      <c r="GPE46" s="595"/>
      <c r="GPF46" s="595"/>
      <c r="GPG46" s="595"/>
      <c r="GPH46" s="595"/>
      <c r="GPI46" s="595"/>
      <c r="GPJ46" s="595"/>
      <c r="GPK46" s="595"/>
      <c r="GPL46" s="595"/>
      <c r="GPM46" s="595"/>
      <c r="GPN46" s="595"/>
      <c r="GPO46" s="595"/>
      <c r="GPP46" s="595"/>
      <c r="GPQ46" s="595"/>
      <c r="GPR46" s="595"/>
      <c r="GPS46" s="595"/>
      <c r="GPT46" s="595"/>
      <c r="GPU46" s="595"/>
      <c r="GPV46" s="595"/>
      <c r="GPW46" s="595"/>
      <c r="GPX46" s="595"/>
      <c r="GPY46" s="595"/>
      <c r="GPZ46" s="595"/>
      <c r="GQA46" s="595"/>
      <c r="GQB46" s="595"/>
      <c r="GQC46" s="595"/>
      <c r="GQD46" s="595"/>
      <c r="GQE46" s="595"/>
      <c r="GQF46" s="595"/>
      <c r="GQG46" s="595"/>
      <c r="GQH46" s="595"/>
      <c r="GQI46" s="595"/>
      <c r="GQJ46" s="595"/>
      <c r="GQK46" s="595"/>
      <c r="GQL46" s="595"/>
      <c r="GQM46" s="595"/>
      <c r="GQN46" s="595"/>
      <c r="GQO46" s="595"/>
      <c r="GQP46" s="595"/>
      <c r="GQQ46" s="595"/>
      <c r="GQR46" s="595"/>
      <c r="GQS46" s="595"/>
      <c r="GQT46" s="595"/>
      <c r="GQU46" s="595"/>
      <c r="GQV46" s="595"/>
      <c r="GQW46" s="595"/>
      <c r="GQX46" s="595"/>
      <c r="GQY46" s="595"/>
      <c r="GQZ46" s="595"/>
      <c r="GRA46" s="595"/>
      <c r="GRB46" s="595"/>
      <c r="GRC46" s="595"/>
      <c r="GRD46" s="595"/>
      <c r="GRE46" s="595"/>
      <c r="GRF46" s="595"/>
      <c r="GRG46" s="595"/>
      <c r="GRH46" s="595"/>
      <c r="GRI46" s="595"/>
      <c r="GRJ46" s="595"/>
      <c r="GRK46" s="595"/>
      <c r="GRL46" s="595"/>
      <c r="GRM46" s="595"/>
      <c r="GRN46" s="595"/>
      <c r="GRO46" s="595"/>
      <c r="GRP46" s="595"/>
      <c r="GRQ46" s="595"/>
      <c r="GRR46" s="595"/>
      <c r="GRS46" s="595"/>
      <c r="GRT46" s="595"/>
      <c r="GRU46" s="595"/>
      <c r="GRV46" s="595"/>
      <c r="GRW46" s="595"/>
      <c r="GRX46" s="595"/>
      <c r="GRY46" s="595"/>
      <c r="GRZ46" s="595"/>
      <c r="GSA46" s="595"/>
      <c r="GSB46" s="595"/>
      <c r="GSC46" s="595"/>
      <c r="GSD46" s="595"/>
      <c r="GSE46" s="595"/>
      <c r="GSF46" s="595"/>
      <c r="GSG46" s="595"/>
      <c r="GSH46" s="595"/>
      <c r="GSI46" s="595"/>
      <c r="GSJ46" s="595"/>
      <c r="GSK46" s="595"/>
      <c r="GSL46" s="595"/>
      <c r="GSM46" s="595"/>
      <c r="GSN46" s="595"/>
      <c r="GSO46" s="595"/>
      <c r="GSP46" s="595"/>
      <c r="GSQ46" s="595"/>
      <c r="GSR46" s="595"/>
      <c r="GSS46" s="595"/>
      <c r="GST46" s="595"/>
      <c r="GSU46" s="595"/>
      <c r="GSV46" s="595"/>
      <c r="GSW46" s="595"/>
      <c r="GSX46" s="595"/>
      <c r="GSY46" s="595"/>
      <c r="GSZ46" s="595"/>
      <c r="GTA46" s="595"/>
      <c r="GTB46" s="595"/>
      <c r="GTC46" s="595"/>
      <c r="GTD46" s="595"/>
      <c r="GTE46" s="595"/>
      <c r="GTF46" s="595"/>
      <c r="GTG46" s="595"/>
      <c r="GTH46" s="595"/>
      <c r="GTI46" s="595"/>
      <c r="GTJ46" s="595"/>
      <c r="GTK46" s="595"/>
      <c r="GTL46" s="595"/>
      <c r="GTM46" s="595"/>
      <c r="GTN46" s="595"/>
      <c r="GTO46" s="595"/>
      <c r="GTP46" s="595"/>
      <c r="GTQ46" s="595"/>
      <c r="GTR46" s="595"/>
      <c r="GTS46" s="595"/>
      <c r="GTT46" s="595"/>
      <c r="GTU46" s="595"/>
      <c r="GTV46" s="595"/>
      <c r="GTW46" s="595"/>
      <c r="GTX46" s="595"/>
      <c r="GTY46" s="595"/>
      <c r="GTZ46" s="595"/>
      <c r="GUA46" s="595"/>
      <c r="GUB46" s="595"/>
      <c r="GUC46" s="595"/>
      <c r="GUD46" s="595"/>
      <c r="GUE46" s="595"/>
      <c r="GUF46" s="595"/>
      <c r="GUG46" s="595"/>
      <c r="GUH46" s="595"/>
      <c r="GUI46" s="595"/>
      <c r="GUJ46" s="595"/>
      <c r="GUK46" s="595"/>
      <c r="GUL46" s="595"/>
      <c r="GUM46" s="595"/>
      <c r="GUN46" s="595"/>
      <c r="GUO46" s="595"/>
      <c r="GUP46" s="595"/>
      <c r="GUQ46" s="595"/>
      <c r="GUR46" s="595"/>
      <c r="GUS46" s="595"/>
      <c r="GUT46" s="595"/>
      <c r="GUU46" s="595"/>
      <c r="GUV46" s="595"/>
      <c r="GUW46" s="595"/>
      <c r="GUX46" s="595"/>
      <c r="GUY46" s="595"/>
      <c r="GUZ46" s="595"/>
      <c r="GVA46" s="595"/>
      <c r="GVB46" s="595"/>
      <c r="GVC46" s="595"/>
      <c r="GVD46" s="595"/>
      <c r="GVE46" s="595"/>
      <c r="GVF46" s="595"/>
      <c r="GVG46" s="595"/>
      <c r="GVH46" s="595"/>
      <c r="GVI46" s="595"/>
      <c r="GVJ46" s="595"/>
      <c r="GVK46" s="595"/>
      <c r="GVL46" s="595"/>
      <c r="GVM46" s="595"/>
      <c r="GVN46" s="595"/>
      <c r="GVO46" s="595"/>
      <c r="GVP46" s="595"/>
      <c r="GVQ46" s="595"/>
      <c r="GVR46" s="595"/>
      <c r="GVS46" s="595"/>
      <c r="GVT46" s="595"/>
      <c r="GVU46" s="595"/>
      <c r="GVV46" s="595"/>
      <c r="GVW46" s="595"/>
      <c r="GVX46" s="595"/>
      <c r="GVY46" s="595"/>
      <c r="GVZ46" s="595"/>
      <c r="GWA46" s="595"/>
      <c r="GWB46" s="595"/>
      <c r="GWC46" s="595"/>
      <c r="GWD46" s="595"/>
      <c r="GWE46" s="595"/>
      <c r="GWF46" s="595"/>
      <c r="GWG46" s="595"/>
      <c r="GWH46" s="595"/>
      <c r="GWI46" s="595"/>
      <c r="GWJ46" s="595"/>
      <c r="GWK46" s="595"/>
      <c r="GWL46" s="595"/>
      <c r="GWM46" s="595"/>
      <c r="GWN46" s="595"/>
      <c r="GWO46" s="595"/>
      <c r="GWP46" s="595"/>
      <c r="GWQ46" s="595"/>
      <c r="GWR46" s="595"/>
      <c r="GWS46" s="595"/>
      <c r="GWT46" s="595"/>
      <c r="GWU46" s="595"/>
      <c r="GWV46" s="595"/>
      <c r="GWW46" s="595"/>
      <c r="GWX46" s="595"/>
      <c r="GWY46" s="595"/>
      <c r="GWZ46" s="595"/>
      <c r="GXA46" s="595"/>
      <c r="GXB46" s="595"/>
      <c r="GXC46" s="595"/>
      <c r="GXD46" s="595"/>
      <c r="GXE46" s="595"/>
      <c r="GXF46" s="595"/>
      <c r="GXG46" s="595"/>
      <c r="GXH46" s="595"/>
      <c r="GXI46" s="595"/>
      <c r="GXJ46" s="595"/>
      <c r="GXK46" s="595"/>
      <c r="GXL46" s="595"/>
      <c r="GXM46" s="595"/>
      <c r="GXN46" s="595"/>
      <c r="GXO46" s="595"/>
      <c r="GXP46" s="595"/>
      <c r="GXQ46" s="595"/>
      <c r="GXR46" s="595"/>
      <c r="GXS46" s="595"/>
      <c r="GXT46" s="595"/>
      <c r="GXU46" s="595"/>
      <c r="GXV46" s="595"/>
      <c r="GXW46" s="595"/>
      <c r="GXX46" s="595"/>
      <c r="GXY46" s="595"/>
      <c r="GXZ46" s="595"/>
      <c r="GYA46" s="595"/>
      <c r="GYB46" s="595"/>
      <c r="GYC46" s="595"/>
      <c r="GYD46" s="595"/>
      <c r="GYE46" s="595"/>
      <c r="GYF46" s="595"/>
      <c r="GYG46" s="595"/>
      <c r="GYH46" s="595"/>
      <c r="GYI46" s="595"/>
      <c r="GYJ46" s="595"/>
      <c r="GYK46" s="595"/>
      <c r="GYL46" s="595"/>
      <c r="GYM46" s="595"/>
      <c r="GYN46" s="595"/>
      <c r="GYO46" s="595"/>
      <c r="GYP46" s="595"/>
      <c r="GYQ46" s="595"/>
      <c r="GYR46" s="595"/>
      <c r="GYS46" s="595"/>
      <c r="GYT46" s="595"/>
      <c r="GYU46" s="595"/>
      <c r="GYV46" s="595"/>
      <c r="GYW46" s="595"/>
      <c r="GYX46" s="595"/>
      <c r="GYY46" s="595"/>
      <c r="GYZ46" s="595"/>
      <c r="GZA46" s="595"/>
      <c r="GZB46" s="595"/>
      <c r="GZC46" s="595"/>
      <c r="GZD46" s="595"/>
      <c r="GZE46" s="595"/>
      <c r="GZF46" s="595"/>
      <c r="GZG46" s="595"/>
      <c r="GZH46" s="595"/>
      <c r="GZI46" s="595"/>
      <c r="GZJ46" s="595"/>
      <c r="GZK46" s="595"/>
      <c r="GZL46" s="595"/>
      <c r="GZM46" s="595"/>
      <c r="GZN46" s="595"/>
      <c r="GZO46" s="595"/>
      <c r="GZP46" s="595"/>
      <c r="GZQ46" s="595"/>
      <c r="GZR46" s="595"/>
      <c r="GZS46" s="595"/>
      <c r="GZT46" s="595"/>
      <c r="GZU46" s="595"/>
      <c r="GZV46" s="595"/>
      <c r="GZW46" s="595"/>
      <c r="GZX46" s="595"/>
      <c r="GZY46" s="595"/>
      <c r="GZZ46" s="595"/>
      <c r="HAA46" s="595"/>
      <c r="HAB46" s="595"/>
      <c r="HAC46" s="595"/>
      <c r="HAD46" s="595"/>
      <c r="HAE46" s="595"/>
      <c r="HAF46" s="595"/>
      <c r="HAG46" s="595"/>
      <c r="HAH46" s="595"/>
      <c r="HAI46" s="595"/>
      <c r="HAJ46" s="595"/>
      <c r="HAK46" s="595"/>
      <c r="HAL46" s="595"/>
      <c r="HAM46" s="595"/>
      <c r="HAN46" s="595"/>
      <c r="HAO46" s="595"/>
      <c r="HAP46" s="595"/>
      <c r="HAQ46" s="595"/>
      <c r="HAR46" s="595"/>
      <c r="HAS46" s="595"/>
      <c r="HAT46" s="595"/>
      <c r="HAU46" s="595"/>
      <c r="HAV46" s="595"/>
      <c r="HAW46" s="595"/>
      <c r="HAX46" s="595"/>
      <c r="HAY46" s="595"/>
      <c r="HAZ46" s="595"/>
      <c r="HBA46" s="595"/>
      <c r="HBB46" s="595"/>
      <c r="HBC46" s="595"/>
      <c r="HBD46" s="595"/>
      <c r="HBE46" s="595"/>
      <c r="HBF46" s="595"/>
      <c r="HBG46" s="595"/>
      <c r="HBH46" s="595"/>
      <c r="HBI46" s="595"/>
      <c r="HBJ46" s="595"/>
      <c r="HBK46" s="595"/>
      <c r="HBL46" s="595"/>
      <c r="HBM46" s="595"/>
      <c r="HBN46" s="595"/>
      <c r="HBO46" s="595"/>
      <c r="HBP46" s="595"/>
      <c r="HBQ46" s="595"/>
      <c r="HBR46" s="595"/>
      <c r="HBS46" s="595"/>
      <c r="HBT46" s="595"/>
      <c r="HBU46" s="595"/>
      <c r="HBV46" s="595"/>
      <c r="HBW46" s="595"/>
      <c r="HBX46" s="595"/>
      <c r="HBY46" s="595"/>
      <c r="HBZ46" s="595"/>
      <c r="HCA46" s="595"/>
      <c r="HCB46" s="595"/>
      <c r="HCC46" s="595"/>
      <c r="HCD46" s="595"/>
      <c r="HCE46" s="595"/>
      <c r="HCF46" s="595"/>
      <c r="HCG46" s="595"/>
      <c r="HCH46" s="595"/>
      <c r="HCI46" s="595"/>
      <c r="HCJ46" s="595"/>
      <c r="HCK46" s="595"/>
      <c r="HCL46" s="595"/>
      <c r="HCM46" s="595"/>
      <c r="HCN46" s="595"/>
      <c r="HCO46" s="595"/>
      <c r="HCP46" s="595"/>
      <c r="HCQ46" s="595"/>
      <c r="HCR46" s="595"/>
      <c r="HCS46" s="595"/>
      <c r="HCT46" s="595"/>
      <c r="HCU46" s="595"/>
      <c r="HCV46" s="595"/>
      <c r="HCW46" s="595"/>
      <c r="HCX46" s="595"/>
      <c r="HCY46" s="595"/>
      <c r="HCZ46" s="595"/>
      <c r="HDA46" s="595"/>
      <c r="HDB46" s="595"/>
      <c r="HDC46" s="595"/>
      <c r="HDD46" s="595"/>
      <c r="HDE46" s="595"/>
      <c r="HDF46" s="595"/>
      <c r="HDG46" s="595"/>
      <c r="HDH46" s="595"/>
      <c r="HDI46" s="595"/>
      <c r="HDJ46" s="595"/>
      <c r="HDK46" s="595"/>
      <c r="HDL46" s="595"/>
      <c r="HDM46" s="595"/>
      <c r="HDN46" s="595"/>
      <c r="HDO46" s="595"/>
      <c r="HDP46" s="595"/>
      <c r="HDQ46" s="595"/>
      <c r="HDR46" s="595"/>
      <c r="HDS46" s="595"/>
      <c r="HDT46" s="595"/>
      <c r="HDU46" s="595"/>
      <c r="HDV46" s="595"/>
      <c r="HDW46" s="595"/>
      <c r="HDX46" s="595"/>
      <c r="HDY46" s="595"/>
      <c r="HDZ46" s="595"/>
      <c r="HEA46" s="595"/>
      <c r="HEB46" s="595"/>
      <c r="HEC46" s="595"/>
      <c r="HED46" s="595"/>
      <c r="HEE46" s="595"/>
      <c r="HEF46" s="595"/>
      <c r="HEG46" s="595"/>
      <c r="HEH46" s="595"/>
      <c r="HEI46" s="595"/>
      <c r="HEJ46" s="595"/>
      <c r="HEK46" s="595"/>
      <c r="HEL46" s="595"/>
      <c r="HEM46" s="595"/>
      <c r="HEN46" s="595"/>
      <c r="HEO46" s="595"/>
      <c r="HEP46" s="595"/>
      <c r="HEQ46" s="595"/>
      <c r="HER46" s="595"/>
      <c r="HES46" s="595"/>
      <c r="HET46" s="595"/>
      <c r="HEU46" s="595"/>
      <c r="HEV46" s="595"/>
      <c r="HEW46" s="595"/>
      <c r="HEX46" s="595"/>
      <c r="HEY46" s="595"/>
      <c r="HEZ46" s="595"/>
      <c r="HFA46" s="595"/>
      <c r="HFB46" s="595"/>
      <c r="HFC46" s="595"/>
      <c r="HFD46" s="595"/>
      <c r="HFE46" s="595"/>
      <c r="HFF46" s="595"/>
      <c r="HFG46" s="595"/>
      <c r="HFH46" s="595"/>
      <c r="HFI46" s="595"/>
      <c r="HFJ46" s="595"/>
      <c r="HFK46" s="595"/>
      <c r="HFL46" s="595"/>
      <c r="HFM46" s="595"/>
      <c r="HFN46" s="595"/>
      <c r="HFO46" s="595"/>
      <c r="HFP46" s="595"/>
      <c r="HFQ46" s="595"/>
      <c r="HFR46" s="595"/>
      <c r="HFS46" s="595"/>
      <c r="HFT46" s="595"/>
      <c r="HFU46" s="595"/>
      <c r="HFV46" s="595"/>
      <c r="HFW46" s="595"/>
      <c r="HFX46" s="595"/>
      <c r="HFY46" s="595"/>
      <c r="HFZ46" s="595"/>
      <c r="HGA46" s="595"/>
      <c r="HGB46" s="595"/>
      <c r="HGC46" s="595"/>
      <c r="HGD46" s="595"/>
      <c r="HGE46" s="595"/>
      <c r="HGF46" s="595"/>
      <c r="HGG46" s="595"/>
      <c r="HGH46" s="595"/>
      <c r="HGI46" s="595"/>
      <c r="HGJ46" s="595"/>
      <c r="HGK46" s="595"/>
      <c r="HGL46" s="595"/>
      <c r="HGM46" s="595"/>
      <c r="HGN46" s="595"/>
      <c r="HGO46" s="595"/>
      <c r="HGP46" s="595"/>
      <c r="HGQ46" s="595"/>
      <c r="HGR46" s="595"/>
      <c r="HGS46" s="595"/>
      <c r="HGT46" s="595"/>
      <c r="HGU46" s="595"/>
      <c r="HGV46" s="595"/>
      <c r="HGW46" s="595"/>
      <c r="HGX46" s="595"/>
      <c r="HGY46" s="595"/>
      <c r="HGZ46" s="595"/>
      <c r="HHA46" s="595"/>
      <c r="HHB46" s="595"/>
      <c r="HHC46" s="595"/>
      <c r="HHD46" s="595"/>
      <c r="HHE46" s="595"/>
      <c r="HHF46" s="595"/>
      <c r="HHG46" s="595"/>
      <c r="HHH46" s="595"/>
      <c r="HHI46" s="595"/>
      <c r="HHJ46" s="595"/>
      <c r="HHK46" s="595"/>
      <c r="HHL46" s="595"/>
      <c r="HHM46" s="595"/>
      <c r="HHN46" s="595"/>
      <c r="HHO46" s="595"/>
      <c r="HHP46" s="595"/>
      <c r="HHQ46" s="595"/>
      <c r="HHR46" s="595"/>
      <c r="HHS46" s="595"/>
      <c r="HHT46" s="595"/>
      <c r="HHU46" s="595"/>
      <c r="HHV46" s="595"/>
      <c r="HHW46" s="595"/>
      <c r="HHX46" s="595"/>
      <c r="HHY46" s="595"/>
      <c r="HHZ46" s="595"/>
      <c r="HIA46" s="595"/>
      <c r="HIB46" s="595"/>
      <c r="HIC46" s="595"/>
      <c r="HID46" s="595"/>
      <c r="HIE46" s="595"/>
      <c r="HIF46" s="595"/>
      <c r="HIG46" s="595"/>
      <c r="HIH46" s="595"/>
      <c r="HII46" s="595"/>
      <c r="HIJ46" s="595"/>
      <c r="HIK46" s="595"/>
      <c r="HIL46" s="595"/>
      <c r="HIM46" s="595"/>
      <c r="HIN46" s="595"/>
      <c r="HIO46" s="595"/>
      <c r="HIP46" s="595"/>
      <c r="HIQ46" s="595"/>
      <c r="HIR46" s="595"/>
      <c r="HIS46" s="595"/>
      <c r="HIT46" s="595"/>
      <c r="HIU46" s="595"/>
      <c r="HIV46" s="595"/>
      <c r="HIW46" s="595"/>
      <c r="HIX46" s="595"/>
      <c r="HIY46" s="595"/>
      <c r="HIZ46" s="595"/>
      <c r="HJA46" s="595"/>
      <c r="HJB46" s="595"/>
      <c r="HJC46" s="595"/>
      <c r="HJD46" s="595"/>
      <c r="HJE46" s="595"/>
      <c r="HJF46" s="595"/>
      <c r="HJG46" s="595"/>
      <c r="HJH46" s="595"/>
      <c r="HJI46" s="595"/>
      <c r="HJJ46" s="595"/>
      <c r="HJK46" s="595"/>
      <c r="HJL46" s="595"/>
      <c r="HJM46" s="595"/>
      <c r="HJN46" s="595"/>
      <c r="HJO46" s="595"/>
      <c r="HJP46" s="595"/>
      <c r="HJQ46" s="595"/>
      <c r="HJR46" s="595"/>
      <c r="HJS46" s="595"/>
      <c r="HJT46" s="595"/>
      <c r="HJU46" s="595"/>
      <c r="HJV46" s="595"/>
      <c r="HJW46" s="595"/>
      <c r="HJX46" s="595"/>
      <c r="HJY46" s="595"/>
      <c r="HJZ46" s="595"/>
      <c r="HKA46" s="595"/>
      <c r="HKB46" s="595"/>
      <c r="HKC46" s="595"/>
      <c r="HKD46" s="595"/>
      <c r="HKE46" s="595"/>
      <c r="HKF46" s="595"/>
      <c r="HKG46" s="595"/>
      <c r="HKH46" s="595"/>
      <c r="HKI46" s="595"/>
      <c r="HKJ46" s="595"/>
      <c r="HKK46" s="595"/>
      <c r="HKL46" s="595"/>
      <c r="HKM46" s="595"/>
      <c r="HKN46" s="595"/>
      <c r="HKO46" s="595"/>
      <c r="HKP46" s="595"/>
      <c r="HKQ46" s="595"/>
      <c r="HKR46" s="595"/>
      <c r="HKS46" s="595"/>
      <c r="HKT46" s="595"/>
      <c r="HKU46" s="595"/>
      <c r="HKV46" s="595"/>
      <c r="HKW46" s="595"/>
      <c r="HKX46" s="595"/>
      <c r="HKY46" s="595"/>
      <c r="HKZ46" s="595"/>
      <c r="HLA46" s="595"/>
      <c r="HLB46" s="595"/>
      <c r="HLC46" s="595"/>
      <c r="HLD46" s="595"/>
      <c r="HLE46" s="595"/>
      <c r="HLF46" s="595"/>
      <c r="HLG46" s="595"/>
      <c r="HLH46" s="595"/>
      <c r="HLI46" s="595"/>
      <c r="HLJ46" s="595"/>
      <c r="HLK46" s="595"/>
      <c r="HLL46" s="595"/>
      <c r="HLM46" s="595"/>
      <c r="HLN46" s="595"/>
      <c r="HLO46" s="595"/>
      <c r="HLP46" s="595"/>
      <c r="HLQ46" s="595"/>
      <c r="HLR46" s="595"/>
      <c r="HLS46" s="595"/>
      <c r="HLT46" s="595"/>
      <c r="HLU46" s="595"/>
      <c r="HLV46" s="595"/>
      <c r="HLW46" s="595"/>
      <c r="HLX46" s="595"/>
      <c r="HLY46" s="595"/>
      <c r="HLZ46" s="595"/>
      <c r="HMA46" s="595"/>
      <c r="HMB46" s="595"/>
      <c r="HMC46" s="595"/>
      <c r="HMD46" s="595"/>
      <c r="HME46" s="595"/>
      <c r="HMF46" s="595"/>
      <c r="HMG46" s="595"/>
      <c r="HMH46" s="595"/>
      <c r="HMI46" s="595"/>
      <c r="HMJ46" s="595"/>
      <c r="HMK46" s="595"/>
      <c r="HML46" s="595"/>
      <c r="HMM46" s="595"/>
      <c r="HMN46" s="595"/>
      <c r="HMO46" s="595"/>
      <c r="HMP46" s="595"/>
      <c r="HMQ46" s="595"/>
      <c r="HMR46" s="595"/>
      <c r="HMS46" s="595"/>
      <c r="HMT46" s="595"/>
      <c r="HMU46" s="595"/>
      <c r="HMV46" s="595"/>
      <c r="HMW46" s="595"/>
      <c r="HMX46" s="595"/>
      <c r="HMY46" s="595"/>
      <c r="HMZ46" s="595"/>
      <c r="HNA46" s="595"/>
      <c r="HNB46" s="595"/>
      <c r="HNC46" s="595"/>
      <c r="HND46" s="595"/>
      <c r="HNE46" s="595"/>
      <c r="HNF46" s="595"/>
      <c r="HNG46" s="595"/>
      <c r="HNH46" s="595"/>
      <c r="HNI46" s="595"/>
      <c r="HNJ46" s="595"/>
      <c r="HNK46" s="595"/>
      <c r="HNL46" s="595"/>
      <c r="HNM46" s="595"/>
      <c r="HNN46" s="595"/>
      <c r="HNO46" s="595"/>
      <c r="HNP46" s="595"/>
      <c r="HNQ46" s="595"/>
      <c r="HNR46" s="595"/>
      <c r="HNS46" s="595"/>
      <c r="HNT46" s="595"/>
      <c r="HNU46" s="595"/>
      <c r="HNV46" s="595"/>
      <c r="HNW46" s="595"/>
      <c r="HNX46" s="595"/>
      <c r="HNY46" s="595"/>
      <c r="HNZ46" s="595"/>
      <c r="HOA46" s="595"/>
      <c r="HOB46" s="595"/>
      <c r="HOC46" s="595"/>
      <c r="HOD46" s="595"/>
      <c r="HOE46" s="595"/>
      <c r="HOF46" s="595"/>
      <c r="HOG46" s="595"/>
      <c r="HOH46" s="595"/>
      <c r="HOI46" s="595"/>
      <c r="HOJ46" s="595"/>
      <c r="HOK46" s="595"/>
      <c r="HOL46" s="595"/>
      <c r="HOM46" s="595"/>
      <c r="HON46" s="595"/>
      <c r="HOO46" s="595"/>
      <c r="HOP46" s="595"/>
      <c r="HOQ46" s="595"/>
      <c r="HOR46" s="595"/>
      <c r="HOS46" s="595"/>
      <c r="HOT46" s="595"/>
      <c r="HOU46" s="595"/>
      <c r="HOV46" s="595"/>
      <c r="HOW46" s="595"/>
      <c r="HOX46" s="595"/>
      <c r="HOY46" s="595"/>
      <c r="HOZ46" s="595"/>
      <c r="HPA46" s="595"/>
      <c r="HPB46" s="595"/>
      <c r="HPC46" s="595"/>
      <c r="HPD46" s="595"/>
      <c r="HPE46" s="595"/>
      <c r="HPF46" s="595"/>
      <c r="HPG46" s="595"/>
      <c r="HPH46" s="595"/>
      <c r="HPI46" s="595"/>
      <c r="HPJ46" s="595"/>
      <c r="HPK46" s="595"/>
      <c r="HPL46" s="595"/>
      <c r="HPM46" s="595"/>
      <c r="HPN46" s="595"/>
      <c r="HPO46" s="595"/>
      <c r="HPP46" s="595"/>
      <c r="HPQ46" s="595"/>
      <c r="HPR46" s="595"/>
      <c r="HPS46" s="595"/>
      <c r="HPT46" s="595"/>
      <c r="HPU46" s="595"/>
      <c r="HPV46" s="595"/>
      <c r="HPW46" s="595"/>
      <c r="HPX46" s="595"/>
      <c r="HPY46" s="595"/>
      <c r="HPZ46" s="595"/>
      <c r="HQA46" s="595"/>
      <c r="HQB46" s="595"/>
      <c r="HQC46" s="595"/>
      <c r="HQD46" s="595"/>
      <c r="HQE46" s="595"/>
      <c r="HQF46" s="595"/>
      <c r="HQG46" s="595"/>
      <c r="HQH46" s="595"/>
      <c r="HQI46" s="595"/>
      <c r="HQJ46" s="595"/>
      <c r="HQK46" s="595"/>
      <c r="HQL46" s="595"/>
      <c r="HQM46" s="595"/>
      <c r="HQN46" s="595"/>
      <c r="HQO46" s="595"/>
      <c r="HQP46" s="595"/>
      <c r="HQQ46" s="595"/>
      <c r="HQR46" s="595"/>
      <c r="HQS46" s="595"/>
      <c r="HQT46" s="595"/>
      <c r="HQU46" s="595"/>
      <c r="HQV46" s="595"/>
      <c r="HQW46" s="595"/>
      <c r="HQX46" s="595"/>
      <c r="HQY46" s="595"/>
      <c r="HQZ46" s="595"/>
      <c r="HRA46" s="595"/>
      <c r="HRB46" s="595"/>
      <c r="HRC46" s="595"/>
      <c r="HRD46" s="595"/>
      <c r="HRE46" s="595"/>
      <c r="HRF46" s="595"/>
      <c r="HRG46" s="595"/>
      <c r="HRH46" s="595"/>
      <c r="HRI46" s="595"/>
      <c r="HRJ46" s="595"/>
      <c r="HRK46" s="595"/>
      <c r="HRL46" s="595"/>
      <c r="HRM46" s="595"/>
      <c r="HRN46" s="595"/>
      <c r="HRO46" s="595"/>
      <c r="HRP46" s="595"/>
      <c r="HRQ46" s="595"/>
      <c r="HRR46" s="595"/>
      <c r="HRS46" s="595"/>
      <c r="HRT46" s="595"/>
      <c r="HRU46" s="595"/>
      <c r="HRV46" s="595"/>
      <c r="HRW46" s="595"/>
      <c r="HRX46" s="595"/>
      <c r="HRY46" s="595"/>
      <c r="HRZ46" s="595"/>
      <c r="HSA46" s="595"/>
      <c r="HSB46" s="595"/>
      <c r="HSC46" s="595"/>
      <c r="HSD46" s="595"/>
      <c r="HSE46" s="595"/>
      <c r="HSF46" s="595"/>
      <c r="HSG46" s="595"/>
      <c r="HSH46" s="595"/>
      <c r="HSI46" s="595"/>
      <c r="HSJ46" s="595"/>
      <c r="HSK46" s="595"/>
      <c r="HSL46" s="595"/>
      <c r="HSM46" s="595"/>
      <c r="HSN46" s="595"/>
      <c r="HSO46" s="595"/>
      <c r="HSP46" s="595"/>
      <c r="HSQ46" s="595"/>
      <c r="HSR46" s="595"/>
      <c r="HSS46" s="595"/>
      <c r="HST46" s="595"/>
      <c r="HSU46" s="595"/>
      <c r="HSV46" s="595"/>
      <c r="HSW46" s="595"/>
      <c r="HSX46" s="595"/>
      <c r="HSY46" s="595"/>
      <c r="HSZ46" s="595"/>
      <c r="HTA46" s="595"/>
      <c r="HTB46" s="595"/>
      <c r="HTC46" s="595"/>
      <c r="HTD46" s="595"/>
      <c r="HTE46" s="595"/>
      <c r="HTF46" s="595"/>
      <c r="HTG46" s="595"/>
      <c r="HTH46" s="595"/>
      <c r="HTI46" s="595"/>
      <c r="HTJ46" s="595"/>
      <c r="HTK46" s="595"/>
      <c r="HTL46" s="595"/>
      <c r="HTM46" s="595"/>
      <c r="HTN46" s="595"/>
      <c r="HTO46" s="595"/>
      <c r="HTP46" s="595"/>
      <c r="HTQ46" s="595"/>
      <c r="HTR46" s="595"/>
      <c r="HTS46" s="595"/>
      <c r="HTT46" s="595"/>
      <c r="HTU46" s="595"/>
      <c r="HTV46" s="595"/>
      <c r="HTW46" s="595"/>
      <c r="HTX46" s="595"/>
      <c r="HTY46" s="595"/>
      <c r="HTZ46" s="595"/>
      <c r="HUA46" s="595"/>
      <c r="HUB46" s="595"/>
      <c r="HUC46" s="595"/>
      <c r="HUD46" s="595"/>
      <c r="HUE46" s="595"/>
      <c r="HUF46" s="595"/>
      <c r="HUG46" s="595"/>
      <c r="HUH46" s="595"/>
      <c r="HUI46" s="595"/>
      <c r="HUJ46" s="595"/>
      <c r="HUK46" s="595"/>
      <c r="HUL46" s="595"/>
      <c r="HUM46" s="595"/>
      <c r="HUN46" s="595"/>
      <c r="HUO46" s="595"/>
      <c r="HUP46" s="595"/>
      <c r="HUQ46" s="595"/>
      <c r="HUR46" s="595"/>
      <c r="HUS46" s="595"/>
      <c r="HUT46" s="595"/>
      <c r="HUU46" s="595"/>
      <c r="HUV46" s="595"/>
      <c r="HUW46" s="595"/>
      <c r="HUX46" s="595"/>
      <c r="HUY46" s="595"/>
      <c r="HUZ46" s="595"/>
      <c r="HVA46" s="595"/>
      <c r="HVB46" s="595"/>
      <c r="HVC46" s="595"/>
      <c r="HVD46" s="595"/>
      <c r="HVE46" s="595"/>
      <c r="HVF46" s="595"/>
      <c r="HVG46" s="595"/>
      <c r="HVH46" s="595"/>
      <c r="HVI46" s="595"/>
      <c r="HVJ46" s="595"/>
      <c r="HVK46" s="595"/>
      <c r="HVL46" s="595"/>
      <c r="HVM46" s="595"/>
      <c r="HVN46" s="595"/>
      <c r="HVO46" s="595"/>
      <c r="HVP46" s="595"/>
      <c r="HVQ46" s="595"/>
      <c r="HVR46" s="595"/>
      <c r="HVS46" s="595"/>
      <c r="HVT46" s="595"/>
      <c r="HVU46" s="595"/>
      <c r="HVV46" s="595"/>
      <c r="HVW46" s="595"/>
      <c r="HVX46" s="595"/>
      <c r="HVY46" s="595"/>
      <c r="HVZ46" s="595"/>
      <c r="HWA46" s="595"/>
      <c r="HWB46" s="595"/>
      <c r="HWC46" s="595"/>
      <c r="HWD46" s="595"/>
      <c r="HWE46" s="595"/>
      <c r="HWF46" s="595"/>
      <c r="HWG46" s="595"/>
      <c r="HWH46" s="595"/>
      <c r="HWI46" s="595"/>
      <c r="HWJ46" s="595"/>
      <c r="HWK46" s="595"/>
      <c r="HWL46" s="595"/>
      <c r="HWM46" s="595"/>
      <c r="HWN46" s="595"/>
      <c r="HWO46" s="595"/>
      <c r="HWP46" s="595"/>
      <c r="HWQ46" s="595"/>
      <c r="HWR46" s="595"/>
      <c r="HWS46" s="595"/>
      <c r="HWT46" s="595"/>
      <c r="HWU46" s="595"/>
      <c r="HWV46" s="595"/>
      <c r="HWW46" s="595"/>
      <c r="HWX46" s="595"/>
      <c r="HWY46" s="595"/>
      <c r="HWZ46" s="595"/>
      <c r="HXA46" s="595"/>
      <c r="HXB46" s="595"/>
      <c r="HXC46" s="595"/>
      <c r="HXD46" s="595"/>
      <c r="HXE46" s="595"/>
      <c r="HXF46" s="595"/>
      <c r="HXG46" s="595"/>
      <c r="HXH46" s="595"/>
      <c r="HXI46" s="595"/>
      <c r="HXJ46" s="595"/>
      <c r="HXK46" s="595"/>
      <c r="HXL46" s="595"/>
      <c r="HXM46" s="595"/>
      <c r="HXN46" s="595"/>
      <c r="HXO46" s="595"/>
      <c r="HXP46" s="595"/>
      <c r="HXQ46" s="595"/>
      <c r="HXR46" s="595"/>
      <c r="HXS46" s="595"/>
      <c r="HXT46" s="595"/>
      <c r="HXU46" s="595"/>
      <c r="HXV46" s="595"/>
      <c r="HXW46" s="595"/>
      <c r="HXX46" s="595"/>
      <c r="HXY46" s="595"/>
      <c r="HXZ46" s="595"/>
      <c r="HYA46" s="595"/>
      <c r="HYB46" s="595"/>
      <c r="HYC46" s="595"/>
      <c r="HYD46" s="595"/>
      <c r="HYE46" s="595"/>
      <c r="HYF46" s="595"/>
      <c r="HYG46" s="595"/>
      <c r="HYH46" s="595"/>
      <c r="HYI46" s="595"/>
      <c r="HYJ46" s="595"/>
      <c r="HYK46" s="595"/>
      <c r="HYL46" s="595"/>
      <c r="HYM46" s="595"/>
      <c r="HYN46" s="595"/>
      <c r="HYO46" s="595"/>
      <c r="HYP46" s="595"/>
      <c r="HYQ46" s="595"/>
      <c r="HYR46" s="595"/>
      <c r="HYS46" s="595"/>
      <c r="HYT46" s="595"/>
      <c r="HYU46" s="595"/>
      <c r="HYV46" s="595"/>
      <c r="HYW46" s="595"/>
      <c r="HYX46" s="595"/>
      <c r="HYY46" s="595"/>
      <c r="HYZ46" s="595"/>
      <c r="HZA46" s="595"/>
      <c r="HZB46" s="595"/>
      <c r="HZC46" s="595"/>
      <c r="HZD46" s="595"/>
      <c r="HZE46" s="595"/>
      <c r="HZF46" s="595"/>
      <c r="HZG46" s="595"/>
      <c r="HZH46" s="595"/>
      <c r="HZI46" s="595"/>
      <c r="HZJ46" s="595"/>
      <c r="HZK46" s="595"/>
      <c r="HZL46" s="595"/>
      <c r="HZM46" s="595"/>
      <c r="HZN46" s="595"/>
      <c r="HZO46" s="595"/>
      <c r="HZP46" s="595"/>
      <c r="HZQ46" s="595"/>
      <c r="HZR46" s="595"/>
      <c r="HZS46" s="595"/>
      <c r="HZT46" s="595"/>
      <c r="HZU46" s="595"/>
      <c r="HZV46" s="595"/>
      <c r="HZW46" s="595"/>
      <c r="HZX46" s="595"/>
      <c r="HZY46" s="595"/>
      <c r="HZZ46" s="595"/>
      <c r="IAA46" s="595"/>
      <c r="IAB46" s="595"/>
      <c r="IAC46" s="595"/>
      <c r="IAD46" s="595"/>
      <c r="IAE46" s="595"/>
      <c r="IAF46" s="595"/>
      <c r="IAG46" s="595"/>
      <c r="IAH46" s="595"/>
      <c r="IAI46" s="595"/>
      <c r="IAJ46" s="595"/>
      <c r="IAK46" s="595"/>
      <c r="IAL46" s="595"/>
      <c r="IAM46" s="595"/>
      <c r="IAN46" s="595"/>
      <c r="IAO46" s="595"/>
      <c r="IAP46" s="595"/>
      <c r="IAQ46" s="595"/>
      <c r="IAR46" s="595"/>
      <c r="IAS46" s="595"/>
      <c r="IAT46" s="595"/>
      <c r="IAU46" s="595"/>
      <c r="IAV46" s="595"/>
      <c r="IAW46" s="595"/>
      <c r="IAX46" s="595"/>
      <c r="IAY46" s="595"/>
      <c r="IAZ46" s="595"/>
      <c r="IBA46" s="595"/>
      <c r="IBB46" s="595"/>
      <c r="IBC46" s="595"/>
      <c r="IBD46" s="595"/>
      <c r="IBE46" s="595"/>
      <c r="IBF46" s="595"/>
      <c r="IBG46" s="595"/>
      <c r="IBH46" s="595"/>
      <c r="IBI46" s="595"/>
      <c r="IBJ46" s="595"/>
      <c r="IBK46" s="595"/>
      <c r="IBL46" s="595"/>
      <c r="IBM46" s="595"/>
      <c r="IBN46" s="595"/>
      <c r="IBO46" s="595"/>
      <c r="IBP46" s="595"/>
      <c r="IBQ46" s="595"/>
      <c r="IBR46" s="595"/>
      <c r="IBS46" s="595"/>
      <c r="IBT46" s="595"/>
      <c r="IBU46" s="595"/>
      <c r="IBV46" s="595"/>
      <c r="IBW46" s="595"/>
      <c r="IBX46" s="595"/>
      <c r="IBY46" s="595"/>
      <c r="IBZ46" s="595"/>
      <c r="ICA46" s="595"/>
      <c r="ICB46" s="595"/>
      <c r="ICC46" s="595"/>
      <c r="ICD46" s="595"/>
      <c r="ICE46" s="595"/>
      <c r="ICF46" s="595"/>
      <c r="ICG46" s="595"/>
      <c r="ICH46" s="595"/>
      <c r="ICI46" s="595"/>
      <c r="ICJ46" s="595"/>
      <c r="ICK46" s="595"/>
      <c r="ICL46" s="595"/>
      <c r="ICM46" s="595"/>
      <c r="ICN46" s="595"/>
      <c r="ICO46" s="595"/>
      <c r="ICP46" s="595"/>
      <c r="ICQ46" s="595"/>
      <c r="ICR46" s="595"/>
      <c r="ICS46" s="595"/>
      <c r="ICT46" s="595"/>
      <c r="ICU46" s="595"/>
      <c r="ICV46" s="595"/>
      <c r="ICW46" s="595"/>
      <c r="ICX46" s="595"/>
      <c r="ICY46" s="595"/>
      <c r="ICZ46" s="595"/>
      <c r="IDA46" s="595"/>
      <c r="IDB46" s="595"/>
      <c r="IDC46" s="595"/>
      <c r="IDD46" s="595"/>
      <c r="IDE46" s="595"/>
      <c r="IDF46" s="595"/>
      <c r="IDG46" s="595"/>
      <c r="IDH46" s="595"/>
      <c r="IDI46" s="595"/>
      <c r="IDJ46" s="595"/>
      <c r="IDK46" s="595"/>
      <c r="IDL46" s="595"/>
      <c r="IDM46" s="595"/>
      <c r="IDN46" s="595"/>
      <c r="IDO46" s="595"/>
      <c r="IDP46" s="595"/>
      <c r="IDQ46" s="595"/>
      <c r="IDR46" s="595"/>
      <c r="IDS46" s="595"/>
      <c r="IDT46" s="595"/>
      <c r="IDU46" s="595"/>
      <c r="IDV46" s="595"/>
      <c r="IDW46" s="595"/>
      <c r="IDX46" s="595"/>
      <c r="IDY46" s="595"/>
      <c r="IDZ46" s="595"/>
      <c r="IEA46" s="595"/>
      <c r="IEB46" s="595"/>
      <c r="IEC46" s="595"/>
      <c r="IED46" s="595"/>
      <c r="IEE46" s="595"/>
      <c r="IEF46" s="595"/>
      <c r="IEG46" s="595"/>
      <c r="IEH46" s="595"/>
      <c r="IEI46" s="595"/>
      <c r="IEJ46" s="595"/>
      <c r="IEK46" s="595"/>
      <c r="IEL46" s="595"/>
      <c r="IEM46" s="595"/>
      <c r="IEN46" s="595"/>
      <c r="IEO46" s="595"/>
      <c r="IEP46" s="595"/>
      <c r="IEQ46" s="595"/>
      <c r="IER46" s="595"/>
      <c r="IES46" s="595"/>
      <c r="IET46" s="595"/>
      <c r="IEU46" s="595"/>
      <c r="IEV46" s="595"/>
      <c r="IEW46" s="595"/>
      <c r="IEX46" s="595"/>
      <c r="IEY46" s="595"/>
      <c r="IEZ46" s="595"/>
      <c r="IFA46" s="595"/>
      <c r="IFB46" s="595"/>
      <c r="IFC46" s="595"/>
      <c r="IFD46" s="595"/>
      <c r="IFE46" s="595"/>
      <c r="IFF46" s="595"/>
      <c r="IFG46" s="595"/>
      <c r="IFH46" s="595"/>
      <c r="IFI46" s="595"/>
      <c r="IFJ46" s="595"/>
      <c r="IFK46" s="595"/>
      <c r="IFL46" s="595"/>
      <c r="IFM46" s="595"/>
      <c r="IFN46" s="595"/>
      <c r="IFO46" s="595"/>
      <c r="IFP46" s="595"/>
      <c r="IFQ46" s="595"/>
      <c r="IFR46" s="595"/>
      <c r="IFS46" s="595"/>
      <c r="IFT46" s="595"/>
      <c r="IFU46" s="595"/>
      <c r="IFV46" s="595"/>
      <c r="IFW46" s="595"/>
      <c r="IFX46" s="595"/>
      <c r="IFY46" s="595"/>
      <c r="IFZ46" s="595"/>
      <c r="IGA46" s="595"/>
      <c r="IGB46" s="595"/>
      <c r="IGC46" s="595"/>
      <c r="IGD46" s="595"/>
      <c r="IGE46" s="595"/>
      <c r="IGF46" s="595"/>
      <c r="IGG46" s="595"/>
      <c r="IGH46" s="595"/>
      <c r="IGI46" s="595"/>
      <c r="IGJ46" s="595"/>
      <c r="IGK46" s="595"/>
      <c r="IGL46" s="595"/>
      <c r="IGM46" s="595"/>
      <c r="IGN46" s="595"/>
      <c r="IGO46" s="595"/>
      <c r="IGP46" s="595"/>
      <c r="IGQ46" s="595"/>
      <c r="IGR46" s="595"/>
      <c r="IGS46" s="595"/>
      <c r="IGT46" s="595"/>
      <c r="IGU46" s="595"/>
      <c r="IGV46" s="595"/>
      <c r="IGW46" s="595"/>
      <c r="IGX46" s="595"/>
      <c r="IGY46" s="595"/>
      <c r="IGZ46" s="595"/>
      <c r="IHA46" s="595"/>
      <c r="IHB46" s="595"/>
      <c r="IHC46" s="595"/>
      <c r="IHD46" s="595"/>
      <c r="IHE46" s="595"/>
      <c r="IHF46" s="595"/>
      <c r="IHG46" s="595"/>
      <c r="IHH46" s="595"/>
      <c r="IHI46" s="595"/>
      <c r="IHJ46" s="595"/>
      <c r="IHK46" s="595"/>
      <c r="IHL46" s="595"/>
      <c r="IHM46" s="595"/>
      <c r="IHN46" s="595"/>
      <c r="IHO46" s="595"/>
      <c r="IHP46" s="595"/>
      <c r="IHQ46" s="595"/>
      <c r="IHR46" s="595"/>
      <c r="IHS46" s="595"/>
      <c r="IHT46" s="595"/>
      <c r="IHU46" s="595"/>
      <c r="IHV46" s="595"/>
      <c r="IHW46" s="595"/>
      <c r="IHX46" s="595"/>
      <c r="IHY46" s="595"/>
      <c r="IHZ46" s="595"/>
      <c r="IIA46" s="595"/>
      <c r="IIB46" s="595"/>
      <c r="IIC46" s="595"/>
      <c r="IID46" s="595"/>
      <c r="IIE46" s="595"/>
      <c r="IIF46" s="595"/>
      <c r="IIG46" s="595"/>
      <c r="IIH46" s="595"/>
      <c r="III46" s="595"/>
      <c r="IIJ46" s="595"/>
      <c r="IIK46" s="595"/>
      <c r="IIL46" s="595"/>
      <c r="IIM46" s="595"/>
      <c r="IIN46" s="595"/>
      <c r="IIO46" s="595"/>
      <c r="IIP46" s="595"/>
      <c r="IIQ46" s="595"/>
      <c r="IIR46" s="595"/>
      <c r="IIS46" s="595"/>
      <c r="IIT46" s="595"/>
      <c r="IIU46" s="595"/>
      <c r="IIV46" s="595"/>
      <c r="IIW46" s="595"/>
      <c r="IIX46" s="595"/>
      <c r="IIY46" s="595"/>
      <c r="IIZ46" s="595"/>
      <c r="IJA46" s="595"/>
      <c r="IJB46" s="595"/>
      <c r="IJC46" s="595"/>
      <c r="IJD46" s="595"/>
      <c r="IJE46" s="595"/>
      <c r="IJF46" s="595"/>
      <c r="IJG46" s="595"/>
      <c r="IJH46" s="595"/>
      <c r="IJI46" s="595"/>
      <c r="IJJ46" s="595"/>
      <c r="IJK46" s="595"/>
      <c r="IJL46" s="595"/>
      <c r="IJM46" s="595"/>
      <c r="IJN46" s="595"/>
      <c r="IJO46" s="595"/>
      <c r="IJP46" s="595"/>
      <c r="IJQ46" s="595"/>
      <c r="IJR46" s="595"/>
      <c r="IJS46" s="595"/>
      <c r="IJT46" s="595"/>
      <c r="IJU46" s="595"/>
      <c r="IJV46" s="595"/>
      <c r="IJW46" s="595"/>
      <c r="IJX46" s="595"/>
      <c r="IJY46" s="595"/>
      <c r="IJZ46" s="595"/>
      <c r="IKA46" s="595"/>
      <c r="IKB46" s="595"/>
      <c r="IKC46" s="595"/>
      <c r="IKD46" s="595"/>
      <c r="IKE46" s="595"/>
      <c r="IKF46" s="595"/>
      <c r="IKG46" s="595"/>
      <c r="IKH46" s="595"/>
      <c r="IKI46" s="595"/>
      <c r="IKJ46" s="595"/>
      <c r="IKK46" s="595"/>
      <c r="IKL46" s="595"/>
      <c r="IKM46" s="595"/>
      <c r="IKN46" s="595"/>
      <c r="IKO46" s="595"/>
      <c r="IKP46" s="595"/>
      <c r="IKQ46" s="595"/>
      <c r="IKR46" s="595"/>
      <c r="IKS46" s="595"/>
      <c r="IKT46" s="595"/>
      <c r="IKU46" s="595"/>
      <c r="IKV46" s="595"/>
      <c r="IKW46" s="595"/>
      <c r="IKX46" s="595"/>
      <c r="IKY46" s="595"/>
      <c r="IKZ46" s="595"/>
      <c r="ILA46" s="595"/>
      <c r="ILB46" s="595"/>
      <c r="ILC46" s="595"/>
      <c r="ILD46" s="595"/>
      <c r="ILE46" s="595"/>
      <c r="ILF46" s="595"/>
      <c r="ILG46" s="595"/>
      <c r="ILH46" s="595"/>
      <c r="ILI46" s="595"/>
      <c r="ILJ46" s="595"/>
      <c r="ILK46" s="595"/>
      <c r="ILL46" s="595"/>
      <c r="ILM46" s="595"/>
      <c r="ILN46" s="595"/>
      <c r="ILO46" s="595"/>
      <c r="ILP46" s="595"/>
      <c r="ILQ46" s="595"/>
      <c r="ILR46" s="595"/>
      <c r="ILS46" s="595"/>
      <c r="ILT46" s="595"/>
      <c r="ILU46" s="595"/>
      <c r="ILV46" s="595"/>
      <c r="ILW46" s="595"/>
      <c r="ILX46" s="595"/>
      <c r="ILY46" s="595"/>
      <c r="ILZ46" s="595"/>
      <c r="IMA46" s="595"/>
      <c r="IMB46" s="595"/>
      <c r="IMC46" s="595"/>
      <c r="IMD46" s="595"/>
      <c r="IME46" s="595"/>
      <c r="IMF46" s="595"/>
      <c r="IMG46" s="595"/>
      <c r="IMH46" s="595"/>
      <c r="IMI46" s="595"/>
      <c r="IMJ46" s="595"/>
      <c r="IMK46" s="595"/>
      <c r="IML46" s="595"/>
      <c r="IMM46" s="595"/>
      <c r="IMN46" s="595"/>
      <c r="IMO46" s="595"/>
      <c r="IMP46" s="595"/>
      <c r="IMQ46" s="595"/>
      <c r="IMR46" s="595"/>
      <c r="IMS46" s="595"/>
      <c r="IMT46" s="595"/>
      <c r="IMU46" s="595"/>
      <c r="IMV46" s="595"/>
      <c r="IMW46" s="595"/>
      <c r="IMX46" s="595"/>
      <c r="IMY46" s="595"/>
      <c r="IMZ46" s="595"/>
      <c r="INA46" s="595"/>
      <c r="INB46" s="595"/>
      <c r="INC46" s="595"/>
      <c r="IND46" s="595"/>
      <c r="INE46" s="595"/>
      <c r="INF46" s="595"/>
      <c r="ING46" s="595"/>
      <c r="INH46" s="595"/>
      <c r="INI46" s="595"/>
      <c r="INJ46" s="595"/>
      <c r="INK46" s="595"/>
      <c r="INL46" s="595"/>
      <c r="INM46" s="595"/>
      <c r="INN46" s="595"/>
      <c r="INO46" s="595"/>
      <c r="INP46" s="595"/>
      <c r="INQ46" s="595"/>
      <c r="INR46" s="595"/>
      <c r="INS46" s="595"/>
      <c r="INT46" s="595"/>
      <c r="INU46" s="595"/>
      <c r="INV46" s="595"/>
      <c r="INW46" s="595"/>
      <c r="INX46" s="595"/>
      <c r="INY46" s="595"/>
      <c r="INZ46" s="595"/>
      <c r="IOA46" s="595"/>
      <c r="IOB46" s="595"/>
      <c r="IOC46" s="595"/>
      <c r="IOD46" s="595"/>
      <c r="IOE46" s="595"/>
      <c r="IOF46" s="595"/>
      <c r="IOG46" s="595"/>
      <c r="IOH46" s="595"/>
      <c r="IOI46" s="595"/>
      <c r="IOJ46" s="595"/>
      <c r="IOK46" s="595"/>
      <c r="IOL46" s="595"/>
      <c r="IOM46" s="595"/>
      <c r="ION46" s="595"/>
      <c r="IOO46" s="595"/>
      <c r="IOP46" s="595"/>
      <c r="IOQ46" s="595"/>
      <c r="IOR46" s="595"/>
      <c r="IOS46" s="595"/>
      <c r="IOT46" s="595"/>
      <c r="IOU46" s="595"/>
      <c r="IOV46" s="595"/>
      <c r="IOW46" s="595"/>
      <c r="IOX46" s="595"/>
      <c r="IOY46" s="595"/>
      <c r="IOZ46" s="595"/>
      <c r="IPA46" s="595"/>
      <c r="IPB46" s="595"/>
      <c r="IPC46" s="595"/>
      <c r="IPD46" s="595"/>
      <c r="IPE46" s="595"/>
      <c r="IPF46" s="595"/>
      <c r="IPG46" s="595"/>
      <c r="IPH46" s="595"/>
      <c r="IPI46" s="595"/>
      <c r="IPJ46" s="595"/>
      <c r="IPK46" s="595"/>
      <c r="IPL46" s="595"/>
      <c r="IPM46" s="595"/>
      <c r="IPN46" s="595"/>
      <c r="IPO46" s="595"/>
      <c r="IPP46" s="595"/>
      <c r="IPQ46" s="595"/>
      <c r="IPR46" s="595"/>
      <c r="IPS46" s="595"/>
      <c r="IPT46" s="595"/>
      <c r="IPU46" s="595"/>
      <c r="IPV46" s="595"/>
      <c r="IPW46" s="595"/>
      <c r="IPX46" s="595"/>
      <c r="IPY46" s="595"/>
      <c r="IPZ46" s="595"/>
      <c r="IQA46" s="595"/>
      <c r="IQB46" s="595"/>
      <c r="IQC46" s="595"/>
      <c r="IQD46" s="595"/>
      <c r="IQE46" s="595"/>
      <c r="IQF46" s="595"/>
      <c r="IQG46" s="595"/>
      <c r="IQH46" s="595"/>
      <c r="IQI46" s="595"/>
      <c r="IQJ46" s="595"/>
      <c r="IQK46" s="595"/>
      <c r="IQL46" s="595"/>
      <c r="IQM46" s="595"/>
      <c r="IQN46" s="595"/>
      <c r="IQO46" s="595"/>
      <c r="IQP46" s="595"/>
      <c r="IQQ46" s="595"/>
      <c r="IQR46" s="595"/>
      <c r="IQS46" s="595"/>
      <c r="IQT46" s="595"/>
      <c r="IQU46" s="595"/>
      <c r="IQV46" s="595"/>
      <c r="IQW46" s="595"/>
      <c r="IQX46" s="595"/>
      <c r="IQY46" s="595"/>
      <c r="IQZ46" s="595"/>
      <c r="IRA46" s="595"/>
      <c r="IRB46" s="595"/>
      <c r="IRC46" s="595"/>
      <c r="IRD46" s="595"/>
      <c r="IRE46" s="595"/>
      <c r="IRF46" s="595"/>
      <c r="IRG46" s="595"/>
      <c r="IRH46" s="595"/>
      <c r="IRI46" s="595"/>
      <c r="IRJ46" s="595"/>
      <c r="IRK46" s="595"/>
      <c r="IRL46" s="595"/>
      <c r="IRM46" s="595"/>
      <c r="IRN46" s="595"/>
      <c r="IRO46" s="595"/>
      <c r="IRP46" s="595"/>
      <c r="IRQ46" s="595"/>
      <c r="IRR46" s="595"/>
      <c r="IRS46" s="595"/>
      <c r="IRT46" s="595"/>
      <c r="IRU46" s="595"/>
      <c r="IRV46" s="595"/>
      <c r="IRW46" s="595"/>
      <c r="IRX46" s="595"/>
      <c r="IRY46" s="595"/>
      <c r="IRZ46" s="595"/>
      <c r="ISA46" s="595"/>
      <c r="ISB46" s="595"/>
      <c r="ISC46" s="595"/>
      <c r="ISD46" s="595"/>
      <c r="ISE46" s="595"/>
      <c r="ISF46" s="595"/>
      <c r="ISG46" s="595"/>
      <c r="ISH46" s="595"/>
      <c r="ISI46" s="595"/>
      <c r="ISJ46" s="595"/>
      <c r="ISK46" s="595"/>
      <c r="ISL46" s="595"/>
      <c r="ISM46" s="595"/>
      <c r="ISN46" s="595"/>
      <c r="ISO46" s="595"/>
      <c r="ISP46" s="595"/>
      <c r="ISQ46" s="595"/>
      <c r="ISR46" s="595"/>
      <c r="ISS46" s="595"/>
      <c r="IST46" s="595"/>
      <c r="ISU46" s="595"/>
      <c r="ISV46" s="595"/>
      <c r="ISW46" s="595"/>
      <c r="ISX46" s="595"/>
      <c r="ISY46" s="595"/>
      <c r="ISZ46" s="595"/>
      <c r="ITA46" s="595"/>
      <c r="ITB46" s="595"/>
      <c r="ITC46" s="595"/>
      <c r="ITD46" s="595"/>
      <c r="ITE46" s="595"/>
      <c r="ITF46" s="595"/>
      <c r="ITG46" s="595"/>
      <c r="ITH46" s="595"/>
      <c r="ITI46" s="595"/>
      <c r="ITJ46" s="595"/>
      <c r="ITK46" s="595"/>
      <c r="ITL46" s="595"/>
      <c r="ITM46" s="595"/>
      <c r="ITN46" s="595"/>
      <c r="ITO46" s="595"/>
      <c r="ITP46" s="595"/>
      <c r="ITQ46" s="595"/>
      <c r="ITR46" s="595"/>
      <c r="ITS46" s="595"/>
      <c r="ITT46" s="595"/>
      <c r="ITU46" s="595"/>
      <c r="ITV46" s="595"/>
      <c r="ITW46" s="595"/>
      <c r="ITX46" s="595"/>
      <c r="ITY46" s="595"/>
      <c r="ITZ46" s="595"/>
      <c r="IUA46" s="595"/>
      <c r="IUB46" s="595"/>
      <c r="IUC46" s="595"/>
      <c r="IUD46" s="595"/>
      <c r="IUE46" s="595"/>
      <c r="IUF46" s="595"/>
      <c r="IUG46" s="595"/>
      <c r="IUH46" s="595"/>
      <c r="IUI46" s="595"/>
      <c r="IUJ46" s="595"/>
      <c r="IUK46" s="595"/>
      <c r="IUL46" s="595"/>
      <c r="IUM46" s="595"/>
      <c r="IUN46" s="595"/>
      <c r="IUO46" s="595"/>
      <c r="IUP46" s="595"/>
      <c r="IUQ46" s="595"/>
      <c r="IUR46" s="595"/>
      <c r="IUS46" s="595"/>
      <c r="IUT46" s="595"/>
      <c r="IUU46" s="595"/>
      <c r="IUV46" s="595"/>
      <c r="IUW46" s="595"/>
      <c r="IUX46" s="595"/>
      <c r="IUY46" s="595"/>
      <c r="IUZ46" s="595"/>
      <c r="IVA46" s="595"/>
      <c r="IVB46" s="595"/>
      <c r="IVC46" s="595"/>
      <c r="IVD46" s="595"/>
      <c r="IVE46" s="595"/>
      <c r="IVF46" s="595"/>
      <c r="IVG46" s="595"/>
      <c r="IVH46" s="595"/>
      <c r="IVI46" s="595"/>
      <c r="IVJ46" s="595"/>
      <c r="IVK46" s="595"/>
      <c r="IVL46" s="595"/>
      <c r="IVM46" s="595"/>
      <c r="IVN46" s="595"/>
      <c r="IVO46" s="595"/>
      <c r="IVP46" s="595"/>
      <c r="IVQ46" s="595"/>
      <c r="IVR46" s="595"/>
      <c r="IVS46" s="595"/>
      <c r="IVT46" s="595"/>
      <c r="IVU46" s="595"/>
      <c r="IVV46" s="595"/>
      <c r="IVW46" s="595"/>
      <c r="IVX46" s="595"/>
      <c r="IVY46" s="595"/>
      <c r="IVZ46" s="595"/>
      <c r="IWA46" s="595"/>
      <c r="IWB46" s="595"/>
      <c r="IWC46" s="595"/>
      <c r="IWD46" s="595"/>
      <c r="IWE46" s="595"/>
      <c r="IWF46" s="595"/>
      <c r="IWG46" s="595"/>
      <c r="IWH46" s="595"/>
      <c r="IWI46" s="595"/>
      <c r="IWJ46" s="595"/>
      <c r="IWK46" s="595"/>
      <c r="IWL46" s="595"/>
      <c r="IWM46" s="595"/>
      <c r="IWN46" s="595"/>
      <c r="IWO46" s="595"/>
      <c r="IWP46" s="595"/>
      <c r="IWQ46" s="595"/>
      <c r="IWR46" s="595"/>
      <c r="IWS46" s="595"/>
      <c r="IWT46" s="595"/>
      <c r="IWU46" s="595"/>
      <c r="IWV46" s="595"/>
      <c r="IWW46" s="595"/>
      <c r="IWX46" s="595"/>
      <c r="IWY46" s="595"/>
      <c r="IWZ46" s="595"/>
      <c r="IXA46" s="595"/>
      <c r="IXB46" s="595"/>
      <c r="IXC46" s="595"/>
      <c r="IXD46" s="595"/>
      <c r="IXE46" s="595"/>
      <c r="IXF46" s="595"/>
      <c r="IXG46" s="595"/>
      <c r="IXH46" s="595"/>
      <c r="IXI46" s="595"/>
      <c r="IXJ46" s="595"/>
      <c r="IXK46" s="595"/>
      <c r="IXL46" s="595"/>
      <c r="IXM46" s="595"/>
      <c r="IXN46" s="595"/>
      <c r="IXO46" s="595"/>
      <c r="IXP46" s="595"/>
      <c r="IXQ46" s="595"/>
      <c r="IXR46" s="595"/>
      <c r="IXS46" s="595"/>
      <c r="IXT46" s="595"/>
      <c r="IXU46" s="595"/>
      <c r="IXV46" s="595"/>
      <c r="IXW46" s="595"/>
      <c r="IXX46" s="595"/>
      <c r="IXY46" s="595"/>
      <c r="IXZ46" s="595"/>
      <c r="IYA46" s="595"/>
      <c r="IYB46" s="595"/>
      <c r="IYC46" s="595"/>
      <c r="IYD46" s="595"/>
      <c r="IYE46" s="595"/>
      <c r="IYF46" s="595"/>
      <c r="IYG46" s="595"/>
      <c r="IYH46" s="595"/>
      <c r="IYI46" s="595"/>
      <c r="IYJ46" s="595"/>
      <c r="IYK46" s="595"/>
      <c r="IYL46" s="595"/>
      <c r="IYM46" s="595"/>
      <c r="IYN46" s="595"/>
      <c r="IYO46" s="595"/>
      <c r="IYP46" s="595"/>
      <c r="IYQ46" s="595"/>
      <c r="IYR46" s="595"/>
      <c r="IYS46" s="595"/>
      <c r="IYT46" s="595"/>
      <c r="IYU46" s="595"/>
      <c r="IYV46" s="595"/>
      <c r="IYW46" s="595"/>
      <c r="IYX46" s="595"/>
      <c r="IYY46" s="595"/>
      <c r="IYZ46" s="595"/>
      <c r="IZA46" s="595"/>
      <c r="IZB46" s="595"/>
      <c r="IZC46" s="595"/>
      <c r="IZD46" s="595"/>
      <c r="IZE46" s="595"/>
      <c r="IZF46" s="595"/>
      <c r="IZG46" s="595"/>
      <c r="IZH46" s="595"/>
      <c r="IZI46" s="595"/>
      <c r="IZJ46" s="595"/>
      <c r="IZK46" s="595"/>
      <c r="IZL46" s="595"/>
      <c r="IZM46" s="595"/>
      <c r="IZN46" s="595"/>
      <c r="IZO46" s="595"/>
      <c r="IZP46" s="595"/>
      <c r="IZQ46" s="595"/>
      <c r="IZR46" s="595"/>
      <c r="IZS46" s="595"/>
      <c r="IZT46" s="595"/>
      <c r="IZU46" s="595"/>
      <c r="IZV46" s="595"/>
      <c r="IZW46" s="595"/>
      <c r="IZX46" s="595"/>
      <c r="IZY46" s="595"/>
      <c r="IZZ46" s="595"/>
      <c r="JAA46" s="595"/>
      <c r="JAB46" s="595"/>
      <c r="JAC46" s="595"/>
      <c r="JAD46" s="595"/>
      <c r="JAE46" s="595"/>
      <c r="JAF46" s="595"/>
      <c r="JAG46" s="595"/>
      <c r="JAH46" s="595"/>
      <c r="JAI46" s="595"/>
      <c r="JAJ46" s="595"/>
      <c r="JAK46" s="595"/>
      <c r="JAL46" s="595"/>
      <c r="JAM46" s="595"/>
      <c r="JAN46" s="595"/>
      <c r="JAO46" s="595"/>
      <c r="JAP46" s="595"/>
      <c r="JAQ46" s="595"/>
      <c r="JAR46" s="595"/>
      <c r="JAS46" s="595"/>
      <c r="JAT46" s="595"/>
      <c r="JAU46" s="595"/>
      <c r="JAV46" s="595"/>
      <c r="JAW46" s="595"/>
      <c r="JAX46" s="595"/>
      <c r="JAY46" s="595"/>
      <c r="JAZ46" s="595"/>
      <c r="JBA46" s="595"/>
      <c r="JBB46" s="595"/>
      <c r="JBC46" s="595"/>
      <c r="JBD46" s="595"/>
      <c r="JBE46" s="595"/>
      <c r="JBF46" s="595"/>
      <c r="JBG46" s="595"/>
      <c r="JBH46" s="595"/>
      <c r="JBI46" s="595"/>
      <c r="JBJ46" s="595"/>
      <c r="JBK46" s="595"/>
      <c r="JBL46" s="595"/>
      <c r="JBM46" s="595"/>
      <c r="JBN46" s="595"/>
      <c r="JBO46" s="595"/>
      <c r="JBP46" s="595"/>
      <c r="JBQ46" s="595"/>
      <c r="JBR46" s="595"/>
      <c r="JBS46" s="595"/>
      <c r="JBT46" s="595"/>
      <c r="JBU46" s="595"/>
      <c r="JBV46" s="595"/>
      <c r="JBW46" s="595"/>
      <c r="JBX46" s="595"/>
      <c r="JBY46" s="595"/>
      <c r="JBZ46" s="595"/>
      <c r="JCA46" s="595"/>
      <c r="JCB46" s="595"/>
      <c r="JCC46" s="595"/>
      <c r="JCD46" s="595"/>
      <c r="JCE46" s="595"/>
      <c r="JCF46" s="595"/>
      <c r="JCG46" s="595"/>
      <c r="JCH46" s="595"/>
      <c r="JCI46" s="595"/>
      <c r="JCJ46" s="595"/>
      <c r="JCK46" s="595"/>
      <c r="JCL46" s="595"/>
      <c r="JCM46" s="595"/>
      <c r="JCN46" s="595"/>
      <c r="JCO46" s="595"/>
      <c r="JCP46" s="595"/>
      <c r="JCQ46" s="595"/>
      <c r="JCR46" s="595"/>
      <c r="JCS46" s="595"/>
      <c r="JCT46" s="595"/>
      <c r="JCU46" s="595"/>
      <c r="JCV46" s="595"/>
      <c r="JCW46" s="595"/>
      <c r="JCX46" s="595"/>
      <c r="JCY46" s="595"/>
      <c r="JCZ46" s="595"/>
      <c r="JDA46" s="595"/>
      <c r="JDB46" s="595"/>
      <c r="JDC46" s="595"/>
      <c r="JDD46" s="595"/>
      <c r="JDE46" s="595"/>
      <c r="JDF46" s="595"/>
      <c r="JDG46" s="595"/>
      <c r="JDH46" s="595"/>
      <c r="JDI46" s="595"/>
      <c r="JDJ46" s="595"/>
      <c r="JDK46" s="595"/>
      <c r="JDL46" s="595"/>
      <c r="JDM46" s="595"/>
      <c r="JDN46" s="595"/>
      <c r="JDO46" s="595"/>
      <c r="JDP46" s="595"/>
      <c r="JDQ46" s="595"/>
      <c r="JDR46" s="595"/>
      <c r="JDS46" s="595"/>
      <c r="JDT46" s="595"/>
      <c r="JDU46" s="595"/>
      <c r="JDV46" s="595"/>
      <c r="JDW46" s="595"/>
      <c r="JDX46" s="595"/>
      <c r="JDY46" s="595"/>
      <c r="JDZ46" s="595"/>
      <c r="JEA46" s="595"/>
      <c r="JEB46" s="595"/>
      <c r="JEC46" s="595"/>
      <c r="JED46" s="595"/>
      <c r="JEE46" s="595"/>
      <c r="JEF46" s="595"/>
      <c r="JEG46" s="595"/>
      <c r="JEH46" s="595"/>
      <c r="JEI46" s="595"/>
      <c r="JEJ46" s="595"/>
      <c r="JEK46" s="595"/>
      <c r="JEL46" s="595"/>
      <c r="JEM46" s="595"/>
      <c r="JEN46" s="595"/>
      <c r="JEO46" s="595"/>
      <c r="JEP46" s="595"/>
      <c r="JEQ46" s="595"/>
      <c r="JER46" s="595"/>
      <c r="JES46" s="595"/>
      <c r="JET46" s="595"/>
      <c r="JEU46" s="595"/>
      <c r="JEV46" s="595"/>
      <c r="JEW46" s="595"/>
      <c r="JEX46" s="595"/>
      <c r="JEY46" s="595"/>
      <c r="JEZ46" s="595"/>
      <c r="JFA46" s="595"/>
      <c r="JFB46" s="595"/>
      <c r="JFC46" s="595"/>
      <c r="JFD46" s="595"/>
      <c r="JFE46" s="595"/>
      <c r="JFF46" s="595"/>
      <c r="JFG46" s="595"/>
      <c r="JFH46" s="595"/>
      <c r="JFI46" s="595"/>
      <c r="JFJ46" s="595"/>
      <c r="JFK46" s="595"/>
      <c r="JFL46" s="595"/>
      <c r="JFM46" s="595"/>
      <c r="JFN46" s="595"/>
      <c r="JFO46" s="595"/>
      <c r="JFP46" s="595"/>
      <c r="JFQ46" s="595"/>
      <c r="JFR46" s="595"/>
      <c r="JFS46" s="595"/>
      <c r="JFT46" s="595"/>
      <c r="JFU46" s="595"/>
      <c r="JFV46" s="595"/>
      <c r="JFW46" s="595"/>
      <c r="JFX46" s="595"/>
      <c r="JFY46" s="595"/>
      <c r="JFZ46" s="595"/>
      <c r="JGA46" s="595"/>
      <c r="JGB46" s="595"/>
      <c r="JGC46" s="595"/>
      <c r="JGD46" s="595"/>
      <c r="JGE46" s="595"/>
      <c r="JGF46" s="595"/>
      <c r="JGG46" s="595"/>
      <c r="JGH46" s="595"/>
      <c r="JGI46" s="595"/>
      <c r="JGJ46" s="595"/>
      <c r="JGK46" s="595"/>
      <c r="JGL46" s="595"/>
      <c r="JGM46" s="595"/>
      <c r="JGN46" s="595"/>
      <c r="JGO46" s="595"/>
      <c r="JGP46" s="595"/>
      <c r="JGQ46" s="595"/>
      <c r="JGR46" s="595"/>
      <c r="JGS46" s="595"/>
      <c r="JGT46" s="595"/>
      <c r="JGU46" s="595"/>
      <c r="JGV46" s="595"/>
      <c r="JGW46" s="595"/>
      <c r="JGX46" s="595"/>
      <c r="JGY46" s="595"/>
      <c r="JGZ46" s="595"/>
      <c r="JHA46" s="595"/>
      <c r="JHB46" s="595"/>
      <c r="JHC46" s="595"/>
      <c r="JHD46" s="595"/>
      <c r="JHE46" s="595"/>
      <c r="JHF46" s="595"/>
      <c r="JHG46" s="595"/>
      <c r="JHH46" s="595"/>
      <c r="JHI46" s="595"/>
      <c r="JHJ46" s="595"/>
      <c r="JHK46" s="595"/>
      <c r="JHL46" s="595"/>
      <c r="JHM46" s="595"/>
      <c r="JHN46" s="595"/>
      <c r="JHO46" s="595"/>
      <c r="JHP46" s="595"/>
      <c r="JHQ46" s="595"/>
      <c r="JHR46" s="595"/>
      <c r="JHS46" s="595"/>
      <c r="JHT46" s="595"/>
      <c r="JHU46" s="595"/>
      <c r="JHV46" s="595"/>
      <c r="JHW46" s="595"/>
      <c r="JHX46" s="595"/>
      <c r="JHY46" s="595"/>
      <c r="JHZ46" s="595"/>
      <c r="JIA46" s="595"/>
      <c r="JIB46" s="595"/>
      <c r="JIC46" s="595"/>
      <c r="JID46" s="595"/>
      <c r="JIE46" s="595"/>
      <c r="JIF46" s="595"/>
      <c r="JIG46" s="595"/>
      <c r="JIH46" s="595"/>
      <c r="JII46" s="595"/>
      <c r="JIJ46" s="595"/>
      <c r="JIK46" s="595"/>
      <c r="JIL46" s="595"/>
      <c r="JIM46" s="595"/>
      <c r="JIN46" s="595"/>
      <c r="JIO46" s="595"/>
      <c r="JIP46" s="595"/>
      <c r="JIQ46" s="595"/>
      <c r="JIR46" s="595"/>
      <c r="JIS46" s="595"/>
      <c r="JIT46" s="595"/>
      <c r="JIU46" s="595"/>
      <c r="JIV46" s="595"/>
      <c r="JIW46" s="595"/>
      <c r="JIX46" s="595"/>
      <c r="JIY46" s="595"/>
      <c r="JIZ46" s="595"/>
      <c r="JJA46" s="595"/>
      <c r="JJB46" s="595"/>
      <c r="JJC46" s="595"/>
      <c r="JJD46" s="595"/>
      <c r="JJE46" s="595"/>
      <c r="JJF46" s="595"/>
      <c r="JJG46" s="595"/>
      <c r="JJH46" s="595"/>
      <c r="JJI46" s="595"/>
      <c r="JJJ46" s="595"/>
      <c r="JJK46" s="595"/>
      <c r="JJL46" s="595"/>
      <c r="JJM46" s="595"/>
      <c r="JJN46" s="595"/>
      <c r="JJO46" s="595"/>
      <c r="JJP46" s="595"/>
      <c r="JJQ46" s="595"/>
      <c r="JJR46" s="595"/>
      <c r="JJS46" s="595"/>
      <c r="JJT46" s="595"/>
      <c r="JJU46" s="595"/>
      <c r="JJV46" s="595"/>
      <c r="JJW46" s="595"/>
      <c r="JJX46" s="595"/>
      <c r="JJY46" s="595"/>
      <c r="JJZ46" s="595"/>
      <c r="JKA46" s="595"/>
      <c r="JKB46" s="595"/>
      <c r="JKC46" s="595"/>
      <c r="JKD46" s="595"/>
      <c r="JKE46" s="595"/>
      <c r="JKF46" s="595"/>
      <c r="JKG46" s="595"/>
      <c r="JKH46" s="595"/>
      <c r="JKI46" s="595"/>
      <c r="JKJ46" s="595"/>
      <c r="JKK46" s="595"/>
      <c r="JKL46" s="595"/>
      <c r="JKM46" s="595"/>
      <c r="JKN46" s="595"/>
      <c r="JKO46" s="595"/>
      <c r="JKP46" s="595"/>
      <c r="JKQ46" s="595"/>
      <c r="JKR46" s="595"/>
      <c r="JKS46" s="595"/>
      <c r="JKT46" s="595"/>
      <c r="JKU46" s="595"/>
      <c r="JKV46" s="595"/>
      <c r="JKW46" s="595"/>
      <c r="JKX46" s="595"/>
      <c r="JKY46" s="595"/>
      <c r="JKZ46" s="595"/>
      <c r="JLA46" s="595"/>
      <c r="JLB46" s="595"/>
      <c r="JLC46" s="595"/>
      <c r="JLD46" s="595"/>
      <c r="JLE46" s="595"/>
      <c r="JLF46" s="595"/>
      <c r="JLG46" s="595"/>
      <c r="JLH46" s="595"/>
      <c r="JLI46" s="595"/>
      <c r="JLJ46" s="595"/>
      <c r="JLK46" s="595"/>
      <c r="JLL46" s="595"/>
      <c r="JLM46" s="595"/>
      <c r="JLN46" s="595"/>
      <c r="JLO46" s="595"/>
      <c r="JLP46" s="595"/>
      <c r="JLQ46" s="595"/>
      <c r="JLR46" s="595"/>
      <c r="JLS46" s="595"/>
      <c r="JLT46" s="595"/>
      <c r="JLU46" s="595"/>
      <c r="JLV46" s="595"/>
      <c r="JLW46" s="595"/>
      <c r="JLX46" s="595"/>
      <c r="JLY46" s="595"/>
      <c r="JLZ46" s="595"/>
      <c r="JMA46" s="595"/>
      <c r="JMB46" s="595"/>
      <c r="JMC46" s="595"/>
      <c r="JMD46" s="595"/>
      <c r="JME46" s="595"/>
      <c r="JMF46" s="595"/>
      <c r="JMG46" s="595"/>
      <c r="JMH46" s="595"/>
      <c r="JMI46" s="595"/>
      <c r="JMJ46" s="595"/>
      <c r="JMK46" s="595"/>
      <c r="JML46" s="595"/>
      <c r="JMM46" s="595"/>
      <c r="JMN46" s="595"/>
      <c r="JMO46" s="595"/>
      <c r="JMP46" s="595"/>
      <c r="JMQ46" s="595"/>
      <c r="JMR46" s="595"/>
      <c r="JMS46" s="595"/>
      <c r="JMT46" s="595"/>
      <c r="JMU46" s="595"/>
      <c r="JMV46" s="595"/>
      <c r="JMW46" s="595"/>
      <c r="JMX46" s="595"/>
      <c r="JMY46" s="595"/>
      <c r="JMZ46" s="595"/>
      <c r="JNA46" s="595"/>
      <c r="JNB46" s="595"/>
      <c r="JNC46" s="595"/>
      <c r="JND46" s="595"/>
      <c r="JNE46" s="595"/>
      <c r="JNF46" s="595"/>
      <c r="JNG46" s="595"/>
      <c r="JNH46" s="595"/>
      <c r="JNI46" s="595"/>
      <c r="JNJ46" s="595"/>
      <c r="JNK46" s="595"/>
      <c r="JNL46" s="595"/>
      <c r="JNM46" s="595"/>
      <c r="JNN46" s="595"/>
      <c r="JNO46" s="595"/>
      <c r="JNP46" s="595"/>
      <c r="JNQ46" s="595"/>
      <c r="JNR46" s="595"/>
      <c r="JNS46" s="595"/>
      <c r="JNT46" s="595"/>
      <c r="JNU46" s="595"/>
      <c r="JNV46" s="595"/>
      <c r="JNW46" s="595"/>
      <c r="JNX46" s="595"/>
      <c r="JNY46" s="595"/>
      <c r="JNZ46" s="595"/>
      <c r="JOA46" s="595"/>
      <c r="JOB46" s="595"/>
      <c r="JOC46" s="595"/>
      <c r="JOD46" s="595"/>
      <c r="JOE46" s="595"/>
      <c r="JOF46" s="595"/>
      <c r="JOG46" s="595"/>
      <c r="JOH46" s="595"/>
      <c r="JOI46" s="595"/>
      <c r="JOJ46" s="595"/>
      <c r="JOK46" s="595"/>
      <c r="JOL46" s="595"/>
      <c r="JOM46" s="595"/>
      <c r="JON46" s="595"/>
      <c r="JOO46" s="595"/>
      <c r="JOP46" s="595"/>
      <c r="JOQ46" s="595"/>
      <c r="JOR46" s="595"/>
      <c r="JOS46" s="595"/>
      <c r="JOT46" s="595"/>
      <c r="JOU46" s="595"/>
      <c r="JOV46" s="595"/>
      <c r="JOW46" s="595"/>
      <c r="JOX46" s="595"/>
      <c r="JOY46" s="595"/>
      <c r="JOZ46" s="595"/>
      <c r="JPA46" s="595"/>
      <c r="JPB46" s="595"/>
      <c r="JPC46" s="595"/>
      <c r="JPD46" s="595"/>
      <c r="JPE46" s="595"/>
      <c r="JPF46" s="595"/>
      <c r="JPG46" s="595"/>
      <c r="JPH46" s="595"/>
      <c r="JPI46" s="595"/>
      <c r="JPJ46" s="595"/>
      <c r="JPK46" s="595"/>
      <c r="JPL46" s="595"/>
      <c r="JPM46" s="595"/>
      <c r="JPN46" s="595"/>
      <c r="JPO46" s="595"/>
      <c r="JPP46" s="595"/>
      <c r="JPQ46" s="595"/>
      <c r="JPR46" s="595"/>
      <c r="JPS46" s="595"/>
      <c r="JPT46" s="595"/>
      <c r="JPU46" s="595"/>
      <c r="JPV46" s="595"/>
      <c r="JPW46" s="595"/>
      <c r="JPX46" s="595"/>
      <c r="JPY46" s="595"/>
      <c r="JPZ46" s="595"/>
      <c r="JQA46" s="595"/>
      <c r="JQB46" s="595"/>
      <c r="JQC46" s="595"/>
      <c r="JQD46" s="595"/>
      <c r="JQE46" s="595"/>
      <c r="JQF46" s="595"/>
      <c r="JQG46" s="595"/>
      <c r="JQH46" s="595"/>
      <c r="JQI46" s="595"/>
      <c r="JQJ46" s="595"/>
      <c r="JQK46" s="595"/>
      <c r="JQL46" s="595"/>
      <c r="JQM46" s="595"/>
      <c r="JQN46" s="595"/>
      <c r="JQO46" s="595"/>
      <c r="JQP46" s="595"/>
      <c r="JQQ46" s="595"/>
      <c r="JQR46" s="595"/>
      <c r="JQS46" s="595"/>
      <c r="JQT46" s="595"/>
      <c r="JQU46" s="595"/>
      <c r="JQV46" s="595"/>
      <c r="JQW46" s="595"/>
      <c r="JQX46" s="595"/>
      <c r="JQY46" s="595"/>
      <c r="JQZ46" s="595"/>
      <c r="JRA46" s="595"/>
      <c r="JRB46" s="595"/>
      <c r="JRC46" s="595"/>
      <c r="JRD46" s="595"/>
      <c r="JRE46" s="595"/>
      <c r="JRF46" s="595"/>
      <c r="JRG46" s="595"/>
      <c r="JRH46" s="595"/>
      <c r="JRI46" s="595"/>
      <c r="JRJ46" s="595"/>
      <c r="JRK46" s="595"/>
      <c r="JRL46" s="595"/>
      <c r="JRM46" s="595"/>
      <c r="JRN46" s="595"/>
      <c r="JRO46" s="595"/>
      <c r="JRP46" s="595"/>
      <c r="JRQ46" s="595"/>
      <c r="JRR46" s="595"/>
      <c r="JRS46" s="595"/>
      <c r="JRT46" s="595"/>
      <c r="JRU46" s="595"/>
      <c r="JRV46" s="595"/>
      <c r="JRW46" s="595"/>
      <c r="JRX46" s="595"/>
      <c r="JRY46" s="595"/>
      <c r="JRZ46" s="595"/>
      <c r="JSA46" s="595"/>
      <c r="JSB46" s="595"/>
      <c r="JSC46" s="595"/>
      <c r="JSD46" s="595"/>
      <c r="JSE46" s="595"/>
      <c r="JSF46" s="595"/>
      <c r="JSG46" s="595"/>
      <c r="JSH46" s="595"/>
      <c r="JSI46" s="595"/>
      <c r="JSJ46" s="595"/>
      <c r="JSK46" s="595"/>
      <c r="JSL46" s="595"/>
      <c r="JSM46" s="595"/>
      <c r="JSN46" s="595"/>
      <c r="JSO46" s="595"/>
      <c r="JSP46" s="595"/>
      <c r="JSQ46" s="595"/>
      <c r="JSR46" s="595"/>
      <c r="JSS46" s="595"/>
      <c r="JST46" s="595"/>
      <c r="JSU46" s="595"/>
      <c r="JSV46" s="595"/>
      <c r="JSW46" s="595"/>
      <c r="JSX46" s="595"/>
      <c r="JSY46" s="595"/>
      <c r="JSZ46" s="595"/>
      <c r="JTA46" s="595"/>
      <c r="JTB46" s="595"/>
      <c r="JTC46" s="595"/>
      <c r="JTD46" s="595"/>
      <c r="JTE46" s="595"/>
      <c r="JTF46" s="595"/>
      <c r="JTG46" s="595"/>
      <c r="JTH46" s="595"/>
      <c r="JTI46" s="595"/>
      <c r="JTJ46" s="595"/>
      <c r="JTK46" s="595"/>
      <c r="JTL46" s="595"/>
      <c r="JTM46" s="595"/>
      <c r="JTN46" s="595"/>
      <c r="JTO46" s="595"/>
      <c r="JTP46" s="595"/>
      <c r="JTQ46" s="595"/>
      <c r="JTR46" s="595"/>
      <c r="JTS46" s="595"/>
      <c r="JTT46" s="595"/>
      <c r="JTU46" s="595"/>
      <c r="JTV46" s="595"/>
      <c r="JTW46" s="595"/>
      <c r="JTX46" s="595"/>
      <c r="JTY46" s="595"/>
      <c r="JTZ46" s="595"/>
      <c r="JUA46" s="595"/>
      <c r="JUB46" s="595"/>
      <c r="JUC46" s="595"/>
      <c r="JUD46" s="595"/>
      <c r="JUE46" s="595"/>
      <c r="JUF46" s="595"/>
      <c r="JUG46" s="595"/>
      <c r="JUH46" s="595"/>
      <c r="JUI46" s="595"/>
      <c r="JUJ46" s="595"/>
      <c r="JUK46" s="595"/>
      <c r="JUL46" s="595"/>
      <c r="JUM46" s="595"/>
      <c r="JUN46" s="595"/>
      <c r="JUO46" s="595"/>
      <c r="JUP46" s="595"/>
      <c r="JUQ46" s="595"/>
      <c r="JUR46" s="595"/>
      <c r="JUS46" s="595"/>
      <c r="JUT46" s="595"/>
      <c r="JUU46" s="595"/>
      <c r="JUV46" s="595"/>
      <c r="JUW46" s="595"/>
      <c r="JUX46" s="595"/>
      <c r="JUY46" s="595"/>
      <c r="JUZ46" s="595"/>
      <c r="JVA46" s="595"/>
      <c r="JVB46" s="595"/>
      <c r="JVC46" s="595"/>
      <c r="JVD46" s="595"/>
      <c r="JVE46" s="595"/>
      <c r="JVF46" s="595"/>
      <c r="JVG46" s="595"/>
      <c r="JVH46" s="595"/>
      <c r="JVI46" s="595"/>
      <c r="JVJ46" s="595"/>
      <c r="JVK46" s="595"/>
      <c r="JVL46" s="595"/>
      <c r="JVM46" s="595"/>
      <c r="JVN46" s="595"/>
      <c r="JVO46" s="595"/>
      <c r="JVP46" s="595"/>
      <c r="JVQ46" s="595"/>
      <c r="JVR46" s="595"/>
      <c r="JVS46" s="595"/>
      <c r="JVT46" s="595"/>
      <c r="JVU46" s="595"/>
      <c r="JVV46" s="595"/>
      <c r="JVW46" s="595"/>
      <c r="JVX46" s="595"/>
      <c r="JVY46" s="595"/>
      <c r="JVZ46" s="595"/>
      <c r="JWA46" s="595"/>
      <c r="JWB46" s="595"/>
      <c r="JWC46" s="595"/>
      <c r="JWD46" s="595"/>
      <c r="JWE46" s="595"/>
      <c r="JWF46" s="595"/>
      <c r="JWG46" s="595"/>
      <c r="JWH46" s="595"/>
      <c r="JWI46" s="595"/>
      <c r="JWJ46" s="595"/>
      <c r="JWK46" s="595"/>
      <c r="JWL46" s="595"/>
      <c r="JWM46" s="595"/>
      <c r="JWN46" s="595"/>
      <c r="JWO46" s="595"/>
      <c r="JWP46" s="595"/>
      <c r="JWQ46" s="595"/>
      <c r="JWR46" s="595"/>
      <c r="JWS46" s="595"/>
      <c r="JWT46" s="595"/>
      <c r="JWU46" s="595"/>
      <c r="JWV46" s="595"/>
      <c r="JWW46" s="595"/>
      <c r="JWX46" s="595"/>
      <c r="JWY46" s="595"/>
      <c r="JWZ46" s="595"/>
      <c r="JXA46" s="595"/>
      <c r="JXB46" s="595"/>
      <c r="JXC46" s="595"/>
      <c r="JXD46" s="595"/>
      <c r="JXE46" s="595"/>
      <c r="JXF46" s="595"/>
      <c r="JXG46" s="595"/>
      <c r="JXH46" s="595"/>
      <c r="JXI46" s="595"/>
      <c r="JXJ46" s="595"/>
      <c r="JXK46" s="595"/>
      <c r="JXL46" s="595"/>
      <c r="JXM46" s="595"/>
      <c r="JXN46" s="595"/>
      <c r="JXO46" s="595"/>
      <c r="JXP46" s="595"/>
      <c r="JXQ46" s="595"/>
      <c r="JXR46" s="595"/>
      <c r="JXS46" s="595"/>
      <c r="JXT46" s="595"/>
      <c r="JXU46" s="595"/>
      <c r="JXV46" s="595"/>
      <c r="JXW46" s="595"/>
      <c r="JXX46" s="595"/>
      <c r="JXY46" s="595"/>
      <c r="JXZ46" s="595"/>
      <c r="JYA46" s="595"/>
      <c r="JYB46" s="595"/>
      <c r="JYC46" s="595"/>
      <c r="JYD46" s="595"/>
      <c r="JYE46" s="595"/>
      <c r="JYF46" s="595"/>
      <c r="JYG46" s="595"/>
      <c r="JYH46" s="595"/>
      <c r="JYI46" s="595"/>
      <c r="JYJ46" s="595"/>
      <c r="JYK46" s="595"/>
      <c r="JYL46" s="595"/>
      <c r="JYM46" s="595"/>
      <c r="JYN46" s="595"/>
      <c r="JYO46" s="595"/>
      <c r="JYP46" s="595"/>
      <c r="JYQ46" s="595"/>
      <c r="JYR46" s="595"/>
      <c r="JYS46" s="595"/>
      <c r="JYT46" s="595"/>
      <c r="JYU46" s="595"/>
      <c r="JYV46" s="595"/>
      <c r="JYW46" s="595"/>
      <c r="JYX46" s="595"/>
      <c r="JYY46" s="595"/>
      <c r="JYZ46" s="595"/>
      <c r="JZA46" s="595"/>
      <c r="JZB46" s="595"/>
      <c r="JZC46" s="595"/>
      <c r="JZD46" s="595"/>
      <c r="JZE46" s="595"/>
      <c r="JZF46" s="595"/>
      <c r="JZG46" s="595"/>
      <c r="JZH46" s="595"/>
      <c r="JZI46" s="595"/>
      <c r="JZJ46" s="595"/>
      <c r="JZK46" s="595"/>
      <c r="JZL46" s="595"/>
      <c r="JZM46" s="595"/>
      <c r="JZN46" s="595"/>
      <c r="JZO46" s="595"/>
      <c r="JZP46" s="595"/>
      <c r="JZQ46" s="595"/>
      <c r="JZR46" s="595"/>
      <c r="JZS46" s="595"/>
      <c r="JZT46" s="595"/>
      <c r="JZU46" s="595"/>
      <c r="JZV46" s="595"/>
      <c r="JZW46" s="595"/>
      <c r="JZX46" s="595"/>
      <c r="JZY46" s="595"/>
      <c r="JZZ46" s="595"/>
      <c r="KAA46" s="595"/>
      <c r="KAB46" s="595"/>
      <c r="KAC46" s="595"/>
      <c r="KAD46" s="595"/>
      <c r="KAE46" s="595"/>
      <c r="KAF46" s="595"/>
      <c r="KAG46" s="595"/>
      <c r="KAH46" s="595"/>
      <c r="KAI46" s="595"/>
      <c r="KAJ46" s="595"/>
      <c r="KAK46" s="595"/>
      <c r="KAL46" s="595"/>
      <c r="KAM46" s="595"/>
      <c r="KAN46" s="595"/>
      <c r="KAO46" s="595"/>
      <c r="KAP46" s="595"/>
      <c r="KAQ46" s="595"/>
      <c r="KAR46" s="595"/>
      <c r="KAS46" s="595"/>
      <c r="KAT46" s="595"/>
      <c r="KAU46" s="595"/>
      <c r="KAV46" s="595"/>
      <c r="KAW46" s="595"/>
      <c r="KAX46" s="595"/>
      <c r="KAY46" s="595"/>
      <c r="KAZ46" s="595"/>
      <c r="KBA46" s="595"/>
      <c r="KBB46" s="595"/>
      <c r="KBC46" s="595"/>
      <c r="KBD46" s="595"/>
      <c r="KBE46" s="595"/>
      <c r="KBF46" s="595"/>
      <c r="KBG46" s="595"/>
      <c r="KBH46" s="595"/>
      <c r="KBI46" s="595"/>
      <c r="KBJ46" s="595"/>
      <c r="KBK46" s="595"/>
      <c r="KBL46" s="595"/>
      <c r="KBM46" s="595"/>
      <c r="KBN46" s="595"/>
      <c r="KBO46" s="595"/>
      <c r="KBP46" s="595"/>
      <c r="KBQ46" s="595"/>
      <c r="KBR46" s="595"/>
      <c r="KBS46" s="595"/>
      <c r="KBT46" s="595"/>
      <c r="KBU46" s="595"/>
      <c r="KBV46" s="595"/>
      <c r="KBW46" s="595"/>
      <c r="KBX46" s="595"/>
      <c r="KBY46" s="595"/>
      <c r="KBZ46" s="595"/>
      <c r="KCA46" s="595"/>
      <c r="KCB46" s="595"/>
      <c r="KCC46" s="595"/>
      <c r="KCD46" s="595"/>
      <c r="KCE46" s="595"/>
      <c r="KCF46" s="595"/>
      <c r="KCG46" s="595"/>
      <c r="KCH46" s="595"/>
      <c r="KCI46" s="595"/>
      <c r="KCJ46" s="595"/>
      <c r="KCK46" s="595"/>
      <c r="KCL46" s="595"/>
      <c r="KCM46" s="595"/>
      <c r="KCN46" s="595"/>
      <c r="KCO46" s="595"/>
      <c r="KCP46" s="595"/>
      <c r="KCQ46" s="595"/>
      <c r="KCR46" s="595"/>
      <c r="KCS46" s="595"/>
      <c r="KCT46" s="595"/>
      <c r="KCU46" s="595"/>
      <c r="KCV46" s="595"/>
      <c r="KCW46" s="595"/>
      <c r="KCX46" s="595"/>
      <c r="KCY46" s="595"/>
      <c r="KCZ46" s="595"/>
      <c r="KDA46" s="595"/>
      <c r="KDB46" s="595"/>
      <c r="KDC46" s="595"/>
      <c r="KDD46" s="595"/>
      <c r="KDE46" s="595"/>
      <c r="KDF46" s="595"/>
      <c r="KDG46" s="595"/>
      <c r="KDH46" s="595"/>
      <c r="KDI46" s="595"/>
      <c r="KDJ46" s="595"/>
      <c r="KDK46" s="595"/>
      <c r="KDL46" s="595"/>
      <c r="KDM46" s="595"/>
      <c r="KDN46" s="595"/>
      <c r="KDO46" s="595"/>
      <c r="KDP46" s="595"/>
      <c r="KDQ46" s="595"/>
      <c r="KDR46" s="595"/>
      <c r="KDS46" s="595"/>
      <c r="KDT46" s="595"/>
      <c r="KDU46" s="595"/>
      <c r="KDV46" s="595"/>
      <c r="KDW46" s="595"/>
      <c r="KDX46" s="595"/>
      <c r="KDY46" s="595"/>
      <c r="KDZ46" s="595"/>
      <c r="KEA46" s="595"/>
      <c r="KEB46" s="595"/>
      <c r="KEC46" s="595"/>
      <c r="KED46" s="595"/>
      <c r="KEE46" s="595"/>
      <c r="KEF46" s="595"/>
      <c r="KEG46" s="595"/>
      <c r="KEH46" s="595"/>
      <c r="KEI46" s="595"/>
      <c r="KEJ46" s="595"/>
      <c r="KEK46" s="595"/>
      <c r="KEL46" s="595"/>
      <c r="KEM46" s="595"/>
      <c r="KEN46" s="595"/>
      <c r="KEO46" s="595"/>
      <c r="KEP46" s="595"/>
      <c r="KEQ46" s="595"/>
      <c r="KER46" s="595"/>
      <c r="KES46" s="595"/>
      <c r="KET46" s="595"/>
      <c r="KEU46" s="595"/>
      <c r="KEV46" s="595"/>
      <c r="KEW46" s="595"/>
      <c r="KEX46" s="595"/>
      <c r="KEY46" s="595"/>
      <c r="KEZ46" s="595"/>
      <c r="KFA46" s="595"/>
      <c r="KFB46" s="595"/>
      <c r="KFC46" s="595"/>
      <c r="KFD46" s="595"/>
      <c r="KFE46" s="595"/>
      <c r="KFF46" s="595"/>
      <c r="KFG46" s="595"/>
      <c r="KFH46" s="595"/>
      <c r="KFI46" s="595"/>
      <c r="KFJ46" s="595"/>
      <c r="KFK46" s="595"/>
      <c r="KFL46" s="595"/>
      <c r="KFM46" s="595"/>
      <c r="KFN46" s="595"/>
      <c r="KFO46" s="595"/>
      <c r="KFP46" s="595"/>
      <c r="KFQ46" s="595"/>
      <c r="KFR46" s="595"/>
      <c r="KFS46" s="595"/>
      <c r="KFT46" s="595"/>
      <c r="KFU46" s="595"/>
      <c r="KFV46" s="595"/>
      <c r="KFW46" s="595"/>
      <c r="KFX46" s="595"/>
      <c r="KFY46" s="595"/>
      <c r="KFZ46" s="595"/>
      <c r="KGA46" s="595"/>
      <c r="KGB46" s="595"/>
      <c r="KGC46" s="595"/>
      <c r="KGD46" s="595"/>
      <c r="KGE46" s="595"/>
      <c r="KGF46" s="595"/>
      <c r="KGG46" s="595"/>
      <c r="KGH46" s="595"/>
      <c r="KGI46" s="595"/>
      <c r="KGJ46" s="595"/>
      <c r="KGK46" s="595"/>
      <c r="KGL46" s="595"/>
      <c r="KGM46" s="595"/>
      <c r="KGN46" s="595"/>
      <c r="KGO46" s="595"/>
      <c r="KGP46" s="595"/>
      <c r="KGQ46" s="595"/>
      <c r="KGR46" s="595"/>
      <c r="KGS46" s="595"/>
      <c r="KGT46" s="595"/>
      <c r="KGU46" s="595"/>
      <c r="KGV46" s="595"/>
      <c r="KGW46" s="595"/>
      <c r="KGX46" s="595"/>
      <c r="KGY46" s="595"/>
      <c r="KGZ46" s="595"/>
      <c r="KHA46" s="595"/>
      <c r="KHB46" s="595"/>
      <c r="KHC46" s="595"/>
      <c r="KHD46" s="595"/>
      <c r="KHE46" s="595"/>
      <c r="KHF46" s="595"/>
      <c r="KHG46" s="595"/>
      <c r="KHH46" s="595"/>
      <c r="KHI46" s="595"/>
      <c r="KHJ46" s="595"/>
      <c r="KHK46" s="595"/>
      <c r="KHL46" s="595"/>
      <c r="KHM46" s="595"/>
      <c r="KHN46" s="595"/>
      <c r="KHO46" s="595"/>
      <c r="KHP46" s="595"/>
      <c r="KHQ46" s="595"/>
      <c r="KHR46" s="595"/>
      <c r="KHS46" s="595"/>
      <c r="KHT46" s="595"/>
      <c r="KHU46" s="595"/>
      <c r="KHV46" s="595"/>
      <c r="KHW46" s="595"/>
      <c r="KHX46" s="595"/>
      <c r="KHY46" s="595"/>
      <c r="KHZ46" s="595"/>
      <c r="KIA46" s="595"/>
      <c r="KIB46" s="595"/>
      <c r="KIC46" s="595"/>
      <c r="KID46" s="595"/>
      <c r="KIE46" s="595"/>
      <c r="KIF46" s="595"/>
      <c r="KIG46" s="595"/>
      <c r="KIH46" s="595"/>
      <c r="KII46" s="595"/>
      <c r="KIJ46" s="595"/>
      <c r="KIK46" s="595"/>
      <c r="KIL46" s="595"/>
      <c r="KIM46" s="595"/>
      <c r="KIN46" s="595"/>
      <c r="KIO46" s="595"/>
      <c r="KIP46" s="595"/>
      <c r="KIQ46" s="595"/>
      <c r="KIR46" s="595"/>
      <c r="KIS46" s="595"/>
      <c r="KIT46" s="595"/>
      <c r="KIU46" s="595"/>
      <c r="KIV46" s="595"/>
      <c r="KIW46" s="595"/>
      <c r="KIX46" s="595"/>
      <c r="KIY46" s="595"/>
      <c r="KIZ46" s="595"/>
      <c r="KJA46" s="595"/>
      <c r="KJB46" s="595"/>
      <c r="KJC46" s="595"/>
      <c r="KJD46" s="595"/>
      <c r="KJE46" s="595"/>
      <c r="KJF46" s="595"/>
      <c r="KJG46" s="595"/>
      <c r="KJH46" s="595"/>
      <c r="KJI46" s="595"/>
      <c r="KJJ46" s="595"/>
      <c r="KJK46" s="595"/>
      <c r="KJL46" s="595"/>
      <c r="KJM46" s="595"/>
      <c r="KJN46" s="595"/>
      <c r="KJO46" s="595"/>
      <c r="KJP46" s="595"/>
      <c r="KJQ46" s="595"/>
      <c r="KJR46" s="595"/>
      <c r="KJS46" s="595"/>
      <c r="KJT46" s="595"/>
      <c r="KJU46" s="595"/>
      <c r="KJV46" s="595"/>
      <c r="KJW46" s="595"/>
      <c r="KJX46" s="595"/>
      <c r="KJY46" s="595"/>
      <c r="KJZ46" s="595"/>
      <c r="KKA46" s="595"/>
      <c r="KKB46" s="595"/>
      <c r="KKC46" s="595"/>
      <c r="KKD46" s="595"/>
      <c r="KKE46" s="595"/>
      <c r="KKF46" s="595"/>
      <c r="KKG46" s="595"/>
      <c r="KKH46" s="595"/>
      <c r="KKI46" s="595"/>
      <c r="KKJ46" s="595"/>
      <c r="KKK46" s="595"/>
      <c r="KKL46" s="595"/>
      <c r="KKM46" s="595"/>
      <c r="KKN46" s="595"/>
      <c r="KKO46" s="595"/>
      <c r="KKP46" s="595"/>
      <c r="KKQ46" s="595"/>
      <c r="KKR46" s="595"/>
      <c r="KKS46" s="595"/>
      <c r="KKT46" s="595"/>
      <c r="KKU46" s="595"/>
      <c r="KKV46" s="595"/>
      <c r="KKW46" s="595"/>
      <c r="KKX46" s="595"/>
      <c r="KKY46" s="595"/>
      <c r="KKZ46" s="595"/>
      <c r="KLA46" s="595"/>
      <c r="KLB46" s="595"/>
      <c r="KLC46" s="595"/>
      <c r="KLD46" s="595"/>
      <c r="KLE46" s="595"/>
      <c r="KLF46" s="595"/>
      <c r="KLG46" s="595"/>
      <c r="KLH46" s="595"/>
      <c r="KLI46" s="595"/>
      <c r="KLJ46" s="595"/>
      <c r="KLK46" s="595"/>
      <c r="KLL46" s="595"/>
      <c r="KLM46" s="595"/>
      <c r="KLN46" s="595"/>
      <c r="KLO46" s="595"/>
      <c r="KLP46" s="595"/>
      <c r="KLQ46" s="595"/>
      <c r="KLR46" s="595"/>
      <c r="KLS46" s="595"/>
      <c r="KLT46" s="595"/>
      <c r="KLU46" s="595"/>
      <c r="KLV46" s="595"/>
      <c r="KLW46" s="595"/>
      <c r="KLX46" s="595"/>
      <c r="KLY46" s="595"/>
      <c r="KLZ46" s="595"/>
      <c r="KMA46" s="595"/>
      <c r="KMB46" s="595"/>
      <c r="KMC46" s="595"/>
      <c r="KMD46" s="595"/>
      <c r="KME46" s="595"/>
      <c r="KMF46" s="595"/>
      <c r="KMG46" s="595"/>
      <c r="KMH46" s="595"/>
      <c r="KMI46" s="595"/>
      <c r="KMJ46" s="595"/>
      <c r="KMK46" s="595"/>
      <c r="KML46" s="595"/>
      <c r="KMM46" s="595"/>
      <c r="KMN46" s="595"/>
      <c r="KMO46" s="595"/>
      <c r="KMP46" s="595"/>
      <c r="KMQ46" s="595"/>
      <c r="KMR46" s="595"/>
      <c r="KMS46" s="595"/>
      <c r="KMT46" s="595"/>
      <c r="KMU46" s="595"/>
      <c r="KMV46" s="595"/>
      <c r="KMW46" s="595"/>
      <c r="KMX46" s="595"/>
      <c r="KMY46" s="595"/>
      <c r="KMZ46" s="595"/>
      <c r="KNA46" s="595"/>
      <c r="KNB46" s="595"/>
      <c r="KNC46" s="595"/>
      <c r="KND46" s="595"/>
      <c r="KNE46" s="595"/>
      <c r="KNF46" s="595"/>
      <c r="KNG46" s="595"/>
      <c r="KNH46" s="595"/>
      <c r="KNI46" s="595"/>
      <c r="KNJ46" s="595"/>
      <c r="KNK46" s="595"/>
      <c r="KNL46" s="595"/>
      <c r="KNM46" s="595"/>
      <c r="KNN46" s="595"/>
      <c r="KNO46" s="595"/>
      <c r="KNP46" s="595"/>
      <c r="KNQ46" s="595"/>
      <c r="KNR46" s="595"/>
      <c r="KNS46" s="595"/>
      <c r="KNT46" s="595"/>
      <c r="KNU46" s="595"/>
      <c r="KNV46" s="595"/>
      <c r="KNW46" s="595"/>
      <c r="KNX46" s="595"/>
      <c r="KNY46" s="595"/>
      <c r="KNZ46" s="595"/>
      <c r="KOA46" s="595"/>
      <c r="KOB46" s="595"/>
      <c r="KOC46" s="595"/>
      <c r="KOD46" s="595"/>
      <c r="KOE46" s="595"/>
      <c r="KOF46" s="595"/>
      <c r="KOG46" s="595"/>
      <c r="KOH46" s="595"/>
      <c r="KOI46" s="595"/>
      <c r="KOJ46" s="595"/>
      <c r="KOK46" s="595"/>
      <c r="KOL46" s="595"/>
      <c r="KOM46" s="595"/>
      <c r="KON46" s="595"/>
      <c r="KOO46" s="595"/>
      <c r="KOP46" s="595"/>
      <c r="KOQ46" s="595"/>
      <c r="KOR46" s="595"/>
      <c r="KOS46" s="595"/>
      <c r="KOT46" s="595"/>
      <c r="KOU46" s="595"/>
      <c r="KOV46" s="595"/>
      <c r="KOW46" s="595"/>
      <c r="KOX46" s="595"/>
      <c r="KOY46" s="595"/>
      <c r="KOZ46" s="595"/>
      <c r="KPA46" s="595"/>
      <c r="KPB46" s="595"/>
      <c r="KPC46" s="595"/>
      <c r="KPD46" s="595"/>
      <c r="KPE46" s="595"/>
      <c r="KPF46" s="595"/>
      <c r="KPG46" s="595"/>
      <c r="KPH46" s="595"/>
      <c r="KPI46" s="595"/>
      <c r="KPJ46" s="595"/>
      <c r="KPK46" s="595"/>
      <c r="KPL46" s="595"/>
      <c r="KPM46" s="595"/>
      <c r="KPN46" s="595"/>
      <c r="KPO46" s="595"/>
      <c r="KPP46" s="595"/>
      <c r="KPQ46" s="595"/>
      <c r="KPR46" s="595"/>
      <c r="KPS46" s="595"/>
      <c r="KPT46" s="595"/>
      <c r="KPU46" s="595"/>
      <c r="KPV46" s="595"/>
      <c r="KPW46" s="595"/>
      <c r="KPX46" s="595"/>
      <c r="KPY46" s="595"/>
      <c r="KPZ46" s="595"/>
      <c r="KQA46" s="595"/>
      <c r="KQB46" s="595"/>
      <c r="KQC46" s="595"/>
      <c r="KQD46" s="595"/>
      <c r="KQE46" s="595"/>
      <c r="KQF46" s="595"/>
      <c r="KQG46" s="595"/>
      <c r="KQH46" s="595"/>
      <c r="KQI46" s="595"/>
      <c r="KQJ46" s="595"/>
      <c r="KQK46" s="595"/>
      <c r="KQL46" s="595"/>
      <c r="KQM46" s="595"/>
      <c r="KQN46" s="595"/>
      <c r="KQO46" s="595"/>
      <c r="KQP46" s="595"/>
      <c r="KQQ46" s="595"/>
      <c r="KQR46" s="595"/>
      <c r="KQS46" s="595"/>
      <c r="KQT46" s="595"/>
      <c r="KQU46" s="595"/>
      <c r="KQV46" s="595"/>
      <c r="KQW46" s="595"/>
      <c r="KQX46" s="595"/>
      <c r="KQY46" s="595"/>
      <c r="KQZ46" s="595"/>
      <c r="KRA46" s="595"/>
      <c r="KRB46" s="595"/>
      <c r="KRC46" s="595"/>
      <c r="KRD46" s="595"/>
      <c r="KRE46" s="595"/>
      <c r="KRF46" s="595"/>
      <c r="KRG46" s="595"/>
      <c r="KRH46" s="595"/>
      <c r="KRI46" s="595"/>
      <c r="KRJ46" s="595"/>
      <c r="KRK46" s="595"/>
      <c r="KRL46" s="595"/>
      <c r="KRM46" s="595"/>
      <c r="KRN46" s="595"/>
      <c r="KRO46" s="595"/>
      <c r="KRP46" s="595"/>
      <c r="KRQ46" s="595"/>
      <c r="KRR46" s="595"/>
      <c r="KRS46" s="595"/>
      <c r="KRT46" s="595"/>
      <c r="KRU46" s="595"/>
      <c r="KRV46" s="595"/>
      <c r="KRW46" s="595"/>
      <c r="KRX46" s="595"/>
      <c r="KRY46" s="595"/>
      <c r="KRZ46" s="595"/>
      <c r="KSA46" s="595"/>
      <c r="KSB46" s="595"/>
      <c r="KSC46" s="595"/>
      <c r="KSD46" s="595"/>
      <c r="KSE46" s="595"/>
      <c r="KSF46" s="595"/>
      <c r="KSG46" s="595"/>
      <c r="KSH46" s="595"/>
      <c r="KSI46" s="595"/>
      <c r="KSJ46" s="595"/>
      <c r="KSK46" s="595"/>
      <c r="KSL46" s="595"/>
      <c r="KSM46" s="595"/>
      <c r="KSN46" s="595"/>
      <c r="KSO46" s="595"/>
      <c r="KSP46" s="595"/>
      <c r="KSQ46" s="595"/>
      <c r="KSR46" s="595"/>
      <c r="KSS46" s="595"/>
      <c r="KST46" s="595"/>
      <c r="KSU46" s="595"/>
      <c r="KSV46" s="595"/>
      <c r="KSW46" s="595"/>
      <c r="KSX46" s="595"/>
      <c r="KSY46" s="595"/>
      <c r="KSZ46" s="595"/>
      <c r="KTA46" s="595"/>
      <c r="KTB46" s="595"/>
      <c r="KTC46" s="595"/>
      <c r="KTD46" s="595"/>
      <c r="KTE46" s="595"/>
      <c r="KTF46" s="595"/>
      <c r="KTG46" s="595"/>
      <c r="KTH46" s="595"/>
      <c r="KTI46" s="595"/>
      <c r="KTJ46" s="595"/>
      <c r="KTK46" s="595"/>
      <c r="KTL46" s="595"/>
      <c r="KTM46" s="595"/>
      <c r="KTN46" s="595"/>
      <c r="KTO46" s="595"/>
      <c r="KTP46" s="595"/>
      <c r="KTQ46" s="595"/>
      <c r="KTR46" s="595"/>
      <c r="KTS46" s="595"/>
      <c r="KTT46" s="595"/>
      <c r="KTU46" s="595"/>
      <c r="KTV46" s="595"/>
      <c r="KTW46" s="595"/>
      <c r="KTX46" s="595"/>
      <c r="KTY46" s="595"/>
      <c r="KTZ46" s="595"/>
      <c r="KUA46" s="595"/>
      <c r="KUB46" s="595"/>
      <c r="KUC46" s="595"/>
      <c r="KUD46" s="595"/>
      <c r="KUE46" s="595"/>
      <c r="KUF46" s="595"/>
      <c r="KUG46" s="595"/>
      <c r="KUH46" s="595"/>
      <c r="KUI46" s="595"/>
      <c r="KUJ46" s="595"/>
      <c r="KUK46" s="595"/>
      <c r="KUL46" s="595"/>
      <c r="KUM46" s="595"/>
      <c r="KUN46" s="595"/>
      <c r="KUO46" s="595"/>
      <c r="KUP46" s="595"/>
      <c r="KUQ46" s="595"/>
      <c r="KUR46" s="595"/>
      <c r="KUS46" s="595"/>
      <c r="KUT46" s="595"/>
      <c r="KUU46" s="595"/>
      <c r="KUV46" s="595"/>
      <c r="KUW46" s="595"/>
      <c r="KUX46" s="595"/>
      <c r="KUY46" s="595"/>
      <c r="KUZ46" s="595"/>
      <c r="KVA46" s="595"/>
      <c r="KVB46" s="595"/>
      <c r="KVC46" s="595"/>
      <c r="KVD46" s="595"/>
      <c r="KVE46" s="595"/>
      <c r="KVF46" s="595"/>
      <c r="KVG46" s="595"/>
      <c r="KVH46" s="595"/>
      <c r="KVI46" s="595"/>
      <c r="KVJ46" s="595"/>
      <c r="KVK46" s="595"/>
      <c r="KVL46" s="595"/>
      <c r="KVM46" s="595"/>
      <c r="KVN46" s="595"/>
      <c r="KVO46" s="595"/>
      <c r="KVP46" s="595"/>
      <c r="KVQ46" s="595"/>
      <c r="KVR46" s="595"/>
      <c r="KVS46" s="595"/>
      <c r="KVT46" s="595"/>
      <c r="KVU46" s="595"/>
      <c r="KVV46" s="595"/>
      <c r="KVW46" s="595"/>
      <c r="KVX46" s="595"/>
      <c r="KVY46" s="595"/>
      <c r="KVZ46" s="595"/>
      <c r="KWA46" s="595"/>
      <c r="KWB46" s="595"/>
      <c r="KWC46" s="595"/>
      <c r="KWD46" s="595"/>
      <c r="KWE46" s="595"/>
      <c r="KWF46" s="595"/>
      <c r="KWG46" s="595"/>
      <c r="KWH46" s="595"/>
      <c r="KWI46" s="595"/>
      <c r="KWJ46" s="595"/>
      <c r="KWK46" s="595"/>
      <c r="KWL46" s="595"/>
      <c r="KWM46" s="595"/>
      <c r="KWN46" s="595"/>
      <c r="KWO46" s="595"/>
      <c r="KWP46" s="595"/>
      <c r="KWQ46" s="595"/>
      <c r="KWR46" s="595"/>
      <c r="KWS46" s="595"/>
      <c r="KWT46" s="595"/>
      <c r="KWU46" s="595"/>
      <c r="KWV46" s="595"/>
      <c r="KWW46" s="595"/>
      <c r="KWX46" s="595"/>
      <c r="KWY46" s="595"/>
      <c r="KWZ46" s="595"/>
      <c r="KXA46" s="595"/>
      <c r="KXB46" s="595"/>
      <c r="KXC46" s="595"/>
      <c r="KXD46" s="595"/>
      <c r="KXE46" s="595"/>
      <c r="KXF46" s="595"/>
      <c r="KXG46" s="595"/>
      <c r="KXH46" s="595"/>
      <c r="KXI46" s="595"/>
      <c r="KXJ46" s="595"/>
      <c r="KXK46" s="595"/>
      <c r="KXL46" s="595"/>
      <c r="KXM46" s="595"/>
      <c r="KXN46" s="595"/>
      <c r="KXO46" s="595"/>
      <c r="KXP46" s="595"/>
      <c r="KXQ46" s="595"/>
      <c r="KXR46" s="595"/>
      <c r="KXS46" s="595"/>
      <c r="KXT46" s="595"/>
      <c r="KXU46" s="595"/>
      <c r="KXV46" s="595"/>
      <c r="KXW46" s="595"/>
      <c r="KXX46" s="595"/>
      <c r="KXY46" s="595"/>
      <c r="KXZ46" s="595"/>
      <c r="KYA46" s="595"/>
      <c r="KYB46" s="595"/>
      <c r="KYC46" s="595"/>
      <c r="KYD46" s="595"/>
      <c r="KYE46" s="595"/>
      <c r="KYF46" s="595"/>
      <c r="KYG46" s="595"/>
      <c r="KYH46" s="595"/>
      <c r="KYI46" s="595"/>
      <c r="KYJ46" s="595"/>
      <c r="KYK46" s="595"/>
      <c r="KYL46" s="595"/>
      <c r="KYM46" s="595"/>
      <c r="KYN46" s="595"/>
      <c r="KYO46" s="595"/>
      <c r="KYP46" s="595"/>
      <c r="KYQ46" s="595"/>
      <c r="KYR46" s="595"/>
      <c r="KYS46" s="595"/>
      <c r="KYT46" s="595"/>
      <c r="KYU46" s="595"/>
      <c r="KYV46" s="595"/>
      <c r="KYW46" s="595"/>
      <c r="KYX46" s="595"/>
      <c r="KYY46" s="595"/>
      <c r="KYZ46" s="595"/>
      <c r="KZA46" s="595"/>
      <c r="KZB46" s="595"/>
      <c r="KZC46" s="595"/>
      <c r="KZD46" s="595"/>
      <c r="KZE46" s="595"/>
      <c r="KZF46" s="595"/>
      <c r="KZG46" s="595"/>
      <c r="KZH46" s="595"/>
      <c r="KZI46" s="595"/>
      <c r="KZJ46" s="595"/>
      <c r="KZK46" s="595"/>
      <c r="KZL46" s="595"/>
      <c r="KZM46" s="595"/>
      <c r="KZN46" s="595"/>
      <c r="KZO46" s="595"/>
      <c r="KZP46" s="595"/>
      <c r="KZQ46" s="595"/>
      <c r="KZR46" s="595"/>
      <c r="KZS46" s="595"/>
      <c r="KZT46" s="595"/>
      <c r="KZU46" s="595"/>
      <c r="KZV46" s="595"/>
      <c r="KZW46" s="595"/>
      <c r="KZX46" s="595"/>
      <c r="KZY46" s="595"/>
      <c r="KZZ46" s="595"/>
      <c r="LAA46" s="595"/>
      <c r="LAB46" s="595"/>
      <c r="LAC46" s="595"/>
      <c r="LAD46" s="595"/>
      <c r="LAE46" s="595"/>
      <c r="LAF46" s="595"/>
      <c r="LAG46" s="595"/>
      <c r="LAH46" s="595"/>
      <c r="LAI46" s="595"/>
      <c r="LAJ46" s="595"/>
      <c r="LAK46" s="595"/>
      <c r="LAL46" s="595"/>
      <c r="LAM46" s="595"/>
      <c r="LAN46" s="595"/>
      <c r="LAO46" s="595"/>
      <c r="LAP46" s="595"/>
      <c r="LAQ46" s="595"/>
      <c r="LAR46" s="595"/>
      <c r="LAS46" s="595"/>
      <c r="LAT46" s="595"/>
      <c r="LAU46" s="595"/>
      <c r="LAV46" s="595"/>
      <c r="LAW46" s="595"/>
      <c r="LAX46" s="595"/>
      <c r="LAY46" s="595"/>
      <c r="LAZ46" s="595"/>
      <c r="LBA46" s="595"/>
      <c r="LBB46" s="595"/>
      <c r="LBC46" s="595"/>
      <c r="LBD46" s="595"/>
      <c r="LBE46" s="595"/>
      <c r="LBF46" s="595"/>
      <c r="LBG46" s="595"/>
      <c r="LBH46" s="595"/>
      <c r="LBI46" s="595"/>
      <c r="LBJ46" s="595"/>
      <c r="LBK46" s="595"/>
      <c r="LBL46" s="595"/>
      <c r="LBM46" s="595"/>
      <c r="LBN46" s="595"/>
      <c r="LBO46" s="595"/>
      <c r="LBP46" s="595"/>
      <c r="LBQ46" s="595"/>
      <c r="LBR46" s="595"/>
      <c r="LBS46" s="595"/>
      <c r="LBT46" s="595"/>
      <c r="LBU46" s="595"/>
      <c r="LBV46" s="595"/>
      <c r="LBW46" s="595"/>
      <c r="LBX46" s="595"/>
      <c r="LBY46" s="595"/>
      <c r="LBZ46" s="595"/>
      <c r="LCA46" s="595"/>
      <c r="LCB46" s="595"/>
      <c r="LCC46" s="595"/>
      <c r="LCD46" s="595"/>
      <c r="LCE46" s="595"/>
      <c r="LCF46" s="595"/>
      <c r="LCG46" s="595"/>
      <c r="LCH46" s="595"/>
      <c r="LCI46" s="595"/>
      <c r="LCJ46" s="595"/>
      <c r="LCK46" s="595"/>
      <c r="LCL46" s="595"/>
      <c r="LCM46" s="595"/>
      <c r="LCN46" s="595"/>
      <c r="LCO46" s="595"/>
      <c r="LCP46" s="595"/>
      <c r="LCQ46" s="595"/>
      <c r="LCR46" s="595"/>
      <c r="LCS46" s="595"/>
      <c r="LCT46" s="595"/>
      <c r="LCU46" s="595"/>
      <c r="LCV46" s="595"/>
      <c r="LCW46" s="595"/>
      <c r="LCX46" s="595"/>
      <c r="LCY46" s="595"/>
      <c r="LCZ46" s="595"/>
      <c r="LDA46" s="595"/>
      <c r="LDB46" s="595"/>
      <c r="LDC46" s="595"/>
      <c r="LDD46" s="595"/>
      <c r="LDE46" s="595"/>
      <c r="LDF46" s="595"/>
      <c r="LDG46" s="595"/>
      <c r="LDH46" s="595"/>
      <c r="LDI46" s="595"/>
      <c r="LDJ46" s="595"/>
      <c r="LDK46" s="595"/>
      <c r="LDL46" s="595"/>
      <c r="LDM46" s="595"/>
      <c r="LDN46" s="595"/>
      <c r="LDO46" s="595"/>
      <c r="LDP46" s="595"/>
      <c r="LDQ46" s="595"/>
      <c r="LDR46" s="595"/>
      <c r="LDS46" s="595"/>
      <c r="LDT46" s="595"/>
      <c r="LDU46" s="595"/>
      <c r="LDV46" s="595"/>
      <c r="LDW46" s="595"/>
      <c r="LDX46" s="595"/>
      <c r="LDY46" s="595"/>
      <c r="LDZ46" s="595"/>
      <c r="LEA46" s="595"/>
      <c r="LEB46" s="595"/>
      <c r="LEC46" s="595"/>
      <c r="LED46" s="595"/>
      <c r="LEE46" s="595"/>
      <c r="LEF46" s="595"/>
      <c r="LEG46" s="595"/>
      <c r="LEH46" s="595"/>
      <c r="LEI46" s="595"/>
      <c r="LEJ46" s="595"/>
      <c r="LEK46" s="595"/>
      <c r="LEL46" s="595"/>
      <c r="LEM46" s="595"/>
      <c r="LEN46" s="595"/>
      <c r="LEO46" s="595"/>
      <c r="LEP46" s="595"/>
      <c r="LEQ46" s="595"/>
      <c r="LER46" s="595"/>
      <c r="LES46" s="595"/>
      <c r="LET46" s="595"/>
      <c r="LEU46" s="595"/>
      <c r="LEV46" s="595"/>
      <c r="LEW46" s="595"/>
      <c r="LEX46" s="595"/>
      <c r="LEY46" s="595"/>
      <c r="LEZ46" s="595"/>
      <c r="LFA46" s="595"/>
      <c r="LFB46" s="595"/>
      <c r="LFC46" s="595"/>
      <c r="LFD46" s="595"/>
      <c r="LFE46" s="595"/>
      <c r="LFF46" s="595"/>
      <c r="LFG46" s="595"/>
      <c r="LFH46" s="595"/>
      <c r="LFI46" s="595"/>
      <c r="LFJ46" s="595"/>
      <c r="LFK46" s="595"/>
      <c r="LFL46" s="595"/>
      <c r="LFM46" s="595"/>
      <c r="LFN46" s="595"/>
      <c r="LFO46" s="595"/>
      <c r="LFP46" s="595"/>
      <c r="LFQ46" s="595"/>
      <c r="LFR46" s="595"/>
      <c r="LFS46" s="595"/>
      <c r="LFT46" s="595"/>
      <c r="LFU46" s="595"/>
      <c r="LFV46" s="595"/>
      <c r="LFW46" s="595"/>
      <c r="LFX46" s="595"/>
      <c r="LFY46" s="595"/>
      <c r="LFZ46" s="595"/>
      <c r="LGA46" s="595"/>
      <c r="LGB46" s="595"/>
      <c r="LGC46" s="595"/>
      <c r="LGD46" s="595"/>
      <c r="LGE46" s="595"/>
      <c r="LGF46" s="595"/>
      <c r="LGG46" s="595"/>
      <c r="LGH46" s="595"/>
      <c r="LGI46" s="595"/>
      <c r="LGJ46" s="595"/>
      <c r="LGK46" s="595"/>
      <c r="LGL46" s="595"/>
      <c r="LGM46" s="595"/>
      <c r="LGN46" s="595"/>
      <c r="LGO46" s="595"/>
      <c r="LGP46" s="595"/>
      <c r="LGQ46" s="595"/>
      <c r="LGR46" s="595"/>
      <c r="LGS46" s="595"/>
      <c r="LGT46" s="595"/>
      <c r="LGU46" s="595"/>
      <c r="LGV46" s="595"/>
      <c r="LGW46" s="595"/>
      <c r="LGX46" s="595"/>
      <c r="LGY46" s="595"/>
      <c r="LGZ46" s="595"/>
      <c r="LHA46" s="595"/>
      <c r="LHB46" s="595"/>
      <c r="LHC46" s="595"/>
      <c r="LHD46" s="595"/>
      <c r="LHE46" s="595"/>
      <c r="LHF46" s="595"/>
      <c r="LHG46" s="595"/>
      <c r="LHH46" s="595"/>
      <c r="LHI46" s="595"/>
      <c r="LHJ46" s="595"/>
      <c r="LHK46" s="595"/>
      <c r="LHL46" s="595"/>
      <c r="LHM46" s="595"/>
      <c r="LHN46" s="595"/>
      <c r="LHO46" s="595"/>
      <c r="LHP46" s="595"/>
      <c r="LHQ46" s="595"/>
      <c r="LHR46" s="595"/>
      <c r="LHS46" s="595"/>
      <c r="LHT46" s="595"/>
      <c r="LHU46" s="595"/>
      <c r="LHV46" s="595"/>
      <c r="LHW46" s="595"/>
      <c r="LHX46" s="595"/>
      <c r="LHY46" s="595"/>
      <c r="LHZ46" s="595"/>
      <c r="LIA46" s="595"/>
      <c r="LIB46" s="595"/>
      <c r="LIC46" s="595"/>
      <c r="LID46" s="595"/>
      <c r="LIE46" s="595"/>
      <c r="LIF46" s="595"/>
      <c r="LIG46" s="595"/>
      <c r="LIH46" s="595"/>
      <c r="LII46" s="595"/>
      <c r="LIJ46" s="595"/>
      <c r="LIK46" s="595"/>
      <c r="LIL46" s="595"/>
      <c r="LIM46" s="595"/>
      <c r="LIN46" s="595"/>
      <c r="LIO46" s="595"/>
      <c r="LIP46" s="595"/>
      <c r="LIQ46" s="595"/>
      <c r="LIR46" s="595"/>
      <c r="LIS46" s="595"/>
      <c r="LIT46" s="595"/>
      <c r="LIU46" s="595"/>
      <c r="LIV46" s="595"/>
      <c r="LIW46" s="595"/>
      <c r="LIX46" s="595"/>
      <c r="LIY46" s="595"/>
      <c r="LIZ46" s="595"/>
      <c r="LJA46" s="595"/>
      <c r="LJB46" s="595"/>
      <c r="LJC46" s="595"/>
      <c r="LJD46" s="595"/>
      <c r="LJE46" s="595"/>
      <c r="LJF46" s="595"/>
      <c r="LJG46" s="595"/>
      <c r="LJH46" s="595"/>
      <c r="LJI46" s="595"/>
      <c r="LJJ46" s="595"/>
      <c r="LJK46" s="595"/>
      <c r="LJL46" s="595"/>
      <c r="LJM46" s="595"/>
      <c r="LJN46" s="595"/>
      <c r="LJO46" s="595"/>
      <c r="LJP46" s="595"/>
      <c r="LJQ46" s="595"/>
      <c r="LJR46" s="595"/>
      <c r="LJS46" s="595"/>
      <c r="LJT46" s="595"/>
      <c r="LJU46" s="595"/>
      <c r="LJV46" s="595"/>
      <c r="LJW46" s="595"/>
      <c r="LJX46" s="595"/>
      <c r="LJY46" s="595"/>
      <c r="LJZ46" s="595"/>
      <c r="LKA46" s="595"/>
      <c r="LKB46" s="595"/>
      <c r="LKC46" s="595"/>
      <c r="LKD46" s="595"/>
      <c r="LKE46" s="595"/>
      <c r="LKF46" s="595"/>
      <c r="LKG46" s="595"/>
      <c r="LKH46" s="595"/>
      <c r="LKI46" s="595"/>
      <c r="LKJ46" s="595"/>
      <c r="LKK46" s="595"/>
      <c r="LKL46" s="595"/>
      <c r="LKM46" s="595"/>
      <c r="LKN46" s="595"/>
      <c r="LKO46" s="595"/>
      <c r="LKP46" s="595"/>
      <c r="LKQ46" s="595"/>
      <c r="LKR46" s="595"/>
      <c r="LKS46" s="595"/>
      <c r="LKT46" s="595"/>
      <c r="LKU46" s="595"/>
      <c r="LKV46" s="595"/>
      <c r="LKW46" s="595"/>
      <c r="LKX46" s="595"/>
      <c r="LKY46" s="595"/>
      <c r="LKZ46" s="595"/>
      <c r="LLA46" s="595"/>
      <c r="LLB46" s="595"/>
      <c r="LLC46" s="595"/>
      <c r="LLD46" s="595"/>
      <c r="LLE46" s="595"/>
      <c r="LLF46" s="595"/>
      <c r="LLG46" s="595"/>
      <c r="LLH46" s="595"/>
      <c r="LLI46" s="595"/>
      <c r="LLJ46" s="595"/>
      <c r="LLK46" s="595"/>
      <c r="LLL46" s="595"/>
      <c r="LLM46" s="595"/>
      <c r="LLN46" s="595"/>
      <c r="LLO46" s="595"/>
      <c r="LLP46" s="595"/>
      <c r="LLQ46" s="595"/>
      <c r="LLR46" s="595"/>
      <c r="LLS46" s="595"/>
      <c r="LLT46" s="595"/>
      <c r="LLU46" s="595"/>
      <c r="LLV46" s="595"/>
      <c r="LLW46" s="595"/>
      <c r="LLX46" s="595"/>
      <c r="LLY46" s="595"/>
      <c r="LLZ46" s="595"/>
      <c r="LMA46" s="595"/>
      <c r="LMB46" s="595"/>
      <c r="LMC46" s="595"/>
      <c r="LMD46" s="595"/>
      <c r="LME46" s="595"/>
      <c r="LMF46" s="595"/>
      <c r="LMG46" s="595"/>
      <c r="LMH46" s="595"/>
      <c r="LMI46" s="595"/>
      <c r="LMJ46" s="595"/>
      <c r="LMK46" s="595"/>
      <c r="LML46" s="595"/>
      <c r="LMM46" s="595"/>
      <c r="LMN46" s="595"/>
      <c r="LMO46" s="595"/>
      <c r="LMP46" s="595"/>
      <c r="LMQ46" s="595"/>
      <c r="LMR46" s="595"/>
      <c r="LMS46" s="595"/>
      <c r="LMT46" s="595"/>
      <c r="LMU46" s="595"/>
      <c r="LMV46" s="595"/>
      <c r="LMW46" s="595"/>
      <c r="LMX46" s="595"/>
      <c r="LMY46" s="595"/>
      <c r="LMZ46" s="595"/>
      <c r="LNA46" s="595"/>
      <c r="LNB46" s="595"/>
      <c r="LNC46" s="595"/>
      <c r="LND46" s="595"/>
      <c r="LNE46" s="595"/>
      <c r="LNF46" s="595"/>
      <c r="LNG46" s="595"/>
      <c r="LNH46" s="595"/>
      <c r="LNI46" s="595"/>
      <c r="LNJ46" s="595"/>
      <c r="LNK46" s="595"/>
      <c r="LNL46" s="595"/>
      <c r="LNM46" s="595"/>
      <c r="LNN46" s="595"/>
      <c r="LNO46" s="595"/>
      <c r="LNP46" s="595"/>
      <c r="LNQ46" s="595"/>
      <c r="LNR46" s="595"/>
      <c r="LNS46" s="595"/>
      <c r="LNT46" s="595"/>
      <c r="LNU46" s="595"/>
      <c r="LNV46" s="595"/>
      <c r="LNW46" s="595"/>
      <c r="LNX46" s="595"/>
      <c r="LNY46" s="595"/>
      <c r="LNZ46" s="595"/>
      <c r="LOA46" s="595"/>
      <c r="LOB46" s="595"/>
      <c r="LOC46" s="595"/>
      <c r="LOD46" s="595"/>
      <c r="LOE46" s="595"/>
      <c r="LOF46" s="595"/>
      <c r="LOG46" s="595"/>
      <c r="LOH46" s="595"/>
      <c r="LOI46" s="595"/>
      <c r="LOJ46" s="595"/>
      <c r="LOK46" s="595"/>
      <c r="LOL46" s="595"/>
      <c r="LOM46" s="595"/>
      <c r="LON46" s="595"/>
      <c r="LOO46" s="595"/>
      <c r="LOP46" s="595"/>
      <c r="LOQ46" s="595"/>
      <c r="LOR46" s="595"/>
      <c r="LOS46" s="595"/>
      <c r="LOT46" s="595"/>
      <c r="LOU46" s="595"/>
      <c r="LOV46" s="595"/>
      <c r="LOW46" s="595"/>
      <c r="LOX46" s="595"/>
      <c r="LOY46" s="595"/>
      <c r="LOZ46" s="595"/>
      <c r="LPA46" s="595"/>
      <c r="LPB46" s="595"/>
      <c r="LPC46" s="595"/>
      <c r="LPD46" s="595"/>
      <c r="LPE46" s="595"/>
      <c r="LPF46" s="595"/>
      <c r="LPG46" s="595"/>
      <c r="LPH46" s="595"/>
      <c r="LPI46" s="595"/>
      <c r="LPJ46" s="595"/>
      <c r="LPK46" s="595"/>
      <c r="LPL46" s="595"/>
      <c r="LPM46" s="595"/>
      <c r="LPN46" s="595"/>
      <c r="LPO46" s="595"/>
      <c r="LPP46" s="595"/>
      <c r="LPQ46" s="595"/>
      <c r="LPR46" s="595"/>
      <c r="LPS46" s="595"/>
      <c r="LPT46" s="595"/>
      <c r="LPU46" s="595"/>
      <c r="LPV46" s="595"/>
      <c r="LPW46" s="595"/>
      <c r="LPX46" s="595"/>
      <c r="LPY46" s="595"/>
      <c r="LPZ46" s="595"/>
      <c r="LQA46" s="595"/>
      <c r="LQB46" s="595"/>
      <c r="LQC46" s="595"/>
      <c r="LQD46" s="595"/>
      <c r="LQE46" s="595"/>
      <c r="LQF46" s="595"/>
      <c r="LQG46" s="595"/>
      <c r="LQH46" s="595"/>
      <c r="LQI46" s="595"/>
      <c r="LQJ46" s="595"/>
      <c r="LQK46" s="595"/>
      <c r="LQL46" s="595"/>
      <c r="LQM46" s="595"/>
      <c r="LQN46" s="595"/>
      <c r="LQO46" s="595"/>
      <c r="LQP46" s="595"/>
      <c r="LQQ46" s="595"/>
      <c r="LQR46" s="595"/>
      <c r="LQS46" s="595"/>
      <c r="LQT46" s="595"/>
      <c r="LQU46" s="595"/>
      <c r="LQV46" s="595"/>
      <c r="LQW46" s="595"/>
      <c r="LQX46" s="595"/>
      <c r="LQY46" s="595"/>
      <c r="LQZ46" s="595"/>
      <c r="LRA46" s="595"/>
      <c r="LRB46" s="595"/>
      <c r="LRC46" s="595"/>
      <c r="LRD46" s="595"/>
      <c r="LRE46" s="595"/>
      <c r="LRF46" s="595"/>
      <c r="LRG46" s="595"/>
      <c r="LRH46" s="595"/>
      <c r="LRI46" s="595"/>
      <c r="LRJ46" s="595"/>
      <c r="LRK46" s="595"/>
      <c r="LRL46" s="595"/>
      <c r="LRM46" s="595"/>
      <c r="LRN46" s="595"/>
      <c r="LRO46" s="595"/>
      <c r="LRP46" s="595"/>
      <c r="LRQ46" s="595"/>
      <c r="LRR46" s="595"/>
      <c r="LRS46" s="595"/>
      <c r="LRT46" s="595"/>
      <c r="LRU46" s="595"/>
      <c r="LRV46" s="595"/>
      <c r="LRW46" s="595"/>
      <c r="LRX46" s="595"/>
      <c r="LRY46" s="595"/>
      <c r="LRZ46" s="595"/>
      <c r="LSA46" s="595"/>
      <c r="LSB46" s="595"/>
      <c r="LSC46" s="595"/>
      <c r="LSD46" s="595"/>
      <c r="LSE46" s="595"/>
      <c r="LSF46" s="595"/>
      <c r="LSG46" s="595"/>
      <c r="LSH46" s="595"/>
      <c r="LSI46" s="595"/>
      <c r="LSJ46" s="595"/>
      <c r="LSK46" s="595"/>
      <c r="LSL46" s="595"/>
      <c r="LSM46" s="595"/>
      <c r="LSN46" s="595"/>
      <c r="LSO46" s="595"/>
      <c r="LSP46" s="595"/>
      <c r="LSQ46" s="595"/>
      <c r="LSR46" s="595"/>
      <c r="LSS46" s="595"/>
      <c r="LST46" s="595"/>
      <c r="LSU46" s="595"/>
      <c r="LSV46" s="595"/>
      <c r="LSW46" s="595"/>
      <c r="LSX46" s="595"/>
      <c r="LSY46" s="595"/>
      <c r="LSZ46" s="595"/>
      <c r="LTA46" s="595"/>
      <c r="LTB46" s="595"/>
      <c r="LTC46" s="595"/>
      <c r="LTD46" s="595"/>
      <c r="LTE46" s="595"/>
      <c r="LTF46" s="595"/>
      <c r="LTG46" s="595"/>
      <c r="LTH46" s="595"/>
      <c r="LTI46" s="595"/>
      <c r="LTJ46" s="595"/>
      <c r="LTK46" s="595"/>
      <c r="LTL46" s="595"/>
      <c r="LTM46" s="595"/>
      <c r="LTN46" s="595"/>
      <c r="LTO46" s="595"/>
      <c r="LTP46" s="595"/>
      <c r="LTQ46" s="595"/>
      <c r="LTR46" s="595"/>
      <c r="LTS46" s="595"/>
      <c r="LTT46" s="595"/>
      <c r="LTU46" s="595"/>
      <c r="LTV46" s="595"/>
      <c r="LTW46" s="595"/>
      <c r="LTX46" s="595"/>
      <c r="LTY46" s="595"/>
      <c r="LTZ46" s="595"/>
      <c r="LUA46" s="595"/>
      <c r="LUB46" s="595"/>
      <c r="LUC46" s="595"/>
      <c r="LUD46" s="595"/>
      <c r="LUE46" s="595"/>
      <c r="LUF46" s="595"/>
      <c r="LUG46" s="595"/>
      <c r="LUH46" s="595"/>
      <c r="LUI46" s="595"/>
      <c r="LUJ46" s="595"/>
      <c r="LUK46" s="595"/>
      <c r="LUL46" s="595"/>
      <c r="LUM46" s="595"/>
      <c r="LUN46" s="595"/>
      <c r="LUO46" s="595"/>
      <c r="LUP46" s="595"/>
      <c r="LUQ46" s="595"/>
      <c r="LUR46" s="595"/>
      <c r="LUS46" s="595"/>
      <c r="LUT46" s="595"/>
      <c r="LUU46" s="595"/>
      <c r="LUV46" s="595"/>
      <c r="LUW46" s="595"/>
      <c r="LUX46" s="595"/>
      <c r="LUY46" s="595"/>
      <c r="LUZ46" s="595"/>
      <c r="LVA46" s="595"/>
      <c r="LVB46" s="595"/>
      <c r="LVC46" s="595"/>
      <c r="LVD46" s="595"/>
      <c r="LVE46" s="595"/>
      <c r="LVF46" s="595"/>
      <c r="LVG46" s="595"/>
      <c r="LVH46" s="595"/>
      <c r="LVI46" s="595"/>
      <c r="LVJ46" s="595"/>
      <c r="LVK46" s="595"/>
      <c r="LVL46" s="595"/>
      <c r="LVM46" s="595"/>
      <c r="LVN46" s="595"/>
      <c r="LVO46" s="595"/>
      <c r="LVP46" s="595"/>
      <c r="LVQ46" s="595"/>
      <c r="LVR46" s="595"/>
      <c r="LVS46" s="595"/>
      <c r="LVT46" s="595"/>
      <c r="LVU46" s="595"/>
      <c r="LVV46" s="595"/>
      <c r="LVW46" s="595"/>
      <c r="LVX46" s="595"/>
      <c r="LVY46" s="595"/>
      <c r="LVZ46" s="595"/>
      <c r="LWA46" s="595"/>
      <c r="LWB46" s="595"/>
      <c r="LWC46" s="595"/>
      <c r="LWD46" s="595"/>
      <c r="LWE46" s="595"/>
      <c r="LWF46" s="595"/>
      <c r="LWG46" s="595"/>
      <c r="LWH46" s="595"/>
      <c r="LWI46" s="595"/>
      <c r="LWJ46" s="595"/>
      <c r="LWK46" s="595"/>
      <c r="LWL46" s="595"/>
      <c r="LWM46" s="595"/>
      <c r="LWN46" s="595"/>
      <c r="LWO46" s="595"/>
      <c r="LWP46" s="595"/>
      <c r="LWQ46" s="595"/>
      <c r="LWR46" s="595"/>
      <c r="LWS46" s="595"/>
      <c r="LWT46" s="595"/>
      <c r="LWU46" s="595"/>
      <c r="LWV46" s="595"/>
      <c r="LWW46" s="595"/>
      <c r="LWX46" s="595"/>
      <c r="LWY46" s="595"/>
      <c r="LWZ46" s="595"/>
      <c r="LXA46" s="595"/>
      <c r="LXB46" s="595"/>
      <c r="LXC46" s="595"/>
      <c r="LXD46" s="595"/>
      <c r="LXE46" s="595"/>
      <c r="LXF46" s="595"/>
      <c r="LXG46" s="595"/>
      <c r="LXH46" s="595"/>
      <c r="LXI46" s="595"/>
      <c r="LXJ46" s="595"/>
      <c r="LXK46" s="595"/>
      <c r="LXL46" s="595"/>
      <c r="LXM46" s="595"/>
      <c r="LXN46" s="595"/>
      <c r="LXO46" s="595"/>
      <c r="LXP46" s="595"/>
      <c r="LXQ46" s="595"/>
      <c r="LXR46" s="595"/>
      <c r="LXS46" s="595"/>
      <c r="LXT46" s="595"/>
      <c r="LXU46" s="595"/>
      <c r="LXV46" s="595"/>
      <c r="LXW46" s="595"/>
      <c r="LXX46" s="595"/>
      <c r="LXY46" s="595"/>
      <c r="LXZ46" s="595"/>
      <c r="LYA46" s="595"/>
      <c r="LYB46" s="595"/>
      <c r="LYC46" s="595"/>
      <c r="LYD46" s="595"/>
      <c r="LYE46" s="595"/>
      <c r="LYF46" s="595"/>
      <c r="LYG46" s="595"/>
      <c r="LYH46" s="595"/>
      <c r="LYI46" s="595"/>
      <c r="LYJ46" s="595"/>
      <c r="LYK46" s="595"/>
      <c r="LYL46" s="595"/>
      <c r="LYM46" s="595"/>
      <c r="LYN46" s="595"/>
      <c r="LYO46" s="595"/>
      <c r="LYP46" s="595"/>
      <c r="LYQ46" s="595"/>
      <c r="LYR46" s="595"/>
      <c r="LYS46" s="595"/>
      <c r="LYT46" s="595"/>
      <c r="LYU46" s="595"/>
      <c r="LYV46" s="595"/>
      <c r="LYW46" s="595"/>
      <c r="LYX46" s="595"/>
      <c r="LYY46" s="595"/>
      <c r="LYZ46" s="595"/>
      <c r="LZA46" s="595"/>
      <c r="LZB46" s="595"/>
      <c r="LZC46" s="595"/>
      <c r="LZD46" s="595"/>
      <c r="LZE46" s="595"/>
      <c r="LZF46" s="595"/>
      <c r="LZG46" s="595"/>
      <c r="LZH46" s="595"/>
      <c r="LZI46" s="595"/>
      <c r="LZJ46" s="595"/>
      <c r="LZK46" s="595"/>
      <c r="LZL46" s="595"/>
      <c r="LZM46" s="595"/>
      <c r="LZN46" s="595"/>
      <c r="LZO46" s="595"/>
      <c r="LZP46" s="595"/>
      <c r="LZQ46" s="595"/>
      <c r="LZR46" s="595"/>
      <c r="LZS46" s="595"/>
      <c r="LZT46" s="595"/>
      <c r="LZU46" s="595"/>
      <c r="LZV46" s="595"/>
      <c r="LZW46" s="595"/>
      <c r="LZX46" s="595"/>
      <c r="LZY46" s="595"/>
      <c r="LZZ46" s="595"/>
      <c r="MAA46" s="595"/>
      <c r="MAB46" s="595"/>
      <c r="MAC46" s="595"/>
      <c r="MAD46" s="595"/>
      <c r="MAE46" s="595"/>
      <c r="MAF46" s="595"/>
      <c r="MAG46" s="595"/>
      <c r="MAH46" s="595"/>
      <c r="MAI46" s="595"/>
      <c r="MAJ46" s="595"/>
      <c r="MAK46" s="595"/>
      <c r="MAL46" s="595"/>
      <c r="MAM46" s="595"/>
      <c r="MAN46" s="595"/>
      <c r="MAO46" s="595"/>
      <c r="MAP46" s="595"/>
      <c r="MAQ46" s="595"/>
      <c r="MAR46" s="595"/>
      <c r="MAS46" s="595"/>
      <c r="MAT46" s="595"/>
      <c r="MAU46" s="595"/>
      <c r="MAV46" s="595"/>
      <c r="MAW46" s="595"/>
      <c r="MAX46" s="595"/>
      <c r="MAY46" s="595"/>
      <c r="MAZ46" s="595"/>
      <c r="MBA46" s="595"/>
      <c r="MBB46" s="595"/>
      <c r="MBC46" s="595"/>
      <c r="MBD46" s="595"/>
      <c r="MBE46" s="595"/>
      <c r="MBF46" s="595"/>
      <c r="MBG46" s="595"/>
      <c r="MBH46" s="595"/>
      <c r="MBI46" s="595"/>
      <c r="MBJ46" s="595"/>
      <c r="MBK46" s="595"/>
      <c r="MBL46" s="595"/>
      <c r="MBM46" s="595"/>
      <c r="MBN46" s="595"/>
      <c r="MBO46" s="595"/>
      <c r="MBP46" s="595"/>
      <c r="MBQ46" s="595"/>
      <c r="MBR46" s="595"/>
      <c r="MBS46" s="595"/>
      <c r="MBT46" s="595"/>
      <c r="MBU46" s="595"/>
      <c r="MBV46" s="595"/>
      <c r="MBW46" s="595"/>
      <c r="MBX46" s="595"/>
      <c r="MBY46" s="595"/>
      <c r="MBZ46" s="595"/>
      <c r="MCA46" s="595"/>
      <c r="MCB46" s="595"/>
      <c r="MCC46" s="595"/>
      <c r="MCD46" s="595"/>
      <c r="MCE46" s="595"/>
      <c r="MCF46" s="595"/>
      <c r="MCG46" s="595"/>
      <c r="MCH46" s="595"/>
      <c r="MCI46" s="595"/>
      <c r="MCJ46" s="595"/>
      <c r="MCK46" s="595"/>
      <c r="MCL46" s="595"/>
      <c r="MCM46" s="595"/>
      <c r="MCN46" s="595"/>
      <c r="MCO46" s="595"/>
      <c r="MCP46" s="595"/>
      <c r="MCQ46" s="595"/>
      <c r="MCR46" s="595"/>
      <c r="MCS46" s="595"/>
      <c r="MCT46" s="595"/>
      <c r="MCU46" s="595"/>
      <c r="MCV46" s="595"/>
      <c r="MCW46" s="595"/>
      <c r="MCX46" s="595"/>
      <c r="MCY46" s="595"/>
      <c r="MCZ46" s="595"/>
      <c r="MDA46" s="595"/>
      <c r="MDB46" s="595"/>
      <c r="MDC46" s="595"/>
      <c r="MDD46" s="595"/>
      <c r="MDE46" s="595"/>
      <c r="MDF46" s="595"/>
      <c r="MDG46" s="595"/>
      <c r="MDH46" s="595"/>
      <c r="MDI46" s="595"/>
      <c r="MDJ46" s="595"/>
      <c r="MDK46" s="595"/>
      <c r="MDL46" s="595"/>
      <c r="MDM46" s="595"/>
      <c r="MDN46" s="595"/>
      <c r="MDO46" s="595"/>
      <c r="MDP46" s="595"/>
      <c r="MDQ46" s="595"/>
      <c r="MDR46" s="595"/>
      <c r="MDS46" s="595"/>
      <c r="MDT46" s="595"/>
      <c r="MDU46" s="595"/>
      <c r="MDV46" s="595"/>
      <c r="MDW46" s="595"/>
      <c r="MDX46" s="595"/>
      <c r="MDY46" s="595"/>
      <c r="MDZ46" s="595"/>
      <c r="MEA46" s="595"/>
      <c r="MEB46" s="595"/>
      <c r="MEC46" s="595"/>
      <c r="MED46" s="595"/>
      <c r="MEE46" s="595"/>
      <c r="MEF46" s="595"/>
      <c r="MEG46" s="595"/>
      <c r="MEH46" s="595"/>
      <c r="MEI46" s="595"/>
      <c r="MEJ46" s="595"/>
      <c r="MEK46" s="595"/>
      <c r="MEL46" s="595"/>
      <c r="MEM46" s="595"/>
      <c r="MEN46" s="595"/>
      <c r="MEO46" s="595"/>
      <c r="MEP46" s="595"/>
      <c r="MEQ46" s="595"/>
      <c r="MER46" s="595"/>
      <c r="MES46" s="595"/>
      <c r="MET46" s="595"/>
      <c r="MEU46" s="595"/>
      <c r="MEV46" s="595"/>
      <c r="MEW46" s="595"/>
      <c r="MEX46" s="595"/>
      <c r="MEY46" s="595"/>
      <c r="MEZ46" s="595"/>
      <c r="MFA46" s="595"/>
      <c r="MFB46" s="595"/>
      <c r="MFC46" s="595"/>
      <c r="MFD46" s="595"/>
      <c r="MFE46" s="595"/>
      <c r="MFF46" s="595"/>
      <c r="MFG46" s="595"/>
      <c r="MFH46" s="595"/>
      <c r="MFI46" s="595"/>
      <c r="MFJ46" s="595"/>
      <c r="MFK46" s="595"/>
      <c r="MFL46" s="595"/>
      <c r="MFM46" s="595"/>
      <c r="MFN46" s="595"/>
      <c r="MFO46" s="595"/>
      <c r="MFP46" s="595"/>
      <c r="MFQ46" s="595"/>
      <c r="MFR46" s="595"/>
      <c r="MFS46" s="595"/>
      <c r="MFT46" s="595"/>
      <c r="MFU46" s="595"/>
      <c r="MFV46" s="595"/>
      <c r="MFW46" s="595"/>
      <c r="MFX46" s="595"/>
      <c r="MFY46" s="595"/>
      <c r="MFZ46" s="595"/>
      <c r="MGA46" s="595"/>
      <c r="MGB46" s="595"/>
      <c r="MGC46" s="595"/>
      <c r="MGD46" s="595"/>
      <c r="MGE46" s="595"/>
      <c r="MGF46" s="595"/>
      <c r="MGG46" s="595"/>
      <c r="MGH46" s="595"/>
      <c r="MGI46" s="595"/>
      <c r="MGJ46" s="595"/>
      <c r="MGK46" s="595"/>
      <c r="MGL46" s="595"/>
      <c r="MGM46" s="595"/>
      <c r="MGN46" s="595"/>
      <c r="MGO46" s="595"/>
      <c r="MGP46" s="595"/>
      <c r="MGQ46" s="595"/>
      <c r="MGR46" s="595"/>
      <c r="MGS46" s="595"/>
      <c r="MGT46" s="595"/>
      <c r="MGU46" s="595"/>
      <c r="MGV46" s="595"/>
      <c r="MGW46" s="595"/>
      <c r="MGX46" s="595"/>
      <c r="MGY46" s="595"/>
      <c r="MGZ46" s="595"/>
      <c r="MHA46" s="595"/>
      <c r="MHB46" s="595"/>
      <c r="MHC46" s="595"/>
      <c r="MHD46" s="595"/>
      <c r="MHE46" s="595"/>
      <c r="MHF46" s="595"/>
      <c r="MHG46" s="595"/>
      <c r="MHH46" s="595"/>
      <c r="MHI46" s="595"/>
      <c r="MHJ46" s="595"/>
      <c r="MHK46" s="595"/>
      <c r="MHL46" s="595"/>
      <c r="MHM46" s="595"/>
      <c r="MHN46" s="595"/>
      <c r="MHO46" s="595"/>
      <c r="MHP46" s="595"/>
      <c r="MHQ46" s="595"/>
      <c r="MHR46" s="595"/>
      <c r="MHS46" s="595"/>
      <c r="MHT46" s="595"/>
      <c r="MHU46" s="595"/>
      <c r="MHV46" s="595"/>
      <c r="MHW46" s="595"/>
      <c r="MHX46" s="595"/>
      <c r="MHY46" s="595"/>
      <c r="MHZ46" s="595"/>
      <c r="MIA46" s="595"/>
      <c r="MIB46" s="595"/>
      <c r="MIC46" s="595"/>
      <c r="MID46" s="595"/>
      <c r="MIE46" s="595"/>
      <c r="MIF46" s="595"/>
      <c r="MIG46" s="595"/>
      <c r="MIH46" s="595"/>
      <c r="MII46" s="595"/>
      <c r="MIJ46" s="595"/>
      <c r="MIK46" s="595"/>
      <c r="MIL46" s="595"/>
      <c r="MIM46" s="595"/>
      <c r="MIN46" s="595"/>
      <c r="MIO46" s="595"/>
      <c r="MIP46" s="595"/>
      <c r="MIQ46" s="595"/>
      <c r="MIR46" s="595"/>
      <c r="MIS46" s="595"/>
      <c r="MIT46" s="595"/>
      <c r="MIU46" s="595"/>
      <c r="MIV46" s="595"/>
      <c r="MIW46" s="595"/>
      <c r="MIX46" s="595"/>
      <c r="MIY46" s="595"/>
      <c r="MIZ46" s="595"/>
      <c r="MJA46" s="595"/>
      <c r="MJB46" s="595"/>
      <c r="MJC46" s="595"/>
      <c r="MJD46" s="595"/>
      <c r="MJE46" s="595"/>
      <c r="MJF46" s="595"/>
      <c r="MJG46" s="595"/>
      <c r="MJH46" s="595"/>
      <c r="MJI46" s="595"/>
      <c r="MJJ46" s="595"/>
      <c r="MJK46" s="595"/>
      <c r="MJL46" s="595"/>
      <c r="MJM46" s="595"/>
      <c r="MJN46" s="595"/>
      <c r="MJO46" s="595"/>
      <c r="MJP46" s="595"/>
      <c r="MJQ46" s="595"/>
      <c r="MJR46" s="595"/>
      <c r="MJS46" s="595"/>
      <c r="MJT46" s="595"/>
      <c r="MJU46" s="595"/>
      <c r="MJV46" s="595"/>
      <c r="MJW46" s="595"/>
      <c r="MJX46" s="595"/>
      <c r="MJY46" s="595"/>
      <c r="MJZ46" s="595"/>
      <c r="MKA46" s="595"/>
      <c r="MKB46" s="595"/>
      <c r="MKC46" s="595"/>
      <c r="MKD46" s="595"/>
      <c r="MKE46" s="595"/>
      <c r="MKF46" s="595"/>
      <c r="MKG46" s="595"/>
      <c r="MKH46" s="595"/>
      <c r="MKI46" s="595"/>
      <c r="MKJ46" s="595"/>
      <c r="MKK46" s="595"/>
      <c r="MKL46" s="595"/>
      <c r="MKM46" s="595"/>
      <c r="MKN46" s="595"/>
      <c r="MKO46" s="595"/>
      <c r="MKP46" s="595"/>
      <c r="MKQ46" s="595"/>
      <c r="MKR46" s="595"/>
      <c r="MKS46" s="595"/>
      <c r="MKT46" s="595"/>
      <c r="MKU46" s="595"/>
      <c r="MKV46" s="595"/>
      <c r="MKW46" s="595"/>
      <c r="MKX46" s="595"/>
      <c r="MKY46" s="595"/>
      <c r="MKZ46" s="595"/>
      <c r="MLA46" s="595"/>
      <c r="MLB46" s="595"/>
      <c r="MLC46" s="595"/>
      <c r="MLD46" s="595"/>
      <c r="MLE46" s="595"/>
      <c r="MLF46" s="595"/>
      <c r="MLG46" s="595"/>
      <c r="MLH46" s="595"/>
      <c r="MLI46" s="595"/>
      <c r="MLJ46" s="595"/>
      <c r="MLK46" s="595"/>
      <c r="MLL46" s="595"/>
      <c r="MLM46" s="595"/>
      <c r="MLN46" s="595"/>
      <c r="MLO46" s="595"/>
      <c r="MLP46" s="595"/>
      <c r="MLQ46" s="595"/>
      <c r="MLR46" s="595"/>
      <c r="MLS46" s="595"/>
      <c r="MLT46" s="595"/>
      <c r="MLU46" s="595"/>
      <c r="MLV46" s="595"/>
      <c r="MLW46" s="595"/>
      <c r="MLX46" s="595"/>
      <c r="MLY46" s="595"/>
      <c r="MLZ46" s="595"/>
      <c r="MMA46" s="595"/>
      <c r="MMB46" s="595"/>
      <c r="MMC46" s="595"/>
      <c r="MMD46" s="595"/>
      <c r="MME46" s="595"/>
      <c r="MMF46" s="595"/>
      <c r="MMG46" s="595"/>
      <c r="MMH46" s="595"/>
      <c r="MMI46" s="595"/>
      <c r="MMJ46" s="595"/>
      <c r="MMK46" s="595"/>
      <c r="MML46" s="595"/>
      <c r="MMM46" s="595"/>
      <c r="MMN46" s="595"/>
      <c r="MMO46" s="595"/>
      <c r="MMP46" s="595"/>
      <c r="MMQ46" s="595"/>
      <c r="MMR46" s="595"/>
      <c r="MMS46" s="595"/>
      <c r="MMT46" s="595"/>
      <c r="MMU46" s="595"/>
      <c r="MMV46" s="595"/>
      <c r="MMW46" s="595"/>
      <c r="MMX46" s="595"/>
      <c r="MMY46" s="595"/>
      <c r="MMZ46" s="595"/>
      <c r="MNA46" s="595"/>
      <c r="MNB46" s="595"/>
      <c r="MNC46" s="595"/>
      <c r="MND46" s="595"/>
      <c r="MNE46" s="595"/>
      <c r="MNF46" s="595"/>
      <c r="MNG46" s="595"/>
      <c r="MNH46" s="595"/>
      <c r="MNI46" s="595"/>
      <c r="MNJ46" s="595"/>
      <c r="MNK46" s="595"/>
      <c r="MNL46" s="595"/>
      <c r="MNM46" s="595"/>
      <c r="MNN46" s="595"/>
      <c r="MNO46" s="595"/>
      <c r="MNP46" s="595"/>
      <c r="MNQ46" s="595"/>
      <c r="MNR46" s="595"/>
      <c r="MNS46" s="595"/>
      <c r="MNT46" s="595"/>
      <c r="MNU46" s="595"/>
      <c r="MNV46" s="595"/>
      <c r="MNW46" s="595"/>
      <c r="MNX46" s="595"/>
      <c r="MNY46" s="595"/>
      <c r="MNZ46" s="595"/>
      <c r="MOA46" s="595"/>
      <c r="MOB46" s="595"/>
      <c r="MOC46" s="595"/>
      <c r="MOD46" s="595"/>
      <c r="MOE46" s="595"/>
      <c r="MOF46" s="595"/>
      <c r="MOG46" s="595"/>
      <c r="MOH46" s="595"/>
      <c r="MOI46" s="595"/>
      <c r="MOJ46" s="595"/>
      <c r="MOK46" s="595"/>
      <c r="MOL46" s="595"/>
      <c r="MOM46" s="595"/>
      <c r="MON46" s="595"/>
      <c r="MOO46" s="595"/>
      <c r="MOP46" s="595"/>
      <c r="MOQ46" s="595"/>
      <c r="MOR46" s="595"/>
      <c r="MOS46" s="595"/>
      <c r="MOT46" s="595"/>
      <c r="MOU46" s="595"/>
      <c r="MOV46" s="595"/>
      <c r="MOW46" s="595"/>
      <c r="MOX46" s="595"/>
      <c r="MOY46" s="595"/>
      <c r="MOZ46" s="595"/>
      <c r="MPA46" s="595"/>
      <c r="MPB46" s="595"/>
      <c r="MPC46" s="595"/>
      <c r="MPD46" s="595"/>
      <c r="MPE46" s="595"/>
      <c r="MPF46" s="595"/>
      <c r="MPG46" s="595"/>
      <c r="MPH46" s="595"/>
      <c r="MPI46" s="595"/>
      <c r="MPJ46" s="595"/>
      <c r="MPK46" s="595"/>
      <c r="MPL46" s="595"/>
      <c r="MPM46" s="595"/>
      <c r="MPN46" s="595"/>
      <c r="MPO46" s="595"/>
      <c r="MPP46" s="595"/>
      <c r="MPQ46" s="595"/>
      <c r="MPR46" s="595"/>
      <c r="MPS46" s="595"/>
      <c r="MPT46" s="595"/>
      <c r="MPU46" s="595"/>
      <c r="MPV46" s="595"/>
      <c r="MPW46" s="595"/>
      <c r="MPX46" s="595"/>
      <c r="MPY46" s="595"/>
      <c r="MPZ46" s="595"/>
      <c r="MQA46" s="595"/>
      <c r="MQB46" s="595"/>
      <c r="MQC46" s="595"/>
      <c r="MQD46" s="595"/>
      <c r="MQE46" s="595"/>
      <c r="MQF46" s="595"/>
      <c r="MQG46" s="595"/>
      <c r="MQH46" s="595"/>
      <c r="MQI46" s="595"/>
      <c r="MQJ46" s="595"/>
      <c r="MQK46" s="595"/>
      <c r="MQL46" s="595"/>
      <c r="MQM46" s="595"/>
      <c r="MQN46" s="595"/>
      <c r="MQO46" s="595"/>
      <c r="MQP46" s="595"/>
      <c r="MQQ46" s="595"/>
      <c r="MQR46" s="595"/>
      <c r="MQS46" s="595"/>
      <c r="MQT46" s="595"/>
      <c r="MQU46" s="595"/>
      <c r="MQV46" s="595"/>
      <c r="MQW46" s="595"/>
      <c r="MQX46" s="595"/>
      <c r="MQY46" s="595"/>
      <c r="MQZ46" s="595"/>
      <c r="MRA46" s="595"/>
      <c r="MRB46" s="595"/>
      <c r="MRC46" s="595"/>
      <c r="MRD46" s="595"/>
      <c r="MRE46" s="595"/>
      <c r="MRF46" s="595"/>
      <c r="MRG46" s="595"/>
      <c r="MRH46" s="595"/>
      <c r="MRI46" s="595"/>
      <c r="MRJ46" s="595"/>
      <c r="MRK46" s="595"/>
      <c r="MRL46" s="595"/>
      <c r="MRM46" s="595"/>
      <c r="MRN46" s="595"/>
      <c r="MRO46" s="595"/>
      <c r="MRP46" s="595"/>
      <c r="MRQ46" s="595"/>
      <c r="MRR46" s="595"/>
      <c r="MRS46" s="595"/>
      <c r="MRT46" s="595"/>
      <c r="MRU46" s="595"/>
      <c r="MRV46" s="595"/>
      <c r="MRW46" s="595"/>
      <c r="MRX46" s="595"/>
      <c r="MRY46" s="595"/>
      <c r="MRZ46" s="595"/>
      <c r="MSA46" s="595"/>
      <c r="MSB46" s="595"/>
      <c r="MSC46" s="595"/>
      <c r="MSD46" s="595"/>
      <c r="MSE46" s="595"/>
      <c r="MSF46" s="595"/>
      <c r="MSG46" s="595"/>
      <c r="MSH46" s="595"/>
      <c r="MSI46" s="595"/>
      <c r="MSJ46" s="595"/>
      <c r="MSK46" s="595"/>
      <c r="MSL46" s="595"/>
      <c r="MSM46" s="595"/>
      <c r="MSN46" s="595"/>
      <c r="MSO46" s="595"/>
      <c r="MSP46" s="595"/>
      <c r="MSQ46" s="595"/>
      <c r="MSR46" s="595"/>
      <c r="MSS46" s="595"/>
      <c r="MST46" s="595"/>
      <c r="MSU46" s="595"/>
      <c r="MSV46" s="595"/>
      <c r="MSW46" s="595"/>
      <c r="MSX46" s="595"/>
      <c r="MSY46" s="595"/>
      <c r="MSZ46" s="595"/>
      <c r="MTA46" s="595"/>
      <c r="MTB46" s="595"/>
      <c r="MTC46" s="595"/>
      <c r="MTD46" s="595"/>
      <c r="MTE46" s="595"/>
      <c r="MTF46" s="595"/>
      <c r="MTG46" s="595"/>
      <c r="MTH46" s="595"/>
      <c r="MTI46" s="595"/>
      <c r="MTJ46" s="595"/>
      <c r="MTK46" s="595"/>
      <c r="MTL46" s="595"/>
      <c r="MTM46" s="595"/>
      <c r="MTN46" s="595"/>
      <c r="MTO46" s="595"/>
      <c r="MTP46" s="595"/>
      <c r="MTQ46" s="595"/>
      <c r="MTR46" s="595"/>
      <c r="MTS46" s="595"/>
      <c r="MTT46" s="595"/>
      <c r="MTU46" s="595"/>
      <c r="MTV46" s="595"/>
      <c r="MTW46" s="595"/>
      <c r="MTX46" s="595"/>
      <c r="MTY46" s="595"/>
      <c r="MTZ46" s="595"/>
      <c r="MUA46" s="595"/>
      <c r="MUB46" s="595"/>
      <c r="MUC46" s="595"/>
      <c r="MUD46" s="595"/>
      <c r="MUE46" s="595"/>
      <c r="MUF46" s="595"/>
      <c r="MUG46" s="595"/>
      <c r="MUH46" s="595"/>
      <c r="MUI46" s="595"/>
      <c r="MUJ46" s="595"/>
      <c r="MUK46" s="595"/>
      <c r="MUL46" s="595"/>
      <c r="MUM46" s="595"/>
      <c r="MUN46" s="595"/>
      <c r="MUO46" s="595"/>
      <c r="MUP46" s="595"/>
      <c r="MUQ46" s="595"/>
      <c r="MUR46" s="595"/>
      <c r="MUS46" s="595"/>
      <c r="MUT46" s="595"/>
      <c r="MUU46" s="595"/>
      <c r="MUV46" s="595"/>
      <c r="MUW46" s="595"/>
      <c r="MUX46" s="595"/>
      <c r="MUY46" s="595"/>
      <c r="MUZ46" s="595"/>
      <c r="MVA46" s="595"/>
      <c r="MVB46" s="595"/>
      <c r="MVC46" s="595"/>
      <c r="MVD46" s="595"/>
      <c r="MVE46" s="595"/>
      <c r="MVF46" s="595"/>
      <c r="MVG46" s="595"/>
      <c r="MVH46" s="595"/>
      <c r="MVI46" s="595"/>
      <c r="MVJ46" s="595"/>
      <c r="MVK46" s="595"/>
      <c r="MVL46" s="595"/>
      <c r="MVM46" s="595"/>
      <c r="MVN46" s="595"/>
      <c r="MVO46" s="595"/>
      <c r="MVP46" s="595"/>
      <c r="MVQ46" s="595"/>
      <c r="MVR46" s="595"/>
      <c r="MVS46" s="595"/>
      <c r="MVT46" s="595"/>
      <c r="MVU46" s="595"/>
      <c r="MVV46" s="595"/>
      <c r="MVW46" s="595"/>
      <c r="MVX46" s="595"/>
      <c r="MVY46" s="595"/>
      <c r="MVZ46" s="595"/>
      <c r="MWA46" s="595"/>
      <c r="MWB46" s="595"/>
      <c r="MWC46" s="595"/>
      <c r="MWD46" s="595"/>
      <c r="MWE46" s="595"/>
      <c r="MWF46" s="595"/>
      <c r="MWG46" s="595"/>
      <c r="MWH46" s="595"/>
      <c r="MWI46" s="595"/>
      <c r="MWJ46" s="595"/>
      <c r="MWK46" s="595"/>
      <c r="MWL46" s="595"/>
      <c r="MWM46" s="595"/>
      <c r="MWN46" s="595"/>
      <c r="MWO46" s="595"/>
      <c r="MWP46" s="595"/>
      <c r="MWQ46" s="595"/>
      <c r="MWR46" s="595"/>
      <c r="MWS46" s="595"/>
      <c r="MWT46" s="595"/>
      <c r="MWU46" s="595"/>
      <c r="MWV46" s="595"/>
      <c r="MWW46" s="595"/>
      <c r="MWX46" s="595"/>
      <c r="MWY46" s="595"/>
      <c r="MWZ46" s="595"/>
      <c r="MXA46" s="595"/>
      <c r="MXB46" s="595"/>
      <c r="MXC46" s="595"/>
      <c r="MXD46" s="595"/>
      <c r="MXE46" s="595"/>
      <c r="MXF46" s="595"/>
      <c r="MXG46" s="595"/>
      <c r="MXH46" s="595"/>
      <c r="MXI46" s="595"/>
      <c r="MXJ46" s="595"/>
      <c r="MXK46" s="595"/>
      <c r="MXL46" s="595"/>
      <c r="MXM46" s="595"/>
      <c r="MXN46" s="595"/>
      <c r="MXO46" s="595"/>
      <c r="MXP46" s="595"/>
      <c r="MXQ46" s="595"/>
      <c r="MXR46" s="595"/>
      <c r="MXS46" s="595"/>
      <c r="MXT46" s="595"/>
      <c r="MXU46" s="595"/>
      <c r="MXV46" s="595"/>
      <c r="MXW46" s="595"/>
      <c r="MXX46" s="595"/>
      <c r="MXY46" s="595"/>
      <c r="MXZ46" s="595"/>
      <c r="MYA46" s="595"/>
      <c r="MYB46" s="595"/>
      <c r="MYC46" s="595"/>
      <c r="MYD46" s="595"/>
      <c r="MYE46" s="595"/>
      <c r="MYF46" s="595"/>
      <c r="MYG46" s="595"/>
      <c r="MYH46" s="595"/>
      <c r="MYI46" s="595"/>
      <c r="MYJ46" s="595"/>
      <c r="MYK46" s="595"/>
      <c r="MYL46" s="595"/>
      <c r="MYM46" s="595"/>
      <c r="MYN46" s="595"/>
      <c r="MYO46" s="595"/>
      <c r="MYP46" s="595"/>
      <c r="MYQ46" s="595"/>
      <c r="MYR46" s="595"/>
      <c r="MYS46" s="595"/>
      <c r="MYT46" s="595"/>
      <c r="MYU46" s="595"/>
      <c r="MYV46" s="595"/>
      <c r="MYW46" s="595"/>
      <c r="MYX46" s="595"/>
      <c r="MYY46" s="595"/>
      <c r="MYZ46" s="595"/>
      <c r="MZA46" s="595"/>
      <c r="MZB46" s="595"/>
      <c r="MZC46" s="595"/>
      <c r="MZD46" s="595"/>
      <c r="MZE46" s="595"/>
      <c r="MZF46" s="595"/>
      <c r="MZG46" s="595"/>
      <c r="MZH46" s="595"/>
      <c r="MZI46" s="595"/>
      <c r="MZJ46" s="595"/>
      <c r="MZK46" s="595"/>
      <c r="MZL46" s="595"/>
      <c r="MZM46" s="595"/>
      <c r="MZN46" s="595"/>
      <c r="MZO46" s="595"/>
      <c r="MZP46" s="595"/>
      <c r="MZQ46" s="595"/>
      <c r="MZR46" s="595"/>
      <c r="MZS46" s="595"/>
      <c r="MZT46" s="595"/>
      <c r="MZU46" s="595"/>
      <c r="MZV46" s="595"/>
      <c r="MZW46" s="595"/>
      <c r="MZX46" s="595"/>
      <c r="MZY46" s="595"/>
      <c r="MZZ46" s="595"/>
      <c r="NAA46" s="595"/>
      <c r="NAB46" s="595"/>
      <c r="NAC46" s="595"/>
      <c r="NAD46" s="595"/>
      <c r="NAE46" s="595"/>
      <c r="NAF46" s="595"/>
      <c r="NAG46" s="595"/>
      <c r="NAH46" s="595"/>
      <c r="NAI46" s="595"/>
      <c r="NAJ46" s="595"/>
      <c r="NAK46" s="595"/>
      <c r="NAL46" s="595"/>
      <c r="NAM46" s="595"/>
      <c r="NAN46" s="595"/>
      <c r="NAO46" s="595"/>
      <c r="NAP46" s="595"/>
      <c r="NAQ46" s="595"/>
      <c r="NAR46" s="595"/>
      <c r="NAS46" s="595"/>
      <c r="NAT46" s="595"/>
      <c r="NAU46" s="595"/>
      <c r="NAV46" s="595"/>
      <c r="NAW46" s="595"/>
      <c r="NAX46" s="595"/>
      <c r="NAY46" s="595"/>
      <c r="NAZ46" s="595"/>
      <c r="NBA46" s="595"/>
      <c r="NBB46" s="595"/>
      <c r="NBC46" s="595"/>
      <c r="NBD46" s="595"/>
      <c r="NBE46" s="595"/>
      <c r="NBF46" s="595"/>
      <c r="NBG46" s="595"/>
      <c r="NBH46" s="595"/>
      <c r="NBI46" s="595"/>
      <c r="NBJ46" s="595"/>
      <c r="NBK46" s="595"/>
      <c r="NBL46" s="595"/>
      <c r="NBM46" s="595"/>
      <c r="NBN46" s="595"/>
      <c r="NBO46" s="595"/>
      <c r="NBP46" s="595"/>
      <c r="NBQ46" s="595"/>
      <c r="NBR46" s="595"/>
      <c r="NBS46" s="595"/>
      <c r="NBT46" s="595"/>
      <c r="NBU46" s="595"/>
      <c r="NBV46" s="595"/>
      <c r="NBW46" s="595"/>
      <c r="NBX46" s="595"/>
      <c r="NBY46" s="595"/>
      <c r="NBZ46" s="595"/>
      <c r="NCA46" s="595"/>
      <c r="NCB46" s="595"/>
      <c r="NCC46" s="595"/>
      <c r="NCD46" s="595"/>
      <c r="NCE46" s="595"/>
      <c r="NCF46" s="595"/>
      <c r="NCG46" s="595"/>
      <c r="NCH46" s="595"/>
      <c r="NCI46" s="595"/>
      <c r="NCJ46" s="595"/>
      <c r="NCK46" s="595"/>
      <c r="NCL46" s="595"/>
      <c r="NCM46" s="595"/>
      <c r="NCN46" s="595"/>
      <c r="NCO46" s="595"/>
      <c r="NCP46" s="595"/>
      <c r="NCQ46" s="595"/>
      <c r="NCR46" s="595"/>
      <c r="NCS46" s="595"/>
      <c r="NCT46" s="595"/>
      <c r="NCU46" s="595"/>
      <c r="NCV46" s="595"/>
      <c r="NCW46" s="595"/>
      <c r="NCX46" s="595"/>
      <c r="NCY46" s="595"/>
      <c r="NCZ46" s="595"/>
      <c r="NDA46" s="595"/>
      <c r="NDB46" s="595"/>
      <c r="NDC46" s="595"/>
      <c r="NDD46" s="595"/>
      <c r="NDE46" s="595"/>
      <c r="NDF46" s="595"/>
      <c r="NDG46" s="595"/>
      <c r="NDH46" s="595"/>
      <c r="NDI46" s="595"/>
      <c r="NDJ46" s="595"/>
      <c r="NDK46" s="595"/>
      <c r="NDL46" s="595"/>
      <c r="NDM46" s="595"/>
      <c r="NDN46" s="595"/>
      <c r="NDO46" s="595"/>
      <c r="NDP46" s="595"/>
      <c r="NDQ46" s="595"/>
      <c r="NDR46" s="595"/>
      <c r="NDS46" s="595"/>
      <c r="NDT46" s="595"/>
      <c r="NDU46" s="595"/>
      <c r="NDV46" s="595"/>
      <c r="NDW46" s="595"/>
      <c r="NDX46" s="595"/>
      <c r="NDY46" s="595"/>
      <c r="NDZ46" s="595"/>
      <c r="NEA46" s="595"/>
      <c r="NEB46" s="595"/>
      <c r="NEC46" s="595"/>
      <c r="NED46" s="595"/>
      <c r="NEE46" s="595"/>
      <c r="NEF46" s="595"/>
      <c r="NEG46" s="595"/>
      <c r="NEH46" s="595"/>
      <c r="NEI46" s="595"/>
      <c r="NEJ46" s="595"/>
      <c r="NEK46" s="595"/>
      <c r="NEL46" s="595"/>
      <c r="NEM46" s="595"/>
      <c r="NEN46" s="595"/>
      <c r="NEO46" s="595"/>
      <c r="NEP46" s="595"/>
      <c r="NEQ46" s="595"/>
      <c r="NER46" s="595"/>
      <c r="NES46" s="595"/>
      <c r="NET46" s="595"/>
      <c r="NEU46" s="595"/>
      <c r="NEV46" s="595"/>
      <c r="NEW46" s="595"/>
      <c r="NEX46" s="595"/>
      <c r="NEY46" s="595"/>
      <c r="NEZ46" s="595"/>
      <c r="NFA46" s="595"/>
      <c r="NFB46" s="595"/>
      <c r="NFC46" s="595"/>
      <c r="NFD46" s="595"/>
      <c r="NFE46" s="595"/>
      <c r="NFF46" s="595"/>
      <c r="NFG46" s="595"/>
      <c r="NFH46" s="595"/>
      <c r="NFI46" s="595"/>
      <c r="NFJ46" s="595"/>
      <c r="NFK46" s="595"/>
      <c r="NFL46" s="595"/>
      <c r="NFM46" s="595"/>
      <c r="NFN46" s="595"/>
      <c r="NFO46" s="595"/>
      <c r="NFP46" s="595"/>
      <c r="NFQ46" s="595"/>
      <c r="NFR46" s="595"/>
      <c r="NFS46" s="595"/>
      <c r="NFT46" s="595"/>
      <c r="NFU46" s="595"/>
      <c r="NFV46" s="595"/>
      <c r="NFW46" s="595"/>
      <c r="NFX46" s="595"/>
      <c r="NFY46" s="595"/>
      <c r="NFZ46" s="595"/>
      <c r="NGA46" s="595"/>
      <c r="NGB46" s="595"/>
      <c r="NGC46" s="595"/>
      <c r="NGD46" s="595"/>
      <c r="NGE46" s="595"/>
      <c r="NGF46" s="595"/>
      <c r="NGG46" s="595"/>
      <c r="NGH46" s="595"/>
      <c r="NGI46" s="595"/>
      <c r="NGJ46" s="595"/>
      <c r="NGK46" s="595"/>
      <c r="NGL46" s="595"/>
      <c r="NGM46" s="595"/>
      <c r="NGN46" s="595"/>
      <c r="NGO46" s="595"/>
      <c r="NGP46" s="595"/>
      <c r="NGQ46" s="595"/>
      <c r="NGR46" s="595"/>
      <c r="NGS46" s="595"/>
      <c r="NGT46" s="595"/>
      <c r="NGU46" s="595"/>
      <c r="NGV46" s="595"/>
      <c r="NGW46" s="595"/>
      <c r="NGX46" s="595"/>
      <c r="NGY46" s="595"/>
      <c r="NGZ46" s="595"/>
      <c r="NHA46" s="595"/>
      <c r="NHB46" s="595"/>
      <c r="NHC46" s="595"/>
      <c r="NHD46" s="595"/>
      <c r="NHE46" s="595"/>
      <c r="NHF46" s="595"/>
      <c r="NHG46" s="595"/>
      <c r="NHH46" s="595"/>
      <c r="NHI46" s="595"/>
      <c r="NHJ46" s="595"/>
      <c r="NHK46" s="595"/>
      <c r="NHL46" s="595"/>
      <c r="NHM46" s="595"/>
      <c r="NHN46" s="595"/>
      <c r="NHO46" s="595"/>
      <c r="NHP46" s="595"/>
      <c r="NHQ46" s="595"/>
      <c r="NHR46" s="595"/>
      <c r="NHS46" s="595"/>
      <c r="NHT46" s="595"/>
      <c r="NHU46" s="595"/>
      <c r="NHV46" s="595"/>
      <c r="NHW46" s="595"/>
      <c r="NHX46" s="595"/>
      <c r="NHY46" s="595"/>
      <c r="NHZ46" s="595"/>
      <c r="NIA46" s="595"/>
      <c r="NIB46" s="595"/>
      <c r="NIC46" s="595"/>
      <c r="NID46" s="595"/>
      <c r="NIE46" s="595"/>
      <c r="NIF46" s="595"/>
      <c r="NIG46" s="595"/>
      <c r="NIH46" s="595"/>
      <c r="NII46" s="595"/>
      <c r="NIJ46" s="595"/>
      <c r="NIK46" s="595"/>
      <c r="NIL46" s="595"/>
      <c r="NIM46" s="595"/>
      <c r="NIN46" s="595"/>
      <c r="NIO46" s="595"/>
      <c r="NIP46" s="595"/>
      <c r="NIQ46" s="595"/>
      <c r="NIR46" s="595"/>
      <c r="NIS46" s="595"/>
      <c r="NIT46" s="595"/>
      <c r="NIU46" s="595"/>
      <c r="NIV46" s="595"/>
      <c r="NIW46" s="595"/>
      <c r="NIX46" s="595"/>
      <c r="NIY46" s="595"/>
      <c r="NIZ46" s="595"/>
      <c r="NJA46" s="595"/>
      <c r="NJB46" s="595"/>
      <c r="NJC46" s="595"/>
      <c r="NJD46" s="595"/>
      <c r="NJE46" s="595"/>
      <c r="NJF46" s="595"/>
      <c r="NJG46" s="595"/>
      <c r="NJH46" s="595"/>
      <c r="NJI46" s="595"/>
      <c r="NJJ46" s="595"/>
      <c r="NJK46" s="595"/>
      <c r="NJL46" s="595"/>
      <c r="NJM46" s="595"/>
      <c r="NJN46" s="595"/>
      <c r="NJO46" s="595"/>
      <c r="NJP46" s="595"/>
      <c r="NJQ46" s="595"/>
      <c r="NJR46" s="595"/>
      <c r="NJS46" s="595"/>
      <c r="NJT46" s="595"/>
      <c r="NJU46" s="595"/>
      <c r="NJV46" s="595"/>
      <c r="NJW46" s="595"/>
      <c r="NJX46" s="595"/>
      <c r="NJY46" s="595"/>
      <c r="NJZ46" s="595"/>
      <c r="NKA46" s="595"/>
      <c r="NKB46" s="595"/>
      <c r="NKC46" s="595"/>
      <c r="NKD46" s="595"/>
      <c r="NKE46" s="595"/>
      <c r="NKF46" s="595"/>
      <c r="NKG46" s="595"/>
      <c r="NKH46" s="595"/>
      <c r="NKI46" s="595"/>
      <c r="NKJ46" s="595"/>
      <c r="NKK46" s="595"/>
      <c r="NKL46" s="595"/>
      <c r="NKM46" s="595"/>
      <c r="NKN46" s="595"/>
      <c r="NKO46" s="595"/>
      <c r="NKP46" s="595"/>
      <c r="NKQ46" s="595"/>
      <c r="NKR46" s="595"/>
      <c r="NKS46" s="595"/>
      <c r="NKT46" s="595"/>
      <c r="NKU46" s="595"/>
      <c r="NKV46" s="595"/>
      <c r="NKW46" s="595"/>
      <c r="NKX46" s="595"/>
      <c r="NKY46" s="595"/>
      <c r="NKZ46" s="595"/>
      <c r="NLA46" s="595"/>
      <c r="NLB46" s="595"/>
      <c r="NLC46" s="595"/>
      <c r="NLD46" s="595"/>
      <c r="NLE46" s="595"/>
      <c r="NLF46" s="595"/>
      <c r="NLG46" s="595"/>
      <c r="NLH46" s="595"/>
      <c r="NLI46" s="595"/>
      <c r="NLJ46" s="595"/>
      <c r="NLK46" s="595"/>
      <c r="NLL46" s="595"/>
      <c r="NLM46" s="595"/>
      <c r="NLN46" s="595"/>
      <c r="NLO46" s="595"/>
      <c r="NLP46" s="595"/>
      <c r="NLQ46" s="595"/>
      <c r="NLR46" s="595"/>
      <c r="NLS46" s="595"/>
      <c r="NLT46" s="595"/>
      <c r="NLU46" s="595"/>
      <c r="NLV46" s="595"/>
      <c r="NLW46" s="595"/>
      <c r="NLX46" s="595"/>
      <c r="NLY46" s="595"/>
      <c r="NLZ46" s="595"/>
      <c r="NMA46" s="595"/>
      <c r="NMB46" s="595"/>
      <c r="NMC46" s="595"/>
      <c r="NMD46" s="595"/>
      <c r="NME46" s="595"/>
      <c r="NMF46" s="595"/>
      <c r="NMG46" s="595"/>
      <c r="NMH46" s="595"/>
      <c r="NMI46" s="595"/>
      <c r="NMJ46" s="595"/>
      <c r="NMK46" s="595"/>
      <c r="NML46" s="595"/>
      <c r="NMM46" s="595"/>
      <c r="NMN46" s="595"/>
      <c r="NMO46" s="595"/>
      <c r="NMP46" s="595"/>
      <c r="NMQ46" s="595"/>
      <c r="NMR46" s="595"/>
      <c r="NMS46" s="595"/>
      <c r="NMT46" s="595"/>
      <c r="NMU46" s="595"/>
      <c r="NMV46" s="595"/>
      <c r="NMW46" s="595"/>
      <c r="NMX46" s="595"/>
      <c r="NMY46" s="595"/>
      <c r="NMZ46" s="595"/>
      <c r="NNA46" s="595"/>
      <c r="NNB46" s="595"/>
      <c r="NNC46" s="595"/>
      <c r="NND46" s="595"/>
      <c r="NNE46" s="595"/>
      <c r="NNF46" s="595"/>
      <c r="NNG46" s="595"/>
      <c r="NNH46" s="595"/>
      <c r="NNI46" s="595"/>
      <c r="NNJ46" s="595"/>
      <c r="NNK46" s="595"/>
      <c r="NNL46" s="595"/>
      <c r="NNM46" s="595"/>
      <c r="NNN46" s="595"/>
      <c r="NNO46" s="595"/>
      <c r="NNP46" s="595"/>
      <c r="NNQ46" s="595"/>
      <c r="NNR46" s="595"/>
      <c r="NNS46" s="595"/>
      <c r="NNT46" s="595"/>
      <c r="NNU46" s="595"/>
      <c r="NNV46" s="595"/>
      <c r="NNW46" s="595"/>
      <c r="NNX46" s="595"/>
      <c r="NNY46" s="595"/>
      <c r="NNZ46" s="595"/>
      <c r="NOA46" s="595"/>
      <c r="NOB46" s="595"/>
      <c r="NOC46" s="595"/>
      <c r="NOD46" s="595"/>
      <c r="NOE46" s="595"/>
      <c r="NOF46" s="595"/>
      <c r="NOG46" s="595"/>
      <c r="NOH46" s="595"/>
      <c r="NOI46" s="595"/>
      <c r="NOJ46" s="595"/>
      <c r="NOK46" s="595"/>
      <c r="NOL46" s="595"/>
      <c r="NOM46" s="595"/>
      <c r="NON46" s="595"/>
      <c r="NOO46" s="595"/>
      <c r="NOP46" s="595"/>
      <c r="NOQ46" s="595"/>
      <c r="NOR46" s="595"/>
      <c r="NOS46" s="595"/>
      <c r="NOT46" s="595"/>
      <c r="NOU46" s="595"/>
      <c r="NOV46" s="595"/>
      <c r="NOW46" s="595"/>
      <c r="NOX46" s="595"/>
      <c r="NOY46" s="595"/>
      <c r="NOZ46" s="595"/>
      <c r="NPA46" s="595"/>
      <c r="NPB46" s="595"/>
      <c r="NPC46" s="595"/>
      <c r="NPD46" s="595"/>
      <c r="NPE46" s="595"/>
      <c r="NPF46" s="595"/>
      <c r="NPG46" s="595"/>
      <c r="NPH46" s="595"/>
      <c r="NPI46" s="595"/>
      <c r="NPJ46" s="595"/>
      <c r="NPK46" s="595"/>
      <c r="NPL46" s="595"/>
      <c r="NPM46" s="595"/>
      <c r="NPN46" s="595"/>
      <c r="NPO46" s="595"/>
      <c r="NPP46" s="595"/>
      <c r="NPQ46" s="595"/>
      <c r="NPR46" s="595"/>
      <c r="NPS46" s="595"/>
      <c r="NPT46" s="595"/>
      <c r="NPU46" s="595"/>
      <c r="NPV46" s="595"/>
      <c r="NPW46" s="595"/>
      <c r="NPX46" s="595"/>
      <c r="NPY46" s="595"/>
      <c r="NPZ46" s="595"/>
      <c r="NQA46" s="595"/>
      <c r="NQB46" s="595"/>
      <c r="NQC46" s="595"/>
      <c r="NQD46" s="595"/>
      <c r="NQE46" s="595"/>
      <c r="NQF46" s="595"/>
      <c r="NQG46" s="595"/>
      <c r="NQH46" s="595"/>
      <c r="NQI46" s="595"/>
      <c r="NQJ46" s="595"/>
      <c r="NQK46" s="595"/>
      <c r="NQL46" s="595"/>
      <c r="NQM46" s="595"/>
      <c r="NQN46" s="595"/>
      <c r="NQO46" s="595"/>
      <c r="NQP46" s="595"/>
      <c r="NQQ46" s="595"/>
      <c r="NQR46" s="595"/>
      <c r="NQS46" s="595"/>
      <c r="NQT46" s="595"/>
      <c r="NQU46" s="595"/>
      <c r="NQV46" s="595"/>
      <c r="NQW46" s="595"/>
      <c r="NQX46" s="595"/>
      <c r="NQY46" s="595"/>
      <c r="NQZ46" s="595"/>
      <c r="NRA46" s="595"/>
      <c r="NRB46" s="595"/>
      <c r="NRC46" s="595"/>
      <c r="NRD46" s="595"/>
      <c r="NRE46" s="595"/>
      <c r="NRF46" s="595"/>
      <c r="NRG46" s="595"/>
      <c r="NRH46" s="595"/>
      <c r="NRI46" s="595"/>
      <c r="NRJ46" s="595"/>
      <c r="NRK46" s="595"/>
      <c r="NRL46" s="595"/>
      <c r="NRM46" s="595"/>
      <c r="NRN46" s="595"/>
      <c r="NRO46" s="595"/>
      <c r="NRP46" s="595"/>
      <c r="NRQ46" s="595"/>
      <c r="NRR46" s="595"/>
      <c r="NRS46" s="595"/>
      <c r="NRT46" s="595"/>
      <c r="NRU46" s="595"/>
      <c r="NRV46" s="595"/>
      <c r="NRW46" s="595"/>
      <c r="NRX46" s="595"/>
      <c r="NRY46" s="595"/>
      <c r="NRZ46" s="595"/>
      <c r="NSA46" s="595"/>
      <c r="NSB46" s="595"/>
      <c r="NSC46" s="595"/>
      <c r="NSD46" s="595"/>
      <c r="NSE46" s="595"/>
      <c r="NSF46" s="595"/>
      <c r="NSG46" s="595"/>
      <c r="NSH46" s="595"/>
      <c r="NSI46" s="595"/>
      <c r="NSJ46" s="595"/>
      <c r="NSK46" s="595"/>
      <c r="NSL46" s="595"/>
      <c r="NSM46" s="595"/>
      <c r="NSN46" s="595"/>
      <c r="NSO46" s="595"/>
      <c r="NSP46" s="595"/>
      <c r="NSQ46" s="595"/>
      <c r="NSR46" s="595"/>
      <c r="NSS46" s="595"/>
      <c r="NST46" s="595"/>
      <c r="NSU46" s="595"/>
      <c r="NSV46" s="595"/>
      <c r="NSW46" s="595"/>
      <c r="NSX46" s="595"/>
      <c r="NSY46" s="595"/>
      <c r="NSZ46" s="595"/>
      <c r="NTA46" s="595"/>
      <c r="NTB46" s="595"/>
      <c r="NTC46" s="595"/>
      <c r="NTD46" s="595"/>
      <c r="NTE46" s="595"/>
      <c r="NTF46" s="595"/>
      <c r="NTG46" s="595"/>
      <c r="NTH46" s="595"/>
      <c r="NTI46" s="595"/>
      <c r="NTJ46" s="595"/>
      <c r="NTK46" s="595"/>
      <c r="NTL46" s="595"/>
      <c r="NTM46" s="595"/>
      <c r="NTN46" s="595"/>
      <c r="NTO46" s="595"/>
      <c r="NTP46" s="595"/>
      <c r="NTQ46" s="595"/>
      <c r="NTR46" s="595"/>
      <c r="NTS46" s="595"/>
      <c r="NTT46" s="595"/>
      <c r="NTU46" s="595"/>
      <c r="NTV46" s="595"/>
      <c r="NTW46" s="595"/>
      <c r="NTX46" s="595"/>
      <c r="NTY46" s="595"/>
      <c r="NTZ46" s="595"/>
      <c r="NUA46" s="595"/>
      <c r="NUB46" s="595"/>
      <c r="NUC46" s="595"/>
      <c r="NUD46" s="595"/>
      <c r="NUE46" s="595"/>
      <c r="NUF46" s="595"/>
      <c r="NUG46" s="595"/>
      <c r="NUH46" s="595"/>
      <c r="NUI46" s="595"/>
      <c r="NUJ46" s="595"/>
      <c r="NUK46" s="595"/>
      <c r="NUL46" s="595"/>
      <c r="NUM46" s="595"/>
      <c r="NUN46" s="595"/>
      <c r="NUO46" s="595"/>
      <c r="NUP46" s="595"/>
      <c r="NUQ46" s="595"/>
      <c r="NUR46" s="595"/>
      <c r="NUS46" s="595"/>
      <c r="NUT46" s="595"/>
      <c r="NUU46" s="595"/>
      <c r="NUV46" s="595"/>
      <c r="NUW46" s="595"/>
      <c r="NUX46" s="595"/>
      <c r="NUY46" s="595"/>
      <c r="NUZ46" s="595"/>
      <c r="NVA46" s="595"/>
      <c r="NVB46" s="595"/>
      <c r="NVC46" s="595"/>
      <c r="NVD46" s="595"/>
      <c r="NVE46" s="595"/>
      <c r="NVF46" s="595"/>
      <c r="NVG46" s="595"/>
      <c r="NVH46" s="595"/>
      <c r="NVI46" s="595"/>
      <c r="NVJ46" s="595"/>
      <c r="NVK46" s="595"/>
      <c r="NVL46" s="595"/>
      <c r="NVM46" s="595"/>
      <c r="NVN46" s="595"/>
      <c r="NVO46" s="595"/>
      <c r="NVP46" s="595"/>
      <c r="NVQ46" s="595"/>
      <c r="NVR46" s="595"/>
      <c r="NVS46" s="595"/>
      <c r="NVT46" s="595"/>
      <c r="NVU46" s="595"/>
      <c r="NVV46" s="595"/>
      <c r="NVW46" s="595"/>
      <c r="NVX46" s="595"/>
      <c r="NVY46" s="595"/>
      <c r="NVZ46" s="595"/>
      <c r="NWA46" s="595"/>
      <c r="NWB46" s="595"/>
      <c r="NWC46" s="595"/>
      <c r="NWD46" s="595"/>
      <c r="NWE46" s="595"/>
      <c r="NWF46" s="595"/>
      <c r="NWG46" s="595"/>
      <c r="NWH46" s="595"/>
      <c r="NWI46" s="595"/>
      <c r="NWJ46" s="595"/>
      <c r="NWK46" s="595"/>
      <c r="NWL46" s="595"/>
      <c r="NWM46" s="595"/>
      <c r="NWN46" s="595"/>
      <c r="NWO46" s="595"/>
      <c r="NWP46" s="595"/>
      <c r="NWQ46" s="595"/>
      <c r="NWR46" s="595"/>
      <c r="NWS46" s="595"/>
      <c r="NWT46" s="595"/>
      <c r="NWU46" s="595"/>
      <c r="NWV46" s="595"/>
      <c r="NWW46" s="595"/>
      <c r="NWX46" s="595"/>
      <c r="NWY46" s="595"/>
      <c r="NWZ46" s="595"/>
      <c r="NXA46" s="595"/>
      <c r="NXB46" s="595"/>
      <c r="NXC46" s="595"/>
      <c r="NXD46" s="595"/>
      <c r="NXE46" s="595"/>
      <c r="NXF46" s="595"/>
      <c r="NXG46" s="595"/>
      <c r="NXH46" s="595"/>
      <c r="NXI46" s="595"/>
      <c r="NXJ46" s="595"/>
      <c r="NXK46" s="595"/>
      <c r="NXL46" s="595"/>
      <c r="NXM46" s="595"/>
      <c r="NXN46" s="595"/>
      <c r="NXO46" s="595"/>
      <c r="NXP46" s="595"/>
      <c r="NXQ46" s="595"/>
      <c r="NXR46" s="595"/>
      <c r="NXS46" s="595"/>
      <c r="NXT46" s="595"/>
      <c r="NXU46" s="595"/>
      <c r="NXV46" s="595"/>
      <c r="NXW46" s="595"/>
      <c r="NXX46" s="595"/>
      <c r="NXY46" s="595"/>
      <c r="NXZ46" s="595"/>
      <c r="NYA46" s="595"/>
      <c r="NYB46" s="595"/>
      <c r="NYC46" s="595"/>
      <c r="NYD46" s="595"/>
      <c r="NYE46" s="595"/>
      <c r="NYF46" s="595"/>
      <c r="NYG46" s="595"/>
      <c r="NYH46" s="595"/>
      <c r="NYI46" s="595"/>
      <c r="NYJ46" s="595"/>
      <c r="NYK46" s="595"/>
      <c r="NYL46" s="595"/>
      <c r="NYM46" s="595"/>
      <c r="NYN46" s="595"/>
      <c r="NYO46" s="595"/>
      <c r="NYP46" s="595"/>
      <c r="NYQ46" s="595"/>
      <c r="NYR46" s="595"/>
      <c r="NYS46" s="595"/>
      <c r="NYT46" s="595"/>
      <c r="NYU46" s="595"/>
      <c r="NYV46" s="595"/>
      <c r="NYW46" s="595"/>
      <c r="NYX46" s="595"/>
      <c r="NYY46" s="595"/>
      <c r="NYZ46" s="595"/>
      <c r="NZA46" s="595"/>
      <c r="NZB46" s="595"/>
      <c r="NZC46" s="595"/>
      <c r="NZD46" s="595"/>
      <c r="NZE46" s="595"/>
      <c r="NZF46" s="595"/>
      <c r="NZG46" s="595"/>
      <c r="NZH46" s="595"/>
      <c r="NZI46" s="595"/>
      <c r="NZJ46" s="595"/>
      <c r="NZK46" s="595"/>
      <c r="NZL46" s="595"/>
      <c r="NZM46" s="595"/>
      <c r="NZN46" s="595"/>
      <c r="NZO46" s="595"/>
      <c r="NZP46" s="595"/>
      <c r="NZQ46" s="595"/>
      <c r="NZR46" s="595"/>
      <c r="NZS46" s="595"/>
      <c r="NZT46" s="595"/>
      <c r="NZU46" s="595"/>
      <c r="NZV46" s="595"/>
      <c r="NZW46" s="595"/>
      <c r="NZX46" s="595"/>
      <c r="NZY46" s="595"/>
      <c r="NZZ46" s="595"/>
      <c r="OAA46" s="595"/>
      <c r="OAB46" s="595"/>
      <c r="OAC46" s="595"/>
      <c r="OAD46" s="595"/>
      <c r="OAE46" s="595"/>
      <c r="OAF46" s="595"/>
      <c r="OAG46" s="595"/>
      <c r="OAH46" s="595"/>
      <c r="OAI46" s="595"/>
      <c r="OAJ46" s="595"/>
      <c r="OAK46" s="595"/>
      <c r="OAL46" s="595"/>
      <c r="OAM46" s="595"/>
      <c r="OAN46" s="595"/>
      <c r="OAO46" s="595"/>
      <c r="OAP46" s="595"/>
      <c r="OAQ46" s="595"/>
      <c r="OAR46" s="595"/>
      <c r="OAS46" s="595"/>
      <c r="OAT46" s="595"/>
      <c r="OAU46" s="595"/>
      <c r="OAV46" s="595"/>
      <c r="OAW46" s="595"/>
      <c r="OAX46" s="595"/>
      <c r="OAY46" s="595"/>
      <c r="OAZ46" s="595"/>
      <c r="OBA46" s="595"/>
      <c r="OBB46" s="595"/>
      <c r="OBC46" s="595"/>
      <c r="OBD46" s="595"/>
      <c r="OBE46" s="595"/>
      <c r="OBF46" s="595"/>
      <c r="OBG46" s="595"/>
      <c r="OBH46" s="595"/>
      <c r="OBI46" s="595"/>
      <c r="OBJ46" s="595"/>
      <c r="OBK46" s="595"/>
      <c r="OBL46" s="595"/>
      <c r="OBM46" s="595"/>
      <c r="OBN46" s="595"/>
      <c r="OBO46" s="595"/>
      <c r="OBP46" s="595"/>
      <c r="OBQ46" s="595"/>
      <c r="OBR46" s="595"/>
      <c r="OBS46" s="595"/>
      <c r="OBT46" s="595"/>
      <c r="OBU46" s="595"/>
      <c r="OBV46" s="595"/>
      <c r="OBW46" s="595"/>
      <c r="OBX46" s="595"/>
      <c r="OBY46" s="595"/>
      <c r="OBZ46" s="595"/>
      <c r="OCA46" s="595"/>
      <c r="OCB46" s="595"/>
      <c r="OCC46" s="595"/>
      <c r="OCD46" s="595"/>
      <c r="OCE46" s="595"/>
      <c r="OCF46" s="595"/>
      <c r="OCG46" s="595"/>
      <c r="OCH46" s="595"/>
      <c r="OCI46" s="595"/>
      <c r="OCJ46" s="595"/>
      <c r="OCK46" s="595"/>
      <c r="OCL46" s="595"/>
      <c r="OCM46" s="595"/>
      <c r="OCN46" s="595"/>
      <c r="OCO46" s="595"/>
      <c r="OCP46" s="595"/>
      <c r="OCQ46" s="595"/>
      <c r="OCR46" s="595"/>
      <c r="OCS46" s="595"/>
      <c r="OCT46" s="595"/>
      <c r="OCU46" s="595"/>
      <c r="OCV46" s="595"/>
      <c r="OCW46" s="595"/>
      <c r="OCX46" s="595"/>
      <c r="OCY46" s="595"/>
      <c r="OCZ46" s="595"/>
      <c r="ODA46" s="595"/>
      <c r="ODB46" s="595"/>
      <c r="ODC46" s="595"/>
      <c r="ODD46" s="595"/>
      <c r="ODE46" s="595"/>
      <c r="ODF46" s="595"/>
      <c r="ODG46" s="595"/>
      <c r="ODH46" s="595"/>
      <c r="ODI46" s="595"/>
      <c r="ODJ46" s="595"/>
      <c r="ODK46" s="595"/>
      <c r="ODL46" s="595"/>
      <c r="ODM46" s="595"/>
      <c r="ODN46" s="595"/>
      <c r="ODO46" s="595"/>
      <c r="ODP46" s="595"/>
      <c r="ODQ46" s="595"/>
      <c r="ODR46" s="595"/>
      <c r="ODS46" s="595"/>
      <c r="ODT46" s="595"/>
      <c r="ODU46" s="595"/>
      <c r="ODV46" s="595"/>
      <c r="ODW46" s="595"/>
      <c r="ODX46" s="595"/>
      <c r="ODY46" s="595"/>
      <c r="ODZ46" s="595"/>
      <c r="OEA46" s="595"/>
      <c r="OEB46" s="595"/>
      <c r="OEC46" s="595"/>
      <c r="OED46" s="595"/>
      <c r="OEE46" s="595"/>
      <c r="OEF46" s="595"/>
      <c r="OEG46" s="595"/>
      <c r="OEH46" s="595"/>
      <c r="OEI46" s="595"/>
      <c r="OEJ46" s="595"/>
      <c r="OEK46" s="595"/>
      <c r="OEL46" s="595"/>
      <c r="OEM46" s="595"/>
      <c r="OEN46" s="595"/>
      <c r="OEO46" s="595"/>
      <c r="OEP46" s="595"/>
      <c r="OEQ46" s="595"/>
      <c r="OER46" s="595"/>
      <c r="OES46" s="595"/>
      <c r="OET46" s="595"/>
      <c r="OEU46" s="595"/>
      <c r="OEV46" s="595"/>
      <c r="OEW46" s="595"/>
      <c r="OEX46" s="595"/>
      <c r="OEY46" s="595"/>
      <c r="OEZ46" s="595"/>
      <c r="OFA46" s="595"/>
      <c r="OFB46" s="595"/>
      <c r="OFC46" s="595"/>
      <c r="OFD46" s="595"/>
      <c r="OFE46" s="595"/>
      <c r="OFF46" s="595"/>
      <c r="OFG46" s="595"/>
      <c r="OFH46" s="595"/>
      <c r="OFI46" s="595"/>
      <c r="OFJ46" s="595"/>
      <c r="OFK46" s="595"/>
      <c r="OFL46" s="595"/>
      <c r="OFM46" s="595"/>
      <c r="OFN46" s="595"/>
      <c r="OFO46" s="595"/>
      <c r="OFP46" s="595"/>
      <c r="OFQ46" s="595"/>
      <c r="OFR46" s="595"/>
      <c r="OFS46" s="595"/>
      <c r="OFT46" s="595"/>
      <c r="OFU46" s="595"/>
      <c r="OFV46" s="595"/>
      <c r="OFW46" s="595"/>
      <c r="OFX46" s="595"/>
      <c r="OFY46" s="595"/>
      <c r="OFZ46" s="595"/>
      <c r="OGA46" s="595"/>
      <c r="OGB46" s="595"/>
      <c r="OGC46" s="595"/>
      <c r="OGD46" s="595"/>
      <c r="OGE46" s="595"/>
      <c r="OGF46" s="595"/>
      <c r="OGG46" s="595"/>
      <c r="OGH46" s="595"/>
      <c r="OGI46" s="595"/>
      <c r="OGJ46" s="595"/>
      <c r="OGK46" s="595"/>
      <c r="OGL46" s="595"/>
      <c r="OGM46" s="595"/>
      <c r="OGN46" s="595"/>
      <c r="OGO46" s="595"/>
      <c r="OGP46" s="595"/>
      <c r="OGQ46" s="595"/>
      <c r="OGR46" s="595"/>
      <c r="OGS46" s="595"/>
      <c r="OGT46" s="595"/>
      <c r="OGU46" s="595"/>
      <c r="OGV46" s="595"/>
      <c r="OGW46" s="595"/>
      <c r="OGX46" s="595"/>
      <c r="OGY46" s="595"/>
      <c r="OGZ46" s="595"/>
      <c r="OHA46" s="595"/>
      <c r="OHB46" s="595"/>
      <c r="OHC46" s="595"/>
      <c r="OHD46" s="595"/>
      <c r="OHE46" s="595"/>
      <c r="OHF46" s="595"/>
      <c r="OHG46" s="595"/>
      <c r="OHH46" s="595"/>
      <c r="OHI46" s="595"/>
      <c r="OHJ46" s="595"/>
      <c r="OHK46" s="595"/>
      <c r="OHL46" s="595"/>
      <c r="OHM46" s="595"/>
      <c r="OHN46" s="595"/>
      <c r="OHO46" s="595"/>
      <c r="OHP46" s="595"/>
      <c r="OHQ46" s="595"/>
      <c r="OHR46" s="595"/>
      <c r="OHS46" s="595"/>
      <c r="OHT46" s="595"/>
      <c r="OHU46" s="595"/>
      <c r="OHV46" s="595"/>
      <c r="OHW46" s="595"/>
      <c r="OHX46" s="595"/>
      <c r="OHY46" s="595"/>
      <c r="OHZ46" s="595"/>
      <c r="OIA46" s="595"/>
      <c r="OIB46" s="595"/>
      <c r="OIC46" s="595"/>
      <c r="OID46" s="595"/>
      <c r="OIE46" s="595"/>
      <c r="OIF46" s="595"/>
      <c r="OIG46" s="595"/>
      <c r="OIH46" s="595"/>
      <c r="OII46" s="595"/>
      <c r="OIJ46" s="595"/>
      <c r="OIK46" s="595"/>
      <c r="OIL46" s="595"/>
      <c r="OIM46" s="595"/>
      <c r="OIN46" s="595"/>
      <c r="OIO46" s="595"/>
      <c r="OIP46" s="595"/>
      <c r="OIQ46" s="595"/>
      <c r="OIR46" s="595"/>
      <c r="OIS46" s="595"/>
      <c r="OIT46" s="595"/>
      <c r="OIU46" s="595"/>
      <c r="OIV46" s="595"/>
      <c r="OIW46" s="595"/>
      <c r="OIX46" s="595"/>
      <c r="OIY46" s="595"/>
      <c r="OIZ46" s="595"/>
      <c r="OJA46" s="595"/>
      <c r="OJB46" s="595"/>
      <c r="OJC46" s="595"/>
      <c r="OJD46" s="595"/>
      <c r="OJE46" s="595"/>
      <c r="OJF46" s="595"/>
      <c r="OJG46" s="595"/>
      <c r="OJH46" s="595"/>
      <c r="OJI46" s="595"/>
      <c r="OJJ46" s="595"/>
      <c r="OJK46" s="595"/>
      <c r="OJL46" s="595"/>
      <c r="OJM46" s="595"/>
      <c r="OJN46" s="595"/>
      <c r="OJO46" s="595"/>
      <c r="OJP46" s="595"/>
      <c r="OJQ46" s="595"/>
      <c r="OJR46" s="595"/>
      <c r="OJS46" s="595"/>
      <c r="OJT46" s="595"/>
      <c r="OJU46" s="595"/>
      <c r="OJV46" s="595"/>
      <c r="OJW46" s="595"/>
      <c r="OJX46" s="595"/>
      <c r="OJY46" s="595"/>
      <c r="OJZ46" s="595"/>
      <c r="OKA46" s="595"/>
      <c r="OKB46" s="595"/>
      <c r="OKC46" s="595"/>
      <c r="OKD46" s="595"/>
      <c r="OKE46" s="595"/>
      <c r="OKF46" s="595"/>
      <c r="OKG46" s="595"/>
      <c r="OKH46" s="595"/>
      <c r="OKI46" s="595"/>
      <c r="OKJ46" s="595"/>
      <c r="OKK46" s="595"/>
      <c r="OKL46" s="595"/>
      <c r="OKM46" s="595"/>
      <c r="OKN46" s="595"/>
      <c r="OKO46" s="595"/>
      <c r="OKP46" s="595"/>
      <c r="OKQ46" s="595"/>
      <c r="OKR46" s="595"/>
      <c r="OKS46" s="595"/>
      <c r="OKT46" s="595"/>
      <c r="OKU46" s="595"/>
      <c r="OKV46" s="595"/>
      <c r="OKW46" s="595"/>
      <c r="OKX46" s="595"/>
      <c r="OKY46" s="595"/>
      <c r="OKZ46" s="595"/>
      <c r="OLA46" s="595"/>
      <c r="OLB46" s="595"/>
      <c r="OLC46" s="595"/>
      <c r="OLD46" s="595"/>
      <c r="OLE46" s="595"/>
      <c r="OLF46" s="595"/>
      <c r="OLG46" s="595"/>
      <c r="OLH46" s="595"/>
      <c r="OLI46" s="595"/>
      <c r="OLJ46" s="595"/>
      <c r="OLK46" s="595"/>
      <c r="OLL46" s="595"/>
      <c r="OLM46" s="595"/>
      <c r="OLN46" s="595"/>
      <c r="OLO46" s="595"/>
      <c r="OLP46" s="595"/>
      <c r="OLQ46" s="595"/>
      <c r="OLR46" s="595"/>
      <c r="OLS46" s="595"/>
      <c r="OLT46" s="595"/>
      <c r="OLU46" s="595"/>
      <c r="OLV46" s="595"/>
      <c r="OLW46" s="595"/>
      <c r="OLX46" s="595"/>
      <c r="OLY46" s="595"/>
      <c r="OLZ46" s="595"/>
      <c r="OMA46" s="595"/>
      <c r="OMB46" s="595"/>
      <c r="OMC46" s="595"/>
      <c r="OMD46" s="595"/>
      <c r="OME46" s="595"/>
      <c r="OMF46" s="595"/>
      <c r="OMG46" s="595"/>
      <c r="OMH46" s="595"/>
      <c r="OMI46" s="595"/>
      <c r="OMJ46" s="595"/>
      <c r="OMK46" s="595"/>
      <c r="OML46" s="595"/>
      <c r="OMM46" s="595"/>
      <c r="OMN46" s="595"/>
      <c r="OMO46" s="595"/>
      <c r="OMP46" s="595"/>
      <c r="OMQ46" s="595"/>
      <c r="OMR46" s="595"/>
      <c r="OMS46" s="595"/>
      <c r="OMT46" s="595"/>
      <c r="OMU46" s="595"/>
      <c r="OMV46" s="595"/>
      <c r="OMW46" s="595"/>
      <c r="OMX46" s="595"/>
      <c r="OMY46" s="595"/>
      <c r="OMZ46" s="595"/>
      <c r="ONA46" s="595"/>
      <c r="ONB46" s="595"/>
      <c r="ONC46" s="595"/>
      <c r="OND46" s="595"/>
      <c r="ONE46" s="595"/>
      <c r="ONF46" s="595"/>
      <c r="ONG46" s="595"/>
      <c r="ONH46" s="595"/>
      <c r="ONI46" s="595"/>
      <c r="ONJ46" s="595"/>
      <c r="ONK46" s="595"/>
      <c r="ONL46" s="595"/>
      <c r="ONM46" s="595"/>
      <c r="ONN46" s="595"/>
      <c r="ONO46" s="595"/>
      <c r="ONP46" s="595"/>
      <c r="ONQ46" s="595"/>
      <c r="ONR46" s="595"/>
      <c r="ONS46" s="595"/>
      <c r="ONT46" s="595"/>
      <c r="ONU46" s="595"/>
      <c r="ONV46" s="595"/>
      <c r="ONW46" s="595"/>
      <c r="ONX46" s="595"/>
      <c r="ONY46" s="595"/>
      <c r="ONZ46" s="595"/>
      <c r="OOA46" s="595"/>
      <c r="OOB46" s="595"/>
      <c r="OOC46" s="595"/>
      <c r="OOD46" s="595"/>
      <c r="OOE46" s="595"/>
      <c r="OOF46" s="595"/>
      <c r="OOG46" s="595"/>
      <c r="OOH46" s="595"/>
      <c r="OOI46" s="595"/>
      <c r="OOJ46" s="595"/>
      <c r="OOK46" s="595"/>
      <c r="OOL46" s="595"/>
      <c r="OOM46" s="595"/>
      <c r="OON46" s="595"/>
      <c r="OOO46" s="595"/>
      <c r="OOP46" s="595"/>
      <c r="OOQ46" s="595"/>
      <c r="OOR46" s="595"/>
      <c r="OOS46" s="595"/>
      <c r="OOT46" s="595"/>
      <c r="OOU46" s="595"/>
      <c r="OOV46" s="595"/>
      <c r="OOW46" s="595"/>
      <c r="OOX46" s="595"/>
      <c r="OOY46" s="595"/>
      <c r="OOZ46" s="595"/>
      <c r="OPA46" s="595"/>
      <c r="OPB46" s="595"/>
      <c r="OPC46" s="595"/>
      <c r="OPD46" s="595"/>
      <c r="OPE46" s="595"/>
      <c r="OPF46" s="595"/>
      <c r="OPG46" s="595"/>
      <c r="OPH46" s="595"/>
      <c r="OPI46" s="595"/>
      <c r="OPJ46" s="595"/>
      <c r="OPK46" s="595"/>
      <c r="OPL46" s="595"/>
      <c r="OPM46" s="595"/>
      <c r="OPN46" s="595"/>
      <c r="OPO46" s="595"/>
      <c r="OPP46" s="595"/>
      <c r="OPQ46" s="595"/>
      <c r="OPR46" s="595"/>
      <c r="OPS46" s="595"/>
      <c r="OPT46" s="595"/>
      <c r="OPU46" s="595"/>
      <c r="OPV46" s="595"/>
      <c r="OPW46" s="595"/>
      <c r="OPX46" s="595"/>
      <c r="OPY46" s="595"/>
      <c r="OPZ46" s="595"/>
      <c r="OQA46" s="595"/>
      <c r="OQB46" s="595"/>
      <c r="OQC46" s="595"/>
      <c r="OQD46" s="595"/>
      <c r="OQE46" s="595"/>
      <c r="OQF46" s="595"/>
      <c r="OQG46" s="595"/>
      <c r="OQH46" s="595"/>
      <c r="OQI46" s="595"/>
      <c r="OQJ46" s="595"/>
      <c r="OQK46" s="595"/>
      <c r="OQL46" s="595"/>
      <c r="OQM46" s="595"/>
      <c r="OQN46" s="595"/>
      <c r="OQO46" s="595"/>
      <c r="OQP46" s="595"/>
      <c r="OQQ46" s="595"/>
      <c r="OQR46" s="595"/>
      <c r="OQS46" s="595"/>
      <c r="OQT46" s="595"/>
      <c r="OQU46" s="595"/>
      <c r="OQV46" s="595"/>
      <c r="OQW46" s="595"/>
      <c r="OQX46" s="595"/>
      <c r="OQY46" s="595"/>
      <c r="OQZ46" s="595"/>
      <c r="ORA46" s="595"/>
      <c r="ORB46" s="595"/>
      <c r="ORC46" s="595"/>
      <c r="ORD46" s="595"/>
      <c r="ORE46" s="595"/>
      <c r="ORF46" s="595"/>
      <c r="ORG46" s="595"/>
      <c r="ORH46" s="595"/>
      <c r="ORI46" s="595"/>
      <c r="ORJ46" s="595"/>
      <c r="ORK46" s="595"/>
      <c r="ORL46" s="595"/>
      <c r="ORM46" s="595"/>
      <c r="ORN46" s="595"/>
      <c r="ORO46" s="595"/>
      <c r="ORP46" s="595"/>
      <c r="ORQ46" s="595"/>
      <c r="ORR46" s="595"/>
      <c r="ORS46" s="595"/>
      <c r="ORT46" s="595"/>
      <c r="ORU46" s="595"/>
      <c r="ORV46" s="595"/>
      <c r="ORW46" s="595"/>
      <c r="ORX46" s="595"/>
      <c r="ORY46" s="595"/>
      <c r="ORZ46" s="595"/>
      <c r="OSA46" s="595"/>
      <c r="OSB46" s="595"/>
      <c r="OSC46" s="595"/>
      <c r="OSD46" s="595"/>
      <c r="OSE46" s="595"/>
      <c r="OSF46" s="595"/>
      <c r="OSG46" s="595"/>
      <c r="OSH46" s="595"/>
      <c r="OSI46" s="595"/>
      <c r="OSJ46" s="595"/>
      <c r="OSK46" s="595"/>
      <c r="OSL46" s="595"/>
      <c r="OSM46" s="595"/>
      <c r="OSN46" s="595"/>
      <c r="OSO46" s="595"/>
      <c r="OSP46" s="595"/>
      <c r="OSQ46" s="595"/>
      <c r="OSR46" s="595"/>
      <c r="OSS46" s="595"/>
      <c r="OST46" s="595"/>
      <c r="OSU46" s="595"/>
      <c r="OSV46" s="595"/>
      <c r="OSW46" s="595"/>
      <c r="OSX46" s="595"/>
      <c r="OSY46" s="595"/>
      <c r="OSZ46" s="595"/>
      <c r="OTA46" s="595"/>
      <c r="OTB46" s="595"/>
      <c r="OTC46" s="595"/>
      <c r="OTD46" s="595"/>
      <c r="OTE46" s="595"/>
      <c r="OTF46" s="595"/>
      <c r="OTG46" s="595"/>
      <c r="OTH46" s="595"/>
      <c r="OTI46" s="595"/>
      <c r="OTJ46" s="595"/>
      <c r="OTK46" s="595"/>
      <c r="OTL46" s="595"/>
      <c r="OTM46" s="595"/>
      <c r="OTN46" s="595"/>
      <c r="OTO46" s="595"/>
      <c r="OTP46" s="595"/>
      <c r="OTQ46" s="595"/>
      <c r="OTR46" s="595"/>
      <c r="OTS46" s="595"/>
      <c r="OTT46" s="595"/>
      <c r="OTU46" s="595"/>
      <c r="OTV46" s="595"/>
      <c r="OTW46" s="595"/>
      <c r="OTX46" s="595"/>
      <c r="OTY46" s="595"/>
      <c r="OTZ46" s="595"/>
      <c r="OUA46" s="595"/>
      <c r="OUB46" s="595"/>
      <c r="OUC46" s="595"/>
      <c r="OUD46" s="595"/>
      <c r="OUE46" s="595"/>
      <c r="OUF46" s="595"/>
      <c r="OUG46" s="595"/>
      <c r="OUH46" s="595"/>
      <c r="OUI46" s="595"/>
      <c r="OUJ46" s="595"/>
      <c r="OUK46" s="595"/>
      <c r="OUL46" s="595"/>
      <c r="OUM46" s="595"/>
      <c r="OUN46" s="595"/>
      <c r="OUO46" s="595"/>
      <c r="OUP46" s="595"/>
      <c r="OUQ46" s="595"/>
      <c r="OUR46" s="595"/>
      <c r="OUS46" s="595"/>
      <c r="OUT46" s="595"/>
      <c r="OUU46" s="595"/>
      <c r="OUV46" s="595"/>
      <c r="OUW46" s="595"/>
      <c r="OUX46" s="595"/>
      <c r="OUY46" s="595"/>
      <c r="OUZ46" s="595"/>
      <c r="OVA46" s="595"/>
      <c r="OVB46" s="595"/>
      <c r="OVC46" s="595"/>
      <c r="OVD46" s="595"/>
      <c r="OVE46" s="595"/>
      <c r="OVF46" s="595"/>
      <c r="OVG46" s="595"/>
      <c r="OVH46" s="595"/>
      <c r="OVI46" s="595"/>
      <c r="OVJ46" s="595"/>
      <c r="OVK46" s="595"/>
      <c r="OVL46" s="595"/>
      <c r="OVM46" s="595"/>
      <c r="OVN46" s="595"/>
      <c r="OVO46" s="595"/>
      <c r="OVP46" s="595"/>
      <c r="OVQ46" s="595"/>
      <c r="OVR46" s="595"/>
      <c r="OVS46" s="595"/>
      <c r="OVT46" s="595"/>
      <c r="OVU46" s="595"/>
      <c r="OVV46" s="595"/>
      <c r="OVW46" s="595"/>
      <c r="OVX46" s="595"/>
      <c r="OVY46" s="595"/>
      <c r="OVZ46" s="595"/>
      <c r="OWA46" s="595"/>
      <c r="OWB46" s="595"/>
      <c r="OWC46" s="595"/>
      <c r="OWD46" s="595"/>
      <c r="OWE46" s="595"/>
      <c r="OWF46" s="595"/>
      <c r="OWG46" s="595"/>
      <c r="OWH46" s="595"/>
      <c r="OWI46" s="595"/>
      <c r="OWJ46" s="595"/>
      <c r="OWK46" s="595"/>
      <c r="OWL46" s="595"/>
      <c r="OWM46" s="595"/>
      <c r="OWN46" s="595"/>
      <c r="OWO46" s="595"/>
      <c r="OWP46" s="595"/>
      <c r="OWQ46" s="595"/>
      <c r="OWR46" s="595"/>
      <c r="OWS46" s="595"/>
      <c r="OWT46" s="595"/>
      <c r="OWU46" s="595"/>
      <c r="OWV46" s="595"/>
      <c r="OWW46" s="595"/>
      <c r="OWX46" s="595"/>
      <c r="OWY46" s="595"/>
      <c r="OWZ46" s="595"/>
      <c r="OXA46" s="595"/>
      <c r="OXB46" s="595"/>
      <c r="OXC46" s="595"/>
      <c r="OXD46" s="595"/>
      <c r="OXE46" s="595"/>
      <c r="OXF46" s="595"/>
      <c r="OXG46" s="595"/>
      <c r="OXH46" s="595"/>
      <c r="OXI46" s="595"/>
      <c r="OXJ46" s="595"/>
      <c r="OXK46" s="595"/>
      <c r="OXL46" s="595"/>
      <c r="OXM46" s="595"/>
      <c r="OXN46" s="595"/>
      <c r="OXO46" s="595"/>
      <c r="OXP46" s="595"/>
      <c r="OXQ46" s="595"/>
      <c r="OXR46" s="595"/>
      <c r="OXS46" s="595"/>
      <c r="OXT46" s="595"/>
      <c r="OXU46" s="595"/>
      <c r="OXV46" s="595"/>
      <c r="OXW46" s="595"/>
      <c r="OXX46" s="595"/>
      <c r="OXY46" s="595"/>
      <c r="OXZ46" s="595"/>
      <c r="OYA46" s="595"/>
      <c r="OYB46" s="595"/>
      <c r="OYC46" s="595"/>
      <c r="OYD46" s="595"/>
      <c r="OYE46" s="595"/>
      <c r="OYF46" s="595"/>
      <c r="OYG46" s="595"/>
      <c r="OYH46" s="595"/>
      <c r="OYI46" s="595"/>
      <c r="OYJ46" s="595"/>
      <c r="OYK46" s="595"/>
      <c r="OYL46" s="595"/>
      <c r="OYM46" s="595"/>
      <c r="OYN46" s="595"/>
      <c r="OYO46" s="595"/>
      <c r="OYP46" s="595"/>
      <c r="OYQ46" s="595"/>
      <c r="OYR46" s="595"/>
      <c r="OYS46" s="595"/>
      <c r="OYT46" s="595"/>
      <c r="OYU46" s="595"/>
      <c r="OYV46" s="595"/>
      <c r="OYW46" s="595"/>
      <c r="OYX46" s="595"/>
      <c r="OYY46" s="595"/>
      <c r="OYZ46" s="595"/>
      <c r="OZA46" s="595"/>
      <c r="OZB46" s="595"/>
      <c r="OZC46" s="595"/>
      <c r="OZD46" s="595"/>
      <c r="OZE46" s="595"/>
      <c r="OZF46" s="595"/>
      <c r="OZG46" s="595"/>
      <c r="OZH46" s="595"/>
      <c r="OZI46" s="595"/>
      <c r="OZJ46" s="595"/>
      <c r="OZK46" s="595"/>
      <c r="OZL46" s="595"/>
      <c r="OZM46" s="595"/>
      <c r="OZN46" s="595"/>
      <c r="OZO46" s="595"/>
      <c r="OZP46" s="595"/>
      <c r="OZQ46" s="595"/>
      <c r="OZR46" s="595"/>
      <c r="OZS46" s="595"/>
      <c r="OZT46" s="595"/>
      <c r="OZU46" s="595"/>
      <c r="OZV46" s="595"/>
      <c r="OZW46" s="595"/>
      <c r="OZX46" s="595"/>
      <c r="OZY46" s="595"/>
      <c r="OZZ46" s="595"/>
      <c r="PAA46" s="595"/>
      <c r="PAB46" s="595"/>
      <c r="PAC46" s="595"/>
      <c r="PAD46" s="595"/>
      <c r="PAE46" s="595"/>
      <c r="PAF46" s="595"/>
      <c r="PAG46" s="595"/>
      <c r="PAH46" s="595"/>
      <c r="PAI46" s="595"/>
      <c r="PAJ46" s="595"/>
      <c r="PAK46" s="595"/>
      <c r="PAL46" s="595"/>
      <c r="PAM46" s="595"/>
      <c r="PAN46" s="595"/>
      <c r="PAO46" s="595"/>
      <c r="PAP46" s="595"/>
      <c r="PAQ46" s="595"/>
      <c r="PAR46" s="595"/>
      <c r="PAS46" s="595"/>
      <c r="PAT46" s="595"/>
      <c r="PAU46" s="595"/>
      <c r="PAV46" s="595"/>
      <c r="PAW46" s="595"/>
      <c r="PAX46" s="595"/>
      <c r="PAY46" s="595"/>
      <c r="PAZ46" s="595"/>
      <c r="PBA46" s="595"/>
      <c r="PBB46" s="595"/>
      <c r="PBC46" s="595"/>
      <c r="PBD46" s="595"/>
      <c r="PBE46" s="595"/>
      <c r="PBF46" s="595"/>
      <c r="PBG46" s="595"/>
      <c r="PBH46" s="595"/>
      <c r="PBI46" s="595"/>
      <c r="PBJ46" s="595"/>
      <c r="PBK46" s="595"/>
      <c r="PBL46" s="595"/>
      <c r="PBM46" s="595"/>
      <c r="PBN46" s="595"/>
      <c r="PBO46" s="595"/>
      <c r="PBP46" s="595"/>
      <c r="PBQ46" s="595"/>
      <c r="PBR46" s="595"/>
      <c r="PBS46" s="595"/>
      <c r="PBT46" s="595"/>
      <c r="PBU46" s="595"/>
      <c r="PBV46" s="595"/>
      <c r="PBW46" s="595"/>
      <c r="PBX46" s="595"/>
      <c r="PBY46" s="595"/>
      <c r="PBZ46" s="595"/>
      <c r="PCA46" s="595"/>
      <c r="PCB46" s="595"/>
      <c r="PCC46" s="595"/>
      <c r="PCD46" s="595"/>
      <c r="PCE46" s="595"/>
      <c r="PCF46" s="595"/>
      <c r="PCG46" s="595"/>
      <c r="PCH46" s="595"/>
      <c r="PCI46" s="595"/>
      <c r="PCJ46" s="595"/>
      <c r="PCK46" s="595"/>
      <c r="PCL46" s="595"/>
      <c r="PCM46" s="595"/>
      <c r="PCN46" s="595"/>
      <c r="PCO46" s="595"/>
      <c r="PCP46" s="595"/>
      <c r="PCQ46" s="595"/>
      <c r="PCR46" s="595"/>
      <c r="PCS46" s="595"/>
      <c r="PCT46" s="595"/>
      <c r="PCU46" s="595"/>
      <c r="PCV46" s="595"/>
      <c r="PCW46" s="595"/>
      <c r="PCX46" s="595"/>
      <c r="PCY46" s="595"/>
      <c r="PCZ46" s="595"/>
      <c r="PDA46" s="595"/>
      <c r="PDB46" s="595"/>
      <c r="PDC46" s="595"/>
      <c r="PDD46" s="595"/>
      <c r="PDE46" s="595"/>
      <c r="PDF46" s="595"/>
      <c r="PDG46" s="595"/>
      <c r="PDH46" s="595"/>
      <c r="PDI46" s="595"/>
      <c r="PDJ46" s="595"/>
      <c r="PDK46" s="595"/>
      <c r="PDL46" s="595"/>
      <c r="PDM46" s="595"/>
      <c r="PDN46" s="595"/>
      <c r="PDO46" s="595"/>
      <c r="PDP46" s="595"/>
      <c r="PDQ46" s="595"/>
      <c r="PDR46" s="595"/>
      <c r="PDS46" s="595"/>
      <c r="PDT46" s="595"/>
      <c r="PDU46" s="595"/>
      <c r="PDV46" s="595"/>
      <c r="PDW46" s="595"/>
      <c r="PDX46" s="595"/>
      <c r="PDY46" s="595"/>
      <c r="PDZ46" s="595"/>
      <c r="PEA46" s="595"/>
      <c r="PEB46" s="595"/>
      <c r="PEC46" s="595"/>
      <c r="PED46" s="595"/>
      <c r="PEE46" s="595"/>
      <c r="PEF46" s="595"/>
      <c r="PEG46" s="595"/>
      <c r="PEH46" s="595"/>
      <c r="PEI46" s="595"/>
      <c r="PEJ46" s="595"/>
      <c r="PEK46" s="595"/>
      <c r="PEL46" s="595"/>
      <c r="PEM46" s="595"/>
      <c r="PEN46" s="595"/>
      <c r="PEO46" s="595"/>
      <c r="PEP46" s="595"/>
      <c r="PEQ46" s="595"/>
      <c r="PER46" s="595"/>
      <c r="PES46" s="595"/>
      <c r="PET46" s="595"/>
      <c r="PEU46" s="595"/>
      <c r="PEV46" s="595"/>
      <c r="PEW46" s="595"/>
      <c r="PEX46" s="595"/>
      <c r="PEY46" s="595"/>
      <c r="PEZ46" s="595"/>
      <c r="PFA46" s="595"/>
      <c r="PFB46" s="595"/>
      <c r="PFC46" s="595"/>
      <c r="PFD46" s="595"/>
      <c r="PFE46" s="595"/>
      <c r="PFF46" s="595"/>
      <c r="PFG46" s="595"/>
      <c r="PFH46" s="595"/>
      <c r="PFI46" s="595"/>
      <c r="PFJ46" s="595"/>
      <c r="PFK46" s="595"/>
      <c r="PFL46" s="595"/>
      <c r="PFM46" s="595"/>
      <c r="PFN46" s="595"/>
      <c r="PFO46" s="595"/>
      <c r="PFP46" s="595"/>
      <c r="PFQ46" s="595"/>
      <c r="PFR46" s="595"/>
      <c r="PFS46" s="595"/>
      <c r="PFT46" s="595"/>
      <c r="PFU46" s="595"/>
      <c r="PFV46" s="595"/>
      <c r="PFW46" s="595"/>
      <c r="PFX46" s="595"/>
      <c r="PFY46" s="595"/>
      <c r="PFZ46" s="595"/>
      <c r="PGA46" s="595"/>
      <c r="PGB46" s="595"/>
      <c r="PGC46" s="595"/>
      <c r="PGD46" s="595"/>
      <c r="PGE46" s="595"/>
      <c r="PGF46" s="595"/>
      <c r="PGG46" s="595"/>
      <c r="PGH46" s="595"/>
      <c r="PGI46" s="595"/>
      <c r="PGJ46" s="595"/>
      <c r="PGK46" s="595"/>
      <c r="PGL46" s="595"/>
      <c r="PGM46" s="595"/>
      <c r="PGN46" s="595"/>
      <c r="PGO46" s="595"/>
      <c r="PGP46" s="595"/>
      <c r="PGQ46" s="595"/>
      <c r="PGR46" s="595"/>
      <c r="PGS46" s="595"/>
      <c r="PGT46" s="595"/>
      <c r="PGU46" s="595"/>
      <c r="PGV46" s="595"/>
      <c r="PGW46" s="595"/>
      <c r="PGX46" s="595"/>
      <c r="PGY46" s="595"/>
      <c r="PGZ46" s="595"/>
      <c r="PHA46" s="595"/>
      <c r="PHB46" s="595"/>
      <c r="PHC46" s="595"/>
      <c r="PHD46" s="595"/>
      <c r="PHE46" s="595"/>
      <c r="PHF46" s="595"/>
      <c r="PHG46" s="595"/>
      <c r="PHH46" s="595"/>
      <c r="PHI46" s="595"/>
      <c r="PHJ46" s="595"/>
      <c r="PHK46" s="595"/>
      <c r="PHL46" s="595"/>
      <c r="PHM46" s="595"/>
      <c r="PHN46" s="595"/>
      <c r="PHO46" s="595"/>
      <c r="PHP46" s="595"/>
      <c r="PHQ46" s="595"/>
      <c r="PHR46" s="595"/>
      <c r="PHS46" s="595"/>
      <c r="PHT46" s="595"/>
      <c r="PHU46" s="595"/>
      <c r="PHV46" s="595"/>
      <c r="PHW46" s="595"/>
      <c r="PHX46" s="595"/>
      <c r="PHY46" s="595"/>
      <c r="PHZ46" s="595"/>
      <c r="PIA46" s="595"/>
      <c r="PIB46" s="595"/>
      <c r="PIC46" s="595"/>
      <c r="PID46" s="595"/>
      <c r="PIE46" s="595"/>
      <c r="PIF46" s="595"/>
      <c r="PIG46" s="595"/>
      <c r="PIH46" s="595"/>
      <c r="PII46" s="595"/>
      <c r="PIJ46" s="595"/>
      <c r="PIK46" s="595"/>
      <c r="PIL46" s="595"/>
      <c r="PIM46" s="595"/>
      <c r="PIN46" s="595"/>
      <c r="PIO46" s="595"/>
      <c r="PIP46" s="595"/>
      <c r="PIQ46" s="595"/>
      <c r="PIR46" s="595"/>
      <c r="PIS46" s="595"/>
      <c r="PIT46" s="595"/>
      <c r="PIU46" s="595"/>
      <c r="PIV46" s="595"/>
      <c r="PIW46" s="595"/>
      <c r="PIX46" s="595"/>
      <c r="PIY46" s="595"/>
      <c r="PIZ46" s="595"/>
      <c r="PJA46" s="595"/>
      <c r="PJB46" s="595"/>
      <c r="PJC46" s="595"/>
      <c r="PJD46" s="595"/>
      <c r="PJE46" s="595"/>
      <c r="PJF46" s="595"/>
      <c r="PJG46" s="595"/>
      <c r="PJH46" s="595"/>
      <c r="PJI46" s="595"/>
      <c r="PJJ46" s="595"/>
      <c r="PJK46" s="595"/>
      <c r="PJL46" s="595"/>
      <c r="PJM46" s="595"/>
      <c r="PJN46" s="595"/>
      <c r="PJO46" s="595"/>
      <c r="PJP46" s="595"/>
      <c r="PJQ46" s="595"/>
      <c r="PJR46" s="595"/>
      <c r="PJS46" s="595"/>
      <c r="PJT46" s="595"/>
      <c r="PJU46" s="595"/>
      <c r="PJV46" s="595"/>
      <c r="PJW46" s="595"/>
      <c r="PJX46" s="595"/>
      <c r="PJY46" s="595"/>
      <c r="PJZ46" s="595"/>
      <c r="PKA46" s="595"/>
      <c r="PKB46" s="595"/>
      <c r="PKC46" s="595"/>
      <c r="PKD46" s="595"/>
      <c r="PKE46" s="595"/>
      <c r="PKF46" s="595"/>
      <c r="PKG46" s="595"/>
      <c r="PKH46" s="595"/>
      <c r="PKI46" s="595"/>
      <c r="PKJ46" s="595"/>
      <c r="PKK46" s="595"/>
      <c r="PKL46" s="595"/>
      <c r="PKM46" s="595"/>
      <c r="PKN46" s="595"/>
      <c r="PKO46" s="595"/>
      <c r="PKP46" s="595"/>
      <c r="PKQ46" s="595"/>
      <c r="PKR46" s="595"/>
      <c r="PKS46" s="595"/>
      <c r="PKT46" s="595"/>
      <c r="PKU46" s="595"/>
      <c r="PKV46" s="595"/>
      <c r="PKW46" s="595"/>
      <c r="PKX46" s="595"/>
      <c r="PKY46" s="595"/>
      <c r="PKZ46" s="595"/>
      <c r="PLA46" s="595"/>
      <c r="PLB46" s="595"/>
      <c r="PLC46" s="595"/>
      <c r="PLD46" s="595"/>
      <c r="PLE46" s="595"/>
      <c r="PLF46" s="595"/>
      <c r="PLG46" s="595"/>
      <c r="PLH46" s="595"/>
      <c r="PLI46" s="595"/>
      <c r="PLJ46" s="595"/>
      <c r="PLK46" s="595"/>
      <c r="PLL46" s="595"/>
      <c r="PLM46" s="595"/>
      <c r="PLN46" s="595"/>
      <c r="PLO46" s="595"/>
      <c r="PLP46" s="595"/>
      <c r="PLQ46" s="595"/>
      <c r="PLR46" s="595"/>
      <c r="PLS46" s="595"/>
      <c r="PLT46" s="595"/>
      <c r="PLU46" s="595"/>
      <c r="PLV46" s="595"/>
      <c r="PLW46" s="595"/>
      <c r="PLX46" s="595"/>
      <c r="PLY46" s="595"/>
      <c r="PLZ46" s="595"/>
      <c r="PMA46" s="595"/>
      <c r="PMB46" s="595"/>
      <c r="PMC46" s="595"/>
      <c r="PMD46" s="595"/>
      <c r="PME46" s="595"/>
      <c r="PMF46" s="595"/>
      <c r="PMG46" s="595"/>
      <c r="PMH46" s="595"/>
      <c r="PMI46" s="595"/>
      <c r="PMJ46" s="595"/>
      <c r="PMK46" s="595"/>
      <c r="PML46" s="595"/>
      <c r="PMM46" s="595"/>
      <c r="PMN46" s="595"/>
      <c r="PMO46" s="595"/>
      <c r="PMP46" s="595"/>
      <c r="PMQ46" s="595"/>
      <c r="PMR46" s="595"/>
      <c r="PMS46" s="595"/>
      <c r="PMT46" s="595"/>
      <c r="PMU46" s="595"/>
      <c r="PMV46" s="595"/>
      <c r="PMW46" s="595"/>
      <c r="PMX46" s="595"/>
      <c r="PMY46" s="595"/>
      <c r="PMZ46" s="595"/>
      <c r="PNA46" s="595"/>
      <c r="PNB46" s="595"/>
      <c r="PNC46" s="595"/>
      <c r="PND46" s="595"/>
      <c r="PNE46" s="595"/>
      <c r="PNF46" s="595"/>
      <c r="PNG46" s="595"/>
      <c r="PNH46" s="595"/>
      <c r="PNI46" s="595"/>
      <c r="PNJ46" s="595"/>
      <c r="PNK46" s="595"/>
      <c r="PNL46" s="595"/>
      <c r="PNM46" s="595"/>
      <c r="PNN46" s="595"/>
      <c r="PNO46" s="595"/>
      <c r="PNP46" s="595"/>
      <c r="PNQ46" s="595"/>
      <c r="PNR46" s="595"/>
      <c r="PNS46" s="595"/>
      <c r="PNT46" s="595"/>
      <c r="PNU46" s="595"/>
      <c r="PNV46" s="595"/>
      <c r="PNW46" s="595"/>
      <c r="PNX46" s="595"/>
      <c r="PNY46" s="595"/>
      <c r="PNZ46" s="595"/>
      <c r="POA46" s="595"/>
      <c r="POB46" s="595"/>
      <c r="POC46" s="595"/>
      <c r="POD46" s="595"/>
      <c r="POE46" s="595"/>
      <c r="POF46" s="595"/>
      <c r="POG46" s="595"/>
      <c r="POH46" s="595"/>
      <c r="POI46" s="595"/>
      <c r="POJ46" s="595"/>
      <c r="POK46" s="595"/>
      <c r="POL46" s="595"/>
      <c r="POM46" s="595"/>
      <c r="PON46" s="595"/>
      <c r="POO46" s="595"/>
      <c r="POP46" s="595"/>
      <c r="POQ46" s="595"/>
      <c r="POR46" s="595"/>
      <c r="POS46" s="595"/>
      <c r="POT46" s="595"/>
      <c r="POU46" s="595"/>
      <c r="POV46" s="595"/>
      <c r="POW46" s="595"/>
      <c r="POX46" s="595"/>
      <c r="POY46" s="595"/>
      <c r="POZ46" s="595"/>
      <c r="PPA46" s="595"/>
      <c r="PPB46" s="595"/>
      <c r="PPC46" s="595"/>
      <c r="PPD46" s="595"/>
      <c r="PPE46" s="595"/>
      <c r="PPF46" s="595"/>
      <c r="PPG46" s="595"/>
      <c r="PPH46" s="595"/>
      <c r="PPI46" s="595"/>
      <c r="PPJ46" s="595"/>
      <c r="PPK46" s="595"/>
      <c r="PPL46" s="595"/>
      <c r="PPM46" s="595"/>
      <c r="PPN46" s="595"/>
      <c r="PPO46" s="595"/>
      <c r="PPP46" s="595"/>
      <c r="PPQ46" s="595"/>
      <c r="PPR46" s="595"/>
      <c r="PPS46" s="595"/>
      <c r="PPT46" s="595"/>
      <c r="PPU46" s="595"/>
      <c r="PPV46" s="595"/>
      <c r="PPW46" s="595"/>
      <c r="PPX46" s="595"/>
      <c r="PPY46" s="595"/>
      <c r="PPZ46" s="595"/>
      <c r="PQA46" s="595"/>
      <c r="PQB46" s="595"/>
      <c r="PQC46" s="595"/>
      <c r="PQD46" s="595"/>
      <c r="PQE46" s="595"/>
      <c r="PQF46" s="595"/>
      <c r="PQG46" s="595"/>
      <c r="PQH46" s="595"/>
      <c r="PQI46" s="595"/>
      <c r="PQJ46" s="595"/>
      <c r="PQK46" s="595"/>
      <c r="PQL46" s="595"/>
      <c r="PQM46" s="595"/>
      <c r="PQN46" s="595"/>
      <c r="PQO46" s="595"/>
      <c r="PQP46" s="595"/>
      <c r="PQQ46" s="595"/>
      <c r="PQR46" s="595"/>
      <c r="PQS46" s="595"/>
      <c r="PQT46" s="595"/>
      <c r="PQU46" s="595"/>
      <c r="PQV46" s="595"/>
      <c r="PQW46" s="595"/>
      <c r="PQX46" s="595"/>
      <c r="PQY46" s="595"/>
      <c r="PQZ46" s="595"/>
      <c r="PRA46" s="595"/>
      <c r="PRB46" s="595"/>
      <c r="PRC46" s="595"/>
      <c r="PRD46" s="595"/>
      <c r="PRE46" s="595"/>
      <c r="PRF46" s="595"/>
      <c r="PRG46" s="595"/>
      <c r="PRH46" s="595"/>
      <c r="PRI46" s="595"/>
      <c r="PRJ46" s="595"/>
      <c r="PRK46" s="595"/>
      <c r="PRL46" s="595"/>
      <c r="PRM46" s="595"/>
      <c r="PRN46" s="595"/>
      <c r="PRO46" s="595"/>
      <c r="PRP46" s="595"/>
      <c r="PRQ46" s="595"/>
      <c r="PRR46" s="595"/>
      <c r="PRS46" s="595"/>
      <c r="PRT46" s="595"/>
      <c r="PRU46" s="595"/>
      <c r="PRV46" s="595"/>
      <c r="PRW46" s="595"/>
      <c r="PRX46" s="595"/>
      <c r="PRY46" s="595"/>
      <c r="PRZ46" s="595"/>
      <c r="PSA46" s="595"/>
      <c r="PSB46" s="595"/>
      <c r="PSC46" s="595"/>
      <c r="PSD46" s="595"/>
      <c r="PSE46" s="595"/>
      <c r="PSF46" s="595"/>
      <c r="PSG46" s="595"/>
      <c r="PSH46" s="595"/>
      <c r="PSI46" s="595"/>
      <c r="PSJ46" s="595"/>
      <c r="PSK46" s="595"/>
      <c r="PSL46" s="595"/>
      <c r="PSM46" s="595"/>
      <c r="PSN46" s="595"/>
      <c r="PSO46" s="595"/>
      <c r="PSP46" s="595"/>
      <c r="PSQ46" s="595"/>
      <c r="PSR46" s="595"/>
      <c r="PSS46" s="595"/>
      <c r="PST46" s="595"/>
      <c r="PSU46" s="595"/>
      <c r="PSV46" s="595"/>
      <c r="PSW46" s="595"/>
      <c r="PSX46" s="595"/>
      <c r="PSY46" s="595"/>
      <c r="PSZ46" s="595"/>
      <c r="PTA46" s="595"/>
      <c r="PTB46" s="595"/>
      <c r="PTC46" s="595"/>
      <c r="PTD46" s="595"/>
      <c r="PTE46" s="595"/>
      <c r="PTF46" s="595"/>
      <c r="PTG46" s="595"/>
      <c r="PTH46" s="595"/>
      <c r="PTI46" s="595"/>
      <c r="PTJ46" s="595"/>
      <c r="PTK46" s="595"/>
      <c r="PTL46" s="595"/>
      <c r="PTM46" s="595"/>
      <c r="PTN46" s="595"/>
      <c r="PTO46" s="595"/>
      <c r="PTP46" s="595"/>
      <c r="PTQ46" s="595"/>
      <c r="PTR46" s="595"/>
      <c r="PTS46" s="595"/>
      <c r="PTT46" s="595"/>
      <c r="PTU46" s="595"/>
      <c r="PTV46" s="595"/>
      <c r="PTW46" s="595"/>
      <c r="PTX46" s="595"/>
      <c r="PTY46" s="595"/>
      <c r="PTZ46" s="595"/>
      <c r="PUA46" s="595"/>
      <c r="PUB46" s="595"/>
      <c r="PUC46" s="595"/>
      <c r="PUD46" s="595"/>
      <c r="PUE46" s="595"/>
      <c r="PUF46" s="595"/>
      <c r="PUG46" s="595"/>
      <c r="PUH46" s="595"/>
      <c r="PUI46" s="595"/>
      <c r="PUJ46" s="595"/>
      <c r="PUK46" s="595"/>
      <c r="PUL46" s="595"/>
      <c r="PUM46" s="595"/>
      <c r="PUN46" s="595"/>
      <c r="PUO46" s="595"/>
      <c r="PUP46" s="595"/>
      <c r="PUQ46" s="595"/>
      <c r="PUR46" s="595"/>
      <c r="PUS46" s="595"/>
      <c r="PUT46" s="595"/>
      <c r="PUU46" s="595"/>
      <c r="PUV46" s="595"/>
      <c r="PUW46" s="595"/>
      <c r="PUX46" s="595"/>
      <c r="PUY46" s="595"/>
      <c r="PUZ46" s="595"/>
      <c r="PVA46" s="595"/>
      <c r="PVB46" s="595"/>
      <c r="PVC46" s="595"/>
      <c r="PVD46" s="595"/>
      <c r="PVE46" s="595"/>
      <c r="PVF46" s="595"/>
      <c r="PVG46" s="595"/>
      <c r="PVH46" s="595"/>
      <c r="PVI46" s="595"/>
      <c r="PVJ46" s="595"/>
      <c r="PVK46" s="595"/>
      <c r="PVL46" s="595"/>
      <c r="PVM46" s="595"/>
      <c r="PVN46" s="595"/>
      <c r="PVO46" s="595"/>
      <c r="PVP46" s="595"/>
      <c r="PVQ46" s="595"/>
      <c r="PVR46" s="595"/>
      <c r="PVS46" s="595"/>
      <c r="PVT46" s="595"/>
      <c r="PVU46" s="595"/>
      <c r="PVV46" s="595"/>
      <c r="PVW46" s="595"/>
      <c r="PVX46" s="595"/>
      <c r="PVY46" s="595"/>
      <c r="PVZ46" s="595"/>
      <c r="PWA46" s="595"/>
      <c r="PWB46" s="595"/>
      <c r="PWC46" s="595"/>
      <c r="PWD46" s="595"/>
      <c r="PWE46" s="595"/>
      <c r="PWF46" s="595"/>
      <c r="PWG46" s="595"/>
      <c r="PWH46" s="595"/>
      <c r="PWI46" s="595"/>
      <c r="PWJ46" s="595"/>
      <c r="PWK46" s="595"/>
      <c r="PWL46" s="595"/>
      <c r="PWM46" s="595"/>
      <c r="PWN46" s="595"/>
      <c r="PWO46" s="595"/>
      <c r="PWP46" s="595"/>
      <c r="PWQ46" s="595"/>
      <c r="PWR46" s="595"/>
      <c r="PWS46" s="595"/>
      <c r="PWT46" s="595"/>
      <c r="PWU46" s="595"/>
      <c r="PWV46" s="595"/>
      <c r="PWW46" s="595"/>
      <c r="PWX46" s="595"/>
      <c r="PWY46" s="595"/>
      <c r="PWZ46" s="595"/>
      <c r="PXA46" s="595"/>
      <c r="PXB46" s="595"/>
      <c r="PXC46" s="595"/>
      <c r="PXD46" s="595"/>
      <c r="PXE46" s="595"/>
      <c r="PXF46" s="595"/>
      <c r="PXG46" s="595"/>
      <c r="PXH46" s="595"/>
      <c r="PXI46" s="595"/>
      <c r="PXJ46" s="595"/>
      <c r="PXK46" s="595"/>
      <c r="PXL46" s="595"/>
      <c r="PXM46" s="595"/>
      <c r="PXN46" s="595"/>
      <c r="PXO46" s="595"/>
      <c r="PXP46" s="595"/>
      <c r="PXQ46" s="595"/>
      <c r="PXR46" s="595"/>
      <c r="PXS46" s="595"/>
      <c r="PXT46" s="595"/>
      <c r="PXU46" s="595"/>
      <c r="PXV46" s="595"/>
      <c r="PXW46" s="595"/>
      <c r="PXX46" s="595"/>
      <c r="PXY46" s="595"/>
      <c r="PXZ46" s="595"/>
      <c r="PYA46" s="595"/>
      <c r="PYB46" s="595"/>
      <c r="PYC46" s="595"/>
      <c r="PYD46" s="595"/>
      <c r="PYE46" s="595"/>
      <c r="PYF46" s="595"/>
      <c r="PYG46" s="595"/>
      <c r="PYH46" s="595"/>
      <c r="PYI46" s="595"/>
      <c r="PYJ46" s="595"/>
      <c r="PYK46" s="595"/>
      <c r="PYL46" s="595"/>
      <c r="PYM46" s="595"/>
      <c r="PYN46" s="595"/>
      <c r="PYO46" s="595"/>
      <c r="PYP46" s="595"/>
      <c r="PYQ46" s="595"/>
      <c r="PYR46" s="595"/>
      <c r="PYS46" s="595"/>
      <c r="PYT46" s="595"/>
      <c r="PYU46" s="595"/>
      <c r="PYV46" s="595"/>
      <c r="PYW46" s="595"/>
      <c r="PYX46" s="595"/>
      <c r="PYY46" s="595"/>
      <c r="PYZ46" s="595"/>
      <c r="PZA46" s="595"/>
      <c r="PZB46" s="595"/>
      <c r="PZC46" s="595"/>
      <c r="PZD46" s="595"/>
      <c r="PZE46" s="595"/>
      <c r="PZF46" s="595"/>
      <c r="PZG46" s="595"/>
      <c r="PZH46" s="595"/>
      <c r="PZI46" s="595"/>
      <c r="PZJ46" s="595"/>
      <c r="PZK46" s="595"/>
      <c r="PZL46" s="595"/>
      <c r="PZM46" s="595"/>
      <c r="PZN46" s="595"/>
      <c r="PZO46" s="595"/>
      <c r="PZP46" s="595"/>
      <c r="PZQ46" s="595"/>
      <c r="PZR46" s="595"/>
      <c r="PZS46" s="595"/>
      <c r="PZT46" s="595"/>
      <c r="PZU46" s="595"/>
      <c r="PZV46" s="595"/>
      <c r="PZW46" s="595"/>
      <c r="PZX46" s="595"/>
      <c r="PZY46" s="595"/>
      <c r="PZZ46" s="595"/>
      <c r="QAA46" s="595"/>
      <c r="QAB46" s="595"/>
      <c r="QAC46" s="595"/>
      <c r="QAD46" s="595"/>
      <c r="QAE46" s="595"/>
      <c r="QAF46" s="595"/>
      <c r="QAG46" s="595"/>
      <c r="QAH46" s="595"/>
      <c r="QAI46" s="595"/>
      <c r="QAJ46" s="595"/>
      <c r="QAK46" s="595"/>
      <c r="QAL46" s="595"/>
      <c r="QAM46" s="595"/>
      <c r="QAN46" s="595"/>
      <c r="QAO46" s="595"/>
      <c r="QAP46" s="595"/>
      <c r="QAQ46" s="595"/>
      <c r="QAR46" s="595"/>
      <c r="QAS46" s="595"/>
      <c r="QAT46" s="595"/>
      <c r="QAU46" s="595"/>
      <c r="QAV46" s="595"/>
      <c r="QAW46" s="595"/>
      <c r="QAX46" s="595"/>
      <c r="QAY46" s="595"/>
      <c r="QAZ46" s="595"/>
      <c r="QBA46" s="595"/>
      <c r="QBB46" s="595"/>
      <c r="QBC46" s="595"/>
      <c r="QBD46" s="595"/>
      <c r="QBE46" s="595"/>
      <c r="QBF46" s="595"/>
      <c r="QBG46" s="595"/>
      <c r="QBH46" s="595"/>
      <c r="QBI46" s="595"/>
      <c r="QBJ46" s="595"/>
      <c r="QBK46" s="595"/>
      <c r="QBL46" s="595"/>
      <c r="QBM46" s="595"/>
      <c r="QBN46" s="595"/>
      <c r="QBO46" s="595"/>
      <c r="QBP46" s="595"/>
      <c r="QBQ46" s="595"/>
      <c r="QBR46" s="595"/>
      <c r="QBS46" s="595"/>
      <c r="QBT46" s="595"/>
      <c r="QBU46" s="595"/>
      <c r="QBV46" s="595"/>
      <c r="QBW46" s="595"/>
      <c r="QBX46" s="595"/>
      <c r="QBY46" s="595"/>
      <c r="QBZ46" s="595"/>
      <c r="QCA46" s="595"/>
      <c r="QCB46" s="595"/>
      <c r="QCC46" s="595"/>
      <c r="QCD46" s="595"/>
      <c r="QCE46" s="595"/>
      <c r="QCF46" s="595"/>
      <c r="QCG46" s="595"/>
      <c r="QCH46" s="595"/>
      <c r="QCI46" s="595"/>
      <c r="QCJ46" s="595"/>
      <c r="QCK46" s="595"/>
      <c r="QCL46" s="595"/>
      <c r="QCM46" s="595"/>
      <c r="QCN46" s="595"/>
      <c r="QCO46" s="595"/>
      <c r="QCP46" s="595"/>
      <c r="QCQ46" s="595"/>
      <c r="QCR46" s="595"/>
      <c r="QCS46" s="595"/>
      <c r="QCT46" s="595"/>
      <c r="QCU46" s="595"/>
      <c r="QCV46" s="595"/>
      <c r="QCW46" s="595"/>
      <c r="QCX46" s="595"/>
      <c r="QCY46" s="595"/>
      <c r="QCZ46" s="595"/>
      <c r="QDA46" s="595"/>
      <c r="QDB46" s="595"/>
      <c r="QDC46" s="595"/>
      <c r="QDD46" s="595"/>
      <c r="QDE46" s="595"/>
      <c r="QDF46" s="595"/>
      <c r="QDG46" s="595"/>
      <c r="QDH46" s="595"/>
      <c r="QDI46" s="595"/>
      <c r="QDJ46" s="595"/>
      <c r="QDK46" s="595"/>
      <c r="QDL46" s="595"/>
      <c r="QDM46" s="595"/>
      <c r="QDN46" s="595"/>
      <c r="QDO46" s="595"/>
      <c r="QDP46" s="595"/>
      <c r="QDQ46" s="595"/>
      <c r="QDR46" s="595"/>
      <c r="QDS46" s="595"/>
      <c r="QDT46" s="595"/>
      <c r="QDU46" s="595"/>
      <c r="QDV46" s="595"/>
      <c r="QDW46" s="595"/>
      <c r="QDX46" s="595"/>
      <c r="QDY46" s="595"/>
      <c r="QDZ46" s="595"/>
      <c r="QEA46" s="595"/>
      <c r="QEB46" s="595"/>
      <c r="QEC46" s="595"/>
      <c r="QED46" s="595"/>
      <c r="QEE46" s="595"/>
      <c r="QEF46" s="595"/>
      <c r="QEG46" s="595"/>
      <c r="QEH46" s="595"/>
      <c r="QEI46" s="595"/>
      <c r="QEJ46" s="595"/>
      <c r="QEK46" s="595"/>
      <c r="QEL46" s="595"/>
      <c r="QEM46" s="595"/>
      <c r="QEN46" s="595"/>
      <c r="QEO46" s="595"/>
      <c r="QEP46" s="595"/>
      <c r="QEQ46" s="595"/>
      <c r="QER46" s="595"/>
      <c r="QES46" s="595"/>
      <c r="QET46" s="595"/>
      <c r="QEU46" s="595"/>
      <c r="QEV46" s="595"/>
      <c r="QEW46" s="595"/>
      <c r="QEX46" s="595"/>
      <c r="QEY46" s="595"/>
      <c r="QEZ46" s="595"/>
      <c r="QFA46" s="595"/>
      <c r="QFB46" s="595"/>
      <c r="QFC46" s="595"/>
      <c r="QFD46" s="595"/>
      <c r="QFE46" s="595"/>
      <c r="QFF46" s="595"/>
      <c r="QFG46" s="595"/>
      <c r="QFH46" s="595"/>
      <c r="QFI46" s="595"/>
      <c r="QFJ46" s="595"/>
      <c r="QFK46" s="595"/>
      <c r="QFL46" s="595"/>
      <c r="QFM46" s="595"/>
      <c r="QFN46" s="595"/>
      <c r="QFO46" s="595"/>
      <c r="QFP46" s="595"/>
      <c r="QFQ46" s="595"/>
      <c r="QFR46" s="595"/>
      <c r="QFS46" s="595"/>
      <c r="QFT46" s="595"/>
      <c r="QFU46" s="595"/>
      <c r="QFV46" s="595"/>
      <c r="QFW46" s="595"/>
      <c r="QFX46" s="595"/>
      <c r="QFY46" s="595"/>
      <c r="QFZ46" s="595"/>
      <c r="QGA46" s="595"/>
      <c r="QGB46" s="595"/>
      <c r="QGC46" s="595"/>
      <c r="QGD46" s="595"/>
      <c r="QGE46" s="595"/>
      <c r="QGF46" s="595"/>
      <c r="QGG46" s="595"/>
      <c r="QGH46" s="595"/>
      <c r="QGI46" s="595"/>
      <c r="QGJ46" s="595"/>
      <c r="QGK46" s="595"/>
      <c r="QGL46" s="595"/>
      <c r="QGM46" s="595"/>
      <c r="QGN46" s="595"/>
      <c r="QGO46" s="595"/>
      <c r="QGP46" s="595"/>
      <c r="QGQ46" s="595"/>
      <c r="QGR46" s="595"/>
      <c r="QGS46" s="595"/>
      <c r="QGT46" s="595"/>
      <c r="QGU46" s="595"/>
      <c r="QGV46" s="595"/>
      <c r="QGW46" s="595"/>
      <c r="QGX46" s="595"/>
      <c r="QGY46" s="595"/>
      <c r="QGZ46" s="595"/>
      <c r="QHA46" s="595"/>
      <c r="QHB46" s="595"/>
      <c r="QHC46" s="595"/>
      <c r="QHD46" s="595"/>
      <c r="QHE46" s="595"/>
      <c r="QHF46" s="595"/>
      <c r="QHG46" s="595"/>
      <c r="QHH46" s="595"/>
      <c r="QHI46" s="595"/>
      <c r="QHJ46" s="595"/>
      <c r="QHK46" s="595"/>
      <c r="QHL46" s="595"/>
      <c r="QHM46" s="595"/>
      <c r="QHN46" s="595"/>
      <c r="QHO46" s="595"/>
      <c r="QHP46" s="595"/>
      <c r="QHQ46" s="595"/>
      <c r="QHR46" s="595"/>
      <c r="QHS46" s="595"/>
      <c r="QHT46" s="595"/>
      <c r="QHU46" s="595"/>
      <c r="QHV46" s="595"/>
      <c r="QHW46" s="595"/>
      <c r="QHX46" s="595"/>
      <c r="QHY46" s="595"/>
      <c r="QHZ46" s="595"/>
      <c r="QIA46" s="595"/>
      <c r="QIB46" s="595"/>
      <c r="QIC46" s="595"/>
      <c r="QID46" s="595"/>
      <c r="QIE46" s="595"/>
      <c r="QIF46" s="595"/>
      <c r="QIG46" s="595"/>
      <c r="QIH46" s="595"/>
      <c r="QII46" s="595"/>
      <c r="QIJ46" s="595"/>
      <c r="QIK46" s="595"/>
      <c r="QIL46" s="595"/>
      <c r="QIM46" s="595"/>
      <c r="QIN46" s="595"/>
      <c r="QIO46" s="595"/>
      <c r="QIP46" s="595"/>
      <c r="QIQ46" s="595"/>
      <c r="QIR46" s="595"/>
      <c r="QIS46" s="595"/>
      <c r="QIT46" s="595"/>
      <c r="QIU46" s="595"/>
      <c r="QIV46" s="595"/>
      <c r="QIW46" s="595"/>
      <c r="QIX46" s="595"/>
      <c r="QIY46" s="595"/>
      <c r="QIZ46" s="595"/>
      <c r="QJA46" s="595"/>
      <c r="QJB46" s="595"/>
      <c r="QJC46" s="595"/>
      <c r="QJD46" s="595"/>
      <c r="QJE46" s="595"/>
      <c r="QJF46" s="595"/>
      <c r="QJG46" s="595"/>
      <c r="QJH46" s="595"/>
      <c r="QJI46" s="595"/>
      <c r="QJJ46" s="595"/>
      <c r="QJK46" s="595"/>
      <c r="QJL46" s="595"/>
      <c r="QJM46" s="595"/>
      <c r="QJN46" s="595"/>
      <c r="QJO46" s="595"/>
      <c r="QJP46" s="595"/>
      <c r="QJQ46" s="595"/>
      <c r="QJR46" s="595"/>
      <c r="QJS46" s="595"/>
      <c r="QJT46" s="595"/>
      <c r="QJU46" s="595"/>
      <c r="QJV46" s="595"/>
      <c r="QJW46" s="595"/>
      <c r="QJX46" s="595"/>
      <c r="QJY46" s="595"/>
      <c r="QJZ46" s="595"/>
      <c r="QKA46" s="595"/>
      <c r="QKB46" s="595"/>
      <c r="QKC46" s="595"/>
      <c r="QKD46" s="595"/>
      <c r="QKE46" s="595"/>
      <c r="QKF46" s="595"/>
      <c r="QKG46" s="595"/>
      <c r="QKH46" s="595"/>
      <c r="QKI46" s="595"/>
      <c r="QKJ46" s="595"/>
      <c r="QKK46" s="595"/>
      <c r="QKL46" s="595"/>
      <c r="QKM46" s="595"/>
      <c r="QKN46" s="595"/>
      <c r="QKO46" s="595"/>
      <c r="QKP46" s="595"/>
      <c r="QKQ46" s="595"/>
      <c r="QKR46" s="595"/>
      <c r="QKS46" s="595"/>
      <c r="QKT46" s="595"/>
      <c r="QKU46" s="595"/>
      <c r="QKV46" s="595"/>
      <c r="QKW46" s="595"/>
      <c r="QKX46" s="595"/>
      <c r="QKY46" s="595"/>
      <c r="QKZ46" s="595"/>
      <c r="QLA46" s="595"/>
      <c r="QLB46" s="595"/>
      <c r="QLC46" s="595"/>
      <c r="QLD46" s="595"/>
      <c r="QLE46" s="595"/>
      <c r="QLF46" s="595"/>
      <c r="QLG46" s="595"/>
      <c r="QLH46" s="595"/>
      <c r="QLI46" s="595"/>
      <c r="QLJ46" s="595"/>
      <c r="QLK46" s="595"/>
      <c r="QLL46" s="595"/>
      <c r="QLM46" s="595"/>
      <c r="QLN46" s="595"/>
      <c r="QLO46" s="595"/>
      <c r="QLP46" s="595"/>
      <c r="QLQ46" s="595"/>
      <c r="QLR46" s="595"/>
      <c r="QLS46" s="595"/>
      <c r="QLT46" s="595"/>
      <c r="QLU46" s="595"/>
      <c r="QLV46" s="595"/>
      <c r="QLW46" s="595"/>
      <c r="QLX46" s="595"/>
      <c r="QLY46" s="595"/>
      <c r="QLZ46" s="595"/>
      <c r="QMA46" s="595"/>
      <c r="QMB46" s="595"/>
      <c r="QMC46" s="595"/>
      <c r="QMD46" s="595"/>
      <c r="QME46" s="595"/>
      <c r="QMF46" s="595"/>
      <c r="QMG46" s="595"/>
      <c r="QMH46" s="595"/>
      <c r="QMI46" s="595"/>
      <c r="QMJ46" s="595"/>
      <c r="QMK46" s="595"/>
      <c r="QML46" s="595"/>
      <c r="QMM46" s="595"/>
      <c r="QMN46" s="595"/>
      <c r="QMO46" s="595"/>
      <c r="QMP46" s="595"/>
      <c r="QMQ46" s="595"/>
      <c r="QMR46" s="595"/>
      <c r="QMS46" s="595"/>
      <c r="QMT46" s="595"/>
      <c r="QMU46" s="595"/>
      <c r="QMV46" s="595"/>
      <c r="QMW46" s="595"/>
      <c r="QMX46" s="595"/>
      <c r="QMY46" s="595"/>
      <c r="QMZ46" s="595"/>
      <c r="QNA46" s="595"/>
      <c r="QNB46" s="595"/>
      <c r="QNC46" s="595"/>
      <c r="QND46" s="595"/>
      <c r="QNE46" s="595"/>
      <c r="QNF46" s="595"/>
      <c r="QNG46" s="595"/>
      <c r="QNH46" s="595"/>
      <c r="QNI46" s="595"/>
      <c r="QNJ46" s="595"/>
      <c r="QNK46" s="595"/>
      <c r="QNL46" s="595"/>
      <c r="QNM46" s="595"/>
      <c r="QNN46" s="595"/>
      <c r="QNO46" s="595"/>
      <c r="QNP46" s="595"/>
      <c r="QNQ46" s="595"/>
      <c r="QNR46" s="595"/>
      <c r="QNS46" s="595"/>
      <c r="QNT46" s="595"/>
      <c r="QNU46" s="595"/>
      <c r="QNV46" s="595"/>
      <c r="QNW46" s="595"/>
      <c r="QNX46" s="595"/>
      <c r="QNY46" s="595"/>
      <c r="QNZ46" s="595"/>
      <c r="QOA46" s="595"/>
      <c r="QOB46" s="595"/>
      <c r="QOC46" s="595"/>
      <c r="QOD46" s="595"/>
      <c r="QOE46" s="595"/>
      <c r="QOF46" s="595"/>
      <c r="QOG46" s="595"/>
      <c r="QOH46" s="595"/>
      <c r="QOI46" s="595"/>
      <c r="QOJ46" s="595"/>
      <c r="QOK46" s="595"/>
      <c r="QOL46" s="595"/>
      <c r="QOM46" s="595"/>
      <c r="QON46" s="595"/>
      <c r="QOO46" s="595"/>
      <c r="QOP46" s="595"/>
      <c r="QOQ46" s="595"/>
      <c r="QOR46" s="595"/>
      <c r="QOS46" s="595"/>
      <c r="QOT46" s="595"/>
      <c r="QOU46" s="595"/>
      <c r="QOV46" s="595"/>
      <c r="QOW46" s="595"/>
      <c r="QOX46" s="595"/>
      <c r="QOY46" s="595"/>
      <c r="QOZ46" s="595"/>
      <c r="QPA46" s="595"/>
      <c r="QPB46" s="595"/>
      <c r="QPC46" s="595"/>
      <c r="QPD46" s="595"/>
      <c r="QPE46" s="595"/>
      <c r="QPF46" s="595"/>
      <c r="QPG46" s="595"/>
      <c r="QPH46" s="595"/>
      <c r="QPI46" s="595"/>
      <c r="QPJ46" s="595"/>
      <c r="QPK46" s="595"/>
      <c r="QPL46" s="595"/>
      <c r="QPM46" s="595"/>
      <c r="QPN46" s="595"/>
      <c r="QPO46" s="595"/>
      <c r="QPP46" s="595"/>
      <c r="QPQ46" s="595"/>
      <c r="QPR46" s="595"/>
      <c r="QPS46" s="595"/>
      <c r="QPT46" s="595"/>
      <c r="QPU46" s="595"/>
      <c r="QPV46" s="595"/>
      <c r="QPW46" s="595"/>
      <c r="QPX46" s="595"/>
      <c r="QPY46" s="595"/>
      <c r="QPZ46" s="595"/>
      <c r="QQA46" s="595"/>
      <c r="QQB46" s="595"/>
      <c r="QQC46" s="595"/>
      <c r="QQD46" s="595"/>
      <c r="QQE46" s="595"/>
      <c r="QQF46" s="595"/>
      <c r="QQG46" s="595"/>
      <c r="QQH46" s="595"/>
      <c r="QQI46" s="595"/>
      <c r="QQJ46" s="595"/>
      <c r="QQK46" s="595"/>
      <c r="QQL46" s="595"/>
      <c r="QQM46" s="595"/>
      <c r="QQN46" s="595"/>
      <c r="QQO46" s="595"/>
      <c r="QQP46" s="595"/>
      <c r="QQQ46" s="595"/>
      <c r="QQR46" s="595"/>
      <c r="QQS46" s="595"/>
      <c r="QQT46" s="595"/>
      <c r="QQU46" s="595"/>
      <c r="QQV46" s="595"/>
      <c r="QQW46" s="595"/>
      <c r="QQX46" s="595"/>
      <c r="QQY46" s="595"/>
      <c r="QQZ46" s="595"/>
      <c r="QRA46" s="595"/>
      <c r="QRB46" s="595"/>
      <c r="QRC46" s="595"/>
      <c r="QRD46" s="595"/>
      <c r="QRE46" s="595"/>
      <c r="QRF46" s="595"/>
      <c r="QRG46" s="595"/>
      <c r="QRH46" s="595"/>
      <c r="QRI46" s="595"/>
      <c r="QRJ46" s="595"/>
      <c r="QRK46" s="595"/>
      <c r="QRL46" s="595"/>
      <c r="QRM46" s="595"/>
      <c r="QRN46" s="595"/>
      <c r="QRO46" s="595"/>
      <c r="QRP46" s="595"/>
      <c r="QRQ46" s="595"/>
      <c r="QRR46" s="595"/>
      <c r="QRS46" s="595"/>
      <c r="QRT46" s="595"/>
      <c r="QRU46" s="595"/>
      <c r="QRV46" s="595"/>
      <c r="QRW46" s="595"/>
      <c r="QRX46" s="595"/>
      <c r="QRY46" s="595"/>
      <c r="QRZ46" s="595"/>
      <c r="QSA46" s="595"/>
      <c r="QSB46" s="595"/>
      <c r="QSC46" s="595"/>
      <c r="QSD46" s="595"/>
      <c r="QSE46" s="595"/>
      <c r="QSF46" s="595"/>
      <c r="QSG46" s="595"/>
      <c r="QSH46" s="595"/>
      <c r="QSI46" s="595"/>
      <c r="QSJ46" s="595"/>
      <c r="QSK46" s="595"/>
      <c r="QSL46" s="595"/>
      <c r="QSM46" s="595"/>
      <c r="QSN46" s="595"/>
      <c r="QSO46" s="595"/>
      <c r="QSP46" s="595"/>
      <c r="QSQ46" s="595"/>
      <c r="QSR46" s="595"/>
      <c r="QSS46" s="595"/>
      <c r="QST46" s="595"/>
      <c r="QSU46" s="595"/>
      <c r="QSV46" s="595"/>
      <c r="QSW46" s="595"/>
      <c r="QSX46" s="595"/>
      <c r="QSY46" s="595"/>
      <c r="QSZ46" s="595"/>
      <c r="QTA46" s="595"/>
      <c r="QTB46" s="595"/>
      <c r="QTC46" s="595"/>
      <c r="QTD46" s="595"/>
      <c r="QTE46" s="595"/>
      <c r="QTF46" s="595"/>
      <c r="QTG46" s="595"/>
      <c r="QTH46" s="595"/>
      <c r="QTI46" s="595"/>
      <c r="QTJ46" s="595"/>
      <c r="QTK46" s="595"/>
      <c r="QTL46" s="595"/>
      <c r="QTM46" s="595"/>
      <c r="QTN46" s="595"/>
      <c r="QTO46" s="595"/>
      <c r="QTP46" s="595"/>
      <c r="QTQ46" s="595"/>
      <c r="QTR46" s="595"/>
      <c r="QTS46" s="595"/>
      <c r="QTT46" s="595"/>
      <c r="QTU46" s="595"/>
      <c r="QTV46" s="595"/>
      <c r="QTW46" s="595"/>
      <c r="QTX46" s="595"/>
      <c r="QTY46" s="595"/>
      <c r="QTZ46" s="595"/>
      <c r="QUA46" s="595"/>
      <c r="QUB46" s="595"/>
      <c r="QUC46" s="595"/>
      <c r="QUD46" s="595"/>
      <c r="QUE46" s="595"/>
      <c r="QUF46" s="595"/>
      <c r="QUG46" s="595"/>
      <c r="QUH46" s="595"/>
      <c r="QUI46" s="595"/>
      <c r="QUJ46" s="595"/>
      <c r="QUK46" s="595"/>
      <c r="QUL46" s="595"/>
      <c r="QUM46" s="595"/>
      <c r="QUN46" s="595"/>
      <c r="QUO46" s="595"/>
      <c r="QUP46" s="595"/>
      <c r="QUQ46" s="595"/>
      <c r="QUR46" s="595"/>
      <c r="QUS46" s="595"/>
      <c r="QUT46" s="595"/>
      <c r="QUU46" s="595"/>
      <c r="QUV46" s="595"/>
      <c r="QUW46" s="595"/>
      <c r="QUX46" s="595"/>
      <c r="QUY46" s="595"/>
      <c r="QUZ46" s="595"/>
      <c r="QVA46" s="595"/>
      <c r="QVB46" s="595"/>
      <c r="QVC46" s="595"/>
      <c r="QVD46" s="595"/>
      <c r="QVE46" s="595"/>
      <c r="QVF46" s="595"/>
      <c r="QVG46" s="595"/>
      <c r="QVH46" s="595"/>
      <c r="QVI46" s="595"/>
      <c r="QVJ46" s="595"/>
      <c r="QVK46" s="595"/>
      <c r="QVL46" s="595"/>
      <c r="QVM46" s="595"/>
      <c r="QVN46" s="595"/>
      <c r="QVO46" s="595"/>
      <c r="QVP46" s="595"/>
      <c r="QVQ46" s="595"/>
      <c r="QVR46" s="595"/>
      <c r="QVS46" s="595"/>
      <c r="QVT46" s="595"/>
      <c r="QVU46" s="595"/>
      <c r="QVV46" s="595"/>
      <c r="QVW46" s="595"/>
      <c r="QVX46" s="595"/>
      <c r="QVY46" s="595"/>
      <c r="QVZ46" s="595"/>
      <c r="QWA46" s="595"/>
      <c r="QWB46" s="595"/>
      <c r="QWC46" s="595"/>
      <c r="QWD46" s="595"/>
      <c r="QWE46" s="595"/>
      <c r="QWF46" s="595"/>
      <c r="QWG46" s="595"/>
      <c r="QWH46" s="595"/>
      <c r="QWI46" s="595"/>
      <c r="QWJ46" s="595"/>
      <c r="QWK46" s="595"/>
      <c r="QWL46" s="595"/>
      <c r="QWM46" s="595"/>
      <c r="QWN46" s="595"/>
      <c r="QWO46" s="595"/>
      <c r="QWP46" s="595"/>
      <c r="QWQ46" s="595"/>
      <c r="QWR46" s="595"/>
      <c r="QWS46" s="595"/>
      <c r="QWT46" s="595"/>
      <c r="QWU46" s="595"/>
      <c r="QWV46" s="595"/>
      <c r="QWW46" s="595"/>
      <c r="QWX46" s="595"/>
      <c r="QWY46" s="595"/>
      <c r="QWZ46" s="595"/>
      <c r="QXA46" s="595"/>
      <c r="QXB46" s="595"/>
      <c r="QXC46" s="595"/>
      <c r="QXD46" s="595"/>
      <c r="QXE46" s="595"/>
      <c r="QXF46" s="595"/>
      <c r="QXG46" s="595"/>
      <c r="QXH46" s="595"/>
      <c r="QXI46" s="595"/>
      <c r="QXJ46" s="595"/>
      <c r="QXK46" s="595"/>
      <c r="QXL46" s="595"/>
      <c r="QXM46" s="595"/>
      <c r="QXN46" s="595"/>
      <c r="QXO46" s="595"/>
      <c r="QXP46" s="595"/>
      <c r="QXQ46" s="595"/>
      <c r="QXR46" s="595"/>
      <c r="QXS46" s="595"/>
      <c r="QXT46" s="595"/>
      <c r="QXU46" s="595"/>
      <c r="QXV46" s="595"/>
      <c r="QXW46" s="595"/>
      <c r="QXX46" s="595"/>
      <c r="QXY46" s="595"/>
      <c r="QXZ46" s="595"/>
      <c r="QYA46" s="595"/>
      <c r="QYB46" s="595"/>
      <c r="QYC46" s="595"/>
      <c r="QYD46" s="595"/>
      <c r="QYE46" s="595"/>
      <c r="QYF46" s="595"/>
      <c r="QYG46" s="595"/>
      <c r="QYH46" s="595"/>
      <c r="QYI46" s="595"/>
      <c r="QYJ46" s="595"/>
      <c r="QYK46" s="595"/>
      <c r="QYL46" s="595"/>
      <c r="QYM46" s="595"/>
      <c r="QYN46" s="595"/>
      <c r="QYO46" s="595"/>
      <c r="QYP46" s="595"/>
      <c r="QYQ46" s="595"/>
      <c r="QYR46" s="595"/>
      <c r="QYS46" s="595"/>
      <c r="QYT46" s="595"/>
      <c r="QYU46" s="595"/>
      <c r="QYV46" s="595"/>
      <c r="QYW46" s="595"/>
      <c r="QYX46" s="595"/>
      <c r="QYY46" s="595"/>
      <c r="QYZ46" s="595"/>
      <c r="QZA46" s="595"/>
      <c r="QZB46" s="595"/>
      <c r="QZC46" s="595"/>
      <c r="QZD46" s="595"/>
      <c r="QZE46" s="595"/>
      <c r="QZF46" s="595"/>
      <c r="QZG46" s="595"/>
      <c r="QZH46" s="595"/>
      <c r="QZI46" s="595"/>
      <c r="QZJ46" s="595"/>
      <c r="QZK46" s="595"/>
      <c r="QZL46" s="595"/>
      <c r="QZM46" s="595"/>
      <c r="QZN46" s="595"/>
      <c r="QZO46" s="595"/>
      <c r="QZP46" s="595"/>
      <c r="QZQ46" s="595"/>
      <c r="QZR46" s="595"/>
      <c r="QZS46" s="595"/>
      <c r="QZT46" s="595"/>
      <c r="QZU46" s="595"/>
      <c r="QZV46" s="595"/>
      <c r="QZW46" s="595"/>
      <c r="QZX46" s="595"/>
      <c r="QZY46" s="595"/>
      <c r="QZZ46" s="595"/>
      <c r="RAA46" s="595"/>
      <c r="RAB46" s="595"/>
      <c r="RAC46" s="595"/>
      <c r="RAD46" s="595"/>
      <c r="RAE46" s="595"/>
      <c r="RAF46" s="595"/>
      <c r="RAG46" s="595"/>
      <c r="RAH46" s="595"/>
      <c r="RAI46" s="595"/>
      <c r="RAJ46" s="595"/>
      <c r="RAK46" s="595"/>
      <c r="RAL46" s="595"/>
      <c r="RAM46" s="595"/>
      <c r="RAN46" s="595"/>
      <c r="RAO46" s="595"/>
      <c r="RAP46" s="595"/>
      <c r="RAQ46" s="595"/>
      <c r="RAR46" s="595"/>
      <c r="RAS46" s="595"/>
      <c r="RAT46" s="595"/>
      <c r="RAU46" s="595"/>
      <c r="RAV46" s="595"/>
      <c r="RAW46" s="595"/>
      <c r="RAX46" s="595"/>
      <c r="RAY46" s="595"/>
      <c r="RAZ46" s="595"/>
      <c r="RBA46" s="595"/>
      <c r="RBB46" s="595"/>
      <c r="RBC46" s="595"/>
      <c r="RBD46" s="595"/>
      <c r="RBE46" s="595"/>
      <c r="RBF46" s="595"/>
      <c r="RBG46" s="595"/>
      <c r="RBH46" s="595"/>
      <c r="RBI46" s="595"/>
      <c r="RBJ46" s="595"/>
      <c r="RBK46" s="595"/>
      <c r="RBL46" s="595"/>
      <c r="RBM46" s="595"/>
      <c r="RBN46" s="595"/>
      <c r="RBO46" s="595"/>
      <c r="RBP46" s="595"/>
      <c r="RBQ46" s="595"/>
      <c r="RBR46" s="595"/>
      <c r="RBS46" s="595"/>
      <c r="RBT46" s="595"/>
      <c r="RBU46" s="595"/>
      <c r="RBV46" s="595"/>
      <c r="RBW46" s="595"/>
      <c r="RBX46" s="595"/>
      <c r="RBY46" s="595"/>
      <c r="RBZ46" s="595"/>
      <c r="RCA46" s="595"/>
      <c r="RCB46" s="595"/>
      <c r="RCC46" s="595"/>
      <c r="RCD46" s="595"/>
      <c r="RCE46" s="595"/>
      <c r="RCF46" s="595"/>
      <c r="RCG46" s="595"/>
      <c r="RCH46" s="595"/>
      <c r="RCI46" s="595"/>
      <c r="RCJ46" s="595"/>
      <c r="RCK46" s="595"/>
      <c r="RCL46" s="595"/>
      <c r="RCM46" s="595"/>
      <c r="RCN46" s="595"/>
      <c r="RCO46" s="595"/>
      <c r="RCP46" s="595"/>
      <c r="RCQ46" s="595"/>
      <c r="RCR46" s="595"/>
      <c r="RCS46" s="595"/>
      <c r="RCT46" s="595"/>
      <c r="RCU46" s="595"/>
      <c r="RCV46" s="595"/>
      <c r="RCW46" s="595"/>
      <c r="RCX46" s="595"/>
      <c r="RCY46" s="595"/>
      <c r="RCZ46" s="595"/>
      <c r="RDA46" s="595"/>
      <c r="RDB46" s="595"/>
      <c r="RDC46" s="595"/>
      <c r="RDD46" s="595"/>
      <c r="RDE46" s="595"/>
      <c r="RDF46" s="595"/>
      <c r="RDG46" s="595"/>
      <c r="RDH46" s="595"/>
      <c r="RDI46" s="595"/>
      <c r="RDJ46" s="595"/>
      <c r="RDK46" s="595"/>
      <c r="RDL46" s="595"/>
      <c r="RDM46" s="595"/>
      <c r="RDN46" s="595"/>
      <c r="RDO46" s="595"/>
      <c r="RDP46" s="595"/>
      <c r="RDQ46" s="595"/>
      <c r="RDR46" s="595"/>
      <c r="RDS46" s="595"/>
      <c r="RDT46" s="595"/>
      <c r="RDU46" s="595"/>
      <c r="RDV46" s="595"/>
      <c r="RDW46" s="595"/>
      <c r="RDX46" s="595"/>
      <c r="RDY46" s="595"/>
      <c r="RDZ46" s="595"/>
      <c r="REA46" s="595"/>
      <c r="REB46" s="595"/>
      <c r="REC46" s="595"/>
      <c r="RED46" s="595"/>
      <c r="REE46" s="595"/>
      <c r="REF46" s="595"/>
      <c r="REG46" s="595"/>
      <c r="REH46" s="595"/>
      <c r="REI46" s="595"/>
      <c r="REJ46" s="595"/>
      <c r="REK46" s="595"/>
      <c r="REL46" s="595"/>
      <c r="REM46" s="595"/>
      <c r="REN46" s="595"/>
      <c r="REO46" s="595"/>
      <c r="REP46" s="595"/>
      <c r="REQ46" s="595"/>
      <c r="RER46" s="595"/>
      <c r="RES46" s="595"/>
      <c r="RET46" s="595"/>
      <c r="REU46" s="595"/>
      <c r="REV46" s="595"/>
      <c r="REW46" s="595"/>
      <c r="REX46" s="595"/>
      <c r="REY46" s="595"/>
      <c r="REZ46" s="595"/>
      <c r="RFA46" s="595"/>
      <c r="RFB46" s="595"/>
      <c r="RFC46" s="595"/>
      <c r="RFD46" s="595"/>
      <c r="RFE46" s="595"/>
      <c r="RFF46" s="595"/>
      <c r="RFG46" s="595"/>
      <c r="RFH46" s="595"/>
      <c r="RFI46" s="595"/>
      <c r="RFJ46" s="595"/>
      <c r="RFK46" s="595"/>
      <c r="RFL46" s="595"/>
      <c r="RFM46" s="595"/>
      <c r="RFN46" s="595"/>
      <c r="RFO46" s="595"/>
      <c r="RFP46" s="595"/>
      <c r="RFQ46" s="595"/>
      <c r="RFR46" s="595"/>
      <c r="RFS46" s="595"/>
      <c r="RFT46" s="595"/>
      <c r="RFU46" s="595"/>
      <c r="RFV46" s="595"/>
      <c r="RFW46" s="595"/>
      <c r="RFX46" s="595"/>
      <c r="RFY46" s="595"/>
      <c r="RFZ46" s="595"/>
      <c r="RGA46" s="595"/>
      <c r="RGB46" s="595"/>
      <c r="RGC46" s="595"/>
      <c r="RGD46" s="595"/>
      <c r="RGE46" s="595"/>
      <c r="RGF46" s="595"/>
      <c r="RGG46" s="595"/>
      <c r="RGH46" s="595"/>
      <c r="RGI46" s="595"/>
      <c r="RGJ46" s="595"/>
      <c r="RGK46" s="595"/>
      <c r="RGL46" s="595"/>
      <c r="RGM46" s="595"/>
      <c r="RGN46" s="595"/>
      <c r="RGO46" s="595"/>
      <c r="RGP46" s="595"/>
      <c r="RGQ46" s="595"/>
      <c r="RGR46" s="595"/>
      <c r="RGS46" s="595"/>
      <c r="RGT46" s="595"/>
      <c r="RGU46" s="595"/>
      <c r="RGV46" s="595"/>
      <c r="RGW46" s="595"/>
      <c r="RGX46" s="595"/>
      <c r="RGY46" s="595"/>
      <c r="RGZ46" s="595"/>
      <c r="RHA46" s="595"/>
      <c r="RHB46" s="595"/>
      <c r="RHC46" s="595"/>
      <c r="RHD46" s="595"/>
      <c r="RHE46" s="595"/>
      <c r="RHF46" s="595"/>
      <c r="RHG46" s="595"/>
      <c r="RHH46" s="595"/>
      <c r="RHI46" s="595"/>
      <c r="RHJ46" s="595"/>
      <c r="RHK46" s="595"/>
      <c r="RHL46" s="595"/>
      <c r="RHM46" s="595"/>
      <c r="RHN46" s="595"/>
      <c r="RHO46" s="595"/>
      <c r="RHP46" s="595"/>
      <c r="RHQ46" s="595"/>
      <c r="RHR46" s="595"/>
      <c r="RHS46" s="595"/>
      <c r="RHT46" s="595"/>
      <c r="RHU46" s="595"/>
      <c r="RHV46" s="595"/>
      <c r="RHW46" s="595"/>
      <c r="RHX46" s="595"/>
      <c r="RHY46" s="595"/>
      <c r="RHZ46" s="595"/>
      <c r="RIA46" s="595"/>
      <c r="RIB46" s="595"/>
      <c r="RIC46" s="595"/>
      <c r="RID46" s="595"/>
      <c r="RIE46" s="595"/>
      <c r="RIF46" s="595"/>
      <c r="RIG46" s="595"/>
      <c r="RIH46" s="595"/>
      <c r="RII46" s="595"/>
      <c r="RIJ46" s="595"/>
      <c r="RIK46" s="595"/>
      <c r="RIL46" s="595"/>
      <c r="RIM46" s="595"/>
      <c r="RIN46" s="595"/>
      <c r="RIO46" s="595"/>
      <c r="RIP46" s="595"/>
      <c r="RIQ46" s="595"/>
      <c r="RIR46" s="595"/>
      <c r="RIS46" s="595"/>
      <c r="RIT46" s="595"/>
      <c r="RIU46" s="595"/>
      <c r="RIV46" s="595"/>
      <c r="RIW46" s="595"/>
      <c r="RIX46" s="595"/>
      <c r="RIY46" s="595"/>
      <c r="RIZ46" s="595"/>
      <c r="RJA46" s="595"/>
      <c r="RJB46" s="595"/>
      <c r="RJC46" s="595"/>
      <c r="RJD46" s="595"/>
      <c r="RJE46" s="595"/>
      <c r="RJF46" s="595"/>
      <c r="RJG46" s="595"/>
      <c r="RJH46" s="595"/>
      <c r="RJI46" s="595"/>
      <c r="RJJ46" s="595"/>
      <c r="RJK46" s="595"/>
      <c r="RJL46" s="595"/>
      <c r="RJM46" s="595"/>
      <c r="RJN46" s="595"/>
      <c r="RJO46" s="595"/>
      <c r="RJP46" s="595"/>
      <c r="RJQ46" s="595"/>
      <c r="RJR46" s="595"/>
      <c r="RJS46" s="595"/>
      <c r="RJT46" s="595"/>
      <c r="RJU46" s="595"/>
      <c r="RJV46" s="595"/>
      <c r="RJW46" s="595"/>
      <c r="RJX46" s="595"/>
      <c r="RJY46" s="595"/>
      <c r="RJZ46" s="595"/>
      <c r="RKA46" s="595"/>
      <c r="RKB46" s="595"/>
      <c r="RKC46" s="595"/>
      <c r="RKD46" s="595"/>
      <c r="RKE46" s="595"/>
      <c r="RKF46" s="595"/>
      <c r="RKG46" s="595"/>
      <c r="RKH46" s="595"/>
      <c r="RKI46" s="595"/>
      <c r="RKJ46" s="595"/>
      <c r="RKK46" s="595"/>
      <c r="RKL46" s="595"/>
      <c r="RKM46" s="595"/>
      <c r="RKN46" s="595"/>
      <c r="RKO46" s="595"/>
      <c r="RKP46" s="595"/>
      <c r="RKQ46" s="595"/>
      <c r="RKR46" s="595"/>
      <c r="RKS46" s="595"/>
      <c r="RKT46" s="595"/>
      <c r="RKU46" s="595"/>
      <c r="RKV46" s="595"/>
      <c r="RKW46" s="595"/>
      <c r="RKX46" s="595"/>
      <c r="RKY46" s="595"/>
      <c r="RKZ46" s="595"/>
      <c r="RLA46" s="595"/>
      <c r="RLB46" s="595"/>
      <c r="RLC46" s="595"/>
      <c r="RLD46" s="595"/>
      <c r="RLE46" s="595"/>
      <c r="RLF46" s="595"/>
      <c r="RLG46" s="595"/>
      <c r="RLH46" s="595"/>
      <c r="RLI46" s="595"/>
      <c r="RLJ46" s="595"/>
      <c r="RLK46" s="595"/>
      <c r="RLL46" s="595"/>
      <c r="RLM46" s="595"/>
      <c r="RLN46" s="595"/>
      <c r="RLO46" s="595"/>
      <c r="RLP46" s="595"/>
      <c r="RLQ46" s="595"/>
      <c r="RLR46" s="595"/>
      <c r="RLS46" s="595"/>
      <c r="RLT46" s="595"/>
      <c r="RLU46" s="595"/>
      <c r="RLV46" s="595"/>
      <c r="RLW46" s="595"/>
      <c r="RLX46" s="595"/>
      <c r="RLY46" s="595"/>
      <c r="RLZ46" s="595"/>
      <c r="RMA46" s="595"/>
      <c r="RMB46" s="595"/>
      <c r="RMC46" s="595"/>
      <c r="RMD46" s="595"/>
      <c r="RME46" s="595"/>
      <c r="RMF46" s="595"/>
      <c r="RMG46" s="595"/>
      <c r="RMH46" s="595"/>
      <c r="RMI46" s="595"/>
      <c r="RMJ46" s="595"/>
      <c r="RMK46" s="595"/>
      <c r="RML46" s="595"/>
      <c r="RMM46" s="595"/>
      <c r="RMN46" s="595"/>
      <c r="RMO46" s="595"/>
      <c r="RMP46" s="595"/>
      <c r="RMQ46" s="595"/>
      <c r="RMR46" s="595"/>
      <c r="RMS46" s="595"/>
      <c r="RMT46" s="595"/>
      <c r="RMU46" s="595"/>
      <c r="RMV46" s="595"/>
      <c r="RMW46" s="595"/>
      <c r="RMX46" s="595"/>
      <c r="RMY46" s="595"/>
      <c r="RMZ46" s="595"/>
      <c r="RNA46" s="595"/>
      <c r="RNB46" s="595"/>
      <c r="RNC46" s="595"/>
      <c r="RND46" s="595"/>
      <c r="RNE46" s="595"/>
      <c r="RNF46" s="595"/>
      <c r="RNG46" s="595"/>
      <c r="RNH46" s="595"/>
      <c r="RNI46" s="595"/>
      <c r="RNJ46" s="595"/>
      <c r="RNK46" s="595"/>
      <c r="RNL46" s="595"/>
      <c r="RNM46" s="595"/>
      <c r="RNN46" s="595"/>
      <c r="RNO46" s="595"/>
      <c r="RNP46" s="595"/>
      <c r="RNQ46" s="595"/>
      <c r="RNR46" s="595"/>
      <c r="RNS46" s="595"/>
      <c r="RNT46" s="595"/>
      <c r="RNU46" s="595"/>
      <c r="RNV46" s="595"/>
      <c r="RNW46" s="595"/>
      <c r="RNX46" s="595"/>
      <c r="RNY46" s="595"/>
      <c r="RNZ46" s="595"/>
      <c r="ROA46" s="595"/>
      <c r="ROB46" s="595"/>
      <c r="ROC46" s="595"/>
      <c r="ROD46" s="595"/>
      <c r="ROE46" s="595"/>
      <c r="ROF46" s="595"/>
      <c r="ROG46" s="595"/>
      <c r="ROH46" s="595"/>
      <c r="ROI46" s="595"/>
      <c r="ROJ46" s="595"/>
      <c r="ROK46" s="595"/>
      <c r="ROL46" s="595"/>
      <c r="ROM46" s="595"/>
      <c r="RON46" s="595"/>
      <c r="ROO46" s="595"/>
      <c r="ROP46" s="595"/>
      <c r="ROQ46" s="595"/>
      <c r="ROR46" s="595"/>
      <c r="ROS46" s="595"/>
      <c r="ROT46" s="595"/>
      <c r="ROU46" s="595"/>
      <c r="ROV46" s="595"/>
      <c r="ROW46" s="595"/>
      <c r="ROX46" s="595"/>
      <c r="ROY46" s="595"/>
      <c r="ROZ46" s="595"/>
      <c r="RPA46" s="595"/>
      <c r="RPB46" s="595"/>
      <c r="RPC46" s="595"/>
      <c r="RPD46" s="595"/>
      <c r="RPE46" s="595"/>
      <c r="RPF46" s="595"/>
      <c r="RPG46" s="595"/>
      <c r="RPH46" s="595"/>
      <c r="RPI46" s="595"/>
      <c r="RPJ46" s="595"/>
      <c r="RPK46" s="595"/>
      <c r="RPL46" s="595"/>
      <c r="RPM46" s="595"/>
      <c r="RPN46" s="595"/>
      <c r="RPO46" s="595"/>
      <c r="RPP46" s="595"/>
      <c r="RPQ46" s="595"/>
      <c r="RPR46" s="595"/>
      <c r="RPS46" s="595"/>
      <c r="RPT46" s="595"/>
      <c r="RPU46" s="595"/>
      <c r="RPV46" s="595"/>
      <c r="RPW46" s="595"/>
      <c r="RPX46" s="595"/>
      <c r="RPY46" s="595"/>
      <c r="RPZ46" s="595"/>
      <c r="RQA46" s="595"/>
      <c r="RQB46" s="595"/>
      <c r="RQC46" s="595"/>
      <c r="RQD46" s="595"/>
      <c r="RQE46" s="595"/>
      <c r="RQF46" s="595"/>
      <c r="RQG46" s="595"/>
      <c r="RQH46" s="595"/>
      <c r="RQI46" s="595"/>
      <c r="RQJ46" s="595"/>
      <c r="RQK46" s="595"/>
      <c r="RQL46" s="595"/>
      <c r="RQM46" s="595"/>
      <c r="RQN46" s="595"/>
      <c r="RQO46" s="595"/>
      <c r="RQP46" s="595"/>
      <c r="RQQ46" s="595"/>
      <c r="RQR46" s="595"/>
      <c r="RQS46" s="595"/>
      <c r="RQT46" s="595"/>
      <c r="RQU46" s="595"/>
      <c r="RQV46" s="595"/>
      <c r="RQW46" s="595"/>
      <c r="RQX46" s="595"/>
      <c r="RQY46" s="595"/>
      <c r="RQZ46" s="595"/>
      <c r="RRA46" s="595"/>
      <c r="RRB46" s="595"/>
      <c r="RRC46" s="595"/>
      <c r="RRD46" s="595"/>
      <c r="RRE46" s="595"/>
      <c r="RRF46" s="595"/>
      <c r="RRG46" s="595"/>
      <c r="RRH46" s="595"/>
      <c r="RRI46" s="595"/>
      <c r="RRJ46" s="595"/>
      <c r="RRK46" s="595"/>
      <c r="RRL46" s="595"/>
      <c r="RRM46" s="595"/>
      <c r="RRN46" s="595"/>
      <c r="RRO46" s="595"/>
      <c r="RRP46" s="595"/>
      <c r="RRQ46" s="595"/>
      <c r="RRR46" s="595"/>
      <c r="RRS46" s="595"/>
      <c r="RRT46" s="595"/>
      <c r="RRU46" s="595"/>
      <c r="RRV46" s="595"/>
      <c r="RRW46" s="595"/>
      <c r="RRX46" s="595"/>
      <c r="RRY46" s="595"/>
      <c r="RRZ46" s="595"/>
      <c r="RSA46" s="595"/>
      <c r="RSB46" s="595"/>
      <c r="RSC46" s="595"/>
      <c r="RSD46" s="595"/>
      <c r="RSE46" s="595"/>
      <c r="RSF46" s="595"/>
      <c r="RSG46" s="595"/>
      <c r="RSH46" s="595"/>
      <c r="RSI46" s="595"/>
      <c r="RSJ46" s="595"/>
      <c r="RSK46" s="595"/>
      <c r="RSL46" s="595"/>
      <c r="RSM46" s="595"/>
      <c r="RSN46" s="595"/>
      <c r="RSO46" s="595"/>
      <c r="RSP46" s="595"/>
      <c r="RSQ46" s="595"/>
      <c r="RSR46" s="595"/>
      <c r="RSS46" s="595"/>
      <c r="RST46" s="595"/>
      <c r="RSU46" s="595"/>
      <c r="RSV46" s="595"/>
      <c r="RSW46" s="595"/>
      <c r="RSX46" s="595"/>
      <c r="RSY46" s="595"/>
      <c r="RSZ46" s="595"/>
      <c r="RTA46" s="595"/>
      <c r="RTB46" s="595"/>
      <c r="RTC46" s="595"/>
      <c r="RTD46" s="595"/>
      <c r="RTE46" s="595"/>
      <c r="RTF46" s="595"/>
      <c r="RTG46" s="595"/>
      <c r="RTH46" s="595"/>
      <c r="RTI46" s="595"/>
      <c r="RTJ46" s="595"/>
      <c r="RTK46" s="595"/>
      <c r="RTL46" s="595"/>
      <c r="RTM46" s="595"/>
      <c r="RTN46" s="595"/>
      <c r="RTO46" s="595"/>
      <c r="RTP46" s="595"/>
      <c r="RTQ46" s="595"/>
      <c r="RTR46" s="595"/>
      <c r="RTS46" s="595"/>
      <c r="RTT46" s="595"/>
      <c r="RTU46" s="595"/>
      <c r="RTV46" s="595"/>
      <c r="RTW46" s="595"/>
      <c r="RTX46" s="595"/>
      <c r="RTY46" s="595"/>
      <c r="RTZ46" s="595"/>
      <c r="RUA46" s="595"/>
      <c r="RUB46" s="595"/>
      <c r="RUC46" s="595"/>
      <c r="RUD46" s="595"/>
      <c r="RUE46" s="595"/>
      <c r="RUF46" s="595"/>
      <c r="RUG46" s="595"/>
      <c r="RUH46" s="595"/>
      <c r="RUI46" s="595"/>
      <c r="RUJ46" s="595"/>
      <c r="RUK46" s="595"/>
      <c r="RUL46" s="595"/>
      <c r="RUM46" s="595"/>
      <c r="RUN46" s="595"/>
      <c r="RUO46" s="595"/>
      <c r="RUP46" s="595"/>
      <c r="RUQ46" s="595"/>
      <c r="RUR46" s="595"/>
      <c r="RUS46" s="595"/>
      <c r="RUT46" s="595"/>
      <c r="RUU46" s="595"/>
      <c r="RUV46" s="595"/>
      <c r="RUW46" s="595"/>
      <c r="RUX46" s="595"/>
      <c r="RUY46" s="595"/>
      <c r="RUZ46" s="595"/>
      <c r="RVA46" s="595"/>
      <c r="RVB46" s="595"/>
      <c r="RVC46" s="595"/>
      <c r="RVD46" s="595"/>
      <c r="RVE46" s="595"/>
      <c r="RVF46" s="595"/>
      <c r="RVG46" s="595"/>
      <c r="RVH46" s="595"/>
      <c r="RVI46" s="595"/>
      <c r="RVJ46" s="595"/>
      <c r="RVK46" s="595"/>
      <c r="RVL46" s="595"/>
      <c r="RVM46" s="595"/>
      <c r="RVN46" s="595"/>
      <c r="RVO46" s="595"/>
      <c r="RVP46" s="595"/>
      <c r="RVQ46" s="595"/>
      <c r="RVR46" s="595"/>
      <c r="RVS46" s="595"/>
      <c r="RVT46" s="595"/>
      <c r="RVU46" s="595"/>
      <c r="RVV46" s="595"/>
      <c r="RVW46" s="595"/>
      <c r="RVX46" s="595"/>
      <c r="RVY46" s="595"/>
      <c r="RVZ46" s="595"/>
      <c r="RWA46" s="595"/>
      <c r="RWB46" s="595"/>
      <c r="RWC46" s="595"/>
      <c r="RWD46" s="595"/>
      <c r="RWE46" s="595"/>
      <c r="RWF46" s="595"/>
      <c r="RWG46" s="595"/>
      <c r="RWH46" s="595"/>
      <c r="RWI46" s="595"/>
      <c r="RWJ46" s="595"/>
      <c r="RWK46" s="595"/>
      <c r="RWL46" s="595"/>
      <c r="RWM46" s="595"/>
      <c r="RWN46" s="595"/>
      <c r="RWO46" s="595"/>
      <c r="RWP46" s="595"/>
      <c r="RWQ46" s="595"/>
      <c r="RWR46" s="595"/>
      <c r="RWS46" s="595"/>
      <c r="RWT46" s="595"/>
      <c r="RWU46" s="595"/>
      <c r="RWV46" s="595"/>
      <c r="RWW46" s="595"/>
      <c r="RWX46" s="595"/>
      <c r="RWY46" s="595"/>
      <c r="RWZ46" s="595"/>
      <c r="RXA46" s="595"/>
      <c r="RXB46" s="595"/>
      <c r="RXC46" s="595"/>
      <c r="RXD46" s="595"/>
      <c r="RXE46" s="595"/>
      <c r="RXF46" s="595"/>
      <c r="RXG46" s="595"/>
      <c r="RXH46" s="595"/>
      <c r="RXI46" s="595"/>
      <c r="RXJ46" s="595"/>
      <c r="RXK46" s="595"/>
      <c r="RXL46" s="595"/>
      <c r="RXM46" s="595"/>
      <c r="RXN46" s="595"/>
      <c r="RXO46" s="595"/>
      <c r="RXP46" s="595"/>
      <c r="RXQ46" s="595"/>
      <c r="RXR46" s="595"/>
      <c r="RXS46" s="595"/>
      <c r="RXT46" s="595"/>
      <c r="RXU46" s="595"/>
      <c r="RXV46" s="595"/>
      <c r="RXW46" s="595"/>
      <c r="RXX46" s="595"/>
      <c r="RXY46" s="595"/>
      <c r="RXZ46" s="595"/>
      <c r="RYA46" s="595"/>
      <c r="RYB46" s="595"/>
      <c r="RYC46" s="595"/>
      <c r="RYD46" s="595"/>
      <c r="RYE46" s="595"/>
      <c r="RYF46" s="595"/>
      <c r="RYG46" s="595"/>
      <c r="RYH46" s="595"/>
      <c r="RYI46" s="595"/>
      <c r="RYJ46" s="595"/>
      <c r="RYK46" s="595"/>
      <c r="RYL46" s="595"/>
      <c r="RYM46" s="595"/>
      <c r="RYN46" s="595"/>
      <c r="RYO46" s="595"/>
      <c r="RYP46" s="595"/>
      <c r="RYQ46" s="595"/>
      <c r="RYR46" s="595"/>
      <c r="RYS46" s="595"/>
      <c r="RYT46" s="595"/>
      <c r="RYU46" s="595"/>
      <c r="RYV46" s="595"/>
      <c r="RYW46" s="595"/>
      <c r="RYX46" s="595"/>
      <c r="RYY46" s="595"/>
      <c r="RYZ46" s="595"/>
      <c r="RZA46" s="595"/>
      <c r="RZB46" s="595"/>
      <c r="RZC46" s="595"/>
      <c r="RZD46" s="595"/>
      <c r="RZE46" s="595"/>
      <c r="RZF46" s="595"/>
      <c r="RZG46" s="595"/>
      <c r="RZH46" s="595"/>
      <c r="RZI46" s="595"/>
      <c r="RZJ46" s="595"/>
      <c r="RZK46" s="595"/>
      <c r="RZL46" s="595"/>
      <c r="RZM46" s="595"/>
      <c r="RZN46" s="595"/>
      <c r="RZO46" s="595"/>
      <c r="RZP46" s="595"/>
      <c r="RZQ46" s="595"/>
      <c r="RZR46" s="595"/>
      <c r="RZS46" s="595"/>
      <c r="RZT46" s="595"/>
      <c r="RZU46" s="595"/>
      <c r="RZV46" s="595"/>
      <c r="RZW46" s="595"/>
      <c r="RZX46" s="595"/>
      <c r="RZY46" s="595"/>
      <c r="RZZ46" s="595"/>
      <c r="SAA46" s="595"/>
      <c r="SAB46" s="595"/>
      <c r="SAC46" s="595"/>
      <c r="SAD46" s="595"/>
      <c r="SAE46" s="595"/>
      <c r="SAF46" s="595"/>
      <c r="SAG46" s="595"/>
      <c r="SAH46" s="595"/>
      <c r="SAI46" s="595"/>
      <c r="SAJ46" s="595"/>
      <c r="SAK46" s="595"/>
      <c r="SAL46" s="595"/>
      <c r="SAM46" s="595"/>
      <c r="SAN46" s="595"/>
      <c r="SAO46" s="595"/>
      <c r="SAP46" s="595"/>
      <c r="SAQ46" s="595"/>
      <c r="SAR46" s="595"/>
      <c r="SAS46" s="595"/>
      <c r="SAT46" s="595"/>
      <c r="SAU46" s="595"/>
      <c r="SAV46" s="595"/>
      <c r="SAW46" s="595"/>
      <c r="SAX46" s="595"/>
      <c r="SAY46" s="595"/>
      <c r="SAZ46" s="595"/>
      <c r="SBA46" s="595"/>
      <c r="SBB46" s="595"/>
      <c r="SBC46" s="595"/>
      <c r="SBD46" s="595"/>
      <c r="SBE46" s="595"/>
      <c r="SBF46" s="595"/>
      <c r="SBG46" s="595"/>
      <c r="SBH46" s="595"/>
      <c r="SBI46" s="595"/>
      <c r="SBJ46" s="595"/>
      <c r="SBK46" s="595"/>
      <c r="SBL46" s="595"/>
      <c r="SBM46" s="595"/>
      <c r="SBN46" s="595"/>
      <c r="SBO46" s="595"/>
      <c r="SBP46" s="595"/>
      <c r="SBQ46" s="595"/>
      <c r="SBR46" s="595"/>
      <c r="SBS46" s="595"/>
      <c r="SBT46" s="595"/>
      <c r="SBU46" s="595"/>
      <c r="SBV46" s="595"/>
      <c r="SBW46" s="595"/>
      <c r="SBX46" s="595"/>
      <c r="SBY46" s="595"/>
      <c r="SBZ46" s="595"/>
      <c r="SCA46" s="595"/>
      <c r="SCB46" s="595"/>
      <c r="SCC46" s="595"/>
      <c r="SCD46" s="595"/>
      <c r="SCE46" s="595"/>
      <c r="SCF46" s="595"/>
      <c r="SCG46" s="595"/>
      <c r="SCH46" s="595"/>
      <c r="SCI46" s="595"/>
      <c r="SCJ46" s="595"/>
      <c r="SCK46" s="595"/>
      <c r="SCL46" s="595"/>
      <c r="SCM46" s="595"/>
      <c r="SCN46" s="595"/>
      <c r="SCO46" s="595"/>
      <c r="SCP46" s="595"/>
      <c r="SCQ46" s="595"/>
      <c r="SCR46" s="595"/>
      <c r="SCS46" s="595"/>
      <c r="SCT46" s="595"/>
      <c r="SCU46" s="595"/>
      <c r="SCV46" s="595"/>
      <c r="SCW46" s="595"/>
      <c r="SCX46" s="595"/>
      <c r="SCY46" s="595"/>
      <c r="SCZ46" s="595"/>
      <c r="SDA46" s="595"/>
      <c r="SDB46" s="595"/>
      <c r="SDC46" s="595"/>
      <c r="SDD46" s="595"/>
      <c r="SDE46" s="595"/>
      <c r="SDF46" s="595"/>
      <c r="SDG46" s="595"/>
      <c r="SDH46" s="595"/>
      <c r="SDI46" s="595"/>
      <c r="SDJ46" s="595"/>
      <c r="SDK46" s="595"/>
      <c r="SDL46" s="595"/>
      <c r="SDM46" s="595"/>
      <c r="SDN46" s="595"/>
      <c r="SDO46" s="595"/>
      <c r="SDP46" s="595"/>
      <c r="SDQ46" s="595"/>
      <c r="SDR46" s="595"/>
      <c r="SDS46" s="595"/>
      <c r="SDT46" s="595"/>
      <c r="SDU46" s="595"/>
      <c r="SDV46" s="595"/>
      <c r="SDW46" s="595"/>
      <c r="SDX46" s="595"/>
      <c r="SDY46" s="595"/>
      <c r="SDZ46" s="595"/>
      <c r="SEA46" s="595"/>
      <c r="SEB46" s="595"/>
      <c r="SEC46" s="595"/>
      <c r="SED46" s="595"/>
      <c r="SEE46" s="595"/>
      <c r="SEF46" s="595"/>
      <c r="SEG46" s="595"/>
      <c r="SEH46" s="595"/>
      <c r="SEI46" s="595"/>
      <c r="SEJ46" s="595"/>
      <c r="SEK46" s="595"/>
      <c r="SEL46" s="595"/>
      <c r="SEM46" s="595"/>
      <c r="SEN46" s="595"/>
      <c r="SEO46" s="595"/>
      <c r="SEP46" s="595"/>
      <c r="SEQ46" s="595"/>
      <c r="SER46" s="595"/>
      <c r="SES46" s="595"/>
      <c r="SET46" s="595"/>
      <c r="SEU46" s="595"/>
      <c r="SEV46" s="595"/>
      <c r="SEW46" s="595"/>
      <c r="SEX46" s="595"/>
      <c r="SEY46" s="595"/>
      <c r="SEZ46" s="595"/>
      <c r="SFA46" s="595"/>
      <c r="SFB46" s="595"/>
      <c r="SFC46" s="595"/>
      <c r="SFD46" s="595"/>
      <c r="SFE46" s="595"/>
      <c r="SFF46" s="595"/>
      <c r="SFG46" s="595"/>
      <c r="SFH46" s="595"/>
      <c r="SFI46" s="595"/>
      <c r="SFJ46" s="595"/>
      <c r="SFK46" s="595"/>
      <c r="SFL46" s="595"/>
      <c r="SFM46" s="595"/>
      <c r="SFN46" s="595"/>
      <c r="SFO46" s="595"/>
      <c r="SFP46" s="595"/>
      <c r="SFQ46" s="595"/>
      <c r="SFR46" s="595"/>
      <c r="SFS46" s="595"/>
      <c r="SFT46" s="595"/>
      <c r="SFU46" s="595"/>
      <c r="SFV46" s="595"/>
      <c r="SFW46" s="595"/>
      <c r="SFX46" s="595"/>
      <c r="SFY46" s="595"/>
      <c r="SFZ46" s="595"/>
      <c r="SGA46" s="595"/>
      <c r="SGB46" s="595"/>
      <c r="SGC46" s="595"/>
      <c r="SGD46" s="595"/>
      <c r="SGE46" s="595"/>
      <c r="SGF46" s="595"/>
      <c r="SGG46" s="595"/>
      <c r="SGH46" s="595"/>
      <c r="SGI46" s="595"/>
      <c r="SGJ46" s="595"/>
      <c r="SGK46" s="595"/>
      <c r="SGL46" s="595"/>
      <c r="SGM46" s="595"/>
      <c r="SGN46" s="595"/>
      <c r="SGO46" s="595"/>
      <c r="SGP46" s="595"/>
      <c r="SGQ46" s="595"/>
      <c r="SGR46" s="595"/>
      <c r="SGS46" s="595"/>
      <c r="SGT46" s="595"/>
      <c r="SGU46" s="595"/>
      <c r="SGV46" s="595"/>
      <c r="SGW46" s="595"/>
      <c r="SGX46" s="595"/>
      <c r="SGY46" s="595"/>
      <c r="SGZ46" s="595"/>
      <c r="SHA46" s="595"/>
      <c r="SHB46" s="595"/>
      <c r="SHC46" s="595"/>
      <c r="SHD46" s="595"/>
      <c r="SHE46" s="595"/>
      <c r="SHF46" s="595"/>
      <c r="SHG46" s="595"/>
      <c r="SHH46" s="595"/>
      <c r="SHI46" s="595"/>
      <c r="SHJ46" s="595"/>
      <c r="SHK46" s="595"/>
      <c r="SHL46" s="595"/>
      <c r="SHM46" s="595"/>
      <c r="SHN46" s="595"/>
      <c r="SHO46" s="595"/>
      <c r="SHP46" s="595"/>
      <c r="SHQ46" s="595"/>
      <c r="SHR46" s="595"/>
      <c r="SHS46" s="595"/>
      <c r="SHT46" s="595"/>
      <c r="SHU46" s="595"/>
      <c r="SHV46" s="595"/>
      <c r="SHW46" s="595"/>
      <c r="SHX46" s="595"/>
      <c r="SHY46" s="595"/>
      <c r="SHZ46" s="595"/>
      <c r="SIA46" s="595"/>
      <c r="SIB46" s="595"/>
      <c r="SIC46" s="595"/>
      <c r="SID46" s="595"/>
      <c r="SIE46" s="595"/>
      <c r="SIF46" s="595"/>
      <c r="SIG46" s="595"/>
      <c r="SIH46" s="595"/>
      <c r="SII46" s="595"/>
      <c r="SIJ46" s="595"/>
      <c r="SIK46" s="595"/>
      <c r="SIL46" s="595"/>
      <c r="SIM46" s="595"/>
      <c r="SIN46" s="595"/>
      <c r="SIO46" s="595"/>
      <c r="SIP46" s="595"/>
      <c r="SIQ46" s="595"/>
      <c r="SIR46" s="595"/>
      <c r="SIS46" s="595"/>
      <c r="SIT46" s="595"/>
      <c r="SIU46" s="595"/>
      <c r="SIV46" s="595"/>
      <c r="SIW46" s="595"/>
      <c r="SIX46" s="595"/>
      <c r="SIY46" s="595"/>
      <c r="SIZ46" s="595"/>
      <c r="SJA46" s="595"/>
      <c r="SJB46" s="595"/>
      <c r="SJC46" s="595"/>
      <c r="SJD46" s="595"/>
      <c r="SJE46" s="595"/>
      <c r="SJF46" s="595"/>
      <c r="SJG46" s="595"/>
      <c r="SJH46" s="595"/>
      <c r="SJI46" s="595"/>
      <c r="SJJ46" s="595"/>
      <c r="SJK46" s="595"/>
      <c r="SJL46" s="595"/>
      <c r="SJM46" s="595"/>
      <c r="SJN46" s="595"/>
      <c r="SJO46" s="595"/>
      <c r="SJP46" s="595"/>
      <c r="SJQ46" s="595"/>
      <c r="SJR46" s="595"/>
      <c r="SJS46" s="595"/>
      <c r="SJT46" s="595"/>
      <c r="SJU46" s="595"/>
      <c r="SJV46" s="595"/>
      <c r="SJW46" s="595"/>
      <c r="SJX46" s="595"/>
      <c r="SJY46" s="595"/>
      <c r="SJZ46" s="595"/>
      <c r="SKA46" s="595"/>
      <c r="SKB46" s="595"/>
      <c r="SKC46" s="595"/>
      <c r="SKD46" s="595"/>
      <c r="SKE46" s="595"/>
      <c r="SKF46" s="595"/>
      <c r="SKG46" s="595"/>
      <c r="SKH46" s="595"/>
      <c r="SKI46" s="595"/>
      <c r="SKJ46" s="595"/>
      <c r="SKK46" s="595"/>
      <c r="SKL46" s="595"/>
      <c r="SKM46" s="595"/>
      <c r="SKN46" s="595"/>
      <c r="SKO46" s="595"/>
      <c r="SKP46" s="595"/>
      <c r="SKQ46" s="595"/>
      <c r="SKR46" s="595"/>
      <c r="SKS46" s="595"/>
      <c r="SKT46" s="595"/>
      <c r="SKU46" s="595"/>
      <c r="SKV46" s="595"/>
      <c r="SKW46" s="595"/>
      <c r="SKX46" s="595"/>
      <c r="SKY46" s="595"/>
      <c r="SKZ46" s="595"/>
      <c r="SLA46" s="595"/>
      <c r="SLB46" s="595"/>
      <c r="SLC46" s="595"/>
      <c r="SLD46" s="595"/>
      <c r="SLE46" s="595"/>
      <c r="SLF46" s="595"/>
      <c r="SLG46" s="595"/>
      <c r="SLH46" s="595"/>
      <c r="SLI46" s="595"/>
      <c r="SLJ46" s="595"/>
      <c r="SLK46" s="595"/>
      <c r="SLL46" s="595"/>
      <c r="SLM46" s="595"/>
      <c r="SLN46" s="595"/>
      <c r="SLO46" s="595"/>
      <c r="SLP46" s="595"/>
      <c r="SLQ46" s="595"/>
      <c r="SLR46" s="595"/>
      <c r="SLS46" s="595"/>
      <c r="SLT46" s="595"/>
      <c r="SLU46" s="595"/>
      <c r="SLV46" s="595"/>
      <c r="SLW46" s="595"/>
      <c r="SLX46" s="595"/>
      <c r="SLY46" s="595"/>
      <c r="SLZ46" s="595"/>
      <c r="SMA46" s="595"/>
      <c r="SMB46" s="595"/>
      <c r="SMC46" s="595"/>
      <c r="SMD46" s="595"/>
      <c r="SME46" s="595"/>
      <c r="SMF46" s="595"/>
      <c r="SMG46" s="595"/>
      <c r="SMH46" s="595"/>
      <c r="SMI46" s="595"/>
      <c r="SMJ46" s="595"/>
      <c r="SMK46" s="595"/>
      <c r="SML46" s="595"/>
      <c r="SMM46" s="595"/>
      <c r="SMN46" s="595"/>
      <c r="SMO46" s="595"/>
      <c r="SMP46" s="595"/>
      <c r="SMQ46" s="595"/>
      <c r="SMR46" s="595"/>
      <c r="SMS46" s="595"/>
      <c r="SMT46" s="595"/>
      <c r="SMU46" s="595"/>
      <c r="SMV46" s="595"/>
      <c r="SMW46" s="595"/>
      <c r="SMX46" s="595"/>
      <c r="SMY46" s="595"/>
      <c r="SMZ46" s="595"/>
      <c r="SNA46" s="595"/>
      <c r="SNB46" s="595"/>
      <c r="SNC46" s="595"/>
      <c r="SND46" s="595"/>
      <c r="SNE46" s="595"/>
      <c r="SNF46" s="595"/>
      <c r="SNG46" s="595"/>
      <c r="SNH46" s="595"/>
      <c r="SNI46" s="595"/>
      <c r="SNJ46" s="595"/>
      <c r="SNK46" s="595"/>
      <c r="SNL46" s="595"/>
      <c r="SNM46" s="595"/>
      <c r="SNN46" s="595"/>
      <c r="SNO46" s="595"/>
      <c r="SNP46" s="595"/>
      <c r="SNQ46" s="595"/>
      <c r="SNR46" s="595"/>
      <c r="SNS46" s="595"/>
      <c r="SNT46" s="595"/>
      <c r="SNU46" s="595"/>
      <c r="SNV46" s="595"/>
      <c r="SNW46" s="595"/>
      <c r="SNX46" s="595"/>
      <c r="SNY46" s="595"/>
      <c r="SNZ46" s="595"/>
      <c r="SOA46" s="595"/>
      <c r="SOB46" s="595"/>
      <c r="SOC46" s="595"/>
      <c r="SOD46" s="595"/>
      <c r="SOE46" s="595"/>
      <c r="SOF46" s="595"/>
      <c r="SOG46" s="595"/>
      <c r="SOH46" s="595"/>
      <c r="SOI46" s="595"/>
      <c r="SOJ46" s="595"/>
      <c r="SOK46" s="595"/>
      <c r="SOL46" s="595"/>
      <c r="SOM46" s="595"/>
      <c r="SON46" s="595"/>
      <c r="SOO46" s="595"/>
      <c r="SOP46" s="595"/>
      <c r="SOQ46" s="595"/>
      <c r="SOR46" s="595"/>
      <c r="SOS46" s="595"/>
      <c r="SOT46" s="595"/>
      <c r="SOU46" s="595"/>
      <c r="SOV46" s="595"/>
      <c r="SOW46" s="595"/>
      <c r="SOX46" s="595"/>
      <c r="SOY46" s="595"/>
      <c r="SOZ46" s="595"/>
      <c r="SPA46" s="595"/>
      <c r="SPB46" s="595"/>
      <c r="SPC46" s="595"/>
      <c r="SPD46" s="595"/>
      <c r="SPE46" s="595"/>
      <c r="SPF46" s="595"/>
      <c r="SPG46" s="595"/>
      <c r="SPH46" s="595"/>
      <c r="SPI46" s="595"/>
      <c r="SPJ46" s="595"/>
      <c r="SPK46" s="595"/>
      <c r="SPL46" s="595"/>
      <c r="SPM46" s="595"/>
      <c r="SPN46" s="595"/>
      <c r="SPO46" s="595"/>
      <c r="SPP46" s="595"/>
      <c r="SPQ46" s="595"/>
      <c r="SPR46" s="595"/>
      <c r="SPS46" s="595"/>
      <c r="SPT46" s="595"/>
      <c r="SPU46" s="595"/>
      <c r="SPV46" s="595"/>
      <c r="SPW46" s="595"/>
      <c r="SPX46" s="595"/>
      <c r="SPY46" s="595"/>
      <c r="SPZ46" s="595"/>
      <c r="SQA46" s="595"/>
      <c r="SQB46" s="595"/>
      <c r="SQC46" s="595"/>
      <c r="SQD46" s="595"/>
      <c r="SQE46" s="595"/>
      <c r="SQF46" s="595"/>
      <c r="SQG46" s="595"/>
      <c r="SQH46" s="595"/>
      <c r="SQI46" s="595"/>
      <c r="SQJ46" s="595"/>
      <c r="SQK46" s="595"/>
      <c r="SQL46" s="595"/>
      <c r="SQM46" s="595"/>
      <c r="SQN46" s="595"/>
      <c r="SQO46" s="595"/>
      <c r="SQP46" s="595"/>
      <c r="SQQ46" s="595"/>
      <c r="SQR46" s="595"/>
      <c r="SQS46" s="595"/>
      <c r="SQT46" s="595"/>
      <c r="SQU46" s="595"/>
      <c r="SQV46" s="595"/>
      <c r="SQW46" s="595"/>
      <c r="SQX46" s="595"/>
      <c r="SQY46" s="595"/>
      <c r="SQZ46" s="595"/>
      <c r="SRA46" s="595"/>
      <c r="SRB46" s="595"/>
      <c r="SRC46" s="595"/>
      <c r="SRD46" s="595"/>
      <c r="SRE46" s="595"/>
      <c r="SRF46" s="595"/>
      <c r="SRG46" s="595"/>
      <c r="SRH46" s="595"/>
      <c r="SRI46" s="595"/>
      <c r="SRJ46" s="595"/>
      <c r="SRK46" s="595"/>
      <c r="SRL46" s="595"/>
      <c r="SRM46" s="595"/>
      <c r="SRN46" s="595"/>
      <c r="SRO46" s="595"/>
      <c r="SRP46" s="595"/>
      <c r="SRQ46" s="595"/>
      <c r="SRR46" s="595"/>
      <c r="SRS46" s="595"/>
      <c r="SRT46" s="595"/>
      <c r="SRU46" s="595"/>
      <c r="SRV46" s="595"/>
      <c r="SRW46" s="595"/>
      <c r="SRX46" s="595"/>
      <c r="SRY46" s="595"/>
      <c r="SRZ46" s="595"/>
      <c r="SSA46" s="595"/>
      <c r="SSB46" s="595"/>
      <c r="SSC46" s="595"/>
      <c r="SSD46" s="595"/>
      <c r="SSE46" s="595"/>
      <c r="SSF46" s="595"/>
      <c r="SSG46" s="595"/>
      <c r="SSH46" s="595"/>
      <c r="SSI46" s="595"/>
      <c r="SSJ46" s="595"/>
      <c r="SSK46" s="595"/>
      <c r="SSL46" s="595"/>
      <c r="SSM46" s="595"/>
      <c r="SSN46" s="595"/>
      <c r="SSO46" s="595"/>
      <c r="SSP46" s="595"/>
      <c r="SSQ46" s="595"/>
      <c r="SSR46" s="595"/>
      <c r="SSS46" s="595"/>
      <c r="SST46" s="595"/>
      <c r="SSU46" s="595"/>
      <c r="SSV46" s="595"/>
      <c r="SSW46" s="595"/>
      <c r="SSX46" s="595"/>
      <c r="SSY46" s="595"/>
      <c r="SSZ46" s="595"/>
      <c r="STA46" s="595"/>
      <c r="STB46" s="595"/>
      <c r="STC46" s="595"/>
      <c r="STD46" s="595"/>
      <c r="STE46" s="595"/>
      <c r="STF46" s="595"/>
      <c r="STG46" s="595"/>
      <c r="STH46" s="595"/>
      <c r="STI46" s="595"/>
      <c r="STJ46" s="595"/>
      <c r="STK46" s="595"/>
      <c r="STL46" s="595"/>
      <c r="STM46" s="595"/>
      <c r="STN46" s="595"/>
      <c r="STO46" s="595"/>
      <c r="STP46" s="595"/>
      <c r="STQ46" s="595"/>
      <c r="STR46" s="595"/>
      <c r="STS46" s="595"/>
      <c r="STT46" s="595"/>
      <c r="STU46" s="595"/>
      <c r="STV46" s="595"/>
      <c r="STW46" s="595"/>
      <c r="STX46" s="595"/>
      <c r="STY46" s="595"/>
      <c r="STZ46" s="595"/>
      <c r="SUA46" s="595"/>
      <c r="SUB46" s="595"/>
      <c r="SUC46" s="595"/>
      <c r="SUD46" s="595"/>
      <c r="SUE46" s="595"/>
      <c r="SUF46" s="595"/>
      <c r="SUG46" s="595"/>
      <c r="SUH46" s="595"/>
      <c r="SUI46" s="595"/>
      <c r="SUJ46" s="595"/>
      <c r="SUK46" s="595"/>
      <c r="SUL46" s="595"/>
      <c r="SUM46" s="595"/>
      <c r="SUN46" s="595"/>
      <c r="SUO46" s="595"/>
      <c r="SUP46" s="595"/>
      <c r="SUQ46" s="595"/>
      <c r="SUR46" s="595"/>
      <c r="SUS46" s="595"/>
      <c r="SUT46" s="595"/>
      <c r="SUU46" s="595"/>
      <c r="SUV46" s="595"/>
      <c r="SUW46" s="595"/>
      <c r="SUX46" s="595"/>
      <c r="SUY46" s="595"/>
      <c r="SUZ46" s="595"/>
      <c r="SVA46" s="595"/>
      <c r="SVB46" s="595"/>
      <c r="SVC46" s="595"/>
      <c r="SVD46" s="595"/>
      <c r="SVE46" s="595"/>
      <c r="SVF46" s="595"/>
      <c r="SVG46" s="595"/>
      <c r="SVH46" s="595"/>
      <c r="SVI46" s="595"/>
      <c r="SVJ46" s="595"/>
      <c r="SVK46" s="595"/>
      <c r="SVL46" s="595"/>
      <c r="SVM46" s="595"/>
      <c r="SVN46" s="595"/>
      <c r="SVO46" s="595"/>
      <c r="SVP46" s="595"/>
      <c r="SVQ46" s="595"/>
      <c r="SVR46" s="595"/>
      <c r="SVS46" s="595"/>
      <c r="SVT46" s="595"/>
      <c r="SVU46" s="595"/>
      <c r="SVV46" s="595"/>
      <c r="SVW46" s="595"/>
      <c r="SVX46" s="595"/>
      <c r="SVY46" s="595"/>
      <c r="SVZ46" s="595"/>
      <c r="SWA46" s="595"/>
      <c r="SWB46" s="595"/>
      <c r="SWC46" s="595"/>
      <c r="SWD46" s="595"/>
      <c r="SWE46" s="595"/>
      <c r="SWF46" s="595"/>
      <c r="SWG46" s="595"/>
      <c r="SWH46" s="595"/>
      <c r="SWI46" s="595"/>
      <c r="SWJ46" s="595"/>
      <c r="SWK46" s="595"/>
      <c r="SWL46" s="595"/>
      <c r="SWM46" s="595"/>
      <c r="SWN46" s="595"/>
      <c r="SWO46" s="595"/>
      <c r="SWP46" s="595"/>
      <c r="SWQ46" s="595"/>
      <c r="SWR46" s="595"/>
      <c r="SWS46" s="595"/>
      <c r="SWT46" s="595"/>
      <c r="SWU46" s="595"/>
      <c r="SWV46" s="595"/>
      <c r="SWW46" s="595"/>
      <c r="SWX46" s="595"/>
      <c r="SWY46" s="595"/>
      <c r="SWZ46" s="595"/>
      <c r="SXA46" s="595"/>
      <c r="SXB46" s="595"/>
      <c r="SXC46" s="595"/>
      <c r="SXD46" s="595"/>
      <c r="SXE46" s="595"/>
      <c r="SXF46" s="595"/>
      <c r="SXG46" s="595"/>
      <c r="SXH46" s="595"/>
      <c r="SXI46" s="595"/>
      <c r="SXJ46" s="595"/>
      <c r="SXK46" s="595"/>
      <c r="SXL46" s="595"/>
      <c r="SXM46" s="595"/>
      <c r="SXN46" s="595"/>
      <c r="SXO46" s="595"/>
      <c r="SXP46" s="595"/>
      <c r="SXQ46" s="595"/>
      <c r="SXR46" s="595"/>
      <c r="SXS46" s="595"/>
      <c r="SXT46" s="595"/>
      <c r="SXU46" s="595"/>
      <c r="SXV46" s="595"/>
      <c r="SXW46" s="595"/>
      <c r="SXX46" s="595"/>
      <c r="SXY46" s="595"/>
      <c r="SXZ46" s="595"/>
      <c r="SYA46" s="595"/>
      <c r="SYB46" s="595"/>
      <c r="SYC46" s="595"/>
      <c r="SYD46" s="595"/>
      <c r="SYE46" s="595"/>
      <c r="SYF46" s="595"/>
      <c r="SYG46" s="595"/>
      <c r="SYH46" s="595"/>
      <c r="SYI46" s="595"/>
      <c r="SYJ46" s="595"/>
      <c r="SYK46" s="595"/>
      <c r="SYL46" s="595"/>
      <c r="SYM46" s="595"/>
      <c r="SYN46" s="595"/>
      <c r="SYO46" s="595"/>
      <c r="SYP46" s="595"/>
      <c r="SYQ46" s="595"/>
      <c r="SYR46" s="595"/>
      <c r="SYS46" s="595"/>
      <c r="SYT46" s="595"/>
      <c r="SYU46" s="595"/>
      <c r="SYV46" s="595"/>
      <c r="SYW46" s="595"/>
      <c r="SYX46" s="595"/>
      <c r="SYY46" s="595"/>
      <c r="SYZ46" s="595"/>
      <c r="SZA46" s="595"/>
      <c r="SZB46" s="595"/>
      <c r="SZC46" s="595"/>
      <c r="SZD46" s="595"/>
      <c r="SZE46" s="595"/>
      <c r="SZF46" s="595"/>
      <c r="SZG46" s="595"/>
      <c r="SZH46" s="595"/>
      <c r="SZI46" s="595"/>
      <c r="SZJ46" s="595"/>
      <c r="SZK46" s="595"/>
      <c r="SZL46" s="595"/>
      <c r="SZM46" s="595"/>
      <c r="SZN46" s="595"/>
      <c r="SZO46" s="595"/>
      <c r="SZP46" s="595"/>
      <c r="SZQ46" s="595"/>
      <c r="SZR46" s="595"/>
      <c r="SZS46" s="595"/>
      <c r="SZT46" s="595"/>
      <c r="SZU46" s="595"/>
      <c r="SZV46" s="595"/>
      <c r="SZW46" s="595"/>
      <c r="SZX46" s="595"/>
      <c r="SZY46" s="595"/>
      <c r="SZZ46" s="595"/>
      <c r="TAA46" s="595"/>
      <c r="TAB46" s="595"/>
      <c r="TAC46" s="595"/>
      <c r="TAD46" s="595"/>
      <c r="TAE46" s="595"/>
      <c r="TAF46" s="595"/>
      <c r="TAG46" s="595"/>
      <c r="TAH46" s="595"/>
      <c r="TAI46" s="595"/>
      <c r="TAJ46" s="595"/>
      <c r="TAK46" s="595"/>
      <c r="TAL46" s="595"/>
      <c r="TAM46" s="595"/>
      <c r="TAN46" s="595"/>
      <c r="TAO46" s="595"/>
      <c r="TAP46" s="595"/>
      <c r="TAQ46" s="595"/>
      <c r="TAR46" s="595"/>
      <c r="TAS46" s="595"/>
      <c r="TAT46" s="595"/>
      <c r="TAU46" s="595"/>
      <c r="TAV46" s="595"/>
      <c r="TAW46" s="595"/>
      <c r="TAX46" s="595"/>
      <c r="TAY46" s="595"/>
      <c r="TAZ46" s="595"/>
      <c r="TBA46" s="595"/>
      <c r="TBB46" s="595"/>
      <c r="TBC46" s="595"/>
      <c r="TBD46" s="595"/>
      <c r="TBE46" s="595"/>
      <c r="TBF46" s="595"/>
      <c r="TBG46" s="595"/>
      <c r="TBH46" s="595"/>
      <c r="TBI46" s="595"/>
      <c r="TBJ46" s="595"/>
      <c r="TBK46" s="595"/>
      <c r="TBL46" s="595"/>
      <c r="TBM46" s="595"/>
      <c r="TBN46" s="595"/>
      <c r="TBO46" s="595"/>
      <c r="TBP46" s="595"/>
      <c r="TBQ46" s="595"/>
      <c r="TBR46" s="595"/>
      <c r="TBS46" s="595"/>
      <c r="TBT46" s="595"/>
      <c r="TBU46" s="595"/>
      <c r="TBV46" s="595"/>
      <c r="TBW46" s="595"/>
      <c r="TBX46" s="595"/>
      <c r="TBY46" s="595"/>
      <c r="TBZ46" s="595"/>
      <c r="TCA46" s="595"/>
      <c r="TCB46" s="595"/>
      <c r="TCC46" s="595"/>
      <c r="TCD46" s="595"/>
      <c r="TCE46" s="595"/>
      <c r="TCF46" s="595"/>
      <c r="TCG46" s="595"/>
      <c r="TCH46" s="595"/>
      <c r="TCI46" s="595"/>
      <c r="TCJ46" s="595"/>
      <c r="TCK46" s="595"/>
      <c r="TCL46" s="595"/>
      <c r="TCM46" s="595"/>
      <c r="TCN46" s="595"/>
      <c r="TCO46" s="595"/>
      <c r="TCP46" s="595"/>
      <c r="TCQ46" s="595"/>
      <c r="TCR46" s="595"/>
      <c r="TCS46" s="595"/>
      <c r="TCT46" s="595"/>
      <c r="TCU46" s="595"/>
      <c r="TCV46" s="595"/>
      <c r="TCW46" s="595"/>
      <c r="TCX46" s="595"/>
      <c r="TCY46" s="595"/>
      <c r="TCZ46" s="595"/>
      <c r="TDA46" s="595"/>
      <c r="TDB46" s="595"/>
      <c r="TDC46" s="595"/>
      <c r="TDD46" s="595"/>
      <c r="TDE46" s="595"/>
      <c r="TDF46" s="595"/>
      <c r="TDG46" s="595"/>
      <c r="TDH46" s="595"/>
      <c r="TDI46" s="595"/>
      <c r="TDJ46" s="595"/>
      <c r="TDK46" s="595"/>
      <c r="TDL46" s="595"/>
      <c r="TDM46" s="595"/>
      <c r="TDN46" s="595"/>
      <c r="TDO46" s="595"/>
      <c r="TDP46" s="595"/>
      <c r="TDQ46" s="595"/>
      <c r="TDR46" s="595"/>
      <c r="TDS46" s="595"/>
      <c r="TDT46" s="595"/>
      <c r="TDU46" s="595"/>
      <c r="TDV46" s="595"/>
      <c r="TDW46" s="595"/>
      <c r="TDX46" s="595"/>
      <c r="TDY46" s="595"/>
      <c r="TDZ46" s="595"/>
      <c r="TEA46" s="595"/>
      <c r="TEB46" s="595"/>
      <c r="TEC46" s="595"/>
      <c r="TED46" s="595"/>
      <c r="TEE46" s="595"/>
      <c r="TEF46" s="595"/>
      <c r="TEG46" s="595"/>
      <c r="TEH46" s="595"/>
      <c r="TEI46" s="595"/>
      <c r="TEJ46" s="595"/>
      <c r="TEK46" s="595"/>
      <c r="TEL46" s="595"/>
      <c r="TEM46" s="595"/>
      <c r="TEN46" s="595"/>
      <c r="TEO46" s="595"/>
      <c r="TEP46" s="595"/>
      <c r="TEQ46" s="595"/>
      <c r="TER46" s="595"/>
      <c r="TES46" s="595"/>
      <c r="TET46" s="595"/>
      <c r="TEU46" s="595"/>
      <c r="TEV46" s="595"/>
      <c r="TEW46" s="595"/>
      <c r="TEX46" s="595"/>
      <c r="TEY46" s="595"/>
      <c r="TEZ46" s="595"/>
      <c r="TFA46" s="595"/>
      <c r="TFB46" s="595"/>
      <c r="TFC46" s="595"/>
      <c r="TFD46" s="595"/>
      <c r="TFE46" s="595"/>
      <c r="TFF46" s="595"/>
      <c r="TFG46" s="595"/>
      <c r="TFH46" s="595"/>
      <c r="TFI46" s="595"/>
      <c r="TFJ46" s="595"/>
      <c r="TFK46" s="595"/>
      <c r="TFL46" s="595"/>
      <c r="TFM46" s="595"/>
      <c r="TFN46" s="595"/>
      <c r="TFO46" s="595"/>
      <c r="TFP46" s="595"/>
      <c r="TFQ46" s="595"/>
      <c r="TFR46" s="595"/>
      <c r="TFS46" s="595"/>
      <c r="TFT46" s="595"/>
      <c r="TFU46" s="595"/>
      <c r="TFV46" s="595"/>
      <c r="TFW46" s="595"/>
      <c r="TFX46" s="595"/>
      <c r="TFY46" s="595"/>
      <c r="TFZ46" s="595"/>
      <c r="TGA46" s="595"/>
      <c r="TGB46" s="595"/>
      <c r="TGC46" s="595"/>
      <c r="TGD46" s="595"/>
      <c r="TGE46" s="595"/>
      <c r="TGF46" s="595"/>
      <c r="TGG46" s="595"/>
      <c r="TGH46" s="595"/>
      <c r="TGI46" s="595"/>
      <c r="TGJ46" s="595"/>
      <c r="TGK46" s="595"/>
      <c r="TGL46" s="595"/>
      <c r="TGM46" s="595"/>
      <c r="TGN46" s="595"/>
      <c r="TGO46" s="595"/>
      <c r="TGP46" s="595"/>
      <c r="TGQ46" s="595"/>
      <c r="TGR46" s="595"/>
      <c r="TGS46" s="595"/>
      <c r="TGT46" s="595"/>
      <c r="TGU46" s="595"/>
      <c r="TGV46" s="595"/>
      <c r="TGW46" s="595"/>
      <c r="TGX46" s="595"/>
      <c r="TGY46" s="595"/>
      <c r="TGZ46" s="595"/>
      <c r="THA46" s="595"/>
      <c r="THB46" s="595"/>
      <c r="THC46" s="595"/>
      <c r="THD46" s="595"/>
      <c r="THE46" s="595"/>
      <c r="THF46" s="595"/>
      <c r="THG46" s="595"/>
      <c r="THH46" s="595"/>
      <c r="THI46" s="595"/>
      <c r="THJ46" s="595"/>
      <c r="THK46" s="595"/>
      <c r="THL46" s="595"/>
      <c r="THM46" s="595"/>
      <c r="THN46" s="595"/>
      <c r="THO46" s="595"/>
      <c r="THP46" s="595"/>
      <c r="THQ46" s="595"/>
      <c r="THR46" s="595"/>
      <c r="THS46" s="595"/>
      <c r="THT46" s="595"/>
      <c r="THU46" s="595"/>
      <c r="THV46" s="595"/>
      <c r="THW46" s="595"/>
      <c r="THX46" s="595"/>
      <c r="THY46" s="595"/>
      <c r="THZ46" s="595"/>
      <c r="TIA46" s="595"/>
      <c r="TIB46" s="595"/>
      <c r="TIC46" s="595"/>
      <c r="TID46" s="595"/>
      <c r="TIE46" s="595"/>
      <c r="TIF46" s="595"/>
      <c r="TIG46" s="595"/>
      <c r="TIH46" s="595"/>
      <c r="TII46" s="595"/>
      <c r="TIJ46" s="595"/>
      <c r="TIK46" s="595"/>
      <c r="TIL46" s="595"/>
      <c r="TIM46" s="595"/>
      <c r="TIN46" s="595"/>
      <c r="TIO46" s="595"/>
      <c r="TIP46" s="595"/>
      <c r="TIQ46" s="595"/>
      <c r="TIR46" s="595"/>
      <c r="TIS46" s="595"/>
      <c r="TIT46" s="595"/>
      <c r="TIU46" s="595"/>
      <c r="TIV46" s="595"/>
      <c r="TIW46" s="595"/>
      <c r="TIX46" s="595"/>
      <c r="TIY46" s="595"/>
      <c r="TIZ46" s="595"/>
      <c r="TJA46" s="595"/>
      <c r="TJB46" s="595"/>
      <c r="TJC46" s="595"/>
      <c r="TJD46" s="595"/>
      <c r="TJE46" s="595"/>
      <c r="TJF46" s="595"/>
      <c r="TJG46" s="595"/>
      <c r="TJH46" s="595"/>
      <c r="TJI46" s="595"/>
      <c r="TJJ46" s="595"/>
      <c r="TJK46" s="595"/>
      <c r="TJL46" s="595"/>
      <c r="TJM46" s="595"/>
      <c r="TJN46" s="595"/>
      <c r="TJO46" s="595"/>
      <c r="TJP46" s="595"/>
      <c r="TJQ46" s="595"/>
      <c r="TJR46" s="595"/>
      <c r="TJS46" s="595"/>
      <c r="TJT46" s="595"/>
      <c r="TJU46" s="595"/>
      <c r="TJV46" s="595"/>
      <c r="TJW46" s="595"/>
      <c r="TJX46" s="595"/>
      <c r="TJY46" s="595"/>
      <c r="TJZ46" s="595"/>
      <c r="TKA46" s="595"/>
      <c r="TKB46" s="595"/>
      <c r="TKC46" s="595"/>
      <c r="TKD46" s="595"/>
      <c r="TKE46" s="595"/>
      <c r="TKF46" s="595"/>
      <c r="TKG46" s="595"/>
      <c r="TKH46" s="595"/>
      <c r="TKI46" s="595"/>
      <c r="TKJ46" s="595"/>
      <c r="TKK46" s="595"/>
      <c r="TKL46" s="595"/>
      <c r="TKM46" s="595"/>
      <c r="TKN46" s="595"/>
      <c r="TKO46" s="595"/>
      <c r="TKP46" s="595"/>
      <c r="TKQ46" s="595"/>
      <c r="TKR46" s="595"/>
      <c r="TKS46" s="595"/>
      <c r="TKT46" s="595"/>
      <c r="TKU46" s="595"/>
      <c r="TKV46" s="595"/>
      <c r="TKW46" s="595"/>
      <c r="TKX46" s="595"/>
      <c r="TKY46" s="595"/>
      <c r="TKZ46" s="595"/>
      <c r="TLA46" s="595"/>
      <c r="TLB46" s="595"/>
      <c r="TLC46" s="595"/>
      <c r="TLD46" s="595"/>
      <c r="TLE46" s="595"/>
      <c r="TLF46" s="595"/>
      <c r="TLG46" s="595"/>
      <c r="TLH46" s="595"/>
      <c r="TLI46" s="595"/>
      <c r="TLJ46" s="595"/>
      <c r="TLK46" s="595"/>
      <c r="TLL46" s="595"/>
      <c r="TLM46" s="595"/>
      <c r="TLN46" s="595"/>
      <c r="TLO46" s="595"/>
      <c r="TLP46" s="595"/>
      <c r="TLQ46" s="595"/>
      <c r="TLR46" s="595"/>
      <c r="TLS46" s="595"/>
      <c r="TLT46" s="595"/>
      <c r="TLU46" s="595"/>
      <c r="TLV46" s="595"/>
      <c r="TLW46" s="595"/>
      <c r="TLX46" s="595"/>
      <c r="TLY46" s="595"/>
      <c r="TLZ46" s="595"/>
      <c r="TMA46" s="595"/>
      <c r="TMB46" s="595"/>
      <c r="TMC46" s="595"/>
      <c r="TMD46" s="595"/>
      <c r="TME46" s="595"/>
      <c r="TMF46" s="595"/>
      <c r="TMG46" s="595"/>
      <c r="TMH46" s="595"/>
      <c r="TMI46" s="595"/>
      <c r="TMJ46" s="595"/>
      <c r="TMK46" s="595"/>
      <c r="TML46" s="595"/>
      <c r="TMM46" s="595"/>
      <c r="TMN46" s="595"/>
      <c r="TMO46" s="595"/>
      <c r="TMP46" s="595"/>
      <c r="TMQ46" s="595"/>
      <c r="TMR46" s="595"/>
      <c r="TMS46" s="595"/>
      <c r="TMT46" s="595"/>
      <c r="TMU46" s="595"/>
      <c r="TMV46" s="595"/>
      <c r="TMW46" s="595"/>
      <c r="TMX46" s="595"/>
      <c r="TMY46" s="595"/>
      <c r="TMZ46" s="595"/>
      <c r="TNA46" s="595"/>
      <c r="TNB46" s="595"/>
      <c r="TNC46" s="595"/>
      <c r="TND46" s="595"/>
      <c r="TNE46" s="595"/>
      <c r="TNF46" s="595"/>
      <c r="TNG46" s="595"/>
      <c r="TNH46" s="595"/>
      <c r="TNI46" s="595"/>
      <c r="TNJ46" s="595"/>
      <c r="TNK46" s="595"/>
      <c r="TNL46" s="595"/>
      <c r="TNM46" s="595"/>
      <c r="TNN46" s="595"/>
      <c r="TNO46" s="595"/>
      <c r="TNP46" s="595"/>
      <c r="TNQ46" s="595"/>
      <c r="TNR46" s="595"/>
      <c r="TNS46" s="595"/>
      <c r="TNT46" s="595"/>
      <c r="TNU46" s="595"/>
      <c r="TNV46" s="595"/>
      <c r="TNW46" s="595"/>
      <c r="TNX46" s="595"/>
      <c r="TNY46" s="595"/>
      <c r="TNZ46" s="595"/>
      <c r="TOA46" s="595"/>
      <c r="TOB46" s="595"/>
      <c r="TOC46" s="595"/>
      <c r="TOD46" s="595"/>
      <c r="TOE46" s="595"/>
      <c r="TOF46" s="595"/>
      <c r="TOG46" s="595"/>
      <c r="TOH46" s="595"/>
      <c r="TOI46" s="595"/>
      <c r="TOJ46" s="595"/>
      <c r="TOK46" s="595"/>
      <c r="TOL46" s="595"/>
      <c r="TOM46" s="595"/>
      <c r="TON46" s="595"/>
      <c r="TOO46" s="595"/>
      <c r="TOP46" s="595"/>
      <c r="TOQ46" s="595"/>
      <c r="TOR46" s="595"/>
      <c r="TOS46" s="595"/>
      <c r="TOT46" s="595"/>
      <c r="TOU46" s="595"/>
      <c r="TOV46" s="595"/>
      <c r="TOW46" s="595"/>
      <c r="TOX46" s="595"/>
      <c r="TOY46" s="595"/>
      <c r="TOZ46" s="595"/>
      <c r="TPA46" s="595"/>
      <c r="TPB46" s="595"/>
      <c r="TPC46" s="595"/>
      <c r="TPD46" s="595"/>
      <c r="TPE46" s="595"/>
      <c r="TPF46" s="595"/>
      <c r="TPG46" s="595"/>
      <c r="TPH46" s="595"/>
      <c r="TPI46" s="595"/>
      <c r="TPJ46" s="595"/>
      <c r="TPK46" s="595"/>
      <c r="TPL46" s="595"/>
      <c r="TPM46" s="595"/>
      <c r="TPN46" s="595"/>
      <c r="TPO46" s="595"/>
      <c r="TPP46" s="595"/>
      <c r="TPQ46" s="595"/>
      <c r="TPR46" s="595"/>
      <c r="TPS46" s="595"/>
      <c r="TPT46" s="595"/>
      <c r="TPU46" s="595"/>
      <c r="TPV46" s="595"/>
      <c r="TPW46" s="595"/>
      <c r="TPX46" s="595"/>
      <c r="TPY46" s="595"/>
      <c r="TPZ46" s="595"/>
      <c r="TQA46" s="595"/>
      <c r="TQB46" s="595"/>
      <c r="TQC46" s="595"/>
      <c r="TQD46" s="595"/>
      <c r="TQE46" s="595"/>
      <c r="TQF46" s="595"/>
      <c r="TQG46" s="595"/>
      <c r="TQH46" s="595"/>
      <c r="TQI46" s="595"/>
      <c r="TQJ46" s="595"/>
      <c r="TQK46" s="595"/>
      <c r="TQL46" s="595"/>
      <c r="TQM46" s="595"/>
      <c r="TQN46" s="595"/>
      <c r="TQO46" s="595"/>
      <c r="TQP46" s="595"/>
      <c r="TQQ46" s="595"/>
      <c r="TQR46" s="595"/>
      <c r="TQS46" s="595"/>
      <c r="TQT46" s="595"/>
      <c r="TQU46" s="595"/>
      <c r="TQV46" s="595"/>
      <c r="TQW46" s="595"/>
      <c r="TQX46" s="595"/>
      <c r="TQY46" s="595"/>
      <c r="TQZ46" s="595"/>
      <c r="TRA46" s="595"/>
      <c r="TRB46" s="595"/>
      <c r="TRC46" s="595"/>
      <c r="TRD46" s="595"/>
      <c r="TRE46" s="595"/>
      <c r="TRF46" s="595"/>
      <c r="TRG46" s="595"/>
      <c r="TRH46" s="595"/>
      <c r="TRI46" s="595"/>
      <c r="TRJ46" s="595"/>
      <c r="TRK46" s="595"/>
      <c r="TRL46" s="595"/>
      <c r="TRM46" s="595"/>
      <c r="TRN46" s="595"/>
      <c r="TRO46" s="595"/>
      <c r="TRP46" s="595"/>
      <c r="TRQ46" s="595"/>
      <c r="TRR46" s="595"/>
      <c r="TRS46" s="595"/>
      <c r="TRT46" s="595"/>
      <c r="TRU46" s="595"/>
      <c r="TRV46" s="595"/>
      <c r="TRW46" s="595"/>
      <c r="TRX46" s="595"/>
      <c r="TRY46" s="595"/>
      <c r="TRZ46" s="595"/>
      <c r="TSA46" s="595"/>
      <c r="TSB46" s="595"/>
      <c r="TSC46" s="595"/>
      <c r="TSD46" s="595"/>
      <c r="TSE46" s="595"/>
      <c r="TSF46" s="595"/>
      <c r="TSG46" s="595"/>
      <c r="TSH46" s="595"/>
      <c r="TSI46" s="595"/>
      <c r="TSJ46" s="595"/>
      <c r="TSK46" s="595"/>
      <c r="TSL46" s="595"/>
      <c r="TSM46" s="595"/>
      <c r="TSN46" s="595"/>
      <c r="TSO46" s="595"/>
      <c r="TSP46" s="595"/>
      <c r="TSQ46" s="595"/>
      <c r="TSR46" s="595"/>
      <c r="TSS46" s="595"/>
      <c r="TST46" s="595"/>
      <c r="TSU46" s="595"/>
      <c r="TSV46" s="595"/>
      <c r="TSW46" s="595"/>
      <c r="TSX46" s="595"/>
      <c r="TSY46" s="595"/>
      <c r="TSZ46" s="595"/>
      <c r="TTA46" s="595"/>
      <c r="TTB46" s="595"/>
      <c r="TTC46" s="595"/>
      <c r="TTD46" s="595"/>
      <c r="TTE46" s="595"/>
      <c r="TTF46" s="595"/>
      <c r="TTG46" s="595"/>
      <c r="TTH46" s="595"/>
      <c r="TTI46" s="595"/>
      <c r="TTJ46" s="595"/>
      <c r="TTK46" s="595"/>
      <c r="TTL46" s="595"/>
      <c r="TTM46" s="595"/>
      <c r="TTN46" s="595"/>
      <c r="TTO46" s="595"/>
      <c r="TTP46" s="595"/>
      <c r="TTQ46" s="595"/>
      <c r="TTR46" s="595"/>
      <c r="TTS46" s="595"/>
      <c r="TTT46" s="595"/>
      <c r="TTU46" s="595"/>
      <c r="TTV46" s="595"/>
      <c r="TTW46" s="595"/>
      <c r="TTX46" s="595"/>
      <c r="TTY46" s="595"/>
      <c r="TTZ46" s="595"/>
      <c r="TUA46" s="595"/>
      <c r="TUB46" s="595"/>
      <c r="TUC46" s="595"/>
      <c r="TUD46" s="595"/>
      <c r="TUE46" s="595"/>
      <c r="TUF46" s="595"/>
      <c r="TUG46" s="595"/>
      <c r="TUH46" s="595"/>
      <c r="TUI46" s="595"/>
      <c r="TUJ46" s="595"/>
      <c r="TUK46" s="595"/>
      <c r="TUL46" s="595"/>
      <c r="TUM46" s="595"/>
      <c r="TUN46" s="595"/>
      <c r="TUO46" s="595"/>
      <c r="TUP46" s="595"/>
      <c r="TUQ46" s="595"/>
      <c r="TUR46" s="595"/>
      <c r="TUS46" s="595"/>
      <c r="TUT46" s="595"/>
      <c r="TUU46" s="595"/>
      <c r="TUV46" s="595"/>
      <c r="TUW46" s="595"/>
      <c r="TUX46" s="595"/>
      <c r="TUY46" s="595"/>
      <c r="TUZ46" s="595"/>
      <c r="TVA46" s="595"/>
      <c r="TVB46" s="595"/>
      <c r="TVC46" s="595"/>
      <c r="TVD46" s="595"/>
      <c r="TVE46" s="595"/>
      <c r="TVF46" s="595"/>
      <c r="TVG46" s="595"/>
      <c r="TVH46" s="595"/>
      <c r="TVI46" s="595"/>
      <c r="TVJ46" s="595"/>
      <c r="TVK46" s="595"/>
      <c r="TVL46" s="595"/>
      <c r="TVM46" s="595"/>
      <c r="TVN46" s="595"/>
      <c r="TVO46" s="595"/>
      <c r="TVP46" s="595"/>
      <c r="TVQ46" s="595"/>
      <c r="TVR46" s="595"/>
      <c r="TVS46" s="595"/>
      <c r="TVT46" s="595"/>
      <c r="TVU46" s="595"/>
      <c r="TVV46" s="595"/>
      <c r="TVW46" s="595"/>
      <c r="TVX46" s="595"/>
      <c r="TVY46" s="595"/>
      <c r="TVZ46" s="595"/>
      <c r="TWA46" s="595"/>
      <c r="TWB46" s="595"/>
      <c r="TWC46" s="595"/>
      <c r="TWD46" s="595"/>
      <c r="TWE46" s="595"/>
      <c r="TWF46" s="595"/>
      <c r="TWG46" s="595"/>
      <c r="TWH46" s="595"/>
      <c r="TWI46" s="595"/>
      <c r="TWJ46" s="595"/>
      <c r="TWK46" s="595"/>
      <c r="TWL46" s="595"/>
      <c r="TWM46" s="595"/>
      <c r="TWN46" s="595"/>
      <c r="TWO46" s="595"/>
      <c r="TWP46" s="595"/>
      <c r="TWQ46" s="595"/>
      <c r="TWR46" s="595"/>
      <c r="TWS46" s="595"/>
      <c r="TWT46" s="595"/>
      <c r="TWU46" s="595"/>
      <c r="TWV46" s="595"/>
      <c r="TWW46" s="595"/>
      <c r="TWX46" s="595"/>
      <c r="TWY46" s="595"/>
      <c r="TWZ46" s="595"/>
      <c r="TXA46" s="595"/>
      <c r="TXB46" s="595"/>
      <c r="TXC46" s="595"/>
      <c r="TXD46" s="595"/>
      <c r="TXE46" s="595"/>
      <c r="TXF46" s="595"/>
      <c r="TXG46" s="595"/>
      <c r="TXH46" s="595"/>
      <c r="TXI46" s="595"/>
      <c r="TXJ46" s="595"/>
      <c r="TXK46" s="595"/>
      <c r="TXL46" s="595"/>
      <c r="TXM46" s="595"/>
      <c r="TXN46" s="595"/>
      <c r="TXO46" s="595"/>
      <c r="TXP46" s="595"/>
      <c r="TXQ46" s="595"/>
      <c r="TXR46" s="595"/>
      <c r="TXS46" s="595"/>
      <c r="TXT46" s="595"/>
      <c r="TXU46" s="595"/>
      <c r="TXV46" s="595"/>
      <c r="TXW46" s="595"/>
      <c r="TXX46" s="595"/>
      <c r="TXY46" s="595"/>
      <c r="TXZ46" s="595"/>
      <c r="TYA46" s="595"/>
      <c r="TYB46" s="595"/>
      <c r="TYC46" s="595"/>
      <c r="TYD46" s="595"/>
      <c r="TYE46" s="595"/>
      <c r="TYF46" s="595"/>
      <c r="TYG46" s="595"/>
      <c r="TYH46" s="595"/>
      <c r="TYI46" s="595"/>
      <c r="TYJ46" s="595"/>
      <c r="TYK46" s="595"/>
      <c r="TYL46" s="595"/>
      <c r="TYM46" s="595"/>
      <c r="TYN46" s="595"/>
      <c r="TYO46" s="595"/>
      <c r="TYP46" s="595"/>
      <c r="TYQ46" s="595"/>
      <c r="TYR46" s="595"/>
      <c r="TYS46" s="595"/>
      <c r="TYT46" s="595"/>
      <c r="TYU46" s="595"/>
      <c r="TYV46" s="595"/>
      <c r="TYW46" s="595"/>
      <c r="TYX46" s="595"/>
      <c r="TYY46" s="595"/>
      <c r="TYZ46" s="595"/>
      <c r="TZA46" s="595"/>
      <c r="TZB46" s="595"/>
      <c r="TZC46" s="595"/>
      <c r="TZD46" s="595"/>
      <c r="TZE46" s="595"/>
      <c r="TZF46" s="595"/>
      <c r="TZG46" s="595"/>
      <c r="TZH46" s="595"/>
      <c r="TZI46" s="595"/>
      <c r="TZJ46" s="595"/>
      <c r="TZK46" s="595"/>
      <c r="TZL46" s="595"/>
      <c r="TZM46" s="595"/>
      <c r="TZN46" s="595"/>
      <c r="TZO46" s="595"/>
      <c r="TZP46" s="595"/>
      <c r="TZQ46" s="595"/>
      <c r="TZR46" s="595"/>
      <c r="TZS46" s="595"/>
      <c r="TZT46" s="595"/>
      <c r="TZU46" s="595"/>
      <c r="TZV46" s="595"/>
      <c r="TZW46" s="595"/>
      <c r="TZX46" s="595"/>
      <c r="TZY46" s="595"/>
      <c r="TZZ46" s="595"/>
      <c r="UAA46" s="595"/>
      <c r="UAB46" s="595"/>
      <c r="UAC46" s="595"/>
      <c r="UAD46" s="595"/>
      <c r="UAE46" s="595"/>
      <c r="UAF46" s="595"/>
      <c r="UAG46" s="595"/>
      <c r="UAH46" s="595"/>
      <c r="UAI46" s="595"/>
      <c r="UAJ46" s="595"/>
      <c r="UAK46" s="595"/>
      <c r="UAL46" s="595"/>
      <c r="UAM46" s="595"/>
      <c r="UAN46" s="595"/>
      <c r="UAO46" s="595"/>
      <c r="UAP46" s="595"/>
      <c r="UAQ46" s="595"/>
      <c r="UAR46" s="595"/>
      <c r="UAS46" s="595"/>
      <c r="UAT46" s="595"/>
      <c r="UAU46" s="595"/>
      <c r="UAV46" s="595"/>
      <c r="UAW46" s="595"/>
      <c r="UAX46" s="595"/>
      <c r="UAY46" s="595"/>
      <c r="UAZ46" s="595"/>
      <c r="UBA46" s="595"/>
      <c r="UBB46" s="595"/>
      <c r="UBC46" s="595"/>
      <c r="UBD46" s="595"/>
      <c r="UBE46" s="595"/>
      <c r="UBF46" s="595"/>
      <c r="UBG46" s="595"/>
      <c r="UBH46" s="595"/>
      <c r="UBI46" s="595"/>
      <c r="UBJ46" s="595"/>
      <c r="UBK46" s="595"/>
      <c r="UBL46" s="595"/>
      <c r="UBM46" s="595"/>
      <c r="UBN46" s="595"/>
      <c r="UBO46" s="595"/>
      <c r="UBP46" s="595"/>
      <c r="UBQ46" s="595"/>
      <c r="UBR46" s="595"/>
      <c r="UBS46" s="595"/>
      <c r="UBT46" s="595"/>
      <c r="UBU46" s="595"/>
      <c r="UBV46" s="595"/>
      <c r="UBW46" s="595"/>
      <c r="UBX46" s="595"/>
      <c r="UBY46" s="595"/>
      <c r="UBZ46" s="595"/>
      <c r="UCA46" s="595"/>
      <c r="UCB46" s="595"/>
      <c r="UCC46" s="595"/>
      <c r="UCD46" s="595"/>
      <c r="UCE46" s="595"/>
      <c r="UCF46" s="595"/>
      <c r="UCG46" s="595"/>
      <c r="UCH46" s="595"/>
      <c r="UCI46" s="595"/>
      <c r="UCJ46" s="595"/>
      <c r="UCK46" s="595"/>
      <c r="UCL46" s="595"/>
      <c r="UCM46" s="595"/>
      <c r="UCN46" s="595"/>
      <c r="UCO46" s="595"/>
      <c r="UCP46" s="595"/>
      <c r="UCQ46" s="595"/>
      <c r="UCR46" s="595"/>
      <c r="UCS46" s="595"/>
      <c r="UCT46" s="595"/>
      <c r="UCU46" s="595"/>
      <c r="UCV46" s="595"/>
      <c r="UCW46" s="595"/>
      <c r="UCX46" s="595"/>
      <c r="UCY46" s="595"/>
      <c r="UCZ46" s="595"/>
      <c r="UDA46" s="595"/>
      <c r="UDB46" s="595"/>
      <c r="UDC46" s="595"/>
      <c r="UDD46" s="595"/>
      <c r="UDE46" s="595"/>
      <c r="UDF46" s="595"/>
      <c r="UDG46" s="595"/>
      <c r="UDH46" s="595"/>
      <c r="UDI46" s="595"/>
      <c r="UDJ46" s="595"/>
      <c r="UDK46" s="595"/>
      <c r="UDL46" s="595"/>
      <c r="UDM46" s="595"/>
      <c r="UDN46" s="595"/>
      <c r="UDO46" s="595"/>
      <c r="UDP46" s="595"/>
      <c r="UDQ46" s="595"/>
      <c r="UDR46" s="595"/>
      <c r="UDS46" s="595"/>
      <c r="UDT46" s="595"/>
      <c r="UDU46" s="595"/>
      <c r="UDV46" s="595"/>
      <c r="UDW46" s="595"/>
      <c r="UDX46" s="595"/>
      <c r="UDY46" s="595"/>
      <c r="UDZ46" s="595"/>
      <c r="UEA46" s="595"/>
      <c r="UEB46" s="595"/>
      <c r="UEC46" s="595"/>
      <c r="UED46" s="595"/>
      <c r="UEE46" s="595"/>
      <c r="UEF46" s="595"/>
      <c r="UEG46" s="595"/>
      <c r="UEH46" s="595"/>
      <c r="UEI46" s="595"/>
      <c r="UEJ46" s="595"/>
      <c r="UEK46" s="595"/>
      <c r="UEL46" s="595"/>
      <c r="UEM46" s="595"/>
      <c r="UEN46" s="595"/>
      <c r="UEO46" s="595"/>
      <c r="UEP46" s="595"/>
      <c r="UEQ46" s="595"/>
      <c r="UER46" s="595"/>
      <c r="UES46" s="595"/>
      <c r="UET46" s="595"/>
      <c r="UEU46" s="595"/>
      <c r="UEV46" s="595"/>
      <c r="UEW46" s="595"/>
      <c r="UEX46" s="595"/>
      <c r="UEY46" s="595"/>
      <c r="UEZ46" s="595"/>
      <c r="UFA46" s="595"/>
      <c r="UFB46" s="595"/>
      <c r="UFC46" s="595"/>
      <c r="UFD46" s="595"/>
      <c r="UFE46" s="595"/>
      <c r="UFF46" s="595"/>
      <c r="UFG46" s="595"/>
      <c r="UFH46" s="595"/>
      <c r="UFI46" s="595"/>
      <c r="UFJ46" s="595"/>
      <c r="UFK46" s="595"/>
      <c r="UFL46" s="595"/>
      <c r="UFM46" s="595"/>
      <c r="UFN46" s="595"/>
      <c r="UFO46" s="595"/>
      <c r="UFP46" s="595"/>
      <c r="UFQ46" s="595"/>
      <c r="UFR46" s="595"/>
      <c r="UFS46" s="595"/>
      <c r="UFT46" s="595"/>
      <c r="UFU46" s="595"/>
      <c r="UFV46" s="595"/>
      <c r="UFW46" s="595"/>
      <c r="UFX46" s="595"/>
      <c r="UFY46" s="595"/>
      <c r="UFZ46" s="595"/>
      <c r="UGA46" s="595"/>
      <c r="UGB46" s="595"/>
      <c r="UGC46" s="595"/>
      <c r="UGD46" s="595"/>
      <c r="UGE46" s="595"/>
      <c r="UGF46" s="595"/>
      <c r="UGG46" s="595"/>
      <c r="UGH46" s="595"/>
      <c r="UGI46" s="595"/>
      <c r="UGJ46" s="595"/>
      <c r="UGK46" s="595"/>
      <c r="UGL46" s="595"/>
      <c r="UGM46" s="595"/>
      <c r="UGN46" s="595"/>
      <c r="UGO46" s="595"/>
      <c r="UGP46" s="595"/>
      <c r="UGQ46" s="595"/>
      <c r="UGR46" s="595"/>
      <c r="UGS46" s="595"/>
      <c r="UGT46" s="595"/>
      <c r="UGU46" s="595"/>
      <c r="UGV46" s="595"/>
      <c r="UGW46" s="595"/>
      <c r="UGX46" s="595"/>
      <c r="UGY46" s="595"/>
      <c r="UGZ46" s="595"/>
      <c r="UHA46" s="595"/>
      <c r="UHB46" s="595"/>
      <c r="UHC46" s="595"/>
      <c r="UHD46" s="595"/>
      <c r="UHE46" s="595"/>
      <c r="UHF46" s="595"/>
      <c r="UHG46" s="595"/>
      <c r="UHH46" s="595"/>
      <c r="UHI46" s="595"/>
      <c r="UHJ46" s="595"/>
      <c r="UHK46" s="595"/>
      <c r="UHL46" s="595"/>
      <c r="UHM46" s="595"/>
      <c r="UHN46" s="595"/>
      <c r="UHO46" s="595"/>
      <c r="UHP46" s="595"/>
      <c r="UHQ46" s="595"/>
      <c r="UHR46" s="595"/>
      <c r="UHS46" s="595"/>
      <c r="UHT46" s="595"/>
      <c r="UHU46" s="595"/>
      <c r="UHV46" s="595"/>
      <c r="UHW46" s="595"/>
      <c r="UHX46" s="595"/>
      <c r="UHY46" s="595"/>
      <c r="UHZ46" s="595"/>
      <c r="UIA46" s="595"/>
      <c r="UIB46" s="595"/>
      <c r="UIC46" s="595"/>
      <c r="UID46" s="595"/>
      <c r="UIE46" s="595"/>
      <c r="UIF46" s="595"/>
      <c r="UIG46" s="595"/>
      <c r="UIH46" s="595"/>
      <c r="UII46" s="595"/>
      <c r="UIJ46" s="595"/>
      <c r="UIK46" s="595"/>
      <c r="UIL46" s="595"/>
      <c r="UIM46" s="595"/>
      <c r="UIN46" s="595"/>
      <c r="UIO46" s="595"/>
      <c r="UIP46" s="595"/>
      <c r="UIQ46" s="595"/>
      <c r="UIR46" s="595"/>
      <c r="UIS46" s="595"/>
      <c r="UIT46" s="595"/>
      <c r="UIU46" s="595"/>
      <c r="UIV46" s="595"/>
      <c r="UIW46" s="595"/>
      <c r="UIX46" s="595"/>
      <c r="UIY46" s="595"/>
      <c r="UIZ46" s="595"/>
      <c r="UJA46" s="595"/>
      <c r="UJB46" s="595"/>
      <c r="UJC46" s="595"/>
      <c r="UJD46" s="595"/>
      <c r="UJE46" s="595"/>
      <c r="UJF46" s="595"/>
      <c r="UJG46" s="595"/>
      <c r="UJH46" s="595"/>
      <c r="UJI46" s="595"/>
      <c r="UJJ46" s="595"/>
      <c r="UJK46" s="595"/>
      <c r="UJL46" s="595"/>
      <c r="UJM46" s="595"/>
      <c r="UJN46" s="595"/>
      <c r="UJO46" s="595"/>
      <c r="UJP46" s="595"/>
      <c r="UJQ46" s="595"/>
      <c r="UJR46" s="595"/>
      <c r="UJS46" s="595"/>
      <c r="UJT46" s="595"/>
      <c r="UJU46" s="595"/>
      <c r="UJV46" s="595"/>
      <c r="UJW46" s="595"/>
      <c r="UJX46" s="595"/>
      <c r="UJY46" s="595"/>
      <c r="UJZ46" s="595"/>
      <c r="UKA46" s="595"/>
      <c r="UKB46" s="595"/>
      <c r="UKC46" s="595"/>
      <c r="UKD46" s="595"/>
      <c r="UKE46" s="595"/>
      <c r="UKF46" s="595"/>
      <c r="UKG46" s="595"/>
      <c r="UKH46" s="595"/>
      <c r="UKI46" s="595"/>
      <c r="UKJ46" s="595"/>
      <c r="UKK46" s="595"/>
      <c r="UKL46" s="595"/>
      <c r="UKM46" s="595"/>
      <c r="UKN46" s="595"/>
      <c r="UKO46" s="595"/>
      <c r="UKP46" s="595"/>
      <c r="UKQ46" s="595"/>
      <c r="UKR46" s="595"/>
      <c r="UKS46" s="595"/>
      <c r="UKT46" s="595"/>
      <c r="UKU46" s="595"/>
      <c r="UKV46" s="595"/>
      <c r="UKW46" s="595"/>
      <c r="UKX46" s="595"/>
      <c r="UKY46" s="595"/>
      <c r="UKZ46" s="595"/>
      <c r="ULA46" s="595"/>
      <c r="ULB46" s="595"/>
      <c r="ULC46" s="595"/>
      <c r="ULD46" s="595"/>
      <c r="ULE46" s="595"/>
      <c r="ULF46" s="595"/>
      <c r="ULG46" s="595"/>
      <c r="ULH46" s="595"/>
      <c r="ULI46" s="595"/>
      <c r="ULJ46" s="595"/>
      <c r="ULK46" s="595"/>
      <c r="ULL46" s="595"/>
      <c r="ULM46" s="595"/>
      <c r="ULN46" s="595"/>
      <c r="ULO46" s="595"/>
      <c r="ULP46" s="595"/>
      <c r="ULQ46" s="595"/>
      <c r="ULR46" s="595"/>
      <c r="ULS46" s="595"/>
      <c r="ULT46" s="595"/>
      <c r="ULU46" s="595"/>
      <c r="ULV46" s="595"/>
      <c r="ULW46" s="595"/>
      <c r="ULX46" s="595"/>
      <c r="ULY46" s="595"/>
      <c r="ULZ46" s="595"/>
      <c r="UMA46" s="595"/>
      <c r="UMB46" s="595"/>
      <c r="UMC46" s="595"/>
      <c r="UMD46" s="595"/>
      <c r="UME46" s="595"/>
      <c r="UMF46" s="595"/>
      <c r="UMG46" s="595"/>
      <c r="UMH46" s="595"/>
      <c r="UMI46" s="595"/>
      <c r="UMJ46" s="595"/>
      <c r="UMK46" s="595"/>
      <c r="UML46" s="595"/>
      <c r="UMM46" s="595"/>
      <c r="UMN46" s="595"/>
      <c r="UMO46" s="595"/>
      <c r="UMP46" s="595"/>
      <c r="UMQ46" s="595"/>
      <c r="UMR46" s="595"/>
      <c r="UMS46" s="595"/>
      <c r="UMT46" s="595"/>
      <c r="UMU46" s="595"/>
      <c r="UMV46" s="595"/>
      <c r="UMW46" s="595"/>
      <c r="UMX46" s="595"/>
      <c r="UMY46" s="595"/>
      <c r="UMZ46" s="595"/>
      <c r="UNA46" s="595"/>
      <c r="UNB46" s="595"/>
      <c r="UNC46" s="595"/>
      <c r="UND46" s="595"/>
      <c r="UNE46" s="595"/>
      <c r="UNF46" s="595"/>
      <c r="UNG46" s="595"/>
      <c r="UNH46" s="595"/>
      <c r="UNI46" s="595"/>
      <c r="UNJ46" s="595"/>
      <c r="UNK46" s="595"/>
      <c r="UNL46" s="595"/>
      <c r="UNM46" s="595"/>
      <c r="UNN46" s="595"/>
      <c r="UNO46" s="595"/>
      <c r="UNP46" s="595"/>
      <c r="UNQ46" s="595"/>
      <c r="UNR46" s="595"/>
      <c r="UNS46" s="595"/>
      <c r="UNT46" s="595"/>
      <c r="UNU46" s="595"/>
      <c r="UNV46" s="595"/>
      <c r="UNW46" s="595"/>
      <c r="UNX46" s="595"/>
      <c r="UNY46" s="595"/>
      <c r="UNZ46" s="595"/>
      <c r="UOA46" s="595"/>
      <c r="UOB46" s="595"/>
      <c r="UOC46" s="595"/>
      <c r="UOD46" s="595"/>
      <c r="UOE46" s="595"/>
      <c r="UOF46" s="595"/>
      <c r="UOG46" s="595"/>
      <c r="UOH46" s="595"/>
      <c r="UOI46" s="595"/>
      <c r="UOJ46" s="595"/>
      <c r="UOK46" s="595"/>
      <c r="UOL46" s="595"/>
      <c r="UOM46" s="595"/>
      <c r="UON46" s="595"/>
      <c r="UOO46" s="595"/>
      <c r="UOP46" s="595"/>
      <c r="UOQ46" s="595"/>
      <c r="UOR46" s="595"/>
      <c r="UOS46" s="595"/>
      <c r="UOT46" s="595"/>
      <c r="UOU46" s="595"/>
      <c r="UOV46" s="595"/>
      <c r="UOW46" s="595"/>
      <c r="UOX46" s="595"/>
      <c r="UOY46" s="595"/>
      <c r="UOZ46" s="595"/>
      <c r="UPA46" s="595"/>
      <c r="UPB46" s="595"/>
      <c r="UPC46" s="595"/>
      <c r="UPD46" s="595"/>
      <c r="UPE46" s="595"/>
      <c r="UPF46" s="595"/>
      <c r="UPG46" s="595"/>
      <c r="UPH46" s="595"/>
      <c r="UPI46" s="595"/>
      <c r="UPJ46" s="595"/>
      <c r="UPK46" s="595"/>
      <c r="UPL46" s="595"/>
      <c r="UPM46" s="595"/>
      <c r="UPN46" s="595"/>
      <c r="UPO46" s="595"/>
      <c r="UPP46" s="595"/>
      <c r="UPQ46" s="595"/>
      <c r="UPR46" s="595"/>
      <c r="UPS46" s="595"/>
      <c r="UPT46" s="595"/>
      <c r="UPU46" s="595"/>
      <c r="UPV46" s="595"/>
      <c r="UPW46" s="595"/>
      <c r="UPX46" s="595"/>
      <c r="UPY46" s="595"/>
      <c r="UPZ46" s="595"/>
      <c r="UQA46" s="595"/>
      <c r="UQB46" s="595"/>
      <c r="UQC46" s="595"/>
      <c r="UQD46" s="595"/>
      <c r="UQE46" s="595"/>
      <c r="UQF46" s="595"/>
      <c r="UQG46" s="595"/>
      <c r="UQH46" s="595"/>
      <c r="UQI46" s="595"/>
      <c r="UQJ46" s="595"/>
      <c r="UQK46" s="595"/>
      <c r="UQL46" s="595"/>
      <c r="UQM46" s="595"/>
      <c r="UQN46" s="595"/>
      <c r="UQO46" s="595"/>
      <c r="UQP46" s="595"/>
      <c r="UQQ46" s="595"/>
      <c r="UQR46" s="595"/>
      <c r="UQS46" s="595"/>
      <c r="UQT46" s="595"/>
      <c r="UQU46" s="595"/>
      <c r="UQV46" s="595"/>
      <c r="UQW46" s="595"/>
      <c r="UQX46" s="595"/>
      <c r="UQY46" s="595"/>
      <c r="UQZ46" s="595"/>
      <c r="URA46" s="595"/>
      <c r="URB46" s="595"/>
      <c r="URC46" s="595"/>
      <c r="URD46" s="595"/>
      <c r="URE46" s="595"/>
      <c r="URF46" s="595"/>
      <c r="URG46" s="595"/>
      <c r="URH46" s="595"/>
      <c r="URI46" s="595"/>
      <c r="URJ46" s="595"/>
      <c r="URK46" s="595"/>
      <c r="URL46" s="595"/>
      <c r="URM46" s="595"/>
      <c r="URN46" s="595"/>
      <c r="URO46" s="595"/>
      <c r="URP46" s="595"/>
      <c r="URQ46" s="595"/>
      <c r="URR46" s="595"/>
      <c r="URS46" s="595"/>
      <c r="URT46" s="595"/>
      <c r="URU46" s="595"/>
      <c r="URV46" s="595"/>
      <c r="URW46" s="595"/>
      <c r="URX46" s="595"/>
      <c r="URY46" s="595"/>
      <c r="URZ46" s="595"/>
      <c r="USA46" s="595"/>
      <c r="USB46" s="595"/>
      <c r="USC46" s="595"/>
      <c r="USD46" s="595"/>
      <c r="USE46" s="595"/>
      <c r="USF46" s="595"/>
      <c r="USG46" s="595"/>
      <c r="USH46" s="595"/>
      <c r="USI46" s="595"/>
      <c r="USJ46" s="595"/>
      <c r="USK46" s="595"/>
      <c r="USL46" s="595"/>
      <c r="USM46" s="595"/>
      <c r="USN46" s="595"/>
      <c r="USO46" s="595"/>
      <c r="USP46" s="595"/>
      <c r="USQ46" s="595"/>
      <c r="USR46" s="595"/>
      <c r="USS46" s="595"/>
      <c r="UST46" s="595"/>
      <c r="USU46" s="595"/>
      <c r="USV46" s="595"/>
      <c r="USW46" s="595"/>
      <c r="USX46" s="595"/>
      <c r="USY46" s="595"/>
      <c r="USZ46" s="595"/>
      <c r="UTA46" s="595"/>
      <c r="UTB46" s="595"/>
      <c r="UTC46" s="595"/>
      <c r="UTD46" s="595"/>
      <c r="UTE46" s="595"/>
      <c r="UTF46" s="595"/>
      <c r="UTG46" s="595"/>
      <c r="UTH46" s="595"/>
      <c r="UTI46" s="595"/>
      <c r="UTJ46" s="595"/>
      <c r="UTK46" s="595"/>
      <c r="UTL46" s="595"/>
      <c r="UTM46" s="595"/>
      <c r="UTN46" s="595"/>
      <c r="UTO46" s="595"/>
      <c r="UTP46" s="595"/>
      <c r="UTQ46" s="595"/>
      <c r="UTR46" s="595"/>
      <c r="UTS46" s="595"/>
      <c r="UTT46" s="595"/>
      <c r="UTU46" s="595"/>
      <c r="UTV46" s="595"/>
      <c r="UTW46" s="595"/>
      <c r="UTX46" s="595"/>
      <c r="UTY46" s="595"/>
      <c r="UTZ46" s="595"/>
      <c r="UUA46" s="595"/>
      <c r="UUB46" s="595"/>
      <c r="UUC46" s="595"/>
      <c r="UUD46" s="595"/>
      <c r="UUE46" s="595"/>
      <c r="UUF46" s="595"/>
      <c r="UUG46" s="595"/>
      <c r="UUH46" s="595"/>
      <c r="UUI46" s="595"/>
      <c r="UUJ46" s="595"/>
      <c r="UUK46" s="595"/>
      <c r="UUL46" s="595"/>
      <c r="UUM46" s="595"/>
      <c r="UUN46" s="595"/>
      <c r="UUO46" s="595"/>
      <c r="UUP46" s="595"/>
      <c r="UUQ46" s="595"/>
      <c r="UUR46" s="595"/>
      <c r="UUS46" s="595"/>
      <c r="UUT46" s="595"/>
      <c r="UUU46" s="595"/>
      <c r="UUV46" s="595"/>
      <c r="UUW46" s="595"/>
      <c r="UUX46" s="595"/>
      <c r="UUY46" s="595"/>
      <c r="UUZ46" s="595"/>
      <c r="UVA46" s="595"/>
      <c r="UVB46" s="595"/>
      <c r="UVC46" s="595"/>
      <c r="UVD46" s="595"/>
      <c r="UVE46" s="595"/>
      <c r="UVF46" s="595"/>
      <c r="UVG46" s="595"/>
      <c r="UVH46" s="595"/>
      <c r="UVI46" s="595"/>
      <c r="UVJ46" s="595"/>
      <c r="UVK46" s="595"/>
      <c r="UVL46" s="595"/>
      <c r="UVM46" s="595"/>
      <c r="UVN46" s="595"/>
      <c r="UVO46" s="595"/>
      <c r="UVP46" s="595"/>
      <c r="UVQ46" s="595"/>
      <c r="UVR46" s="595"/>
      <c r="UVS46" s="595"/>
      <c r="UVT46" s="595"/>
      <c r="UVU46" s="595"/>
      <c r="UVV46" s="595"/>
      <c r="UVW46" s="595"/>
      <c r="UVX46" s="595"/>
      <c r="UVY46" s="595"/>
      <c r="UVZ46" s="595"/>
      <c r="UWA46" s="595"/>
      <c r="UWB46" s="595"/>
      <c r="UWC46" s="595"/>
      <c r="UWD46" s="595"/>
      <c r="UWE46" s="595"/>
      <c r="UWF46" s="595"/>
      <c r="UWG46" s="595"/>
      <c r="UWH46" s="595"/>
      <c r="UWI46" s="595"/>
      <c r="UWJ46" s="595"/>
      <c r="UWK46" s="595"/>
      <c r="UWL46" s="595"/>
      <c r="UWM46" s="595"/>
      <c r="UWN46" s="595"/>
      <c r="UWO46" s="595"/>
      <c r="UWP46" s="595"/>
      <c r="UWQ46" s="595"/>
      <c r="UWR46" s="595"/>
      <c r="UWS46" s="595"/>
      <c r="UWT46" s="595"/>
      <c r="UWU46" s="595"/>
      <c r="UWV46" s="595"/>
      <c r="UWW46" s="595"/>
      <c r="UWX46" s="595"/>
      <c r="UWY46" s="595"/>
      <c r="UWZ46" s="595"/>
      <c r="UXA46" s="595"/>
      <c r="UXB46" s="595"/>
      <c r="UXC46" s="595"/>
      <c r="UXD46" s="595"/>
      <c r="UXE46" s="595"/>
      <c r="UXF46" s="595"/>
      <c r="UXG46" s="595"/>
      <c r="UXH46" s="595"/>
      <c r="UXI46" s="595"/>
      <c r="UXJ46" s="595"/>
      <c r="UXK46" s="595"/>
      <c r="UXL46" s="595"/>
      <c r="UXM46" s="595"/>
      <c r="UXN46" s="595"/>
      <c r="UXO46" s="595"/>
      <c r="UXP46" s="595"/>
      <c r="UXQ46" s="595"/>
      <c r="UXR46" s="595"/>
      <c r="UXS46" s="595"/>
      <c r="UXT46" s="595"/>
      <c r="UXU46" s="595"/>
      <c r="UXV46" s="595"/>
      <c r="UXW46" s="595"/>
      <c r="UXX46" s="595"/>
      <c r="UXY46" s="595"/>
      <c r="UXZ46" s="595"/>
      <c r="UYA46" s="595"/>
      <c r="UYB46" s="595"/>
      <c r="UYC46" s="595"/>
      <c r="UYD46" s="595"/>
      <c r="UYE46" s="595"/>
      <c r="UYF46" s="595"/>
      <c r="UYG46" s="595"/>
      <c r="UYH46" s="595"/>
      <c r="UYI46" s="595"/>
      <c r="UYJ46" s="595"/>
      <c r="UYK46" s="595"/>
      <c r="UYL46" s="595"/>
      <c r="UYM46" s="595"/>
      <c r="UYN46" s="595"/>
      <c r="UYO46" s="595"/>
      <c r="UYP46" s="595"/>
      <c r="UYQ46" s="595"/>
      <c r="UYR46" s="595"/>
      <c r="UYS46" s="595"/>
      <c r="UYT46" s="595"/>
      <c r="UYU46" s="595"/>
      <c r="UYV46" s="595"/>
      <c r="UYW46" s="595"/>
      <c r="UYX46" s="595"/>
      <c r="UYY46" s="595"/>
      <c r="UYZ46" s="595"/>
      <c r="UZA46" s="595"/>
      <c r="UZB46" s="595"/>
      <c r="UZC46" s="595"/>
      <c r="UZD46" s="595"/>
      <c r="UZE46" s="595"/>
      <c r="UZF46" s="595"/>
      <c r="UZG46" s="595"/>
      <c r="UZH46" s="595"/>
      <c r="UZI46" s="595"/>
      <c r="UZJ46" s="595"/>
      <c r="UZK46" s="595"/>
      <c r="UZL46" s="595"/>
      <c r="UZM46" s="595"/>
      <c r="UZN46" s="595"/>
      <c r="UZO46" s="595"/>
      <c r="UZP46" s="595"/>
      <c r="UZQ46" s="595"/>
      <c r="UZR46" s="595"/>
      <c r="UZS46" s="595"/>
      <c r="UZT46" s="595"/>
      <c r="UZU46" s="595"/>
      <c r="UZV46" s="595"/>
      <c r="UZW46" s="595"/>
      <c r="UZX46" s="595"/>
      <c r="UZY46" s="595"/>
      <c r="UZZ46" s="595"/>
      <c r="VAA46" s="595"/>
      <c r="VAB46" s="595"/>
      <c r="VAC46" s="595"/>
      <c r="VAD46" s="595"/>
      <c r="VAE46" s="595"/>
      <c r="VAF46" s="595"/>
      <c r="VAG46" s="595"/>
      <c r="VAH46" s="595"/>
      <c r="VAI46" s="595"/>
      <c r="VAJ46" s="595"/>
      <c r="VAK46" s="595"/>
      <c r="VAL46" s="595"/>
      <c r="VAM46" s="595"/>
      <c r="VAN46" s="595"/>
      <c r="VAO46" s="595"/>
      <c r="VAP46" s="595"/>
      <c r="VAQ46" s="595"/>
      <c r="VAR46" s="595"/>
      <c r="VAS46" s="595"/>
      <c r="VAT46" s="595"/>
      <c r="VAU46" s="595"/>
      <c r="VAV46" s="595"/>
      <c r="VAW46" s="595"/>
      <c r="VAX46" s="595"/>
      <c r="VAY46" s="595"/>
      <c r="VAZ46" s="595"/>
      <c r="VBA46" s="595"/>
      <c r="VBB46" s="595"/>
      <c r="VBC46" s="595"/>
      <c r="VBD46" s="595"/>
      <c r="VBE46" s="595"/>
      <c r="VBF46" s="595"/>
      <c r="VBG46" s="595"/>
      <c r="VBH46" s="595"/>
      <c r="VBI46" s="595"/>
      <c r="VBJ46" s="595"/>
      <c r="VBK46" s="595"/>
      <c r="VBL46" s="595"/>
      <c r="VBM46" s="595"/>
      <c r="VBN46" s="595"/>
      <c r="VBO46" s="595"/>
      <c r="VBP46" s="595"/>
      <c r="VBQ46" s="595"/>
      <c r="VBR46" s="595"/>
      <c r="VBS46" s="595"/>
      <c r="VBT46" s="595"/>
      <c r="VBU46" s="595"/>
      <c r="VBV46" s="595"/>
      <c r="VBW46" s="595"/>
      <c r="VBX46" s="595"/>
      <c r="VBY46" s="595"/>
      <c r="VBZ46" s="595"/>
      <c r="VCA46" s="595"/>
      <c r="VCB46" s="595"/>
      <c r="VCC46" s="595"/>
      <c r="VCD46" s="595"/>
      <c r="VCE46" s="595"/>
      <c r="VCF46" s="595"/>
      <c r="VCG46" s="595"/>
      <c r="VCH46" s="595"/>
      <c r="VCI46" s="595"/>
      <c r="VCJ46" s="595"/>
      <c r="VCK46" s="595"/>
      <c r="VCL46" s="595"/>
      <c r="VCM46" s="595"/>
      <c r="VCN46" s="595"/>
      <c r="VCO46" s="595"/>
      <c r="VCP46" s="595"/>
      <c r="VCQ46" s="595"/>
      <c r="VCR46" s="595"/>
      <c r="VCS46" s="595"/>
      <c r="VCT46" s="595"/>
      <c r="VCU46" s="595"/>
      <c r="VCV46" s="595"/>
      <c r="VCW46" s="595"/>
      <c r="VCX46" s="595"/>
      <c r="VCY46" s="595"/>
      <c r="VCZ46" s="595"/>
      <c r="VDA46" s="595"/>
      <c r="VDB46" s="595"/>
      <c r="VDC46" s="595"/>
      <c r="VDD46" s="595"/>
      <c r="VDE46" s="595"/>
      <c r="VDF46" s="595"/>
      <c r="VDG46" s="595"/>
      <c r="VDH46" s="595"/>
      <c r="VDI46" s="595"/>
      <c r="VDJ46" s="595"/>
      <c r="VDK46" s="595"/>
      <c r="VDL46" s="595"/>
      <c r="VDM46" s="595"/>
      <c r="VDN46" s="595"/>
      <c r="VDO46" s="595"/>
      <c r="VDP46" s="595"/>
      <c r="VDQ46" s="595"/>
      <c r="VDR46" s="595"/>
      <c r="VDS46" s="595"/>
      <c r="VDT46" s="595"/>
      <c r="VDU46" s="595"/>
      <c r="VDV46" s="595"/>
      <c r="VDW46" s="595"/>
      <c r="VDX46" s="595"/>
      <c r="VDY46" s="595"/>
      <c r="VDZ46" s="595"/>
      <c r="VEA46" s="595"/>
      <c r="VEB46" s="595"/>
      <c r="VEC46" s="595"/>
      <c r="VED46" s="595"/>
      <c r="VEE46" s="595"/>
      <c r="VEF46" s="595"/>
      <c r="VEG46" s="595"/>
      <c r="VEH46" s="595"/>
      <c r="VEI46" s="595"/>
      <c r="VEJ46" s="595"/>
      <c r="VEK46" s="595"/>
      <c r="VEL46" s="595"/>
      <c r="VEM46" s="595"/>
      <c r="VEN46" s="595"/>
      <c r="VEO46" s="595"/>
      <c r="VEP46" s="595"/>
      <c r="VEQ46" s="595"/>
      <c r="VER46" s="595"/>
      <c r="VES46" s="595"/>
      <c r="VET46" s="595"/>
      <c r="VEU46" s="595"/>
      <c r="VEV46" s="595"/>
      <c r="VEW46" s="595"/>
      <c r="VEX46" s="595"/>
      <c r="VEY46" s="595"/>
      <c r="VEZ46" s="595"/>
      <c r="VFA46" s="595"/>
      <c r="VFB46" s="595"/>
      <c r="VFC46" s="595"/>
      <c r="VFD46" s="595"/>
      <c r="VFE46" s="595"/>
      <c r="VFF46" s="595"/>
      <c r="VFG46" s="595"/>
      <c r="VFH46" s="595"/>
      <c r="VFI46" s="595"/>
      <c r="VFJ46" s="595"/>
      <c r="VFK46" s="595"/>
      <c r="VFL46" s="595"/>
      <c r="VFM46" s="595"/>
      <c r="VFN46" s="595"/>
      <c r="VFO46" s="595"/>
      <c r="VFP46" s="595"/>
      <c r="VFQ46" s="595"/>
      <c r="VFR46" s="595"/>
      <c r="VFS46" s="595"/>
      <c r="VFT46" s="595"/>
      <c r="VFU46" s="595"/>
      <c r="VFV46" s="595"/>
      <c r="VFW46" s="595"/>
      <c r="VFX46" s="595"/>
      <c r="VFY46" s="595"/>
      <c r="VFZ46" s="595"/>
      <c r="VGA46" s="595"/>
      <c r="VGB46" s="595"/>
      <c r="VGC46" s="595"/>
      <c r="VGD46" s="595"/>
      <c r="VGE46" s="595"/>
      <c r="VGF46" s="595"/>
      <c r="VGG46" s="595"/>
      <c r="VGH46" s="595"/>
      <c r="VGI46" s="595"/>
      <c r="VGJ46" s="595"/>
      <c r="VGK46" s="595"/>
      <c r="VGL46" s="595"/>
      <c r="VGM46" s="595"/>
      <c r="VGN46" s="595"/>
      <c r="VGO46" s="595"/>
      <c r="VGP46" s="595"/>
      <c r="VGQ46" s="595"/>
      <c r="VGR46" s="595"/>
      <c r="VGS46" s="595"/>
      <c r="VGT46" s="595"/>
      <c r="VGU46" s="595"/>
      <c r="VGV46" s="595"/>
      <c r="VGW46" s="595"/>
      <c r="VGX46" s="595"/>
      <c r="VGY46" s="595"/>
      <c r="VGZ46" s="595"/>
      <c r="VHA46" s="595"/>
      <c r="VHB46" s="595"/>
      <c r="VHC46" s="595"/>
      <c r="VHD46" s="595"/>
      <c r="VHE46" s="595"/>
      <c r="VHF46" s="595"/>
      <c r="VHG46" s="595"/>
      <c r="VHH46" s="595"/>
      <c r="VHI46" s="595"/>
      <c r="VHJ46" s="595"/>
      <c r="VHK46" s="595"/>
      <c r="VHL46" s="595"/>
      <c r="VHM46" s="595"/>
      <c r="VHN46" s="595"/>
      <c r="VHO46" s="595"/>
      <c r="VHP46" s="595"/>
      <c r="VHQ46" s="595"/>
      <c r="VHR46" s="595"/>
      <c r="VHS46" s="595"/>
      <c r="VHT46" s="595"/>
      <c r="VHU46" s="595"/>
      <c r="VHV46" s="595"/>
      <c r="VHW46" s="595"/>
      <c r="VHX46" s="595"/>
      <c r="VHY46" s="595"/>
      <c r="VHZ46" s="595"/>
      <c r="VIA46" s="595"/>
      <c r="VIB46" s="595"/>
      <c r="VIC46" s="595"/>
      <c r="VID46" s="595"/>
      <c r="VIE46" s="595"/>
      <c r="VIF46" s="595"/>
      <c r="VIG46" s="595"/>
      <c r="VIH46" s="595"/>
      <c r="VII46" s="595"/>
      <c r="VIJ46" s="595"/>
      <c r="VIK46" s="595"/>
      <c r="VIL46" s="595"/>
      <c r="VIM46" s="595"/>
      <c r="VIN46" s="595"/>
      <c r="VIO46" s="595"/>
      <c r="VIP46" s="595"/>
      <c r="VIQ46" s="595"/>
      <c r="VIR46" s="595"/>
      <c r="VIS46" s="595"/>
      <c r="VIT46" s="595"/>
      <c r="VIU46" s="595"/>
      <c r="VIV46" s="595"/>
      <c r="VIW46" s="595"/>
      <c r="VIX46" s="595"/>
      <c r="VIY46" s="595"/>
      <c r="VIZ46" s="595"/>
      <c r="VJA46" s="595"/>
      <c r="VJB46" s="595"/>
      <c r="VJC46" s="595"/>
      <c r="VJD46" s="595"/>
      <c r="VJE46" s="595"/>
      <c r="VJF46" s="595"/>
      <c r="VJG46" s="595"/>
      <c r="VJH46" s="595"/>
      <c r="VJI46" s="595"/>
      <c r="VJJ46" s="595"/>
      <c r="VJK46" s="595"/>
      <c r="VJL46" s="595"/>
      <c r="VJM46" s="595"/>
      <c r="VJN46" s="595"/>
      <c r="VJO46" s="595"/>
      <c r="VJP46" s="595"/>
      <c r="VJQ46" s="595"/>
      <c r="VJR46" s="595"/>
      <c r="VJS46" s="595"/>
      <c r="VJT46" s="595"/>
      <c r="VJU46" s="595"/>
      <c r="VJV46" s="595"/>
      <c r="VJW46" s="595"/>
      <c r="VJX46" s="595"/>
      <c r="VJY46" s="595"/>
      <c r="VJZ46" s="595"/>
      <c r="VKA46" s="595"/>
      <c r="VKB46" s="595"/>
      <c r="VKC46" s="595"/>
      <c r="VKD46" s="595"/>
      <c r="VKE46" s="595"/>
      <c r="VKF46" s="595"/>
      <c r="VKG46" s="595"/>
      <c r="VKH46" s="595"/>
      <c r="VKI46" s="595"/>
      <c r="VKJ46" s="595"/>
      <c r="VKK46" s="595"/>
      <c r="VKL46" s="595"/>
      <c r="VKM46" s="595"/>
      <c r="VKN46" s="595"/>
      <c r="VKO46" s="595"/>
      <c r="VKP46" s="595"/>
      <c r="VKQ46" s="595"/>
      <c r="VKR46" s="595"/>
      <c r="VKS46" s="595"/>
      <c r="VKT46" s="595"/>
      <c r="VKU46" s="595"/>
      <c r="VKV46" s="595"/>
      <c r="VKW46" s="595"/>
      <c r="VKX46" s="595"/>
      <c r="VKY46" s="595"/>
      <c r="VKZ46" s="595"/>
      <c r="VLA46" s="595"/>
      <c r="VLB46" s="595"/>
      <c r="VLC46" s="595"/>
      <c r="VLD46" s="595"/>
      <c r="VLE46" s="595"/>
      <c r="VLF46" s="595"/>
      <c r="VLG46" s="595"/>
      <c r="VLH46" s="595"/>
      <c r="VLI46" s="595"/>
      <c r="VLJ46" s="595"/>
      <c r="VLK46" s="595"/>
      <c r="VLL46" s="595"/>
      <c r="VLM46" s="595"/>
      <c r="VLN46" s="595"/>
      <c r="VLO46" s="595"/>
      <c r="VLP46" s="595"/>
      <c r="VLQ46" s="595"/>
      <c r="VLR46" s="595"/>
      <c r="VLS46" s="595"/>
      <c r="VLT46" s="595"/>
      <c r="VLU46" s="595"/>
      <c r="VLV46" s="595"/>
      <c r="VLW46" s="595"/>
      <c r="VLX46" s="595"/>
      <c r="VLY46" s="595"/>
      <c r="VLZ46" s="595"/>
      <c r="VMA46" s="595"/>
      <c r="VMB46" s="595"/>
      <c r="VMC46" s="595"/>
      <c r="VMD46" s="595"/>
      <c r="VME46" s="595"/>
      <c r="VMF46" s="595"/>
      <c r="VMG46" s="595"/>
      <c r="VMH46" s="595"/>
      <c r="VMI46" s="595"/>
      <c r="VMJ46" s="595"/>
      <c r="VMK46" s="595"/>
      <c r="VML46" s="595"/>
      <c r="VMM46" s="595"/>
      <c r="VMN46" s="595"/>
      <c r="VMO46" s="595"/>
      <c r="VMP46" s="595"/>
      <c r="VMQ46" s="595"/>
      <c r="VMR46" s="595"/>
      <c r="VMS46" s="595"/>
      <c r="VMT46" s="595"/>
      <c r="VMU46" s="595"/>
      <c r="VMV46" s="595"/>
      <c r="VMW46" s="595"/>
      <c r="VMX46" s="595"/>
      <c r="VMY46" s="595"/>
      <c r="VMZ46" s="595"/>
      <c r="VNA46" s="595"/>
      <c r="VNB46" s="595"/>
      <c r="VNC46" s="595"/>
      <c r="VND46" s="595"/>
      <c r="VNE46" s="595"/>
      <c r="VNF46" s="595"/>
      <c r="VNG46" s="595"/>
      <c r="VNH46" s="595"/>
      <c r="VNI46" s="595"/>
      <c r="VNJ46" s="595"/>
      <c r="VNK46" s="595"/>
      <c r="VNL46" s="595"/>
      <c r="VNM46" s="595"/>
      <c r="VNN46" s="595"/>
      <c r="VNO46" s="595"/>
      <c r="VNP46" s="595"/>
      <c r="VNQ46" s="595"/>
      <c r="VNR46" s="595"/>
      <c r="VNS46" s="595"/>
      <c r="VNT46" s="595"/>
      <c r="VNU46" s="595"/>
      <c r="VNV46" s="595"/>
      <c r="VNW46" s="595"/>
      <c r="VNX46" s="595"/>
      <c r="VNY46" s="595"/>
      <c r="VNZ46" s="595"/>
      <c r="VOA46" s="595"/>
      <c r="VOB46" s="595"/>
      <c r="VOC46" s="595"/>
      <c r="VOD46" s="595"/>
      <c r="VOE46" s="595"/>
      <c r="VOF46" s="595"/>
      <c r="VOG46" s="595"/>
      <c r="VOH46" s="595"/>
      <c r="VOI46" s="595"/>
      <c r="VOJ46" s="595"/>
      <c r="VOK46" s="595"/>
      <c r="VOL46" s="595"/>
      <c r="VOM46" s="595"/>
      <c r="VON46" s="595"/>
      <c r="VOO46" s="595"/>
      <c r="VOP46" s="595"/>
      <c r="VOQ46" s="595"/>
      <c r="VOR46" s="595"/>
      <c r="VOS46" s="595"/>
      <c r="VOT46" s="595"/>
      <c r="VOU46" s="595"/>
      <c r="VOV46" s="595"/>
      <c r="VOW46" s="595"/>
      <c r="VOX46" s="595"/>
      <c r="VOY46" s="595"/>
      <c r="VOZ46" s="595"/>
      <c r="VPA46" s="595"/>
      <c r="VPB46" s="595"/>
      <c r="VPC46" s="595"/>
      <c r="VPD46" s="595"/>
      <c r="VPE46" s="595"/>
      <c r="VPF46" s="595"/>
      <c r="VPG46" s="595"/>
      <c r="VPH46" s="595"/>
      <c r="VPI46" s="595"/>
      <c r="VPJ46" s="595"/>
      <c r="VPK46" s="595"/>
      <c r="VPL46" s="595"/>
      <c r="VPM46" s="595"/>
      <c r="VPN46" s="595"/>
      <c r="VPO46" s="595"/>
      <c r="VPP46" s="595"/>
      <c r="VPQ46" s="595"/>
      <c r="VPR46" s="595"/>
      <c r="VPS46" s="595"/>
      <c r="VPT46" s="595"/>
      <c r="VPU46" s="595"/>
      <c r="VPV46" s="595"/>
      <c r="VPW46" s="595"/>
      <c r="VPX46" s="595"/>
      <c r="VPY46" s="595"/>
      <c r="VPZ46" s="595"/>
      <c r="VQA46" s="595"/>
      <c r="VQB46" s="595"/>
      <c r="VQC46" s="595"/>
      <c r="VQD46" s="595"/>
      <c r="VQE46" s="595"/>
      <c r="VQF46" s="595"/>
      <c r="VQG46" s="595"/>
      <c r="VQH46" s="595"/>
      <c r="VQI46" s="595"/>
      <c r="VQJ46" s="595"/>
      <c r="VQK46" s="595"/>
      <c r="VQL46" s="595"/>
      <c r="VQM46" s="595"/>
      <c r="VQN46" s="595"/>
      <c r="VQO46" s="595"/>
      <c r="VQP46" s="595"/>
      <c r="VQQ46" s="595"/>
      <c r="VQR46" s="595"/>
      <c r="VQS46" s="595"/>
      <c r="VQT46" s="595"/>
      <c r="VQU46" s="595"/>
      <c r="VQV46" s="595"/>
      <c r="VQW46" s="595"/>
      <c r="VQX46" s="595"/>
      <c r="VQY46" s="595"/>
      <c r="VQZ46" s="595"/>
      <c r="VRA46" s="595"/>
      <c r="VRB46" s="595"/>
      <c r="VRC46" s="595"/>
      <c r="VRD46" s="595"/>
      <c r="VRE46" s="595"/>
      <c r="VRF46" s="595"/>
      <c r="VRG46" s="595"/>
      <c r="VRH46" s="595"/>
      <c r="VRI46" s="595"/>
      <c r="VRJ46" s="595"/>
      <c r="VRK46" s="595"/>
      <c r="VRL46" s="595"/>
      <c r="VRM46" s="595"/>
      <c r="VRN46" s="595"/>
      <c r="VRO46" s="595"/>
      <c r="VRP46" s="595"/>
      <c r="VRQ46" s="595"/>
      <c r="VRR46" s="595"/>
      <c r="VRS46" s="595"/>
      <c r="VRT46" s="595"/>
      <c r="VRU46" s="595"/>
      <c r="VRV46" s="595"/>
      <c r="VRW46" s="595"/>
      <c r="VRX46" s="595"/>
      <c r="VRY46" s="595"/>
      <c r="VRZ46" s="595"/>
      <c r="VSA46" s="595"/>
      <c r="VSB46" s="595"/>
      <c r="VSC46" s="595"/>
      <c r="VSD46" s="595"/>
      <c r="VSE46" s="595"/>
      <c r="VSF46" s="595"/>
      <c r="VSG46" s="595"/>
      <c r="VSH46" s="595"/>
      <c r="VSI46" s="595"/>
      <c r="VSJ46" s="595"/>
      <c r="VSK46" s="595"/>
      <c r="VSL46" s="595"/>
      <c r="VSM46" s="595"/>
      <c r="VSN46" s="595"/>
      <c r="VSO46" s="595"/>
      <c r="VSP46" s="595"/>
      <c r="VSQ46" s="595"/>
      <c r="VSR46" s="595"/>
      <c r="VSS46" s="595"/>
      <c r="VST46" s="595"/>
      <c r="VSU46" s="595"/>
      <c r="VSV46" s="595"/>
      <c r="VSW46" s="595"/>
      <c r="VSX46" s="595"/>
      <c r="VSY46" s="595"/>
      <c r="VSZ46" s="595"/>
      <c r="VTA46" s="595"/>
      <c r="VTB46" s="595"/>
      <c r="VTC46" s="595"/>
      <c r="VTD46" s="595"/>
      <c r="VTE46" s="595"/>
      <c r="VTF46" s="595"/>
      <c r="VTG46" s="595"/>
      <c r="VTH46" s="595"/>
      <c r="VTI46" s="595"/>
      <c r="VTJ46" s="595"/>
      <c r="VTK46" s="595"/>
      <c r="VTL46" s="595"/>
      <c r="VTM46" s="595"/>
      <c r="VTN46" s="595"/>
      <c r="VTO46" s="595"/>
      <c r="VTP46" s="595"/>
      <c r="VTQ46" s="595"/>
      <c r="VTR46" s="595"/>
      <c r="VTS46" s="595"/>
      <c r="VTT46" s="595"/>
      <c r="VTU46" s="595"/>
      <c r="VTV46" s="595"/>
      <c r="VTW46" s="595"/>
      <c r="VTX46" s="595"/>
      <c r="VTY46" s="595"/>
      <c r="VTZ46" s="595"/>
      <c r="VUA46" s="595"/>
      <c r="VUB46" s="595"/>
      <c r="VUC46" s="595"/>
      <c r="VUD46" s="595"/>
      <c r="VUE46" s="595"/>
      <c r="VUF46" s="595"/>
      <c r="VUG46" s="595"/>
      <c r="VUH46" s="595"/>
      <c r="VUI46" s="595"/>
      <c r="VUJ46" s="595"/>
      <c r="VUK46" s="595"/>
      <c r="VUL46" s="595"/>
      <c r="VUM46" s="595"/>
      <c r="VUN46" s="595"/>
      <c r="VUO46" s="595"/>
      <c r="VUP46" s="595"/>
      <c r="VUQ46" s="595"/>
      <c r="VUR46" s="595"/>
      <c r="VUS46" s="595"/>
      <c r="VUT46" s="595"/>
      <c r="VUU46" s="595"/>
      <c r="VUV46" s="595"/>
      <c r="VUW46" s="595"/>
      <c r="VUX46" s="595"/>
      <c r="VUY46" s="595"/>
      <c r="VUZ46" s="595"/>
      <c r="VVA46" s="595"/>
      <c r="VVB46" s="595"/>
      <c r="VVC46" s="595"/>
      <c r="VVD46" s="595"/>
      <c r="VVE46" s="595"/>
      <c r="VVF46" s="595"/>
      <c r="VVG46" s="595"/>
      <c r="VVH46" s="595"/>
      <c r="VVI46" s="595"/>
      <c r="VVJ46" s="595"/>
      <c r="VVK46" s="595"/>
      <c r="VVL46" s="595"/>
      <c r="VVM46" s="595"/>
      <c r="VVN46" s="595"/>
      <c r="VVO46" s="595"/>
      <c r="VVP46" s="595"/>
      <c r="VVQ46" s="595"/>
      <c r="VVR46" s="595"/>
      <c r="VVS46" s="595"/>
      <c r="VVT46" s="595"/>
      <c r="VVU46" s="595"/>
      <c r="VVV46" s="595"/>
      <c r="VVW46" s="595"/>
      <c r="VVX46" s="595"/>
      <c r="VVY46" s="595"/>
      <c r="VVZ46" s="595"/>
      <c r="VWA46" s="595"/>
      <c r="VWB46" s="595"/>
      <c r="VWC46" s="595"/>
      <c r="VWD46" s="595"/>
      <c r="VWE46" s="595"/>
      <c r="VWF46" s="595"/>
      <c r="VWG46" s="595"/>
      <c r="VWH46" s="595"/>
      <c r="VWI46" s="595"/>
      <c r="VWJ46" s="595"/>
      <c r="VWK46" s="595"/>
      <c r="VWL46" s="595"/>
      <c r="VWM46" s="595"/>
      <c r="VWN46" s="595"/>
      <c r="VWO46" s="595"/>
      <c r="VWP46" s="595"/>
      <c r="VWQ46" s="595"/>
      <c r="VWR46" s="595"/>
      <c r="VWS46" s="595"/>
      <c r="VWT46" s="595"/>
      <c r="VWU46" s="595"/>
      <c r="VWV46" s="595"/>
      <c r="VWW46" s="595"/>
      <c r="VWX46" s="595"/>
      <c r="VWY46" s="595"/>
      <c r="VWZ46" s="595"/>
      <c r="VXA46" s="595"/>
      <c r="VXB46" s="595"/>
      <c r="VXC46" s="595"/>
      <c r="VXD46" s="595"/>
      <c r="VXE46" s="595"/>
      <c r="VXF46" s="595"/>
      <c r="VXG46" s="595"/>
      <c r="VXH46" s="595"/>
      <c r="VXI46" s="595"/>
      <c r="VXJ46" s="595"/>
      <c r="VXK46" s="595"/>
      <c r="VXL46" s="595"/>
      <c r="VXM46" s="595"/>
      <c r="VXN46" s="595"/>
      <c r="VXO46" s="595"/>
      <c r="VXP46" s="595"/>
      <c r="VXQ46" s="595"/>
      <c r="VXR46" s="595"/>
      <c r="VXS46" s="595"/>
      <c r="VXT46" s="595"/>
      <c r="VXU46" s="595"/>
      <c r="VXV46" s="595"/>
      <c r="VXW46" s="595"/>
      <c r="VXX46" s="595"/>
      <c r="VXY46" s="595"/>
      <c r="VXZ46" s="595"/>
      <c r="VYA46" s="595"/>
      <c r="VYB46" s="595"/>
      <c r="VYC46" s="595"/>
      <c r="VYD46" s="595"/>
      <c r="VYE46" s="595"/>
      <c r="VYF46" s="595"/>
      <c r="VYG46" s="595"/>
      <c r="VYH46" s="595"/>
      <c r="VYI46" s="595"/>
      <c r="VYJ46" s="595"/>
      <c r="VYK46" s="595"/>
      <c r="VYL46" s="595"/>
      <c r="VYM46" s="595"/>
      <c r="VYN46" s="595"/>
      <c r="VYO46" s="595"/>
      <c r="VYP46" s="595"/>
      <c r="VYQ46" s="595"/>
      <c r="VYR46" s="595"/>
      <c r="VYS46" s="595"/>
      <c r="VYT46" s="595"/>
      <c r="VYU46" s="595"/>
      <c r="VYV46" s="595"/>
      <c r="VYW46" s="595"/>
      <c r="VYX46" s="595"/>
      <c r="VYY46" s="595"/>
      <c r="VYZ46" s="595"/>
      <c r="VZA46" s="595"/>
      <c r="VZB46" s="595"/>
      <c r="VZC46" s="595"/>
      <c r="VZD46" s="595"/>
      <c r="VZE46" s="595"/>
      <c r="VZF46" s="595"/>
      <c r="VZG46" s="595"/>
      <c r="VZH46" s="595"/>
      <c r="VZI46" s="595"/>
      <c r="VZJ46" s="595"/>
      <c r="VZK46" s="595"/>
      <c r="VZL46" s="595"/>
      <c r="VZM46" s="595"/>
      <c r="VZN46" s="595"/>
      <c r="VZO46" s="595"/>
      <c r="VZP46" s="595"/>
      <c r="VZQ46" s="595"/>
      <c r="VZR46" s="595"/>
      <c r="VZS46" s="595"/>
      <c r="VZT46" s="595"/>
      <c r="VZU46" s="595"/>
      <c r="VZV46" s="595"/>
      <c r="VZW46" s="595"/>
      <c r="VZX46" s="595"/>
      <c r="VZY46" s="595"/>
      <c r="VZZ46" s="595"/>
      <c r="WAA46" s="595"/>
      <c r="WAB46" s="595"/>
      <c r="WAC46" s="595"/>
      <c r="WAD46" s="595"/>
      <c r="WAE46" s="595"/>
      <c r="WAF46" s="595"/>
      <c r="WAG46" s="595"/>
      <c r="WAH46" s="595"/>
      <c r="WAI46" s="595"/>
      <c r="WAJ46" s="595"/>
      <c r="WAK46" s="595"/>
      <c r="WAL46" s="595"/>
      <c r="WAM46" s="595"/>
      <c r="WAN46" s="595"/>
      <c r="WAO46" s="595"/>
      <c r="WAP46" s="595"/>
      <c r="WAQ46" s="595"/>
      <c r="WAR46" s="595"/>
      <c r="WAS46" s="595"/>
      <c r="WAT46" s="595"/>
      <c r="WAU46" s="595"/>
      <c r="WAV46" s="595"/>
      <c r="WAW46" s="595"/>
      <c r="WAX46" s="595"/>
      <c r="WAY46" s="595"/>
      <c r="WAZ46" s="595"/>
      <c r="WBA46" s="595"/>
      <c r="WBB46" s="595"/>
      <c r="WBC46" s="595"/>
      <c r="WBD46" s="595"/>
      <c r="WBE46" s="595"/>
      <c r="WBF46" s="595"/>
      <c r="WBG46" s="595"/>
      <c r="WBH46" s="595"/>
      <c r="WBI46" s="595"/>
      <c r="WBJ46" s="595"/>
      <c r="WBK46" s="595"/>
      <c r="WBL46" s="595"/>
      <c r="WBM46" s="595"/>
      <c r="WBN46" s="595"/>
      <c r="WBO46" s="595"/>
      <c r="WBP46" s="595"/>
      <c r="WBQ46" s="595"/>
      <c r="WBR46" s="595"/>
      <c r="WBS46" s="595"/>
      <c r="WBT46" s="595"/>
      <c r="WBU46" s="595"/>
      <c r="WBV46" s="595"/>
      <c r="WBW46" s="595"/>
      <c r="WBX46" s="595"/>
      <c r="WBY46" s="595"/>
      <c r="WBZ46" s="595"/>
      <c r="WCA46" s="595"/>
      <c r="WCB46" s="595"/>
      <c r="WCC46" s="595"/>
      <c r="WCD46" s="595"/>
      <c r="WCE46" s="595"/>
      <c r="WCF46" s="595"/>
      <c r="WCG46" s="595"/>
      <c r="WCH46" s="595"/>
      <c r="WCI46" s="595"/>
      <c r="WCJ46" s="595"/>
      <c r="WCK46" s="595"/>
      <c r="WCL46" s="595"/>
      <c r="WCM46" s="595"/>
      <c r="WCN46" s="595"/>
      <c r="WCO46" s="595"/>
      <c r="WCP46" s="595"/>
      <c r="WCQ46" s="595"/>
      <c r="WCR46" s="595"/>
      <c r="WCS46" s="595"/>
      <c r="WCT46" s="595"/>
      <c r="WCU46" s="595"/>
      <c r="WCV46" s="595"/>
      <c r="WCW46" s="595"/>
      <c r="WCX46" s="595"/>
      <c r="WCY46" s="595"/>
      <c r="WCZ46" s="595"/>
      <c r="WDA46" s="595"/>
      <c r="WDB46" s="595"/>
      <c r="WDC46" s="595"/>
      <c r="WDD46" s="595"/>
      <c r="WDE46" s="595"/>
      <c r="WDF46" s="595"/>
      <c r="WDG46" s="595"/>
      <c r="WDH46" s="595"/>
      <c r="WDI46" s="595"/>
      <c r="WDJ46" s="595"/>
      <c r="WDK46" s="595"/>
      <c r="WDL46" s="595"/>
      <c r="WDM46" s="595"/>
      <c r="WDN46" s="595"/>
      <c r="WDO46" s="595"/>
      <c r="WDP46" s="595"/>
      <c r="WDQ46" s="595"/>
      <c r="WDR46" s="595"/>
      <c r="WDS46" s="595"/>
      <c r="WDT46" s="595"/>
      <c r="WDU46" s="595"/>
      <c r="WDV46" s="595"/>
      <c r="WDW46" s="595"/>
      <c r="WDX46" s="595"/>
      <c r="WDY46" s="595"/>
      <c r="WDZ46" s="595"/>
      <c r="WEA46" s="595"/>
      <c r="WEB46" s="595"/>
      <c r="WEC46" s="595"/>
      <c r="WED46" s="595"/>
      <c r="WEE46" s="595"/>
      <c r="WEF46" s="595"/>
      <c r="WEG46" s="595"/>
      <c r="WEH46" s="595"/>
      <c r="WEI46" s="595"/>
      <c r="WEJ46" s="595"/>
      <c r="WEK46" s="595"/>
      <c r="WEL46" s="595"/>
      <c r="WEM46" s="595"/>
      <c r="WEN46" s="595"/>
      <c r="WEO46" s="595"/>
      <c r="WEP46" s="595"/>
      <c r="WEQ46" s="595"/>
      <c r="WER46" s="595"/>
      <c r="WES46" s="595"/>
      <c r="WET46" s="595"/>
      <c r="WEU46" s="595"/>
      <c r="WEV46" s="595"/>
      <c r="WEW46" s="595"/>
      <c r="WEX46" s="595"/>
      <c r="WEY46" s="595"/>
      <c r="WEZ46" s="595"/>
      <c r="WFA46" s="595"/>
      <c r="WFB46" s="595"/>
      <c r="WFC46" s="595"/>
      <c r="WFD46" s="595"/>
      <c r="WFE46" s="595"/>
      <c r="WFF46" s="595"/>
      <c r="WFG46" s="595"/>
      <c r="WFH46" s="595"/>
      <c r="WFI46" s="595"/>
      <c r="WFJ46" s="595"/>
      <c r="WFK46" s="595"/>
      <c r="WFL46" s="595"/>
      <c r="WFM46" s="595"/>
      <c r="WFN46" s="595"/>
      <c r="WFO46" s="595"/>
      <c r="WFP46" s="595"/>
      <c r="WFQ46" s="595"/>
      <c r="WFR46" s="595"/>
      <c r="WFS46" s="595"/>
      <c r="WFT46" s="595"/>
      <c r="WFU46" s="595"/>
      <c r="WFV46" s="595"/>
      <c r="WFW46" s="595"/>
      <c r="WFX46" s="595"/>
      <c r="WFY46" s="595"/>
      <c r="WFZ46" s="595"/>
      <c r="WGA46" s="595"/>
      <c r="WGB46" s="595"/>
      <c r="WGC46" s="595"/>
      <c r="WGD46" s="595"/>
      <c r="WGE46" s="595"/>
      <c r="WGF46" s="595"/>
      <c r="WGG46" s="595"/>
      <c r="WGH46" s="595"/>
      <c r="WGI46" s="595"/>
      <c r="WGJ46" s="595"/>
      <c r="WGK46" s="595"/>
      <c r="WGL46" s="595"/>
      <c r="WGM46" s="595"/>
      <c r="WGN46" s="595"/>
      <c r="WGO46" s="595"/>
      <c r="WGP46" s="595"/>
      <c r="WGQ46" s="595"/>
      <c r="WGR46" s="595"/>
      <c r="WGS46" s="595"/>
      <c r="WGT46" s="595"/>
      <c r="WGU46" s="595"/>
      <c r="WGV46" s="595"/>
      <c r="WGW46" s="595"/>
      <c r="WGX46" s="595"/>
      <c r="WGY46" s="595"/>
      <c r="WGZ46" s="595"/>
      <c r="WHA46" s="595"/>
      <c r="WHB46" s="595"/>
      <c r="WHC46" s="595"/>
      <c r="WHD46" s="595"/>
      <c r="WHE46" s="595"/>
      <c r="WHF46" s="595"/>
      <c r="WHG46" s="595"/>
      <c r="WHH46" s="595"/>
      <c r="WHI46" s="595"/>
      <c r="WHJ46" s="595"/>
      <c r="WHK46" s="595"/>
      <c r="WHL46" s="595"/>
      <c r="WHM46" s="595"/>
      <c r="WHN46" s="595"/>
      <c r="WHO46" s="595"/>
      <c r="WHP46" s="595"/>
      <c r="WHQ46" s="595"/>
      <c r="WHR46" s="595"/>
      <c r="WHS46" s="595"/>
      <c r="WHT46" s="595"/>
      <c r="WHU46" s="595"/>
      <c r="WHV46" s="595"/>
      <c r="WHW46" s="595"/>
      <c r="WHX46" s="595"/>
      <c r="WHY46" s="595"/>
      <c r="WHZ46" s="595"/>
      <c r="WIA46" s="595"/>
      <c r="WIB46" s="595"/>
      <c r="WIC46" s="595"/>
      <c r="WID46" s="595"/>
      <c r="WIE46" s="595"/>
      <c r="WIF46" s="595"/>
      <c r="WIG46" s="595"/>
      <c r="WIH46" s="595"/>
      <c r="WII46" s="595"/>
      <c r="WIJ46" s="595"/>
      <c r="WIK46" s="595"/>
      <c r="WIL46" s="595"/>
      <c r="WIM46" s="595"/>
      <c r="WIN46" s="595"/>
      <c r="WIO46" s="595"/>
      <c r="WIP46" s="595"/>
      <c r="WIQ46" s="595"/>
      <c r="WIR46" s="595"/>
      <c r="WIS46" s="595"/>
      <c r="WIT46" s="595"/>
      <c r="WIU46" s="595"/>
      <c r="WIV46" s="595"/>
      <c r="WIW46" s="595"/>
      <c r="WIX46" s="595"/>
      <c r="WIY46" s="595"/>
      <c r="WIZ46" s="595"/>
      <c r="WJA46" s="595"/>
      <c r="WJB46" s="595"/>
      <c r="WJC46" s="595"/>
      <c r="WJD46" s="595"/>
      <c r="WJE46" s="595"/>
      <c r="WJF46" s="595"/>
      <c r="WJG46" s="595"/>
      <c r="WJH46" s="595"/>
      <c r="WJI46" s="595"/>
      <c r="WJJ46" s="595"/>
      <c r="WJK46" s="595"/>
      <c r="WJL46" s="595"/>
      <c r="WJM46" s="595"/>
      <c r="WJN46" s="595"/>
      <c r="WJO46" s="595"/>
      <c r="WJP46" s="595"/>
      <c r="WJQ46" s="595"/>
      <c r="WJR46" s="595"/>
      <c r="WJS46" s="595"/>
      <c r="WJT46" s="595"/>
      <c r="WJU46" s="595"/>
      <c r="WJV46" s="595"/>
      <c r="WJW46" s="595"/>
      <c r="WJX46" s="595"/>
      <c r="WJY46" s="595"/>
      <c r="WJZ46" s="595"/>
      <c r="WKA46" s="595"/>
      <c r="WKB46" s="595"/>
      <c r="WKC46" s="595"/>
      <c r="WKD46" s="595"/>
      <c r="WKE46" s="595"/>
      <c r="WKF46" s="595"/>
      <c r="WKG46" s="595"/>
      <c r="WKH46" s="595"/>
      <c r="WKI46" s="595"/>
      <c r="WKJ46" s="595"/>
      <c r="WKK46" s="595"/>
      <c r="WKL46" s="595"/>
      <c r="WKM46" s="595"/>
      <c r="WKN46" s="595"/>
      <c r="WKO46" s="595"/>
      <c r="WKP46" s="595"/>
      <c r="WKQ46" s="595"/>
      <c r="WKR46" s="595"/>
      <c r="WKS46" s="595"/>
      <c r="WKT46" s="595"/>
      <c r="WKU46" s="595"/>
      <c r="WKV46" s="595"/>
      <c r="WKW46" s="595"/>
      <c r="WKX46" s="595"/>
      <c r="WKY46" s="595"/>
      <c r="WKZ46" s="595"/>
      <c r="WLA46" s="595"/>
      <c r="WLB46" s="595"/>
      <c r="WLC46" s="595"/>
      <c r="WLD46" s="595"/>
      <c r="WLE46" s="595"/>
      <c r="WLF46" s="595"/>
      <c r="WLG46" s="595"/>
      <c r="WLH46" s="595"/>
      <c r="WLI46" s="595"/>
      <c r="WLJ46" s="595"/>
      <c r="WLK46" s="595"/>
      <c r="WLL46" s="595"/>
      <c r="WLM46" s="595"/>
      <c r="WLN46" s="595"/>
      <c r="WLO46" s="595"/>
      <c r="WLP46" s="595"/>
      <c r="WLQ46" s="595"/>
      <c r="WLR46" s="595"/>
      <c r="WLS46" s="595"/>
      <c r="WLT46" s="595"/>
      <c r="WLU46" s="595"/>
      <c r="WLV46" s="595"/>
      <c r="WLW46" s="595"/>
      <c r="WLX46" s="595"/>
      <c r="WLY46" s="595"/>
      <c r="WLZ46" s="595"/>
      <c r="WMA46" s="595"/>
      <c r="WMB46" s="595"/>
      <c r="WMC46" s="595"/>
      <c r="WMD46" s="595"/>
      <c r="WME46" s="595"/>
      <c r="WMF46" s="595"/>
      <c r="WMG46" s="595"/>
      <c r="WMH46" s="595"/>
      <c r="WMI46" s="595"/>
      <c r="WMJ46" s="595"/>
      <c r="WMK46" s="595"/>
      <c r="WML46" s="595"/>
      <c r="WMM46" s="595"/>
      <c r="WMN46" s="595"/>
      <c r="WMO46" s="595"/>
      <c r="WMP46" s="595"/>
      <c r="WMQ46" s="595"/>
      <c r="WMR46" s="595"/>
      <c r="WMS46" s="595"/>
      <c r="WMT46" s="595"/>
      <c r="WMU46" s="595"/>
      <c r="WMV46" s="595"/>
      <c r="WMW46" s="595"/>
      <c r="WMX46" s="595"/>
      <c r="WMY46" s="595"/>
      <c r="WMZ46" s="595"/>
      <c r="WNA46" s="595"/>
      <c r="WNB46" s="595"/>
      <c r="WNC46" s="595"/>
      <c r="WND46" s="595"/>
      <c r="WNE46" s="595"/>
      <c r="WNF46" s="595"/>
      <c r="WNG46" s="595"/>
      <c r="WNH46" s="595"/>
      <c r="WNI46" s="595"/>
      <c r="WNJ46" s="595"/>
      <c r="WNK46" s="595"/>
      <c r="WNL46" s="595"/>
      <c r="WNM46" s="595"/>
      <c r="WNN46" s="595"/>
      <c r="WNO46" s="595"/>
      <c r="WNP46" s="595"/>
      <c r="WNQ46" s="595"/>
      <c r="WNR46" s="595"/>
      <c r="WNS46" s="595"/>
      <c r="WNT46" s="595"/>
      <c r="WNU46" s="595"/>
      <c r="WNV46" s="595"/>
      <c r="WNW46" s="595"/>
      <c r="WNX46" s="595"/>
      <c r="WNY46" s="595"/>
      <c r="WNZ46" s="595"/>
      <c r="WOA46" s="595"/>
      <c r="WOB46" s="595"/>
      <c r="WOC46" s="595"/>
      <c r="WOD46" s="595"/>
      <c r="WOE46" s="595"/>
      <c r="WOF46" s="595"/>
      <c r="WOG46" s="595"/>
      <c r="WOH46" s="595"/>
      <c r="WOI46" s="595"/>
      <c r="WOJ46" s="595"/>
      <c r="WOK46" s="595"/>
      <c r="WOL46" s="595"/>
      <c r="WOM46" s="595"/>
      <c r="WON46" s="595"/>
      <c r="WOO46" s="595"/>
      <c r="WOP46" s="595"/>
      <c r="WOQ46" s="595"/>
      <c r="WOR46" s="595"/>
      <c r="WOS46" s="595"/>
      <c r="WOT46" s="595"/>
      <c r="WOU46" s="595"/>
      <c r="WOV46" s="595"/>
      <c r="WOW46" s="595"/>
      <c r="WOX46" s="595"/>
      <c r="WOY46" s="595"/>
      <c r="WOZ46" s="595"/>
      <c r="WPA46" s="595"/>
      <c r="WPB46" s="595"/>
      <c r="WPC46" s="595"/>
      <c r="WPD46" s="595"/>
      <c r="WPE46" s="595"/>
      <c r="WPF46" s="595"/>
      <c r="WPG46" s="595"/>
      <c r="WPH46" s="595"/>
      <c r="WPI46" s="595"/>
      <c r="WPJ46" s="595"/>
      <c r="WPK46" s="595"/>
      <c r="WPL46" s="595"/>
      <c r="WPM46" s="595"/>
      <c r="WPN46" s="595"/>
      <c r="WPO46" s="595"/>
      <c r="WPP46" s="595"/>
      <c r="WPQ46" s="595"/>
      <c r="WPR46" s="595"/>
      <c r="WPS46" s="595"/>
      <c r="WPT46" s="595"/>
      <c r="WPU46" s="595"/>
      <c r="WPV46" s="595"/>
      <c r="WPW46" s="595"/>
      <c r="WPX46" s="595"/>
      <c r="WPY46" s="595"/>
      <c r="WPZ46" s="595"/>
      <c r="WQA46" s="595"/>
      <c r="WQB46" s="595"/>
      <c r="WQC46" s="595"/>
      <c r="WQD46" s="595"/>
      <c r="WQE46" s="595"/>
      <c r="WQF46" s="595"/>
      <c r="WQG46" s="595"/>
      <c r="WQH46" s="595"/>
      <c r="WQI46" s="595"/>
      <c r="WQJ46" s="595"/>
      <c r="WQK46" s="595"/>
      <c r="WQL46" s="595"/>
      <c r="WQM46" s="595"/>
      <c r="WQN46" s="595"/>
      <c r="WQO46" s="595"/>
      <c r="WQP46" s="595"/>
      <c r="WQQ46" s="595"/>
      <c r="WQR46" s="595"/>
      <c r="WQS46" s="595"/>
      <c r="WQT46" s="595"/>
      <c r="WQU46" s="595"/>
      <c r="WQV46" s="595"/>
      <c r="WQW46" s="595"/>
      <c r="WQX46" s="595"/>
      <c r="WQY46" s="595"/>
      <c r="WQZ46" s="595"/>
      <c r="WRA46" s="595"/>
      <c r="WRB46" s="595"/>
      <c r="WRC46" s="595"/>
      <c r="WRD46" s="595"/>
      <c r="WRE46" s="595"/>
      <c r="WRF46" s="595"/>
      <c r="WRG46" s="595"/>
      <c r="WRH46" s="595"/>
      <c r="WRI46" s="595"/>
      <c r="WRJ46" s="595"/>
      <c r="WRK46" s="595"/>
      <c r="WRL46" s="595"/>
      <c r="WRM46" s="595"/>
      <c r="WRN46" s="595"/>
      <c r="WRO46" s="595"/>
      <c r="WRP46" s="595"/>
      <c r="WRQ46" s="595"/>
      <c r="WRR46" s="595"/>
      <c r="WRS46" s="595"/>
      <c r="WRT46" s="595"/>
      <c r="WRU46" s="595"/>
      <c r="WRV46" s="595"/>
      <c r="WRW46" s="595"/>
      <c r="WRX46" s="595"/>
      <c r="WRY46" s="595"/>
      <c r="WRZ46" s="595"/>
      <c r="WSA46" s="595"/>
      <c r="WSB46" s="595"/>
      <c r="WSC46" s="595"/>
      <c r="WSD46" s="595"/>
      <c r="WSE46" s="595"/>
      <c r="WSF46" s="595"/>
      <c r="WSG46" s="595"/>
      <c r="WSH46" s="595"/>
      <c r="WSI46" s="595"/>
      <c r="WSJ46" s="595"/>
      <c r="WSK46" s="595"/>
      <c r="WSL46" s="595"/>
      <c r="WSM46" s="595"/>
      <c r="WSN46" s="595"/>
      <c r="WSO46" s="595"/>
      <c r="WSP46" s="595"/>
      <c r="WSQ46" s="595"/>
      <c r="WSR46" s="595"/>
      <c r="WSS46" s="595"/>
      <c r="WST46" s="595"/>
      <c r="WSU46" s="595"/>
      <c r="WSV46" s="595"/>
      <c r="WSW46" s="595"/>
      <c r="WSX46" s="595"/>
      <c r="WSY46" s="595"/>
      <c r="WSZ46" s="595"/>
      <c r="WTA46" s="595"/>
      <c r="WTB46" s="595"/>
      <c r="WTC46" s="595"/>
      <c r="WTD46" s="595"/>
      <c r="WTE46" s="595"/>
      <c r="WTF46" s="595"/>
      <c r="WTG46" s="595"/>
      <c r="WTH46" s="595"/>
      <c r="WTI46" s="595"/>
      <c r="WTJ46" s="595"/>
      <c r="WTK46" s="595"/>
      <c r="WTL46" s="595"/>
      <c r="WTM46" s="595"/>
      <c r="WTN46" s="595"/>
      <c r="WTO46" s="595"/>
      <c r="WTP46" s="595"/>
      <c r="WTQ46" s="595"/>
      <c r="WTR46" s="595"/>
      <c r="WTS46" s="595"/>
      <c r="WTT46" s="595"/>
      <c r="WTU46" s="595"/>
      <c r="WTV46" s="595"/>
      <c r="WTW46" s="595"/>
      <c r="WTX46" s="595"/>
      <c r="WTY46" s="595"/>
      <c r="WTZ46" s="595"/>
      <c r="WUA46" s="595"/>
      <c r="WUB46" s="595"/>
      <c r="WUC46" s="595"/>
      <c r="WUD46" s="595"/>
      <c r="WUE46" s="595"/>
      <c r="WUF46" s="595"/>
      <c r="WUG46" s="595"/>
      <c r="WUH46" s="595"/>
      <c r="WUI46" s="595"/>
      <c r="WUJ46" s="595"/>
      <c r="WUK46" s="595"/>
      <c r="WUL46" s="595"/>
      <c r="WUM46" s="595"/>
      <c r="WUN46" s="595"/>
      <c r="WUO46" s="595"/>
      <c r="WUP46" s="595"/>
      <c r="WUQ46" s="595"/>
      <c r="WUR46" s="595"/>
      <c r="WUS46" s="595"/>
      <c r="WUT46" s="595"/>
      <c r="WUU46" s="595"/>
      <c r="WUV46" s="595"/>
      <c r="WUW46" s="595"/>
      <c r="WUX46" s="595"/>
      <c r="WUY46" s="595"/>
      <c r="WUZ46" s="595"/>
      <c r="WVA46" s="595"/>
      <c r="WVB46" s="595"/>
      <c r="WVC46" s="595"/>
      <c r="WVD46" s="595"/>
      <c r="WVE46" s="595"/>
      <c r="WVF46" s="595"/>
      <c r="WVG46" s="595"/>
      <c r="WVH46" s="595"/>
      <c r="WVI46" s="595"/>
      <c r="WVJ46" s="595"/>
      <c r="WVK46" s="595"/>
      <c r="WVL46" s="595"/>
      <c r="WVM46" s="595"/>
      <c r="WVN46" s="595"/>
      <c r="WVO46" s="595"/>
      <c r="WVP46" s="595"/>
      <c r="WVQ46" s="595"/>
    </row>
    <row r="47" spans="1:16137" s="601" customFormat="1" ht="33.75" customHeight="1">
      <c r="A47" s="1137" t="s">
        <v>1491</v>
      </c>
      <c r="B47" s="1137"/>
      <c r="C47" s="1137"/>
      <c r="D47" s="1137"/>
      <c r="E47" s="1137"/>
      <c r="F47" s="1137"/>
      <c r="G47" s="1137"/>
      <c r="H47" s="1137"/>
      <c r="I47" s="1137"/>
      <c r="J47" s="595"/>
      <c r="CF47" s="595"/>
      <c r="CG47" s="595"/>
      <c r="CH47" s="595"/>
      <c r="CI47" s="595"/>
      <c r="CJ47" s="595"/>
      <c r="CK47" s="595"/>
      <c r="CL47" s="595"/>
      <c r="CM47" s="595"/>
      <c r="CN47" s="595"/>
      <c r="CO47" s="595"/>
      <c r="CP47" s="595"/>
      <c r="CQ47" s="595"/>
      <c r="CR47" s="595"/>
      <c r="CS47" s="595"/>
      <c r="CT47" s="595"/>
      <c r="CU47" s="595"/>
      <c r="CV47" s="595"/>
      <c r="CW47" s="595"/>
      <c r="CX47" s="595"/>
      <c r="CY47" s="595"/>
      <c r="CZ47" s="595"/>
      <c r="DA47" s="595"/>
      <c r="DB47" s="595"/>
      <c r="DC47" s="595"/>
      <c r="DD47" s="595"/>
      <c r="DE47" s="595"/>
      <c r="DF47" s="595"/>
      <c r="DG47" s="595"/>
      <c r="DH47" s="595"/>
      <c r="DI47" s="595"/>
      <c r="DJ47" s="595"/>
      <c r="DK47" s="595"/>
      <c r="DL47" s="595"/>
      <c r="DM47" s="595"/>
      <c r="DN47" s="595"/>
      <c r="DO47" s="595"/>
      <c r="DP47" s="595"/>
      <c r="DQ47" s="595"/>
      <c r="DR47" s="595"/>
      <c r="DS47" s="595"/>
      <c r="DT47" s="595"/>
      <c r="DU47" s="595"/>
      <c r="DV47" s="595"/>
      <c r="DW47" s="595"/>
      <c r="DX47" s="595"/>
      <c r="DY47" s="595"/>
      <c r="DZ47" s="595"/>
      <c r="EA47" s="595"/>
      <c r="EB47" s="595"/>
      <c r="EC47" s="595"/>
      <c r="ED47" s="595"/>
      <c r="EE47" s="595"/>
      <c r="EF47" s="595"/>
      <c r="EG47" s="595"/>
      <c r="EH47" s="595"/>
      <c r="EI47" s="595"/>
      <c r="EJ47" s="595"/>
      <c r="EK47" s="595"/>
      <c r="EL47" s="595"/>
      <c r="EM47" s="595"/>
      <c r="EN47" s="595"/>
      <c r="EO47" s="595"/>
      <c r="EP47" s="595"/>
      <c r="EQ47" s="595"/>
      <c r="ER47" s="595"/>
      <c r="ES47" s="595"/>
      <c r="ET47" s="595"/>
      <c r="EU47" s="595"/>
      <c r="EV47" s="595"/>
      <c r="EW47" s="595"/>
      <c r="EX47" s="595"/>
      <c r="EY47" s="595"/>
      <c r="EZ47" s="595"/>
      <c r="FA47" s="595"/>
      <c r="FB47" s="595"/>
      <c r="FC47" s="595"/>
      <c r="FD47" s="595"/>
      <c r="FE47" s="595"/>
      <c r="FF47" s="595"/>
      <c r="FG47" s="595"/>
      <c r="FH47" s="595"/>
      <c r="FI47" s="595"/>
      <c r="FJ47" s="595"/>
      <c r="FK47" s="595"/>
      <c r="FL47" s="595"/>
      <c r="FM47" s="595"/>
      <c r="FN47" s="595"/>
      <c r="FO47" s="595"/>
      <c r="FP47" s="595"/>
      <c r="FQ47" s="595"/>
      <c r="FR47" s="595"/>
      <c r="FS47" s="595"/>
      <c r="FT47" s="595"/>
      <c r="FU47" s="595"/>
      <c r="FV47" s="595"/>
      <c r="FW47" s="595"/>
      <c r="FX47" s="595"/>
      <c r="FY47" s="595"/>
      <c r="FZ47" s="595"/>
      <c r="GA47" s="595"/>
      <c r="GB47" s="595"/>
      <c r="GC47" s="595"/>
      <c r="GD47" s="595"/>
      <c r="GE47" s="595"/>
      <c r="GF47" s="595"/>
      <c r="GG47" s="595"/>
      <c r="GH47" s="595"/>
      <c r="GI47" s="595"/>
      <c r="GJ47" s="595"/>
      <c r="GK47" s="595"/>
      <c r="GL47" s="595"/>
      <c r="GM47" s="595"/>
      <c r="GN47" s="595"/>
      <c r="GO47" s="595"/>
      <c r="GP47" s="595"/>
      <c r="GQ47" s="595"/>
      <c r="GR47" s="595"/>
      <c r="GS47" s="595"/>
      <c r="GT47" s="595"/>
      <c r="GU47" s="595"/>
      <c r="GV47" s="595"/>
      <c r="GW47" s="595"/>
      <c r="GX47" s="595"/>
      <c r="GY47" s="595"/>
      <c r="GZ47" s="595"/>
      <c r="HA47" s="595"/>
      <c r="HB47" s="595"/>
      <c r="HC47" s="595"/>
      <c r="HD47" s="595"/>
      <c r="HE47" s="595"/>
      <c r="HF47" s="595"/>
      <c r="HG47" s="595"/>
      <c r="HH47" s="595"/>
      <c r="HI47" s="595"/>
      <c r="HJ47" s="595"/>
      <c r="HK47" s="595"/>
      <c r="HL47" s="595"/>
      <c r="HM47" s="595"/>
      <c r="HN47" s="595"/>
      <c r="HO47" s="595"/>
      <c r="HP47" s="595"/>
      <c r="HQ47" s="595"/>
      <c r="HR47" s="595"/>
      <c r="HS47" s="595"/>
      <c r="HT47" s="595"/>
      <c r="HU47" s="595"/>
      <c r="HV47" s="595"/>
      <c r="HW47" s="595"/>
      <c r="HX47" s="595"/>
      <c r="HY47" s="595"/>
      <c r="HZ47" s="595"/>
      <c r="IA47" s="595"/>
      <c r="IB47" s="595"/>
      <c r="IC47" s="595"/>
      <c r="ID47" s="595"/>
      <c r="IE47" s="595"/>
      <c r="IF47" s="595"/>
      <c r="IG47" s="595"/>
      <c r="IH47" s="595"/>
      <c r="II47" s="595"/>
      <c r="IJ47" s="595"/>
      <c r="IK47" s="595"/>
      <c r="IL47" s="595"/>
      <c r="IM47" s="595"/>
      <c r="IN47" s="595"/>
      <c r="IO47" s="595"/>
      <c r="IP47" s="595"/>
      <c r="IQ47" s="595"/>
      <c r="IR47" s="595"/>
      <c r="IS47" s="595"/>
      <c r="IT47" s="595"/>
      <c r="IU47" s="595"/>
      <c r="IV47" s="595"/>
      <c r="IW47" s="595"/>
      <c r="IX47" s="595"/>
      <c r="IY47" s="595"/>
      <c r="IZ47" s="595"/>
      <c r="JA47" s="595"/>
      <c r="JB47" s="595"/>
      <c r="JC47" s="595"/>
      <c r="JD47" s="595"/>
      <c r="JE47" s="595"/>
      <c r="JF47" s="595"/>
      <c r="JG47" s="595"/>
      <c r="JH47" s="595"/>
      <c r="JI47" s="595"/>
      <c r="JJ47" s="595"/>
      <c r="JK47" s="595"/>
      <c r="JL47" s="595"/>
      <c r="JM47" s="595"/>
      <c r="JN47" s="595"/>
      <c r="JO47" s="595"/>
      <c r="JP47" s="595"/>
      <c r="JQ47" s="595"/>
      <c r="JR47" s="595"/>
      <c r="JS47" s="595"/>
      <c r="JT47" s="595"/>
      <c r="JU47" s="595"/>
      <c r="JV47" s="595"/>
      <c r="JW47" s="595"/>
      <c r="JX47" s="595"/>
      <c r="JY47" s="595"/>
      <c r="JZ47" s="595"/>
      <c r="KA47" s="595"/>
      <c r="KB47" s="595"/>
      <c r="KC47" s="595"/>
      <c r="KD47" s="595"/>
      <c r="KE47" s="595"/>
      <c r="KF47" s="595"/>
      <c r="KG47" s="595"/>
      <c r="KH47" s="595"/>
      <c r="KI47" s="595"/>
      <c r="KJ47" s="595"/>
      <c r="KK47" s="595"/>
      <c r="KL47" s="595"/>
      <c r="KM47" s="595"/>
      <c r="KN47" s="595"/>
      <c r="KO47" s="595"/>
      <c r="KP47" s="595"/>
      <c r="KQ47" s="595"/>
      <c r="KR47" s="595"/>
      <c r="KS47" s="595"/>
      <c r="KT47" s="595"/>
      <c r="KU47" s="595"/>
      <c r="KV47" s="595"/>
      <c r="KW47" s="595"/>
      <c r="KX47" s="595"/>
      <c r="KY47" s="595"/>
      <c r="KZ47" s="595"/>
      <c r="LA47" s="595"/>
      <c r="LB47" s="595"/>
      <c r="LC47" s="595"/>
      <c r="LD47" s="595"/>
      <c r="LE47" s="595"/>
      <c r="LF47" s="595"/>
      <c r="LG47" s="595"/>
      <c r="LH47" s="595"/>
      <c r="LI47" s="595"/>
      <c r="LJ47" s="595"/>
      <c r="LK47" s="595"/>
      <c r="LL47" s="595"/>
      <c r="LM47" s="595"/>
      <c r="LN47" s="595"/>
      <c r="LO47" s="595"/>
      <c r="LP47" s="595"/>
      <c r="LQ47" s="595"/>
      <c r="LR47" s="595"/>
      <c r="LS47" s="595"/>
      <c r="LT47" s="595"/>
      <c r="LU47" s="595"/>
      <c r="LV47" s="595"/>
      <c r="LW47" s="595"/>
      <c r="LX47" s="595"/>
      <c r="LY47" s="595"/>
      <c r="LZ47" s="595"/>
      <c r="MA47" s="595"/>
      <c r="MB47" s="595"/>
      <c r="MC47" s="595"/>
      <c r="MD47" s="595"/>
      <c r="ME47" s="595"/>
      <c r="MF47" s="595"/>
      <c r="MG47" s="595"/>
      <c r="MH47" s="595"/>
      <c r="MI47" s="595"/>
      <c r="MJ47" s="595"/>
      <c r="MK47" s="595"/>
      <c r="ML47" s="595"/>
      <c r="MM47" s="595"/>
      <c r="MN47" s="595"/>
      <c r="MO47" s="595"/>
      <c r="MP47" s="595"/>
      <c r="MQ47" s="595"/>
      <c r="MR47" s="595"/>
      <c r="MS47" s="595"/>
      <c r="MT47" s="595"/>
      <c r="MU47" s="595"/>
      <c r="MV47" s="595"/>
      <c r="MW47" s="595"/>
      <c r="MX47" s="595"/>
      <c r="MY47" s="595"/>
      <c r="MZ47" s="595"/>
      <c r="NA47" s="595"/>
      <c r="NB47" s="595"/>
      <c r="NC47" s="595"/>
      <c r="ND47" s="595"/>
      <c r="NE47" s="595"/>
      <c r="NF47" s="595"/>
      <c r="NG47" s="595"/>
      <c r="NH47" s="595"/>
      <c r="NI47" s="595"/>
      <c r="NJ47" s="595"/>
      <c r="NK47" s="595"/>
      <c r="NL47" s="595"/>
      <c r="NM47" s="595"/>
      <c r="NN47" s="595"/>
      <c r="NO47" s="595"/>
      <c r="NP47" s="595"/>
      <c r="NQ47" s="595"/>
      <c r="NR47" s="595"/>
      <c r="NS47" s="595"/>
      <c r="NT47" s="595"/>
      <c r="NU47" s="595"/>
      <c r="NV47" s="595"/>
      <c r="NW47" s="595"/>
      <c r="NX47" s="595"/>
      <c r="NY47" s="595"/>
      <c r="NZ47" s="595"/>
      <c r="OA47" s="595"/>
      <c r="OB47" s="595"/>
      <c r="OC47" s="595"/>
      <c r="OD47" s="595"/>
      <c r="OE47" s="595"/>
      <c r="OF47" s="595"/>
      <c r="OG47" s="595"/>
      <c r="OH47" s="595"/>
      <c r="OI47" s="595"/>
      <c r="OJ47" s="595"/>
      <c r="OK47" s="595"/>
      <c r="OL47" s="595"/>
      <c r="OM47" s="595"/>
      <c r="ON47" s="595"/>
      <c r="OO47" s="595"/>
      <c r="OP47" s="595"/>
      <c r="OQ47" s="595"/>
      <c r="OR47" s="595"/>
      <c r="OS47" s="595"/>
      <c r="OT47" s="595"/>
      <c r="OU47" s="595"/>
      <c r="OV47" s="595"/>
      <c r="OW47" s="595"/>
      <c r="OX47" s="595"/>
      <c r="OY47" s="595"/>
      <c r="OZ47" s="595"/>
      <c r="PA47" s="595"/>
      <c r="PB47" s="595"/>
      <c r="PC47" s="595"/>
      <c r="PD47" s="595"/>
      <c r="PE47" s="595"/>
      <c r="PF47" s="595"/>
      <c r="PG47" s="595"/>
      <c r="PH47" s="595"/>
      <c r="PI47" s="595"/>
      <c r="PJ47" s="595"/>
      <c r="PK47" s="595"/>
      <c r="PL47" s="595"/>
      <c r="PM47" s="595"/>
      <c r="PN47" s="595"/>
      <c r="PO47" s="595"/>
      <c r="PP47" s="595"/>
      <c r="PQ47" s="595"/>
      <c r="PR47" s="595"/>
      <c r="PS47" s="595"/>
      <c r="PT47" s="595"/>
      <c r="PU47" s="595"/>
      <c r="PV47" s="595"/>
      <c r="PW47" s="595"/>
      <c r="PX47" s="595"/>
      <c r="PY47" s="595"/>
      <c r="PZ47" s="595"/>
      <c r="QA47" s="595"/>
      <c r="QB47" s="595"/>
      <c r="QC47" s="595"/>
      <c r="QD47" s="595"/>
      <c r="QE47" s="595"/>
      <c r="QF47" s="595"/>
      <c r="QG47" s="595"/>
      <c r="QH47" s="595"/>
      <c r="QI47" s="595"/>
      <c r="QJ47" s="595"/>
      <c r="QK47" s="595"/>
      <c r="QL47" s="595"/>
      <c r="QM47" s="595"/>
      <c r="QN47" s="595"/>
      <c r="QO47" s="595"/>
      <c r="QP47" s="595"/>
      <c r="QQ47" s="595"/>
      <c r="QR47" s="595"/>
      <c r="QS47" s="595"/>
      <c r="QT47" s="595"/>
      <c r="QU47" s="595"/>
      <c r="QV47" s="595"/>
      <c r="QW47" s="595"/>
      <c r="QX47" s="595"/>
      <c r="QY47" s="595"/>
      <c r="QZ47" s="595"/>
      <c r="RA47" s="595"/>
      <c r="RB47" s="595"/>
      <c r="RC47" s="595"/>
      <c r="RD47" s="595"/>
      <c r="RE47" s="595"/>
      <c r="RF47" s="595"/>
      <c r="RG47" s="595"/>
      <c r="RH47" s="595"/>
      <c r="RI47" s="595"/>
      <c r="RJ47" s="595"/>
      <c r="RK47" s="595"/>
      <c r="RL47" s="595"/>
      <c r="RM47" s="595"/>
      <c r="RN47" s="595"/>
      <c r="RO47" s="595"/>
      <c r="RP47" s="595"/>
      <c r="RQ47" s="595"/>
      <c r="RR47" s="595"/>
      <c r="RS47" s="595"/>
      <c r="RT47" s="595"/>
      <c r="RU47" s="595"/>
      <c r="RV47" s="595"/>
      <c r="RW47" s="595"/>
      <c r="RX47" s="595"/>
      <c r="RY47" s="595"/>
      <c r="RZ47" s="595"/>
      <c r="SA47" s="595"/>
      <c r="SB47" s="595"/>
      <c r="SC47" s="595"/>
      <c r="SD47" s="595"/>
      <c r="SE47" s="595"/>
      <c r="SF47" s="595"/>
      <c r="SG47" s="595"/>
      <c r="SH47" s="595"/>
      <c r="SI47" s="595"/>
      <c r="SJ47" s="595"/>
      <c r="SK47" s="595"/>
      <c r="SL47" s="595"/>
      <c r="SM47" s="595"/>
      <c r="SN47" s="595"/>
      <c r="SO47" s="595"/>
      <c r="SP47" s="595"/>
      <c r="SQ47" s="595"/>
      <c r="SR47" s="595"/>
      <c r="SS47" s="595"/>
      <c r="ST47" s="595"/>
      <c r="SU47" s="595"/>
      <c r="SV47" s="595"/>
      <c r="SW47" s="595"/>
      <c r="SX47" s="595"/>
      <c r="SY47" s="595"/>
      <c r="SZ47" s="595"/>
      <c r="TA47" s="595"/>
      <c r="TB47" s="595"/>
      <c r="TC47" s="595"/>
      <c r="TD47" s="595"/>
      <c r="TE47" s="595"/>
      <c r="TF47" s="595"/>
      <c r="TG47" s="595"/>
      <c r="TH47" s="595"/>
      <c r="TI47" s="595"/>
      <c r="TJ47" s="595"/>
      <c r="TK47" s="595"/>
      <c r="TL47" s="595"/>
      <c r="TM47" s="595"/>
      <c r="TN47" s="595"/>
      <c r="TO47" s="595"/>
      <c r="TP47" s="595"/>
      <c r="TQ47" s="595"/>
      <c r="TR47" s="595"/>
      <c r="TS47" s="595"/>
      <c r="TT47" s="595"/>
      <c r="TU47" s="595"/>
      <c r="TV47" s="595"/>
      <c r="TW47" s="595"/>
      <c r="TX47" s="595"/>
      <c r="TY47" s="595"/>
      <c r="TZ47" s="595"/>
      <c r="UA47" s="595"/>
      <c r="UB47" s="595"/>
      <c r="UC47" s="595"/>
      <c r="UD47" s="595"/>
      <c r="UE47" s="595"/>
      <c r="UF47" s="595"/>
      <c r="UG47" s="595"/>
      <c r="UH47" s="595"/>
      <c r="UI47" s="595"/>
      <c r="UJ47" s="595"/>
      <c r="UK47" s="595"/>
      <c r="UL47" s="595"/>
      <c r="UM47" s="595"/>
      <c r="UN47" s="595"/>
      <c r="UO47" s="595"/>
      <c r="UP47" s="595"/>
      <c r="UQ47" s="595"/>
      <c r="UR47" s="595"/>
      <c r="US47" s="595"/>
      <c r="UT47" s="595"/>
      <c r="UU47" s="595"/>
      <c r="UV47" s="595"/>
      <c r="UW47" s="595"/>
      <c r="UX47" s="595"/>
      <c r="UY47" s="595"/>
      <c r="UZ47" s="595"/>
      <c r="VA47" s="595"/>
      <c r="VB47" s="595"/>
      <c r="VC47" s="595"/>
      <c r="VD47" s="595"/>
      <c r="VE47" s="595"/>
      <c r="VF47" s="595"/>
      <c r="VG47" s="595"/>
      <c r="VH47" s="595"/>
      <c r="VI47" s="595"/>
      <c r="VJ47" s="595"/>
      <c r="VK47" s="595"/>
      <c r="VL47" s="595"/>
      <c r="VM47" s="595"/>
      <c r="VN47" s="595"/>
      <c r="VO47" s="595"/>
      <c r="VP47" s="595"/>
      <c r="VQ47" s="595"/>
      <c r="VR47" s="595"/>
      <c r="VS47" s="595"/>
      <c r="VT47" s="595"/>
      <c r="VU47" s="595"/>
      <c r="VV47" s="595"/>
      <c r="VW47" s="595"/>
      <c r="VX47" s="595"/>
      <c r="VY47" s="595"/>
      <c r="VZ47" s="595"/>
      <c r="WA47" s="595"/>
      <c r="WB47" s="595"/>
      <c r="WC47" s="595"/>
      <c r="WD47" s="595"/>
      <c r="WE47" s="595"/>
      <c r="WF47" s="595"/>
      <c r="WG47" s="595"/>
      <c r="WH47" s="595"/>
      <c r="WI47" s="595"/>
      <c r="WJ47" s="595"/>
      <c r="WK47" s="595"/>
      <c r="WL47" s="595"/>
      <c r="WM47" s="595"/>
      <c r="WN47" s="595"/>
      <c r="WO47" s="595"/>
      <c r="WP47" s="595"/>
      <c r="WQ47" s="595"/>
      <c r="WR47" s="595"/>
      <c r="WS47" s="595"/>
      <c r="WT47" s="595"/>
      <c r="WU47" s="595"/>
      <c r="WV47" s="595"/>
      <c r="WW47" s="595"/>
      <c r="WX47" s="595"/>
      <c r="WY47" s="595"/>
      <c r="WZ47" s="595"/>
      <c r="XA47" s="595"/>
      <c r="XB47" s="595"/>
      <c r="XC47" s="595"/>
      <c r="XD47" s="595"/>
      <c r="XE47" s="595"/>
      <c r="XF47" s="595"/>
      <c r="XG47" s="595"/>
      <c r="XH47" s="595"/>
      <c r="XI47" s="595"/>
      <c r="XJ47" s="595"/>
      <c r="XK47" s="595"/>
      <c r="XL47" s="595"/>
      <c r="XM47" s="595"/>
      <c r="XN47" s="595"/>
      <c r="XO47" s="595"/>
      <c r="XP47" s="595"/>
      <c r="XQ47" s="595"/>
      <c r="XR47" s="595"/>
      <c r="XS47" s="595"/>
      <c r="XT47" s="595"/>
      <c r="XU47" s="595"/>
      <c r="XV47" s="595"/>
      <c r="XW47" s="595"/>
      <c r="XX47" s="595"/>
      <c r="XY47" s="595"/>
      <c r="XZ47" s="595"/>
      <c r="YA47" s="595"/>
      <c r="YB47" s="595"/>
      <c r="YC47" s="595"/>
      <c r="YD47" s="595"/>
      <c r="YE47" s="595"/>
      <c r="YF47" s="595"/>
      <c r="YG47" s="595"/>
      <c r="YH47" s="595"/>
      <c r="YI47" s="595"/>
      <c r="YJ47" s="595"/>
      <c r="YK47" s="595"/>
      <c r="YL47" s="595"/>
      <c r="YM47" s="595"/>
      <c r="YN47" s="595"/>
      <c r="YO47" s="595"/>
      <c r="YP47" s="595"/>
      <c r="YQ47" s="595"/>
      <c r="YR47" s="595"/>
      <c r="YS47" s="595"/>
      <c r="YT47" s="595"/>
      <c r="YU47" s="595"/>
      <c r="YV47" s="595"/>
      <c r="YW47" s="595"/>
      <c r="YX47" s="595"/>
      <c r="YY47" s="595"/>
      <c r="YZ47" s="595"/>
      <c r="ZA47" s="595"/>
      <c r="ZB47" s="595"/>
      <c r="ZC47" s="595"/>
      <c r="ZD47" s="595"/>
      <c r="ZE47" s="595"/>
      <c r="ZF47" s="595"/>
      <c r="ZG47" s="595"/>
      <c r="ZH47" s="595"/>
      <c r="ZI47" s="595"/>
      <c r="ZJ47" s="595"/>
      <c r="ZK47" s="595"/>
      <c r="ZL47" s="595"/>
      <c r="ZM47" s="595"/>
      <c r="ZN47" s="595"/>
      <c r="ZO47" s="595"/>
      <c r="ZP47" s="595"/>
      <c r="ZQ47" s="595"/>
      <c r="ZR47" s="595"/>
      <c r="ZS47" s="595"/>
      <c r="ZT47" s="595"/>
      <c r="ZU47" s="595"/>
      <c r="ZV47" s="595"/>
      <c r="ZW47" s="595"/>
      <c r="ZX47" s="595"/>
      <c r="ZY47" s="595"/>
      <c r="ZZ47" s="595"/>
      <c r="AAA47" s="595"/>
      <c r="AAB47" s="595"/>
      <c r="AAC47" s="595"/>
      <c r="AAD47" s="595"/>
      <c r="AAE47" s="595"/>
      <c r="AAF47" s="595"/>
      <c r="AAG47" s="595"/>
      <c r="AAH47" s="595"/>
      <c r="AAI47" s="595"/>
      <c r="AAJ47" s="595"/>
      <c r="AAK47" s="595"/>
      <c r="AAL47" s="595"/>
      <c r="AAM47" s="595"/>
      <c r="AAN47" s="595"/>
      <c r="AAO47" s="595"/>
      <c r="AAP47" s="595"/>
      <c r="AAQ47" s="595"/>
      <c r="AAR47" s="595"/>
      <c r="AAS47" s="595"/>
      <c r="AAT47" s="595"/>
      <c r="AAU47" s="595"/>
      <c r="AAV47" s="595"/>
      <c r="AAW47" s="595"/>
      <c r="AAX47" s="595"/>
      <c r="AAY47" s="595"/>
      <c r="AAZ47" s="595"/>
      <c r="ABA47" s="595"/>
      <c r="ABB47" s="595"/>
      <c r="ABC47" s="595"/>
      <c r="ABD47" s="595"/>
      <c r="ABE47" s="595"/>
      <c r="ABF47" s="595"/>
      <c r="ABG47" s="595"/>
      <c r="ABH47" s="595"/>
      <c r="ABI47" s="595"/>
      <c r="ABJ47" s="595"/>
      <c r="ABK47" s="595"/>
      <c r="ABL47" s="595"/>
      <c r="ABM47" s="595"/>
      <c r="ABN47" s="595"/>
      <c r="ABO47" s="595"/>
      <c r="ABP47" s="595"/>
      <c r="ABQ47" s="595"/>
      <c r="ABR47" s="595"/>
      <c r="ABS47" s="595"/>
      <c r="ABT47" s="595"/>
      <c r="ABU47" s="595"/>
      <c r="ABV47" s="595"/>
      <c r="ABW47" s="595"/>
      <c r="ABX47" s="595"/>
      <c r="ABY47" s="595"/>
      <c r="ABZ47" s="595"/>
      <c r="ACA47" s="595"/>
      <c r="ACB47" s="595"/>
      <c r="ACC47" s="595"/>
      <c r="ACD47" s="595"/>
      <c r="ACE47" s="595"/>
      <c r="ACF47" s="595"/>
      <c r="ACG47" s="595"/>
      <c r="ACH47" s="595"/>
      <c r="ACI47" s="595"/>
      <c r="ACJ47" s="595"/>
      <c r="ACK47" s="595"/>
      <c r="ACL47" s="595"/>
      <c r="ACM47" s="595"/>
      <c r="ACN47" s="595"/>
      <c r="ACO47" s="595"/>
      <c r="ACP47" s="595"/>
      <c r="ACQ47" s="595"/>
      <c r="ACR47" s="595"/>
      <c r="ACS47" s="595"/>
      <c r="ACT47" s="595"/>
      <c r="ACU47" s="595"/>
      <c r="ACV47" s="595"/>
      <c r="ACW47" s="595"/>
      <c r="ACX47" s="595"/>
      <c r="ACY47" s="595"/>
      <c r="ACZ47" s="595"/>
      <c r="ADA47" s="595"/>
      <c r="ADB47" s="595"/>
      <c r="ADC47" s="595"/>
      <c r="ADD47" s="595"/>
      <c r="ADE47" s="595"/>
      <c r="ADF47" s="595"/>
      <c r="ADG47" s="595"/>
      <c r="ADH47" s="595"/>
      <c r="ADI47" s="595"/>
      <c r="ADJ47" s="595"/>
      <c r="ADK47" s="595"/>
      <c r="ADL47" s="595"/>
      <c r="ADM47" s="595"/>
      <c r="ADN47" s="595"/>
      <c r="ADO47" s="595"/>
      <c r="ADP47" s="595"/>
      <c r="ADQ47" s="595"/>
      <c r="ADR47" s="595"/>
      <c r="ADS47" s="595"/>
      <c r="ADT47" s="595"/>
      <c r="ADU47" s="595"/>
      <c r="ADV47" s="595"/>
      <c r="ADW47" s="595"/>
      <c r="ADX47" s="595"/>
      <c r="ADY47" s="595"/>
      <c r="ADZ47" s="595"/>
      <c r="AEA47" s="595"/>
      <c r="AEB47" s="595"/>
      <c r="AEC47" s="595"/>
      <c r="AED47" s="595"/>
      <c r="AEE47" s="595"/>
      <c r="AEF47" s="595"/>
      <c r="AEG47" s="595"/>
      <c r="AEH47" s="595"/>
      <c r="AEI47" s="595"/>
      <c r="AEJ47" s="595"/>
      <c r="AEK47" s="595"/>
      <c r="AEL47" s="595"/>
      <c r="AEM47" s="595"/>
      <c r="AEN47" s="595"/>
      <c r="AEO47" s="595"/>
      <c r="AEP47" s="595"/>
      <c r="AEQ47" s="595"/>
      <c r="AER47" s="595"/>
      <c r="AES47" s="595"/>
      <c r="AET47" s="595"/>
      <c r="AEU47" s="595"/>
      <c r="AEV47" s="595"/>
      <c r="AEW47" s="595"/>
      <c r="AEX47" s="595"/>
      <c r="AEY47" s="595"/>
      <c r="AEZ47" s="595"/>
      <c r="AFA47" s="595"/>
      <c r="AFB47" s="595"/>
      <c r="AFC47" s="595"/>
      <c r="AFD47" s="595"/>
      <c r="AFE47" s="595"/>
      <c r="AFF47" s="595"/>
      <c r="AFG47" s="595"/>
      <c r="AFH47" s="595"/>
      <c r="AFI47" s="595"/>
      <c r="AFJ47" s="595"/>
      <c r="AFK47" s="595"/>
      <c r="AFL47" s="595"/>
      <c r="AFM47" s="595"/>
      <c r="AFN47" s="595"/>
      <c r="AFO47" s="595"/>
      <c r="AFP47" s="595"/>
      <c r="AFQ47" s="595"/>
      <c r="AFR47" s="595"/>
      <c r="AFS47" s="595"/>
      <c r="AFT47" s="595"/>
      <c r="AFU47" s="595"/>
      <c r="AFV47" s="595"/>
      <c r="AFW47" s="595"/>
      <c r="AFX47" s="595"/>
      <c r="AFY47" s="595"/>
      <c r="AFZ47" s="595"/>
      <c r="AGA47" s="595"/>
      <c r="AGB47" s="595"/>
      <c r="AGC47" s="595"/>
      <c r="AGD47" s="595"/>
      <c r="AGE47" s="595"/>
      <c r="AGF47" s="595"/>
      <c r="AGG47" s="595"/>
      <c r="AGH47" s="595"/>
      <c r="AGI47" s="595"/>
      <c r="AGJ47" s="595"/>
      <c r="AGK47" s="595"/>
      <c r="AGL47" s="595"/>
      <c r="AGM47" s="595"/>
      <c r="AGN47" s="595"/>
      <c r="AGO47" s="595"/>
      <c r="AGP47" s="595"/>
      <c r="AGQ47" s="595"/>
      <c r="AGR47" s="595"/>
      <c r="AGS47" s="595"/>
      <c r="AGT47" s="595"/>
      <c r="AGU47" s="595"/>
      <c r="AGV47" s="595"/>
      <c r="AGW47" s="595"/>
      <c r="AGX47" s="595"/>
      <c r="AGY47" s="595"/>
      <c r="AGZ47" s="595"/>
      <c r="AHA47" s="595"/>
      <c r="AHB47" s="595"/>
      <c r="AHC47" s="595"/>
      <c r="AHD47" s="595"/>
      <c r="AHE47" s="595"/>
      <c r="AHF47" s="595"/>
      <c r="AHG47" s="595"/>
      <c r="AHH47" s="595"/>
      <c r="AHI47" s="595"/>
      <c r="AHJ47" s="595"/>
      <c r="AHK47" s="595"/>
      <c r="AHL47" s="595"/>
      <c r="AHM47" s="595"/>
      <c r="AHN47" s="595"/>
      <c r="AHO47" s="595"/>
      <c r="AHP47" s="595"/>
      <c r="AHQ47" s="595"/>
      <c r="AHR47" s="595"/>
      <c r="AHS47" s="595"/>
      <c r="AHT47" s="595"/>
      <c r="AHU47" s="595"/>
      <c r="AHV47" s="595"/>
      <c r="AHW47" s="595"/>
      <c r="AHX47" s="595"/>
      <c r="AHY47" s="595"/>
      <c r="AHZ47" s="595"/>
      <c r="AIA47" s="595"/>
      <c r="AIB47" s="595"/>
      <c r="AIC47" s="595"/>
      <c r="AID47" s="595"/>
      <c r="AIE47" s="595"/>
      <c r="AIF47" s="595"/>
      <c r="AIG47" s="595"/>
      <c r="AIH47" s="595"/>
      <c r="AII47" s="595"/>
      <c r="AIJ47" s="595"/>
      <c r="AIK47" s="595"/>
      <c r="AIL47" s="595"/>
      <c r="AIM47" s="595"/>
      <c r="AIN47" s="595"/>
      <c r="AIO47" s="595"/>
      <c r="AIP47" s="595"/>
      <c r="AIQ47" s="595"/>
      <c r="AIR47" s="595"/>
      <c r="AIS47" s="595"/>
      <c r="AIT47" s="595"/>
      <c r="AIU47" s="595"/>
      <c r="AIV47" s="595"/>
      <c r="AIW47" s="595"/>
      <c r="AIX47" s="595"/>
      <c r="AIY47" s="595"/>
      <c r="AIZ47" s="595"/>
      <c r="AJA47" s="595"/>
      <c r="AJB47" s="595"/>
      <c r="AJC47" s="595"/>
      <c r="AJD47" s="595"/>
      <c r="AJE47" s="595"/>
      <c r="AJF47" s="595"/>
      <c r="AJG47" s="595"/>
      <c r="AJH47" s="595"/>
      <c r="AJI47" s="595"/>
      <c r="AJJ47" s="595"/>
      <c r="AJK47" s="595"/>
      <c r="AJL47" s="595"/>
      <c r="AJM47" s="595"/>
      <c r="AJN47" s="595"/>
      <c r="AJO47" s="595"/>
      <c r="AJP47" s="595"/>
      <c r="AJQ47" s="595"/>
      <c r="AJR47" s="595"/>
      <c r="AJS47" s="595"/>
      <c r="AJT47" s="595"/>
      <c r="AJU47" s="595"/>
      <c r="AJV47" s="595"/>
      <c r="AJW47" s="595"/>
      <c r="AJX47" s="595"/>
      <c r="AJY47" s="595"/>
      <c r="AJZ47" s="595"/>
      <c r="AKA47" s="595"/>
      <c r="AKB47" s="595"/>
      <c r="AKC47" s="595"/>
      <c r="AKD47" s="595"/>
      <c r="AKE47" s="595"/>
      <c r="AKF47" s="595"/>
      <c r="AKG47" s="595"/>
      <c r="AKH47" s="595"/>
      <c r="AKI47" s="595"/>
      <c r="AKJ47" s="595"/>
      <c r="AKK47" s="595"/>
      <c r="AKL47" s="595"/>
      <c r="AKM47" s="595"/>
      <c r="AKN47" s="595"/>
      <c r="AKO47" s="595"/>
      <c r="AKP47" s="595"/>
      <c r="AKQ47" s="595"/>
      <c r="AKR47" s="595"/>
      <c r="AKS47" s="595"/>
      <c r="AKT47" s="595"/>
      <c r="AKU47" s="595"/>
      <c r="AKV47" s="595"/>
      <c r="AKW47" s="595"/>
      <c r="AKX47" s="595"/>
      <c r="AKY47" s="595"/>
      <c r="AKZ47" s="595"/>
      <c r="ALA47" s="595"/>
      <c r="ALB47" s="595"/>
      <c r="ALC47" s="595"/>
      <c r="ALD47" s="595"/>
      <c r="ALE47" s="595"/>
      <c r="ALF47" s="595"/>
      <c r="ALG47" s="595"/>
      <c r="ALH47" s="595"/>
      <c r="ALI47" s="595"/>
      <c r="ALJ47" s="595"/>
      <c r="ALK47" s="595"/>
      <c r="ALL47" s="595"/>
      <c r="ALM47" s="595"/>
      <c r="ALN47" s="595"/>
      <c r="ALO47" s="595"/>
      <c r="ALP47" s="595"/>
      <c r="ALQ47" s="595"/>
      <c r="ALR47" s="595"/>
      <c r="ALS47" s="595"/>
      <c r="ALT47" s="595"/>
      <c r="ALU47" s="595"/>
      <c r="ALV47" s="595"/>
      <c r="ALW47" s="595"/>
      <c r="ALX47" s="595"/>
      <c r="ALY47" s="595"/>
      <c r="ALZ47" s="595"/>
      <c r="AMA47" s="595"/>
      <c r="AMB47" s="595"/>
      <c r="AMC47" s="595"/>
      <c r="AMD47" s="595"/>
      <c r="AME47" s="595"/>
      <c r="AMF47" s="595"/>
      <c r="AMG47" s="595"/>
      <c r="AMH47" s="595"/>
      <c r="AMI47" s="595"/>
      <c r="AMJ47" s="595"/>
      <c r="AMK47" s="595"/>
      <c r="AML47" s="595"/>
      <c r="AMM47" s="595"/>
      <c r="AMN47" s="595"/>
      <c r="AMO47" s="595"/>
      <c r="AMP47" s="595"/>
      <c r="AMQ47" s="595"/>
      <c r="AMR47" s="595"/>
      <c r="AMS47" s="595"/>
      <c r="AMT47" s="595"/>
      <c r="AMU47" s="595"/>
      <c r="AMV47" s="595"/>
      <c r="AMW47" s="595"/>
      <c r="AMX47" s="595"/>
      <c r="AMY47" s="595"/>
      <c r="AMZ47" s="595"/>
      <c r="ANA47" s="595"/>
      <c r="ANB47" s="595"/>
      <c r="ANC47" s="595"/>
      <c r="AND47" s="595"/>
      <c r="ANE47" s="595"/>
      <c r="ANF47" s="595"/>
      <c r="ANG47" s="595"/>
      <c r="ANH47" s="595"/>
      <c r="ANI47" s="595"/>
      <c r="ANJ47" s="595"/>
      <c r="ANK47" s="595"/>
      <c r="ANL47" s="595"/>
      <c r="ANM47" s="595"/>
      <c r="ANN47" s="595"/>
      <c r="ANO47" s="595"/>
      <c r="ANP47" s="595"/>
      <c r="ANQ47" s="595"/>
      <c r="ANR47" s="595"/>
      <c r="ANS47" s="595"/>
      <c r="ANT47" s="595"/>
      <c r="ANU47" s="595"/>
      <c r="ANV47" s="595"/>
      <c r="ANW47" s="595"/>
      <c r="ANX47" s="595"/>
      <c r="ANY47" s="595"/>
      <c r="ANZ47" s="595"/>
      <c r="AOA47" s="595"/>
      <c r="AOB47" s="595"/>
      <c r="AOC47" s="595"/>
      <c r="AOD47" s="595"/>
      <c r="AOE47" s="595"/>
      <c r="AOF47" s="595"/>
      <c r="AOG47" s="595"/>
      <c r="AOH47" s="595"/>
      <c r="AOI47" s="595"/>
      <c r="AOJ47" s="595"/>
      <c r="AOK47" s="595"/>
      <c r="AOL47" s="595"/>
      <c r="AOM47" s="595"/>
      <c r="AON47" s="595"/>
      <c r="AOO47" s="595"/>
      <c r="AOP47" s="595"/>
      <c r="AOQ47" s="595"/>
      <c r="AOR47" s="595"/>
      <c r="AOS47" s="595"/>
      <c r="AOT47" s="595"/>
      <c r="AOU47" s="595"/>
      <c r="AOV47" s="595"/>
      <c r="AOW47" s="595"/>
      <c r="AOX47" s="595"/>
      <c r="AOY47" s="595"/>
      <c r="AOZ47" s="595"/>
      <c r="APA47" s="595"/>
      <c r="APB47" s="595"/>
      <c r="APC47" s="595"/>
      <c r="APD47" s="595"/>
      <c r="APE47" s="595"/>
      <c r="APF47" s="595"/>
      <c r="APG47" s="595"/>
      <c r="APH47" s="595"/>
      <c r="API47" s="595"/>
      <c r="APJ47" s="595"/>
      <c r="APK47" s="595"/>
      <c r="APL47" s="595"/>
      <c r="APM47" s="595"/>
      <c r="APN47" s="595"/>
      <c r="APO47" s="595"/>
      <c r="APP47" s="595"/>
      <c r="APQ47" s="595"/>
      <c r="APR47" s="595"/>
      <c r="APS47" s="595"/>
      <c r="APT47" s="595"/>
      <c r="APU47" s="595"/>
      <c r="APV47" s="595"/>
      <c r="APW47" s="595"/>
      <c r="APX47" s="595"/>
      <c r="APY47" s="595"/>
      <c r="APZ47" s="595"/>
      <c r="AQA47" s="595"/>
      <c r="AQB47" s="595"/>
      <c r="AQC47" s="595"/>
      <c r="AQD47" s="595"/>
      <c r="AQE47" s="595"/>
      <c r="AQF47" s="595"/>
      <c r="AQG47" s="595"/>
      <c r="AQH47" s="595"/>
      <c r="AQI47" s="595"/>
      <c r="AQJ47" s="595"/>
      <c r="AQK47" s="595"/>
      <c r="AQL47" s="595"/>
      <c r="AQM47" s="595"/>
      <c r="AQN47" s="595"/>
      <c r="AQO47" s="595"/>
      <c r="AQP47" s="595"/>
      <c r="AQQ47" s="595"/>
      <c r="AQR47" s="595"/>
      <c r="AQS47" s="595"/>
      <c r="AQT47" s="595"/>
      <c r="AQU47" s="595"/>
      <c r="AQV47" s="595"/>
      <c r="AQW47" s="595"/>
      <c r="AQX47" s="595"/>
      <c r="AQY47" s="595"/>
      <c r="AQZ47" s="595"/>
      <c r="ARA47" s="595"/>
      <c r="ARB47" s="595"/>
      <c r="ARC47" s="595"/>
      <c r="ARD47" s="595"/>
      <c r="ARE47" s="595"/>
      <c r="ARF47" s="595"/>
      <c r="ARG47" s="595"/>
      <c r="ARH47" s="595"/>
      <c r="ARI47" s="595"/>
      <c r="ARJ47" s="595"/>
      <c r="ARK47" s="595"/>
      <c r="ARL47" s="595"/>
      <c r="ARM47" s="595"/>
      <c r="ARN47" s="595"/>
      <c r="ARO47" s="595"/>
      <c r="ARP47" s="595"/>
      <c r="ARQ47" s="595"/>
      <c r="ARR47" s="595"/>
      <c r="ARS47" s="595"/>
      <c r="ART47" s="595"/>
      <c r="ARU47" s="595"/>
      <c r="ARV47" s="595"/>
      <c r="ARW47" s="595"/>
      <c r="ARX47" s="595"/>
      <c r="ARY47" s="595"/>
      <c r="ARZ47" s="595"/>
      <c r="ASA47" s="595"/>
      <c r="ASB47" s="595"/>
      <c r="ASC47" s="595"/>
      <c r="ASD47" s="595"/>
      <c r="ASE47" s="595"/>
      <c r="ASF47" s="595"/>
      <c r="ASG47" s="595"/>
      <c r="ASH47" s="595"/>
      <c r="ASI47" s="595"/>
      <c r="ASJ47" s="595"/>
      <c r="ASK47" s="595"/>
      <c r="ASL47" s="595"/>
      <c r="ASM47" s="595"/>
      <c r="ASN47" s="595"/>
      <c r="ASO47" s="595"/>
      <c r="ASP47" s="595"/>
      <c r="ASQ47" s="595"/>
      <c r="ASR47" s="595"/>
      <c r="ASS47" s="595"/>
      <c r="AST47" s="595"/>
      <c r="ASU47" s="595"/>
      <c r="ASV47" s="595"/>
      <c r="ASW47" s="595"/>
      <c r="ASX47" s="595"/>
      <c r="ASY47" s="595"/>
      <c r="ASZ47" s="595"/>
      <c r="ATA47" s="595"/>
      <c r="ATB47" s="595"/>
      <c r="ATC47" s="595"/>
      <c r="ATD47" s="595"/>
      <c r="ATE47" s="595"/>
      <c r="ATF47" s="595"/>
      <c r="ATG47" s="595"/>
      <c r="ATH47" s="595"/>
      <c r="ATI47" s="595"/>
      <c r="ATJ47" s="595"/>
      <c r="ATK47" s="595"/>
      <c r="ATL47" s="595"/>
      <c r="ATM47" s="595"/>
      <c r="ATN47" s="595"/>
      <c r="ATO47" s="595"/>
      <c r="ATP47" s="595"/>
      <c r="ATQ47" s="595"/>
      <c r="ATR47" s="595"/>
      <c r="ATS47" s="595"/>
      <c r="ATT47" s="595"/>
      <c r="ATU47" s="595"/>
      <c r="ATV47" s="595"/>
      <c r="ATW47" s="595"/>
      <c r="ATX47" s="595"/>
      <c r="ATY47" s="595"/>
      <c r="ATZ47" s="595"/>
      <c r="AUA47" s="595"/>
      <c r="AUB47" s="595"/>
      <c r="AUC47" s="595"/>
      <c r="AUD47" s="595"/>
      <c r="AUE47" s="595"/>
      <c r="AUF47" s="595"/>
      <c r="AUG47" s="595"/>
      <c r="AUH47" s="595"/>
      <c r="AUI47" s="595"/>
      <c r="AUJ47" s="595"/>
      <c r="AUK47" s="595"/>
      <c r="AUL47" s="595"/>
      <c r="AUM47" s="595"/>
      <c r="AUN47" s="595"/>
      <c r="AUO47" s="595"/>
      <c r="AUP47" s="595"/>
      <c r="AUQ47" s="595"/>
      <c r="AUR47" s="595"/>
      <c r="AUS47" s="595"/>
      <c r="AUT47" s="595"/>
      <c r="AUU47" s="595"/>
      <c r="AUV47" s="595"/>
      <c r="AUW47" s="595"/>
      <c r="AUX47" s="595"/>
      <c r="AUY47" s="595"/>
      <c r="AUZ47" s="595"/>
      <c r="AVA47" s="595"/>
      <c r="AVB47" s="595"/>
      <c r="AVC47" s="595"/>
      <c r="AVD47" s="595"/>
      <c r="AVE47" s="595"/>
      <c r="AVF47" s="595"/>
      <c r="AVG47" s="595"/>
      <c r="AVH47" s="595"/>
      <c r="AVI47" s="595"/>
      <c r="AVJ47" s="595"/>
      <c r="AVK47" s="595"/>
      <c r="AVL47" s="595"/>
      <c r="AVM47" s="595"/>
      <c r="AVN47" s="595"/>
      <c r="AVO47" s="595"/>
      <c r="AVP47" s="595"/>
      <c r="AVQ47" s="595"/>
      <c r="AVR47" s="595"/>
      <c r="AVS47" s="595"/>
      <c r="AVT47" s="595"/>
      <c r="AVU47" s="595"/>
      <c r="AVV47" s="595"/>
      <c r="AVW47" s="595"/>
      <c r="AVX47" s="595"/>
      <c r="AVY47" s="595"/>
      <c r="AVZ47" s="595"/>
      <c r="AWA47" s="595"/>
      <c r="AWB47" s="595"/>
      <c r="AWC47" s="595"/>
      <c r="AWD47" s="595"/>
      <c r="AWE47" s="595"/>
      <c r="AWF47" s="595"/>
      <c r="AWG47" s="595"/>
      <c r="AWH47" s="595"/>
      <c r="AWI47" s="595"/>
      <c r="AWJ47" s="595"/>
      <c r="AWK47" s="595"/>
      <c r="AWL47" s="595"/>
      <c r="AWM47" s="595"/>
      <c r="AWN47" s="595"/>
      <c r="AWO47" s="595"/>
      <c r="AWP47" s="595"/>
      <c r="AWQ47" s="595"/>
      <c r="AWR47" s="595"/>
      <c r="AWS47" s="595"/>
      <c r="AWT47" s="595"/>
      <c r="AWU47" s="595"/>
      <c r="AWV47" s="595"/>
      <c r="AWW47" s="595"/>
      <c r="AWX47" s="595"/>
      <c r="AWY47" s="595"/>
      <c r="AWZ47" s="595"/>
      <c r="AXA47" s="595"/>
      <c r="AXB47" s="595"/>
      <c r="AXC47" s="595"/>
      <c r="AXD47" s="595"/>
      <c r="AXE47" s="595"/>
      <c r="AXF47" s="595"/>
      <c r="AXG47" s="595"/>
      <c r="AXH47" s="595"/>
      <c r="AXI47" s="595"/>
      <c r="AXJ47" s="595"/>
      <c r="AXK47" s="595"/>
      <c r="AXL47" s="595"/>
      <c r="AXM47" s="595"/>
      <c r="AXN47" s="595"/>
      <c r="AXO47" s="595"/>
      <c r="AXP47" s="595"/>
      <c r="AXQ47" s="595"/>
      <c r="AXR47" s="595"/>
      <c r="AXS47" s="595"/>
      <c r="AXT47" s="595"/>
      <c r="AXU47" s="595"/>
      <c r="AXV47" s="595"/>
      <c r="AXW47" s="595"/>
      <c r="AXX47" s="595"/>
      <c r="AXY47" s="595"/>
      <c r="AXZ47" s="595"/>
      <c r="AYA47" s="595"/>
      <c r="AYB47" s="595"/>
      <c r="AYC47" s="595"/>
      <c r="AYD47" s="595"/>
      <c r="AYE47" s="595"/>
      <c r="AYF47" s="595"/>
      <c r="AYG47" s="595"/>
      <c r="AYH47" s="595"/>
      <c r="AYI47" s="595"/>
      <c r="AYJ47" s="595"/>
      <c r="AYK47" s="595"/>
      <c r="AYL47" s="595"/>
      <c r="AYM47" s="595"/>
      <c r="AYN47" s="595"/>
      <c r="AYO47" s="595"/>
      <c r="AYP47" s="595"/>
      <c r="AYQ47" s="595"/>
      <c r="AYR47" s="595"/>
      <c r="AYS47" s="595"/>
      <c r="AYT47" s="595"/>
      <c r="AYU47" s="595"/>
      <c r="AYV47" s="595"/>
      <c r="AYW47" s="595"/>
      <c r="AYX47" s="595"/>
      <c r="AYY47" s="595"/>
      <c r="AYZ47" s="595"/>
      <c r="AZA47" s="595"/>
      <c r="AZB47" s="595"/>
      <c r="AZC47" s="595"/>
      <c r="AZD47" s="595"/>
      <c r="AZE47" s="595"/>
      <c r="AZF47" s="595"/>
      <c r="AZG47" s="595"/>
      <c r="AZH47" s="595"/>
      <c r="AZI47" s="595"/>
      <c r="AZJ47" s="595"/>
      <c r="AZK47" s="595"/>
      <c r="AZL47" s="595"/>
      <c r="AZM47" s="595"/>
      <c r="AZN47" s="595"/>
      <c r="AZO47" s="595"/>
      <c r="AZP47" s="595"/>
      <c r="AZQ47" s="595"/>
      <c r="AZR47" s="595"/>
      <c r="AZS47" s="595"/>
      <c r="AZT47" s="595"/>
      <c r="AZU47" s="595"/>
      <c r="AZV47" s="595"/>
      <c r="AZW47" s="595"/>
      <c r="AZX47" s="595"/>
      <c r="AZY47" s="595"/>
      <c r="AZZ47" s="595"/>
      <c r="BAA47" s="595"/>
      <c r="BAB47" s="595"/>
      <c r="BAC47" s="595"/>
      <c r="BAD47" s="595"/>
      <c r="BAE47" s="595"/>
      <c r="BAF47" s="595"/>
      <c r="BAG47" s="595"/>
      <c r="BAH47" s="595"/>
      <c r="BAI47" s="595"/>
      <c r="BAJ47" s="595"/>
      <c r="BAK47" s="595"/>
      <c r="BAL47" s="595"/>
      <c r="BAM47" s="595"/>
      <c r="BAN47" s="595"/>
      <c r="BAO47" s="595"/>
      <c r="BAP47" s="595"/>
      <c r="BAQ47" s="595"/>
      <c r="BAR47" s="595"/>
      <c r="BAS47" s="595"/>
      <c r="BAT47" s="595"/>
      <c r="BAU47" s="595"/>
      <c r="BAV47" s="595"/>
      <c r="BAW47" s="595"/>
      <c r="BAX47" s="595"/>
      <c r="BAY47" s="595"/>
      <c r="BAZ47" s="595"/>
      <c r="BBA47" s="595"/>
      <c r="BBB47" s="595"/>
      <c r="BBC47" s="595"/>
      <c r="BBD47" s="595"/>
      <c r="BBE47" s="595"/>
      <c r="BBF47" s="595"/>
      <c r="BBG47" s="595"/>
      <c r="BBH47" s="595"/>
      <c r="BBI47" s="595"/>
      <c r="BBJ47" s="595"/>
      <c r="BBK47" s="595"/>
      <c r="BBL47" s="595"/>
      <c r="BBM47" s="595"/>
      <c r="BBN47" s="595"/>
      <c r="BBO47" s="595"/>
      <c r="BBP47" s="595"/>
      <c r="BBQ47" s="595"/>
      <c r="BBR47" s="595"/>
      <c r="BBS47" s="595"/>
      <c r="BBT47" s="595"/>
      <c r="BBU47" s="595"/>
      <c r="BBV47" s="595"/>
      <c r="BBW47" s="595"/>
      <c r="BBX47" s="595"/>
      <c r="BBY47" s="595"/>
      <c r="BBZ47" s="595"/>
      <c r="BCA47" s="595"/>
      <c r="BCB47" s="595"/>
      <c r="BCC47" s="595"/>
      <c r="BCD47" s="595"/>
      <c r="BCE47" s="595"/>
      <c r="BCF47" s="595"/>
      <c r="BCG47" s="595"/>
      <c r="BCH47" s="595"/>
      <c r="BCI47" s="595"/>
      <c r="BCJ47" s="595"/>
      <c r="BCK47" s="595"/>
      <c r="BCL47" s="595"/>
      <c r="BCM47" s="595"/>
      <c r="BCN47" s="595"/>
      <c r="BCO47" s="595"/>
      <c r="BCP47" s="595"/>
      <c r="BCQ47" s="595"/>
      <c r="BCR47" s="595"/>
      <c r="BCS47" s="595"/>
      <c r="BCT47" s="595"/>
      <c r="BCU47" s="595"/>
      <c r="BCV47" s="595"/>
      <c r="BCW47" s="595"/>
      <c r="BCX47" s="595"/>
      <c r="BCY47" s="595"/>
      <c r="BCZ47" s="595"/>
      <c r="BDA47" s="595"/>
      <c r="BDB47" s="595"/>
      <c r="BDC47" s="595"/>
      <c r="BDD47" s="595"/>
      <c r="BDE47" s="595"/>
      <c r="BDF47" s="595"/>
      <c r="BDG47" s="595"/>
      <c r="BDH47" s="595"/>
      <c r="BDI47" s="595"/>
      <c r="BDJ47" s="595"/>
      <c r="BDK47" s="595"/>
      <c r="BDL47" s="595"/>
      <c r="BDM47" s="595"/>
      <c r="BDN47" s="595"/>
      <c r="BDO47" s="595"/>
      <c r="BDP47" s="595"/>
      <c r="BDQ47" s="595"/>
      <c r="BDR47" s="595"/>
      <c r="BDS47" s="595"/>
      <c r="BDT47" s="595"/>
      <c r="BDU47" s="595"/>
      <c r="BDV47" s="595"/>
      <c r="BDW47" s="595"/>
      <c r="BDX47" s="595"/>
      <c r="BDY47" s="595"/>
      <c r="BDZ47" s="595"/>
      <c r="BEA47" s="595"/>
      <c r="BEB47" s="595"/>
      <c r="BEC47" s="595"/>
      <c r="BED47" s="595"/>
      <c r="BEE47" s="595"/>
      <c r="BEF47" s="595"/>
      <c r="BEG47" s="595"/>
      <c r="BEH47" s="595"/>
      <c r="BEI47" s="595"/>
      <c r="BEJ47" s="595"/>
      <c r="BEK47" s="595"/>
      <c r="BEL47" s="595"/>
      <c r="BEM47" s="595"/>
      <c r="BEN47" s="595"/>
      <c r="BEO47" s="595"/>
      <c r="BEP47" s="595"/>
      <c r="BEQ47" s="595"/>
      <c r="BER47" s="595"/>
      <c r="BES47" s="595"/>
      <c r="BET47" s="595"/>
      <c r="BEU47" s="595"/>
      <c r="BEV47" s="595"/>
      <c r="BEW47" s="595"/>
      <c r="BEX47" s="595"/>
      <c r="BEY47" s="595"/>
      <c r="BEZ47" s="595"/>
      <c r="BFA47" s="595"/>
      <c r="BFB47" s="595"/>
      <c r="BFC47" s="595"/>
      <c r="BFD47" s="595"/>
      <c r="BFE47" s="595"/>
      <c r="BFF47" s="595"/>
      <c r="BFG47" s="595"/>
      <c r="BFH47" s="595"/>
      <c r="BFI47" s="595"/>
      <c r="BFJ47" s="595"/>
      <c r="BFK47" s="595"/>
      <c r="BFL47" s="595"/>
      <c r="BFM47" s="595"/>
      <c r="BFN47" s="595"/>
      <c r="BFO47" s="595"/>
      <c r="BFP47" s="595"/>
      <c r="BFQ47" s="595"/>
      <c r="BFR47" s="595"/>
      <c r="BFS47" s="595"/>
      <c r="BFT47" s="595"/>
      <c r="BFU47" s="595"/>
      <c r="BFV47" s="595"/>
      <c r="BFW47" s="595"/>
      <c r="BFX47" s="595"/>
      <c r="BFY47" s="595"/>
      <c r="BFZ47" s="595"/>
      <c r="BGA47" s="595"/>
      <c r="BGB47" s="595"/>
      <c r="BGC47" s="595"/>
      <c r="BGD47" s="595"/>
      <c r="BGE47" s="595"/>
      <c r="BGF47" s="595"/>
      <c r="BGG47" s="595"/>
      <c r="BGH47" s="595"/>
      <c r="BGI47" s="595"/>
      <c r="BGJ47" s="595"/>
      <c r="BGK47" s="595"/>
      <c r="BGL47" s="595"/>
      <c r="BGM47" s="595"/>
      <c r="BGN47" s="595"/>
      <c r="BGO47" s="595"/>
      <c r="BGP47" s="595"/>
      <c r="BGQ47" s="595"/>
      <c r="BGR47" s="595"/>
      <c r="BGS47" s="595"/>
      <c r="BGT47" s="595"/>
      <c r="BGU47" s="595"/>
      <c r="BGV47" s="595"/>
      <c r="BGW47" s="595"/>
      <c r="BGX47" s="595"/>
      <c r="BGY47" s="595"/>
      <c r="BGZ47" s="595"/>
      <c r="BHA47" s="595"/>
      <c r="BHB47" s="595"/>
      <c r="BHC47" s="595"/>
      <c r="BHD47" s="595"/>
      <c r="BHE47" s="595"/>
      <c r="BHF47" s="595"/>
      <c r="BHG47" s="595"/>
      <c r="BHH47" s="595"/>
      <c r="BHI47" s="595"/>
      <c r="BHJ47" s="595"/>
      <c r="BHK47" s="595"/>
      <c r="BHL47" s="595"/>
      <c r="BHM47" s="595"/>
      <c r="BHN47" s="595"/>
      <c r="BHO47" s="595"/>
      <c r="BHP47" s="595"/>
      <c r="BHQ47" s="595"/>
      <c r="BHR47" s="595"/>
      <c r="BHS47" s="595"/>
      <c r="BHT47" s="595"/>
      <c r="BHU47" s="595"/>
      <c r="BHV47" s="595"/>
      <c r="BHW47" s="595"/>
      <c r="BHX47" s="595"/>
      <c r="BHY47" s="595"/>
      <c r="BHZ47" s="595"/>
      <c r="BIA47" s="595"/>
      <c r="BIB47" s="595"/>
      <c r="BIC47" s="595"/>
      <c r="BID47" s="595"/>
      <c r="BIE47" s="595"/>
      <c r="BIF47" s="595"/>
      <c r="BIG47" s="595"/>
      <c r="BIH47" s="595"/>
      <c r="BII47" s="595"/>
      <c r="BIJ47" s="595"/>
      <c r="BIK47" s="595"/>
      <c r="BIL47" s="595"/>
      <c r="BIM47" s="595"/>
      <c r="BIN47" s="595"/>
      <c r="BIO47" s="595"/>
      <c r="BIP47" s="595"/>
      <c r="BIQ47" s="595"/>
      <c r="BIR47" s="595"/>
      <c r="BIS47" s="595"/>
      <c r="BIT47" s="595"/>
      <c r="BIU47" s="595"/>
      <c r="BIV47" s="595"/>
      <c r="BIW47" s="595"/>
      <c r="BIX47" s="595"/>
      <c r="BIY47" s="595"/>
      <c r="BIZ47" s="595"/>
      <c r="BJA47" s="595"/>
      <c r="BJB47" s="595"/>
      <c r="BJC47" s="595"/>
      <c r="BJD47" s="595"/>
      <c r="BJE47" s="595"/>
      <c r="BJF47" s="595"/>
      <c r="BJG47" s="595"/>
      <c r="BJH47" s="595"/>
      <c r="BJI47" s="595"/>
      <c r="BJJ47" s="595"/>
      <c r="BJK47" s="595"/>
      <c r="BJL47" s="595"/>
      <c r="BJM47" s="595"/>
      <c r="BJN47" s="595"/>
      <c r="BJO47" s="595"/>
      <c r="BJP47" s="595"/>
      <c r="BJQ47" s="595"/>
      <c r="BJR47" s="595"/>
      <c r="BJS47" s="595"/>
      <c r="BJT47" s="595"/>
      <c r="BJU47" s="595"/>
      <c r="BJV47" s="595"/>
      <c r="BJW47" s="595"/>
      <c r="BJX47" s="595"/>
      <c r="BJY47" s="595"/>
      <c r="BJZ47" s="595"/>
      <c r="BKA47" s="595"/>
      <c r="BKB47" s="595"/>
      <c r="BKC47" s="595"/>
      <c r="BKD47" s="595"/>
      <c r="BKE47" s="595"/>
      <c r="BKF47" s="595"/>
      <c r="BKG47" s="595"/>
      <c r="BKH47" s="595"/>
      <c r="BKI47" s="595"/>
      <c r="BKJ47" s="595"/>
      <c r="BKK47" s="595"/>
      <c r="BKL47" s="595"/>
      <c r="BKM47" s="595"/>
      <c r="BKN47" s="595"/>
      <c r="BKO47" s="595"/>
      <c r="BKP47" s="595"/>
      <c r="BKQ47" s="595"/>
      <c r="BKR47" s="595"/>
      <c r="BKS47" s="595"/>
      <c r="BKT47" s="595"/>
      <c r="BKU47" s="595"/>
      <c r="BKV47" s="595"/>
      <c r="BKW47" s="595"/>
      <c r="BKX47" s="595"/>
      <c r="BKY47" s="595"/>
      <c r="BKZ47" s="595"/>
      <c r="BLA47" s="595"/>
      <c r="BLB47" s="595"/>
      <c r="BLC47" s="595"/>
      <c r="BLD47" s="595"/>
      <c r="BLE47" s="595"/>
      <c r="BLF47" s="595"/>
      <c r="BLG47" s="595"/>
      <c r="BLH47" s="595"/>
      <c r="BLI47" s="595"/>
      <c r="BLJ47" s="595"/>
      <c r="BLK47" s="595"/>
      <c r="BLL47" s="595"/>
      <c r="BLM47" s="595"/>
      <c r="BLN47" s="595"/>
      <c r="BLO47" s="595"/>
      <c r="BLP47" s="595"/>
      <c r="BLQ47" s="595"/>
      <c r="BLR47" s="595"/>
      <c r="BLS47" s="595"/>
      <c r="BLT47" s="595"/>
      <c r="BLU47" s="595"/>
      <c r="BLV47" s="595"/>
      <c r="BLW47" s="595"/>
      <c r="BLX47" s="595"/>
      <c r="BLY47" s="595"/>
      <c r="BLZ47" s="595"/>
      <c r="BMA47" s="595"/>
      <c r="BMB47" s="595"/>
      <c r="BMC47" s="595"/>
      <c r="BMD47" s="595"/>
      <c r="BME47" s="595"/>
      <c r="BMF47" s="595"/>
      <c r="BMG47" s="595"/>
      <c r="BMH47" s="595"/>
      <c r="BMI47" s="595"/>
      <c r="BMJ47" s="595"/>
      <c r="BMK47" s="595"/>
      <c r="BML47" s="595"/>
      <c r="BMM47" s="595"/>
      <c r="BMN47" s="595"/>
      <c r="BMO47" s="595"/>
      <c r="BMP47" s="595"/>
      <c r="BMQ47" s="595"/>
      <c r="BMR47" s="595"/>
      <c r="BMS47" s="595"/>
      <c r="BMT47" s="595"/>
      <c r="BMU47" s="595"/>
      <c r="BMV47" s="595"/>
      <c r="BMW47" s="595"/>
      <c r="BMX47" s="595"/>
      <c r="BMY47" s="595"/>
      <c r="BMZ47" s="595"/>
      <c r="BNA47" s="595"/>
      <c r="BNB47" s="595"/>
      <c r="BNC47" s="595"/>
      <c r="BND47" s="595"/>
      <c r="BNE47" s="595"/>
      <c r="BNF47" s="595"/>
      <c r="BNG47" s="595"/>
      <c r="BNH47" s="595"/>
      <c r="BNI47" s="595"/>
      <c r="BNJ47" s="595"/>
      <c r="BNK47" s="595"/>
      <c r="BNL47" s="595"/>
      <c r="BNM47" s="595"/>
      <c r="BNN47" s="595"/>
      <c r="BNO47" s="595"/>
      <c r="BNP47" s="595"/>
      <c r="BNQ47" s="595"/>
      <c r="BNR47" s="595"/>
      <c r="BNS47" s="595"/>
      <c r="BNT47" s="595"/>
      <c r="BNU47" s="595"/>
      <c r="BNV47" s="595"/>
      <c r="BNW47" s="595"/>
      <c r="BNX47" s="595"/>
      <c r="BNY47" s="595"/>
      <c r="BNZ47" s="595"/>
      <c r="BOA47" s="595"/>
      <c r="BOB47" s="595"/>
      <c r="BOC47" s="595"/>
      <c r="BOD47" s="595"/>
      <c r="BOE47" s="595"/>
      <c r="BOF47" s="595"/>
      <c r="BOG47" s="595"/>
      <c r="BOH47" s="595"/>
      <c r="BOI47" s="595"/>
      <c r="BOJ47" s="595"/>
      <c r="BOK47" s="595"/>
      <c r="BOL47" s="595"/>
      <c r="BOM47" s="595"/>
      <c r="BON47" s="595"/>
      <c r="BOO47" s="595"/>
      <c r="BOP47" s="595"/>
      <c r="BOQ47" s="595"/>
      <c r="BOR47" s="595"/>
      <c r="BOS47" s="595"/>
      <c r="BOT47" s="595"/>
      <c r="BOU47" s="595"/>
      <c r="BOV47" s="595"/>
      <c r="BOW47" s="595"/>
      <c r="BOX47" s="595"/>
      <c r="BOY47" s="595"/>
      <c r="BOZ47" s="595"/>
      <c r="BPA47" s="595"/>
      <c r="BPB47" s="595"/>
      <c r="BPC47" s="595"/>
      <c r="BPD47" s="595"/>
      <c r="BPE47" s="595"/>
      <c r="BPF47" s="595"/>
      <c r="BPG47" s="595"/>
      <c r="BPH47" s="595"/>
      <c r="BPI47" s="595"/>
      <c r="BPJ47" s="595"/>
      <c r="BPK47" s="595"/>
      <c r="BPL47" s="595"/>
      <c r="BPM47" s="595"/>
      <c r="BPN47" s="595"/>
      <c r="BPO47" s="595"/>
      <c r="BPP47" s="595"/>
      <c r="BPQ47" s="595"/>
      <c r="BPR47" s="595"/>
      <c r="BPS47" s="595"/>
      <c r="BPT47" s="595"/>
      <c r="BPU47" s="595"/>
      <c r="BPV47" s="595"/>
      <c r="BPW47" s="595"/>
      <c r="BPX47" s="595"/>
      <c r="BPY47" s="595"/>
      <c r="BPZ47" s="595"/>
      <c r="BQA47" s="595"/>
      <c r="BQB47" s="595"/>
      <c r="BQC47" s="595"/>
      <c r="BQD47" s="595"/>
      <c r="BQE47" s="595"/>
      <c r="BQF47" s="595"/>
      <c r="BQG47" s="595"/>
      <c r="BQH47" s="595"/>
      <c r="BQI47" s="595"/>
      <c r="BQJ47" s="595"/>
      <c r="BQK47" s="595"/>
      <c r="BQL47" s="595"/>
      <c r="BQM47" s="595"/>
      <c r="BQN47" s="595"/>
      <c r="BQO47" s="595"/>
      <c r="BQP47" s="595"/>
      <c r="BQQ47" s="595"/>
      <c r="BQR47" s="595"/>
      <c r="BQS47" s="595"/>
      <c r="BQT47" s="595"/>
      <c r="BQU47" s="595"/>
      <c r="BQV47" s="595"/>
      <c r="BQW47" s="595"/>
      <c r="BQX47" s="595"/>
      <c r="BQY47" s="595"/>
      <c r="BQZ47" s="595"/>
      <c r="BRA47" s="595"/>
      <c r="BRB47" s="595"/>
      <c r="BRC47" s="595"/>
      <c r="BRD47" s="595"/>
      <c r="BRE47" s="595"/>
      <c r="BRF47" s="595"/>
      <c r="BRG47" s="595"/>
      <c r="BRH47" s="595"/>
      <c r="BRI47" s="595"/>
      <c r="BRJ47" s="595"/>
      <c r="BRK47" s="595"/>
      <c r="BRL47" s="595"/>
      <c r="BRM47" s="595"/>
      <c r="BRN47" s="595"/>
      <c r="BRO47" s="595"/>
      <c r="BRP47" s="595"/>
      <c r="BRQ47" s="595"/>
      <c r="BRR47" s="595"/>
      <c r="BRS47" s="595"/>
      <c r="BRT47" s="595"/>
      <c r="BRU47" s="595"/>
      <c r="BRV47" s="595"/>
      <c r="BRW47" s="595"/>
      <c r="BRX47" s="595"/>
      <c r="BRY47" s="595"/>
      <c r="BRZ47" s="595"/>
      <c r="BSA47" s="595"/>
      <c r="BSB47" s="595"/>
      <c r="BSC47" s="595"/>
      <c r="BSD47" s="595"/>
      <c r="BSE47" s="595"/>
      <c r="BSF47" s="595"/>
      <c r="BSG47" s="595"/>
      <c r="BSH47" s="595"/>
      <c r="BSI47" s="595"/>
      <c r="BSJ47" s="595"/>
      <c r="BSK47" s="595"/>
      <c r="BSL47" s="595"/>
      <c r="BSM47" s="595"/>
      <c r="BSN47" s="595"/>
      <c r="BSO47" s="595"/>
      <c r="BSP47" s="595"/>
      <c r="BSQ47" s="595"/>
      <c r="BSR47" s="595"/>
      <c r="BSS47" s="595"/>
      <c r="BST47" s="595"/>
      <c r="BSU47" s="595"/>
      <c r="BSV47" s="595"/>
      <c r="BSW47" s="595"/>
      <c r="BSX47" s="595"/>
      <c r="BSY47" s="595"/>
      <c r="BSZ47" s="595"/>
      <c r="BTA47" s="595"/>
      <c r="BTB47" s="595"/>
      <c r="BTC47" s="595"/>
      <c r="BTD47" s="595"/>
      <c r="BTE47" s="595"/>
      <c r="BTF47" s="595"/>
      <c r="BTG47" s="595"/>
      <c r="BTH47" s="595"/>
      <c r="BTI47" s="595"/>
      <c r="BTJ47" s="595"/>
      <c r="BTK47" s="595"/>
      <c r="BTL47" s="595"/>
      <c r="BTM47" s="595"/>
      <c r="BTN47" s="595"/>
      <c r="BTO47" s="595"/>
      <c r="BTP47" s="595"/>
      <c r="BTQ47" s="595"/>
      <c r="BTR47" s="595"/>
      <c r="BTS47" s="595"/>
      <c r="BTT47" s="595"/>
      <c r="BTU47" s="595"/>
      <c r="BTV47" s="595"/>
      <c r="BTW47" s="595"/>
      <c r="BTX47" s="595"/>
      <c r="BTY47" s="595"/>
      <c r="BTZ47" s="595"/>
      <c r="BUA47" s="595"/>
      <c r="BUB47" s="595"/>
      <c r="BUC47" s="595"/>
      <c r="BUD47" s="595"/>
      <c r="BUE47" s="595"/>
      <c r="BUF47" s="595"/>
      <c r="BUG47" s="595"/>
      <c r="BUH47" s="595"/>
      <c r="BUI47" s="595"/>
      <c r="BUJ47" s="595"/>
      <c r="BUK47" s="595"/>
      <c r="BUL47" s="595"/>
      <c r="BUM47" s="595"/>
      <c r="BUN47" s="595"/>
      <c r="BUO47" s="595"/>
      <c r="BUP47" s="595"/>
      <c r="BUQ47" s="595"/>
      <c r="BUR47" s="595"/>
      <c r="BUS47" s="595"/>
      <c r="BUT47" s="595"/>
      <c r="BUU47" s="595"/>
      <c r="BUV47" s="595"/>
      <c r="BUW47" s="595"/>
      <c r="BUX47" s="595"/>
      <c r="BUY47" s="595"/>
      <c r="BUZ47" s="595"/>
      <c r="BVA47" s="595"/>
      <c r="BVB47" s="595"/>
      <c r="BVC47" s="595"/>
      <c r="BVD47" s="595"/>
      <c r="BVE47" s="595"/>
      <c r="BVF47" s="595"/>
      <c r="BVG47" s="595"/>
      <c r="BVH47" s="595"/>
      <c r="BVI47" s="595"/>
      <c r="BVJ47" s="595"/>
      <c r="BVK47" s="595"/>
      <c r="BVL47" s="595"/>
      <c r="BVM47" s="595"/>
      <c r="BVN47" s="595"/>
      <c r="BVO47" s="595"/>
      <c r="BVP47" s="595"/>
      <c r="BVQ47" s="595"/>
      <c r="BVR47" s="595"/>
      <c r="BVS47" s="595"/>
      <c r="BVT47" s="595"/>
      <c r="BVU47" s="595"/>
      <c r="BVV47" s="595"/>
      <c r="BVW47" s="595"/>
      <c r="BVX47" s="595"/>
      <c r="BVY47" s="595"/>
      <c r="BVZ47" s="595"/>
      <c r="BWA47" s="595"/>
      <c r="BWB47" s="595"/>
      <c r="BWC47" s="595"/>
      <c r="BWD47" s="595"/>
      <c r="BWE47" s="595"/>
      <c r="BWF47" s="595"/>
      <c r="BWG47" s="595"/>
      <c r="BWH47" s="595"/>
      <c r="BWI47" s="595"/>
      <c r="BWJ47" s="595"/>
      <c r="BWK47" s="595"/>
      <c r="BWL47" s="595"/>
      <c r="BWM47" s="595"/>
      <c r="BWN47" s="595"/>
      <c r="BWO47" s="595"/>
      <c r="BWP47" s="595"/>
      <c r="BWQ47" s="595"/>
      <c r="BWR47" s="595"/>
      <c r="BWS47" s="595"/>
      <c r="BWT47" s="595"/>
      <c r="BWU47" s="595"/>
      <c r="BWV47" s="595"/>
      <c r="BWW47" s="595"/>
      <c r="BWX47" s="595"/>
      <c r="BWY47" s="595"/>
      <c r="BWZ47" s="595"/>
      <c r="BXA47" s="595"/>
      <c r="BXB47" s="595"/>
      <c r="BXC47" s="595"/>
      <c r="BXD47" s="595"/>
      <c r="BXE47" s="595"/>
      <c r="BXF47" s="595"/>
      <c r="BXG47" s="595"/>
      <c r="BXH47" s="595"/>
      <c r="BXI47" s="595"/>
      <c r="BXJ47" s="595"/>
      <c r="BXK47" s="595"/>
      <c r="BXL47" s="595"/>
      <c r="BXM47" s="595"/>
      <c r="BXN47" s="595"/>
      <c r="BXO47" s="595"/>
      <c r="BXP47" s="595"/>
      <c r="BXQ47" s="595"/>
      <c r="BXR47" s="595"/>
      <c r="BXS47" s="595"/>
      <c r="BXT47" s="595"/>
      <c r="BXU47" s="595"/>
      <c r="BXV47" s="595"/>
      <c r="BXW47" s="595"/>
      <c r="BXX47" s="595"/>
      <c r="BXY47" s="595"/>
      <c r="BXZ47" s="595"/>
      <c r="BYA47" s="595"/>
      <c r="BYB47" s="595"/>
      <c r="BYC47" s="595"/>
      <c r="BYD47" s="595"/>
      <c r="BYE47" s="595"/>
      <c r="BYF47" s="595"/>
      <c r="BYG47" s="595"/>
      <c r="BYH47" s="595"/>
      <c r="BYI47" s="595"/>
      <c r="BYJ47" s="595"/>
      <c r="BYK47" s="595"/>
      <c r="BYL47" s="595"/>
      <c r="BYM47" s="595"/>
      <c r="BYN47" s="595"/>
      <c r="BYO47" s="595"/>
      <c r="BYP47" s="595"/>
      <c r="BYQ47" s="595"/>
      <c r="BYR47" s="595"/>
      <c r="BYS47" s="595"/>
      <c r="BYT47" s="595"/>
      <c r="BYU47" s="595"/>
      <c r="BYV47" s="595"/>
      <c r="BYW47" s="595"/>
      <c r="BYX47" s="595"/>
      <c r="BYY47" s="595"/>
      <c r="BYZ47" s="595"/>
      <c r="BZA47" s="595"/>
      <c r="BZB47" s="595"/>
      <c r="BZC47" s="595"/>
      <c r="BZD47" s="595"/>
      <c r="BZE47" s="595"/>
      <c r="BZF47" s="595"/>
      <c r="BZG47" s="595"/>
      <c r="BZH47" s="595"/>
      <c r="BZI47" s="595"/>
      <c r="BZJ47" s="595"/>
      <c r="BZK47" s="595"/>
      <c r="BZL47" s="595"/>
      <c r="BZM47" s="595"/>
      <c r="BZN47" s="595"/>
      <c r="BZO47" s="595"/>
      <c r="BZP47" s="595"/>
      <c r="BZQ47" s="595"/>
      <c r="BZR47" s="595"/>
      <c r="BZS47" s="595"/>
      <c r="BZT47" s="595"/>
      <c r="BZU47" s="595"/>
      <c r="BZV47" s="595"/>
      <c r="BZW47" s="595"/>
      <c r="BZX47" s="595"/>
      <c r="BZY47" s="595"/>
      <c r="BZZ47" s="595"/>
      <c r="CAA47" s="595"/>
      <c r="CAB47" s="595"/>
      <c r="CAC47" s="595"/>
      <c r="CAD47" s="595"/>
      <c r="CAE47" s="595"/>
      <c r="CAF47" s="595"/>
      <c r="CAG47" s="595"/>
      <c r="CAH47" s="595"/>
      <c r="CAI47" s="595"/>
      <c r="CAJ47" s="595"/>
      <c r="CAK47" s="595"/>
      <c r="CAL47" s="595"/>
      <c r="CAM47" s="595"/>
      <c r="CAN47" s="595"/>
      <c r="CAO47" s="595"/>
      <c r="CAP47" s="595"/>
      <c r="CAQ47" s="595"/>
      <c r="CAR47" s="595"/>
      <c r="CAS47" s="595"/>
      <c r="CAT47" s="595"/>
      <c r="CAU47" s="595"/>
      <c r="CAV47" s="595"/>
      <c r="CAW47" s="595"/>
      <c r="CAX47" s="595"/>
      <c r="CAY47" s="595"/>
      <c r="CAZ47" s="595"/>
      <c r="CBA47" s="595"/>
      <c r="CBB47" s="595"/>
      <c r="CBC47" s="595"/>
      <c r="CBD47" s="595"/>
      <c r="CBE47" s="595"/>
      <c r="CBF47" s="595"/>
      <c r="CBG47" s="595"/>
      <c r="CBH47" s="595"/>
      <c r="CBI47" s="595"/>
      <c r="CBJ47" s="595"/>
      <c r="CBK47" s="595"/>
      <c r="CBL47" s="595"/>
      <c r="CBM47" s="595"/>
      <c r="CBN47" s="595"/>
      <c r="CBO47" s="595"/>
      <c r="CBP47" s="595"/>
      <c r="CBQ47" s="595"/>
      <c r="CBR47" s="595"/>
      <c r="CBS47" s="595"/>
      <c r="CBT47" s="595"/>
      <c r="CBU47" s="595"/>
      <c r="CBV47" s="595"/>
      <c r="CBW47" s="595"/>
      <c r="CBX47" s="595"/>
      <c r="CBY47" s="595"/>
      <c r="CBZ47" s="595"/>
      <c r="CCA47" s="595"/>
      <c r="CCB47" s="595"/>
      <c r="CCC47" s="595"/>
      <c r="CCD47" s="595"/>
      <c r="CCE47" s="595"/>
      <c r="CCF47" s="595"/>
      <c r="CCG47" s="595"/>
      <c r="CCH47" s="595"/>
      <c r="CCI47" s="595"/>
      <c r="CCJ47" s="595"/>
      <c r="CCK47" s="595"/>
      <c r="CCL47" s="595"/>
      <c r="CCM47" s="595"/>
      <c r="CCN47" s="595"/>
      <c r="CCO47" s="595"/>
      <c r="CCP47" s="595"/>
      <c r="CCQ47" s="595"/>
      <c r="CCR47" s="595"/>
      <c r="CCS47" s="595"/>
      <c r="CCT47" s="595"/>
      <c r="CCU47" s="595"/>
      <c r="CCV47" s="595"/>
      <c r="CCW47" s="595"/>
      <c r="CCX47" s="595"/>
      <c r="CCY47" s="595"/>
      <c r="CCZ47" s="595"/>
      <c r="CDA47" s="595"/>
      <c r="CDB47" s="595"/>
      <c r="CDC47" s="595"/>
      <c r="CDD47" s="595"/>
      <c r="CDE47" s="595"/>
      <c r="CDF47" s="595"/>
      <c r="CDG47" s="595"/>
      <c r="CDH47" s="595"/>
      <c r="CDI47" s="595"/>
      <c r="CDJ47" s="595"/>
      <c r="CDK47" s="595"/>
      <c r="CDL47" s="595"/>
      <c r="CDM47" s="595"/>
      <c r="CDN47" s="595"/>
      <c r="CDO47" s="595"/>
      <c r="CDP47" s="595"/>
      <c r="CDQ47" s="595"/>
      <c r="CDR47" s="595"/>
      <c r="CDS47" s="595"/>
      <c r="CDT47" s="595"/>
      <c r="CDU47" s="595"/>
      <c r="CDV47" s="595"/>
      <c r="CDW47" s="595"/>
      <c r="CDX47" s="595"/>
      <c r="CDY47" s="595"/>
      <c r="CDZ47" s="595"/>
      <c r="CEA47" s="595"/>
      <c r="CEB47" s="595"/>
      <c r="CEC47" s="595"/>
      <c r="CED47" s="595"/>
      <c r="CEE47" s="595"/>
      <c r="CEF47" s="595"/>
      <c r="CEG47" s="595"/>
      <c r="CEH47" s="595"/>
      <c r="CEI47" s="595"/>
      <c r="CEJ47" s="595"/>
      <c r="CEK47" s="595"/>
      <c r="CEL47" s="595"/>
      <c r="CEM47" s="595"/>
      <c r="CEN47" s="595"/>
      <c r="CEO47" s="595"/>
      <c r="CEP47" s="595"/>
      <c r="CEQ47" s="595"/>
      <c r="CER47" s="595"/>
      <c r="CES47" s="595"/>
      <c r="CET47" s="595"/>
      <c r="CEU47" s="595"/>
      <c r="CEV47" s="595"/>
      <c r="CEW47" s="595"/>
      <c r="CEX47" s="595"/>
      <c r="CEY47" s="595"/>
      <c r="CEZ47" s="595"/>
      <c r="CFA47" s="595"/>
      <c r="CFB47" s="595"/>
      <c r="CFC47" s="595"/>
      <c r="CFD47" s="595"/>
      <c r="CFE47" s="595"/>
      <c r="CFF47" s="595"/>
      <c r="CFG47" s="595"/>
      <c r="CFH47" s="595"/>
      <c r="CFI47" s="595"/>
      <c r="CFJ47" s="595"/>
      <c r="CFK47" s="595"/>
      <c r="CFL47" s="595"/>
      <c r="CFM47" s="595"/>
      <c r="CFN47" s="595"/>
      <c r="CFO47" s="595"/>
      <c r="CFP47" s="595"/>
      <c r="CFQ47" s="595"/>
      <c r="CFR47" s="595"/>
      <c r="CFS47" s="595"/>
      <c r="CFT47" s="595"/>
      <c r="CFU47" s="595"/>
      <c r="CFV47" s="595"/>
      <c r="CFW47" s="595"/>
      <c r="CFX47" s="595"/>
      <c r="CFY47" s="595"/>
      <c r="CFZ47" s="595"/>
      <c r="CGA47" s="595"/>
      <c r="CGB47" s="595"/>
      <c r="CGC47" s="595"/>
      <c r="CGD47" s="595"/>
      <c r="CGE47" s="595"/>
      <c r="CGF47" s="595"/>
      <c r="CGG47" s="595"/>
      <c r="CGH47" s="595"/>
      <c r="CGI47" s="595"/>
      <c r="CGJ47" s="595"/>
      <c r="CGK47" s="595"/>
      <c r="CGL47" s="595"/>
      <c r="CGM47" s="595"/>
      <c r="CGN47" s="595"/>
      <c r="CGO47" s="595"/>
      <c r="CGP47" s="595"/>
      <c r="CGQ47" s="595"/>
      <c r="CGR47" s="595"/>
      <c r="CGS47" s="595"/>
      <c r="CGT47" s="595"/>
      <c r="CGU47" s="595"/>
      <c r="CGV47" s="595"/>
      <c r="CGW47" s="595"/>
      <c r="CGX47" s="595"/>
      <c r="CGY47" s="595"/>
      <c r="CGZ47" s="595"/>
      <c r="CHA47" s="595"/>
      <c r="CHB47" s="595"/>
      <c r="CHC47" s="595"/>
      <c r="CHD47" s="595"/>
      <c r="CHE47" s="595"/>
      <c r="CHF47" s="595"/>
      <c r="CHG47" s="595"/>
      <c r="CHH47" s="595"/>
      <c r="CHI47" s="595"/>
      <c r="CHJ47" s="595"/>
      <c r="CHK47" s="595"/>
      <c r="CHL47" s="595"/>
      <c r="CHM47" s="595"/>
      <c r="CHN47" s="595"/>
      <c r="CHO47" s="595"/>
      <c r="CHP47" s="595"/>
      <c r="CHQ47" s="595"/>
      <c r="CHR47" s="595"/>
      <c r="CHS47" s="595"/>
      <c r="CHT47" s="595"/>
      <c r="CHU47" s="595"/>
      <c r="CHV47" s="595"/>
      <c r="CHW47" s="595"/>
      <c r="CHX47" s="595"/>
      <c r="CHY47" s="595"/>
      <c r="CHZ47" s="595"/>
      <c r="CIA47" s="595"/>
      <c r="CIB47" s="595"/>
      <c r="CIC47" s="595"/>
      <c r="CID47" s="595"/>
      <c r="CIE47" s="595"/>
      <c r="CIF47" s="595"/>
      <c r="CIG47" s="595"/>
      <c r="CIH47" s="595"/>
      <c r="CII47" s="595"/>
      <c r="CIJ47" s="595"/>
      <c r="CIK47" s="595"/>
      <c r="CIL47" s="595"/>
      <c r="CIM47" s="595"/>
      <c r="CIN47" s="595"/>
      <c r="CIO47" s="595"/>
      <c r="CIP47" s="595"/>
      <c r="CIQ47" s="595"/>
      <c r="CIR47" s="595"/>
      <c r="CIS47" s="595"/>
      <c r="CIT47" s="595"/>
      <c r="CIU47" s="595"/>
      <c r="CIV47" s="595"/>
      <c r="CIW47" s="595"/>
      <c r="CIX47" s="595"/>
      <c r="CIY47" s="595"/>
      <c r="CIZ47" s="595"/>
      <c r="CJA47" s="595"/>
      <c r="CJB47" s="595"/>
      <c r="CJC47" s="595"/>
      <c r="CJD47" s="595"/>
      <c r="CJE47" s="595"/>
      <c r="CJF47" s="595"/>
      <c r="CJG47" s="595"/>
      <c r="CJH47" s="595"/>
      <c r="CJI47" s="595"/>
      <c r="CJJ47" s="595"/>
      <c r="CJK47" s="595"/>
      <c r="CJL47" s="595"/>
      <c r="CJM47" s="595"/>
      <c r="CJN47" s="595"/>
      <c r="CJO47" s="595"/>
      <c r="CJP47" s="595"/>
      <c r="CJQ47" s="595"/>
      <c r="CJR47" s="595"/>
      <c r="CJS47" s="595"/>
      <c r="CJT47" s="595"/>
      <c r="CJU47" s="595"/>
      <c r="CJV47" s="595"/>
      <c r="CJW47" s="595"/>
      <c r="CJX47" s="595"/>
      <c r="CJY47" s="595"/>
      <c r="CJZ47" s="595"/>
      <c r="CKA47" s="595"/>
      <c r="CKB47" s="595"/>
      <c r="CKC47" s="595"/>
      <c r="CKD47" s="595"/>
      <c r="CKE47" s="595"/>
      <c r="CKF47" s="595"/>
      <c r="CKG47" s="595"/>
      <c r="CKH47" s="595"/>
      <c r="CKI47" s="595"/>
      <c r="CKJ47" s="595"/>
      <c r="CKK47" s="595"/>
      <c r="CKL47" s="595"/>
      <c r="CKM47" s="595"/>
      <c r="CKN47" s="595"/>
      <c r="CKO47" s="595"/>
      <c r="CKP47" s="595"/>
      <c r="CKQ47" s="595"/>
      <c r="CKR47" s="595"/>
      <c r="CKS47" s="595"/>
      <c r="CKT47" s="595"/>
      <c r="CKU47" s="595"/>
      <c r="CKV47" s="595"/>
      <c r="CKW47" s="595"/>
      <c r="CKX47" s="595"/>
      <c r="CKY47" s="595"/>
      <c r="CKZ47" s="595"/>
      <c r="CLA47" s="595"/>
      <c r="CLB47" s="595"/>
      <c r="CLC47" s="595"/>
      <c r="CLD47" s="595"/>
      <c r="CLE47" s="595"/>
      <c r="CLF47" s="595"/>
      <c r="CLG47" s="595"/>
      <c r="CLH47" s="595"/>
      <c r="CLI47" s="595"/>
      <c r="CLJ47" s="595"/>
      <c r="CLK47" s="595"/>
      <c r="CLL47" s="595"/>
      <c r="CLM47" s="595"/>
      <c r="CLN47" s="595"/>
      <c r="CLO47" s="595"/>
      <c r="CLP47" s="595"/>
      <c r="CLQ47" s="595"/>
      <c r="CLR47" s="595"/>
      <c r="CLS47" s="595"/>
      <c r="CLT47" s="595"/>
      <c r="CLU47" s="595"/>
      <c r="CLV47" s="595"/>
      <c r="CLW47" s="595"/>
      <c r="CLX47" s="595"/>
      <c r="CLY47" s="595"/>
      <c r="CLZ47" s="595"/>
      <c r="CMA47" s="595"/>
      <c r="CMB47" s="595"/>
      <c r="CMC47" s="595"/>
      <c r="CMD47" s="595"/>
      <c r="CME47" s="595"/>
      <c r="CMF47" s="595"/>
      <c r="CMG47" s="595"/>
      <c r="CMH47" s="595"/>
      <c r="CMI47" s="595"/>
      <c r="CMJ47" s="595"/>
      <c r="CMK47" s="595"/>
      <c r="CML47" s="595"/>
      <c r="CMM47" s="595"/>
      <c r="CMN47" s="595"/>
      <c r="CMO47" s="595"/>
      <c r="CMP47" s="595"/>
      <c r="CMQ47" s="595"/>
      <c r="CMR47" s="595"/>
      <c r="CMS47" s="595"/>
      <c r="CMT47" s="595"/>
      <c r="CMU47" s="595"/>
      <c r="CMV47" s="595"/>
      <c r="CMW47" s="595"/>
      <c r="CMX47" s="595"/>
      <c r="CMY47" s="595"/>
      <c r="CMZ47" s="595"/>
      <c r="CNA47" s="595"/>
      <c r="CNB47" s="595"/>
      <c r="CNC47" s="595"/>
      <c r="CND47" s="595"/>
      <c r="CNE47" s="595"/>
      <c r="CNF47" s="595"/>
      <c r="CNG47" s="595"/>
      <c r="CNH47" s="595"/>
      <c r="CNI47" s="595"/>
      <c r="CNJ47" s="595"/>
      <c r="CNK47" s="595"/>
      <c r="CNL47" s="595"/>
      <c r="CNM47" s="595"/>
      <c r="CNN47" s="595"/>
      <c r="CNO47" s="595"/>
      <c r="CNP47" s="595"/>
      <c r="CNQ47" s="595"/>
      <c r="CNR47" s="595"/>
      <c r="CNS47" s="595"/>
      <c r="CNT47" s="595"/>
      <c r="CNU47" s="595"/>
      <c r="CNV47" s="595"/>
      <c r="CNW47" s="595"/>
      <c r="CNX47" s="595"/>
      <c r="CNY47" s="595"/>
      <c r="CNZ47" s="595"/>
      <c r="COA47" s="595"/>
      <c r="COB47" s="595"/>
      <c r="COC47" s="595"/>
      <c r="COD47" s="595"/>
      <c r="COE47" s="595"/>
      <c r="COF47" s="595"/>
      <c r="COG47" s="595"/>
      <c r="COH47" s="595"/>
      <c r="COI47" s="595"/>
      <c r="COJ47" s="595"/>
      <c r="COK47" s="595"/>
      <c r="COL47" s="595"/>
      <c r="COM47" s="595"/>
      <c r="CON47" s="595"/>
      <c r="COO47" s="595"/>
      <c r="COP47" s="595"/>
      <c r="COQ47" s="595"/>
      <c r="COR47" s="595"/>
      <c r="COS47" s="595"/>
      <c r="COT47" s="595"/>
      <c r="COU47" s="595"/>
      <c r="COV47" s="595"/>
      <c r="COW47" s="595"/>
      <c r="COX47" s="595"/>
      <c r="COY47" s="595"/>
      <c r="COZ47" s="595"/>
      <c r="CPA47" s="595"/>
      <c r="CPB47" s="595"/>
      <c r="CPC47" s="595"/>
      <c r="CPD47" s="595"/>
      <c r="CPE47" s="595"/>
      <c r="CPF47" s="595"/>
      <c r="CPG47" s="595"/>
      <c r="CPH47" s="595"/>
      <c r="CPI47" s="595"/>
      <c r="CPJ47" s="595"/>
      <c r="CPK47" s="595"/>
      <c r="CPL47" s="595"/>
      <c r="CPM47" s="595"/>
      <c r="CPN47" s="595"/>
      <c r="CPO47" s="595"/>
      <c r="CPP47" s="595"/>
      <c r="CPQ47" s="595"/>
      <c r="CPR47" s="595"/>
      <c r="CPS47" s="595"/>
      <c r="CPT47" s="595"/>
      <c r="CPU47" s="595"/>
      <c r="CPV47" s="595"/>
      <c r="CPW47" s="595"/>
      <c r="CPX47" s="595"/>
      <c r="CPY47" s="595"/>
      <c r="CPZ47" s="595"/>
      <c r="CQA47" s="595"/>
      <c r="CQB47" s="595"/>
      <c r="CQC47" s="595"/>
      <c r="CQD47" s="595"/>
      <c r="CQE47" s="595"/>
      <c r="CQF47" s="595"/>
      <c r="CQG47" s="595"/>
      <c r="CQH47" s="595"/>
      <c r="CQI47" s="595"/>
      <c r="CQJ47" s="595"/>
      <c r="CQK47" s="595"/>
      <c r="CQL47" s="595"/>
      <c r="CQM47" s="595"/>
      <c r="CQN47" s="595"/>
      <c r="CQO47" s="595"/>
      <c r="CQP47" s="595"/>
      <c r="CQQ47" s="595"/>
      <c r="CQR47" s="595"/>
      <c r="CQS47" s="595"/>
      <c r="CQT47" s="595"/>
      <c r="CQU47" s="595"/>
      <c r="CQV47" s="595"/>
      <c r="CQW47" s="595"/>
      <c r="CQX47" s="595"/>
      <c r="CQY47" s="595"/>
      <c r="CQZ47" s="595"/>
      <c r="CRA47" s="595"/>
      <c r="CRB47" s="595"/>
      <c r="CRC47" s="595"/>
      <c r="CRD47" s="595"/>
      <c r="CRE47" s="595"/>
      <c r="CRF47" s="595"/>
      <c r="CRG47" s="595"/>
      <c r="CRH47" s="595"/>
      <c r="CRI47" s="595"/>
      <c r="CRJ47" s="595"/>
      <c r="CRK47" s="595"/>
      <c r="CRL47" s="595"/>
      <c r="CRM47" s="595"/>
      <c r="CRN47" s="595"/>
      <c r="CRO47" s="595"/>
      <c r="CRP47" s="595"/>
      <c r="CRQ47" s="595"/>
      <c r="CRR47" s="595"/>
      <c r="CRS47" s="595"/>
      <c r="CRT47" s="595"/>
      <c r="CRU47" s="595"/>
      <c r="CRV47" s="595"/>
      <c r="CRW47" s="595"/>
      <c r="CRX47" s="595"/>
      <c r="CRY47" s="595"/>
      <c r="CRZ47" s="595"/>
      <c r="CSA47" s="595"/>
      <c r="CSB47" s="595"/>
      <c r="CSC47" s="595"/>
      <c r="CSD47" s="595"/>
      <c r="CSE47" s="595"/>
      <c r="CSF47" s="595"/>
      <c r="CSG47" s="595"/>
      <c r="CSH47" s="595"/>
      <c r="CSI47" s="595"/>
      <c r="CSJ47" s="595"/>
      <c r="CSK47" s="595"/>
      <c r="CSL47" s="595"/>
      <c r="CSM47" s="595"/>
      <c r="CSN47" s="595"/>
      <c r="CSO47" s="595"/>
      <c r="CSP47" s="595"/>
      <c r="CSQ47" s="595"/>
      <c r="CSR47" s="595"/>
      <c r="CSS47" s="595"/>
      <c r="CST47" s="595"/>
      <c r="CSU47" s="595"/>
      <c r="CSV47" s="595"/>
      <c r="CSW47" s="595"/>
      <c r="CSX47" s="595"/>
      <c r="CSY47" s="595"/>
      <c r="CSZ47" s="595"/>
      <c r="CTA47" s="595"/>
      <c r="CTB47" s="595"/>
      <c r="CTC47" s="595"/>
      <c r="CTD47" s="595"/>
      <c r="CTE47" s="595"/>
      <c r="CTF47" s="595"/>
      <c r="CTG47" s="595"/>
      <c r="CTH47" s="595"/>
      <c r="CTI47" s="595"/>
      <c r="CTJ47" s="595"/>
      <c r="CTK47" s="595"/>
      <c r="CTL47" s="595"/>
      <c r="CTM47" s="595"/>
      <c r="CTN47" s="595"/>
      <c r="CTO47" s="595"/>
      <c r="CTP47" s="595"/>
      <c r="CTQ47" s="595"/>
      <c r="CTR47" s="595"/>
      <c r="CTS47" s="595"/>
      <c r="CTT47" s="595"/>
      <c r="CTU47" s="595"/>
      <c r="CTV47" s="595"/>
      <c r="CTW47" s="595"/>
      <c r="CTX47" s="595"/>
      <c r="CTY47" s="595"/>
      <c r="CTZ47" s="595"/>
      <c r="CUA47" s="595"/>
      <c r="CUB47" s="595"/>
      <c r="CUC47" s="595"/>
      <c r="CUD47" s="595"/>
      <c r="CUE47" s="595"/>
      <c r="CUF47" s="595"/>
      <c r="CUG47" s="595"/>
      <c r="CUH47" s="595"/>
      <c r="CUI47" s="595"/>
      <c r="CUJ47" s="595"/>
      <c r="CUK47" s="595"/>
      <c r="CUL47" s="595"/>
      <c r="CUM47" s="595"/>
      <c r="CUN47" s="595"/>
      <c r="CUO47" s="595"/>
      <c r="CUP47" s="595"/>
      <c r="CUQ47" s="595"/>
      <c r="CUR47" s="595"/>
      <c r="CUS47" s="595"/>
      <c r="CUT47" s="595"/>
      <c r="CUU47" s="595"/>
      <c r="CUV47" s="595"/>
      <c r="CUW47" s="595"/>
      <c r="CUX47" s="595"/>
      <c r="CUY47" s="595"/>
      <c r="CUZ47" s="595"/>
      <c r="CVA47" s="595"/>
      <c r="CVB47" s="595"/>
      <c r="CVC47" s="595"/>
      <c r="CVD47" s="595"/>
      <c r="CVE47" s="595"/>
      <c r="CVF47" s="595"/>
      <c r="CVG47" s="595"/>
      <c r="CVH47" s="595"/>
      <c r="CVI47" s="595"/>
      <c r="CVJ47" s="595"/>
      <c r="CVK47" s="595"/>
      <c r="CVL47" s="595"/>
      <c r="CVM47" s="595"/>
      <c r="CVN47" s="595"/>
      <c r="CVO47" s="595"/>
      <c r="CVP47" s="595"/>
      <c r="CVQ47" s="595"/>
      <c r="CVR47" s="595"/>
      <c r="CVS47" s="595"/>
      <c r="CVT47" s="595"/>
      <c r="CVU47" s="595"/>
      <c r="CVV47" s="595"/>
      <c r="CVW47" s="595"/>
      <c r="CVX47" s="595"/>
      <c r="CVY47" s="595"/>
      <c r="CVZ47" s="595"/>
      <c r="CWA47" s="595"/>
      <c r="CWB47" s="595"/>
      <c r="CWC47" s="595"/>
      <c r="CWD47" s="595"/>
      <c r="CWE47" s="595"/>
      <c r="CWF47" s="595"/>
      <c r="CWG47" s="595"/>
      <c r="CWH47" s="595"/>
      <c r="CWI47" s="595"/>
      <c r="CWJ47" s="595"/>
      <c r="CWK47" s="595"/>
      <c r="CWL47" s="595"/>
      <c r="CWM47" s="595"/>
      <c r="CWN47" s="595"/>
      <c r="CWO47" s="595"/>
      <c r="CWP47" s="595"/>
      <c r="CWQ47" s="595"/>
      <c r="CWR47" s="595"/>
      <c r="CWS47" s="595"/>
      <c r="CWT47" s="595"/>
      <c r="CWU47" s="595"/>
      <c r="CWV47" s="595"/>
      <c r="CWW47" s="595"/>
      <c r="CWX47" s="595"/>
      <c r="CWY47" s="595"/>
      <c r="CWZ47" s="595"/>
      <c r="CXA47" s="595"/>
      <c r="CXB47" s="595"/>
      <c r="CXC47" s="595"/>
      <c r="CXD47" s="595"/>
      <c r="CXE47" s="595"/>
      <c r="CXF47" s="595"/>
      <c r="CXG47" s="595"/>
      <c r="CXH47" s="595"/>
      <c r="CXI47" s="595"/>
      <c r="CXJ47" s="595"/>
      <c r="CXK47" s="595"/>
      <c r="CXL47" s="595"/>
      <c r="CXM47" s="595"/>
      <c r="CXN47" s="595"/>
      <c r="CXO47" s="595"/>
      <c r="CXP47" s="595"/>
      <c r="CXQ47" s="595"/>
      <c r="CXR47" s="595"/>
      <c r="CXS47" s="595"/>
      <c r="CXT47" s="595"/>
      <c r="CXU47" s="595"/>
      <c r="CXV47" s="595"/>
      <c r="CXW47" s="595"/>
      <c r="CXX47" s="595"/>
      <c r="CXY47" s="595"/>
      <c r="CXZ47" s="595"/>
      <c r="CYA47" s="595"/>
      <c r="CYB47" s="595"/>
      <c r="CYC47" s="595"/>
      <c r="CYD47" s="595"/>
      <c r="CYE47" s="595"/>
      <c r="CYF47" s="595"/>
      <c r="CYG47" s="595"/>
      <c r="CYH47" s="595"/>
      <c r="CYI47" s="595"/>
      <c r="CYJ47" s="595"/>
      <c r="CYK47" s="595"/>
      <c r="CYL47" s="595"/>
      <c r="CYM47" s="595"/>
      <c r="CYN47" s="595"/>
      <c r="CYO47" s="595"/>
      <c r="CYP47" s="595"/>
      <c r="CYQ47" s="595"/>
      <c r="CYR47" s="595"/>
      <c r="CYS47" s="595"/>
      <c r="CYT47" s="595"/>
      <c r="CYU47" s="595"/>
      <c r="CYV47" s="595"/>
      <c r="CYW47" s="595"/>
      <c r="CYX47" s="595"/>
      <c r="CYY47" s="595"/>
      <c r="CYZ47" s="595"/>
      <c r="CZA47" s="595"/>
      <c r="CZB47" s="595"/>
      <c r="CZC47" s="595"/>
      <c r="CZD47" s="595"/>
      <c r="CZE47" s="595"/>
      <c r="CZF47" s="595"/>
      <c r="CZG47" s="595"/>
      <c r="CZH47" s="595"/>
      <c r="CZI47" s="595"/>
      <c r="CZJ47" s="595"/>
      <c r="CZK47" s="595"/>
      <c r="CZL47" s="595"/>
      <c r="CZM47" s="595"/>
      <c r="CZN47" s="595"/>
      <c r="CZO47" s="595"/>
      <c r="CZP47" s="595"/>
      <c r="CZQ47" s="595"/>
      <c r="CZR47" s="595"/>
      <c r="CZS47" s="595"/>
      <c r="CZT47" s="595"/>
      <c r="CZU47" s="595"/>
      <c r="CZV47" s="595"/>
      <c r="CZW47" s="595"/>
      <c r="CZX47" s="595"/>
      <c r="CZY47" s="595"/>
      <c r="CZZ47" s="595"/>
      <c r="DAA47" s="595"/>
      <c r="DAB47" s="595"/>
      <c r="DAC47" s="595"/>
      <c r="DAD47" s="595"/>
      <c r="DAE47" s="595"/>
      <c r="DAF47" s="595"/>
      <c r="DAG47" s="595"/>
      <c r="DAH47" s="595"/>
      <c r="DAI47" s="595"/>
      <c r="DAJ47" s="595"/>
      <c r="DAK47" s="595"/>
      <c r="DAL47" s="595"/>
      <c r="DAM47" s="595"/>
      <c r="DAN47" s="595"/>
      <c r="DAO47" s="595"/>
      <c r="DAP47" s="595"/>
      <c r="DAQ47" s="595"/>
      <c r="DAR47" s="595"/>
      <c r="DAS47" s="595"/>
      <c r="DAT47" s="595"/>
      <c r="DAU47" s="595"/>
      <c r="DAV47" s="595"/>
      <c r="DAW47" s="595"/>
      <c r="DAX47" s="595"/>
      <c r="DAY47" s="595"/>
      <c r="DAZ47" s="595"/>
      <c r="DBA47" s="595"/>
      <c r="DBB47" s="595"/>
      <c r="DBC47" s="595"/>
      <c r="DBD47" s="595"/>
      <c r="DBE47" s="595"/>
      <c r="DBF47" s="595"/>
      <c r="DBG47" s="595"/>
      <c r="DBH47" s="595"/>
      <c r="DBI47" s="595"/>
      <c r="DBJ47" s="595"/>
      <c r="DBK47" s="595"/>
      <c r="DBL47" s="595"/>
      <c r="DBM47" s="595"/>
      <c r="DBN47" s="595"/>
      <c r="DBO47" s="595"/>
      <c r="DBP47" s="595"/>
      <c r="DBQ47" s="595"/>
      <c r="DBR47" s="595"/>
      <c r="DBS47" s="595"/>
      <c r="DBT47" s="595"/>
      <c r="DBU47" s="595"/>
      <c r="DBV47" s="595"/>
      <c r="DBW47" s="595"/>
      <c r="DBX47" s="595"/>
      <c r="DBY47" s="595"/>
      <c r="DBZ47" s="595"/>
      <c r="DCA47" s="595"/>
      <c r="DCB47" s="595"/>
      <c r="DCC47" s="595"/>
      <c r="DCD47" s="595"/>
      <c r="DCE47" s="595"/>
      <c r="DCF47" s="595"/>
      <c r="DCG47" s="595"/>
      <c r="DCH47" s="595"/>
      <c r="DCI47" s="595"/>
      <c r="DCJ47" s="595"/>
      <c r="DCK47" s="595"/>
      <c r="DCL47" s="595"/>
      <c r="DCM47" s="595"/>
      <c r="DCN47" s="595"/>
      <c r="DCO47" s="595"/>
      <c r="DCP47" s="595"/>
      <c r="DCQ47" s="595"/>
      <c r="DCR47" s="595"/>
      <c r="DCS47" s="595"/>
      <c r="DCT47" s="595"/>
      <c r="DCU47" s="595"/>
      <c r="DCV47" s="595"/>
      <c r="DCW47" s="595"/>
      <c r="DCX47" s="595"/>
      <c r="DCY47" s="595"/>
      <c r="DCZ47" s="595"/>
      <c r="DDA47" s="595"/>
      <c r="DDB47" s="595"/>
      <c r="DDC47" s="595"/>
      <c r="DDD47" s="595"/>
      <c r="DDE47" s="595"/>
      <c r="DDF47" s="595"/>
      <c r="DDG47" s="595"/>
      <c r="DDH47" s="595"/>
      <c r="DDI47" s="595"/>
      <c r="DDJ47" s="595"/>
      <c r="DDK47" s="595"/>
      <c r="DDL47" s="595"/>
      <c r="DDM47" s="595"/>
      <c r="DDN47" s="595"/>
      <c r="DDO47" s="595"/>
      <c r="DDP47" s="595"/>
      <c r="DDQ47" s="595"/>
      <c r="DDR47" s="595"/>
      <c r="DDS47" s="595"/>
      <c r="DDT47" s="595"/>
      <c r="DDU47" s="595"/>
      <c r="DDV47" s="595"/>
      <c r="DDW47" s="595"/>
      <c r="DDX47" s="595"/>
      <c r="DDY47" s="595"/>
      <c r="DDZ47" s="595"/>
      <c r="DEA47" s="595"/>
      <c r="DEB47" s="595"/>
      <c r="DEC47" s="595"/>
      <c r="DED47" s="595"/>
      <c r="DEE47" s="595"/>
      <c r="DEF47" s="595"/>
      <c r="DEG47" s="595"/>
      <c r="DEH47" s="595"/>
      <c r="DEI47" s="595"/>
      <c r="DEJ47" s="595"/>
      <c r="DEK47" s="595"/>
      <c r="DEL47" s="595"/>
      <c r="DEM47" s="595"/>
      <c r="DEN47" s="595"/>
      <c r="DEO47" s="595"/>
      <c r="DEP47" s="595"/>
      <c r="DEQ47" s="595"/>
      <c r="DER47" s="595"/>
      <c r="DES47" s="595"/>
      <c r="DET47" s="595"/>
      <c r="DEU47" s="595"/>
      <c r="DEV47" s="595"/>
      <c r="DEW47" s="595"/>
      <c r="DEX47" s="595"/>
      <c r="DEY47" s="595"/>
      <c r="DEZ47" s="595"/>
      <c r="DFA47" s="595"/>
      <c r="DFB47" s="595"/>
      <c r="DFC47" s="595"/>
      <c r="DFD47" s="595"/>
      <c r="DFE47" s="595"/>
      <c r="DFF47" s="595"/>
      <c r="DFG47" s="595"/>
      <c r="DFH47" s="595"/>
      <c r="DFI47" s="595"/>
      <c r="DFJ47" s="595"/>
      <c r="DFK47" s="595"/>
      <c r="DFL47" s="595"/>
      <c r="DFM47" s="595"/>
      <c r="DFN47" s="595"/>
      <c r="DFO47" s="595"/>
      <c r="DFP47" s="595"/>
      <c r="DFQ47" s="595"/>
      <c r="DFR47" s="595"/>
      <c r="DFS47" s="595"/>
      <c r="DFT47" s="595"/>
      <c r="DFU47" s="595"/>
      <c r="DFV47" s="595"/>
      <c r="DFW47" s="595"/>
      <c r="DFX47" s="595"/>
      <c r="DFY47" s="595"/>
      <c r="DFZ47" s="595"/>
      <c r="DGA47" s="595"/>
      <c r="DGB47" s="595"/>
      <c r="DGC47" s="595"/>
      <c r="DGD47" s="595"/>
      <c r="DGE47" s="595"/>
      <c r="DGF47" s="595"/>
      <c r="DGG47" s="595"/>
      <c r="DGH47" s="595"/>
      <c r="DGI47" s="595"/>
      <c r="DGJ47" s="595"/>
      <c r="DGK47" s="595"/>
      <c r="DGL47" s="595"/>
      <c r="DGM47" s="595"/>
      <c r="DGN47" s="595"/>
      <c r="DGO47" s="595"/>
      <c r="DGP47" s="595"/>
      <c r="DGQ47" s="595"/>
      <c r="DGR47" s="595"/>
      <c r="DGS47" s="595"/>
      <c r="DGT47" s="595"/>
      <c r="DGU47" s="595"/>
      <c r="DGV47" s="595"/>
      <c r="DGW47" s="595"/>
      <c r="DGX47" s="595"/>
      <c r="DGY47" s="595"/>
      <c r="DGZ47" s="595"/>
      <c r="DHA47" s="595"/>
      <c r="DHB47" s="595"/>
      <c r="DHC47" s="595"/>
      <c r="DHD47" s="595"/>
      <c r="DHE47" s="595"/>
      <c r="DHF47" s="595"/>
      <c r="DHG47" s="595"/>
      <c r="DHH47" s="595"/>
      <c r="DHI47" s="595"/>
      <c r="DHJ47" s="595"/>
      <c r="DHK47" s="595"/>
      <c r="DHL47" s="595"/>
      <c r="DHM47" s="595"/>
      <c r="DHN47" s="595"/>
      <c r="DHO47" s="595"/>
      <c r="DHP47" s="595"/>
      <c r="DHQ47" s="595"/>
      <c r="DHR47" s="595"/>
      <c r="DHS47" s="595"/>
      <c r="DHT47" s="595"/>
      <c r="DHU47" s="595"/>
      <c r="DHV47" s="595"/>
      <c r="DHW47" s="595"/>
      <c r="DHX47" s="595"/>
      <c r="DHY47" s="595"/>
      <c r="DHZ47" s="595"/>
      <c r="DIA47" s="595"/>
      <c r="DIB47" s="595"/>
      <c r="DIC47" s="595"/>
      <c r="DID47" s="595"/>
      <c r="DIE47" s="595"/>
      <c r="DIF47" s="595"/>
      <c r="DIG47" s="595"/>
      <c r="DIH47" s="595"/>
      <c r="DII47" s="595"/>
      <c r="DIJ47" s="595"/>
      <c r="DIK47" s="595"/>
      <c r="DIL47" s="595"/>
      <c r="DIM47" s="595"/>
      <c r="DIN47" s="595"/>
      <c r="DIO47" s="595"/>
      <c r="DIP47" s="595"/>
      <c r="DIQ47" s="595"/>
      <c r="DIR47" s="595"/>
      <c r="DIS47" s="595"/>
      <c r="DIT47" s="595"/>
      <c r="DIU47" s="595"/>
      <c r="DIV47" s="595"/>
      <c r="DIW47" s="595"/>
      <c r="DIX47" s="595"/>
      <c r="DIY47" s="595"/>
      <c r="DIZ47" s="595"/>
      <c r="DJA47" s="595"/>
      <c r="DJB47" s="595"/>
      <c r="DJC47" s="595"/>
      <c r="DJD47" s="595"/>
      <c r="DJE47" s="595"/>
      <c r="DJF47" s="595"/>
      <c r="DJG47" s="595"/>
      <c r="DJH47" s="595"/>
      <c r="DJI47" s="595"/>
      <c r="DJJ47" s="595"/>
      <c r="DJK47" s="595"/>
      <c r="DJL47" s="595"/>
      <c r="DJM47" s="595"/>
      <c r="DJN47" s="595"/>
      <c r="DJO47" s="595"/>
      <c r="DJP47" s="595"/>
      <c r="DJQ47" s="595"/>
      <c r="DJR47" s="595"/>
      <c r="DJS47" s="595"/>
      <c r="DJT47" s="595"/>
      <c r="DJU47" s="595"/>
      <c r="DJV47" s="595"/>
      <c r="DJW47" s="595"/>
      <c r="DJX47" s="595"/>
      <c r="DJY47" s="595"/>
      <c r="DJZ47" s="595"/>
      <c r="DKA47" s="595"/>
      <c r="DKB47" s="595"/>
      <c r="DKC47" s="595"/>
      <c r="DKD47" s="595"/>
      <c r="DKE47" s="595"/>
      <c r="DKF47" s="595"/>
      <c r="DKG47" s="595"/>
      <c r="DKH47" s="595"/>
      <c r="DKI47" s="595"/>
      <c r="DKJ47" s="595"/>
      <c r="DKK47" s="595"/>
      <c r="DKL47" s="595"/>
      <c r="DKM47" s="595"/>
      <c r="DKN47" s="595"/>
      <c r="DKO47" s="595"/>
      <c r="DKP47" s="595"/>
      <c r="DKQ47" s="595"/>
      <c r="DKR47" s="595"/>
      <c r="DKS47" s="595"/>
      <c r="DKT47" s="595"/>
      <c r="DKU47" s="595"/>
      <c r="DKV47" s="595"/>
      <c r="DKW47" s="595"/>
      <c r="DKX47" s="595"/>
      <c r="DKY47" s="595"/>
      <c r="DKZ47" s="595"/>
      <c r="DLA47" s="595"/>
      <c r="DLB47" s="595"/>
      <c r="DLC47" s="595"/>
      <c r="DLD47" s="595"/>
      <c r="DLE47" s="595"/>
      <c r="DLF47" s="595"/>
      <c r="DLG47" s="595"/>
      <c r="DLH47" s="595"/>
      <c r="DLI47" s="595"/>
      <c r="DLJ47" s="595"/>
      <c r="DLK47" s="595"/>
      <c r="DLL47" s="595"/>
      <c r="DLM47" s="595"/>
      <c r="DLN47" s="595"/>
      <c r="DLO47" s="595"/>
      <c r="DLP47" s="595"/>
      <c r="DLQ47" s="595"/>
      <c r="DLR47" s="595"/>
      <c r="DLS47" s="595"/>
      <c r="DLT47" s="595"/>
      <c r="DLU47" s="595"/>
      <c r="DLV47" s="595"/>
      <c r="DLW47" s="595"/>
      <c r="DLX47" s="595"/>
      <c r="DLY47" s="595"/>
      <c r="DLZ47" s="595"/>
      <c r="DMA47" s="595"/>
      <c r="DMB47" s="595"/>
      <c r="DMC47" s="595"/>
      <c r="DMD47" s="595"/>
      <c r="DME47" s="595"/>
      <c r="DMF47" s="595"/>
      <c r="DMG47" s="595"/>
      <c r="DMH47" s="595"/>
      <c r="DMI47" s="595"/>
      <c r="DMJ47" s="595"/>
      <c r="DMK47" s="595"/>
      <c r="DML47" s="595"/>
      <c r="DMM47" s="595"/>
      <c r="DMN47" s="595"/>
      <c r="DMO47" s="595"/>
      <c r="DMP47" s="595"/>
      <c r="DMQ47" s="595"/>
      <c r="DMR47" s="595"/>
      <c r="DMS47" s="595"/>
      <c r="DMT47" s="595"/>
      <c r="DMU47" s="595"/>
      <c r="DMV47" s="595"/>
      <c r="DMW47" s="595"/>
      <c r="DMX47" s="595"/>
      <c r="DMY47" s="595"/>
      <c r="DMZ47" s="595"/>
      <c r="DNA47" s="595"/>
      <c r="DNB47" s="595"/>
      <c r="DNC47" s="595"/>
      <c r="DND47" s="595"/>
      <c r="DNE47" s="595"/>
      <c r="DNF47" s="595"/>
      <c r="DNG47" s="595"/>
      <c r="DNH47" s="595"/>
      <c r="DNI47" s="595"/>
      <c r="DNJ47" s="595"/>
      <c r="DNK47" s="595"/>
      <c r="DNL47" s="595"/>
      <c r="DNM47" s="595"/>
      <c r="DNN47" s="595"/>
      <c r="DNO47" s="595"/>
      <c r="DNP47" s="595"/>
      <c r="DNQ47" s="595"/>
      <c r="DNR47" s="595"/>
      <c r="DNS47" s="595"/>
      <c r="DNT47" s="595"/>
      <c r="DNU47" s="595"/>
      <c r="DNV47" s="595"/>
      <c r="DNW47" s="595"/>
      <c r="DNX47" s="595"/>
      <c r="DNY47" s="595"/>
      <c r="DNZ47" s="595"/>
      <c r="DOA47" s="595"/>
      <c r="DOB47" s="595"/>
      <c r="DOC47" s="595"/>
      <c r="DOD47" s="595"/>
      <c r="DOE47" s="595"/>
      <c r="DOF47" s="595"/>
      <c r="DOG47" s="595"/>
      <c r="DOH47" s="595"/>
      <c r="DOI47" s="595"/>
      <c r="DOJ47" s="595"/>
      <c r="DOK47" s="595"/>
      <c r="DOL47" s="595"/>
      <c r="DOM47" s="595"/>
      <c r="DON47" s="595"/>
      <c r="DOO47" s="595"/>
      <c r="DOP47" s="595"/>
      <c r="DOQ47" s="595"/>
      <c r="DOR47" s="595"/>
      <c r="DOS47" s="595"/>
      <c r="DOT47" s="595"/>
      <c r="DOU47" s="595"/>
      <c r="DOV47" s="595"/>
      <c r="DOW47" s="595"/>
      <c r="DOX47" s="595"/>
      <c r="DOY47" s="595"/>
      <c r="DOZ47" s="595"/>
      <c r="DPA47" s="595"/>
      <c r="DPB47" s="595"/>
      <c r="DPC47" s="595"/>
      <c r="DPD47" s="595"/>
      <c r="DPE47" s="595"/>
      <c r="DPF47" s="595"/>
      <c r="DPG47" s="595"/>
      <c r="DPH47" s="595"/>
      <c r="DPI47" s="595"/>
      <c r="DPJ47" s="595"/>
      <c r="DPK47" s="595"/>
      <c r="DPL47" s="595"/>
      <c r="DPM47" s="595"/>
      <c r="DPN47" s="595"/>
      <c r="DPO47" s="595"/>
      <c r="DPP47" s="595"/>
      <c r="DPQ47" s="595"/>
      <c r="DPR47" s="595"/>
      <c r="DPS47" s="595"/>
      <c r="DPT47" s="595"/>
      <c r="DPU47" s="595"/>
      <c r="DPV47" s="595"/>
      <c r="DPW47" s="595"/>
      <c r="DPX47" s="595"/>
      <c r="DPY47" s="595"/>
      <c r="DPZ47" s="595"/>
      <c r="DQA47" s="595"/>
      <c r="DQB47" s="595"/>
      <c r="DQC47" s="595"/>
      <c r="DQD47" s="595"/>
      <c r="DQE47" s="595"/>
      <c r="DQF47" s="595"/>
      <c r="DQG47" s="595"/>
      <c r="DQH47" s="595"/>
      <c r="DQI47" s="595"/>
      <c r="DQJ47" s="595"/>
      <c r="DQK47" s="595"/>
      <c r="DQL47" s="595"/>
      <c r="DQM47" s="595"/>
      <c r="DQN47" s="595"/>
      <c r="DQO47" s="595"/>
      <c r="DQP47" s="595"/>
      <c r="DQQ47" s="595"/>
      <c r="DQR47" s="595"/>
      <c r="DQS47" s="595"/>
      <c r="DQT47" s="595"/>
      <c r="DQU47" s="595"/>
      <c r="DQV47" s="595"/>
      <c r="DQW47" s="595"/>
      <c r="DQX47" s="595"/>
      <c r="DQY47" s="595"/>
      <c r="DQZ47" s="595"/>
      <c r="DRA47" s="595"/>
      <c r="DRB47" s="595"/>
      <c r="DRC47" s="595"/>
      <c r="DRD47" s="595"/>
      <c r="DRE47" s="595"/>
      <c r="DRF47" s="595"/>
      <c r="DRG47" s="595"/>
      <c r="DRH47" s="595"/>
      <c r="DRI47" s="595"/>
      <c r="DRJ47" s="595"/>
      <c r="DRK47" s="595"/>
      <c r="DRL47" s="595"/>
      <c r="DRM47" s="595"/>
      <c r="DRN47" s="595"/>
      <c r="DRO47" s="595"/>
      <c r="DRP47" s="595"/>
      <c r="DRQ47" s="595"/>
      <c r="DRR47" s="595"/>
      <c r="DRS47" s="595"/>
      <c r="DRT47" s="595"/>
      <c r="DRU47" s="595"/>
      <c r="DRV47" s="595"/>
      <c r="DRW47" s="595"/>
      <c r="DRX47" s="595"/>
      <c r="DRY47" s="595"/>
      <c r="DRZ47" s="595"/>
      <c r="DSA47" s="595"/>
      <c r="DSB47" s="595"/>
      <c r="DSC47" s="595"/>
      <c r="DSD47" s="595"/>
      <c r="DSE47" s="595"/>
      <c r="DSF47" s="595"/>
      <c r="DSG47" s="595"/>
      <c r="DSH47" s="595"/>
      <c r="DSI47" s="595"/>
      <c r="DSJ47" s="595"/>
      <c r="DSK47" s="595"/>
      <c r="DSL47" s="595"/>
      <c r="DSM47" s="595"/>
      <c r="DSN47" s="595"/>
      <c r="DSO47" s="595"/>
      <c r="DSP47" s="595"/>
      <c r="DSQ47" s="595"/>
      <c r="DSR47" s="595"/>
      <c r="DSS47" s="595"/>
      <c r="DST47" s="595"/>
      <c r="DSU47" s="595"/>
      <c r="DSV47" s="595"/>
      <c r="DSW47" s="595"/>
      <c r="DSX47" s="595"/>
      <c r="DSY47" s="595"/>
      <c r="DSZ47" s="595"/>
      <c r="DTA47" s="595"/>
      <c r="DTB47" s="595"/>
      <c r="DTC47" s="595"/>
      <c r="DTD47" s="595"/>
      <c r="DTE47" s="595"/>
      <c r="DTF47" s="595"/>
      <c r="DTG47" s="595"/>
      <c r="DTH47" s="595"/>
      <c r="DTI47" s="595"/>
      <c r="DTJ47" s="595"/>
      <c r="DTK47" s="595"/>
      <c r="DTL47" s="595"/>
      <c r="DTM47" s="595"/>
      <c r="DTN47" s="595"/>
      <c r="DTO47" s="595"/>
      <c r="DTP47" s="595"/>
      <c r="DTQ47" s="595"/>
      <c r="DTR47" s="595"/>
      <c r="DTS47" s="595"/>
      <c r="DTT47" s="595"/>
      <c r="DTU47" s="595"/>
      <c r="DTV47" s="595"/>
      <c r="DTW47" s="595"/>
      <c r="DTX47" s="595"/>
      <c r="DTY47" s="595"/>
      <c r="DTZ47" s="595"/>
      <c r="DUA47" s="595"/>
      <c r="DUB47" s="595"/>
      <c r="DUC47" s="595"/>
      <c r="DUD47" s="595"/>
      <c r="DUE47" s="595"/>
      <c r="DUF47" s="595"/>
      <c r="DUG47" s="595"/>
      <c r="DUH47" s="595"/>
      <c r="DUI47" s="595"/>
      <c r="DUJ47" s="595"/>
      <c r="DUK47" s="595"/>
      <c r="DUL47" s="595"/>
      <c r="DUM47" s="595"/>
      <c r="DUN47" s="595"/>
      <c r="DUO47" s="595"/>
      <c r="DUP47" s="595"/>
      <c r="DUQ47" s="595"/>
      <c r="DUR47" s="595"/>
      <c r="DUS47" s="595"/>
      <c r="DUT47" s="595"/>
      <c r="DUU47" s="595"/>
      <c r="DUV47" s="595"/>
      <c r="DUW47" s="595"/>
      <c r="DUX47" s="595"/>
      <c r="DUY47" s="595"/>
      <c r="DUZ47" s="595"/>
      <c r="DVA47" s="595"/>
      <c r="DVB47" s="595"/>
      <c r="DVC47" s="595"/>
      <c r="DVD47" s="595"/>
      <c r="DVE47" s="595"/>
      <c r="DVF47" s="595"/>
      <c r="DVG47" s="595"/>
      <c r="DVH47" s="595"/>
      <c r="DVI47" s="595"/>
      <c r="DVJ47" s="595"/>
      <c r="DVK47" s="595"/>
      <c r="DVL47" s="595"/>
      <c r="DVM47" s="595"/>
      <c r="DVN47" s="595"/>
      <c r="DVO47" s="595"/>
      <c r="DVP47" s="595"/>
      <c r="DVQ47" s="595"/>
      <c r="DVR47" s="595"/>
      <c r="DVS47" s="595"/>
      <c r="DVT47" s="595"/>
      <c r="DVU47" s="595"/>
      <c r="DVV47" s="595"/>
      <c r="DVW47" s="595"/>
      <c r="DVX47" s="595"/>
      <c r="DVY47" s="595"/>
      <c r="DVZ47" s="595"/>
      <c r="DWA47" s="595"/>
      <c r="DWB47" s="595"/>
      <c r="DWC47" s="595"/>
      <c r="DWD47" s="595"/>
      <c r="DWE47" s="595"/>
      <c r="DWF47" s="595"/>
      <c r="DWG47" s="595"/>
      <c r="DWH47" s="595"/>
      <c r="DWI47" s="595"/>
      <c r="DWJ47" s="595"/>
      <c r="DWK47" s="595"/>
      <c r="DWL47" s="595"/>
      <c r="DWM47" s="595"/>
      <c r="DWN47" s="595"/>
      <c r="DWO47" s="595"/>
      <c r="DWP47" s="595"/>
      <c r="DWQ47" s="595"/>
      <c r="DWR47" s="595"/>
      <c r="DWS47" s="595"/>
      <c r="DWT47" s="595"/>
      <c r="DWU47" s="595"/>
      <c r="DWV47" s="595"/>
      <c r="DWW47" s="595"/>
      <c r="DWX47" s="595"/>
      <c r="DWY47" s="595"/>
      <c r="DWZ47" s="595"/>
      <c r="DXA47" s="595"/>
      <c r="DXB47" s="595"/>
      <c r="DXC47" s="595"/>
      <c r="DXD47" s="595"/>
      <c r="DXE47" s="595"/>
      <c r="DXF47" s="595"/>
      <c r="DXG47" s="595"/>
      <c r="DXH47" s="595"/>
      <c r="DXI47" s="595"/>
      <c r="DXJ47" s="595"/>
      <c r="DXK47" s="595"/>
      <c r="DXL47" s="595"/>
      <c r="DXM47" s="595"/>
      <c r="DXN47" s="595"/>
      <c r="DXO47" s="595"/>
      <c r="DXP47" s="595"/>
      <c r="DXQ47" s="595"/>
      <c r="DXR47" s="595"/>
      <c r="DXS47" s="595"/>
      <c r="DXT47" s="595"/>
      <c r="DXU47" s="595"/>
      <c r="DXV47" s="595"/>
      <c r="DXW47" s="595"/>
      <c r="DXX47" s="595"/>
      <c r="DXY47" s="595"/>
      <c r="DXZ47" s="595"/>
      <c r="DYA47" s="595"/>
      <c r="DYB47" s="595"/>
      <c r="DYC47" s="595"/>
      <c r="DYD47" s="595"/>
      <c r="DYE47" s="595"/>
      <c r="DYF47" s="595"/>
      <c r="DYG47" s="595"/>
      <c r="DYH47" s="595"/>
      <c r="DYI47" s="595"/>
      <c r="DYJ47" s="595"/>
      <c r="DYK47" s="595"/>
      <c r="DYL47" s="595"/>
      <c r="DYM47" s="595"/>
      <c r="DYN47" s="595"/>
      <c r="DYO47" s="595"/>
      <c r="DYP47" s="595"/>
      <c r="DYQ47" s="595"/>
      <c r="DYR47" s="595"/>
      <c r="DYS47" s="595"/>
      <c r="DYT47" s="595"/>
      <c r="DYU47" s="595"/>
      <c r="DYV47" s="595"/>
      <c r="DYW47" s="595"/>
      <c r="DYX47" s="595"/>
      <c r="DYY47" s="595"/>
      <c r="DYZ47" s="595"/>
      <c r="DZA47" s="595"/>
      <c r="DZB47" s="595"/>
      <c r="DZC47" s="595"/>
      <c r="DZD47" s="595"/>
      <c r="DZE47" s="595"/>
      <c r="DZF47" s="595"/>
      <c r="DZG47" s="595"/>
      <c r="DZH47" s="595"/>
      <c r="DZI47" s="595"/>
      <c r="DZJ47" s="595"/>
      <c r="DZK47" s="595"/>
      <c r="DZL47" s="595"/>
      <c r="DZM47" s="595"/>
      <c r="DZN47" s="595"/>
      <c r="DZO47" s="595"/>
      <c r="DZP47" s="595"/>
      <c r="DZQ47" s="595"/>
      <c r="DZR47" s="595"/>
      <c r="DZS47" s="595"/>
      <c r="DZT47" s="595"/>
      <c r="DZU47" s="595"/>
      <c r="DZV47" s="595"/>
      <c r="DZW47" s="595"/>
      <c r="DZX47" s="595"/>
      <c r="DZY47" s="595"/>
      <c r="DZZ47" s="595"/>
      <c r="EAA47" s="595"/>
      <c r="EAB47" s="595"/>
      <c r="EAC47" s="595"/>
      <c r="EAD47" s="595"/>
      <c r="EAE47" s="595"/>
      <c r="EAF47" s="595"/>
      <c r="EAG47" s="595"/>
      <c r="EAH47" s="595"/>
      <c r="EAI47" s="595"/>
      <c r="EAJ47" s="595"/>
      <c r="EAK47" s="595"/>
      <c r="EAL47" s="595"/>
      <c r="EAM47" s="595"/>
      <c r="EAN47" s="595"/>
      <c r="EAO47" s="595"/>
      <c r="EAP47" s="595"/>
      <c r="EAQ47" s="595"/>
      <c r="EAR47" s="595"/>
      <c r="EAS47" s="595"/>
      <c r="EAT47" s="595"/>
      <c r="EAU47" s="595"/>
      <c r="EAV47" s="595"/>
      <c r="EAW47" s="595"/>
      <c r="EAX47" s="595"/>
      <c r="EAY47" s="595"/>
      <c r="EAZ47" s="595"/>
      <c r="EBA47" s="595"/>
      <c r="EBB47" s="595"/>
      <c r="EBC47" s="595"/>
      <c r="EBD47" s="595"/>
      <c r="EBE47" s="595"/>
      <c r="EBF47" s="595"/>
      <c r="EBG47" s="595"/>
      <c r="EBH47" s="595"/>
      <c r="EBI47" s="595"/>
      <c r="EBJ47" s="595"/>
      <c r="EBK47" s="595"/>
      <c r="EBL47" s="595"/>
      <c r="EBM47" s="595"/>
      <c r="EBN47" s="595"/>
      <c r="EBO47" s="595"/>
      <c r="EBP47" s="595"/>
      <c r="EBQ47" s="595"/>
      <c r="EBR47" s="595"/>
      <c r="EBS47" s="595"/>
      <c r="EBT47" s="595"/>
      <c r="EBU47" s="595"/>
      <c r="EBV47" s="595"/>
      <c r="EBW47" s="595"/>
      <c r="EBX47" s="595"/>
      <c r="EBY47" s="595"/>
      <c r="EBZ47" s="595"/>
      <c r="ECA47" s="595"/>
      <c r="ECB47" s="595"/>
      <c r="ECC47" s="595"/>
      <c r="ECD47" s="595"/>
      <c r="ECE47" s="595"/>
      <c r="ECF47" s="595"/>
      <c r="ECG47" s="595"/>
      <c r="ECH47" s="595"/>
      <c r="ECI47" s="595"/>
      <c r="ECJ47" s="595"/>
      <c r="ECK47" s="595"/>
      <c r="ECL47" s="595"/>
      <c r="ECM47" s="595"/>
      <c r="ECN47" s="595"/>
      <c r="ECO47" s="595"/>
      <c r="ECP47" s="595"/>
      <c r="ECQ47" s="595"/>
      <c r="ECR47" s="595"/>
      <c r="ECS47" s="595"/>
      <c r="ECT47" s="595"/>
      <c r="ECU47" s="595"/>
      <c r="ECV47" s="595"/>
      <c r="ECW47" s="595"/>
      <c r="ECX47" s="595"/>
      <c r="ECY47" s="595"/>
      <c r="ECZ47" s="595"/>
      <c r="EDA47" s="595"/>
      <c r="EDB47" s="595"/>
      <c r="EDC47" s="595"/>
      <c r="EDD47" s="595"/>
      <c r="EDE47" s="595"/>
      <c r="EDF47" s="595"/>
      <c r="EDG47" s="595"/>
      <c r="EDH47" s="595"/>
      <c r="EDI47" s="595"/>
      <c r="EDJ47" s="595"/>
      <c r="EDK47" s="595"/>
      <c r="EDL47" s="595"/>
      <c r="EDM47" s="595"/>
      <c r="EDN47" s="595"/>
      <c r="EDO47" s="595"/>
      <c r="EDP47" s="595"/>
      <c r="EDQ47" s="595"/>
      <c r="EDR47" s="595"/>
      <c r="EDS47" s="595"/>
      <c r="EDT47" s="595"/>
      <c r="EDU47" s="595"/>
      <c r="EDV47" s="595"/>
      <c r="EDW47" s="595"/>
      <c r="EDX47" s="595"/>
      <c r="EDY47" s="595"/>
      <c r="EDZ47" s="595"/>
      <c r="EEA47" s="595"/>
      <c r="EEB47" s="595"/>
      <c r="EEC47" s="595"/>
      <c r="EED47" s="595"/>
      <c r="EEE47" s="595"/>
      <c r="EEF47" s="595"/>
      <c r="EEG47" s="595"/>
      <c r="EEH47" s="595"/>
      <c r="EEI47" s="595"/>
      <c r="EEJ47" s="595"/>
      <c r="EEK47" s="595"/>
      <c r="EEL47" s="595"/>
      <c r="EEM47" s="595"/>
      <c r="EEN47" s="595"/>
      <c r="EEO47" s="595"/>
      <c r="EEP47" s="595"/>
      <c r="EEQ47" s="595"/>
      <c r="EER47" s="595"/>
      <c r="EES47" s="595"/>
      <c r="EET47" s="595"/>
      <c r="EEU47" s="595"/>
      <c r="EEV47" s="595"/>
      <c r="EEW47" s="595"/>
      <c r="EEX47" s="595"/>
      <c r="EEY47" s="595"/>
      <c r="EEZ47" s="595"/>
      <c r="EFA47" s="595"/>
      <c r="EFB47" s="595"/>
      <c r="EFC47" s="595"/>
      <c r="EFD47" s="595"/>
      <c r="EFE47" s="595"/>
      <c r="EFF47" s="595"/>
      <c r="EFG47" s="595"/>
      <c r="EFH47" s="595"/>
      <c r="EFI47" s="595"/>
      <c r="EFJ47" s="595"/>
      <c r="EFK47" s="595"/>
      <c r="EFL47" s="595"/>
      <c r="EFM47" s="595"/>
      <c r="EFN47" s="595"/>
      <c r="EFO47" s="595"/>
      <c r="EFP47" s="595"/>
      <c r="EFQ47" s="595"/>
      <c r="EFR47" s="595"/>
      <c r="EFS47" s="595"/>
      <c r="EFT47" s="595"/>
      <c r="EFU47" s="595"/>
      <c r="EFV47" s="595"/>
      <c r="EFW47" s="595"/>
      <c r="EFX47" s="595"/>
      <c r="EFY47" s="595"/>
      <c r="EFZ47" s="595"/>
      <c r="EGA47" s="595"/>
      <c r="EGB47" s="595"/>
      <c r="EGC47" s="595"/>
      <c r="EGD47" s="595"/>
      <c r="EGE47" s="595"/>
      <c r="EGF47" s="595"/>
      <c r="EGG47" s="595"/>
      <c r="EGH47" s="595"/>
      <c r="EGI47" s="595"/>
      <c r="EGJ47" s="595"/>
      <c r="EGK47" s="595"/>
      <c r="EGL47" s="595"/>
      <c r="EGM47" s="595"/>
      <c r="EGN47" s="595"/>
      <c r="EGO47" s="595"/>
      <c r="EGP47" s="595"/>
      <c r="EGQ47" s="595"/>
      <c r="EGR47" s="595"/>
      <c r="EGS47" s="595"/>
      <c r="EGT47" s="595"/>
      <c r="EGU47" s="595"/>
      <c r="EGV47" s="595"/>
      <c r="EGW47" s="595"/>
      <c r="EGX47" s="595"/>
      <c r="EGY47" s="595"/>
      <c r="EGZ47" s="595"/>
      <c r="EHA47" s="595"/>
      <c r="EHB47" s="595"/>
      <c r="EHC47" s="595"/>
      <c r="EHD47" s="595"/>
      <c r="EHE47" s="595"/>
      <c r="EHF47" s="595"/>
      <c r="EHG47" s="595"/>
      <c r="EHH47" s="595"/>
      <c r="EHI47" s="595"/>
      <c r="EHJ47" s="595"/>
      <c r="EHK47" s="595"/>
      <c r="EHL47" s="595"/>
      <c r="EHM47" s="595"/>
      <c r="EHN47" s="595"/>
      <c r="EHO47" s="595"/>
      <c r="EHP47" s="595"/>
      <c r="EHQ47" s="595"/>
      <c r="EHR47" s="595"/>
      <c r="EHS47" s="595"/>
      <c r="EHT47" s="595"/>
      <c r="EHU47" s="595"/>
      <c r="EHV47" s="595"/>
      <c r="EHW47" s="595"/>
      <c r="EHX47" s="595"/>
      <c r="EHY47" s="595"/>
      <c r="EHZ47" s="595"/>
      <c r="EIA47" s="595"/>
      <c r="EIB47" s="595"/>
      <c r="EIC47" s="595"/>
      <c r="EID47" s="595"/>
      <c r="EIE47" s="595"/>
      <c r="EIF47" s="595"/>
      <c r="EIG47" s="595"/>
      <c r="EIH47" s="595"/>
      <c r="EII47" s="595"/>
      <c r="EIJ47" s="595"/>
      <c r="EIK47" s="595"/>
      <c r="EIL47" s="595"/>
      <c r="EIM47" s="595"/>
      <c r="EIN47" s="595"/>
      <c r="EIO47" s="595"/>
      <c r="EIP47" s="595"/>
      <c r="EIQ47" s="595"/>
      <c r="EIR47" s="595"/>
      <c r="EIS47" s="595"/>
      <c r="EIT47" s="595"/>
      <c r="EIU47" s="595"/>
      <c r="EIV47" s="595"/>
      <c r="EIW47" s="595"/>
      <c r="EIX47" s="595"/>
      <c r="EIY47" s="595"/>
      <c r="EIZ47" s="595"/>
      <c r="EJA47" s="595"/>
      <c r="EJB47" s="595"/>
      <c r="EJC47" s="595"/>
      <c r="EJD47" s="595"/>
      <c r="EJE47" s="595"/>
      <c r="EJF47" s="595"/>
      <c r="EJG47" s="595"/>
      <c r="EJH47" s="595"/>
      <c r="EJI47" s="595"/>
      <c r="EJJ47" s="595"/>
      <c r="EJK47" s="595"/>
      <c r="EJL47" s="595"/>
      <c r="EJM47" s="595"/>
      <c r="EJN47" s="595"/>
      <c r="EJO47" s="595"/>
      <c r="EJP47" s="595"/>
      <c r="EJQ47" s="595"/>
      <c r="EJR47" s="595"/>
      <c r="EJS47" s="595"/>
      <c r="EJT47" s="595"/>
      <c r="EJU47" s="595"/>
      <c r="EJV47" s="595"/>
      <c r="EJW47" s="595"/>
      <c r="EJX47" s="595"/>
      <c r="EJY47" s="595"/>
      <c r="EJZ47" s="595"/>
      <c r="EKA47" s="595"/>
      <c r="EKB47" s="595"/>
      <c r="EKC47" s="595"/>
      <c r="EKD47" s="595"/>
      <c r="EKE47" s="595"/>
      <c r="EKF47" s="595"/>
      <c r="EKG47" s="595"/>
      <c r="EKH47" s="595"/>
      <c r="EKI47" s="595"/>
      <c r="EKJ47" s="595"/>
      <c r="EKK47" s="595"/>
      <c r="EKL47" s="595"/>
      <c r="EKM47" s="595"/>
      <c r="EKN47" s="595"/>
      <c r="EKO47" s="595"/>
      <c r="EKP47" s="595"/>
      <c r="EKQ47" s="595"/>
      <c r="EKR47" s="595"/>
      <c r="EKS47" s="595"/>
      <c r="EKT47" s="595"/>
      <c r="EKU47" s="595"/>
      <c r="EKV47" s="595"/>
      <c r="EKW47" s="595"/>
      <c r="EKX47" s="595"/>
      <c r="EKY47" s="595"/>
      <c r="EKZ47" s="595"/>
      <c r="ELA47" s="595"/>
      <c r="ELB47" s="595"/>
      <c r="ELC47" s="595"/>
      <c r="ELD47" s="595"/>
      <c r="ELE47" s="595"/>
      <c r="ELF47" s="595"/>
      <c r="ELG47" s="595"/>
      <c r="ELH47" s="595"/>
      <c r="ELI47" s="595"/>
      <c r="ELJ47" s="595"/>
      <c r="ELK47" s="595"/>
      <c r="ELL47" s="595"/>
      <c r="ELM47" s="595"/>
      <c r="ELN47" s="595"/>
      <c r="ELO47" s="595"/>
      <c r="ELP47" s="595"/>
      <c r="ELQ47" s="595"/>
      <c r="ELR47" s="595"/>
      <c r="ELS47" s="595"/>
      <c r="ELT47" s="595"/>
      <c r="ELU47" s="595"/>
      <c r="ELV47" s="595"/>
      <c r="ELW47" s="595"/>
      <c r="ELX47" s="595"/>
      <c r="ELY47" s="595"/>
      <c r="ELZ47" s="595"/>
      <c r="EMA47" s="595"/>
      <c r="EMB47" s="595"/>
      <c r="EMC47" s="595"/>
      <c r="EMD47" s="595"/>
      <c r="EME47" s="595"/>
      <c r="EMF47" s="595"/>
      <c r="EMG47" s="595"/>
      <c r="EMH47" s="595"/>
      <c r="EMI47" s="595"/>
      <c r="EMJ47" s="595"/>
      <c r="EMK47" s="595"/>
      <c r="EML47" s="595"/>
      <c r="EMM47" s="595"/>
      <c r="EMN47" s="595"/>
      <c r="EMO47" s="595"/>
      <c r="EMP47" s="595"/>
      <c r="EMQ47" s="595"/>
      <c r="EMR47" s="595"/>
      <c r="EMS47" s="595"/>
      <c r="EMT47" s="595"/>
      <c r="EMU47" s="595"/>
      <c r="EMV47" s="595"/>
      <c r="EMW47" s="595"/>
      <c r="EMX47" s="595"/>
      <c r="EMY47" s="595"/>
      <c r="EMZ47" s="595"/>
      <c r="ENA47" s="595"/>
      <c r="ENB47" s="595"/>
      <c r="ENC47" s="595"/>
      <c r="END47" s="595"/>
      <c r="ENE47" s="595"/>
      <c r="ENF47" s="595"/>
      <c r="ENG47" s="595"/>
      <c r="ENH47" s="595"/>
      <c r="ENI47" s="595"/>
      <c r="ENJ47" s="595"/>
      <c r="ENK47" s="595"/>
      <c r="ENL47" s="595"/>
      <c r="ENM47" s="595"/>
      <c r="ENN47" s="595"/>
      <c r="ENO47" s="595"/>
      <c r="ENP47" s="595"/>
      <c r="ENQ47" s="595"/>
      <c r="ENR47" s="595"/>
      <c r="ENS47" s="595"/>
      <c r="ENT47" s="595"/>
      <c r="ENU47" s="595"/>
      <c r="ENV47" s="595"/>
      <c r="ENW47" s="595"/>
      <c r="ENX47" s="595"/>
      <c r="ENY47" s="595"/>
      <c r="ENZ47" s="595"/>
      <c r="EOA47" s="595"/>
      <c r="EOB47" s="595"/>
      <c r="EOC47" s="595"/>
      <c r="EOD47" s="595"/>
      <c r="EOE47" s="595"/>
      <c r="EOF47" s="595"/>
      <c r="EOG47" s="595"/>
      <c r="EOH47" s="595"/>
      <c r="EOI47" s="595"/>
      <c r="EOJ47" s="595"/>
      <c r="EOK47" s="595"/>
      <c r="EOL47" s="595"/>
      <c r="EOM47" s="595"/>
      <c r="EON47" s="595"/>
      <c r="EOO47" s="595"/>
      <c r="EOP47" s="595"/>
      <c r="EOQ47" s="595"/>
      <c r="EOR47" s="595"/>
      <c r="EOS47" s="595"/>
      <c r="EOT47" s="595"/>
      <c r="EOU47" s="595"/>
      <c r="EOV47" s="595"/>
      <c r="EOW47" s="595"/>
      <c r="EOX47" s="595"/>
      <c r="EOY47" s="595"/>
      <c r="EOZ47" s="595"/>
      <c r="EPA47" s="595"/>
      <c r="EPB47" s="595"/>
      <c r="EPC47" s="595"/>
      <c r="EPD47" s="595"/>
      <c r="EPE47" s="595"/>
      <c r="EPF47" s="595"/>
      <c r="EPG47" s="595"/>
      <c r="EPH47" s="595"/>
      <c r="EPI47" s="595"/>
      <c r="EPJ47" s="595"/>
      <c r="EPK47" s="595"/>
      <c r="EPL47" s="595"/>
      <c r="EPM47" s="595"/>
      <c r="EPN47" s="595"/>
      <c r="EPO47" s="595"/>
      <c r="EPP47" s="595"/>
      <c r="EPQ47" s="595"/>
      <c r="EPR47" s="595"/>
      <c r="EPS47" s="595"/>
      <c r="EPT47" s="595"/>
      <c r="EPU47" s="595"/>
      <c r="EPV47" s="595"/>
      <c r="EPW47" s="595"/>
      <c r="EPX47" s="595"/>
      <c r="EPY47" s="595"/>
      <c r="EPZ47" s="595"/>
      <c r="EQA47" s="595"/>
      <c r="EQB47" s="595"/>
      <c r="EQC47" s="595"/>
      <c r="EQD47" s="595"/>
      <c r="EQE47" s="595"/>
      <c r="EQF47" s="595"/>
      <c r="EQG47" s="595"/>
      <c r="EQH47" s="595"/>
      <c r="EQI47" s="595"/>
      <c r="EQJ47" s="595"/>
      <c r="EQK47" s="595"/>
      <c r="EQL47" s="595"/>
      <c r="EQM47" s="595"/>
      <c r="EQN47" s="595"/>
      <c r="EQO47" s="595"/>
      <c r="EQP47" s="595"/>
      <c r="EQQ47" s="595"/>
      <c r="EQR47" s="595"/>
      <c r="EQS47" s="595"/>
      <c r="EQT47" s="595"/>
      <c r="EQU47" s="595"/>
      <c r="EQV47" s="595"/>
      <c r="EQW47" s="595"/>
      <c r="EQX47" s="595"/>
      <c r="EQY47" s="595"/>
      <c r="EQZ47" s="595"/>
      <c r="ERA47" s="595"/>
      <c r="ERB47" s="595"/>
      <c r="ERC47" s="595"/>
      <c r="ERD47" s="595"/>
      <c r="ERE47" s="595"/>
      <c r="ERF47" s="595"/>
      <c r="ERG47" s="595"/>
      <c r="ERH47" s="595"/>
      <c r="ERI47" s="595"/>
      <c r="ERJ47" s="595"/>
      <c r="ERK47" s="595"/>
      <c r="ERL47" s="595"/>
      <c r="ERM47" s="595"/>
      <c r="ERN47" s="595"/>
      <c r="ERO47" s="595"/>
      <c r="ERP47" s="595"/>
      <c r="ERQ47" s="595"/>
      <c r="ERR47" s="595"/>
      <c r="ERS47" s="595"/>
      <c r="ERT47" s="595"/>
      <c r="ERU47" s="595"/>
      <c r="ERV47" s="595"/>
      <c r="ERW47" s="595"/>
      <c r="ERX47" s="595"/>
      <c r="ERY47" s="595"/>
      <c r="ERZ47" s="595"/>
      <c r="ESA47" s="595"/>
      <c r="ESB47" s="595"/>
      <c r="ESC47" s="595"/>
      <c r="ESD47" s="595"/>
      <c r="ESE47" s="595"/>
      <c r="ESF47" s="595"/>
      <c r="ESG47" s="595"/>
      <c r="ESH47" s="595"/>
      <c r="ESI47" s="595"/>
      <c r="ESJ47" s="595"/>
      <c r="ESK47" s="595"/>
      <c r="ESL47" s="595"/>
      <c r="ESM47" s="595"/>
      <c r="ESN47" s="595"/>
      <c r="ESO47" s="595"/>
      <c r="ESP47" s="595"/>
      <c r="ESQ47" s="595"/>
      <c r="ESR47" s="595"/>
      <c r="ESS47" s="595"/>
      <c r="EST47" s="595"/>
      <c r="ESU47" s="595"/>
      <c r="ESV47" s="595"/>
      <c r="ESW47" s="595"/>
      <c r="ESX47" s="595"/>
      <c r="ESY47" s="595"/>
      <c r="ESZ47" s="595"/>
      <c r="ETA47" s="595"/>
      <c r="ETB47" s="595"/>
      <c r="ETC47" s="595"/>
      <c r="ETD47" s="595"/>
      <c r="ETE47" s="595"/>
      <c r="ETF47" s="595"/>
      <c r="ETG47" s="595"/>
      <c r="ETH47" s="595"/>
      <c r="ETI47" s="595"/>
      <c r="ETJ47" s="595"/>
      <c r="ETK47" s="595"/>
      <c r="ETL47" s="595"/>
      <c r="ETM47" s="595"/>
      <c r="ETN47" s="595"/>
      <c r="ETO47" s="595"/>
      <c r="ETP47" s="595"/>
      <c r="ETQ47" s="595"/>
      <c r="ETR47" s="595"/>
      <c r="ETS47" s="595"/>
      <c r="ETT47" s="595"/>
      <c r="ETU47" s="595"/>
      <c r="ETV47" s="595"/>
      <c r="ETW47" s="595"/>
      <c r="ETX47" s="595"/>
      <c r="ETY47" s="595"/>
      <c r="ETZ47" s="595"/>
      <c r="EUA47" s="595"/>
      <c r="EUB47" s="595"/>
      <c r="EUC47" s="595"/>
      <c r="EUD47" s="595"/>
      <c r="EUE47" s="595"/>
      <c r="EUF47" s="595"/>
      <c r="EUG47" s="595"/>
      <c r="EUH47" s="595"/>
      <c r="EUI47" s="595"/>
      <c r="EUJ47" s="595"/>
      <c r="EUK47" s="595"/>
      <c r="EUL47" s="595"/>
      <c r="EUM47" s="595"/>
      <c r="EUN47" s="595"/>
      <c r="EUO47" s="595"/>
      <c r="EUP47" s="595"/>
      <c r="EUQ47" s="595"/>
      <c r="EUR47" s="595"/>
      <c r="EUS47" s="595"/>
      <c r="EUT47" s="595"/>
      <c r="EUU47" s="595"/>
      <c r="EUV47" s="595"/>
      <c r="EUW47" s="595"/>
      <c r="EUX47" s="595"/>
      <c r="EUY47" s="595"/>
      <c r="EUZ47" s="595"/>
      <c r="EVA47" s="595"/>
      <c r="EVB47" s="595"/>
      <c r="EVC47" s="595"/>
      <c r="EVD47" s="595"/>
      <c r="EVE47" s="595"/>
      <c r="EVF47" s="595"/>
      <c r="EVG47" s="595"/>
      <c r="EVH47" s="595"/>
      <c r="EVI47" s="595"/>
      <c r="EVJ47" s="595"/>
      <c r="EVK47" s="595"/>
      <c r="EVL47" s="595"/>
      <c r="EVM47" s="595"/>
      <c r="EVN47" s="595"/>
      <c r="EVO47" s="595"/>
      <c r="EVP47" s="595"/>
      <c r="EVQ47" s="595"/>
      <c r="EVR47" s="595"/>
      <c r="EVS47" s="595"/>
      <c r="EVT47" s="595"/>
      <c r="EVU47" s="595"/>
      <c r="EVV47" s="595"/>
      <c r="EVW47" s="595"/>
      <c r="EVX47" s="595"/>
      <c r="EVY47" s="595"/>
      <c r="EVZ47" s="595"/>
      <c r="EWA47" s="595"/>
      <c r="EWB47" s="595"/>
      <c r="EWC47" s="595"/>
      <c r="EWD47" s="595"/>
      <c r="EWE47" s="595"/>
      <c r="EWF47" s="595"/>
      <c r="EWG47" s="595"/>
      <c r="EWH47" s="595"/>
      <c r="EWI47" s="595"/>
      <c r="EWJ47" s="595"/>
      <c r="EWK47" s="595"/>
      <c r="EWL47" s="595"/>
      <c r="EWM47" s="595"/>
      <c r="EWN47" s="595"/>
      <c r="EWO47" s="595"/>
      <c r="EWP47" s="595"/>
      <c r="EWQ47" s="595"/>
      <c r="EWR47" s="595"/>
      <c r="EWS47" s="595"/>
      <c r="EWT47" s="595"/>
      <c r="EWU47" s="595"/>
      <c r="EWV47" s="595"/>
      <c r="EWW47" s="595"/>
      <c r="EWX47" s="595"/>
      <c r="EWY47" s="595"/>
      <c r="EWZ47" s="595"/>
      <c r="EXA47" s="595"/>
      <c r="EXB47" s="595"/>
      <c r="EXC47" s="595"/>
      <c r="EXD47" s="595"/>
      <c r="EXE47" s="595"/>
      <c r="EXF47" s="595"/>
      <c r="EXG47" s="595"/>
      <c r="EXH47" s="595"/>
      <c r="EXI47" s="595"/>
      <c r="EXJ47" s="595"/>
      <c r="EXK47" s="595"/>
      <c r="EXL47" s="595"/>
      <c r="EXM47" s="595"/>
      <c r="EXN47" s="595"/>
      <c r="EXO47" s="595"/>
      <c r="EXP47" s="595"/>
      <c r="EXQ47" s="595"/>
      <c r="EXR47" s="595"/>
      <c r="EXS47" s="595"/>
      <c r="EXT47" s="595"/>
      <c r="EXU47" s="595"/>
      <c r="EXV47" s="595"/>
      <c r="EXW47" s="595"/>
      <c r="EXX47" s="595"/>
      <c r="EXY47" s="595"/>
      <c r="EXZ47" s="595"/>
      <c r="EYA47" s="595"/>
      <c r="EYB47" s="595"/>
      <c r="EYC47" s="595"/>
      <c r="EYD47" s="595"/>
      <c r="EYE47" s="595"/>
      <c r="EYF47" s="595"/>
      <c r="EYG47" s="595"/>
      <c r="EYH47" s="595"/>
      <c r="EYI47" s="595"/>
      <c r="EYJ47" s="595"/>
      <c r="EYK47" s="595"/>
      <c r="EYL47" s="595"/>
      <c r="EYM47" s="595"/>
      <c r="EYN47" s="595"/>
      <c r="EYO47" s="595"/>
      <c r="EYP47" s="595"/>
      <c r="EYQ47" s="595"/>
      <c r="EYR47" s="595"/>
      <c r="EYS47" s="595"/>
      <c r="EYT47" s="595"/>
      <c r="EYU47" s="595"/>
      <c r="EYV47" s="595"/>
      <c r="EYW47" s="595"/>
      <c r="EYX47" s="595"/>
      <c r="EYY47" s="595"/>
      <c r="EYZ47" s="595"/>
      <c r="EZA47" s="595"/>
      <c r="EZB47" s="595"/>
      <c r="EZC47" s="595"/>
      <c r="EZD47" s="595"/>
      <c r="EZE47" s="595"/>
      <c r="EZF47" s="595"/>
      <c r="EZG47" s="595"/>
      <c r="EZH47" s="595"/>
      <c r="EZI47" s="595"/>
      <c r="EZJ47" s="595"/>
      <c r="EZK47" s="595"/>
      <c r="EZL47" s="595"/>
      <c r="EZM47" s="595"/>
      <c r="EZN47" s="595"/>
      <c r="EZO47" s="595"/>
      <c r="EZP47" s="595"/>
      <c r="EZQ47" s="595"/>
      <c r="EZR47" s="595"/>
      <c r="EZS47" s="595"/>
      <c r="EZT47" s="595"/>
      <c r="EZU47" s="595"/>
      <c r="EZV47" s="595"/>
      <c r="EZW47" s="595"/>
      <c r="EZX47" s="595"/>
      <c r="EZY47" s="595"/>
      <c r="EZZ47" s="595"/>
      <c r="FAA47" s="595"/>
      <c r="FAB47" s="595"/>
      <c r="FAC47" s="595"/>
      <c r="FAD47" s="595"/>
      <c r="FAE47" s="595"/>
      <c r="FAF47" s="595"/>
      <c r="FAG47" s="595"/>
      <c r="FAH47" s="595"/>
      <c r="FAI47" s="595"/>
      <c r="FAJ47" s="595"/>
      <c r="FAK47" s="595"/>
      <c r="FAL47" s="595"/>
      <c r="FAM47" s="595"/>
      <c r="FAN47" s="595"/>
      <c r="FAO47" s="595"/>
      <c r="FAP47" s="595"/>
      <c r="FAQ47" s="595"/>
      <c r="FAR47" s="595"/>
      <c r="FAS47" s="595"/>
      <c r="FAT47" s="595"/>
      <c r="FAU47" s="595"/>
      <c r="FAV47" s="595"/>
      <c r="FAW47" s="595"/>
      <c r="FAX47" s="595"/>
      <c r="FAY47" s="595"/>
      <c r="FAZ47" s="595"/>
      <c r="FBA47" s="595"/>
      <c r="FBB47" s="595"/>
      <c r="FBC47" s="595"/>
      <c r="FBD47" s="595"/>
      <c r="FBE47" s="595"/>
      <c r="FBF47" s="595"/>
      <c r="FBG47" s="595"/>
      <c r="FBH47" s="595"/>
      <c r="FBI47" s="595"/>
      <c r="FBJ47" s="595"/>
      <c r="FBK47" s="595"/>
      <c r="FBL47" s="595"/>
      <c r="FBM47" s="595"/>
      <c r="FBN47" s="595"/>
      <c r="FBO47" s="595"/>
      <c r="FBP47" s="595"/>
      <c r="FBQ47" s="595"/>
      <c r="FBR47" s="595"/>
      <c r="FBS47" s="595"/>
      <c r="FBT47" s="595"/>
      <c r="FBU47" s="595"/>
      <c r="FBV47" s="595"/>
      <c r="FBW47" s="595"/>
      <c r="FBX47" s="595"/>
      <c r="FBY47" s="595"/>
      <c r="FBZ47" s="595"/>
      <c r="FCA47" s="595"/>
      <c r="FCB47" s="595"/>
      <c r="FCC47" s="595"/>
      <c r="FCD47" s="595"/>
      <c r="FCE47" s="595"/>
      <c r="FCF47" s="595"/>
      <c r="FCG47" s="595"/>
      <c r="FCH47" s="595"/>
      <c r="FCI47" s="595"/>
      <c r="FCJ47" s="595"/>
      <c r="FCK47" s="595"/>
      <c r="FCL47" s="595"/>
      <c r="FCM47" s="595"/>
      <c r="FCN47" s="595"/>
      <c r="FCO47" s="595"/>
      <c r="FCP47" s="595"/>
      <c r="FCQ47" s="595"/>
      <c r="FCR47" s="595"/>
      <c r="FCS47" s="595"/>
      <c r="FCT47" s="595"/>
      <c r="FCU47" s="595"/>
      <c r="FCV47" s="595"/>
      <c r="FCW47" s="595"/>
      <c r="FCX47" s="595"/>
      <c r="FCY47" s="595"/>
      <c r="FCZ47" s="595"/>
      <c r="FDA47" s="595"/>
      <c r="FDB47" s="595"/>
      <c r="FDC47" s="595"/>
      <c r="FDD47" s="595"/>
      <c r="FDE47" s="595"/>
      <c r="FDF47" s="595"/>
      <c r="FDG47" s="595"/>
      <c r="FDH47" s="595"/>
      <c r="FDI47" s="595"/>
      <c r="FDJ47" s="595"/>
      <c r="FDK47" s="595"/>
      <c r="FDL47" s="595"/>
      <c r="FDM47" s="595"/>
      <c r="FDN47" s="595"/>
      <c r="FDO47" s="595"/>
      <c r="FDP47" s="595"/>
      <c r="FDQ47" s="595"/>
      <c r="FDR47" s="595"/>
      <c r="FDS47" s="595"/>
      <c r="FDT47" s="595"/>
      <c r="FDU47" s="595"/>
      <c r="FDV47" s="595"/>
      <c r="FDW47" s="595"/>
      <c r="FDX47" s="595"/>
      <c r="FDY47" s="595"/>
      <c r="FDZ47" s="595"/>
      <c r="FEA47" s="595"/>
      <c r="FEB47" s="595"/>
      <c r="FEC47" s="595"/>
      <c r="FED47" s="595"/>
      <c r="FEE47" s="595"/>
      <c r="FEF47" s="595"/>
      <c r="FEG47" s="595"/>
      <c r="FEH47" s="595"/>
      <c r="FEI47" s="595"/>
      <c r="FEJ47" s="595"/>
      <c r="FEK47" s="595"/>
      <c r="FEL47" s="595"/>
      <c r="FEM47" s="595"/>
      <c r="FEN47" s="595"/>
      <c r="FEO47" s="595"/>
      <c r="FEP47" s="595"/>
      <c r="FEQ47" s="595"/>
      <c r="FER47" s="595"/>
      <c r="FES47" s="595"/>
      <c r="FET47" s="595"/>
      <c r="FEU47" s="595"/>
      <c r="FEV47" s="595"/>
      <c r="FEW47" s="595"/>
      <c r="FEX47" s="595"/>
      <c r="FEY47" s="595"/>
      <c r="FEZ47" s="595"/>
      <c r="FFA47" s="595"/>
      <c r="FFB47" s="595"/>
      <c r="FFC47" s="595"/>
      <c r="FFD47" s="595"/>
      <c r="FFE47" s="595"/>
      <c r="FFF47" s="595"/>
      <c r="FFG47" s="595"/>
      <c r="FFH47" s="595"/>
      <c r="FFI47" s="595"/>
      <c r="FFJ47" s="595"/>
      <c r="FFK47" s="595"/>
      <c r="FFL47" s="595"/>
      <c r="FFM47" s="595"/>
      <c r="FFN47" s="595"/>
      <c r="FFO47" s="595"/>
      <c r="FFP47" s="595"/>
      <c r="FFQ47" s="595"/>
      <c r="FFR47" s="595"/>
      <c r="FFS47" s="595"/>
      <c r="FFT47" s="595"/>
      <c r="FFU47" s="595"/>
      <c r="FFV47" s="595"/>
      <c r="FFW47" s="595"/>
      <c r="FFX47" s="595"/>
      <c r="FFY47" s="595"/>
      <c r="FFZ47" s="595"/>
      <c r="FGA47" s="595"/>
      <c r="FGB47" s="595"/>
      <c r="FGC47" s="595"/>
      <c r="FGD47" s="595"/>
      <c r="FGE47" s="595"/>
      <c r="FGF47" s="595"/>
      <c r="FGG47" s="595"/>
      <c r="FGH47" s="595"/>
      <c r="FGI47" s="595"/>
      <c r="FGJ47" s="595"/>
      <c r="FGK47" s="595"/>
      <c r="FGL47" s="595"/>
      <c r="FGM47" s="595"/>
      <c r="FGN47" s="595"/>
      <c r="FGO47" s="595"/>
      <c r="FGP47" s="595"/>
      <c r="FGQ47" s="595"/>
      <c r="FGR47" s="595"/>
      <c r="FGS47" s="595"/>
      <c r="FGT47" s="595"/>
      <c r="FGU47" s="595"/>
      <c r="FGV47" s="595"/>
      <c r="FGW47" s="595"/>
      <c r="FGX47" s="595"/>
      <c r="FGY47" s="595"/>
      <c r="FGZ47" s="595"/>
      <c r="FHA47" s="595"/>
      <c r="FHB47" s="595"/>
      <c r="FHC47" s="595"/>
      <c r="FHD47" s="595"/>
      <c r="FHE47" s="595"/>
      <c r="FHF47" s="595"/>
      <c r="FHG47" s="595"/>
      <c r="FHH47" s="595"/>
      <c r="FHI47" s="595"/>
      <c r="FHJ47" s="595"/>
      <c r="FHK47" s="595"/>
      <c r="FHL47" s="595"/>
      <c r="FHM47" s="595"/>
      <c r="FHN47" s="595"/>
      <c r="FHO47" s="595"/>
      <c r="FHP47" s="595"/>
      <c r="FHQ47" s="595"/>
      <c r="FHR47" s="595"/>
      <c r="FHS47" s="595"/>
      <c r="FHT47" s="595"/>
      <c r="FHU47" s="595"/>
      <c r="FHV47" s="595"/>
      <c r="FHW47" s="595"/>
      <c r="FHX47" s="595"/>
      <c r="FHY47" s="595"/>
      <c r="FHZ47" s="595"/>
      <c r="FIA47" s="595"/>
      <c r="FIB47" s="595"/>
      <c r="FIC47" s="595"/>
      <c r="FID47" s="595"/>
      <c r="FIE47" s="595"/>
      <c r="FIF47" s="595"/>
      <c r="FIG47" s="595"/>
      <c r="FIH47" s="595"/>
      <c r="FII47" s="595"/>
      <c r="FIJ47" s="595"/>
      <c r="FIK47" s="595"/>
      <c r="FIL47" s="595"/>
      <c r="FIM47" s="595"/>
      <c r="FIN47" s="595"/>
      <c r="FIO47" s="595"/>
      <c r="FIP47" s="595"/>
      <c r="FIQ47" s="595"/>
      <c r="FIR47" s="595"/>
      <c r="FIS47" s="595"/>
      <c r="FIT47" s="595"/>
      <c r="FIU47" s="595"/>
      <c r="FIV47" s="595"/>
      <c r="FIW47" s="595"/>
      <c r="FIX47" s="595"/>
      <c r="FIY47" s="595"/>
      <c r="FIZ47" s="595"/>
      <c r="FJA47" s="595"/>
      <c r="FJB47" s="595"/>
      <c r="FJC47" s="595"/>
      <c r="FJD47" s="595"/>
      <c r="FJE47" s="595"/>
      <c r="FJF47" s="595"/>
      <c r="FJG47" s="595"/>
      <c r="FJH47" s="595"/>
      <c r="FJI47" s="595"/>
      <c r="FJJ47" s="595"/>
      <c r="FJK47" s="595"/>
      <c r="FJL47" s="595"/>
      <c r="FJM47" s="595"/>
      <c r="FJN47" s="595"/>
      <c r="FJO47" s="595"/>
      <c r="FJP47" s="595"/>
      <c r="FJQ47" s="595"/>
      <c r="FJR47" s="595"/>
      <c r="FJS47" s="595"/>
      <c r="FJT47" s="595"/>
      <c r="FJU47" s="595"/>
      <c r="FJV47" s="595"/>
      <c r="FJW47" s="595"/>
      <c r="FJX47" s="595"/>
      <c r="FJY47" s="595"/>
      <c r="FJZ47" s="595"/>
      <c r="FKA47" s="595"/>
      <c r="FKB47" s="595"/>
      <c r="FKC47" s="595"/>
      <c r="FKD47" s="595"/>
      <c r="FKE47" s="595"/>
      <c r="FKF47" s="595"/>
      <c r="FKG47" s="595"/>
      <c r="FKH47" s="595"/>
      <c r="FKI47" s="595"/>
      <c r="FKJ47" s="595"/>
      <c r="FKK47" s="595"/>
      <c r="FKL47" s="595"/>
      <c r="FKM47" s="595"/>
      <c r="FKN47" s="595"/>
      <c r="FKO47" s="595"/>
      <c r="FKP47" s="595"/>
      <c r="FKQ47" s="595"/>
      <c r="FKR47" s="595"/>
      <c r="FKS47" s="595"/>
      <c r="FKT47" s="595"/>
      <c r="FKU47" s="595"/>
      <c r="FKV47" s="595"/>
      <c r="FKW47" s="595"/>
      <c r="FKX47" s="595"/>
      <c r="FKY47" s="595"/>
      <c r="FKZ47" s="595"/>
      <c r="FLA47" s="595"/>
      <c r="FLB47" s="595"/>
      <c r="FLC47" s="595"/>
      <c r="FLD47" s="595"/>
      <c r="FLE47" s="595"/>
      <c r="FLF47" s="595"/>
      <c r="FLG47" s="595"/>
      <c r="FLH47" s="595"/>
      <c r="FLI47" s="595"/>
      <c r="FLJ47" s="595"/>
      <c r="FLK47" s="595"/>
      <c r="FLL47" s="595"/>
      <c r="FLM47" s="595"/>
      <c r="FLN47" s="595"/>
      <c r="FLO47" s="595"/>
      <c r="FLP47" s="595"/>
      <c r="FLQ47" s="595"/>
      <c r="FLR47" s="595"/>
      <c r="FLS47" s="595"/>
      <c r="FLT47" s="595"/>
      <c r="FLU47" s="595"/>
      <c r="FLV47" s="595"/>
      <c r="FLW47" s="595"/>
      <c r="FLX47" s="595"/>
      <c r="FLY47" s="595"/>
      <c r="FLZ47" s="595"/>
      <c r="FMA47" s="595"/>
      <c r="FMB47" s="595"/>
      <c r="FMC47" s="595"/>
      <c r="FMD47" s="595"/>
      <c r="FME47" s="595"/>
      <c r="FMF47" s="595"/>
      <c r="FMG47" s="595"/>
      <c r="FMH47" s="595"/>
      <c r="FMI47" s="595"/>
      <c r="FMJ47" s="595"/>
      <c r="FMK47" s="595"/>
      <c r="FML47" s="595"/>
      <c r="FMM47" s="595"/>
      <c r="FMN47" s="595"/>
      <c r="FMO47" s="595"/>
      <c r="FMP47" s="595"/>
      <c r="FMQ47" s="595"/>
      <c r="FMR47" s="595"/>
      <c r="FMS47" s="595"/>
      <c r="FMT47" s="595"/>
      <c r="FMU47" s="595"/>
      <c r="FMV47" s="595"/>
      <c r="FMW47" s="595"/>
      <c r="FMX47" s="595"/>
      <c r="FMY47" s="595"/>
      <c r="FMZ47" s="595"/>
      <c r="FNA47" s="595"/>
      <c r="FNB47" s="595"/>
      <c r="FNC47" s="595"/>
      <c r="FND47" s="595"/>
      <c r="FNE47" s="595"/>
      <c r="FNF47" s="595"/>
      <c r="FNG47" s="595"/>
      <c r="FNH47" s="595"/>
      <c r="FNI47" s="595"/>
      <c r="FNJ47" s="595"/>
      <c r="FNK47" s="595"/>
      <c r="FNL47" s="595"/>
      <c r="FNM47" s="595"/>
      <c r="FNN47" s="595"/>
      <c r="FNO47" s="595"/>
      <c r="FNP47" s="595"/>
      <c r="FNQ47" s="595"/>
      <c r="FNR47" s="595"/>
      <c r="FNS47" s="595"/>
      <c r="FNT47" s="595"/>
      <c r="FNU47" s="595"/>
      <c r="FNV47" s="595"/>
      <c r="FNW47" s="595"/>
      <c r="FNX47" s="595"/>
      <c r="FNY47" s="595"/>
      <c r="FNZ47" s="595"/>
      <c r="FOA47" s="595"/>
      <c r="FOB47" s="595"/>
      <c r="FOC47" s="595"/>
      <c r="FOD47" s="595"/>
      <c r="FOE47" s="595"/>
      <c r="FOF47" s="595"/>
      <c r="FOG47" s="595"/>
      <c r="FOH47" s="595"/>
      <c r="FOI47" s="595"/>
      <c r="FOJ47" s="595"/>
      <c r="FOK47" s="595"/>
      <c r="FOL47" s="595"/>
      <c r="FOM47" s="595"/>
      <c r="FON47" s="595"/>
      <c r="FOO47" s="595"/>
      <c r="FOP47" s="595"/>
      <c r="FOQ47" s="595"/>
      <c r="FOR47" s="595"/>
      <c r="FOS47" s="595"/>
      <c r="FOT47" s="595"/>
      <c r="FOU47" s="595"/>
      <c r="FOV47" s="595"/>
      <c r="FOW47" s="595"/>
      <c r="FOX47" s="595"/>
      <c r="FOY47" s="595"/>
      <c r="FOZ47" s="595"/>
      <c r="FPA47" s="595"/>
      <c r="FPB47" s="595"/>
      <c r="FPC47" s="595"/>
      <c r="FPD47" s="595"/>
      <c r="FPE47" s="595"/>
      <c r="FPF47" s="595"/>
      <c r="FPG47" s="595"/>
      <c r="FPH47" s="595"/>
      <c r="FPI47" s="595"/>
      <c r="FPJ47" s="595"/>
      <c r="FPK47" s="595"/>
      <c r="FPL47" s="595"/>
      <c r="FPM47" s="595"/>
      <c r="FPN47" s="595"/>
      <c r="FPO47" s="595"/>
      <c r="FPP47" s="595"/>
      <c r="FPQ47" s="595"/>
      <c r="FPR47" s="595"/>
      <c r="FPS47" s="595"/>
      <c r="FPT47" s="595"/>
      <c r="FPU47" s="595"/>
      <c r="FPV47" s="595"/>
      <c r="FPW47" s="595"/>
      <c r="FPX47" s="595"/>
      <c r="FPY47" s="595"/>
      <c r="FPZ47" s="595"/>
      <c r="FQA47" s="595"/>
      <c r="FQB47" s="595"/>
      <c r="FQC47" s="595"/>
      <c r="FQD47" s="595"/>
      <c r="FQE47" s="595"/>
      <c r="FQF47" s="595"/>
      <c r="FQG47" s="595"/>
      <c r="FQH47" s="595"/>
      <c r="FQI47" s="595"/>
      <c r="FQJ47" s="595"/>
      <c r="FQK47" s="595"/>
      <c r="FQL47" s="595"/>
      <c r="FQM47" s="595"/>
      <c r="FQN47" s="595"/>
      <c r="FQO47" s="595"/>
      <c r="FQP47" s="595"/>
      <c r="FQQ47" s="595"/>
      <c r="FQR47" s="595"/>
      <c r="FQS47" s="595"/>
      <c r="FQT47" s="595"/>
      <c r="FQU47" s="595"/>
      <c r="FQV47" s="595"/>
      <c r="FQW47" s="595"/>
      <c r="FQX47" s="595"/>
      <c r="FQY47" s="595"/>
      <c r="FQZ47" s="595"/>
      <c r="FRA47" s="595"/>
      <c r="FRB47" s="595"/>
      <c r="FRC47" s="595"/>
      <c r="FRD47" s="595"/>
      <c r="FRE47" s="595"/>
      <c r="FRF47" s="595"/>
      <c r="FRG47" s="595"/>
      <c r="FRH47" s="595"/>
      <c r="FRI47" s="595"/>
      <c r="FRJ47" s="595"/>
      <c r="FRK47" s="595"/>
      <c r="FRL47" s="595"/>
      <c r="FRM47" s="595"/>
      <c r="FRN47" s="595"/>
      <c r="FRO47" s="595"/>
      <c r="FRP47" s="595"/>
      <c r="FRQ47" s="595"/>
      <c r="FRR47" s="595"/>
      <c r="FRS47" s="595"/>
      <c r="FRT47" s="595"/>
      <c r="FRU47" s="595"/>
      <c r="FRV47" s="595"/>
      <c r="FRW47" s="595"/>
      <c r="FRX47" s="595"/>
      <c r="FRY47" s="595"/>
      <c r="FRZ47" s="595"/>
      <c r="FSA47" s="595"/>
      <c r="FSB47" s="595"/>
      <c r="FSC47" s="595"/>
      <c r="FSD47" s="595"/>
      <c r="FSE47" s="595"/>
      <c r="FSF47" s="595"/>
      <c r="FSG47" s="595"/>
      <c r="FSH47" s="595"/>
      <c r="FSI47" s="595"/>
      <c r="FSJ47" s="595"/>
      <c r="FSK47" s="595"/>
      <c r="FSL47" s="595"/>
      <c r="FSM47" s="595"/>
      <c r="FSN47" s="595"/>
      <c r="FSO47" s="595"/>
      <c r="FSP47" s="595"/>
      <c r="FSQ47" s="595"/>
      <c r="FSR47" s="595"/>
      <c r="FSS47" s="595"/>
      <c r="FST47" s="595"/>
      <c r="FSU47" s="595"/>
      <c r="FSV47" s="595"/>
      <c r="FSW47" s="595"/>
      <c r="FSX47" s="595"/>
      <c r="FSY47" s="595"/>
      <c r="FSZ47" s="595"/>
      <c r="FTA47" s="595"/>
      <c r="FTB47" s="595"/>
      <c r="FTC47" s="595"/>
      <c r="FTD47" s="595"/>
      <c r="FTE47" s="595"/>
      <c r="FTF47" s="595"/>
      <c r="FTG47" s="595"/>
      <c r="FTH47" s="595"/>
      <c r="FTI47" s="595"/>
      <c r="FTJ47" s="595"/>
      <c r="FTK47" s="595"/>
      <c r="FTL47" s="595"/>
      <c r="FTM47" s="595"/>
      <c r="FTN47" s="595"/>
      <c r="FTO47" s="595"/>
      <c r="FTP47" s="595"/>
      <c r="FTQ47" s="595"/>
      <c r="FTR47" s="595"/>
      <c r="FTS47" s="595"/>
      <c r="FTT47" s="595"/>
      <c r="FTU47" s="595"/>
      <c r="FTV47" s="595"/>
      <c r="FTW47" s="595"/>
      <c r="FTX47" s="595"/>
      <c r="FTY47" s="595"/>
      <c r="FTZ47" s="595"/>
      <c r="FUA47" s="595"/>
      <c r="FUB47" s="595"/>
      <c r="FUC47" s="595"/>
      <c r="FUD47" s="595"/>
      <c r="FUE47" s="595"/>
      <c r="FUF47" s="595"/>
      <c r="FUG47" s="595"/>
      <c r="FUH47" s="595"/>
      <c r="FUI47" s="595"/>
      <c r="FUJ47" s="595"/>
      <c r="FUK47" s="595"/>
      <c r="FUL47" s="595"/>
      <c r="FUM47" s="595"/>
      <c r="FUN47" s="595"/>
      <c r="FUO47" s="595"/>
      <c r="FUP47" s="595"/>
      <c r="FUQ47" s="595"/>
      <c r="FUR47" s="595"/>
      <c r="FUS47" s="595"/>
      <c r="FUT47" s="595"/>
      <c r="FUU47" s="595"/>
      <c r="FUV47" s="595"/>
      <c r="FUW47" s="595"/>
      <c r="FUX47" s="595"/>
      <c r="FUY47" s="595"/>
      <c r="FUZ47" s="595"/>
      <c r="FVA47" s="595"/>
      <c r="FVB47" s="595"/>
      <c r="FVC47" s="595"/>
      <c r="FVD47" s="595"/>
      <c r="FVE47" s="595"/>
      <c r="FVF47" s="595"/>
      <c r="FVG47" s="595"/>
      <c r="FVH47" s="595"/>
      <c r="FVI47" s="595"/>
      <c r="FVJ47" s="595"/>
      <c r="FVK47" s="595"/>
      <c r="FVL47" s="595"/>
      <c r="FVM47" s="595"/>
      <c r="FVN47" s="595"/>
      <c r="FVO47" s="595"/>
      <c r="FVP47" s="595"/>
      <c r="FVQ47" s="595"/>
      <c r="FVR47" s="595"/>
      <c r="FVS47" s="595"/>
      <c r="FVT47" s="595"/>
      <c r="FVU47" s="595"/>
      <c r="FVV47" s="595"/>
      <c r="FVW47" s="595"/>
      <c r="FVX47" s="595"/>
      <c r="FVY47" s="595"/>
      <c r="FVZ47" s="595"/>
      <c r="FWA47" s="595"/>
      <c r="FWB47" s="595"/>
      <c r="FWC47" s="595"/>
      <c r="FWD47" s="595"/>
      <c r="FWE47" s="595"/>
      <c r="FWF47" s="595"/>
      <c r="FWG47" s="595"/>
      <c r="FWH47" s="595"/>
      <c r="FWI47" s="595"/>
      <c r="FWJ47" s="595"/>
      <c r="FWK47" s="595"/>
      <c r="FWL47" s="595"/>
      <c r="FWM47" s="595"/>
      <c r="FWN47" s="595"/>
      <c r="FWO47" s="595"/>
      <c r="FWP47" s="595"/>
      <c r="FWQ47" s="595"/>
      <c r="FWR47" s="595"/>
      <c r="FWS47" s="595"/>
      <c r="FWT47" s="595"/>
      <c r="FWU47" s="595"/>
      <c r="FWV47" s="595"/>
      <c r="FWW47" s="595"/>
      <c r="FWX47" s="595"/>
      <c r="FWY47" s="595"/>
      <c r="FWZ47" s="595"/>
      <c r="FXA47" s="595"/>
      <c r="FXB47" s="595"/>
      <c r="FXC47" s="595"/>
      <c r="FXD47" s="595"/>
      <c r="FXE47" s="595"/>
      <c r="FXF47" s="595"/>
      <c r="FXG47" s="595"/>
      <c r="FXH47" s="595"/>
      <c r="FXI47" s="595"/>
      <c r="FXJ47" s="595"/>
      <c r="FXK47" s="595"/>
      <c r="FXL47" s="595"/>
      <c r="FXM47" s="595"/>
      <c r="FXN47" s="595"/>
      <c r="FXO47" s="595"/>
      <c r="FXP47" s="595"/>
      <c r="FXQ47" s="595"/>
      <c r="FXR47" s="595"/>
      <c r="FXS47" s="595"/>
      <c r="FXT47" s="595"/>
      <c r="FXU47" s="595"/>
      <c r="FXV47" s="595"/>
      <c r="FXW47" s="595"/>
      <c r="FXX47" s="595"/>
      <c r="FXY47" s="595"/>
      <c r="FXZ47" s="595"/>
      <c r="FYA47" s="595"/>
      <c r="FYB47" s="595"/>
      <c r="FYC47" s="595"/>
      <c r="FYD47" s="595"/>
      <c r="FYE47" s="595"/>
      <c r="FYF47" s="595"/>
      <c r="FYG47" s="595"/>
      <c r="FYH47" s="595"/>
      <c r="FYI47" s="595"/>
      <c r="FYJ47" s="595"/>
      <c r="FYK47" s="595"/>
      <c r="FYL47" s="595"/>
      <c r="FYM47" s="595"/>
      <c r="FYN47" s="595"/>
      <c r="FYO47" s="595"/>
      <c r="FYP47" s="595"/>
      <c r="FYQ47" s="595"/>
      <c r="FYR47" s="595"/>
      <c r="FYS47" s="595"/>
      <c r="FYT47" s="595"/>
      <c r="FYU47" s="595"/>
      <c r="FYV47" s="595"/>
      <c r="FYW47" s="595"/>
      <c r="FYX47" s="595"/>
      <c r="FYY47" s="595"/>
      <c r="FYZ47" s="595"/>
      <c r="FZA47" s="595"/>
      <c r="FZB47" s="595"/>
      <c r="FZC47" s="595"/>
      <c r="FZD47" s="595"/>
      <c r="FZE47" s="595"/>
      <c r="FZF47" s="595"/>
      <c r="FZG47" s="595"/>
      <c r="FZH47" s="595"/>
      <c r="FZI47" s="595"/>
      <c r="FZJ47" s="595"/>
      <c r="FZK47" s="595"/>
      <c r="FZL47" s="595"/>
      <c r="FZM47" s="595"/>
      <c r="FZN47" s="595"/>
      <c r="FZO47" s="595"/>
      <c r="FZP47" s="595"/>
      <c r="FZQ47" s="595"/>
      <c r="FZR47" s="595"/>
      <c r="FZS47" s="595"/>
      <c r="FZT47" s="595"/>
      <c r="FZU47" s="595"/>
      <c r="FZV47" s="595"/>
      <c r="FZW47" s="595"/>
      <c r="FZX47" s="595"/>
      <c r="FZY47" s="595"/>
      <c r="FZZ47" s="595"/>
      <c r="GAA47" s="595"/>
      <c r="GAB47" s="595"/>
      <c r="GAC47" s="595"/>
      <c r="GAD47" s="595"/>
      <c r="GAE47" s="595"/>
      <c r="GAF47" s="595"/>
      <c r="GAG47" s="595"/>
      <c r="GAH47" s="595"/>
      <c r="GAI47" s="595"/>
      <c r="GAJ47" s="595"/>
      <c r="GAK47" s="595"/>
      <c r="GAL47" s="595"/>
      <c r="GAM47" s="595"/>
      <c r="GAN47" s="595"/>
      <c r="GAO47" s="595"/>
      <c r="GAP47" s="595"/>
      <c r="GAQ47" s="595"/>
      <c r="GAR47" s="595"/>
      <c r="GAS47" s="595"/>
      <c r="GAT47" s="595"/>
      <c r="GAU47" s="595"/>
      <c r="GAV47" s="595"/>
      <c r="GAW47" s="595"/>
      <c r="GAX47" s="595"/>
      <c r="GAY47" s="595"/>
      <c r="GAZ47" s="595"/>
      <c r="GBA47" s="595"/>
      <c r="GBB47" s="595"/>
      <c r="GBC47" s="595"/>
      <c r="GBD47" s="595"/>
      <c r="GBE47" s="595"/>
      <c r="GBF47" s="595"/>
      <c r="GBG47" s="595"/>
      <c r="GBH47" s="595"/>
      <c r="GBI47" s="595"/>
      <c r="GBJ47" s="595"/>
      <c r="GBK47" s="595"/>
      <c r="GBL47" s="595"/>
      <c r="GBM47" s="595"/>
      <c r="GBN47" s="595"/>
      <c r="GBO47" s="595"/>
      <c r="GBP47" s="595"/>
      <c r="GBQ47" s="595"/>
      <c r="GBR47" s="595"/>
      <c r="GBS47" s="595"/>
      <c r="GBT47" s="595"/>
      <c r="GBU47" s="595"/>
      <c r="GBV47" s="595"/>
      <c r="GBW47" s="595"/>
      <c r="GBX47" s="595"/>
      <c r="GBY47" s="595"/>
      <c r="GBZ47" s="595"/>
      <c r="GCA47" s="595"/>
      <c r="GCB47" s="595"/>
      <c r="GCC47" s="595"/>
      <c r="GCD47" s="595"/>
      <c r="GCE47" s="595"/>
      <c r="GCF47" s="595"/>
      <c r="GCG47" s="595"/>
      <c r="GCH47" s="595"/>
      <c r="GCI47" s="595"/>
      <c r="GCJ47" s="595"/>
      <c r="GCK47" s="595"/>
      <c r="GCL47" s="595"/>
      <c r="GCM47" s="595"/>
      <c r="GCN47" s="595"/>
      <c r="GCO47" s="595"/>
      <c r="GCP47" s="595"/>
      <c r="GCQ47" s="595"/>
      <c r="GCR47" s="595"/>
      <c r="GCS47" s="595"/>
      <c r="GCT47" s="595"/>
      <c r="GCU47" s="595"/>
      <c r="GCV47" s="595"/>
      <c r="GCW47" s="595"/>
      <c r="GCX47" s="595"/>
      <c r="GCY47" s="595"/>
      <c r="GCZ47" s="595"/>
      <c r="GDA47" s="595"/>
      <c r="GDB47" s="595"/>
      <c r="GDC47" s="595"/>
      <c r="GDD47" s="595"/>
      <c r="GDE47" s="595"/>
      <c r="GDF47" s="595"/>
      <c r="GDG47" s="595"/>
      <c r="GDH47" s="595"/>
      <c r="GDI47" s="595"/>
      <c r="GDJ47" s="595"/>
      <c r="GDK47" s="595"/>
      <c r="GDL47" s="595"/>
      <c r="GDM47" s="595"/>
      <c r="GDN47" s="595"/>
      <c r="GDO47" s="595"/>
      <c r="GDP47" s="595"/>
      <c r="GDQ47" s="595"/>
      <c r="GDR47" s="595"/>
      <c r="GDS47" s="595"/>
      <c r="GDT47" s="595"/>
      <c r="GDU47" s="595"/>
      <c r="GDV47" s="595"/>
      <c r="GDW47" s="595"/>
      <c r="GDX47" s="595"/>
      <c r="GDY47" s="595"/>
      <c r="GDZ47" s="595"/>
      <c r="GEA47" s="595"/>
      <c r="GEB47" s="595"/>
      <c r="GEC47" s="595"/>
      <c r="GED47" s="595"/>
      <c r="GEE47" s="595"/>
      <c r="GEF47" s="595"/>
      <c r="GEG47" s="595"/>
      <c r="GEH47" s="595"/>
      <c r="GEI47" s="595"/>
      <c r="GEJ47" s="595"/>
      <c r="GEK47" s="595"/>
      <c r="GEL47" s="595"/>
      <c r="GEM47" s="595"/>
      <c r="GEN47" s="595"/>
      <c r="GEO47" s="595"/>
      <c r="GEP47" s="595"/>
      <c r="GEQ47" s="595"/>
      <c r="GER47" s="595"/>
      <c r="GES47" s="595"/>
      <c r="GET47" s="595"/>
      <c r="GEU47" s="595"/>
      <c r="GEV47" s="595"/>
      <c r="GEW47" s="595"/>
      <c r="GEX47" s="595"/>
      <c r="GEY47" s="595"/>
      <c r="GEZ47" s="595"/>
      <c r="GFA47" s="595"/>
      <c r="GFB47" s="595"/>
      <c r="GFC47" s="595"/>
      <c r="GFD47" s="595"/>
      <c r="GFE47" s="595"/>
      <c r="GFF47" s="595"/>
      <c r="GFG47" s="595"/>
      <c r="GFH47" s="595"/>
      <c r="GFI47" s="595"/>
      <c r="GFJ47" s="595"/>
      <c r="GFK47" s="595"/>
      <c r="GFL47" s="595"/>
      <c r="GFM47" s="595"/>
      <c r="GFN47" s="595"/>
      <c r="GFO47" s="595"/>
      <c r="GFP47" s="595"/>
      <c r="GFQ47" s="595"/>
      <c r="GFR47" s="595"/>
      <c r="GFS47" s="595"/>
      <c r="GFT47" s="595"/>
      <c r="GFU47" s="595"/>
      <c r="GFV47" s="595"/>
      <c r="GFW47" s="595"/>
      <c r="GFX47" s="595"/>
      <c r="GFY47" s="595"/>
      <c r="GFZ47" s="595"/>
      <c r="GGA47" s="595"/>
      <c r="GGB47" s="595"/>
      <c r="GGC47" s="595"/>
      <c r="GGD47" s="595"/>
      <c r="GGE47" s="595"/>
      <c r="GGF47" s="595"/>
      <c r="GGG47" s="595"/>
      <c r="GGH47" s="595"/>
      <c r="GGI47" s="595"/>
      <c r="GGJ47" s="595"/>
      <c r="GGK47" s="595"/>
      <c r="GGL47" s="595"/>
      <c r="GGM47" s="595"/>
      <c r="GGN47" s="595"/>
      <c r="GGO47" s="595"/>
      <c r="GGP47" s="595"/>
      <c r="GGQ47" s="595"/>
      <c r="GGR47" s="595"/>
      <c r="GGS47" s="595"/>
      <c r="GGT47" s="595"/>
      <c r="GGU47" s="595"/>
      <c r="GGV47" s="595"/>
      <c r="GGW47" s="595"/>
      <c r="GGX47" s="595"/>
      <c r="GGY47" s="595"/>
      <c r="GGZ47" s="595"/>
      <c r="GHA47" s="595"/>
      <c r="GHB47" s="595"/>
      <c r="GHC47" s="595"/>
      <c r="GHD47" s="595"/>
      <c r="GHE47" s="595"/>
      <c r="GHF47" s="595"/>
      <c r="GHG47" s="595"/>
      <c r="GHH47" s="595"/>
      <c r="GHI47" s="595"/>
      <c r="GHJ47" s="595"/>
      <c r="GHK47" s="595"/>
      <c r="GHL47" s="595"/>
      <c r="GHM47" s="595"/>
      <c r="GHN47" s="595"/>
      <c r="GHO47" s="595"/>
      <c r="GHP47" s="595"/>
      <c r="GHQ47" s="595"/>
      <c r="GHR47" s="595"/>
      <c r="GHS47" s="595"/>
      <c r="GHT47" s="595"/>
      <c r="GHU47" s="595"/>
      <c r="GHV47" s="595"/>
      <c r="GHW47" s="595"/>
      <c r="GHX47" s="595"/>
      <c r="GHY47" s="595"/>
      <c r="GHZ47" s="595"/>
      <c r="GIA47" s="595"/>
      <c r="GIB47" s="595"/>
      <c r="GIC47" s="595"/>
      <c r="GID47" s="595"/>
      <c r="GIE47" s="595"/>
      <c r="GIF47" s="595"/>
      <c r="GIG47" s="595"/>
      <c r="GIH47" s="595"/>
      <c r="GII47" s="595"/>
      <c r="GIJ47" s="595"/>
      <c r="GIK47" s="595"/>
      <c r="GIL47" s="595"/>
      <c r="GIM47" s="595"/>
      <c r="GIN47" s="595"/>
      <c r="GIO47" s="595"/>
      <c r="GIP47" s="595"/>
      <c r="GIQ47" s="595"/>
      <c r="GIR47" s="595"/>
      <c r="GIS47" s="595"/>
      <c r="GIT47" s="595"/>
      <c r="GIU47" s="595"/>
      <c r="GIV47" s="595"/>
      <c r="GIW47" s="595"/>
      <c r="GIX47" s="595"/>
      <c r="GIY47" s="595"/>
      <c r="GIZ47" s="595"/>
      <c r="GJA47" s="595"/>
      <c r="GJB47" s="595"/>
      <c r="GJC47" s="595"/>
      <c r="GJD47" s="595"/>
      <c r="GJE47" s="595"/>
      <c r="GJF47" s="595"/>
      <c r="GJG47" s="595"/>
      <c r="GJH47" s="595"/>
      <c r="GJI47" s="595"/>
      <c r="GJJ47" s="595"/>
      <c r="GJK47" s="595"/>
      <c r="GJL47" s="595"/>
      <c r="GJM47" s="595"/>
      <c r="GJN47" s="595"/>
      <c r="GJO47" s="595"/>
      <c r="GJP47" s="595"/>
      <c r="GJQ47" s="595"/>
      <c r="GJR47" s="595"/>
      <c r="GJS47" s="595"/>
      <c r="GJT47" s="595"/>
      <c r="GJU47" s="595"/>
      <c r="GJV47" s="595"/>
      <c r="GJW47" s="595"/>
      <c r="GJX47" s="595"/>
      <c r="GJY47" s="595"/>
      <c r="GJZ47" s="595"/>
      <c r="GKA47" s="595"/>
      <c r="GKB47" s="595"/>
      <c r="GKC47" s="595"/>
      <c r="GKD47" s="595"/>
      <c r="GKE47" s="595"/>
      <c r="GKF47" s="595"/>
      <c r="GKG47" s="595"/>
      <c r="GKH47" s="595"/>
      <c r="GKI47" s="595"/>
      <c r="GKJ47" s="595"/>
      <c r="GKK47" s="595"/>
      <c r="GKL47" s="595"/>
      <c r="GKM47" s="595"/>
      <c r="GKN47" s="595"/>
      <c r="GKO47" s="595"/>
      <c r="GKP47" s="595"/>
      <c r="GKQ47" s="595"/>
      <c r="GKR47" s="595"/>
      <c r="GKS47" s="595"/>
      <c r="GKT47" s="595"/>
      <c r="GKU47" s="595"/>
      <c r="GKV47" s="595"/>
      <c r="GKW47" s="595"/>
      <c r="GKX47" s="595"/>
      <c r="GKY47" s="595"/>
      <c r="GKZ47" s="595"/>
      <c r="GLA47" s="595"/>
      <c r="GLB47" s="595"/>
      <c r="GLC47" s="595"/>
      <c r="GLD47" s="595"/>
      <c r="GLE47" s="595"/>
      <c r="GLF47" s="595"/>
      <c r="GLG47" s="595"/>
      <c r="GLH47" s="595"/>
      <c r="GLI47" s="595"/>
      <c r="GLJ47" s="595"/>
      <c r="GLK47" s="595"/>
      <c r="GLL47" s="595"/>
      <c r="GLM47" s="595"/>
      <c r="GLN47" s="595"/>
      <c r="GLO47" s="595"/>
      <c r="GLP47" s="595"/>
      <c r="GLQ47" s="595"/>
      <c r="GLR47" s="595"/>
      <c r="GLS47" s="595"/>
      <c r="GLT47" s="595"/>
      <c r="GLU47" s="595"/>
      <c r="GLV47" s="595"/>
      <c r="GLW47" s="595"/>
      <c r="GLX47" s="595"/>
      <c r="GLY47" s="595"/>
      <c r="GLZ47" s="595"/>
      <c r="GMA47" s="595"/>
      <c r="GMB47" s="595"/>
      <c r="GMC47" s="595"/>
      <c r="GMD47" s="595"/>
      <c r="GME47" s="595"/>
      <c r="GMF47" s="595"/>
      <c r="GMG47" s="595"/>
      <c r="GMH47" s="595"/>
      <c r="GMI47" s="595"/>
      <c r="GMJ47" s="595"/>
      <c r="GMK47" s="595"/>
      <c r="GML47" s="595"/>
      <c r="GMM47" s="595"/>
      <c r="GMN47" s="595"/>
      <c r="GMO47" s="595"/>
      <c r="GMP47" s="595"/>
      <c r="GMQ47" s="595"/>
      <c r="GMR47" s="595"/>
      <c r="GMS47" s="595"/>
      <c r="GMT47" s="595"/>
      <c r="GMU47" s="595"/>
      <c r="GMV47" s="595"/>
      <c r="GMW47" s="595"/>
      <c r="GMX47" s="595"/>
      <c r="GMY47" s="595"/>
      <c r="GMZ47" s="595"/>
      <c r="GNA47" s="595"/>
      <c r="GNB47" s="595"/>
      <c r="GNC47" s="595"/>
      <c r="GND47" s="595"/>
      <c r="GNE47" s="595"/>
      <c r="GNF47" s="595"/>
      <c r="GNG47" s="595"/>
      <c r="GNH47" s="595"/>
      <c r="GNI47" s="595"/>
      <c r="GNJ47" s="595"/>
      <c r="GNK47" s="595"/>
      <c r="GNL47" s="595"/>
      <c r="GNM47" s="595"/>
      <c r="GNN47" s="595"/>
      <c r="GNO47" s="595"/>
      <c r="GNP47" s="595"/>
      <c r="GNQ47" s="595"/>
      <c r="GNR47" s="595"/>
      <c r="GNS47" s="595"/>
      <c r="GNT47" s="595"/>
      <c r="GNU47" s="595"/>
      <c r="GNV47" s="595"/>
      <c r="GNW47" s="595"/>
      <c r="GNX47" s="595"/>
      <c r="GNY47" s="595"/>
      <c r="GNZ47" s="595"/>
      <c r="GOA47" s="595"/>
      <c r="GOB47" s="595"/>
      <c r="GOC47" s="595"/>
      <c r="GOD47" s="595"/>
      <c r="GOE47" s="595"/>
      <c r="GOF47" s="595"/>
      <c r="GOG47" s="595"/>
      <c r="GOH47" s="595"/>
      <c r="GOI47" s="595"/>
      <c r="GOJ47" s="595"/>
      <c r="GOK47" s="595"/>
      <c r="GOL47" s="595"/>
      <c r="GOM47" s="595"/>
      <c r="GON47" s="595"/>
      <c r="GOO47" s="595"/>
      <c r="GOP47" s="595"/>
      <c r="GOQ47" s="595"/>
      <c r="GOR47" s="595"/>
      <c r="GOS47" s="595"/>
      <c r="GOT47" s="595"/>
      <c r="GOU47" s="595"/>
      <c r="GOV47" s="595"/>
      <c r="GOW47" s="595"/>
      <c r="GOX47" s="595"/>
      <c r="GOY47" s="595"/>
      <c r="GOZ47" s="595"/>
      <c r="GPA47" s="595"/>
      <c r="GPB47" s="595"/>
      <c r="GPC47" s="595"/>
      <c r="GPD47" s="595"/>
      <c r="GPE47" s="595"/>
      <c r="GPF47" s="595"/>
      <c r="GPG47" s="595"/>
      <c r="GPH47" s="595"/>
      <c r="GPI47" s="595"/>
      <c r="GPJ47" s="595"/>
      <c r="GPK47" s="595"/>
      <c r="GPL47" s="595"/>
      <c r="GPM47" s="595"/>
      <c r="GPN47" s="595"/>
      <c r="GPO47" s="595"/>
      <c r="GPP47" s="595"/>
      <c r="GPQ47" s="595"/>
      <c r="GPR47" s="595"/>
      <c r="GPS47" s="595"/>
      <c r="GPT47" s="595"/>
      <c r="GPU47" s="595"/>
      <c r="GPV47" s="595"/>
      <c r="GPW47" s="595"/>
      <c r="GPX47" s="595"/>
      <c r="GPY47" s="595"/>
      <c r="GPZ47" s="595"/>
      <c r="GQA47" s="595"/>
      <c r="GQB47" s="595"/>
      <c r="GQC47" s="595"/>
      <c r="GQD47" s="595"/>
      <c r="GQE47" s="595"/>
      <c r="GQF47" s="595"/>
      <c r="GQG47" s="595"/>
      <c r="GQH47" s="595"/>
      <c r="GQI47" s="595"/>
      <c r="GQJ47" s="595"/>
      <c r="GQK47" s="595"/>
      <c r="GQL47" s="595"/>
      <c r="GQM47" s="595"/>
      <c r="GQN47" s="595"/>
      <c r="GQO47" s="595"/>
      <c r="GQP47" s="595"/>
      <c r="GQQ47" s="595"/>
      <c r="GQR47" s="595"/>
      <c r="GQS47" s="595"/>
      <c r="GQT47" s="595"/>
      <c r="GQU47" s="595"/>
      <c r="GQV47" s="595"/>
      <c r="GQW47" s="595"/>
      <c r="GQX47" s="595"/>
      <c r="GQY47" s="595"/>
      <c r="GQZ47" s="595"/>
      <c r="GRA47" s="595"/>
      <c r="GRB47" s="595"/>
      <c r="GRC47" s="595"/>
      <c r="GRD47" s="595"/>
      <c r="GRE47" s="595"/>
      <c r="GRF47" s="595"/>
      <c r="GRG47" s="595"/>
      <c r="GRH47" s="595"/>
      <c r="GRI47" s="595"/>
      <c r="GRJ47" s="595"/>
      <c r="GRK47" s="595"/>
      <c r="GRL47" s="595"/>
      <c r="GRM47" s="595"/>
      <c r="GRN47" s="595"/>
      <c r="GRO47" s="595"/>
      <c r="GRP47" s="595"/>
      <c r="GRQ47" s="595"/>
      <c r="GRR47" s="595"/>
      <c r="GRS47" s="595"/>
      <c r="GRT47" s="595"/>
      <c r="GRU47" s="595"/>
      <c r="GRV47" s="595"/>
      <c r="GRW47" s="595"/>
      <c r="GRX47" s="595"/>
      <c r="GRY47" s="595"/>
      <c r="GRZ47" s="595"/>
      <c r="GSA47" s="595"/>
      <c r="GSB47" s="595"/>
      <c r="GSC47" s="595"/>
      <c r="GSD47" s="595"/>
      <c r="GSE47" s="595"/>
      <c r="GSF47" s="595"/>
      <c r="GSG47" s="595"/>
      <c r="GSH47" s="595"/>
      <c r="GSI47" s="595"/>
      <c r="GSJ47" s="595"/>
      <c r="GSK47" s="595"/>
      <c r="GSL47" s="595"/>
      <c r="GSM47" s="595"/>
      <c r="GSN47" s="595"/>
      <c r="GSO47" s="595"/>
      <c r="GSP47" s="595"/>
      <c r="GSQ47" s="595"/>
      <c r="GSR47" s="595"/>
      <c r="GSS47" s="595"/>
      <c r="GST47" s="595"/>
      <c r="GSU47" s="595"/>
      <c r="GSV47" s="595"/>
      <c r="GSW47" s="595"/>
      <c r="GSX47" s="595"/>
      <c r="GSY47" s="595"/>
      <c r="GSZ47" s="595"/>
      <c r="GTA47" s="595"/>
      <c r="GTB47" s="595"/>
      <c r="GTC47" s="595"/>
      <c r="GTD47" s="595"/>
      <c r="GTE47" s="595"/>
      <c r="GTF47" s="595"/>
      <c r="GTG47" s="595"/>
      <c r="GTH47" s="595"/>
      <c r="GTI47" s="595"/>
      <c r="GTJ47" s="595"/>
      <c r="GTK47" s="595"/>
      <c r="GTL47" s="595"/>
      <c r="GTM47" s="595"/>
      <c r="GTN47" s="595"/>
      <c r="GTO47" s="595"/>
      <c r="GTP47" s="595"/>
      <c r="GTQ47" s="595"/>
      <c r="GTR47" s="595"/>
      <c r="GTS47" s="595"/>
      <c r="GTT47" s="595"/>
      <c r="GTU47" s="595"/>
      <c r="GTV47" s="595"/>
      <c r="GTW47" s="595"/>
      <c r="GTX47" s="595"/>
      <c r="GTY47" s="595"/>
      <c r="GTZ47" s="595"/>
      <c r="GUA47" s="595"/>
      <c r="GUB47" s="595"/>
      <c r="GUC47" s="595"/>
      <c r="GUD47" s="595"/>
      <c r="GUE47" s="595"/>
      <c r="GUF47" s="595"/>
      <c r="GUG47" s="595"/>
      <c r="GUH47" s="595"/>
      <c r="GUI47" s="595"/>
      <c r="GUJ47" s="595"/>
      <c r="GUK47" s="595"/>
      <c r="GUL47" s="595"/>
      <c r="GUM47" s="595"/>
      <c r="GUN47" s="595"/>
      <c r="GUO47" s="595"/>
      <c r="GUP47" s="595"/>
      <c r="GUQ47" s="595"/>
      <c r="GUR47" s="595"/>
      <c r="GUS47" s="595"/>
      <c r="GUT47" s="595"/>
      <c r="GUU47" s="595"/>
      <c r="GUV47" s="595"/>
      <c r="GUW47" s="595"/>
      <c r="GUX47" s="595"/>
      <c r="GUY47" s="595"/>
      <c r="GUZ47" s="595"/>
      <c r="GVA47" s="595"/>
      <c r="GVB47" s="595"/>
      <c r="GVC47" s="595"/>
      <c r="GVD47" s="595"/>
      <c r="GVE47" s="595"/>
      <c r="GVF47" s="595"/>
      <c r="GVG47" s="595"/>
      <c r="GVH47" s="595"/>
      <c r="GVI47" s="595"/>
      <c r="GVJ47" s="595"/>
      <c r="GVK47" s="595"/>
      <c r="GVL47" s="595"/>
      <c r="GVM47" s="595"/>
      <c r="GVN47" s="595"/>
      <c r="GVO47" s="595"/>
      <c r="GVP47" s="595"/>
      <c r="GVQ47" s="595"/>
      <c r="GVR47" s="595"/>
      <c r="GVS47" s="595"/>
      <c r="GVT47" s="595"/>
      <c r="GVU47" s="595"/>
      <c r="GVV47" s="595"/>
      <c r="GVW47" s="595"/>
      <c r="GVX47" s="595"/>
      <c r="GVY47" s="595"/>
      <c r="GVZ47" s="595"/>
      <c r="GWA47" s="595"/>
      <c r="GWB47" s="595"/>
      <c r="GWC47" s="595"/>
      <c r="GWD47" s="595"/>
      <c r="GWE47" s="595"/>
      <c r="GWF47" s="595"/>
      <c r="GWG47" s="595"/>
      <c r="GWH47" s="595"/>
      <c r="GWI47" s="595"/>
      <c r="GWJ47" s="595"/>
      <c r="GWK47" s="595"/>
      <c r="GWL47" s="595"/>
      <c r="GWM47" s="595"/>
      <c r="GWN47" s="595"/>
      <c r="GWO47" s="595"/>
      <c r="GWP47" s="595"/>
      <c r="GWQ47" s="595"/>
      <c r="GWR47" s="595"/>
      <c r="GWS47" s="595"/>
      <c r="GWT47" s="595"/>
      <c r="GWU47" s="595"/>
      <c r="GWV47" s="595"/>
      <c r="GWW47" s="595"/>
      <c r="GWX47" s="595"/>
      <c r="GWY47" s="595"/>
      <c r="GWZ47" s="595"/>
      <c r="GXA47" s="595"/>
      <c r="GXB47" s="595"/>
      <c r="GXC47" s="595"/>
      <c r="GXD47" s="595"/>
      <c r="GXE47" s="595"/>
      <c r="GXF47" s="595"/>
      <c r="GXG47" s="595"/>
      <c r="GXH47" s="595"/>
      <c r="GXI47" s="595"/>
      <c r="GXJ47" s="595"/>
      <c r="GXK47" s="595"/>
      <c r="GXL47" s="595"/>
      <c r="GXM47" s="595"/>
      <c r="GXN47" s="595"/>
      <c r="GXO47" s="595"/>
      <c r="GXP47" s="595"/>
      <c r="GXQ47" s="595"/>
      <c r="GXR47" s="595"/>
      <c r="GXS47" s="595"/>
      <c r="GXT47" s="595"/>
      <c r="GXU47" s="595"/>
      <c r="GXV47" s="595"/>
      <c r="GXW47" s="595"/>
      <c r="GXX47" s="595"/>
      <c r="GXY47" s="595"/>
      <c r="GXZ47" s="595"/>
      <c r="GYA47" s="595"/>
      <c r="GYB47" s="595"/>
      <c r="GYC47" s="595"/>
      <c r="GYD47" s="595"/>
      <c r="GYE47" s="595"/>
      <c r="GYF47" s="595"/>
      <c r="GYG47" s="595"/>
      <c r="GYH47" s="595"/>
      <c r="GYI47" s="595"/>
      <c r="GYJ47" s="595"/>
      <c r="GYK47" s="595"/>
      <c r="GYL47" s="595"/>
      <c r="GYM47" s="595"/>
      <c r="GYN47" s="595"/>
      <c r="GYO47" s="595"/>
      <c r="GYP47" s="595"/>
      <c r="GYQ47" s="595"/>
      <c r="GYR47" s="595"/>
      <c r="GYS47" s="595"/>
      <c r="GYT47" s="595"/>
      <c r="GYU47" s="595"/>
      <c r="GYV47" s="595"/>
      <c r="GYW47" s="595"/>
      <c r="GYX47" s="595"/>
      <c r="GYY47" s="595"/>
      <c r="GYZ47" s="595"/>
      <c r="GZA47" s="595"/>
      <c r="GZB47" s="595"/>
      <c r="GZC47" s="595"/>
      <c r="GZD47" s="595"/>
      <c r="GZE47" s="595"/>
      <c r="GZF47" s="595"/>
      <c r="GZG47" s="595"/>
      <c r="GZH47" s="595"/>
      <c r="GZI47" s="595"/>
      <c r="GZJ47" s="595"/>
      <c r="GZK47" s="595"/>
      <c r="GZL47" s="595"/>
      <c r="GZM47" s="595"/>
      <c r="GZN47" s="595"/>
      <c r="GZO47" s="595"/>
      <c r="GZP47" s="595"/>
      <c r="GZQ47" s="595"/>
      <c r="GZR47" s="595"/>
      <c r="GZS47" s="595"/>
      <c r="GZT47" s="595"/>
      <c r="GZU47" s="595"/>
      <c r="GZV47" s="595"/>
      <c r="GZW47" s="595"/>
      <c r="GZX47" s="595"/>
      <c r="GZY47" s="595"/>
      <c r="GZZ47" s="595"/>
      <c r="HAA47" s="595"/>
      <c r="HAB47" s="595"/>
      <c r="HAC47" s="595"/>
      <c r="HAD47" s="595"/>
      <c r="HAE47" s="595"/>
      <c r="HAF47" s="595"/>
      <c r="HAG47" s="595"/>
      <c r="HAH47" s="595"/>
      <c r="HAI47" s="595"/>
      <c r="HAJ47" s="595"/>
      <c r="HAK47" s="595"/>
      <c r="HAL47" s="595"/>
      <c r="HAM47" s="595"/>
      <c r="HAN47" s="595"/>
      <c r="HAO47" s="595"/>
      <c r="HAP47" s="595"/>
      <c r="HAQ47" s="595"/>
      <c r="HAR47" s="595"/>
      <c r="HAS47" s="595"/>
      <c r="HAT47" s="595"/>
      <c r="HAU47" s="595"/>
      <c r="HAV47" s="595"/>
      <c r="HAW47" s="595"/>
      <c r="HAX47" s="595"/>
      <c r="HAY47" s="595"/>
      <c r="HAZ47" s="595"/>
      <c r="HBA47" s="595"/>
      <c r="HBB47" s="595"/>
      <c r="HBC47" s="595"/>
      <c r="HBD47" s="595"/>
      <c r="HBE47" s="595"/>
      <c r="HBF47" s="595"/>
      <c r="HBG47" s="595"/>
      <c r="HBH47" s="595"/>
      <c r="HBI47" s="595"/>
      <c r="HBJ47" s="595"/>
      <c r="HBK47" s="595"/>
      <c r="HBL47" s="595"/>
      <c r="HBM47" s="595"/>
      <c r="HBN47" s="595"/>
      <c r="HBO47" s="595"/>
      <c r="HBP47" s="595"/>
      <c r="HBQ47" s="595"/>
      <c r="HBR47" s="595"/>
      <c r="HBS47" s="595"/>
      <c r="HBT47" s="595"/>
      <c r="HBU47" s="595"/>
      <c r="HBV47" s="595"/>
      <c r="HBW47" s="595"/>
      <c r="HBX47" s="595"/>
      <c r="HBY47" s="595"/>
      <c r="HBZ47" s="595"/>
      <c r="HCA47" s="595"/>
      <c r="HCB47" s="595"/>
      <c r="HCC47" s="595"/>
      <c r="HCD47" s="595"/>
      <c r="HCE47" s="595"/>
      <c r="HCF47" s="595"/>
      <c r="HCG47" s="595"/>
      <c r="HCH47" s="595"/>
      <c r="HCI47" s="595"/>
      <c r="HCJ47" s="595"/>
      <c r="HCK47" s="595"/>
      <c r="HCL47" s="595"/>
      <c r="HCM47" s="595"/>
      <c r="HCN47" s="595"/>
      <c r="HCO47" s="595"/>
      <c r="HCP47" s="595"/>
      <c r="HCQ47" s="595"/>
      <c r="HCR47" s="595"/>
      <c r="HCS47" s="595"/>
      <c r="HCT47" s="595"/>
      <c r="HCU47" s="595"/>
      <c r="HCV47" s="595"/>
      <c r="HCW47" s="595"/>
      <c r="HCX47" s="595"/>
      <c r="HCY47" s="595"/>
      <c r="HCZ47" s="595"/>
      <c r="HDA47" s="595"/>
      <c r="HDB47" s="595"/>
      <c r="HDC47" s="595"/>
      <c r="HDD47" s="595"/>
      <c r="HDE47" s="595"/>
      <c r="HDF47" s="595"/>
      <c r="HDG47" s="595"/>
      <c r="HDH47" s="595"/>
      <c r="HDI47" s="595"/>
      <c r="HDJ47" s="595"/>
      <c r="HDK47" s="595"/>
      <c r="HDL47" s="595"/>
      <c r="HDM47" s="595"/>
      <c r="HDN47" s="595"/>
      <c r="HDO47" s="595"/>
      <c r="HDP47" s="595"/>
      <c r="HDQ47" s="595"/>
      <c r="HDR47" s="595"/>
      <c r="HDS47" s="595"/>
      <c r="HDT47" s="595"/>
      <c r="HDU47" s="595"/>
      <c r="HDV47" s="595"/>
      <c r="HDW47" s="595"/>
      <c r="HDX47" s="595"/>
      <c r="HDY47" s="595"/>
      <c r="HDZ47" s="595"/>
      <c r="HEA47" s="595"/>
      <c r="HEB47" s="595"/>
      <c r="HEC47" s="595"/>
      <c r="HED47" s="595"/>
      <c r="HEE47" s="595"/>
      <c r="HEF47" s="595"/>
      <c r="HEG47" s="595"/>
      <c r="HEH47" s="595"/>
      <c r="HEI47" s="595"/>
      <c r="HEJ47" s="595"/>
      <c r="HEK47" s="595"/>
      <c r="HEL47" s="595"/>
      <c r="HEM47" s="595"/>
      <c r="HEN47" s="595"/>
      <c r="HEO47" s="595"/>
      <c r="HEP47" s="595"/>
      <c r="HEQ47" s="595"/>
      <c r="HER47" s="595"/>
      <c r="HES47" s="595"/>
      <c r="HET47" s="595"/>
      <c r="HEU47" s="595"/>
      <c r="HEV47" s="595"/>
      <c r="HEW47" s="595"/>
      <c r="HEX47" s="595"/>
      <c r="HEY47" s="595"/>
      <c r="HEZ47" s="595"/>
      <c r="HFA47" s="595"/>
      <c r="HFB47" s="595"/>
      <c r="HFC47" s="595"/>
      <c r="HFD47" s="595"/>
      <c r="HFE47" s="595"/>
      <c r="HFF47" s="595"/>
      <c r="HFG47" s="595"/>
      <c r="HFH47" s="595"/>
      <c r="HFI47" s="595"/>
      <c r="HFJ47" s="595"/>
      <c r="HFK47" s="595"/>
      <c r="HFL47" s="595"/>
      <c r="HFM47" s="595"/>
      <c r="HFN47" s="595"/>
      <c r="HFO47" s="595"/>
      <c r="HFP47" s="595"/>
      <c r="HFQ47" s="595"/>
      <c r="HFR47" s="595"/>
      <c r="HFS47" s="595"/>
      <c r="HFT47" s="595"/>
      <c r="HFU47" s="595"/>
      <c r="HFV47" s="595"/>
      <c r="HFW47" s="595"/>
      <c r="HFX47" s="595"/>
      <c r="HFY47" s="595"/>
      <c r="HFZ47" s="595"/>
      <c r="HGA47" s="595"/>
      <c r="HGB47" s="595"/>
      <c r="HGC47" s="595"/>
      <c r="HGD47" s="595"/>
      <c r="HGE47" s="595"/>
      <c r="HGF47" s="595"/>
      <c r="HGG47" s="595"/>
      <c r="HGH47" s="595"/>
      <c r="HGI47" s="595"/>
      <c r="HGJ47" s="595"/>
      <c r="HGK47" s="595"/>
      <c r="HGL47" s="595"/>
      <c r="HGM47" s="595"/>
      <c r="HGN47" s="595"/>
      <c r="HGO47" s="595"/>
      <c r="HGP47" s="595"/>
      <c r="HGQ47" s="595"/>
      <c r="HGR47" s="595"/>
      <c r="HGS47" s="595"/>
      <c r="HGT47" s="595"/>
      <c r="HGU47" s="595"/>
      <c r="HGV47" s="595"/>
      <c r="HGW47" s="595"/>
      <c r="HGX47" s="595"/>
      <c r="HGY47" s="595"/>
      <c r="HGZ47" s="595"/>
      <c r="HHA47" s="595"/>
      <c r="HHB47" s="595"/>
      <c r="HHC47" s="595"/>
      <c r="HHD47" s="595"/>
      <c r="HHE47" s="595"/>
      <c r="HHF47" s="595"/>
      <c r="HHG47" s="595"/>
      <c r="HHH47" s="595"/>
      <c r="HHI47" s="595"/>
      <c r="HHJ47" s="595"/>
      <c r="HHK47" s="595"/>
      <c r="HHL47" s="595"/>
      <c r="HHM47" s="595"/>
      <c r="HHN47" s="595"/>
      <c r="HHO47" s="595"/>
      <c r="HHP47" s="595"/>
      <c r="HHQ47" s="595"/>
      <c r="HHR47" s="595"/>
      <c r="HHS47" s="595"/>
      <c r="HHT47" s="595"/>
      <c r="HHU47" s="595"/>
      <c r="HHV47" s="595"/>
      <c r="HHW47" s="595"/>
      <c r="HHX47" s="595"/>
      <c r="HHY47" s="595"/>
      <c r="HHZ47" s="595"/>
      <c r="HIA47" s="595"/>
      <c r="HIB47" s="595"/>
      <c r="HIC47" s="595"/>
      <c r="HID47" s="595"/>
      <c r="HIE47" s="595"/>
      <c r="HIF47" s="595"/>
      <c r="HIG47" s="595"/>
      <c r="HIH47" s="595"/>
      <c r="HII47" s="595"/>
      <c r="HIJ47" s="595"/>
      <c r="HIK47" s="595"/>
      <c r="HIL47" s="595"/>
      <c r="HIM47" s="595"/>
      <c r="HIN47" s="595"/>
      <c r="HIO47" s="595"/>
      <c r="HIP47" s="595"/>
      <c r="HIQ47" s="595"/>
      <c r="HIR47" s="595"/>
      <c r="HIS47" s="595"/>
      <c r="HIT47" s="595"/>
      <c r="HIU47" s="595"/>
      <c r="HIV47" s="595"/>
      <c r="HIW47" s="595"/>
      <c r="HIX47" s="595"/>
      <c r="HIY47" s="595"/>
      <c r="HIZ47" s="595"/>
      <c r="HJA47" s="595"/>
      <c r="HJB47" s="595"/>
      <c r="HJC47" s="595"/>
      <c r="HJD47" s="595"/>
      <c r="HJE47" s="595"/>
      <c r="HJF47" s="595"/>
      <c r="HJG47" s="595"/>
      <c r="HJH47" s="595"/>
      <c r="HJI47" s="595"/>
      <c r="HJJ47" s="595"/>
      <c r="HJK47" s="595"/>
      <c r="HJL47" s="595"/>
      <c r="HJM47" s="595"/>
      <c r="HJN47" s="595"/>
      <c r="HJO47" s="595"/>
      <c r="HJP47" s="595"/>
      <c r="HJQ47" s="595"/>
      <c r="HJR47" s="595"/>
      <c r="HJS47" s="595"/>
      <c r="HJT47" s="595"/>
      <c r="HJU47" s="595"/>
      <c r="HJV47" s="595"/>
      <c r="HJW47" s="595"/>
      <c r="HJX47" s="595"/>
      <c r="HJY47" s="595"/>
      <c r="HJZ47" s="595"/>
      <c r="HKA47" s="595"/>
      <c r="HKB47" s="595"/>
      <c r="HKC47" s="595"/>
      <c r="HKD47" s="595"/>
      <c r="HKE47" s="595"/>
      <c r="HKF47" s="595"/>
      <c r="HKG47" s="595"/>
      <c r="HKH47" s="595"/>
      <c r="HKI47" s="595"/>
      <c r="HKJ47" s="595"/>
      <c r="HKK47" s="595"/>
      <c r="HKL47" s="595"/>
      <c r="HKM47" s="595"/>
      <c r="HKN47" s="595"/>
      <c r="HKO47" s="595"/>
      <c r="HKP47" s="595"/>
      <c r="HKQ47" s="595"/>
      <c r="HKR47" s="595"/>
      <c r="HKS47" s="595"/>
      <c r="HKT47" s="595"/>
      <c r="HKU47" s="595"/>
      <c r="HKV47" s="595"/>
      <c r="HKW47" s="595"/>
      <c r="HKX47" s="595"/>
      <c r="HKY47" s="595"/>
      <c r="HKZ47" s="595"/>
      <c r="HLA47" s="595"/>
      <c r="HLB47" s="595"/>
      <c r="HLC47" s="595"/>
      <c r="HLD47" s="595"/>
      <c r="HLE47" s="595"/>
      <c r="HLF47" s="595"/>
      <c r="HLG47" s="595"/>
      <c r="HLH47" s="595"/>
      <c r="HLI47" s="595"/>
      <c r="HLJ47" s="595"/>
      <c r="HLK47" s="595"/>
      <c r="HLL47" s="595"/>
      <c r="HLM47" s="595"/>
      <c r="HLN47" s="595"/>
      <c r="HLO47" s="595"/>
      <c r="HLP47" s="595"/>
      <c r="HLQ47" s="595"/>
      <c r="HLR47" s="595"/>
      <c r="HLS47" s="595"/>
      <c r="HLT47" s="595"/>
      <c r="HLU47" s="595"/>
      <c r="HLV47" s="595"/>
      <c r="HLW47" s="595"/>
      <c r="HLX47" s="595"/>
      <c r="HLY47" s="595"/>
      <c r="HLZ47" s="595"/>
      <c r="HMA47" s="595"/>
      <c r="HMB47" s="595"/>
      <c r="HMC47" s="595"/>
      <c r="HMD47" s="595"/>
      <c r="HME47" s="595"/>
      <c r="HMF47" s="595"/>
      <c r="HMG47" s="595"/>
      <c r="HMH47" s="595"/>
      <c r="HMI47" s="595"/>
      <c r="HMJ47" s="595"/>
      <c r="HMK47" s="595"/>
      <c r="HML47" s="595"/>
      <c r="HMM47" s="595"/>
      <c r="HMN47" s="595"/>
      <c r="HMO47" s="595"/>
      <c r="HMP47" s="595"/>
      <c r="HMQ47" s="595"/>
      <c r="HMR47" s="595"/>
      <c r="HMS47" s="595"/>
      <c r="HMT47" s="595"/>
      <c r="HMU47" s="595"/>
      <c r="HMV47" s="595"/>
      <c r="HMW47" s="595"/>
      <c r="HMX47" s="595"/>
      <c r="HMY47" s="595"/>
      <c r="HMZ47" s="595"/>
      <c r="HNA47" s="595"/>
      <c r="HNB47" s="595"/>
      <c r="HNC47" s="595"/>
      <c r="HND47" s="595"/>
      <c r="HNE47" s="595"/>
      <c r="HNF47" s="595"/>
      <c r="HNG47" s="595"/>
      <c r="HNH47" s="595"/>
      <c r="HNI47" s="595"/>
      <c r="HNJ47" s="595"/>
      <c r="HNK47" s="595"/>
      <c r="HNL47" s="595"/>
      <c r="HNM47" s="595"/>
      <c r="HNN47" s="595"/>
      <c r="HNO47" s="595"/>
      <c r="HNP47" s="595"/>
      <c r="HNQ47" s="595"/>
      <c r="HNR47" s="595"/>
      <c r="HNS47" s="595"/>
      <c r="HNT47" s="595"/>
      <c r="HNU47" s="595"/>
      <c r="HNV47" s="595"/>
      <c r="HNW47" s="595"/>
      <c r="HNX47" s="595"/>
      <c r="HNY47" s="595"/>
      <c r="HNZ47" s="595"/>
      <c r="HOA47" s="595"/>
      <c r="HOB47" s="595"/>
      <c r="HOC47" s="595"/>
      <c r="HOD47" s="595"/>
      <c r="HOE47" s="595"/>
      <c r="HOF47" s="595"/>
      <c r="HOG47" s="595"/>
      <c r="HOH47" s="595"/>
      <c r="HOI47" s="595"/>
      <c r="HOJ47" s="595"/>
      <c r="HOK47" s="595"/>
      <c r="HOL47" s="595"/>
      <c r="HOM47" s="595"/>
      <c r="HON47" s="595"/>
      <c r="HOO47" s="595"/>
      <c r="HOP47" s="595"/>
      <c r="HOQ47" s="595"/>
      <c r="HOR47" s="595"/>
      <c r="HOS47" s="595"/>
      <c r="HOT47" s="595"/>
      <c r="HOU47" s="595"/>
      <c r="HOV47" s="595"/>
      <c r="HOW47" s="595"/>
      <c r="HOX47" s="595"/>
      <c r="HOY47" s="595"/>
      <c r="HOZ47" s="595"/>
      <c r="HPA47" s="595"/>
      <c r="HPB47" s="595"/>
      <c r="HPC47" s="595"/>
      <c r="HPD47" s="595"/>
      <c r="HPE47" s="595"/>
      <c r="HPF47" s="595"/>
      <c r="HPG47" s="595"/>
      <c r="HPH47" s="595"/>
      <c r="HPI47" s="595"/>
      <c r="HPJ47" s="595"/>
      <c r="HPK47" s="595"/>
      <c r="HPL47" s="595"/>
      <c r="HPM47" s="595"/>
      <c r="HPN47" s="595"/>
      <c r="HPO47" s="595"/>
      <c r="HPP47" s="595"/>
      <c r="HPQ47" s="595"/>
      <c r="HPR47" s="595"/>
      <c r="HPS47" s="595"/>
      <c r="HPT47" s="595"/>
      <c r="HPU47" s="595"/>
      <c r="HPV47" s="595"/>
      <c r="HPW47" s="595"/>
      <c r="HPX47" s="595"/>
      <c r="HPY47" s="595"/>
      <c r="HPZ47" s="595"/>
      <c r="HQA47" s="595"/>
      <c r="HQB47" s="595"/>
      <c r="HQC47" s="595"/>
      <c r="HQD47" s="595"/>
      <c r="HQE47" s="595"/>
      <c r="HQF47" s="595"/>
      <c r="HQG47" s="595"/>
      <c r="HQH47" s="595"/>
      <c r="HQI47" s="595"/>
      <c r="HQJ47" s="595"/>
      <c r="HQK47" s="595"/>
      <c r="HQL47" s="595"/>
      <c r="HQM47" s="595"/>
      <c r="HQN47" s="595"/>
      <c r="HQO47" s="595"/>
      <c r="HQP47" s="595"/>
      <c r="HQQ47" s="595"/>
      <c r="HQR47" s="595"/>
      <c r="HQS47" s="595"/>
      <c r="HQT47" s="595"/>
      <c r="HQU47" s="595"/>
      <c r="HQV47" s="595"/>
      <c r="HQW47" s="595"/>
      <c r="HQX47" s="595"/>
      <c r="HQY47" s="595"/>
      <c r="HQZ47" s="595"/>
      <c r="HRA47" s="595"/>
      <c r="HRB47" s="595"/>
      <c r="HRC47" s="595"/>
      <c r="HRD47" s="595"/>
      <c r="HRE47" s="595"/>
      <c r="HRF47" s="595"/>
      <c r="HRG47" s="595"/>
      <c r="HRH47" s="595"/>
      <c r="HRI47" s="595"/>
      <c r="HRJ47" s="595"/>
      <c r="HRK47" s="595"/>
      <c r="HRL47" s="595"/>
      <c r="HRM47" s="595"/>
      <c r="HRN47" s="595"/>
      <c r="HRO47" s="595"/>
      <c r="HRP47" s="595"/>
      <c r="HRQ47" s="595"/>
      <c r="HRR47" s="595"/>
      <c r="HRS47" s="595"/>
      <c r="HRT47" s="595"/>
      <c r="HRU47" s="595"/>
      <c r="HRV47" s="595"/>
      <c r="HRW47" s="595"/>
      <c r="HRX47" s="595"/>
      <c r="HRY47" s="595"/>
      <c r="HRZ47" s="595"/>
      <c r="HSA47" s="595"/>
      <c r="HSB47" s="595"/>
      <c r="HSC47" s="595"/>
      <c r="HSD47" s="595"/>
      <c r="HSE47" s="595"/>
      <c r="HSF47" s="595"/>
      <c r="HSG47" s="595"/>
      <c r="HSH47" s="595"/>
      <c r="HSI47" s="595"/>
      <c r="HSJ47" s="595"/>
      <c r="HSK47" s="595"/>
      <c r="HSL47" s="595"/>
      <c r="HSM47" s="595"/>
      <c r="HSN47" s="595"/>
      <c r="HSO47" s="595"/>
      <c r="HSP47" s="595"/>
      <c r="HSQ47" s="595"/>
      <c r="HSR47" s="595"/>
      <c r="HSS47" s="595"/>
      <c r="HST47" s="595"/>
      <c r="HSU47" s="595"/>
      <c r="HSV47" s="595"/>
      <c r="HSW47" s="595"/>
      <c r="HSX47" s="595"/>
      <c r="HSY47" s="595"/>
      <c r="HSZ47" s="595"/>
      <c r="HTA47" s="595"/>
      <c r="HTB47" s="595"/>
      <c r="HTC47" s="595"/>
      <c r="HTD47" s="595"/>
      <c r="HTE47" s="595"/>
      <c r="HTF47" s="595"/>
      <c r="HTG47" s="595"/>
      <c r="HTH47" s="595"/>
      <c r="HTI47" s="595"/>
      <c r="HTJ47" s="595"/>
      <c r="HTK47" s="595"/>
      <c r="HTL47" s="595"/>
      <c r="HTM47" s="595"/>
      <c r="HTN47" s="595"/>
      <c r="HTO47" s="595"/>
      <c r="HTP47" s="595"/>
      <c r="HTQ47" s="595"/>
      <c r="HTR47" s="595"/>
      <c r="HTS47" s="595"/>
      <c r="HTT47" s="595"/>
      <c r="HTU47" s="595"/>
      <c r="HTV47" s="595"/>
      <c r="HTW47" s="595"/>
      <c r="HTX47" s="595"/>
      <c r="HTY47" s="595"/>
      <c r="HTZ47" s="595"/>
      <c r="HUA47" s="595"/>
      <c r="HUB47" s="595"/>
      <c r="HUC47" s="595"/>
      <c r="HUD47" s="595"/>
      <c r="HUE47" s="595"/>
      <c r="HUF47" s="595"/>
      <c r="HUG47" s="595"/>
      <c r="HUH47" s="595"/>
      <c r="HUI47" s="595"/>
      <c r="HUJ47" s="595"/>
      <c r="HUK47" s="595"/>
      <c r="HUL47" s="595"/>
      <c r="HUM47" s="595"/>
      <c r="HUN47" s="595"/>
      <c r="HUO47" s="595"/>
      <c r="HUP47" s="595"/>
      <c r="HUQ47" s="595"/>
      <c r="HUR47" s="595"/>
      <c r="HUS47" s="595"/>
      <c r="HUT47" s="595"/>
      <c r="HUU47" s="595"/>
      <c r="HUV47" s="595"/>
      <c r="HUW47" s="595"/>
      <c r="HUX47" s="595"/>
      <c r="HUY47" s="595"/>
      <c r="HUZ47" s="595"/>
      <c r="HVA47" s="595"/>
      <c r="HVB47" s="595"/>
      <c r="HVC47" s="595"/>
      <c r="HVD47" s="595"/>
      <c r="HVE47" s="595"/>
      <c r="HVF47" s="595"/>
      <c r="HVG47" s="595"/>
      <c r="HVH47" s="595"/>
      <c r="HVI47" s="595"/>
      <c r="HVJ47" s="595"/>
      <c r="HVK47" s="595"/>
      <c r="HVL47" s="595"/>
      <c r="HVM47" s="595"/>
      <c r="HVN47" s="595"/>
      <c r="HVO47" s="595"/>
      <c r="HVP47" s="595"/>
      <c r="HVQ47" s="595"/>
      <c r="HVR47" s="595"/>
      <c r="HVS47" s="595"/>
      <c r="HVT47" s="595"/>
      <c r="HVU47" s="595"/>
      <c r="HVV47" s="595"/>
      <c r="HVW47" s="595"/>
      <c r="HVX47" s="595"/>
      <c r="HVY47" s="595"/>
      <c r="HVZ47" s="595"/>
      <c r="HWA47" s="595"/>
      <c r="HWB47" s="595"/>
      <c r="HWC47" s="595"/>
      <c r="HWD47" s="595"/>
      <c r="HWE47" s="595"/>
      <c r="HWF47" s="595"/>
      <c r="HWG47" s="595"/>
      <c r="HWH47" s="595"/>
      <c r="HWI47" s="595"/>
      <c r="HWJ47" s="595"/>
      <c r="HWK47" s="595"/>
      <c r="HWL47" s="595"/>
      <c r="HWM47" s="595"/>
      <c r="HWN47" s="595"/>
      <c r="HWO47" s="595"/>
      <c r="HWP47" s="595"/>
      <c r="HWQ47" s="595"/>
      <c r="HWR47" s="595"/>
      <c r="HWS47" s="595"/>
      <c r="HWT47" s="595"/>
      <c r="HWU47" s="595"/>
      <c r="HWV47" s="595"/>
      <c r="HWW47" s="595"/>
      <c r="HWX47" s="595"/>
      <c r="HWY47" s="595"/>
      <c r="HWZ47" s="595"/>
      <c r="HXA47" s="595"/>
      <c r="HXB47" s="595"/>
      <c r="HXC47" s="595"/>
      <c r="HXD47" s="595"/>
      <c r="HXE47" s="595"/>
      <c r="HXF47" s="595"/>
      <c r="HXG47" s="595"/>
      <c r="HXH47" s="595"/>
      <c r="HXI47" s="595"/>
      <c r="HXJ47" s="595"/>
      <c r="HXK47" s="595"/>
      <c r="HXL47" s="595"/>
      <c r="HXM47" s="595"/>
      <c r="HXN47" s="595"/>
      <c r="HXO47" s="595"/>
      <c r="HXP47" s="595"/>
      <c r="HXQ47" s="595"/>
      <c r="HXR47" s="595"/>
      <c r="HXS47" s="595"/>
      <c r="HXT47" s="595"/>
      <c r="HXU47" s="595"/>
      <c r="HXV47" s="595"/>
      <c r="HXW47" s="595"/>
      <c r="HXX47" s="595"/>
      <c r="HXY47" s="595"/>
      <c r="HXZ47" s="595"/>
      <c r="HYA47" s="595"/>
      <c r="HYB47" s="595"/>
      <c r="HYC47" s="595"/>
      <c r="HYD47" s="595"/>
      <c r="HYE47" s="595"/>
      <c r="HYF47" s="595"/>
      <c r="HYG47" s="595"/>
      <c r="HYH47" s="595"/>
      <c r="HYI47" s="595"/>
      <c r="HYJ47" s="595"/>
      <c r="HYK47" s="595"/>
      <c r="HYL47" s="595"/>
      <c r="HYM47" s="595"/>
      <c r="HYN47" s="595"/>
      <c r="HYO47" s="595"/>
      <c r="HYP47" s="595"/>
      <c r="HYQ47" s="595"/>
      <c r="HYR47" s="595"/>
      <c r="HYS47" s="595"/>
      <c r="HYT47" s="595"/>
      <c r="HYU47" s="595"/>
      <c r="HYV47" s="595"/>
      <c r="HYW47" s="595"/>
      <c r="HYX47" s="595"/>
      <c r="HYY47" s="595"/>
      <c r="HYZ47" s="595"/>
      <c r="HZA47" s="595"/>
      <c r="HZB47" s="595"/>
      <c r="HZC47" s="595"/>
      <c r="HZD47" s="595"/>
      <c r="HZE47" s="595"/>
      <c r="HZF47" s="595"/>
      <c r="HZG47" s="595"/>
      <c r="HZH47" s="595"/>
      <c r="HZI47" s="595"/>
      <c r="HZJ47" s="595"/>
      <c r="HZK47" s="595"/>
      <c r="HZL47" s="595"/>
      <c r="HZM47" s="595"/>
      <c r="HZN47" s="595"/>
      <c r="HZO47" s="595"/>
      <c r="HZP47" s="595"/>
      <c r="HZQ47" s="595"/>
      <c r="HZR47" s="595"/>
      <c r="HZS47" s="595"/>
      <c r="HZT47" s="595"/>
      <c r="HZU47" s="595"/>
      <c r="HZV47" s="595"/>
      <c r="HZW47" s="595"/>
      <c r="HZX47" s="595"/>
      <c r="HZY47" s="595"/>
      <c r="HZZ47" s="595"/>
      <c r="IAA47" s="595"/>
      <c r="IAB47" s="595"/>
      <c r="IAC47" s="595"/>
      <c r="IAD47" s="595"/>
      <c r="IAE47" s="595"/>
      <c r="IAF47" s="595"/>
      <c r="IAG47" s="595"/>
      <c r="IAH47" s="595"/>
      <c r="IAI47" s="595"/>
      <c r="IAJ47" s="595"/>
      <c r="IAK47" s="595"/>
      <c r="IAL47" s="595"/>
      <c r="IAM47" s="595"/>
      <c r="IAN47" s="595"/>
      <c r="IAO47" s="595"/>
      <c r="IAP47" s="595"/>
      <c r="IAQ47" s="595"/>
      <c r="IAR47" s="595"/>
      <c r="IAS47" s="595"/>
      <c r="IAT47" s="595"/>
      <c r="IAU47" s="595"/>
      <c r="IAV47" s="595"/>
      <c r="IAW47" s="595"/>
      <c r="IAX47" s="595"/>
      <c r="IAY47" s="595"/>
      <c r="IAZ47" s="595"/>
      <c r="IBA47" s="595"/>
      <c r="IBB47" s="595"/>
      <c r="IBC47" s="595"/>
      <c r="IBD47" s="595"/>
      <c r="IBE47" s="595"/>
      <c r="IBF47" s="595"/>
      <c r="IBG47" s="595"/>
      <c r="IBH47" s="595"/>
      <c r="IBI47" s="595"/>
      <c r="IBJ47" s="595"/>
      <c r="IBK47" s="595"/>
      <c r="IBL47" s="595"/>
      <c r="IBM47" s="595"/>
      <c r="IBN47" s="595"/>
      <c r="IBO47" s="595"/>
      <c r="IBP47" s="595"/>
      <c r="IBQ47" s="595"/>
      <c r="IBR47" s="595"/>
      <c r="IBS47" s="595"/>
      <c r="IBT47" s="595"/>
      <c r="IBU47" s="595"/>
      <c r="IBV47" s="595"/>
      <c r="IBW47" s="595"/>
      <c r="IBX47" s="595"/>
      <c r="IBY47" s="595"/>
      <c r="IBZ47" s="595"/>
      <c r="ICA47" s="595"/>
      <c r="ICB47" s="595"/>
      <c r="ICC47" s="595"/>
      <c r="ICD47" s="595"/>
      <c r="ICE47" s="595"/>
      <c r="ICF47" s="595"/>
      <c r="ICG47" s="595"/>
      <c r="ICH47" s="595"/>
      <c r="ICI47" s="595"/>
      <c r="ICJ47" s="595"/>
      <c r="ICK47" s="595"/>
      <c r="ICL47" s="595"/>
      <c r="ICM47" s="595"/>
      <c r="ICN47" s="595"/>
      <c r="ICO47" s="595"/>
      <c r="ICP47" s="595"/>
      <c r="ICQ47" s="595"/>
      <c r="ICR47" s="595"/>
      <c r="ICS47" s="595"/>
      <c r="ICT47" s="595"/>
      <c r="ICU47" s="595"/>
      <c r="ICV47" s="595"/>
      <c r="ICW47" s="595"/>
      <c r="ICX47" s="595"/>
      <c r="ICY47" s="595"/>
      <c r="ICZ47" s="595"/>
      <c r="IDA47" s="595"/>
      <c r="IDB47" s="595"/>
      <c r="IDC47" s="595"/>
      <c r="IDD47" s="595"/>
      <c r="IDE47" s="595"/>
      <c r="IDF47" s="595"/>
      <c r="IDG47" s="595"/>
      <c r="IDH47" s="595"/>
      <c r="IDI47" s="595"/>
      <c r="IDJ47" s="595"/>
      <c r="IDK47" s="595"/>
      <c r="IDL47" s="595"/>
      <c r="IDM47" s="595"/>
      <c r="IDN47" s="595"/>
      <c r="IDO47" s="595"/>
      <c r="IDP47" s="595"/>
      <c r="IDQ47" s="595"/>
      <c r="IDR47" s="595"/>
      <c r="IDS47" s="595"/>
      <c r="IDT47" s="595"/>
      <c r="IDU47" s="595"/>
      <c r="IDV47" s="595"/>
      <c r="IDW47" s="595"/>
      <c r="IDX47" s="595"/>
      <c r="IDY47" s="595"/>
      <c r="IDZ47" s="595"/>
      <c r="IEA47" s="595"/>
      <c r="IEB47" s="595"/>
      <c r="IEC47" s="595"/>
      <c r="IED47" s="595"/>
      <c r="IEE47" s="595"/>
      <c r="IEF47" s="595"/>
      <c r="IEG47" s="595"/>
      <c r="IEH47" s="595"/>
      <c r="IEI47" s="595"/>
      <c r="IEJ47" s="595"/>
      <c r="IEK47" s="595"/>
      <c r="IEL47" s="595"/>
      <c r="IEM47" s="595"/>
      <c r="IEN47" s="595"/>
      <c r="IEO47" s="595"/>
      <c r="IEP47" s="595"/>
      <c r="IEQ47" s="595"/>
      <c r="IER47" s="595"/>
      <c r="IES47" s="595"/>
      <c r="IET47" s="595"/>
      <c r="IEU47" s="595"/>
      <c r="IEV47" s="595"/>
      <c r="IEW47" s="595"/>
      <c r="IEX47" s="595"/>
      <c r="IEY47" s="595"/>
      <c r="IEZ47" s="595"/>
      <c r="IFA47" s="595"/>
      <c r="IFB47" s="595"/>
      <c r="IFC47" s="595"/>
      <c r="IFD47" s="595"/>
      <c r="IFE47" s="595"/>
      <c r="IFF47" s="595"/>
      <c r="IFG47" s="595"/>
      <c r="IFH47" s="595"/>
      <c r="IFI47" s="595"/>
      <c r="IFJ47" s="595"/>
      <c r="IFK47" s="595"/>
      <c r="IFL47" s="595"/>
      <c r="IFM47" s="595"/>
      <c r="IFN47" s="595"/>
      <c r="IFO47" s="595"/>
      <c r="IFP47" s="595"/>
      <c r="IFQ47" s="595"/>
      <c r="IFR47" s="595"/>
      <c r="IFS47" s="595"/>
      <c r="IFT47" s="595"/>
      <c r="IFU47" s="595"/>
      <c r="IFV47" s="595"/>
      <c r="IFW47" s="595"/>
      <c r="IFX47" s="595"/>
      <c r="IFY47" s="595"/>
      <c r="IFZ47" s="595"/>
      <c r="IGA47" s="595"/>
      <c r="IGB47" s="595"/>
      <c r="IGC47" s="595"/>
      <c r="IGD47" s="595"/>
      <c r="IGE47" s="595"/>
      <c r="IGF47" s="595"/>
      <c r="IGG47" s="595"/>
      <c r="IGH47" s="595"/>
      <c r="IGI47" s="595"/>
      <c r="IGJ47" s="595"/>
      <c r="IGK47" s="595"/>
      <c r="IGL47" s="595"/>
      <c r="IGM47" s="595"/>
      <c r="IGN47" s="595"/>
      <c r="IGO47" s="595"/>
      <c r="IGP47" s="595"/>
      <c r="IGQ47" s="595"/>
      <c r="IGR47" s="595"/>
      <c r="IGS47" s="595"/>
      <c r="IGT47" s="595"/>
      <c r="IGU47" s="595"/>
      <c r="IGV47" s="595"/>
      <c r="IGW47" s="595"/>
      <c r="IGX47" s="595"/>
      <c r="IGY47" s="595"/>
      <c r="IGZ47" s="595"/>
      <c r="IHA47" s="595"/>
      <c r="IHB47" s="595"/>
      <c r="IHC47" s="595"/>
      <c r="IHD47" s="595"/>
      <c r="IHE47" s="595"/>
      <c r="IHF47" s="595"/>
      <c r="IHG47" s="595"/>
      <c r="IHH47" s="595"/>
      <c r="IHI47" s="595"/>
      <c r="IHJ47" s="595"/>
      <c r="IHK47" s="595"/>
      <c r="IHL47" s="595"/>
      <c r="IHM47" s="595"/>
      <c r="IHN47" s="595"/>
      <c r="IHO47" s="595"/>
      <c r="IHP47" s="595"/>
      <c r="IHQ47" s="595"/>
      <c r="IHR47" s="595"/>
      <c r="IHS47" s="595"/>
      <c r="IHT47" s="595"/>
      <c r="IHU47" s="595"/>
      <c r="IHV47" s="595"/>
      <c r="IHW47" s="595"/>
      <c r="IHX47" s="595"/>
      <c r="IHY47" s="595"/>
      <c r="IHZ47" s="595"/>
      <c r="IIA47" s="595"/>
      <c r="IIB47" s="595"/>
      <c r="IIC47" s="595"/>
      <c r="IID47" s="595"/>
      <c r="IIE47" s="595"/>
      <c r="IIF47" s="595"/>
      <c r="IIG47" s="595"/>
      <c r="IIH47" s="595"/>
      <c r="III47" s="595"/>
      <c r="IIJ47" s="595"/>
      <c r="IIK47" s="595"/>
      <c r="IIL47" s="595"/>
      <c r="IIM47" s="595"/>
      <c r="IIN47" s="595"/>
      <c r="IIO47" s="595"/>
      <c r="IIP47" s="595"/>
      <c r="IIQ47" s="595"/>
      <c r="IIR47" s="595"/>
      <c r="IIS47" s="595"/>
      <c r="IIT47" s="595"/>
      <c r="IIU47" s="595"/>
      <c r="IIV47" s="595"/>
      <c r="IIW47" s="595"/>
      <c r="IIX47" s="595"/>
      <c r="IIY47" s="595"/>
      <c r="IIZ47" s="595"/>
      <c r="IJA47" s="595"/>
      <c r="IJB47" s="595"/>
      <c r="IJC47" s="595"/>
      <c r="IJD47" s="595"/>
      <c r="IJE47" s="595"/>
      <c r="IJF47" s="595"/>
      <c r="IJG47" s="595"/>
      <c r="IJH47" s="595"/>
      <c r="IJI47" s="595"/>
      <c r="IJJ47" s="595"/>
      <c r="IJK47" s="595"/>
      <c r="IJL47" s="595"/>
      <c r="IJM47" s="595"/>
      <c r="IJN47" s="595"/>
      <c r="IJO47" s="595"/>
      <c r="IJP47" s="595"/>
      <c r="IJQ47" s="595"/>
      <c r="IJR47" s="595"/>
      <c r="IJS47" s="595"/>
      <c r="IJT47" s="595"/>
      <c r="IJU47" s="595"/>
      <c r="IJV47" s="595"/>
      <c r="IJW47" s="595"/>
      <c r="IJX47" s="595"/>
      <c r="IJY47" s="595"/>
      <c r="IJZ47" s="595"/>
      <c r="IKA47" s="595"/>
      <c r="IKB47" s="595"/>
      <c r="IKC47" s="595"/>
      <c r="IKD47" s="595"/>
      <c r="IKE47" s="595"/>
      <c r="IKF47" s="595"/>
      <c r="IKG47" s="595"/>
      <c r="IKH47" s="595"/>
      <c r="IKI47" s="595"/>
      <c r="IKJ47" s="595"/>
      <c r="IKK47" s="595"/>
      <c r="IKL47" s="595"/>
      <c r="IKM47" s="595"/>
      <c r="IKN47" s="595"/>
      <c r="IKO47" s="595"/>
      <c r="IKP47" s="595"/>
      <c r="IKQ47" s="595"/>
      <c r="IKR47" s="595"/>
      <c r="IKS47" s="595"/>
      <c r="IKT47" s="595"/>
      <c r="IKU47" s="595"/>
      <c r="IKV47" s="595"/>
      <c r="IKW47" s="595"/>
      <c r="IKX47" s="595"/>
      <c r="IKY47" s="595"/>
      <c r="IKZ47" s="595"/>
      <c r="ILA47" s="595"/>
      <c r="ILB47" s="595"/>
      <c r="ILC47" s="595"/>
      <c r="ILD47" s="595"/>
      <c r="ILE47" s="595"/>
      <c r="ILF47" s="595"/>
      <c r="ILG47" s="595"/>
      <c r="ILH47" s="595"/>
      <c r="ILI47" s="595"/>
      <c r="ILJ47" s="595"/>
      <c r="ILK47" s="595"/>
      <c r="ILL47" s="595"/>
      <c r="ILM47" s="595"/>
      <c r="ILN47" s="595"/>
      <c r="ILO47" s="595"/>
      <c r="ILP47" s="595"/>
      <c r="ILQ47" s="595"/>
      <c r="ILR47" s="595"/>
      <c r="ILS47" s="595"/>
      <c r="ILT47" s="595"/>
      <c r="ILU47" s="595"/>
      <c r="ILV47" s="595"/>
      <c r="ILW47" s="595"/>
      <c r="ILX47" s="595"/>
      <c r="ILY47" s="595"/>
      <c r="ILZ47" s="595"/>
      <c r="IMA47" s="595"/>
      <c r="IMB47" s="595"/>
      <c r="IMC47" s="595"/>
      <c r="IMD47" s="595"/>
      <c r="IME47" s="595"/>
      <c r="IMF47" s="595"/>
      <c r="IMG47" s="595"/>
      <c r="IMH47" s="595"/>
      <c r="IMI47" s="595"/>
      <c r="IMJ47" s="595"/>
      <c r="IMK47" s="595"/>
      <c r="IML47" s="595"/>
      <c r="IMM47" s="595"/>
      <c r="IMN47" s="595"/>
      <c r="IMO47" s="595"/>
      <c r="IMP47" s="595"/>
      <c r="IMQ47" s="595"/>
      <c r="IMR47" s="595"/>
      <c r="IMS47" s="595"/>
      <c r="IMT47" s="595"/>
      <c r="IMU47" s="595"/>
      <c r="IMV47" s="595"/>
      <c r="IMW47" s="595"/>
      <c r="IMX47" s="595"/>
      <c r="IMY47" s="595"/>
      <c r="IMZ47" s="595"/>
      <c r="INA47" s="595"/>
      <c r="INB47" s="595"/>
      <c r="INC47" s="595"/>
      <c r="IND47" s="595"/>
      <c r="INE47" s="595"/>
      <c r="INF47" s="595"/>
      <c r="ING47" s="595"/>
      <c r="INH47" s="595"/>
      <c r="INI47" s="595"/>
      <c r="INJ47" s="595"/>
      <c r="INK47" s="595"/>
      <c r="INL47" s="595"/>
      <c r="INM47" s="595"/>
      <c r="INN47" s="595"/>
      <c r="INO47" s="595"/>
      <c r="INP47" s="595"/>
      <c r="INQ47" s="595"/>
      <c r="INR47" s="595"/>
      <c r="INS47" s="595"/>
      <c r="INT47" s="595"/>
      <c r="INU47" s="595"/>
      <c r="INV47" s="595"/>
      <c r="INW47" s="595"/>
      <c r="INX47" s="595"/>
      <c r="INY47" s="595"/>
      <c r="INZ47" s="595"/>
      <c r="IOA47" s="595"/>
      <c r="IOB47" s="595"/>
      <c r="IOC47" s="595"/>
      <c r="IOD47" s="595"/>
      <c r="IOE47" s="595"/>
      <c r="IOF47" s="595"/>
      <c r="IOG47" s="595"/>
      <c r="IOH47" s="595"/>
      <c r="IOI47" s="595"/>
      <c r="IOJ47" s="595"/>
      <c r="IOK47" s="595"/>
      <c r="IOL47" s="595"/>
      <c r="IOM47" s="595"/>
      <c r="ION47" s="595"/>
      <c r="IOO47" s="595"/>
      <c r="IOP47" s="595"/>
      <c r="IOQ47" s="595"/>
      <c r="IOR47" s="595"/>
      <c r="IOS47" s="595"/>
      <c r="IOT47" s="595"/>
      <c r="IOU47" s="595"/>
      <c r="IOV47" s="595"/>
      <c r="IOW47" s="595"/>
      <c r="IOX47" s="595"/>
      <c r="IOY47" s="595"/>
      <c r="IOZ47" s="595"/>
      <c r="IPA47" s="595"/>
      <c r="IPB47" s="595"/>
      <c r="IPC47" s="595"/>
      <c r="IPD47" s="595"/>
      <c r="IPE47" s="595"/>
      <c r="IPF47" s="595"/>
      <c r="IPG47" s="595"/>
      <c r="IPH47" s="595"/>
      <c r="IPI47" s="595"/>
      <c r="IPJ47" s="595"/>
      <c r="IPK47" s="595"/>
      <c r="IPL47" s="595"/>
      <c r="IPM47" s="595"/>
      <c r="IPN47" s="595"/>
      <c r="IPO47" s="595"/>
      <c r="IPP47" s="595"/>
      <c r="IPQ47" s="595"/>
      <c r="IPR47" s="595"/>
      <c r="IPS47" s="595"/>
      <c r="IPT47" s="595"/>
      <c r="IPU47" s="595"/>
      <c r="IPV47" s="595"/>
      <c r="IPW47" s="595"/>
      <c r="IPX47" s="595"/>
      <c r="IPY47" s="595"/>
      <c r="IPZ47" s="595"/>
      <c r="IQA47" s="595"/>
      <c r="IQB47" s="595"/>
      <c r="IQC47" s="595"/>
      <c r="IQD47" s="595"/>
      <c r="IQE47" s="595"/>
      <c r="IQF47" s="595"/>
      <c r="IQG47" s="595"/>
      <c r="IQH47" s="595"/>
      <c r="IQI47" s="595"/>
      <c r="IQJ47" s="595"/>
      <c r="IQK47" s="595"/>
      <c r="IQL47" s="595"/>
      <c r="IQM47" s="595"/>
      <c r="IQN47" s="595"/>
      <c r="IQO47" s="595"/>
      <c r="IQP47" s="595"/>
      <c r="IQQ47" s="595"/>
      <c r="IQR47" s="595"/>
      <c r="IQS47" s="595"/>
      <c r="IQT47" s="595"/>
      <c r="IQU47" s="595"/>
      <c r="IQV47" s="595"/>
      <c r="IQW47" s="595"/>
      <c r="IQX47" s="595"/>
      <c r="IQY47" s="595"/>
      <c r="IQZ47" s="595"/>
      <c r="IRA47" s="595"/>
      <c r="IRB47" s="595"/>
      <c r="IRC47" s="595"/>
      <c r="IRD47" s="595"/>
      <c r="IRE47" s="595"/>
      <c r="IRF47" s="595"/>
      <c r="IRG47" s="595"/>
      <c r="IRH47" s="595"/>
      <c r="IRI47" s="595"/>
      <c r="IRJ47" s="595"/>
      <c r="IRK47" s="595"/>
      <c r="IRL47" s="595"/>
      <c r="IRM47" s="595"/>
      <c r="IRN47" s="595"/>
      <c r="IRO47" s="595"/>
      <c r="IRP47" s="595"/>
      <c r="IRQ47" s="595"/>
      <c r="IRR47" s="595"/>
      <c r="IRS47" s="595"/>
      <c r="IRT47" s="595"/>
      <c r="IRU47" s="595"/>
      <c r="IRV47" s="595"/>
      <c r="IRW47" s="595"/>
      <c r="IRX47" s="595"/>
      <c r="IRY47" s="595"/>
      <c r="IRZ47" s="595"/>
      <c r="ISA47" s="595"/>
      <c r="ISB47" s="595"/>
      <c r="ISC47" s="595"/>
      <c r="ISD47" s="595"/>
      <c r="ISE47" s="595"/>
      <c r="ISF47" s="595"/>
      <c r="ISG47" s="595"/>
      <c r="ISH47" s="595"/>
      <c r="ISI47" s="595"/>
      <c r="ISJ47" s="595"/>
      <c r="ISK47" s="595"/>
      <c r="ISL47" s="595"/>
      <c r="ISM47" s="595"/>
      <c r="ISN47" s="595"/>
      <c r="ISO47" s="595"/>
      <c r="ISP47" s="595"/>
      <c r="ISQ47" s="595"/>
      <c r="ISR47" s="595"/>
      <c r="ISS47" s="595"/>
      <c r="IST47" s="595"/>
      <c r="ISU47" s="595"/>
      <c r="ISV47" s="595"/>
      <c r="ISW47" s="595"/>
      <c r="ISX47" s="595"/>
      <c r="ISY47" s="595"/>
      <c r="ISZ47" s="595"/>
      <c r="ITA47" s="595"/>
      <c r="ITB47" s="595"/>
      <c r="ITC47" s="595"/>
      <c r="ITD47" s="595"/>
      <c r="ITE47" s="595"/>
      <c r="ITF47" s="595"/>
      <c r="ITG47" s="595"/>
      <c r="ITH47" s="595"/>
      <c r="ITI47" s="595"/>
      <c r="ITJ47" s="595"/>
      <c r="ITK47" s="595"/>
      <c r="ITL47" s="595"/>
      <c r="ITM47" s="595"/>
      <c r="ITN47" s="595"/>
      <c r="ITO47" s="595"/>
      <c r="ITP47" s="595"/>
      <c r="ITQ47" s="595"/>
      <c r="ITR47" s="595"/>
      <c r="ITS47" s="595"/>
      <c r="ITT47" s="595"/>
      <c r="ITU47" s="595"/>
      <c r="ITV47" s="595"/>
      <c r="ITW47" s="595"/>
      <c r="ITX47" s="595"/>
      <c r="ITY47" s="595"/>
      <c r="ITZ47" s="595"/>
      <c r="IUA47" s="595"/>
      <c r="IUB47" s="595"/>
      <c r="IUC47" s="595"/>
      <c r="IUD47" s="595"/>
      <c r="IUE47" s="595"/>
      <c r="IUF47" s="595"/>
      <c r="IUG47" s="595"/>
      <c r="IUH47" s="595"/>
      <c r="IUI47" s="595"/>
      <c r="IUJ47" s="595"/>
      <c r="IUK47" s="595"/>
      <c r="IUL47" s="595"/>
      <c r="IUM47" s="595"/>
      <c r="IUN47" s="595"/>
      <c r="IUO47" s="595"/>
      <c r="IUP47" s="595"/>
      <c r="IUQ47" s="595"/>
      <c r="IUR47" s="595"/>
      <c r="IUS47" s="595"/>
      <c r="IUT47" s="595"/>
      <c r="IUU47" s="595"/>
      <c r="IUV47" s="595"/>
      <c r="IUW47" s="595"/>
      <c r="IUX47" s="595"/>
      <c r="IUY47" s="595"/>
      <c r="IUZ47" s="595"/>
      <c r="IVA47" s="595"/>
      <c r="IVB47" s="595"/>
      <c r="IVC47" s="595"/>
      <c r="IVD47" s="595"/>
      <c r="IVE47" s="595"/>
      <c r="IVF47" s="595"/>
      <c r="IVG47" s="595"/>
      <c r="IVH47" s="595"/>
      <c r="IVI47" s="595"/>
      <c r="IVJ47" s="595"/>
      <c r="IVK47" s="595"/>
      <c r="IVL47" s="595"/>
      <c r="IVM47" s="595"/>
      <c r="IVN47" s="595"/>
      <c r="IVO47" s="595"/>
      <c r="IVP47" s="595"/>
      <c r="IVQ47" s="595"/>
      <c r="IVR47" s="595"/>
      <c r="IVS47" s="595"/>
      <c r="IVT47" s="595"/>
      <c r="IVU47" s="595"/>
      <c r="IVV47" s="595"/>
      <c r="IVW47" s="595"/>
      <c r="IVX47" s="595"/>
      <c r="IVY47" s="595"/>
      <c r="IVZ47" s="595"/>
      <c r="IWA47" s="595"/>
      <c r="IWB47" s="595"/>
      <c r="IWC47" s="595"/>
      <c r="IWD47" s="595"/>
      <c r="IWE47" s="595"/>
      <c r="IWF47" s="595"/>
      <c r="IWG47" s="595"/>
      <c r="IWH47" s="595"/>
      <c r="IWI47" s="595"/>
      <c r="IWJ47" s="595"/>
      <c r="IWK47" s="595"/>
      <c r="IWL47" s="595"/>
      <c r="IWM47" s="595"/>
      <c r="IWN47" s="595"/>
      <c r="IWO47" s="595"/>
      <c r="IWP47" s="595"/>
      <c r="IWQ47" s="595"/>
      <c r="IWR47" s="595"/>
      <c r="IWS47" s="595"/>
      <c r="IWT47" s="595"/>
      <c r="IWU47" s="595"/>
      <c r="IWV47" s="595"/>
      <c r="IWW47" s="595"/>
      <c r="IWX47" s="595"/>
      <c r="IWY47" s="595"/>
      <c r="IWZ47" s="595"/>
      <c r="IXA47" s="595"/>
      <c r="IXB47" s="595"/>
      <c r="IXC47" s="595"/>
      <c r="IXD47" s="595"/>
      <c r="IXE47" s="595"/>
      <c r="IXF47" s="595"/>
      <c r="IXG47" s="595"/>
      <c r="IXH47" s="595"/>
      <c r="IXI47" s="595"/>
      <c r="IXJ47" s="595"/>
      <c r="IXK47" s="595"/>
      <c r="IXL47" s="595"/>
      <c r="IXM47" s="595"/>
      <c r="IXN47" s="595"/>
      <c r="IXO47" s="595"/>
      <c r="IXP47" s="595"/>
      <c r="IXQ47" s="595"/>
      <c r="IXR47" s="595"/>
      <c r="IXS47" s="595"/>
      <c r="IXT47" s="595"/>
      <c r="IXU47" s="595"/>
      <c r="IXV47" s="595"/>
      <c r="IXW47" s="595"/>
      <c r="IXX47" s="595"/>
      <c r="IXY47" s="595"/>
      <c r="IXZ47" s="595"/>
      <c r="IYA47" s="595"/>
      <c r="IYB47" s="595"/>
      <c r="IYC47" s="595"/>
      <c r="IYD47" s="595"/>
      <c r="IYE47" s="595"/>
      <c r="IYF47" s="595"/>
      <c r="IYG47" s="595"/>
      <c r="IYH47" s="595"/>
      <c r="IYI47" s="595"/>
      <c r="IYJ47" s="595"/>
      <c r="IYK47" s="595"/>
      <c r="IYL47" s="595"/>
      <c r="IYM47" s="595"/>
      <c r="IYN47" s="595"/>
      <c r="IYO47" s="595"/>
      <c r="IYP47" s="595"/>
      <c r="IYQ47" s="595"/>
      <c r="IYR47" s="595"/>
      <c r="IYS47" s="595"/>
      <c r="IYT47" s="595"/>
      <c r="IYU47" s="595"/>
      <c r="IYV47" s="595"/>
      <c r="IYW47" s="595"/>
      <c r="IYX47" s="595"/>
      <c r="IYY47" s="595"/>
      <c r="IYZ47" s="595"/>
      <c r="IZA47" s="595"/>
      <c r="IZB47" s="595"/>
      <c r="IZC47" s="595"/>
      <c r="IZD47" s="595"/>
      <c r="IZE47" s="595"/>
      <c r="IZF47" s="595"/>
      <c r="IZG47" s="595"/>
      <c r="IZH47" s="595"/>
      <c r="IZI47" s="595"/>
      <c r="IZJ47" s="595"/>
      <c r="IZK47" s="595"/>
      <c r="IZL47" s="595"/>
      <c r="IZM47" s="595"/>
      <c r="IZN47" s="595"/>
      <c r="IZO47" s="595"/>
      <c r="IZP47" s="595"/>
      <c r="IZQ47" s="595"/>
      <c r="IZR47" s="595"/>
      <c r="IZS47" s="595"/>
      <c r="IZT47" s="595"/>
      <c r="IZU47" s="595"/>
      <c r="IZV47" s="595"/>
      <c r="IZW47" s="595"/>
      <c r="IZX47" s="595"/>
      <c r="IZY47" s="595"/>
      <c r="IZZ47" s="595"/>
      <c r="JAA47" s="595"/>
      <c r="JAB47" s="595"/>
      <c r="JAC47" s="595"/>
      <c r="JAD47" s="595"/>
      <c r="JAE47" s="595"/>
      <c r="JAF47" s="595"/>
      <c r="JAG47" s="595"/>
      <c r="JAH47" s="595"/>
      <c r="JAI47" s="595"/>
      <c r="JAJ47" s="595"/>
      <c r="JAK47" s="595"/>
      <c r="JAL47" s="595"/>
      <c r="JAM47" s="595"/>
      <c r="JAN47" s="595"/>
      <c r="JAO47" s="595"/>
      <c r="JAP47" s="595"/>
      <c r="JAQ47" s="595"/>
      <c r="JAR47" s="595"/>
      <c r="JAS47" s="595"/>
      <c r="JAT47" s="595"/>
      <c r="JAU47" s="595"/>
      <c r="JAV47" s="595"/>
      <c r="JAW47" s="595"/>
      <c r="JAX47" s="595"/>
      <c r="JAY47" s="595"/>
      <c r="JAZ47" s="595"/>
      <c r="JBA47" s="595"/>
      <c r="JBB47" s="595"/>
      <c r="JBC47" s="595"/>
      <c r="JBD47" s="595"/>
      <c r="JBE47" s="595"/>
      <c r="JBF47" s="595"/>
      <c r="JBG47" s="595"/>
      <c r="JBH47" s="595"/>
      <c r="JBI47" s="595"/>
      <c r="JBJ47" s="595"/>
      <c r="JBK47" s="595"/>
      <c r="JBL47" s="595"/>
      <c r="JBM47" s="595"/>
      <c r="JBN47" s="595"/>
      <c r="JBO47" s="595"/>
      <c r="JBP47" s="595"/>
      <c r="JBQ47" s="595"/>
      <c r="JBR47" s="595"/>
      <c r="JBS47" s="595"/>
      <c r="JBT47" s="595"/>
      <c r="JBU47" s="595"/>
      <c r="JBV47" s="595"/>
      <c r="JBW47" s="595"/>
      <c r="JBX47" s="595"/>
      <c r="JBY47" s="595"/>
      <c r="JBZ47" s="595"/>
      <c r="JCA47" s="595"/>
      <c r="JCB47" s="595"/>
      <c r="JCC47" s="595"/>
      <c r="JCD47" s="595"/>
      <c r="JCE47" s="595"/>
      <c r="JCF47" s="595"/>
      <c r="JCG47" s="595"/>
      <c r="JCH47" s="595"/>
      <c r="JCI47" s="595"/>
      <c r="JCJ47" s="595"/>
      <c r="JCK47" s="595"/>
      <c r="JCL47" s="595"/>
      <c r="JCM47" s="595"/>
      <c r="JCN47" s="595"/>
      <c r="JCO47" s="595"/>
      <c r="JCP47" s="595"/>
      <c r="JCQ47" s="595"/>
      <c r="JCR47" s="595"/>
      <c r="JCS47" s="595"/>
      <c r="JCT47" s="595"/>
      <c r="JCU47" s="595"/>
      <c r="JCV47" s="595"/>
      <c r="JCW47" s="595"/>
      <c r="JCX47" s="595"/>
      <c r="JCY47" s="595"/>
      <c r="JCZ47" s="595"/>
      <c r="JDA47" s="595"/>
      <c r="JDB47" s="595"/>
      <c r="JDC47" s="595"/>
      <c r="JDD47" s="595"/>
      <c r="JDE47" s="595"/>
      <c r="JDF47" s="595"/>
      <c r="JDG47" s="595"/>
      <c r="JDH47" s="595"/>
      <c r="JDI47" s="595"/>
      <c r="JDJ47" s="595"/>
      <c r="JDK47" s="595"/>
      <c r="JDL47" s="595"/>
      <c r="JDM47" s="595"/>
      <c r="JDN47" s="595"/>
      <c r="JDO47" s="595"/>
      <c r="JDP47" s="595"/>
      <c r="JDQ47" s="595"/>
      <c r="JDR47" s="595"/>
      <c r="JDS47" s="595"/>
      <c r="JDT47" s="595"/>
      <c r="JDU47" s="595"/>
      <c r="JDV47" s="595"/>
      <c r="JDW47" s="595"/>
      <c r="JDX47" s="595"/>
      <c r="JDY47" s="595"/>
      <c r="JDZ47" s="595"/>
      <c r="JEA47" s="595"/>
      <c r="JEB47" s="595"/>
      <c r="JEC47" s="595"/>
      <c r="JED47" s="595"/>
      <c r="JEE47" s="595"/>
      <c r="JEF47" s="595"/>
      <c r="JEG47" s="595"/>
      <c r="JEH47" s="595"/>
      <c r="JEI47" s="595"/>
      <c r="JEJ47" s="595"/>
      <c r="JEK47" s="595"/>
      <c r="JEL47" s="595"/>
      <c r="JEM47" s="595"/>
      <c r="JEN47" s="595"/>
      <c r="JEO47" s="595"/>
      <c r="JEP47" s="595"/>
      <c r="JEQ47" s="595"/>
      <c r="JER47" s="595"/>
      <c r="JES47" s="595"/>
      <c r="JET47" s="595"/>
      <c r="JEU47" s="595"/>
      <c r="JEV47" s="595"/>
      <c r="JEW47" s="595"/>
      <c r="JEX47" s="595"/>
      <c r="JEY47" s="595"/>
      <c r="JEZ47" s="595"/>
      <c r="JFA47" s="595"/>
      <c r="JFB47" s="595"/>
      <c r="JFC47" s="595"/>
      <c r="JFD47" s="595"/>
      <c r="JFE47" s="595"/>
      <c r="JFF47" s="595"/>
      <c r="JFG47" s="595"/>
      <c r="JFH47" s="595"/>
      <c r="JFI47" s="595"/>
      <c r="JFJ47" s="595"/>
      <c r="JFK47" s="595"/>
      <c r="JFL47" s="595"/>
      <c r="JFM47" s="595"/>
      <c r="JFN47" s="595"/>
      <c r="JFO47" s="595"/>
      <c r="JFP47" s="595"/>
      <c r="JFQ47" s="595"/>
      <c r="JFR47" s="595"/>
      <c r="JFS47" s="595"/>
      <c r="JFT47" s="595"/>
      <c r="JFU47" s="595"/>
      <c r="JFV47" s="595"/>
      <c r="JFW47" s="595"/>
      <c r="JFX47" s="595"/>
      <c r="JFY47" s="595"/>
      <c r="JFZ47" s="595"/>
      <c r="JGA47" s="595"/>
      <c r="JGB47" s="595"/>
      <c r="JGC47" s="595"/>
      <c r="JGD47" s="595"/>
      <c r="JGE47" s="595"/>
      <c r="JGF47" s="595"/>
      <c r="JGG47" s="595"/>
      <c r="JGH47" s="595"/>
      <c r="JGI47" s="595"/>
      <c r="JGJ47" s="595"/>
      <c r="JGK47" s="595"/>
      <c r="JGL47" s="595"/>
      <c r="JGM47" s="595"/>
      <c r="JGN47" s="595"/>
      <c r="JGO47" s="595"/>
      <c r="JGP47" s="595"/>
      <c r="JGQ47" s="595"/>
      <c r="JGR47" s="595"/>
      <c r="JGS47" s="595"/>
      <c r="JGT47" s="595"/>
      <c r="JGU47" s="595"/>
      <c r="JGV47" s="595"/>
      <c r="JGW47" s="595"/>
      <c r="JGX47" s="595"/>
      <c r="JGY47" s="595"/>
      <c r="JGZ47" s="595"/>
      <c r="JHA47" s="595"/>
      <c r="JHB47" s="595"/>
      <c r="JHC47" s="595"/>
      <c r="JHD47" s="595"/>
      <c r="JHE47" s="595"/>
      <c r="JHF47" s="595"/>
      <c r="JHG47" s="595"/>
      <c r="JHH47" s="595"/>
      <c r="JHI47" s="595"/>
      <c r="JHJ47" s="595"/>
      <c r="JHK47" s="595"/>
      <c r="JHL47" s="595"/>
      <c r="JHM47" s="595"/>
      <c r="JHN47" s="595"/>
      <c r="JHO47" s="595"/>
      <c r="JHP47" s="595"/>
      <c r="JHQ47" s="595"/>
      <c r="JHR47" s="595"/>
      <c r="JHS47" s="595"/>
      <c r="JHT47" s="595"/>
      <c r="JHU47" s="595"/>
      <c r="JHV47" s="595"/>
      <c r="JHW47" s="595"/>
      <c r="JHX47" s="595"/>
      <c r="JHY47" s="595"/>
      <c r="JHZ47" s="595"/>
      <c r="JIA47" s="595"/>
      <c r="JIB47" s="595"/>
      <c r="JIC47" s="595"/>
      <c r="JID47" s="595"/>
      <c r="JIE47" s="595"/>
      <c r="JIF47" s="595"/>
      <c r="JIG47" s="595"/>
      <c r="JIH47" s="595"/>
      <c r="JII47" s="595"/>
      <c r="JIJ47" s="595"/>
      <c r="JIK47" s="595"/>
      <c r="JIL47" s="595"/>
      <c r="JIM47" s="595"/>
      <c r="JIN47" s="595"/>
      <c r="JIO47" s="595"/>
      <c r="JIP47" s="595"/>
      <c r="JIQ47" s="595"/>
      <c r="JIR47" s="595"/>
      <c r="JIS47" s="595"/>
      <c r="JIT47" s="595"/>
      <c r="JIU47" s="595"/>
      <c r="JIV47" s="595"/>
      <c r="JIW47" s="595"/>
      <c r="JIX47" s="595"/>
      <c r="JIY47" s="595"/>
      <c r="JIZ47" s="595"/>
      <c r="JJA47" s="595"/>
      <c r="JJB47" s="595"/>
      <c r="JJC47" s="595"/>
      <c r="JJD47" s="595"/>
      <c r="JJE47" s="595"/>
      <c r="JJF47" s="595"/>
      <c r="JJG47" s="595"/>
      <c r="JJH47" s="595"/>
      <c r="JJI47" s="595"/>
      <c r="JJJ47" s="595"/>
      <c r="JJK47" s="595"/>
      <c r="JJL47" s="595"/>
      <c r="JJM47" s="595"/>
      <c r="JJN47" s="595"/>
      <c r="JJO47" s="595"/>
      <c r="JJP47" s="595"/>
      <c r="JJQ47" s="595"/>
      <c r="JJR47" s="595"/>
      <c r="JJS47" s="595"/>
      <c r="JJT47" s="595"/>
      <c r="JJU47" s="595"/>
      <c r="JJV47" s="595"/>
      <c r="JJW47" s="595"/>
      <c r="JJX47" s="595"/>
      <c r="JJY47" s="595"/>
      <c r="JJZ47" s="595"/>
      <c r="JKA47" s="595"/>
      <c r="JKB47" s="595"/>
      <c r="JKC47" s="595"/>
      <c r="JKD47" s="595"/>
      <c r="JKE47" s="595"/>
      <c r="JKF47" s="595"/>
      <c r="JKG47" s="595"/>
      <c r="JKH47" s="595"/>
      <c r="JKI47" s="595"/>
      <c r="JKJ47" s="595"/>
      <c r="JKK47" s="595"/>
      <c r="JKL47" s="595"/>
      <c r="JKM47" s="595"/>
      <c r="JKN47" s="595"/>
      <c r="JKO47" s="595"/>
      <c r="JKP47" s="595"/>
      <c r="JKQ47" s="595"/>
      <c r="JKR47" s="595"/>
      <c r="JKS47" s="595"/>
      <c r="JKT47" s="595"/>
      <c r="JKU47" s="595"/>
      <c r="JKV47" s="595"/>
      <c r="JKW47" s="595"/>
      <c r="JKX47" s="595"/>
      <c r="JKY47" s="595"/>
      <c r="JKZ47" s="595"/>
      <c r="JLA47" s="595"/>
      <c r="JLB47" s="595"/>
      <c r="JLC47" s="595"/>
      <c r="JLD47" s="595"/>
      <c r="JLE47" s="595"/>
      <c r="JLF47" s="595"/>
      <c r="JLG47" s="595"/>
      <c r="JLH47" s="595"/>
      <c r="JLI47" s="595"/>
      <c r="JLJ47" s="595"/>
      <c r="JLK47" s="595"/>
      <c r="JLL47" s="595"/>
      <c r="JLM47" s="595"/>
      <c r="JLN47" s="595"/>
      <c r="JLO47" s="595"/>
      <c r="JLP47" s="595"/>
      <c r="JLQ47" s="595"/>
      <c r="JLR47" s="595"/>
      <c r="JLS47" s="595"/>
      <c r="JLT47" s="595"/>
      <c r="JLU47" s="595"/>
      <c r="JLV47" s="595"/>
      <c r="JLW47" s="595"/>
      <c r="JLX47" s="595"/>
      <c r="JLY47" s="595"/>
      <c r="JLZ47" s="595"/>
      <c r="JMA47" s="595"/>
      <c r="JMB47" s="595"/>
      <c r="JMC47" s="595"/>
      <c r="JMD47" s="595"/>
      <c r="JME47" s="595"/>
      <c r="JMF47" s="595"/>
      <c r="JMG47" s="595"/>
      <c r="JMH47" s="595"/>
      <c r="JMI47" s="595"/>
      <c r="JMJ47" s="595"/>
      <c r="JMK47" s="595"/>
      <c r="JML47" s="595"/>
      <c r="JMM47" s="595"/>
      <c r="JMN47" s="595"/>
      <c r="JMO47" s="595"/>
      <c r="JMP47" s="595"/>
      <c r="JMQ47" s="595"/>
      <c r="JMR47" s="595"/>
      <c r="JMS47" s="595"/>
      <c r="JMT47" s="595"/>
      <c r="JMU47" s="595"/>
      <c r="JMV47" s="595"/>
      <c r="JMW47" s="595"/>
      <c r="JMX47" s="595"/>
      <c r="JMY47" s="595"/>
      <c r="JMZ47" s="595"/>
      <c r="JNA47" s="595"/>
      <c r="JNB47" s="595"/>
      <c r="JNC47" s="595"/>
      <c r="JND47" s="595"/>
      <c r="JNE47" s="595"/>
      <c r="JNF47" s="595"/>
      <c r="JNG47" s="595"/>
      <c r="JNH47" s="595"/>
      <c r="JNI47" s="595"/>
      <c r="JNJ47" s="595"/>
      <c r="JNK47" s="595"/>
      <c r="JNL47" s="595"/>
      <c r="JNM47" s="595"/>
      <c r="JNN47" s="595"/>
      <c r="JNO47" s="595"/>
      <c r="JNP47" s="595"/>
      <c r="JNQ47" s="595"/>
      <c r="JNR47" s="595"/>
      <c r="JNS47" s="595"/>
      <c r="JNT47" s="595"/>
      <c r="JNU47" s="595"/>
      <c r="JNV47" s="595"/>
      <c r="JNW47" s="595"/>
      <c r="JNX47" s="595"/>
      <c r="JNY47" s="595"/>
      <c r="JNZ47" s="595"/>
      <c r="JOA47" s="595"/>
      <c r="JOB47" s="595"/>
      <c r="JOC47" s="595"/>
      <c r="JOD47" s="595"/>
      <c r="JOE47" s="595"/>
      <c r="JOF47" s="595"/>
      <c r="JOG47" s="595"/>
      <c r="JOH47" s="595"/>
      <c r="JOI47" s="595"/>
      <c r="JOJ47" s="595"/>
      <c r="JOK47" s="595"/>
      <c r="JOL47" s="595"/>
      <c r="JOM47" s="595"/>
      <c r="JON47" s="595"/>
      <c r="JOO47" s="595"/>
      <c r="JOP47" s="595"/>
      <c r="JOQ47" s="595"/>
      <c r="JOR47" s="595"/>
      <c r="JOS47" s="595"/>
      <c r="JOT47" s="595"/>
      <c r="JOU47" s="595"/>
      <c r="JOV47" s="595"/>
      <c r="JOW47" s="595"/>
      <c r="JOX47" s="595"/>
      <c r="JOY47" s="595"/>
      <c r="JOZ47" s="595"/>
      <c r="JPA47" s="595"/>
      <c r="JPB47" s="595"/>
      <c r="JPC47" s="595"/>
      <c r="JPD47" s="595"/>
      <c r="JPE47" s="595"/>
      <c r="JPF47" s="595"/>
      <c r="JPG47" s="595"/>
      <c r="JPH47" s="595"/>
      <c r="JPI47" s="595"/>
      <c r="JPJ47" s="595"/>
      <c r="JPK47" s="595"/>
      <c r="JPL47" s="595"/>
      <c r="JPM47" s="595"/>
      <c r="JPN47" s="595"/>
      <c r="JPO47" s="595"/>
      <c r="JPP47" s="595"/>
      <c r="JPQ47" s="595"/>
      <c r="JPR47" s="595"/>
      <c r="JPS47" s="595"/>
      <c r="JPT47" s="595"/>
      <c r="JPU47" s="595"/>
      <c r="JPV47" s="595"/>
      <c r="JPW47" s="595"/>
      <c r="JPX47" s="595"/>
      <c r="JPY47" s="595"/>
      <c r="JPZ47" s="595"/>
      <c r="JQA47" s="595"/>
      <c r="JQB47" s="595"/>
      <c r="JQC47" s="595"/>
      <c r="JQD47" s="595"/>
      <c r="JQE47" s="595"/>
      <c r="JQF47" s="595"/>
      <c r="JQG47" s="595"/>
      <c r="JQH47" s="595"/>
      <c r="JQI47" s="595"/>
      <c r="JQJ47" s="595"/>
      <c r="JQK47" s="595"/>
      <c r="JQL47" s="595"/>
      <c r="JQM47" s="595"/>
      <c r="JQN47" s="595"/>
      <c r="JQO47" s="595"/>
      <c r="JQP47" s="595"/>
      <c r="JQQ47" s="595"/>
      <c r="JQR47" s="595"/>
      <c r="JQS47" s="595"/>
      <c r="JQT47" s="595"/>
      <c r="JQU47" s="595"/>
      <c r="JQV47" s="595"/>
      <c r="JQW47" s="595"/>
      <c r="JQX47" s="595"/>
      <c r="JQY47" s="595"/>
      <c r="JQZ47" s="595"/>
      <c r="JRA47" s="595"/>
      <c r="JRB47" s="595"/>
      <c r="JRC47" s="595"/>
      <c r="JRD47" s="595"/>
      <c r="JRE47" s="595"/>
      <c r="JRF47" s="595"/>
      <c r="JRG47" s="595"/>
      <c r="JRH47" s="595"/>
      <c r="JRI47" s="595"/>
      <c r="JRJ47" s="595"/>
      <c r="JRK47" s="595"/>
      <c r="JRL47" s="595"/>
      <c r="JRM47" s="595"/>
      <c r="JRN47" s="595"/>
      <c r="JRO47" s="595"/>
      <c r="JRP47" s="595"/>
      <c r="JRQ47" s="595"/>
      <c r="JRR47" s="595"/>
      <c r="JRS47" s="595"/>
      <c r="JRT47" s="595"/>
      <c r="JRU47" s="595"/>
      <c r="JRV47" s="595"/>
      <c r="JRW47" s="595"/>
      <c r="JRX47" s="595"/>
      <c r="JRY47" s="595"/>
      <c r="JRZ47" s="595"/>
      <c r="JSA47" s="595"/>
      <c r="JSB47" s="595"/>
      <c r="JSC47" s="595"/>
      <c r="JSD47" s="595"/>
      <c r="JSE47" s="595"/>
      <c r="JSF47" s="595"/>
      <c r="JSG47" s="595"/>
      <c r="JSH47" s="595"/>
      <c r="JSI47" s="595"/>
      <c r="JSJ47" s="595"/>
      <c r="JSK47" s="595"/>
      <c r="JSL47" s="595"/>
      <c r="JSM47" s="595"/>
      <c r="JSN47" s="595"/>
      <c r="JSO47" s="595"/>
      <c r="JSP47" s="595"/>
      <c r="JSQ47" s="595"/>
      <c r="JSR47" s="595"/>
      <c r="JSS47" s="595"/>
      <c r="JST47" s="595"/>
      <c r="JSU47" s="595"/>
      <c r="JSV47" s="595"/>
      <c r="JSW47" s="595"/>
      <c r="JSX47" s="595"/>
      <c r="JSY47" s="595"/>
      <c r="JSZ47" s="595"/>
      <c r="JTA47" s="595"/>
      <c r="JTB47" s="595"/>
      <c r="JTC47" s="595"/>
      <c r="JTD47" s="595"/>
      <c r="JTE47" s="595"/>
      <c r="JTF47" s="595"/>
      <c r="JTG47" s="595"/>
      <c r="JTH47" s="595"/>
      <c r="JTI47" s="595"/>
      <c r="JTJ47" s="595"/>
      <c r="JTK47" s="595"/>
      <c r="JTL47" s="595"/>
      <c r="JTM47" s="595"/>
      <c r="JTN47" s="595"/>
      <c r="JTO47" s="595"/>
      <c r="JTP47" s="595"/>
      <c r="JTQ47" s="595"/>
      <c r="JTR47" s="595"/>
      <c r="JTS47" s="595"/>
      <c r="JTT47" s="595"/>
      <c r="JTU47" s="595"/>
      <c r="JTV47" s="595"/>
      <c r="JTW47" s="595"/>
      <c r="JTX47" s="595"/>
      <c r="JTY47" s="595"/>
      <c r="JTZ47" s="595"/>
      <c r="JUA47" s="595"/>
      <c r="JUB47" s="595"/>
      <c r="JUC47" s="595"/>
      <c r="JUD47" s="595"/>
      <c r="JUE47" s="595"/>
      <c r="JUF47" s="595"/>
      <c r="JUG47" s="595"/>
      <c r="JUH47" s="595"/>
      <c r="JUI47" s="595"/>
      <c r="JUJ47" s="595"/>
      <c r="JUK47" s="595"/>
      <c r="JUL47" s="595"/>
      <c r="JUM47" s="595"/>
      <c r="JUN47" s="595"/>
      <c r="JUO47" s="595"/>
      <c r="JUP47" s="595"/>
      <c r="JUQ47" s="595"/>
      <c r="JUR47" s="595"/>
      <c r="JUS47" s="595"/>
      <c r="JUT47" s="595"/>
      <c r="JUU47" s="595"/>
      <c r="JUV47" s="595"/>
      <c r="JUW47" s="595"/>
      <c r="JUX47" s="595"/>
      <c r="JUY47" s="595"/>
      <c r="JUZ47" s="595"/>
      <c r="JVA47" s="595"/>
      <c r="JVB47" s="595"/>
      <c r="JVC47" s="595"/>
      <c r="JVD47" s="595"/>
      <c r="JVE47" s="595"/>
      <c r="JVF47" s="595"/>
      <c r="JVG47" s="595"/>
      <c r="JVH47" s="595"/>
      <c r="JVI47" s="595"/>
      <c r="JVJ47" s="595"/>
      <c r="JVK47" s="595"/>
      <c r="JVL47" s="595"/>
      <c r="JVM47" s="595"/>
      <c r="JVN47" s="595"/>
      <c r="JVO47" s="595"/>
      <c r="JVP47" s="595"/>
      <c r="JVQ47" s="595"/>
      <c r="JVR47" s="595"/>
      <c r="JVS47" s="595"/>
      <c r="JVT47" s="595"/>
      <c r="JVU47" s="595"/>
      <c r="JVV47" s="595"/>
      <c r="JVW47" s="595"/>
      <c r="JVX47" s="595"/>
      <c r="JVY47" s="595"/>
      <c r="JVZ47" s="595"/>
      <c r="JWA47" s="595"/>
      <c r="JWB47" s="595"/>
      <c r="JWC47" s="595"/>
      <c r="JWD47" s="595"/>
      <c r="JWE47" s="595"/>
      <c r="JWF47" s="595"/>
      <c r="JWG47" s="595"/>
      <c r="JWH47" s="595"/>
      <c r="JWI47" s="595"/>
      <c r="JWJ47" s="595"/>
      <c r="JWK47" s="595"/>
      <c r="JWL47" s="595"/>
      <c r="JWM47" s="595"/>
      <c r="JWN47" s="595"/>
      <c r="JWO47" s="595"/>
      <c r="JWP47" s="595"/>
      <c r="JWQ47" s="595"/>
      <c r="JWR47" s="595"/>
      <c r="JWS47" s="595"/>
      <c r="JWT47" s="595"/>
      <c r="JWU47" s="595"/>
      <c r="JWV47" s="595"/>
      <c r="JWW47" s="595"/>
      <c r="JWX47" s="595"/>
      <c r="JWY47" s="595"/>
      <c r="JWZ47" s="595"/>
      <c r="JXA47" s="595"/>
      <c r="JXB47" s="595"/>
      <c r="JXC47" s="595"/>
      <c r="JXD47" s="595"/>
      <c r="JXE47" s="595"/>
      <c r="JXF47" s="595"/>
      <c r="JXG47" s="595"/>
      <c r="JXH47" s="595"/>
      <c r="JXI47" s="595"/>
      <c r="JXJ47" s="595"/>
      <c r="JXK47" s="595"/>
      <c r="JXL47" s="595"/>
      <c r="JXM47" s="595"/>
      <c r="JXN47" s="595"/>
      <c r="JXO47" s="595"/>
      <c r="JXP47" s="595"/>
      <c r="JXQ47" s="595"/>
      <c r="JXR47" s="595"/>
      <c r="JXS47" s="595"/>
      <c r="JXT47" s="595"/>
      <c r="JXU47" s="595"/>
      <c r="JXV47" s="595"/>
      <c r="JXW47" s="595"/>
      <c r="JXX47" s="595"/>
      <c r="JXY47" s="595"/>
      <c r="JXZ47" s="595"/>
      <c r="JYA47" s="595"/>
      <c r="JYB47" s="595"/>
      <c r="JYC47" s="595"/>
      <c r="JYD47" s="595"/>
      <c r="JYE47" s="595"/>
      <c r="JYF47" s="595"/>
      <c r="JYG47" s="595"/>
      <c r="JYH47" s="595"/>
      <c r="JYI47" s="595"/>
      <c r="JYJ47" s="595"/>
      <c r="JYK47" s="595"/>
      <c r="JYL47" s="595"/>
      <c r="JYM47" s="595"/>
      <c r="JYN47" s="595"/>
      <c r="JYO47" s="595"/>
      <c r="JYP47" s="595"/>
      <c r="JYQ47" s="595"/>
      <c r="JYR47" s="595"/>
      <c r="JYS47" s="595"/>
      <c r="JYT47" s="595"/>
      <c r="JYU47" s="595"/>
      <c r="JYV47" s="595"/>
      <c r="JYW47" s="595"/>
      <c r="JYX47" s="595"/>
      <c r="JYY47" s="595"/>
      <c r="JYZ47" s="595"/>
      <c r="JZA47" s="595"/>
      <c r="JZB47" s="595"/>
      <c r="JZC47" s="595"/>
      <c r="JZD47" s="595"/>
      <c r="JZE47" s="595"/>
      <c r="JZF47" s="595"/>
      <c r="JZG47" s="595"/>
      <c r="JZH47" s="595"/>
      <c r="JZI47" s="595"/>
      <c r="JZJ47" s="595"/>
      <c r="JZK47" s="595"/>
      <c r="JZL47" s="595"/>
      <c r="JZM47" s="595"/>
      <c r="JZN47" s="595"/>
      <c r="JZO47" s="595"/>
      <c r="JZP47" s="595"/>
      <c r="JZQ47" s="595"/>
      <c r="JZR47" s="595"/>
      <c r="JZS47" s="595"/>
      <c r="JZT47" s="595"/>
      <c r="JZU47" s="595"/>
      <c r="JZV47" s="595"/>
      <c r="JZW47" s="595"/>
      <c r="JZX47" s="595"/>
      <c r="JZY47" s="595"/>
      <c r="JZZ47" s="595"/>
      <c r="KAA47" s="595"/>
      <c r="KAB47" s="595"/>
      <c r="KAC47" s="595"/>
      <c r="KAD47" s="595"/>
      <c r="KAE47" s="595"/>
      <c r="KAF47" s="595"/>
      <c r="KAG47" s="595"/>
      <c r="KAH47" s="595"/>
      <c r="KAI47" s="595"/>
      <c r="KAJ47" s="595"/>
      <c r="KAK47" s="595"/>
      <c r="KAL47" s="595"/>
      <c r="KAM47" s="595"/>
      <c r="KAN47" s="595"/>
      <c r="KAO47" s="595"/>
      <c r="KAP47" s="595"/>
      <c r="KAQ47" s="595"/>
      <c r="KAR47" s="595"/>
      <c r="KAS47" s="595"/>
      <c r="KAT47" s="595"/>
      <c r="KAU47" s="595"/>
      <c r="KAV47" s="595"/>
      <c r="KAW47" s="595"/>
      <c r="KAX47" s="595"/>
      <c r="KAY47" s="595"/>
      <c r="KAZ47" s="595"/>
      <c r="KBA47" s="595"/>
      <c r="KBB47" s="595"/>
      <c r="KBC47" s="595"/>
      <c r="KBD47" s="595"/>
      <c r="KBE47" s="595"/>
      <c r="KBF47" s="595"/>
      <c r="KBG47" s="595"/>
      <c r="KBH47" s="595"/>
      <c r="KBI47" s="595"/>
      <c r="KBJ47" s="595"/>
      <c r="KBK47" s="595"/>
      <c r="KBL47" s="595"/>
      <c r="KBM47" s="595"/>
      <c r="KBN47" s="595"/>
      <c r="KBO47" s="595"/>
      <c r="KBP47" s="595"/>
      <c r="KBQ47" s="595"/>
      <c r="KBR47" s="595"/>
      <c r="KBS47" s="595"/>
      <c r="KBT47" s="595"/>
      <c r="KBU47" s="595"/>
      <c r="KBV47" s="595"/>
      <c r="KBW47" s="595"/>
      <c r="KBX47" s="595"/>
      <c r="KBY47" s="595"/>
      <c r="KBZ47" s="595"/>
      <c r="KCA47" s="595"/>
      <c r="KCB47" s="595"/>
      <c r="KCC47" s="595"/>
      <c r="KCD47" s="595"/>
      <c r="KCE47" s="595"/>
      <c r="KCF47" s="595"/>
      <c r="KCG47" s="595"/>
      <c r="KCH47" s="595"/>
      <c r="KCI47" s="595"/>
      <c r="KCJ47" s="595"/>
      <c r="KCK47" s="595"/>
      <c r="KCL47" s="595"/>
      <c r="KCM47" s="595"/>
      <c r="KCN47" s="595"/>
      <c r="KCO47" s="595"/>
      <c r="KCP47" s="595"/>
      <c r="KCQ47" s="595"/>
      <c r="KCR47" s="595"/>
      <c r="KCS47" s="595"/>
      <c r="KCT47" s="595"/>
      <c r="KCU47" s="595"/>
      <c r="KCV47" s="595"/>
      <c r="KCW47" s="595"/>
      <c r="KCX47" s="595"/>
      <c r="KCY47" s="595"/>
      <c r="KCZ47" s="595"/>
      <c r="KDA47" s="595"/>
      <c r="KDB47" s="595"/>
      <c r="KDC47" s="595"/>
      <c r="KDD47" s="595"/>
      <c r="KDE47" s="595"/>
      <c r="KDF47" s="595"/>
      <c r="KDG47" s="595"/>
      <c r="KDH47" s="595"/>
      <c r="KDI47" s="595"/>
      <c r="KDJ47" s="595"/>
      <c r="KDK47" s="595"/>
      <c r="KDL47" s="595"/>
      <c r="KDM47" s="595"/>
      <c r="KDN47" s="595"/>
      <c r="KDO47" s="595"/>
      <c r="KDP47" s="595"/>
      <c r="KDQ47" s="595"/>
      <c r="KDR47" s="595"/>
      <c r="KDS47" s="595"/>
      <c r="KDT47" s="595"/>
      <c r="KDU47" s="595"/>
      <c r="KDV47" s="595"/>
      <c r="KDW47" s="595"/>
      <c r="KDX47" s="595"/>
      <c r="KDY47" s="595"/>
      <c r="KDZ47" s="595"/>
      <c r="KEA47" s="595"/>
      <c r="KEB47" s="595"/>
      <c r="KEC47" s="595"/>
      <c r="KED47" s="595"/>
      <c r="KEE47" s="595"/>
      <c r="KEF47" s="595"/>
      <c r="KEG47" s="595"/>
      <c r="KEH47" s="595"/>
      <c r="KEI47" s="595"/>
      <c r="KEJ47" s="595"/>
      <c r="KEK47" s="595"/>
      <c r="KEL47" s="595"/>
      <c r="KEM47" s="595"/>
      <c r="KEN47" s="595"/>
      <c r="KEO47" s="595"/>
      <c r="KEP47" s="595"/>
      <c r="KEQ47" s="595"/>
      <c r="KER47" s="595"/>
      <c r="KES47" s="595"/>
      <c r="KET47" s="595"/>
      <c r="KEU47" s="595"/>
      <c r="KEV47" s="595"/>
      <c r="KEW47" s="595"/>
      <c r="KEX47" s="595"/>
      <c r="KEY47" s="595"/>
      <c r="KEZ47" s="595"/>
      <c r="KFA47" s="595"/>
      <c r="KFB47" s="595"/>
      <c r="KFC47" s="595"/>
      <c r="KFD47" s="595"/>
      <c r="KFE47" s="595"/>
      <c r="KFF47" s="595"/>
      <c r="KFG47" s="595"/>
      <c r="KFH47" s="595"/>
      <c r="KFI47" s="595"/>
      <c r="KFJ47" s="595"/>
      <c r="KFK47" s="595"/>
      <c r="KFL47" s="595"/>
      <c r="KFM47" s="595"/>
      <c r="KFN47" s="595"/>
      <c r="KFO47" s="595"/>
      <c r="KFP47" s="595"/>
      <c r="KFQ47" s="595"/>
      <c r="KFR47" s="595"/>
      <c r="KFS47" s="595"/>
      <c r="KFT47" s="595"/>
      <c r="KFU47" s="595"/>
      <c r="KFV47" s="595"/>
      <c r="KFW47" s="595"/>
      <c r="KFX47" s="595"/>
      <c r="KFY47" s="595"/>
      <c r="KFZ47" s="595"/>
      <c r="KGA47" s="595"/>
      <c r="KGB47" s="595"/>
      <c r="KGC47" s="595"/>
      <c r="KGD47" s="595"/>
      <c r="KGE47" s="595"/>
      <c r="KGF47" s="595"/>
      <c r="KGG47" s="595"/>
      <c r="KGH47" s="595"/>
      <c r="KGI47" s="595"/>
      <c r="KGJ47" s="595"/>
      <c r="KGK47" s="595"/>
      <c r="KGL47" s="595"/>
      <c r="KGM47" s="595"/>
      <c r="KGN47" s="595"/>
      <c r="KGO47" s="595"/>
      <c r="KGP47" s="595"/>
      <c r="KGQ47" s="595"/>
      <c r="KGR47" s="595"/>
      <c r="KGS47" s="595"/>
      <c r="KGT47" s="595"/>
      <c r="KGU47" s="595"/>
      <c r="KGV47" s="595"/>
      <c r="KGW47" s="595"/>
      <c r="KGX47" s="595"/>
      <c r="KGY47" s="595"/>
      <c r="KGZ47" s="595"/>
      <c r="KHA47" s="595"/>
      <c r="KHB47" s="595"/>
      <c r="KHC47" s="595"/>
      <c r="KHD47" s="595"/>
      <c r="KHE47" s="595"/>
      <c r="KHF47" s="595"/>
      <c r="KHG47" s="595"/>
      <c r="KHH47" s="595"/>
      <c r="KHI47" s="595"/>
      <c r="KHJ47" s="595"/>
      <c r="KHK47" s="595"/>
      <c r="KHL47" s="595"/>
      <c r="KHM47" s="595"/>
      <c r="KHN47" s="595"/>
      <c r="KHO47" s="595"/>
      <c r="KHP47" s="595"/>
      <c r="KHQ47" s="595"/>
      <c r="KHR47" s="595"/>
      <c r="KHS47" s="595"/>
      <c r="KHT47" s="595"/>
      <c r="KHU47" s="595"/>
      <c r="KHV47" s="595"/>
      <c r="KHW47" s="595"/>
      <c r="KHX47" s="595"/>
      <c r="KHY47" s="595"/>
      <c r="KHZ47" s="595"/>
      <c r="KIA47" s="595"/>
      <c r="KIB47" s="595"/>
      <c r="KIC47" s="595"/>
      <c r="KID47" s="595"/>
      <c r="KIE47" s="595"/>
      <c r="KIF47" s="595"/>
      <c r="KIG47" s="595"/>
      <c r="KIH47" s="595"/>
      <c r="KII47" s="595"/>
      <c r="KIJ47" s="595"/>
      <c r="KIK47" s="595"/>
      <c r="KIL47" s="595"/>
      <c r="KIM47" s="595"/>
      <c r="KIN47" s="595"/>
      <c r="KIO47" s="595"/>
      <c r="KIP47" s="595"/>
      <c r="KIQ47" s="595"/>
      <c r="KIR47" s="595"/>
      <c r="KIS47" s="595"/>
      <c r="KIT47" s="595"/>
      <c r="KIU47" s="595"/>
      <c r="KIV47" s="595"/>
      <c r="KIW47" s="595"/>
      <c r="KIX47" s="595"/>
      <c r="KIY47" s="595"/>
      <c r="KIZ47" s="595"/>
      <c r="KJA47" s="595"/>
      <c r="KJB47" s="595"/>
      <c r="KJC47" s="595"/>
      <c r="KJD47" s="595"/>
      <c r="KJE47" s="595"/>
      <c r="KJF47" s="595"/>
      <c r="KJG47" s="595"/>
      <c r="KJH47" s="595"/>
      <c r="KJI47" s="595"/>
      <c r="KJJ47" s="595"/>
      <c r="KJK47" s="595"/>
      <c r="KJL47" s="595"/>
      <c r="KJM47" s="595"/>
      <c r="KJN47" s="595"/>
      <c r="KJO47" s="595"/>
      <c r="KJP47" s="595"/>
      <c r="KJQ47" s="595"/>
      <c r="KJR47" s="595"/>
      <c r="KJS47" s="595"/>
      <c r="KJT47" s="595"/>
      <c r="KJU47" s="595"/>
      <c r="KJV47" s="595"/>
      <c r="KJW47" s="595"/>
      <c r="KJX47" s="595"/>
      <c r="KJY47" s="595"/>
      <c r="KJZ47" s="595"/>
      <c r="KKA47" s="595"/>
      <c r="KKB47" s="595"/>
      <c r="KKC47" s="595"/>
      <c r="KKD47" s="595"/>
      <c r="KKE47" s="595"/>
      <c r="KKF47" s="595"/>
      <c r="KKG47" s="595"/>
      <c r="KKH47" s="595"/>
      <c r="KKI47" s="595"/>
      <c r="KKJ47" s="595"/>
      <c r="KKK47" s="595"/>
      <c r="KKL47" s="595"/>
      <c r="KKM47" s="595"/>
      <c r="KKN47" s="595"/>
      <c r="KKO47" s="595"/>
      <c r="KKP47" s="595"/>
      <c r="KKQ47" s="595"/>
      <c r="KKR47" s="595"/>
      <c r="KKS47" s="595"/>
      <c r="KKT47" s="595"/>
      <c r="KKU47" s="595"/>
      <c r="KKV47" s="595"/>
      <c r="KKW47" s="595"/>
      <c r="KKX47" s="595"/>
      <c r="KKY47" s="595"/>
      <c r="KKZ47" s="595"/>
      <c r="KLA47" s="595"/>
      <c r="KLB47" s="595"/>
      <c r="KLC47" s="595"/>
      <c r="KLD47" s="595"/>
      <c r="KLE47" s="595"/>
      <c r="KLF47" s="595"/>
      <c r="KLG47" s="595"/>
      <c r="KLH47" s="595"/>
      <c r="KLI47" s="595"/>
      <c r="KLJ47" s="595"/>
      <c r="KLK47" s="595"/>
      <c r="KLL47" s="595"/>
      <c r="KLM47" s="595"/>
      <c r="KLN47" s="595"/>
      <c r="KLO47" s="595"/>
      <c r="KLP47" s="595"/>
      <c r="KLQ47" s="595"/>
      <c r="KLR47" s="595"/>
      <c r="KLS47" s="595"/>
      <c r="KLT47" s="595"/>
      <c r="KLU47" s="595"/>
      <c r="KLV47" s="595"/>
      <c r="KLW47" s="595"/>
      <c r="KLX47" s="595"/>
      <c r="KLY47" s="595"/>
      <c r="KLZ47" s="595"/>
      <c r="KMA47" s="595"/>
      <c r="KMB47" s="595"/>
      <c r="KMC47" s="595"/>
      <c r="KMD47" s="595"/>
      <c r="KME47" s="595"/>
      <c r="KMF47" s="595"/>
      <c r="KMG47" s="595"/>
      <c r="KMH47" s="595"/>
      <c r="KMI47" s="595"/>
      <c r="KMJ47" s="595"/>
      <c r="KMK47" s="595"/>
      <c r="KML47" s="595"/>
      <c r="KMM47" s="595"/>
      <c r="KMN47" s="595"/>
      <c r="KMO47" s="595"/>
      <c r="KMP47" s="595"/>
      <c r="KMQ47" s="595"/>
      <c r="KMR47" s="595"/>
      <c r="KMS47" s="595"/>
      <c r="KMT47" s="595"/>
      <c r="KMU47" s="595"/>
      <c r="KMV47" s="595"/>
      <c r="KMW47" s="595"/>
      <c r="KMX47" s="595"/>
      <c r="KMY47" s="595"/>
      <c r="KMZ47" s="595"/>
      <c r="KNA47" s="595"/>
      <c r="KNB47" s="595"/>
      <c r="KNC47" s="595"/>
      <c r="KND47" s="595"/>
      <c r="KNE47" s="595"/>
      <c r="KNF47" s="595"/>
      <c r="KNG47" s="595"/>
      <c r="KNH47" s="595"/>
      <c r="KNI47" s="595"/>
      <c r="KNJ47" s="595"/>
      <c r="KNK47" s="595"/>
      <c r="KNL47" s="595"/>
      <c r="KNM47" s="595"/>
      <c r="KNN47" s="595"/>
      <c r="KNO47" s="595"/>
      <c r="KNP47" s="595"/>
      <c r="KNQ47" s="595"/>
      <c r="KNR47" s="595"/>
      <c r="KNS47" s="595"/>
      <c r="KNT47" s="595"/>
      <c r="KNU47" s="595"/>
      <c r="KNV47" s="595"/>
      <c r="KNW47" s="595"/>
      <c r="KNX47" s="595"/>
      <c r="KNY47" s="595"/>
      <c r="KNZ47" s="595"/>
      <c r="KOA47" s="595"/>
      <c r="KOB47" s="595"/>
      <c r="KOC47" s="595"/>
      <c r="KOD47" s="595"/>
      <c r="KOE47" s="595"/>
      <c r="KOF47" s="595"/>
      <c r="KOG47" s="595"/>
      <c r="KOH47" s="595"/>
      <c r="KOI47" s="595"/>
      <c r="KOJ47" s="595"/>
      <c r="KOK47" s="595"/>
      <c r="KOL47" s="595"/>
      <c r="KOM47" s="595"/>
      <c r="KON47" s="595"/>
      <c r="KOO47" s="595"/>
      <c r="KOP47" s="595"/>
      <c r="KOQ47" s="595"/>
      <c r="KOR47" s="595"/>
      <c r="KOS47" s="595"/>
      <c r="KOT47" s="595"/>
      <c r="KOU47" s="595"/>
      <c r="KOV47" s="595"/>
      <c r="KOW47" s="595"/>
      <c r="KOX47" s="595"/>
      <c r="KOY47" s="595"/>
      <c r="KOZ47" s="595"/>
      <c r="KPA47" s="595"/>
      <c r="KPB47" s="595"/>
      <c r="KPC47" s="595"/>
      <c r="KPD47" s="595"/>
      <c r="KPE47" s="595"/>
      <c r="KPF47" s="595"/>
      <c r="KPG47" s="595"/>
      <c r="KPH47" s="595"/>
      <c r="KPI47" s="595"/>
      <c r="KPJ47" s="595"/>
      <c r="KPK47" s="595"/>
      <c r="KPL47" s="595"/>
      <c r="KPM47" s="595"/>
      <c r="KPN47" s="595"/>
      <c r="KPO47" s="595"/>
      <c r="KPP47" s="595"/>
      <c r="KPQ47" s="595"/>
      <c r="KPR47" s="595"/>
      <c r="KPS47" s="595"/>
      <c r="KPT47" s="595"/>
      <c r="KPU47" s="595"/>
      <c r="KPV47" s="595"/>
      <c r="KPW47" s="595"/>
      <c r="KPX47" s="595"/>
      <c r="KPY47" s="595"/>
      <c r="KPZ47" s="595"/>
      <c r="KQA47" s="595"/>
      <c r="KQB47" s="595"/>
      <c r="KQC47" s="595"/>
      <c r="KQD47" s="595"/>
      <c r="KQE47" s="595"/>
      <c r="KQF47" s="595"/>
      <c r="KQG47" s="595"/>
      <c r="KQH47" s="595"/>
      <c r="KQI47" s="595"/>
      <c r="KQJ47" s="595"/>
      <c r="KQK47" s="595"/>
      <c r="KQL47" s="595"/>
      <c r="KQM47" s="595"/>
      <c r="KQN47" s="595"/>
      <c r="KQO47" s="595"/>
      <c r="KQP47" s="595"/>
      <c r="KQQ47" s="595"/>
      <c r="KQR47" s="595"/>
      <c r="KQS47" s="595"/>
      <c r="KQT47" s="595"/>
      <c r="KQU47" s="595"/>
      <c r="KQV47" s="595"/>
      <c r="KQW47" s="595"/>
      <c r="KQX47" s="595"/>
      <c r="KQY47" s="595"/>
      <c r="KQZ47" s="595"/>
      <c r="KRA47" s="595"/>
      <c r="KRB47" s="595"/>
      <c r="KRC47" s="595"/>
      <c r="KRD47" s="595"/>
      <c r="KRE47" s="595"/>
      <c r="KRF47" s="595"/>
      <c r="KRG47" s="595"/>
      <c r="KRH47" s="595"/>
      <c r="KRI47" s="595"/>
      <c r="KRJ47" s="595"/>
      <c r="KRK47" s="595"/>
      <c r="KRL47" s="595"/>
      <c r="KRM47" s="595"/>
      <c r="KRN47" s="595"/>
      <c r="KRO47" s="595"/>
      <c r="KRP47" s="595"/>
      <c r="KRQ47" s="595"/>
      <c r="KRR47" s="595"/>
      <c r="KRS47" s="595"/>
      <c r="KRT47" s="595"/>
      <c r="KRU47" s="595"/>
      <c r="KRV47" s="595"/>
      <c r="KRW47" s="595"/>
      <c r="KRX47" s="595"/>
      <c r="KRY47" s="595"/>
      <c r="KRZ47" s="595"/>
      <c r="KSA47" s="595"/>
      <c r="KSB47" s="595"/>
      <c r="KSC47" s="595"/>
      <c r="KSD47" s="595"/>
      <c r="KSE47" s="595"/>
      <c r="KSF47" s="595"/>
      <c r="KSG47" s="595"/>
      <c r="KSH47" s="595"/>
      <c r="KSI47" s="595"/>
      <c r="KSJ47" s="595"/>
      <c r="KSK47" s="595"/>
      <c r="KSL47" s="595"/>
      <c r="KSM47" s="595"/>
      <c r="KSN47" s="595"/>
      <c r="KSO47" s="595"/>
      <c r="KSP47" s="595"/>
      <c r="KSQ47" s="595"/>
      <c r="KSR47" s="595"/>
      <c r="KSS47" s="595"/>
      <c r="KST47" s="595"/>
      <c r="KSU47" s="595"/>
      <c r="KSV47" s="595"/>
      <c r="KSW47" s="595"/>
      <c r="KSX47" s="595"/>
      <c r="KSY47" s="595"/>
      <c r="KSZ47" s="595"/>
      <c r="KTA47" s="595"/>
      <c r="KTB47" s="595"/>
      <c r="KTC47" s="595"/>
      <c r="KTD47" s="595"/>
      <c r="KTE47" s="595"/>
      <c r="KTF47" s="595"/>
      <c r="KTG47" s="595"/>
      <c r="KTH47" s="595"/>
      <c r="KTI47" s="595"/>
      <c r="KTJ47" s="595"/>
      <c r="KTK47" s="595"/>
      <c r="KTL47" s="595"/>
      <c r="KTM47" s="595"/>
      <c r="KTN47" s="595"/>
      <c r="KTO47" s="595"/>
      <c r="KTP47" s="595"/>
      <c r="KTQ47" s="595"/>
      <c r="KTR47" s="595"/>
      <c r="KTS47" s="595"/>
      <c r="KTT47" s="595"/>
      <c r="KTU47" s="595"/>
      <c r="KTV47" s="595"/>
      <c r="KTW47" s="595"/>
      <c r="KTX47" s="595"/>
      <c r="KTY47" s="595"/>
      <c r="KTZ47" s="595"/>
      <c r="KUA47" s="595"/>
      <c r="KUB47" s="595"/>
      <c r="KUC47" s="595"/>
      <c r="KUD47" s="595"/>
      <c r="KUE47" s="595"/>
      <c r="KUF47" s="595"/>
      <c r="KUG47" s="595"/>
      <c r="KUH47" s="595"/>
      <c r="KUI47" s="595"/>
      <c r="KUJ47" s="595"/>
      <c r="KUK47" s="595"/>
      <c r="KUL47" s="595"/>
      <c r="KUM47" s="595"/>
      <c r="KUN47" s="595"/>
      <c r="KUO47" s="595"/>
      <c r="KUP47" s="595"/>
      <c r="KUQ47" s="595"/>
      <c r="KUR47" s="595"/>
      <c r="KUS47" s="595"/>
      <c r="KUT47" s="595"/>
      <c r="KUU47" s="595"/>
      <c r="KUV47" s="595"/>
      <c r="KUW47" s="595"/>
      <c r="KUX47" s="595"/>
      <c r="KUY47" s="595"/>
      <c r="KUZ47" s="595"/>
      <c r="KVA47" s="595"/>
      <c r="KVB47" s="595"/>
      <c r="KVC47" s="595"/>
      <c r="KVD47" s="595"/>
      <c r="KVE47" s="595"/>
      <c r="KVF47" s="595"/>
      <c r="KVG47" s="595"/>
      <c r="KVH47" s="595"/>
      <c r="KVI47" s="595"/>
      <c r="KVJ47" s="595"/>
      <c r="KVK47" s="595"/>
      <c r="KVL47" s="595"/>
      <c r="KVM47" s="595"/>
      <c r="KVN47" s="595"/>
      <c r="KVO47" s="595"/>
      <c r="KVP47" s="595"/>
      <c r="KVQ47" s="595"/>
      <c r="KVR47" s="595"/>
      <c r="KVS47" s="595"/>
      <c r="KVT47" s="595"/>
      <c r="KVU47" s="595"/>
      <c r="KVV47" s="595"/>
      <c r="KVW47" s="595"/>
      <c r="KVX47" s="595"/>
      <c r="KVY47" s="595"/>
      <c r="KVZ47" s="595"/>
      <c r="KWA47" s="595"/>
      <c r="KWB47" s="595"/>
      <c r="KWC47" s="595"/>
      <c r="KWD47" s="595"/>
      <c r="KWE47" s="595"/>
      <c r="KWF47" s="595"/>
      <c r="KWG47" s="595"/>
      <c r="KWH47" s="595"/>
      <c r="KWI47" s="595"/>
      <c r="KWJ47" s="595"/>
      <c r="KWK47" s="595"/>
      <c r="KWL47" s="595"/>
      <c r="KWM47" s="595"/>
      <c r="KWN47" s="595"/>
      <c r="KWO47" s="595"/>
      <c r="KWP47" s="595"/>
      <c r="KWQ47" s="595"/>
      <c r="KWR47" s="595"/>
      <c r="KWS47" s="595"/>
      <c r="KWT47" s="595"/>
      <c r="KWU47" s="595"/>
      <c r="KWV47" s="595"/>
      <c r="KWW47" s="595"/>
      <c r="KWX47" s="595"/>
      <c r="KWY47" s="595"/>
      <c r="KWZ47" s="595"/>
      <c r="KXA47" s="595"/>
      <c r="KXB47" s="595"/>
      <c r="KXC47" s="595"/>
      <c r="KXD47" s="595"/>
      <c r="KXE47" s="595"/>
      <c r="KXF47" s="595"/>
      <c r="KXG47" s="595"/>
      <c r="KXH47" s="595"/>
      <c r="KXI47" s="595"/>
      <c r="KXJ47" s="595"/>
      <c r="KXK47" s="595"/>
      <c r="KXL47" s="595"/>
      <c r="KXM47" s="595"/>
      <c r="KXN47" s="595"/>
      <c r="KXO47" s="595"/>
      <c r="KXP47" s="595"/>
      <c r="KXQ47" s="595"/>
      <c r="KXR47" s="595"/>
      <c r="KXS47" s="595"/>
      <c r="KXT47" s="595"/>
      <c r="KXU47" s="595"/>
      <c r="KXV47" s="595"/>
      <c r="KXW47" s="595"/>
      <c r="KXX47" s="595"/>
      <c r="KXY47" s="595"/>
      <c r="KXZ47" s="595"/>
      <c r="KYA47" s="595"/>
      <c r="KYB47" s="595"/>
      <c r="KYC47" s="595"/>
      <c r="KYD47" s="595"/>
      <c r="KYE47" s="595"/>
      <c r="KYF47" s="595"/>
      <c r="KYG47" s="595"/>
      <c r="KYH47" s="595"/>
      <c r="KYI47" s="595"/>
      <c r="KYJ47" s="595"/>
      <c r="KYK47" s="595"/>
      <c r="KYL47" s="595"/>
      <c r="KYM47" s="595"/>
      <c r="KYN47" s="595"/>
      <c r="KYO47" s="595"/>
      <c r="KYP47" s="595"/>
      <c r="KYQ47" s="595"/>
      <c r="KYR47" s="595"/>
      <c r="KYS47" s="595"/>
      <c r="KYT47" s="595"/>
      <c r="KYU47" s="595"/>
      <c r="KYV47" s="595"/>
      <c r="KYW47" s="595"/>
      <c r="KYX47" s="595"/>
      <c r="KYY47" s="595"/>
      <c r="KYZ47" s="595"/>
      <c r="KZA47" s="595"/>
      <c r="KZB47" s="595"/>
      <c r="KZC47" s="595"/>
      <c r="KZD47" s="595"/>
      <c r="KZE47" s="595"/>
      <c r="KZF47" s="595"/>
      <c r="KZG47" s="595"/>
      <c r="KZH47" s="595"/>
      <c r="KZI47" s="595"/>
      <c r="KZJ47" s="595"/>
      <c r="KZK47" s="595"/>
      <c r="KZL47" s="595"/>
      <c r="KZM47" s="595"/>
      <c r="KZN47" s="595"/>
      <c r="KZO47" s="595"/>
      <c r="KZP47" s="595"/>
      <c r="KZQ47" s="595"/>
      <c r="KZR47" s="595"/>
      <c r="KZS47" s="595"/>
      <c r="KZT47" s="595"/>
      <c r="KZU47" s="595"/>
      <c r="KZV47" s="595"/>
      <c r="KZW47" s="595"/>
      <c r="KZX47" s="595"/>
      <c r="KZY47" s="595"/>
      <c r="KZZ47" s="595"/>
      <c r="LAA47" s="595"/>
      <c r="LAB47" s="595"/>
      <c r="LAC47" s="595"/>
      <c r="LAD47" s="595"/>
      <c r="LAE47" s="595"/>
      <c r="LAF47" s="595"/>
      <c r="LAG47" s="595"/>
      <c r="LAH47" s="595"/>
      <c r="LAI47" s="595"/>
      <c r="LAJ47" s="595"/>
      <c r="LAK47" s="595"/>
      <c r="LAL47" s="595"/>
      <c r="LAM47" s="595"/>
      <c r="LAN47" s="595"/>
      <c r="LAO47" s="595"/>
      <c r="LAP47" s="595"/>
      <c r="LAQ47" s="595"/>
      <c r="LAR47" s="595"/>
      <c r="LAS47" s="595"/>
      <c r="LAT47" s="595"/>
      <c r="LAU47" s="595"/>
      <c r="LAV47" s="595"/>
      <c r="LAW47" s="595"/>
      <c r="LAX47" s="595"/>
      <c r="LAY47" s="595"/>
      <c r="LAZ47" s="595"/>
      <c r="LBA47" s="595"/>
      <c r="LBB47" s="595"/>
      <c r="LBC47" s="595"/>
      <c r="LBD47" s="595"/>
      <c r="LBE47" s="595"/>
      <c r="LBF47" s="595"/>
      <c r="LBG47" s="595"/>
      <c r="LBH47" s="595"/>
      <c r="LBI47" s="595"/>
      <c r="LBJ47" s="595"/>
      <c r="LBK47" s="595"/>
      <c r="LBL47" s="595"/>
      <c r="LBM47" s="595"/>
      <c r="LBN47" s="595"/>
      <c r="LBO47" s="595"/>
      <c r="LBP47" s="595"/>
      <c r="LBQ47" s="595"/>
      <c r="LBR47" s="595"/>
      <c r="LBS47" s="595"/>
      <c r="LBT47" s="595"/>
      <c r="LBU47" s="595"/>
      <c r="LBV47" s="595"/>
      <c r="LBW47" s="595"/>
      <c r="LBX47" s="595"/>
      <c r="LBY47" s="595"/>
      <c r="LBZ47" s="595"/>
      <c r="LCA47" s="595"/>
      <c r="LCB47" s="595"/>
      <c r="LCC47" s="595"/>
      <c r="LCD47" s="595"/>
      <c r="LCE47" s="595"/>
      <c r="LCF47" s="595"/>
      <c r="LCG47" s="595"/>
      <c r="LCH47" s="595"/>
      <c r="LCI47" s="595"/>
      <c r="LCJ47" s="595"/>
      <c r="LCK47" s="595"/>
      <c r="LCL47" s="595"/>
      <c r="LCM47" s="595"/>
      <c r="LCN47" s="595"/>
      <c r="LCO47" s="595"/>
      <c r="LCP47" s="595"/>
      <c r="LCQ47" s="595"/>
      <c r="LCR47" s="595"/>
      <c r="LCS47" s="595"/>
      <c r="LCT47" s="595"/>
      <c r="LCU47" s="595"/>
      <c r="LCV47" s="595"/>
      <c r="LCW47" s="595"/>
      <c r="LCX47" s="595"/>
      <c r="LCY47" s="595"/>
      <c r="LCZ47" s="595"/>
      <c r="LDA47" s="595"/>
      <c r="LDB47" s="595"/>
      <c r="LDC47" s="595"/>
      <c r="LDD47" s="595"/>
      <c r="LDE47" s="595"/>
      <c r="LDF47" s="595"/>
      <c r="LDG47" s="595"/>
      <c r="LDH47" s="595"/>
      <c r="LDI47" s="595"/>
      <c r="LDJ47" s="595"/>
      <c r="LDK47" s="595"/>
      <c r="LDL47" s="595"/>
      <c r="LDM47" s="595"/>
      <c r="LDN47" s="595"/>
      <c r="LDO47" s="595"/>
      <c r="LDP47" s="595"/>
      <c r="LDQ47" s="595"/>
      <c r="LDR47" s="595"/>
      <c r="LDS47" s="595"/>
      <c r="LDT47" s="595"/>
      <c r="LDU47" s="595"/>
      <c r="LDV47" s="595"/>
      <c r="LDW47" s="595"/>
      <c r="LDX47" s="595"/>
      <c r="LDY47" s="595"/>
      <c r="LDZ47" s="595"/>
      <c r="LEA47" s="595"/>
      <c r="LEB47" s="595"/>
      <c r="LEC47" s="595"/>
      <c r="LED47" s="595"/>
      <c r="LEE47" s="595"/>
      <c r="LEF47" s="595"/>
      <c r="LEG47" s="595"/>
      <c r="LEH47" s="595"/>
      <c r="LEI47" s="595"/>
      <c r="LEJ47" s="595"/>
      <c r="LEK47" s="595"/>
      <c r="LEL47" s="595"/>
      <c r="LEM47" s="595"/>
      <c r="LEN47" s="595"/>
      <c r="LEO47" s="595"/>
      <c r="LEP47" s="595"/>
      <c r="LEQ47" s="595"/>
      <c r="LER47" s="595"/>
      <c r="LES47" s="595"/>
      <c r="LET47" s="595"/>
      <c r="LEU47" s="595"/>
      <c r="LEV47" s="595"/>
      <c r="LEW47" s="595"/>
      <c r="LEX47" s="595"/>
      <c r="LEY47" s="595"/>
      <c r="LEZ47" s="595"/>
      <c r="LFA47" s="595"/>
      <c r="LFB47" s="595"/>
      <c r="LFC47" s="595"/>
      <c r="LFD47" s="595"/>
      <c r="LFE47" s="595"/>
      <c r="LFF47" s="595"/>
      <c r="LFG47" s="595"/>
      <c r="LFH47" s="595"/>
      <c r="LFI47" s="595"/>
      <c r="LFJ47" s="595"/>
      <c r="LFK47" s="595"/>
      <c r="LFL47" s="595"/>
      <c r="LFM47" s="595"/>
      <c r="LFN47" s="595"/>
      <c r="LFO47" s="595"/>
      <c r="LFP47" s="595"/>
      <c r="LFQ47" s="595"/>
      <c r="LFR47" s="595"/>
      <c r="LFS47" s="595"/>
      <c r="LFT47" s="595"/>
      <c r="LFU47" s="595"/>
      <c r="LFV47" s="595"/>
      <c r="LFW47" s="595"/>
      <c r="LFX47" s="595"/>
      <c r="LFY47" s="595"/>
      <c r="LFZ47" s="595"/>
      <c r="LGA47" s="595"/>
      <c r="LGB47" s="595"/>
      <c r="LGC47" s="595"/>
      <c r="LGD47" s="595"/>
      <c r="LGE47" s="595"/>
      <c r="LGF47" s="595"/>
      <c r="LGG47" s="595"/>
      <c r="LGH47" s="595"/>
      <c r="LGI47" s="595"/>
      <c r="LGJ47" s="595"/>
      <c r="LGK47" s="595"/>
      <c r="LGL47" s="595"/>
      <c r="LGM47" s="595"/>
      <c r="LGN47" s="595"/>
      <c r="LGO47" s="595"/>
      <c r="LGP47" s="595"/>
      <c r="LGQ47" s="595"/>
      <c r="LGR47" s="595"/>
      <c r="LGS47" s="595"/>
      <c r="LGT47" s="595"/>
      <c r="LGU47" s="595"/>
      <c r="LGV47" s="595"/>
      <c r="LGW47" s="595"/>
      <c r="LGX47" s="595"/>
      <c r="LGY47" s="595"/>
      <c r="LGZ47" s="595"/>
      <c r="LHA47" s="595"/>
      <c r="LHB47" s="595"/>
      <c r="LHC47" s="595"/>
      <c r="LHD47" s="595"/>
      <c r="LHE47" s="595"/>
      <c r="LHF47" s="595"/>
      <c r="LHG47" s="595"/>
      <c r="LHH47" s="595"/>
      <c r="LHI47" s="595"/>
      <c r="LHJ47" s="595"/>
      <c r="LHK47" s="595"/>
      <c r="LHL47" s="595"/>
      <c r="LHM47" s="595"/>
      <c r="LHN47" s="595"/>
      <c r="LHO47" s="595"/>
      <c r="LHP47" s="595"/>
      <c r="LHQ47" s="595"/>
      <c r="LHR47" s="595"/>
      <c r="LHS47" s="595"/>
      <c r="LHT47" s="595"/>
      <c r="LHU47" s="595"/>
      <c r="LHV47" s="595"/>
      <c r="LHW47" s="595"/>
      <c r="LHX47" s="595"/>
      <c r="LHY47" s="595"/>
      <c r="LHZ47" s="595"/>
      <c r="LIA47" s="595"/>
      <c r="LIB47" s="595"/>
      <c r="LIC47" s="595"/>
      <c r="LID47" s="595"/>
      <c r="LIE47" s="595"/>
      <c r="LIF47" s="595"/>
      <c r="LIG47" s="595"/>
      <c r="LIH47" s="595"/>
      <c r="LII47" s="595"/>
      <c r="LIJ47" s="595"/>
      <c r="LIK47" s="595"/>
      <c r="LIL47" s="595"/>
      <c r="LIM47" s="595"/>
      <c r="LIN47" s="595"/>
      <c r="LIO47" s="595"/>
      <c r="LIP47" s="595"/>
      <c r="LIQ47" s="595"/>
      <c r="LIR47" s="595"/>
      <c r="LIS47" s="595"/>
      <c r="LIT47" s="595"/>
      <c r="LIU47" s="595"/>
      <c r="LIV47" s="595"/>
      <c r="LIW47" s="595"/>
      <c r="LIX47" s="595"/>
      <c r="LIY47" s="595"/>
      <c r="LIZ47" s="595"/>
      <c r="LJA47" s="595"/>
      <c r="LJB47" s="595"/>
      <c r="LJC47" s="595"/>
      <c r="LJD47" s="595"/>
      <c r="LJE47" s="595"/>
      <c r="LJF47" s="595"/>
      <c r="LJG47" s="595"/>
      <c r="LJH47" s="595"/>
      <c r="LJI47" s="595"/>
      <c r="LJJ47" s="595"/>
      <c r="LJK47" s="595"/>
      <c r="LJL47" s="595"/>
      <c r="LJM47" s="595"/>
      <c r="LJN47" s="595"/>
      <c r="LJO47" s="595"/>
      <c r="LJP47" s="595"/>
      <c r="LJQ47" s="595"/>
      <c r="LJR47" s="595"/>
      <c r="LJS47" s="595"/>
      <c r="LJT47" s="595"/>
      <c r="LJU47" s="595"/>
      <c r="LJV47" s="595"/>
      <c r="LJW47" s="595"/>
      <c r="LJX47" s="595"/>
      <c r="LJY47" s="595"/>
      <c r="LJZ47" s="595"/>
      <c r="LKA47" s="595"/>
      <c r="LKB47" s="595"/>
      <c r="LKC47" s="595"/>
      <c r="LKD47" s="595"/>
      <c r="LKE47" s="595"/>
      <c r="LKF47" s="595"/>
      <c r="LKG47" s="595"/>
      <c r="LKH47" s="595"/>
      <c r="LKI47" s="595"/>
      <c r="LKJ47" s="595"/>
      <c r="LKK47" s="595"/>
      <c r="LKL47" s="595"/>
      <c r="LKM47" s="595"/>
      <c r="LKN47" s="595"/>
      <c r="LKO47" s="595"/>
      <c r="LKP47" s="595"/>
      <c r="LKQ47" s="595"/>
      <c r="LKR47" s="595"/>
      <c r="LKS47" s="595"/>
      <c r="LKT47" s="595"/>
      <c r="LKU47" s="595"/>
      <c r="LKV47" s="595"/>
      <c r="LKW47" s="595"/>
      <c r="LKX47" s="595"/>
      <c r="LKY47" s="595"/>
      <c r="LKZ47" s="595"/>
      <c r="LLA47" s="595"/>
      <c r="LLB47" s="595"/>
      <c r="LLC47" s="595"/>
      <c r="LLD47" s="595"/>
      <c r="LLE47" s="595"/>
      <c r="LLF47" s="595"/>
      <c r="LLG47" s="595"/>
      <c r="LLH47" s="595"/>
      <c r="LLI47" s="595"/>
      <c r="LLJ47" s="595"/>
      <c r="LLK47" s="595"/>
      <c r="LLL47" s="595"/>
      <c r="LLM47" s="595"/>
      <c r="LLN47" s="595"/>
      <c r="LLO47" s="595"/>
      <c r="LLP47" s="595"/>
      <c r="LLQ47" s="595"/>
      <c r="LLR47" s="595"/>
      <c r="LLS47" s="595"/>
      <c r="LLT47" s="595"/>
      <c r="LLU47" s="595"/>
      <c r="LLV47" s="595"/>
      <c r="LLW47" s="595"/>
      <c r="LLX47" s="595"/>
      <c r="LLY47" s="595"/>
      <c r="LLZ47" s="595"/>
      <c r="LMA47" s="595"/>
      <c r="LMB47" s="595"/>
      <c r="LMC47" s="595"/>
      <c r="LMD47" s="595"/>
      <c r="LME47" s="595"/>
      <c r="LMF47" s="595"/>
      <c r="LMG47" s="595"/>
      <c r="LMH47" s="595"/>
      <c r="LMI47" s="595"/>
      <c r="LMJ47" s="595"/>
      <c r="LMK47" s="595"/>
      <c r="LML47" s="595"/>
      <c r="LMM47" s="595"/>
      <c r="LMN47" s="595"/>
      <c r="LMO47" s="595"/>
      <c r="LMP47" s="595"/>
      <c r="LMQ47" s="595"/>
      <c r="LMR47" s="595"/>
      <c r="LMS47" s="595"/>
      <c r="LMT47" s="595"/>
      <c r="LMU47" s="595"/>
      <c r="LMV47" s="595"/>
      <c r="LMW47" s="595"/>
      <c r="LMX47" s="595"/>
      <c r="LMY47" s="595"/>
      <c r="LMZ47" s="595"/>
      <c r="LNA47" s="595"/>
      <c r="LNB47" s="595"/>
      <c r="LNC47" s="595"/>
      <c r="LND47" s="595"/>
      <c r="LNE47" s="595"/>
      <c r="LNF47" s="595"/>
      <c r="LNG47" s="595"/>
      <c r="LNH47" s="595"/>
      <c r="LNI47" s="595"/>
      <c r="LNJ47" s="595"/>
      <c r="LNK47" s="595"/>
      <c r="LNL47" s="595"/>
      <c r="LNM47" s="595"/>
      <c r="LNN47" s="595"/>
      <c r="LNO47" s="595"/>
      <c r="LNP47" s="595"/>
      <c r="LNQ47" s="595"/>
      <c r="LNR47" s="595"/>
      <c r="LNS47" s="595"/>
      <c r="LNT47" s="595"/>
      <c r="LNU47" s="595"/>
      <c r="LNV47" s="595"/>
      <c r="LNW47" s="595"/>
      <c r="LNX47" s="595"/>
      <c r="LNY47" s="595"/>
      <c r="LNZ47" s="595"/>
      <c r="LOA47" s="595"/>
      <c r="LOB47" s="595"/>
      <c r="LOC47" s="595"/>
      <c r="LOD47" s="595"/>
      <c r="LOE47" s="595"/>
      <c r="LOF47" s="595"/>
      <c r="LOG47" s="595"/>
      <c r="LOH47" s="595"/>
      <c r="LOI47" s="595"/>
      <c r="LOJ47" s="595"/>
      <c r="LOK47" s="595"/>
      <c r="LOL47" s="595"/>
      <c r="LOM47" s="595"/>
      <c r="LON47" s="595"/>
      <c r="LOO47" s="595"/>
      <c r="LOP47" s="595"/>
      <c r="LOQ47" s="595"/>
      <c r="LOR47" s="595"/>
      <c r="LOS47" s="595"/>
      <c r="LOT47" s="595"/>
      <c r="LOU47" s="595"/>
      <c r="LOV47" s="595"/>
      <c r="LOW47" s="595"/>
      <c r="LOX47" s="595"/>
      <c r="LOY47" s="595"/>
      <c r="LOZ47" s="595"/>
      <c r="LPA47" s="595"/>
      <c r="LPB47" s="595"/>
      <c r="LPC47" s="595"/>
      <c r="LPD47" s="595"/>
      <c r="LPE47" s="595"/>
      <c r="LPF47" s="595"/>
      <c r="LPG47" s="595"/>
      <c r="LPH47" s="595"/>
      <c r="LPI47" s="595"/>
      <c r="LPJ47" s="595"/>
      <c r="LPK47" s="595"/>
      <c r="LPL47" s="595"/>
      <c r="LPM47" s="595"/>
      <c r="LPN47" s="595"/>
      <c r="LPO47" s="595"/>
      <c r="LPP47" s="595"/>
      <c r="LPQ47" s="595"/>
      <c r="LPR47" s="595"/>
      <c r="LPS47" s="595"/>
      <c r="LPT47" s="595"/>
      <c r="LPU47" s="595"/>
      <c r="LPV47" s="595"/>
      <c r="LPW47" s="595"/>
      <c r="LPX47" s="595"/>
      <c r="LPY47" s="595"/>
      <c r="LPZ47" s="595"/>
      <c r="LQA47" s="595"/>
      <c r="LQB47" s="595"/>
      <c r="LQC47" s="595"/>
      <c r="LQD47" s="595"/>
      <c r="LQE47" s="595"/>
      <c r="LQF47" s="595"/>
      <c r="LQG47" s="595"/>
      <c r="LQH47" s="595"/>
      <c r="LQI47" s="595"/>
      <c r="LQJ47" s="595"/>
      <c r="LQK47" s="595"/>
      <c r="LQL47" s="595"/>
      <c r="LQM47" s="595"/>
      <c r="LQN47" s="595"/>
      <c r="LQO47" s="595"/>
      <c r="LQP47" s="595"/>
      <c r="LQQ47" s="595"/>
      <c r="LQR47" s="595"/>
      <c r="LQS47" s="595"/>
      <c r="LQT47" s="595"/>
      <c r="LQU47" s="595"/>
      <c r="LQV47" s="595"/>
      <c r="LQW47" s="595"/>
      <c r="LQX47" s="595"/>
      <c r="LQY47" s="595"/>
      <c r="LQZ47" s="595"/>
      <c r="LRA47" s="595"/>
      <c r="LRB47" s="595"/>
      <c r="LRC47" s="595"/>
      <c r="LRD47" s="595"/>
      <c r="LRE47" s="595"/>
      <c r="LRF47" s="595"/>
      <c r="LRG47" s="595"/>
      <c r="LRH47" s="595"/>
      <c r="LRI47" s="595"/>
      <c r="LRJ47" s="595"/>
      <c r="LRK47" s="595"/>
      <c r="LRL47" s="595"/>
      <c r="LRM47" s="595"/>
      <c r="LRN47" s="595"/>
      <c r="LRO47" s="595"/>
      <c r="LRP47" s="595"/>
      <c r="LRQ47" s="595"/>
      <c r="LRR47" s="595"/>
      <c r="LRS47" s="595"/>
      <c r="LRT47" s="595"/>
      <c r="LRU47" s="595"/>
      <c r="LRV47" s="595"/>
      <c r="LRW47" s="595"/>
      <c r="LRX47" s="595"/>
      <c r="LRY47" s="595"/>
      <c r="LRZ47" s="595"/>
      <c r="LSA47" s="595"/>
      <c r="LSB47" s="595"/>
      <c r="LSC47" s="595"/>
      <c r="LSD47" s="595"/>
      <c r="LSE47" s="595"/>
      <c r="LSF47" s="595"/>
      <c r="LSG47" s="595"/>
      <c r="LSH47" s="595"/>
      <c r="LSI47" s="595"/>
      <c r="LSJ47" s="595"/>
      <c r="LSK47" s="595"/>
      <c r="LSL47" s="595"/>
      <c r="LSM47" s="595"/>
      <c r="LSN47" s="595"/>
      <c r="LSO47" s="595"/>
      <c r="LSP47" s="595"/>
      <c r="LSQ47" s="595"/>
      <c r="LSR47" s="595"/>
      <c r="LSS47" s="595"/>
      <c r="LST47" s="595"/>
      <c r="LSU47" s="595"/>
      <c r="LSV47" s="595"/>
      <c r="LSW47" s="595"/>
      <c r="LSX47" s="595"/>
      <c r="LSY47" s="595"/>
      <c r="LSZ47" s="595"/>
      <c r="LTA47" s="595"/>
      <c r="LTB47" s="595"/>
      <c r="LTC47" s="595"/>
      <c r="LTD47" s="595"/>
      <c r="LTE47" s="595"/>
      <c r="LTF47" s="595"/>
      <c r="LTG47" s="595"/>
      <c r="LTH47" s="595"/>
      <c r="LTI47" s="595"/>
      <c r="LTJ47" s="595"/>
      <c r="LTK47" s="595"/>
      <c r="LTL47" s="595"/>
      <c r="LTM47" s="595"/>
      <c r="LTN47" s="595"/>
      <c r="LTO47" s="595"/>
      <c r="LTP47" s="595"/>
      <c r="LTQ47" s="595"/>
      <c r="LTR47" s="595"/>
      <c r="LTS47" s="595"/>
      <c r="LTT47" s="595"/>
      <c r="LTU47" s="595"/>
      <c r="LTV47" s="595"/>
      <c r="LTW47" s="595"/>
      <c r="LTX47" s="595"/>
      <c r="LTY47" s="595"/>
      <c r="LTZ47" s="595"/>
      <c r="LUA47" s="595"/>
      <c r="LUB47" s="595"/>
      <c r="LUC47" s="595"/>
      <c r="LUD47" s="595"/>
      <c r="LUE47" s="595"/>
      <c r="LUF47" s="595"/>
      <c r="LUG47" s="595"/>
      <c r="LUH47" s="595"/>
      <c r="LUI47" s="595"/>
      <c r="LUJ47" s="595"/>
      <c r="LUK47" s="595"/>
      <c r="LUL47" s="595"/>
      <c r="LUM47" s="595"/>
      <c r="LUN47" s="595"/>
      <c r="LUO47" s="595"/>
      <c r="LUP47" s="595"/>
      <c r="LUQ47" s="595"/>
      <c r="LUR47" s="595"/>
      <c r="LUS47" s="595"/>
      <c r="LUT47" s="595"/>
      <c r="LUU47" s="595"/>
      <c r="LUV47" s="595"/>
      <c r="LUW47" s="595"/>
      <c r="LUX47" s="595"/>
      <c r="LUY47" s="595"/>
      <c r="LUZ47" s="595"/>
      <c r="LVA47" s="595"/>
      <c r="LVB47" s="595"/>
      <c r="LVC47" s="595"/>
      <c r="LVD47" s="595"/>
      <c r="LVE47" s="595"/>
      <c r="LVF47" s="595"/>
      <c r="LVG47" s="595"/>
      <c r="LVH47" s="595"/>
      <c r="LVI47" s="595"/>
      <c r="LVJ47" s="595"/>
      <c r="LVK47" s="595"/>
      <c r="LVL47" s="595"/>
      <c r="LVM47" s="595"/>
      <c r="LVN47" s="595"/>
      <c r="LVO47" s="595"/>
      <c r="LVP47" s="595"/>
      <c r="LVQ47" s="595"/>
      <c r="LVR47" s="595"/>
      <c r="LVS47" s="595"/>
      <c r="LVT47" s="595"/>
      <c r="LVU47" s="595"/>
      <c r="LVV47" s="595"/>
      <c r="LVW47" s="595"/>
      <c r="LVX47" s="595"/>
      <c r="LVY47" s="595"/>
      <c r="LVZ47" s="595"/>
      <c r="LWA47" s="595"/>
      <c r="LWB47" s="595"/>
      <c r="LWC47" s="595"/>
      <c r="LWD47" s="595"/>
      <c r="LWE47" s="595"/>
      <c r="LWF47" s="595"/>
      <c r="LWG47" s="595"/>
      <c r="LWH47" s="595"/>
      <c r="LWI47" s="595"/>
      <c r="LWJ47" s="595"/>
      <c r="LWK47" s="595"/>
      <c r="LWL47" s="595"/>
      <c r="LWM47" s="595"/>
      <c r="LWN47" s="595"/>
      <c r="LWO47" s="595"/>
      <c r="LWP47" s="595"/>
      <c r="LWQ47" s="595"/>
      <c r="LWR47" s="595"/>
      <c r="LWS47" s="595"/>
      <c r="LWT47" s="595"/>
      <c r="LWU47" s="595"/>
      <c r="LWV47" s="595"/>
      <c r="LWW47" s="595"/>
      <c r="LWX47" s="595"/>
      <c r="LWY47" s="595"/>
      <c r="LWZ47" s="595"/>
      <c r="LXA47" s="595"/>
      <c r="LXB47" s="595"/>
      <c r="LXC47" s="595"/>
      <c r="LXD47" s="595"/>
      <c r="LXE47" s="595"/>
      <c r="LXF47" s="595"/>
      <c r="LXG47" s="595"/>
      <c r="LXH47" s="595"/>
      <c r="LXI47" s="595"/>
      <c r="LXJ47" s="595"/>
      <c r="LXK47" s="595"/>
      <c r="LXL47" s="595"/>
      <c r="LXM47" s="595"/>
      <c r="LXN47" s="595"/>
      <c r="LXO47" s="595"/>
      <c r="LXP47" s="595"/>
      <c r="LXQ47" s="595"/>
      <c r="LXR47" s="595"/>
      <c r="LXS47" s="595"/>
      <c r="LXT47" s="595"/>
      <c r="LXU47" s="595"/>
      <c r="LXV47" s="595"/>
      <c r="LXW47" s="595"/>
      <c r="LXX47" s="595"/>
      <c r="LXY47" s="595"/>
      <c r="LXZ47" s="595"/>
      <c r="LYA47" s="595"/>
      <c r="LYB47" s="595"/>
      <c r="LYC47" s="595"/>
      <c r="LYD47" s="595"/>
      <c r="LYE47" s="595"/>
      <c r="LYF47" s="595"/>
      <c r="LYG47" s="595"/>
      <c r="LYH47" s="595"/>
      <c r="LYI47" s="595"/>
      <c r="LYJ47" s="595"/>
      <c r="LYK47" s="595"/>
      <c r="LYL47" s="595"/>
      <c r="LYM47" s="595"/>
      <c r="LYN47" s="595"/>
      <c r="LYO47" s="595"/>
      <c r="LYP47" s="595"/>
      <c r="LYQ47" s="595"/>
      <c r="LYR47" s="595"/>
      <c r="LYS47" s="595"/>
      <c r="LYT47" s="595"/>
      <c r="LYU47" s="595"/>
      <c r="LYV47" s="595"/>
      <c r="LYW47" s="595"/>
      <c r="LYX47" s="595"/>
      <c r="LYY47" s="595"/>
      <c r="LYZ47" s="595"/>
      <c r="LZA47" s="595"/>
      <c r="LZB47" s="595"/>
      <c r="LZC47" s="595"/>
      <c r="LZD47" s="595"/>
      <c r="LZE47" s="595"/>
      <c r="LZF47" s="595"/>
      <c r="LZG47" s="595"/>
      <c r="LZH47" s="595"/>
      <c r="LZI47" s="595"/>
      <c r="LZJ47" s="595"/>
      <c r="LZK47" s="595"/>
      <c r="LZL47" s="595"/>
      <c r="LZM47" s="595"/>
      <c r="LZN47" s="595"/>
      <c r="LZO47" s="595"/>
      <c r="LZP47" s="595"/>
      <c r="LZQ47" s="595"/>
      <c r="LZR47" s="595"/>
      <c r="LZS47" s="595"/>
      <c r="LZT47" s="595"/>
      <c r="LZU47" s="595"/>
      <c r="LZV47" s="595"/>
      <c r="LZW47" s="595"/>
      <c r="LZX47" s="595"/>
      <c r="LZY47" s="595"/>
      <c r="LZZ47" s="595"/>
      <c r="MAA47" s="595"/>
      <c r="MAB47" s="595"/>
      <c r="MAC47" s="595"/>
      <c r="MAD47" s="595"/>
      <c r="MAE47" s="595"/>
      <c r="MAF47" s="595"/>
      <c r="MAG47" s="595"/>
      <c r="MAH47" s="595"/>
      <c r="MAI47" s="595"/>
      <c r="MAJ47" s="595"/>
      <c r="MAK47" s="595"/>
      <c r="MAL47" s="595"/>
      <c r="MAM47" s="595"/>
      <c r="MAN47" s="595"/>
      <c r="MAO47" s="595"/>
      <c r="MAP47" s="595"/>
      <c r="MAQ47" s="595"/>
      <c r="MAR47" s="595"/>
      <c r="MAS47" s="595"/>
      <c r="MAT47" s="595"/>
      <c r="MAU47" s="595"/>
      <c r="MAV47" s="595"/>
      <c r="MAW47" s="595"/>
      <c r="MAX47" s="595"/>
      <c r="MAY47" s="595"/>
      <c r="MAZ47" s="595"/>
      <c r="MBA47" s="595"/>
      <c r="MBB47" s="595"/>
      <c r="MBC47" s="595"/>
      <c r="MBD47" s="595"/>
      <c r="MBE47" s="595"/>
      <c r="MBF47" s="595"/>
      <c r="MBG47" s="595"/>
      <c r="MBH47" s="595"/>
      <c r="MBI47" s="595"/>
      <c r="MBJ47" s="595"/>
      <c r="MBK47" s="595"/>
      <c r="MBL47" s="595"/>
      <c r="MBM47" s="595"/>
      <c r="MBN47" s="595"/>
      <c r="MBO47" s="595"/>
      <c r="MBP47" s="595"/>
      <c r="MBQ47" s="595"/>
      <c r="MBR47" s="595"/>
      <c r="MBS47" s="595"/>
      <c r="MBT47" s="595"/>
      <c r="MBU47" s="595"/>
      <c r="MBV47" s="595"/>
      <c r="MBW47" s="595"/>
      <c r="MBX47" s="595"/>
      <c r="MBY47" s="595"/>
      <c r="MBZ47" s="595"/>
      <c r="MCA47" s="595"/>
      <c r="MCB47" s="595"/>
      <c r="MCC47" s="595"/>
      <c r="MCD47" s="595"/>
      <c r="MCE47" s="595"/>
      <c r="MCF47" s="595"/>
      <c r="MCG47" s="595"/>
      <c r="MCH47" s="595"/>
      <c r="MCI47" s="595"/>
      <c r="MCJ47" s="595"/>
      <c r="MCK47" s="595"/>
      <c r="MCL47" s="595"/>
      <c r="MCM47" s="595"/>
      <c r="MCN47" s="595"/>
      <c r="MCO47" s="595"/>
      <c r="MCP47" s="595"/>
      <c r="MCQ47" s="595"/>
      <c r="MCR47" s="595"/>
      <c r="MCS47" s="595"/>
      <c r="MCT47" s="595"/>
      <c r="MCU47" s="595"/>
      <c r="MCV47" s="595"/>
      <c r="MCW47" s="595"/>
      <c r="MCX47" s="595"/>
      <c r="MCY47" s="595"/>
      <c r="MCZ47" s="595"/>
      <c r="MDA47" s="595"/>
      <c r="MDB47" s="595"/>
      <c r="MDC47" s="595"/>
      <c r="MDD47" s="595"/>
      <c r="MDE47" s="595"/>
      <c r="MDF47" s="595"/>
      <c r="MDG47" s="595"/>
      <c r="MDH47" s="595"/>
      <c r="MDI47" s="595"/>
      <c r="MDJ47" s="595"/>
      <c r="MDK47" s="595"/>
      <c r="MDL47" s="595"/>
      <c r="MDM47" s="595"/>
      <c r="MDN47" s="595"/>
      <c r="MDO47" s="595"/>
      <c r="MDP47" s="595"/>
      <c r="MDQ47" s="595"/>
      <c r="MDR47" s="595"/>
      <c r="MDS47" s="595"/>
      <c r="MDT47" s="595"/>
      <c r="MDU47" s="595"/>
      <c r="MDV47" s="595"/>
      <c r="MDW47" s="595"/>
      <c r="MDX47" s="595"/>
      <c r="MDY47" s="595"/>
      <c r="MDZ47" s="595"/>
      <c r="MEA47" s="595"/>
      <c r="MEB47" s="595"/>
      <c r="MEC47" s="595"/>
      <c r="MED47" s="595"/>
      <c r="MEE47" s="595"/>
      <c r="MEF47" s="595"/>
      <c r="MEG47" s="595"/>
      <c r="MEH47" s="595"/>
      <c r="MEI47" s="595"/>
      <c r="MEJ47" s="595"/>
      <c r="MEK47" s="595"/>
      <c r="MEL47" s="595"/>
      <c r="MEM47" s="595"/>
      <c r="MEN47" s="595"/>
      <c r="MEO47" s="595"/>
      <c r="MEP47" s="595"/>
      <c r="MEQ47" s="595"/>
      <c r="MER47" s="595"/>
      <c r="MES47" s="595"/>
      <c r="MET47" s="595"/>
      <c r="MEU47" s="595"/>
      <c r="MEV47" s="595"/>
      <c r="MEW47" s="595"/>
      <c r="MEX47" s="595"/>
      <c r="MEY47" s="595"/>
      <c r="MEZ47" s="595"/>
      <c r="MFA47" s="595"/>
      <c r="MFB47" s="595"/>
      <c r="MFC47" s="595"/>
      <c r="MFD47" s="595"/>
      <c r="MFE47" s="595"/>
      <c r="MFF47" s="595"/>
      <c r="MFG47" s="595"/>
      <c r="MFH47" s="595"/>
      <c r="MFI47" s="595"/>
      <c r="MFJ47" s="595"/>
      <c r="MFK47" s="595"/>
      <c r="MFL47" s="595"/>
      <c r="MFM47" s="595"/>
      <c r="MFN47" s="595"/>
      <c r="MFO47" s="595"/>
      <c r="MFP47" s="595"/>
      <c r="MFQ47" s="595"/>
      <c r="MFR47" s="595"/>
      <c r="MFS47" s="595"/>
      <c r="MFT47" s="595"/>
      <c r="MFU47" s="595"/>
      <c r="MFV47" s="595"/>
      <c r="MFW47" s="595"/>
      <c r="MFX47" s="595"/>
      <c r="MFY47" s="595"/>
      <c r="MFZ47" s="595"/>
      <c r="MGA47" s="595"/>
      <c r="MGB47" s="595"/>
      <c r="MGC47" s="595"/>
      <c r="MGD47" s="595"/>
      <c r="MGE47" s="595"/>
      <c r="MGF47" s="595"/>
      <c r="MGG47" s="595"/>
      <c r="MGH47" s="595"/>
      <c r="MGI47" s="595"/>
      <c r="MGJ47" s="595"/>
      <c r="MGK47" s="595"/>
      <c r="MGL47" s="595"/>
      <c r="MGM47" s="595"/>
      <c r="MGN47" s="595"/>
      <c r="MGO47" s="595"/>
      <c r="MGP47" s="595"/>
      <c r="MGQ47" s="595"/>
      <c r="MGR47" s="595"/>
      <c r="MGS47" s="595"/>
      <c r="MGT47" s="595"/>
      <c r="MGU47" s="595"/>
      <c r="MGV47" s="595"/>
      <c r="MGW47" s="595"/>
      <c r="MGX47" s="595"/>
      <c r="MGY47" s="595"/>
      <c r="MGZ47" s="595"/>
      <c r="MHA47" s="595"/>
      <c r="MHB47" s="595"/>
      <c r="MHC47" s="595"/>
      <c r="MHD47" s="595"/>
      <c r="MHE47" s="595"/>
      <c r="MHF47" s="595"/>
      <c r="MHG47" s="595"/>
      <c r="MHH47" s="595"/>
      <c r="MHI47" s="595"/>
      <c r="MHJ47" s="595"/>
      <c r="MHK47" s="595"/>
      <c r="MHL47" s="595"/>
      <c r="MHM47" s="595"/>
      <c r="MHN47" s="595"/>
      <c r="MHO47" s="595"/>
      <c r="MHP47" s="595"/>
      <c r="MHQ47" s="595"/>
      <c r="MHR47" s="595"/>
      <c r="MHS47" s="595"/>
      <c r="MHT47" s="595"/>
      <c r="MHU47" s="595"/>
      <c r="MHV47" s="595"/>
      <c r="MHW47" s="595"/>
      <c r="MHX47" s="595"/>
      <c r="MHY47" s="595"/>
      <c r="MHZ47" s="595"/>
      <c r="MIA47" s="595"/>
      <c r="MIB47" s="595"/>
      <c r="MIC47" s="595"/>
      <c r="MID47" s="595"/>
      <c r="MIE47" s="595"/>
      <c r="MIF47" s="595"/>
      <c r="MIG47" s="595"/>
      <c r="MIH47" s="595"/>
      <c r="MII47" s="595"/>
      <c r="MIJ47" s="595"/>
      <c r="MIK47" s="595"/>
      <c r="MIL47" s="595"/>
      <c r="MIM47" s="595"/>
      <c r="MIN47" s="595"/>
      <c r="MIO47" s="595"/>
      <c r="MIP47" s="595"/>
      <c r="MIQ47" s="595"/>
      <c r="MIR47" s="595"/>
      <c r="MIS47" s="595"/>
      <c r="MIT47" s="595"/>
      <c r="MIU47" s="595"/>
      <c r="MIV47" s="595"/>
      <c r="MIW47" s="595"/>
      <c r="MIX47" s="595"/>
      <c r="MIY47" s="595"/>
      <c r="MIZ47" s="595"/>
      <c r="MJA47" s="595"/>
      <c r="MJB47" s="595"/>
      <c r="MJC47" s="595"/>
      <c r="MJD47" s="595"/>
      <c r="MJE47" s="595"/>
      <c r="MJF47" s="595"/>
      <c r="MJG47" s="595"/>
      <c r="MJH47" s="595"/>
      <c r="MJI47" s="595"/>
      <c r="MJJ47" s="595"/>
      <c r="MJK47" s="595"/>
      <c r="MJL47" s="595"/>
      <c r="MJM47" s="595"/>
      <c r="MJN47" s="595"/>
      <c r="MJO47" s="595"/>
      <c r="MJP47" s="595"/>
      <c r="MJQ47" s="595"/>
      <c r="MJR47" s="595"/>
      <c r="MJS47" s="595"/>
      <c r="MJT47" s="595"/>
      <c r="MJU47" s="595"/>
      <c r="MJV47" s="595"/>
      <c r="MJW47" s="595"/>
      <c r="MJX47" s="595"/>
      <c r="MJY47" s="595"/>
      <c r="MJZ47" s="595"/>
      <c r="MKA47" s="595"/>
      <c r="MKB47" s="595"/>
      <c r="MKC47" s="595"/>
      <c r="MKD47" s="595"/>
      <c r="MKE47" s="595"/>
      <c r="MKF47" s="595"/>
      <c r="MKG47" s="595"/>
      <c r="MKH47" s="595"/>
      <c r="MKI47" s="595"/>
      <c r="MKJ47" s="595"/>
      <c r="MKK47" s="595"/>
      <c r="MKL47" s="595"/>
      <c r="MKM47" s="595"/>
      <c r="MKN47" s="595"/>
      <c r="MKO47" s="595"/>
      <c r="MKP47" s="595"/>
      <c r="MKQ47" s="595"/>
      <c r="MKR47" s="595"/>
      <c r="MKS47" s="595"/>
      <c r="MKT47" s="595"/>
      <c r="MKU47" s="595"/>
      <c r="MKV47" s="595"/>
      <c r="MKW47" s="595"/>
      <c r="MKX47" s="595"/>
      <c r="MKY47" s="595"/>
      <c r="MKZ47" s="595"/>
      <c r="MLA47" s="595"/>
      <c r="MLB47" s="595"/>
      <c r="MLC47" s="595"/>
      <c r="MLD47" s="595"/>
      <c r="MLE47" s="595"/>
      <c r="MLF47" s="595"/>
      <c r="MLG47" s="595"/>
      <c r="MLH47" s="595"/>
      <c r="MLI47" s="595"/>
      <c r="MLJ47" s="595"/>
      <c r="MLK47" s="595"/>
      <c r="MLL47" s="595"/>
      <c r="MLM47" s="595"/>
      <c r="MLN47" s="595"/>
      <c r="MLO47" s="595"/>
      <c r="MLP47" s="595"/>
      <c r="MLQ47" s="595"/>
      <c r="MLR47" s="595"/>
      <c r="MLS47" s="595"/>
      <c r="MLT47" s="595"/>
      <c r="MLU47" s="595"/>
      <c r="MLV47" s="595"/>
      <c r="MLW47" s="595"/>
      <c r="MLX47" s="595"/>
      <c r="MLY47" s="595"/>
      <c r="MLZ47" s="595"/>
      <c r="MMA47" s="595"/>
      <c r="MMB47" s="595"/>
      <c r="MMC47" s="595"/>
      <c r="MMD47" s="595"/>
      <c r="MME47" s="595"/>
      <c r="MMF47" s="595"/>
      <c r="MMG47" s="595"/>
      <c r="MMH47" s="595"/>
      <c r="MMI47" s="595"/>
      <c r="MMJ47" s="595"/>
      <c r="MMK47" s="595"/>
      <c r="MML47" s="595"/>
      <c r="MMM47" s="595"/>
      <c r="MMN47" s="595"/>
      <c r="MMO47" s="595"/>
      <c r="MMP47" s="595"/>
      <c r="MMQ47" s="595"/>
      <c r="MMR47" s="595"/>
      <c r="MMS47" s="595"/>
      <c r="MMT47" s="595"/>
      <c r="MMU47" s="595"/>
      <c r="MMV47" s="595"/>
      <c r="MMW47" s="595"/>
      <c r="MMX47" s="595"/>
      <c r="MMY47" s="595"/>
      <c r="MMZ47" s="595"/>
      <c r="MNA47" s="595"/>
      <c r="MNB47" s="595"/>
      <c r="MNC47" s="595"/>
      <c r="MND47" s="595"/>
      <c r="MNE47" s="595"/>
      <c r="MNF47" s="595"/>
      <c r="MNG47" s="595"/>
      <c r="MNH47" s="595"/>
      <c r="MNI47" s="595"/>
      <c r="MNJ47" s="595"/>
      <c r="MNK47" s="595"/>
      <c r="MNL47" s="595"/>
      <c r="MNM47" s="595"/>
      <c r="MNN47" s="595"/>
      <c r="MNO47" s="595"/>
      <c r="MNP47" s="595"/>
      <c r="MNQ47" s="595"/>
      <c r="MNR47" s="595"/>
      <c r="MNS47" s="595"/>
      <c r="MNT47" s="595"/>
      <c r="MNU47" s="595"/>
      <c r="MNV47" s="595"/>
      <c r="MNW47" s="595"/>
      <c r="MNX47" s="595"/>
      <c r="MNY47" s="595"/>
      <c r="MNZ47" s="595"/>
      <c r="MOA47" s="595"/>
      <c r="MOB47" s="595"/>
      <c r="MOC47" s="595"/>
      <c r="MOD47" s="595"/>
      <c r="MOE47" s="595"/>
      <c r="MOF47" s="595"/>
      <c r="MOG47" s="595"/>
      <c r="MOH47" s="595"/>
      <c r="MOI47" s="595"/>
      <c r="MOJ47" s="595"/>
      <c r="MOK47" s="595"/>
      <c r="MOL47" s="595"/>
      <c r="MOM47" s="595"/>
      <c r="MON47" s="595"/>
      <c r="MOO47" s="595"/>
      <c r="MOP47" s="595"/>
      <c r="MOQ47" s="595"/>
      <c r="MOR47" s="595"/>
      <c r="MOS47" s="595"/>
      <c r="MOT47" s="595"/>
      <c r="MOU47" s="595"/>
      <c r="MOV47" s="595"/>
      <c r="MOW47" s="595"/>
      <c r="MOX47" s="595"/>
      <c r="MOY47" s="595"/>
      <c r="MOZ47" s="595"/>
      <c r="MPA47" s="595"/>
      <c r="MPB47" s="595"/>
      <c r="MPC47" s="595"/>
      <c r="MPD47" s="595"/>
      <c r="MPE47" s="595"/>
      <c r="MPF47" s="595"/>
      <c r="MPG47" s="595"/>
      <c r="MPH47" s="595"/>
      <c r="MPI47" s="595"/>
      <c r="MPJ47" s="595"/>
      <c r="MPK47" s="595"/>
      <c r="MPL47" s="595"/>
      <c r="MPM47" s="595"/>
      <c r="MPN47" s="595"/>
      <c r="MPO47" s="595"/>
      <c r="MPP47" s="595"/>
      <c r="MPQ47" s="595"/>
      <c r="MPR47" s="595"/>
      <c r="MPS47" s="595"/>
      <c r="MPT47" s="595"/>
      <c r="MPU47" s="595"/>
      <c r="MPV47" s="595"/>
      <c r="MPW47" s="595"/>
      <c r="MPX47" s="595"/>
      <c r="MPY47" s="595"/>
      <c r="MPZ47" s="595"/>
      <c r="MQA47" s="595"/>
      <c r="MQB47" s="595"/>
      <c r="MQC47" s="595"/>
      <c r="MQD47" s="595"/>
      <c r="MQE47" s="595"/>
      <c r="MQF47" s="595"/>
      <c r="MQG47" s="595"/>
      <c r="MQH47" s="595"/>
      <c r="MQI47" s="595"/>
      <c r="MQJ47" s="595"/>
      <c r="MQK47" s="595"/>
      <c r="MQL47" s="595"/>
      <c r="MQM47" s="595"/>
      <c r="MQN47" s="595"/>
      <c r="MQO47" s="595"/>
      <c r="MQP47" s="595"/>
      <c r="MQQ47" s="595"/>
      <c r="MQR47" s="595"/>
      <c r="MQS47" s="595"/>
      <c r="MQT47" s="595"/>
      <c r="MQU47" s="595"/>
      <c r="MQV47" s="595"/>
      <c r="MQW47" s="595"/>
      <c r="MQX47" s="595"/>
      <c r="MQY47" s="595"/>
      <c r="MQZ47" s="595"/>
      <c r="MRA47" s="595"/>
      <c r="MRB47" s="595"/>
      <c r="MRC47" s="595"/>
      <c r="MRD47" s="595"/>
      <c r="MRE47" s="595"/>
      <c r="MRF47" s="595"/>
      <c r="MRG47" s="595"/>
      <c r="MRH47" s="595"/>
      <c r="MRI47" s="595"/>
      <c r="MRJ47" s="595"/>
      <c r="MRK47" s="595"/>
      <c r="MRL47" s="595"/>
      <c r="MRM47" s="595"/>
      <c r="MRN47" s="595"/>
      <c r="MRO47" s="595"/>
      <c r="MRP47" s="595"/>
      <c r="MRQ47" s="595"/>
      <c r="MRR47" s="595"/>
      <c r="MRS47" s="595"/>
      <c r="MRT47" s="595"/>
      <c r="MRU47" s="595"/>
      <c r="MRV47" s="595"/>
      <c r="MRW47" s="595"/>
      <c r="MRX47" s="595"/>
      <c r="MRY47" s="595"/>
      <c r="MRZ47" s="595"/>
      <c r="MSA47" s="595"/>
      <c r="MSB47" s="595"/>
      <c r="MSC47" s="595"/>
      <c r="MSD47" s="595"/>
      <c r="MSE47" s="595"/>
      <c r="MSF47" s="595"/>
      <c r="MSG47" s="595"/>
      <c r="MSH47" s="595"/>
      <c r="MSI47" s="595"/>
      <c r="MSJ47" s="595"/>
      <c r="MSK47" s="595"/>
      <c r="MSL47" s="595"/>
      <c r="MSM47" s="595"/>
      <c r="MSN47" s="595"/>
      <c r="MSO47" s="595"/>
      <c r="MSP47" s="595"/>
      <c r="MSQ47" s="595"/>
      <c r="MSR47" s="595"/>
      <c r="MSS47" s="595"/>
      <c r="MST47" s="595"/>
      <c r="MSU47" s="595"/>
      <c r="MSV47" s="595"/>
      <c r="MSW47" s="595"/>
      <c r="MSX47" s="595"/>
      <c r="MSY47" s="595"/>
      <c r="MSZ47" s="595"/>
      <c r="MTA47" s="595"/>
      <c r="MTB47" s="595"/>
      <c r="MTC47" s="595"/>
      <c r="MTD47" s="595"/>
      <c r="MTE47" s="595"/>
      <c r="MTF47" s="595"/>
      <c r="MTG47" s="595"/>
      <c r="MTH47" s="595"/>
      <c r="MTI47" s="595"/>
      <c r="MTJ47" s="595"/>
      <c r="MTK47" s="595"/>
      <c r="MTL47" s="595"/>
      <c r="MTM47" s="595"/>
      <c r="MTN47" s="595"/>
      <c r="MTO47" s="595"/>
      <c r="MTP47" s="595"/>
      <c r="MTQ47" s="595"/>
      <c r="MTR47" s="595"/>
      <c r="MTS47" s="595"/>
      <c r="MTT47" s="595"/>
      <c r="MTU47" s="595"/>
      <c r="MTV47" s="595"/>
      <c r="MTW47" s="595"/>
      <c r="MTX47" s="595"/>
      <c r="MTY47" s="595"/>
      <c r="MTZ47" s="595"/>
      <c r="MUA47" s="595"/>
      <c r="MUB47" s="595"/>
      <c r="MUC47" s="595"/>
      <c r="MUD47" s="595"/>
      <c r="MUE47" s="595"/>
      <c r="MUF47" s="595"/>
      <c r="MUG47" s="595"/>
      <c r="MUH47" s="595"/>
      <c r="MUI47" s="595"/>
      <c r="MUJ47" s="595"/>
      <c r="MUK47" s="595"/>
      <c r="MUL47" s="595"/>
      <c r="MUM47" s="595"/>
      <c r="MUN47" s="595"/>
      <c r="MUO47" s="595"/>
      <c r="MUP47" s="595"/>
      <c r="MUQ47" s="595"/>
      <c r="MUR47" s="595"/>
      <c r="MUS47" s="595"/>
      <c r="MUT47" s="595"/>
      <c r="MUU47" s="595"/>
      <c r="MUV47" s="595"/>
      <c r="MUW47" s="595"/>
      <c r="MUX47" s="595"/>
      <c r="MUY47" s="595"/>
      <c r="MUZ47" s="595"/>
      <c r="MVA47" s="595"/>
      <c r="MVB47" s="595"/>
      <c r="MVC47" s="595"/>
      <c r="MVD47" s="595"/>
      <c r="MVE47" s="595"/>
      <c r="MVF47" s="595"/>
      <c r="MVG47" s="595"/>
      <c r="MVH47" s="595"/>
      <c r="MVI47" s="595"/>
      <c r="MVJ47" s="595"/>
      <c r="MVK47" s="595"/>
      <c r="MVL47" s="595"/>
      <c r="MVM47" s="595"/>
      <c r="MVN47" s="595"/>
      <c r="MVO47" s="595"/>
      <c r="MVP47" s="595"/>
      <c r="MVQ47" s="595"/>
      <c r="MVR47" s="595"/>
      <c r="MVS47" s="595"/>
      <c r="MVT47" s="595"/>
      <c r="MVU47" s="595"/>
      <c r="MVV47" s="595"/>
      <c r="MVW47" s="595"/>
      <c r="MVX47" s="595"/>
      <c r="MVY47" s="595"/>
      <c r="MVZ47" s="595"/>
      <c r="MWA47" s="595"/>
      <c r="MWB47" s="595"/>
      <c r="MWC47" s="595"/>
      <c r="MWD47" s="595"/>
      <c r="MWE47" s="595"/>
      <c r="MWF47" s="595"/>
      <c r="MWG47" s="595"/>
      <c r="MWH47" s="595"/>
      <c r="MWI47" s="595"/>
      <c r="MWJ47" s="595"/>
      <c r="MWK47" s="595"/>
      <c r="MWL47" s="595"/>
      <c r="MWM47" s="595"/>
      <c r="MWN47" s="595"/>
      <c r="MWO47" s="595"/>
      <c r="MWP47" s="595"/>
      <c r="MWQ47" s="595"/>
      <c r="MWR47" s="595"/>
      <c r="MWS47" s="595"/>
      <c r="MWT47" s="595"/>
      <c r="MWU47" s="595"/>
      <c r="MWV47" s="595"/>
      <c r="MWW47" s="595"/>
      <c r="MWX47" s="595"/>
      <c r="MWY47" s="595"/>
      <c r="MWZ47" s="595"/>
      <c r="MXA47" s="595"/>
      <c r="MXB47" s="595"/>
      <c r="MXC47" s="595"/>
      <c r="MXD47" s="595"/>
      <c r="MXE47" s="595"/>
      <c r="MXF47" s="595"/>
      <c r="MXG47" s="595"/>
      <c r="MXH47" s="595"/>
      <c r="MXI47" s="595"/>
      <c r="MXJ47" s="595"/>
      <c r="MXK47" s="595"/>
      <c r="MXL47" s="595"/>
      <c r="MXM47" s="595"/>
      <c r="MXN47" s="595"/>
      <c r="MXO47" s="595"/>
      <c r="MXP47" s="595"/>
      <c r="MXQ47" s="595"/>
      <c r="MXR47" s="595"/>
      <c r="MXS47" s="595"/>
      <c r="MXT47" s="595"/>
      <c r="MXU47" s="595"/>
      <c r="MXV47" s="595"/>
      <c r="MXW47" s="595"/>
      <c r="MXX47" s="595"/>
      <c r="MXY47" s="595"/>
      <c r="MXZ47" s="595"/>
      <c r="MYA47" s="595"/>
      <c r="MYB47" s="595"/>
      <c r="MYC47" s="595"/>
      <c r="MYD47" s="595"/>
      <c r="MYE47" s="595"/>
      <c r="MYF47" s="595"/>
      <c r="MYG47" s="595"/>
      <c r="MYH47" s="595"/>
      <c r="MYI47" s="595"/>
      <c r="MYJ47" s="595"/>
      <c r="MYK47" s="595"/>
      <c r="MYL47" s="595"/>
      <c r="MYM47" s="595"/>
      <c r="MYN47" s="595"/>
      <c r="MYO47" s="595"/>
      <c r="MYP47" s="595"/>
      <c r="MYQ47" s="595"/>
      <c r="MYR47" s="595"/>
      <c r="MYS47" s="595"/>
      <c r="MYT47" s="595"/>
      <c r="MYU47" s="595"/>
      <c r="MYV47" s="595"/>
      <c r="MYW47" s="595"/>
      <c r="MYX47" s="595"/>
      <c r="MYY47" s="595"/>
      <c r="MYZ47" s="595"/>
      <c r="MZA47" s="595"/>
      <c r="MZB47" s="595"/>
      <c r="MZC47" s="595"/>
      <c r="MZD47" s="595"/>
      <c r="MZE47" s="595"/>
      <c r="MZF47" s="595"/>
      <c r="MZG47" s="595"/>
      <c r="MZH47" s="595"/>
      <c r="MZI47" s="595"/>
      <c r="MZJ47" s="595"/>
      <c r="MZK47" s="595"/>
      <c r="MZL47" s="595"/>
      <c r="MZM47" s="595"/>
      <c r="MZN47" s="595"/>
      <c r="MZO47" s="595"/>
      <c r="MZP47" s="595"/>
      <c r="MZQ47" s="595"/>
      <c r="MZR47" s="595"/>
      <c r="MZS47" s="595"/>
      <c r="MZT47" s="595"/>
      <c r="MZU47" s="595"/>
      <c r="MZV47" s="595"/>
      <c r="MZW47" s="595"/>
      <c r="MZX47" s="595"/>
      <c r="MZY47" s="595"/>
      <c r="MZZ47" s="595"/>
      <c r="NAA47" s="595"/>
      <c r="NAB47" s="595"/>
      <c r="NAC47" s="595"/>
      <c r="NAD47" s="595"/>
      <c r="NAE47" s="595"/>
      <c r="NAF47" s="595"/>
      <c r="NAG47" s="595"/>
      <c r="NAH47" s="595"/>
      <c r="NAI47" s="595"/>
      <c r="NAJ47" s="595"/>
      <c r="NAK47" s="595"/>
      <c r="NAL47" s="595"/>
      <c r="NAM47" s="595"/>
      <c r="NAN47" s="595"/>
      <c r="NAO47" s="595"/>
      <c r="NAP47" s="595"/>
      <c r="NAQ47" s="595"/>
      <c r="NAR47" s="595"/>
      <c r="NAS47" s="595"/>
      <c r="NAT47" s="595"/>
      <c r="NAU47" s="595"/>
      <c r="NAV47" s="595"/>
      <c r="NAW47" s="595"/>
      <c r="NAX47" s="595"/>
      <c r="NAY47" s="595"/>
      <c r="NAZ47" s="595"/>
      <c r="NBA47" s="595"/>
      <c r="NBB47" s="595"/>
      <c r="NBC47" s="595"/>
      <c r="NBD47" s="595"/>
      <c r="NBE47" s="595"/>
      <c r="NBF47" s="595"/>
      <c r="NBG47" s="595"/>
      <c r="NBH47" s="595"/>
      <c r="NBI47" s="595"/>
      <c r="NBJ47" s="595"/>
      <c r="NBK47" s="595"/>
      <c r="NBL47" s="595"/>
      <c r="NBM47" s="595"/>
      <c r="NBN47" s="595"/>
      <c r="NBO47" s="595"/>
      <c r="NBP47" s="595"/>
      <c r="NBQ47" s="595"/>
      <c r="NBR47" s="595"/>
      <c r="NBS47" s="595"/>
      <c r="NBT47" s="595"/>
      <c r="NBU47" s="595"/>
      <c r="NBV47" s="595"/>
      <c r="NBW47" s="595"/>
      <c r="NBX47" s="595"/>
      <c r="NBY47" s="595"/>
      <c r="NBZ47" s="595"/>
      <c r="NCA47" s="595"/>
      <c r="NCB47" s="595"/>
      <c r="NCC47" s="595"/>
      <c r="NCD47" s="595"/>
      <c r="NCE47" s="595"/>
      <c r="NCF47" s="595"/>
      <c r="NCG47" s="595"/>
      <c r="NCH47" s="595"/>
      <c r="NCI47" s="595"/>
      <c r="NCJ47" s="595"/>
      <c r="NCK47" s="595"/>
      <c r="NCL47" s="595"/>
      <c r="NCM47" s="595"/>
      <c r="NCN47" s="595"/>
      <c r="NCO47" s="595"/>
      <c r="NCP47" s="595"/>
      <c r="NCQ47" s="595"/>
      <c r="NCR47" s="595"/>
      <c r="NCS47" s="595"/>
      <c r="NCT47" s="595"/>
      <c r="NCU47" s="595"/>
      <c r="NCV47" s="595"/>
      <c r="NCW47" s="595"/>
      <c r="NCX47" s="595"/>
      <c r="NCY47" s="595"/>
      <c r="NCZ47" s="595"/>
      <c r="NDA47" s="595"/>
      <c r="NDB47" s="595"/>
      <c r="NDC47" s="595"/>
      <c r="NDD47" s="595"/>
      <c r="NDE47" s="595"/>
      <c r="NDF47" s="595"/>
      <c r="NDG47" s="595"/>
      <c r="NDH47" s="595"/>
      <c r="NDI47" s="595"/>
      <c r="NDJ47" s="595"/>
      <c r="NDK47" s="595"/>
      <c r="NDL47" s="595"/>
      <c r="NDM47" s="595"/>
      <c r="NDN47" s="595"/>
      <c r="NDO47" s="595"/>
      <c r="NDP47" s="595"/>
      <c r="NDQ47" s="595"/>
      <c r="NDR47" s="595"/>
      <c r="NDS47" s="595"/>
      <c r="NDT47" s="595"/>
      <c r="NDU47" s="595"/>
      <c r="NDV47" s="595"/>
      <c r="NDW47" s="595"/>
      <c r="NDX47" s="595"/>
      <c r="NDY47" s="595"/>
      <c r="NDZ47" s="595"/>
      <c r="NEA47" s="595"/>
      <c r="NEB47" s="595"/>
      <c r="NEC47" s="595"/>
      <c r="NED47" s="595"/>
      <c r="NEE47" s="595"/>
      <c r="NEF47" s="595"/>
      <c r="NEG47" s="595"/>
      <c r="NEH47" s="595"/>
      <c r="NEI47" s="595"/>
      <c r="NEJ47" s="595"/>
      <c r="NEK47" s="595"/>
      <c r="NEL47" s="595"/>
      <c r="NEM47" s="595"/>
      <c r="NEN47" s="595"/>
      <c r="NEO47" s="595"/>
      <c r="NEP47" s="595"/>
      <c r="NEQ47" s="595"/>
      <c r="NER47" s="595"/>
      <c r="NES47" s="595"/>
      <c r="NET47" s="595"/>
      <c r="NEU47" s="595"/>
      <c r="NEV47" s="595"/>
      <c r="NEW47" s="595"/>
      <c r="NEX47" s="595"/>
      <c r="NEY47" s="595"/>
      <c r="NEZ47" s="595"/>
      <c r="NFA47" s="595"/>
      <c r="NFB47" s="595"/>
      <c r="NFC47" s="595"/>
      <c r="NFD47" s="595"/>
      <c r="NFE47" s="595"/>
      <c r="NFF47" s="595"/>
      <c r="NFG47" s="595"/>
      <c r="NFH47" s="595"/>
      <c r="NFI47" s="595"/>
      <c r="NFJ47" s="595"/>
      <c r="NFK47" s="595"/>
      <c r="NFL47" s="595"/>
      <c r="NFM47" s="595"/>
      <c r="NFN47" s="595"/>
      <c r="NFO47" s="595"/>
      <c r="NFP47" s="595"/>
      <c r="NFQ47" s="595"/>
      <c r="NFR47" s="595"/>
      <c r="NFS47" s="595"/>
      <c r="NFT47" s="595"/>
      <c r="NFU47" s="595"/>
      <c r="NFV47" s="595"/>
      <c r="NFW47" s="595"/>
      <c r="NFX47" s="595"/>
      <c r="NFY47" s="595"/>
      <c r="NFZ47" s="595"/>
      <c r="NGA47" s="595"/>
      <c r="NGB47" s="595"/>
      <c r="NGC47" s="595"/>
      <c r="NGD47" s="595"/>
      <c r="NGE47" s="595"/>
      <c r="NGF47" s="595"/>
      <c r="NGG47" s="595"/>
      <c r="NGH47" s="595"/>
      <c r="NGI47" s="595"/>
      <c r="NGJ47" s="595"/>
      <c r="NGK47" s="595"/>
      <c r="NGL47" s="595"/>
      <c r="NGM47" s="595"/>
      <c r="NGN47" s="595"/>
      <c r="NGO47" s="595"/>
      <c r="NGP47" s="595"/>
      <c r="NGQ47" s="595"/>
      <c r="NGR47" s="595"/>
      <c r="NGS47" s="595"/>
      <c r="NGT47" s="595"/>
      <c r="NGU47" s="595"/>
      <c r="NGV47" s="595"/>
      <c r="NGW47" s="595"/>
      <c r="NGX47" s="595"/>
      <c r="NGY47" s="595"/>
      <c r="NGZ47" s="595"/>
      <c r="NHA47" s="595"/>
      <c r="NHB47" s="595"/>
      <c r="NHC47" s="595"/>
      <c r="NHD47" s="595"/>
      <c r="NHE47" s="595"/>
      <c r="NHF47" s="595"/>
      <c r="NHG47" s="595"/>
      <c r="NHH47" s="595"/>
      <c r="NHI47" s="595"/>
      <c r="NHJ47" s="595"/>
      <c r="NHK47" s="595"/>
      <c r="NHL47" s="595"/>
      <c r="NHM47" s="595"/>
      <c r="NHN47" s="595"/>
      <c r="NHO47" s="595"/>
      <c r="NHP47" s="595"/>
      <c r="NHQ47" s="595"/>
      <c r="NHR47" s="595"/>
      <c r="NHS47" s="595"/>
      <c r="NHT47" s="595"/>
      <c r="NHU47" s="595"/>
      <c r="NHV47" s="595"/>
      <c r="NHW47" s="595"/>
      <c r="NHX47" s="595"/>
      <c r="NHY47" s="595"/>
      <c r="NHZ47" s="595"/>
      <c r="NIA47" s="595"/>
      <c r="NIB47" s="595"/>
      <c r="NIC47" s="595"/>
      <c r="NID47" s="595"/>
      <c r="NIE47" s="595"/>
      <c r="NIF47" s="595"/>
      <c r="NIG47" s="595"/>
      <c r="NIH47" s="595"/>
      <c r="NII47" s="595"/>
      <c r="NIJ47" s="595"/>
      <c r="NIK47" s="595"/>
      <c r="NIL47" s="595"/>
      <c r="NIM47" s="595"/>
      <c r="NIN47" s="595"/>
      <c r="NIO47" s="595"/>
      <c r="NIP47" s="595"/>
      <c r="NIQ47" s="595"/>
      <c r="NIR47" s="595"/>
      <c r="NIS47" s="595"/>
      <c r="NIT47" s="595"/>
      <c r="NIU47" s="595"/>
      <c r="NIV47" s="595"/>
      <c r="NIW47" s="595"/>
      <c r="NIX47" s="595"/>
      <c r="NIY47" s="595"/>
      <c r="NIZ47" s="595"/>
      <c r="NJA47" s="595"/>
      <c r="NJB47" s="595"/>
      <c r="NJC47" s="595"/>
      <c r="NJD47" s="595"/>
      <c r="NJE47" s="595"/>
      <c r="NJF47" s="595"/>
      <c r="NJG47" s="595"/>
      <c r="NJH47" s="595"/>
      <c r="NJI47" s="595"/>
      <c r="NJJ47" s="595"/>
      <c r="NJK47" s="595"/>
      <c r="NJL47" s="595"/>
      <c r="NJM47" s="595"/>
      <c r="NJN47" s="595"/>
      <c r="NJO47" s="595"/>
      <c r="NJP47" s="595"/>
      <c r="NJQ47" s="595"/>
      <c r="NJR47" s="595"/>
      <c r="NJS47" s="595"/>
      <c r="NJT47" s="595"/>
      <c r="NJU47" s="595"/>
      <c r="NJV47" s="595"/>
      <c r="NJW47" s="595"/>
      <c r="NJX47" s="595"/>
      <c r="NJY47" s="595"/>
      <c r="NJZ47" s="595"/>
      <c r="NKA47" s="595"/>
      <c r="NKB47" s="595"/>
      <c r="NKC47" s="595"/>
      <c r="NKD47" s="595"/>
      <c r="NKE47" s="595"/>
      <c r="NKF47" s="595"/>
      <c r="NKG47" s="595"/>
      <c r="NKH47" s="595"/>
      <c r="NKI47" s="595"/>
      <c r="NKJ47" s="595"/>
      <c r="NKK47" s="595"/>
      <c r="NKL47" s="595"/>
      <c r="NKM47" s="595"/>
      <c r="NKN47" s="595"/>
      <c r="NKO47" s="595"/>
      <c r="NKP47" s="595"/>
      <c r="NKQ47" s="595"/>
      <c r="NKR47" s="595"/>
      <c r="NKS47" s="595"/>
      <c r="NKT47" s="595"/>
      <c r="NKU47" s="595"/>
      <c r="NKV47" s="595"/>
      <c r="NKW47" s="595"/>
      <c r="NKX47" s="595"/>
      <c r="NKY47" s="595"/>
      <c r="NKZ47" s="595"/>
      <c r="NLA47" s="595"/>
      <c r="NLB47" s="595"/>
      <c r="NLC47" s="595"/>
      <c r="NLD47" s="595"/>
      <c r="NLE47" s="595"/>
      <c r="NLF47" s="595"/>
      <c r="NLG47" s="595"/>
      <c r="NLH47" s="595"/>
      <c r="NLI47" s="595"/>
      <c r="NLJ47" s="595"/>
      <c r="NLK47" s="595"/>
      <c r="NLL47" s="595"/>
      <c r="NLM47" s="595"/>
      <c r="NLN47" s="595"/>
      <c r="NLO47" s="595"/>
      <c r="NLP47" s="595"/>
      <c r="NLQ47" s="595"/>
      <c r="NLR47" s="595"/>
      <c r="NLS47" s="595"/>
      <c r="NLT47" s="595"/>
      <c r="NLU47" s="595"/>
      <c r="NLV47" s="595"/>
      <c r="NLW47" s="595"/>
      <c r="NLX47" s="595"/>
      <c r="NLY47" s="595"/>
      <c r="NLZ47" s="595"/>
      <c r="NMA47" s="595"/>
      <c r="NMB47" s="595"/>
      <c r="NMC47" s="595"/>
      <c r="NMD47" s="595"/>
      <c r="NME47" s="595"/>
      <c r="NMF47" s="595"/>
      <c r="NMG47" s="595"/>
      <c r="NMH47" s="595"/>
      <c r="NMI47" s="595"/>
      <c r="NMJ47" s="595"/>
      <c r="NMK47" s="595"/>
      <c r="NML47" s="595"/>
      <c r="NMM47" s="595"/>
      <c r="NMN47" s="595"/>
      <c r="NMO47" s="595"/>
      <c r="NMP47" s="595"/>
      <c r="NMQ47" s="595"/>
      <c r="NMR47" s="595"/>
      <c r="NMS47" s="595"/>
      <c r="NMT47" s="595"/>
      <c r="NMU47" s="595"/>
      <c r="NMV47" s="595"/>
      <c r="NMW47" s="595"/>
      <c r="NMX47" s="595"/>
      <c r="NMY47" s="595"/>
      <c r="NMZ47" s="595"/>
      <c r="NNA47" s="595"/>
      <c r="NNB47" s="595"/>
      <c r="NNC47" s="595"/>
      <c r="NND47" s="595"/>
      <c r="NNE47" s="595"/>
      <c r="NNF47" s="595"/>
      <c r="NNG47" s="595"/>
      <c r="NNH47" s="595"/>
      <c r="NNI47" s="595"/>
      <c r="NNJ47" s="595"/>
      <c r="NNK47" s="595"/>
      <c r="NNL47" s="595"/>
      <c r="NNM47" s="595"/>
      <c r="NNN47" s="595"/>
      <c r="NNO47" s="595"/>
      <c r="NNP47" s="595"/>
      <c r="NNQ47" s="595"/>
      <c r="NNR47" s="595"/>
      <c r="NNS47" s="595"/>
      <c r="NNT47" s="595"/>
      <c r="NNU47" s="595"/>
      <c r="NNV47" s="595"/>
      <c r="NNW47" s="595"/>
      <c r="NNX47" s="595"/>
      <c r="NNY47" s="595"/>
      <c r="NNZ47" s="595"/>
      <c r="NOA47" s="595"/>
      <c r="NOB47" s="595"/>
      <c r="NOC47" s="595"/>
      <c r="NOD47" s="595"/>
      <c r="NOE47" s="595"/>
      <c r="NOF47" s="595"/>
      <c r="NOG47" s="595"/>
      <c r="NOH47" s="595"/>
      <c r="NOI47" s="595"/>
      <c r="NOJ47" s="595"/>
      <c r="NOK47" s="595"/>
      <c r="NOL47" s="595"/>
      <c r="NOM47" s="595"/>
      <c r="NON47" s="595"/>
      <c r="NOO47" s="595"/>
      <c r="NOP47" s="595"/>
      <c r="NOQ47" s="595"/>
      <c r="NOR47" s="595"/>
      <c r="NOS47" s="595"/>
      <c r="NOT47" s="595"/>
      <c r="NOU47" s="595"/>
      <c r="NOV47" s="595"/>
      <c r="NOW47" s="595"/>
      <c r="NOX47" s="595"/>
      <c r="NOY47" s="595"/>
      <c r="NOZ47" s="595"/>
      <c r="NPA47" s="595"/>
      <c r="NPB47" s="595"/>
      <c r="NPC47" s="595"/>
      <c r="NPD47" s="595"/>
      <c r="NPE47" s="595"/>
      <c r="NPF47" s="595"/>
      <c r="NPG47" s="595"/>
      <c r="NPH47" s="595"/>
      <c r="NPI47" s="595"/>
      <c r="NPJ47" s="595"/>
      <c r="NPK47" s="595"/>
      <c r="NPL47" s="595"/>
      <c r="NPM47" s="595"/>
      <c r="NPN47" s="595"/>
      <c r="NPO47" s="595"/>
      <c r="NPP47" s="595"/>
      <c r="NPQ47" s="595"/>
      <c r="NPR47" s="595"/>
      <c r="NPS47" s="595"/>
      <c r="NPT47" s="595"/>
      <c r="NPU47" s="595"/>
      <c r="NPV47" s="595"/>
      <c r="NPW47" s="595"/>
      <c r="NPX47" s="595"/>
      <c r="NPY47" s="595"/>
      <c r="NPZ47" s="595"/>
      <c r="NQA47" s="595"/>
      <c r="NQB47" s="595"/>
      <c r="NQC47" s="595"/>
      <c r="NQD47" s="595"/>
      <c r="NQE47" s="595"/>
      <c r="NQF47" s="595"/>
      <c r="NQG47" s="595"/>
      <c r="NQH47" s="595"/>
      <c r="NQI47" s="595"/>
      <c r="NQJ47" s="595"/>
      <c r="NQK47" s="595"/>
      <c r="NQL47" s="595"/>
      <c r="NQM47" s="595"/>
      <c r="NQN47" s="595"/>
      <c r="NQO47" s="595"/>
      <c r="NQP47" s="595"/>
      <c r="NQQ47" s="595"/>
      <c r="NQR47" s="595"/>
      <c r="NQS47" s="595"/>
      <c r="NQT47" s="595"/>
      <c r="NQU47" s="595"/>
      <c r="NQV47" s="595"/>
      <c r="NQW47" s="595"/>
      <c r="NQX47" s="595"/>
      <c r="NQY47" s="595"/>
      <c r="NQZ47" s="595"/>
      <c r="NRA47" s="595"/>
      <c r="NRB47" s="595"/>
      <c r="NRC47" s="595"/>
      <c r="NRD47" s="595"/>
      <c r="NRE47" s="595"/>
      <c r="NRF47" s="595"/>
      <c r="NRG47" s="595"/>
      <c r="NRH47" s="595"/>
      <c r="NRI47" s="595"/>
      <c r="NRJ47" s="595"/>
      <c r="NRK47" s="595"/>
      <c r="NRL47" s="595"/>
      <c r="NRM47" s="595"/>
      <c r="NRN47" s="595"/>
      <c r="NRO47" s="595"/>
      <c r="NRP47" s="595"/>
      <c r="NRQ47" s="595"/>
      <c r="NRR47" s="595"/>
      <c r="NRS47" s="595"/>
      <c r="NRT47" s="595"/>
      <c r="NRU47" s="595"/>
      <c r="NRV47" s="595"/>
      <c r="NRW47" s="595"/>
      <c r="NRX47" s="595"/>
      <c r="NRY47" s="595"/>
      <c r="NRZ47" s="595"/>
      <c r="NSA47" s="595"/>
      <c r="NSB47" s="595"/>
      <c r="NSC47" s="595"/>
      <c r="NSD47" s="595"/>
      <c r="NSE47" s="595"/>
      <c r="NSF47" s="595"/>
      <c r="NSG47" s="595"/>
      <c r="NSH47" s="595"/>
      <c r="NSI47" s="595"/>
      <c r="NSJ47" s="595"/>
      <c r="NSK47" s="595"/>
      <c r="NSL47" s="595"/>
      <c r="NSM47" s="595"/>
      <c r="NSN47" s="595"/>
      <c r="NSO47" s="595"/>
      <c r="NSP47" s="595"/>
      <c r="NSQ47" s="595"/>
      <c r="NSR47" s="595"/>
      <c r="NSS47" s="595"/>
      <c r="NST47" s="595"/>
      <c r="NSU47" s="595"/>
      <c r="NSV47" s="595"/>
      <c r="NSW47" s="595"/>
      <c r="NSX47" s="595"/>
      <c r="NSY47" s="595"/>
      <c r="NSZ47" s="595"/>
      <c r="NTA47" s="595"/>
      <c r="NTB47" s="595"/>
      <c r="NTC47" s="595"/>
      <c r="NTD47" s="595"/>
      <c r="NTE47" s="595"/>
      <c r="NTF47" s="595"/>
      <c r="NTG47" s="595"/>
      <c r="NTH47" s="595"/>
      <c r="NTI47" s="595"/>
      <c r="NTJ47" s="595"/>
      <c r="NTK47" s="595"/>
      <c r="NTL47" s="595"/>
      <c r="NTM47" s="595"/>
      <c r="NTN47" s="595"/>
      <c r="NTO47" s="595"/>
      <c r="NTP47" s="595"/>
      <c r="NTQ47" s="595"/>
      <c r="NTR47" s="595"/>
      <c r="NTS47" s="595"/>
      <c r="NTT47" s="595"/>
      <c r="NTU47" s="595"/>
      <c r="NTV47" s="595"/>
      <c r="NTW47" s="595"/>
      <c r="NTX47" s="595"/>
      <c r="NTY47" s="595"/>
      <c r="NTZ47" s="595"/>
      <c r="NUA47" s="595"/>
      <c r="NUB47" s="595"/>
      <c r="NUC47" s="595"/>
      <c r="NUD47" s="595"/>
      <c r="NUE47" s="595"/>
      <c r="NUF47" s="595"/>
      <c r="NUG47" s="595"/>
      <c r="NUH47" s="595"/>
      <c r="NUI47" s="595"/>
      <c r="NUJ47" s="595"/>
      <c r="NUK47" s="595"/>
      <c r="NUL47" s="595"/>
      <c r="NUM47" s="595"/>
      <c r="NUN47" s="595"/>
      <c r="NUO47" s="595"/>
      <c r="NUP47" s="595"/>
      <c r="NUQ47" s="595"/>
      <c r="NUR47" s="595"/>
      <c r="NUS47" s="595"/>
      <c r="NUT47" s="595"/>
      <c r="NUU47" s="595"/>
      <c r="NUV47" s="595"/>
      <c r="NUW47" s="595"/>
      <c r="NUX47" s="595"/>
      <c r="NUY47" s="595"/>
      <c r="NUZ47" s="595"/>
      <c r="NVA47" s="595"/>
      <c r="NVB47" s="595"/>
      <c r="NVC47" s="595"/>
      <c r="NVD47" s="595"/>
      <c r="NVE47" s="595"/>
      <c r="NVF47" s="595"/>
      <c r="NVG47" s="595"/>
      <c r="NVH47" s="595"/>
      <c r="NVI47" s="595"/>
      <c r="NVJ47" s="595"/>
      <c r="NVK47" s="595"/>
      <c r="NVL47" s="595"/>
      <c r="NVM47" s="595"/>
      <c r="NVN47" s="595"/>
      <c r="NVO47" s="595"/>
      <c r="NVP47" s="595"/>
      <c r="NVQ47" s="595"/>
      <c r="NVR47" s="595"/>
      <c r="NVS47" s="595"/>
      <c r="NVT47" s="595"/>
      <c r="NVU47" s="595"/>
      <c r="NVV47" s="595"/>
      <c r="NVW47" s="595"/>
      <c r="NVX47" s="595"/>
      <c r="NVY47" s="595"/>
      <c r="NVZ47" s="595"/>
      <c r="NWA47" s="595"/>
      <c r="NWB47" s="595"/>
      <c r="NWC47" s="595"/>
      <c r="NWD47" s="595"/>
      <c r="NWE47" s="595"/>
      <c r="NWF47" s="595"/>
      <c r="NWG47" s="595"/>
      <c r="NWH47" s="595"/>
      <c r="NWI47" s="595"/>
      <c r="NWJ47" s="595"/>
      <c r="NWK47" s="595"/>
      <c r="NWL47" s="595"/>
      <c r="NWM47" s="595"/>
      <c r="NWN47" s="595"/>
      <c r="NWO47" s="595"/>
      <c r="NWP47" s="595"/>
      <c r="NWQ47" s="595"/>
      <c r="NWR47" s="595"/>
      <c r="NWS47" s="595"/>
      <c r="NWT47" s="595"/>
      <c r="NWU47" s="595"/>
      <c r="NWV47" s="595"/>
      <c r="NWW47" s="595"/>
      <c r="NWX47" s="595"/>
      <c r="NWY47" s="595"/>
      <c r="NWZ47" s="595"/>
      <c r="NXA47" s="595"/>
      <c r="NXB47" s="595"/>
      <c r="NXC47" s="595"/>
      <c r="NXD47" s="595"/>
      <c r="NXE47" s="595"/>
      <c r="NXF47" s="595"/>
      <c r="NXG47" s="595"/>
      <c r="NXH47" s="595"/>
      <c r="NXI47" s="595"/>
      <c r="NXJ47" s="595"/>
      <c r="NXK47" s="595"/>
      <c r="NXL47" s="595"/>
      <c r="NXM47" s="595"/>
      <c r="NXN47" s="595"/>
      <c r="NXO47" s="595"/>
      <c r="NXP47" s="595"/>
      <c r="NXQ47" s="595"/>
      <c r="NXR47" s="595"/>
      <c r="NXS47" s="595"/>
      <c r="NXT47" s="595"/>
      <c r="NXU47" s="595"/>
      <c r="NXV47" s="595"/>
      <c r="NXW47" s="595"/>
      <c r="NXX47" s="595"/>
      <c r="NXY47" s="595"/>
      <c r="NXZ47" s="595"/>
      <c r="NYA47" s="595"/>
      <c r="NYB47" s="595"/>
      <c r="NYC47" s="595"/>
      <c r="NYD47" s="595"/>
      <c r="NYE47" s="595"/>
      <c r="NYF47" s="595"/>
      <c r="NYG47" s="595"/>
      <c r="NYH47" s="595"/>
      <c r="NYI47" s="595"/>
      <c r="NYJ47" s="595"/>
      <c r="NYK47" s="595"/>
      <c r="NYL47" s="595"/>
      <c r="NYM47" s="595"/>
      <c r="NYN47" s="595"/>
      <c r="NYO47" s="595"/>
      <c r="NYP47" s="595"/>
      <c r="NYQ47" s="595"/>
      <c r="NYR47" s="595"/>
      <c r="NYS47" s="595"/>
      <c r="NYT47" s="595"/>
      <c r="NYU47" s="595"/>
      <c r="NYV47" s="595"/>
      <c r="NYW47" s="595"/>
      <c r="NYX47" s="595"/>
      <c r="NYY47" s="595"/>
      <c r="NYZ47" s="595"/>
      <c r="NZA47" s="595"/>
      <c r="NZB47" s="595"/>
      <c r="NZC47" s="595"/>
      <c r="NZD47" s="595"/>
      <c r="NZE47" s="595"/>
      <c r="NZF47" s="595"/>
      <c r="NZG47" s="595"/>
      <c r="NZH47" s="595"/>
      <c r="NZI47" s="595"/>
      <c r="NZJ47" s="595"/>
      <c r="NZK47" s="595"/>
      <c r="NZL47" s="595"/>
      <c r="NZM47" s="595"/>
      <c r="NZN47" s="595"/>
      <c r="NZO47" s="595"/>
      <c r="NZP47" s="595"/>
      <c r="NZQ47" s="595"/>
      <c r="NZR47" s="595"/>
      <c r="NZS47" s="595"/>
      <c r="NZT47" s="595"/>
      <c r="NZU47" s="595"/>
      <c r="NZV47" s="595"/>
      <c r="NZW47" s="595"/>
      <c r="NZX47" s="595"/>
      <c r="NZY47" s="595"/>
      <c r="NZZ47" s="595"/>
      <c r="OAA47" s="595"/>
      <c r="OAB47" s="595"/>
      <c r="OAC47" s="595"/>
      <c r="OAD47" s="595"/>
      <c r="OAE47" s="595"/>
      <c r="OAF47" s="595"/>
      <c r="OAG47" s="595"/>
      <c r="OAH47" s="595"/>
      <c r="OAI47" s="595"/>
      <c r="OAJ47" s="595"/>
      <c r="OAK47" s="595"/>
      <c r="OAL47" s="595"/>
      <c r="OAM47" s="595"/>
      <c r="OAN47" s="595"/>
      <c r="OAO47" s="595"/>
      <c r="OAP47" s="595"/>
      <c r="OAQ47" s="595"/>
      <c r="OAR47" s="595"/>
      <c r="OAS47" s="595"/>
      <c r="OAT47" s="595"/>
      <c r="OAU47" s="595"/>
      <c r="OAV47" s="595"/>
      <c r="OAW47" s="595"/>
      <c r="OAX47" s="595"/>
      <c r="OAY47" s="595"/>
      <c r="OAZ47" s="595"/>
      <c r="OBA47" s="595"/>
      <c r="OBB47" s="595"/>
      <c r="OBC47" s="595"/>
      <c r="OBD47" s="595"/>
      <c r="OBE47" s="595"/>
      <c r="OBF47" s="595"/>
      <c r="OBG47" s="595"/>
      <c r="OBH47" s="595"/>
      <c r="OBI47" s="595"/>
      <c r="OBJ47" s="595"/>
      <c r="OBK47" s="595"/>
      <c r="OBL47" s="595"/>
      <c r="OBM47" s="595"/>
      <c r="OBN47" s="595"/>
      <c r="OBO47" s="595"/>
      <c r="OBP47" s="595"/>
      <c r="OBQ47" s="595"/>
      <c r="OBR47" s="595"/>
      <c r="OBS47" s="595"/>
      <c r="OBT47" s="595"/>
      <c r="OBU47" s="595"/>
      <c r="OBV47" s="595"/>
      <c r="OBW47" s="595"/>
      <c r="OBX47" s="595"/>
      <c r="OBY47" s="595"/>
      <c r="OBZ47" s="595"/>
      <c r="OCA47" s="595"/>
      <c r="OCB47" s="595"/>
      <c r="OCC47" s="595"/>
      <c r="OCD47" s="595"/>
      <c r="OCE47" s="595"/>
      <c r="OCF47" s="595"/>
      <c r="OCG47" s="595"/>
      <c r="OCH47" s="595"/>
      <c r="OCI47" s="595"/>
      <c r="OCJ47" s="595"/>
      <c r="OCK47" s="595"/>
      <c r="OCL47" s="595"/>
      <c r="OCM47" s="595"/>
      <c r="OCN47" s="595"/>
      <c r="OCO47" s="595"/>
      <c r="OCP47" s="595"/>
      <c r="OCQ47" s="595"/>
      <c r="OCR47" s="595"/>
      <c r="OCS47" s="595"/>
      <c r="OCT47" s="595"/>
      <c r="OCU47" s="595"/>
      <c r="OCV47" s="595"/>
      <c r="OCW47" s="595"/>
      <c r="OCX47" s="595"/>
      <c r="OCY47" s="595"/>
      <c r="OCZ47" s="595"/>
      <c r="ODA47" s="595"/>
      <c r="ODB47" s="595"/>
      <c r="ODC47" s="595"/>
      <c r="ODD47" s="595"/>
      <c r="ODE47" s="595"/>
      <c r="ODF47" s="595"/>
      <c r="ODG47" s="595"/>
      <c r="ODH47" s="595"/>
      <c r="ODI47" s="595"/>
      <c r="ODJ47" s="595"/>
      <c r="ODK47" s="595"/>
      <c r="ODL47" s="595"/>
      <c r="ODM47" s="595"/>
      <c r="ODN47" s="595"/>
      <c r="ODO47" s="595"/>
      <c r="ODP47" s="595"/>
      <c r="ODQ47" s="595"/>
      <c r="ODR47" s="595"/>
      <c r="ODS47" s="595"/>
      <c r="ODT47" s="595"/>
      <c r="ODU47" s="595"/>
      <c r="ODV47" s="595"/>
      <c r="ODW47" s="595"/>
      <c r="ODX47" s="595"/>
      <c r="ODY47" s="595"/>
      <c r="ODZ47" s="595"/>
      <c r="OEA47" s="595"/>
      <c r="OEB47" s="595"/>
      <c r="OEC47" s="595"/>
      <c r="OED47" s="595"/>
      <c r="OEE47" s="595"/>
      <c r="OEF47" s="595"/>
      <c r="OEG47" s="595"/>
      <c r="OEH47" s="595"/>
      <c r="OEI47" s="595"/>
      <c r="OEJ47" s="595"/>
      <c r="OEK47" s="595"/>
      <c r="OEL47" s="595"/>
      <c r="OEM47" s="595"/>
      <c r="OEN47" s="595"/>
      <c r="OEO47" s="595"/>
      <c r="OEP47" s="595"/>
      <c r="OEQ47" s="595"/>
      <c r="OER47" s="595"/>
      <c r="OES47" s="595"/>
      <c r="OET47" s="595"/>
      <c r="OEU47" s="595"/>
      <c r="OEV47" s="595"/>
      <c r="OEW47" s="595"/>
      <c r="OEX47" s="595"/>
      <c r="OEY47" s="595"/>
      <c r="OEZ47" s="595"/>
      <c r="OFA47" s="595"/>
      <c r="OFB47" s="595"/>
      <c r="OFC47" s="595"/>
      <c r="OFD47" s="595"/>
      <c r="OFE47" s="595"/>
      <c r="OFF47" s="595"/>
      <c r="OFG47" s="595"/>
      <c r="OFH47" s="595"/>
      <c r="OFI47" s="595"/>
      <c r="OFJ47" s="595"/>
      <c r="OFK47" s="595"/>
      <c r="OFL47" s="595"/>
      <c r="OFM47" s="595"/>
      <c r="OFN47" s="595"/>
      <c r="OFO47" s="595"/>
      <c r="OFP47" s="595"/>
      <c r="OFQ47" s="595"/>
      <c r="OFR47" s="595"/>
      <c r="OFS47" s="595"/>
      <c r="OFT47" s="595"/>
      <c r="OFU47" s="595"/>
      <c r="OFV47" s="595"/>
      <c r="OFW47" s="595"/>
      <c r="OFX47" s="595"/>
      <c r="OFY47" s="595"/>
      <c r="OFZ47" s="595"/>
      <c r="OGA47" s="595"/>
      <c r="OGB47" s="595"/>
      <c r="OGC47" s="595"/>
      <c r="OGD47" s="595"/>
      <c r="OGE47" s="595"/>
      <c r="OGF47" s="595"/>
      <c r="OGG47" s="595"/>
      <c r="OGH47" s="595"/>
      <c r="OGI47" s="595"/>
      <c r="OGJ47" s="595"/>
      <c r="OGK47" s="595"/>
      <c r="OGL47" s="595"/>
      <c r="OGM47" s="595"/>
      <c r="OGN47" s="595"/>
      <c r="OGO47" s="595"/>
      <c r="OGP47" s="595"/>
      <c r="OGQ47" s="595"/>
      <c r="OGR47" s="595"/>
      <c r="OGS47" s="595"/>
      <c r="OGT47" s="595"/>
      <c r="OGU47" s="595"/>
      <c r="OGV47" s="595"/>
      <c r="OGW47" s="595"/>
      <c r="OGX47" s="595"/>
      <c r="OGY47" s="595"/>
      <c r="OGZ47" s="595"/>
      <c r="OHA47" s="595"/>
      <c r="OHB47" s="595"/>
      <c r="OHC47" s="595"/>
      <c r="OHD47" s="595"/>
      <c r="OHE47" s="595"/>
      <c r="OHF47" s="595"/>
      <c r="OHG47" s="595"/>
      <c r="OHH47" s="595"/>
      <c r="OHI47" s="595"/>
      <c r="OHJ47" s="595"/>
      <c r="OHK47" s="595"/>
      <c r="OHL47" s="595"/>
      <c r="OHM47" s="595"/>
      <c r="OHN47" s="595"/>
      <c r="OHO47" s="595"/>
      <c r="OHP47" s="595"/>
      <c r="OHQ47" s="595"/>
      <c r="OHR47" s="595"/>
      <c r="OHS47" s="595"/>
      <c r="OHT47" s="595"/>
      <c r="OHU47" s="595"/>
      <c r="OHV47" s="595"/>
      <c r="OHW47" s="595"/>
      <c r="OHX47" s="595"/>
      <c r="OHY47" s="595"/>
      <c r="OHZ47" s="595"/>
      <c r="OIA47" s="595"/>
      <c r="OIB47" s="595"/>
      <c r="OIC47" s="595"/>
      <c r="OID47" s="595"/>
      <c r="OIE47" s="595"/>
      <c r="OIF47" s="595"/>
      <c r="OIG47" s="595"/>
      <c r="OIH47" s="595"/>
      <c r="OII47" s="595"/>
      <c r="OIJ47" s="595"/>
      <c r="OIK47" s="595"/>
      <c r="OIL47" s="595"/>
      <c r="OIM47" s="595"/>
      <c r="OIN47" s="595"/>
      <c r="OIO47" s="595"/>
      <c r="OIP47" s="595"/>
      <c r="OIQ47" s="595"/>
      <c r="OIR47" s="595"/>
      <c r="OIS47" s="595"/>
      <c r="OIT47" s="595"/>
      <c r="OIU47" s="595"/>
      <c r="OIV47" s="595"/>
      <c r="OIW47" s="595"/>
      <c r="OIX47" s="595"/>
      <c r="OIY47" s="595"/>
      <c r="OIZ47" s="595"/>
      <c r="OJA47" s="595"/>
      <c r="OJB47" s="595"/>
      <c r="OJC47" s="595"/>
      <c r="OJD47" s="595"/>
      <c r="OJE47" s="595"/>
      <c r="OJF47" s="595"/>
      <c r="OJG47" s="595"/>
      <c r="OJH47" s="595"/>
      <c r="OJI47" s="595"/>
      <c r="OJJ47" s="595"/>
      <c r="OJK47" s="595"/>
      <c r="OJL47" s="595"/>
      <c r="OJM47" s="595"/>
      <c r="OJN47" s="595"/>
      <c r="OJO47" s="595"/>
      <c r="OJP47" s="595"/>
      <c r="OJQ47" s="595"/>
      <c r="OJR47" s="595"/>
      <c r="OJS47" s="595"/>
      <c r="OJT47" s="595"/>
      <c r="OJU47" s="595"/>
      <c r="OJV47" s="595"/>
      <c r="OJW47" s="595"/>
      <c r="OJX47" s="595"/>
      <c r="OJY47" s="595"/>
      <c r="OJZ47" s="595"/>
      <c r="OKA47" s="595"/>
      <c r="OKB47" s="595"/>
      <c r="OKC47" s="595"/>
      <c r="OKD47" s="595"/>
      <c r="OKE47" s="595"/>
      <c r="OKF47" s="595"/>
      <c r="OKG47" s="595"/>
      <c r="OKH47" s="595"/>
      <c r="OKI47" s="595"/>
      <c r="OKJ47" s="595"/>
      <c r="OKK47" s="595"/>
      <c r="OKL47" s="595"/>
      <c r="OKM47" s="595"/>
      <c r="OKN47" s="595"/>
      <c r="OKO47" s="595"/>
      <c r="OKP47" s="595"/>
      <c r="OKQ47" s="595"/>
      <c r="OKR47" s="595"/>
      <c r="OKS47" s="595"/>
      <c r="OKT47" s="595"/>
      <c r="OKU47" s="595"/>
      <c r="OKV47" s="595"/>
      <c r="OKW47" s="595"/>
      <c r="OKX47" s="595"/>
      <c r="OKY47" s="595"/>
      <c r="OKZ47" s="595"/>
      <c r="OLA47" s="595"/>
      <c r="OLB47" s="595"/>
      <c r="OLC47" s="595"/>
      <c r="OLD47" s="595"/>
      <c r="OLE47" s="595"/>
      <c r="OLF47" s="595"/>
      <c r="OLG47" s="595"/>
      <c r="OLH47" s="595"/>
      <c r="OLI47" s="595"/>
      <c r="OLJ47" s="595"/>
      <c r="OLK47" s="595"/>
      <c r="OLL47" s="595"/>
      <c r="OLM47" s="595"/>
      <c r="OLN47" s="595"/>
      <c r="OLO47" s="595"/>
      <c r="OLP47" s="595"/>
      <c r="OLQ47" s="595"/>
      <c r="OLR47" s="595"/>
      <c r="OLS47" s="595"/>
      <c r="OLT47" s="595"/>
      <c r="OLU47" s="595"/>
      <c r="OLV47" s="595"/>
      <c r="OLW47" s="595"/>
      <c r="OLX47" s="595"/>
      <c r="OLY47" s="595"/>
      <c r="OLZ47" s="595"/>
      <c r="OMA47" s="595"/>
      <c r="OMB47" s="595"/>
      <c r="OMC47" s="595"/>
      <c r="OMD47" s="595"/>
      <c r="OME47" s="595"/>
      <c r="OMF47" s="595"/>
      <c r="OMG47" s="595"/>
      <c r="OMH47" s="595"/>
      <c r="OMI47" s="595"/>
      <c r="OMJ47" s="595"/>
      <c r="OMK47" s="595"/>
      <c r="OML47" s="595"/>
      <c r="OMM47" s="595"/>
      <c r="OMN47" s="595"/>
      <c r="OMO47" s="595"/>
      <c r="OMP47" s="595"/>
      <c r="OMQ47" s="595"/>
      <c r="OMR47" s="595"/>
      <c r="OMS47" s="595"/>
      <c r="OMT47" s="595"/>
      <c r="OMU47" s="595"/>
      <c r="OMV47" s="595"/>
      <c r="OMW47" s="595"/>
      <c r="OMX47" s="595"/>
      <c r="OMY47" s="595"/>
      <c r="OMZ47" s="595"/>
      <c r="ONA47" s="595"/>
      <c r="ONB47" s="595"/>
      <c r="ONC47" s="595"/>
      <c r="OND47" s="595"/>
      <c r="ONE47" s="595"/>
      <c r="ONF47" s="595"/>
      <c r="ONG47" s="595"/>
      <c r="ONH47" s="595"/>
      <c r="ONI47" s="595"/>
      <c r="ONJ47" s="595"/>
      <c r="ONK47" s="595"/>
      <c r="ONL47" s="595"/>
      <c r="ONM47" s="595"/>
      <c r="ONN47" s="595"/>
      <c r="ONO47" s="595"/>
      <c r="ONP47" s="595"/>
      <c r="ONQ47" s="595"/>
      <c r="ONR47" s="595"/>
      <c r="ONS47" s="595"/>
      <c r="ONT47" s="595"/>
      <c r="ONU47" s="595"/>
      <c r="ONV47" s="595"/>
      <c r="ONW47" s="595"/>
      <c r="ONX47" s="595"/>
      <c r="ONY47" s="595"/>
      <c r="ONZ47" s="595"/>
      <c r="OOA47" s="595"/>
      <c r="OOB47" s="595"/>
      <c r="OOC47" s="595"/>
      <c r="OOD47" s="595"/>
      <c r="OOE47" s="595"/>
      <c r="OOF47" s="595"/>
      <c r="OOG47" s="595"/>
      <c r="OOH47" s="595"/>
      <c r="OOI47" s="595"/>
      <c r="OOJ47" s="595"/>
      <c r="OOK47" s="595"/>
      <c r="OOL47" s="595"/>
      <c r="OOM47" s="595"/>
      <c r="OON47" s="595"/>
      <c r="OOO47" s="595"/>
      <c r="OOP47" s="595"/>
      <c r="OOQ47" s="595"/>
      <c r="OOR47" s="595"/>
      <c r="OOS47" s="595"/>
      <c r="OOT47" s="595"/>
      <c r="OOU47" s="595"/>
      <c r="OOV47" s="595"/>
      <c r="OOW47" s="595"/>
      <c r="OOX47" s="595"/>
      <c r="OOY47" s="595"/>
      <c r="OOZ47" s="595"/>
      <c r="OPA47" s="595"/>
      <c r="OPB47" s="595"/>
      <c r="OPC47" s="595"/>
      <c r="OPD47" s="595"/>
      <c r="OPE47" s="595"/>
      <c r="OPF47" s="595"/>
      <c r="OPG47" s="595"/>
      <c r="OPH47" s="595"/>
      <c r="OPI47" s="595"/>
      <c r="OPJ47" s="595"/>
      <c r="OPK47" s="595"/>
      <c r="OPL47" s="595"/>
      <c r="OPM47" s="595"/>
      <c r="OPN47" s="595"/>
      <c r="OPO47" s="595"/>
      <c r="OPP47" s="595"/>
      <c r="OPQ47" s="595"/>
      <c r="OPR47" s="595"/>
      <c r="OPS47" s="595"/>
      <c r="OPT47" s="595"/>
      <c r="OPU47" s="595"/>
      <c r="OPV47" s="595"/>
      <c r="OPW47" s="595"/>
      <c r="OPX47" s="595"/>
      <c r="OPY47" s="595"/>
      <c r="OPZ47" s="595"/>
      <c r="OQA47" s="595"/>
      <c r="OQB47" s="595"/>
      <c r="OQC47" s="595"/>
      <c r="OQD47" s="595"/>
      <c r="OQE47" s="595"/>
      <c r="OQF47" s="595"/>
      <c r="OQG47" s="595"/>
      <c r="OQH47" s="595"/>
      <c r="OQI47" s="595"/>
      <c r="OQJ47" s="595"/>
      <c r="OQK47" s="595"/>
      <c r="OQL47" s="595"/>
      <c r="OQM47" s="595"/>
      <c r="OQN47" s="595"/>
      <c r="OQO47" s="595"/>
      <c r="OQP47" s="595"/>
      <c r="OQQ47" s="595"/>
      <c r="OQR47" s="595"/>
      <c r="OQS47" s="595"/>
      <c r="OQT47" s="595"/>
      <c r="OQU47" s="595"/>
      <c r="OQV47" s="595"/>
      <c r="OQW47" s="595"/>
      <c r="OQX47" s="595"/>
      <c r="OQY47" s="595"/>
      <c r="OQZ47" s="595"/>
      <c r="ORA47" s="595"/>
      <c r="ORB47" s="595"/>
      <c r="ORC47" s="595"/>
      <c r="ORD47" s="595"/>
      <c r="ORE47" s="595"/>
      <c r="ORF47" s="595"/>
      <c r="ORG47" s="595"/>
      <c r="ORH47" s="595"/>
      <c r="ORI47" s="595"/>
      <c r="ORJ47" s="595"/>
      <c r="ORK47" s="595"/>
      <c r="ORL47" s="595"/>
      <c r="ORM47" s="595"/>
      <c r="ORN47" s="595"/>
      <c r="ORO47" s="595"/>
      <c r="ORP47" s="595"/>
      <c r="ORQ47" s="595"/>
      <c r="ORR47" s="595"/>
      <c r="ORS47" s="595"/>
      <c r="ORT47" s="595"/>
      <c r="ORU47" s="595"/>
      <c r="ORV47" s="595"/>
      <c r="ORW47" s="595"/>
      <c r="ORX47" s="595"/>
      <c r="ORY47" s="595"/>
      <c r="ORZ47" s="595"/>
      <c r="OSA47" s="595"/>
      <c r="OSB47" s="595"/>
      <c r="OSC47" s="595"/>
      <c r="OSD47" s="595"/>
      <c r="OSE47" s="595"/>
      <c r="OSF47" s="595"/>
      <c r="OSG47" s="595"/>
      <c r="OSH47" s="595"/>
      <c r="OSI47" s="595"/>
      <c r="OSJ47" s="595"/>
      <c r="OSK47" s="595"/>
      <c r="OSL47" s="595"/>
      <c r="OSM47" s="595"/>
      <c r="OSN47" s="595"/>
      <c r="OSO47" s="595"/>
      <c r="OSP47" s="595"/>
      <c r="OSQ47" s="595"/>
      <c r="OSR47" s="595"/>
      <c r="OSS47" s="595"/>
      <c r="OST47" s="595"/>
      <c r="OSU47" s="595"/>
      <c r="OSV47" s="595"/>
      <c r="OSW47" s="595"/>
      <c r="OSX47" s="595"/>
      <c r="OSY47" s="595"/>
      <c r="OSZ47" s="595"/>
      <c r="OTA47" s="595"/>
      <c r="OTB47" s="595"/>
      <c r="OTC47" s="595"/>
      <c r="OTD47" s="595"/>
      <c r="OTE47" s="595"/>
      <c r="OTF47" s="595"/>
      <c r="OTG47" s="595"/>
      <c r="OTH47" s="595"/>
      <c r="OTI47" s="595"/>
      <c r="OTJ47" s="595"/>
      <c r="OTK47" s="595"/>
      <c r="OTL47" s="595"/>
      <c r="OTM47" s="595"/>
      <c r="OTN47" s="595"/>
      <c r="OTO47" s="595"/>
      <c r="OTP47" s="595"/>
      <c r="OTQ47" s="595"/>
      <c r="OTR47" s="595"/>
      <c r="OTS47" s="595"/>
      <c r="OTT47" s="595"/>
      <c r="OTU47" s="595"/>
      <c r="OTV47" s="595"/>
      <c r="OTW47" s="595"/>
      <c r="OTX47" s="595"/>
      <c r="OTY47" s="595"/>
      <c r="OTZ47" s="595"/>
      <c r="OUA47" s="595"/>
      <c r="OUB47" s="595"/>
      <c r="OUC47" s="595"/>
      <c r="OUD47" s="595"/>
      <c r="OUE47" s="595"/>
      <c r="OUF47" s="595"/>
      <c r="OUG47" s="595"/>
      <c r="OUH47" s="595"/>
      <c r="OUI47" s="595"/>
      <c r="OUJ47" s="595"/>
      <c r="OUK47" s="595"/>
      <c r="OUL47" s="595"/>
      <c r="OUM47" s="595"/>
      <c r="OUN47" s="595"/>
      <c r="OUO47" s="595"/>
      <c r="OUP47" s="595"/>
      <c r="OUQ47" s="595"/>
      <c r="OUR47" s="595"/>
      <c r="OUS47" s="595"/>
      <c r="OUT47" s="595"/>
      <c r="OUU47" s="595"/>
      <c r="OUV47" s="595"/>
      <c r="OUW47" s="595"/>
      <c r="OUX47" s="595"/>
      <c r="OUY47" s="595"/>
      <c r="OUZ47" s="595"/>
      <c r="OVA47" s="595"/>
      <c r="OVB47" s="595"/>
      <c r="OVC47" s="595"/>
      <c r="OVD47" s="595"/>
      <c r="OVE47" s="595"/>
      <c r="OVF47" s="595"/>
      <c r="OVG47" s="595"/>
      <c r="OVH47" s="595"/>
      <c r="OVI47" s="595"/>
      <c r="OVJ47" s="595"/>
      <c r="OVK47" s="595"/>
      <c r="OVL47" s="595"/>
      <c r="OVM47" s="595"/>
      <c r="OVN47" s="595"/>
      <c r="OVO47" s="595"/>
      <c r="OVP47" s="595"/>
      <c r="OVQ47" s="595"/>
      <c r="OVR47" s="595"/>
      <c r="OVS47" s="595"/>
      <c r="OVT47" s="595"/>
      <c r="OVU47" s="595"/>
      <c r="OVV47" s="595"/>
      <c r="OVW47" s="595"/>
      <c r="OVX47" s="595"/>
      <c r="OVY47" s="595"/>
      <c r="OVZ47" s="595"/>
      <c r="OWA47" s="595"/>
      <c r="OWB47" s="595"/>
      <c r="OWC47" s="595"/>
      <c r="OWD47" s="595"/>
      <c r="OWE47" s="595"/>
      <c r="OWF47" s="595"/>
      <c r="OWG47" s="595"/>
      <c r="OWH47" s="595"/>
      <c r="OWI47" s="595"/>
      <c r="OWJ47" s="595"/>
      <c r="OWK47" s="595"/>
      <c r="OWL47" s="595"/>
      <c r="OWM47" s="595"/>
      <c r="OWN47" s="595"/>
      <c r="OWO47" s="595"/>
      <c r="OWP47" s="595"/>
      <c r="OWQ47" s="595"/>
      <c r="OWR47" s="595"/>
      <c r="OWS47" s="595"/>
      <c r="OWT47" s="595"/>
      <c r="OWU47" s="595"/>
      <c r="OWV47" s="595"/>
      <c r="OWW47" s="595"/>
      <c r="OWX47" s="595"/>
      <c r="OWY47" s="595"/>
      <c r="OWZ47" s="595"/>
      <c r="OXA47" s="595"/>
      <c r="OXB47" s="595"/>
      <c r="OXC47" s="595"/>
      <c r="OXD47" s="595"/>
      <c r="OXE47" s="595"/>
      <c r="OXF47" s="595"/>
      <c r="OXG47" s="595"/>
      <c r="OXH47" s="595"/>
      <c r="OXI47" s="595"/>
      <c r="OXJ47" s="595"/>
      <c r="OXK47" s="595"/>
      <c r="OXL47" s="595"/>
      <c r="OXM47" s="595"/>
      <c r="OXN47" s="595"/>
      <c r="OXO47" s="595"/>
      <c r="OXP47" s="595"/>
      <c r="OXQ47" s="595"/>
      <c r="OXR47" s="595"/>
      <c r="OXS47" s="595"/>
      <c r="OXT47" s="595"/>
      <c r="OXU47" s="595"/>
      <c r="OXV47" s="595"/>
      <c r="OXW47" s="595"/>
      <c r="OXX47" s="595"/>
      <c r="OXY47" s="595"/>
      <c r="OXZ47" s="595"/>
      <c r="OYA47" s="595"/>
      <c r="OYB47" s="595"/>
      <c r="OYC47" s="595"/>
      <c r="OYD47" s="595"/>
      <c r="OYE47" s="595"/>
      <c r="OYF47" s="595"/>
      <c r="OYG47" s="595"/>
      <c r="OYH47" s="595"/>
      <c r="OYI47" s="595"/>
      <c r="OYJ47" s="595"/>
      <c r="OYK47" s="595"/>
      <c r="OYL47" s="595"/>
      <c r="OYM47" s="595"/>
      <c r="OYN47" s="595"/>
      <c r="OYO47" s="595"/>
      <c r="OYP47" s="595"/>
      <c r="OYQ47" s="595"/>
      <c r="OYR47" s="595"/>
      <c r="OYS47" s="595"/>
      <c r="OYT47" s="595"/>
      <c r="OYU47" s="595"/>
      <c r="OYV47" s="595"/>
      <c r="OYW47" s="595"/>
      <c r="OYX47" s="595"/>
      <c r="OYY47" s="595"/>
      <c r="OYZ47" s="595"/>
      <c r="OZA47" s="595"/>
      <c r="OZB47" s="595"/>
      <c r="OZC47" s="595"/>
      <c r="OZD47" s="595"/>
      <c r="OZE47" s="595"/>
      <c r="OZF47" s="595"/>
      <c r="OZG47" s="595"/>
      <c r="OZH47" s="595"/>
      <c r="OZI47" s="595"/>
      <c r="OZJ47" s="595"/>
      <c r="OZK47" s="595"/>
      <c r="OZL47" s="595"/>
      <c r="OZM47" s="595"/>
      <c r="OZN47" s="595"/>
      <c r="OZO47" s="595"/>
      <c r="OZP47" s="595"/>
      <c r="OZQ47" s="595"/>
      <c r="OZR47" s="595"/>
      <c r="OZS47" s="595"/>
      <c r="OZT47" s="595"/>
      <c r="OZU47" s="595"/>
      <c r="OZV47" s="595"/>
      <c r="OZW47" s="595"/>
      <c r="OZX47" s="595"/>
      <c r="OZY47" s="595"/>
      <c r="OZZ47" s="595"/>
      <c r="PAA47" s="595"/>
      <c r="PAB47" s="595"/>
      <c r="PAC47" s="595"/>
      <c r="PAD47" s="595"/>
      <c r="PAE47" s="595"/>
      <c r="PAF47" s="595"/>
      <c r="PAG47" s="595"/>
      <c r="PAH47" s="595"/>
      <c r="PAI47" s="595"/>
      <c r="PAJ47" s="595"/>
      <c r="PAK47" s="595"/>
      <c r="PAL47" s="595"/>
      <c r="PAM47" s="595"/>
      <c r="PAN47" s="595"/>
      <c r="PAO47" s="595"/>
      <c r="PAP47" s="595"/>
      <c r="PAQ47" s="595"/>
      <c r="PAR47" s="595"/>
      <c r="PAS47" s="595"/>
      <c r="PAT47" s="595"/>
      <c r="PAU47" s="595"/>
      <c r="PAV47" s="595"/>
      <c r="PAW47" s="595"/>
      <c r="PAX47" s="595"/>
      <c r="PAY47" s="595"/>
      <c r="PAZ47" s="595"/>
      <c r="PBA47" s="595"/>
      <c r="PBB47" s="595"/>
      <c r="PBC47" s="595"/>
      <c r="PBD47" s="595"/>
      <c r="PBE47" s="595"/>
      <c r="PBF47" s="595"/>
      <c r="PBG47" s="595"/>
      <c r="PBH47" s="595"/>
      <c r="PBI47" s="595"/>
      <c r="PBJ47" s="595"/>
      <c r="PBK47" s="595"/>
      <c r="PBL47" s="595"/>
      <c r="PBM47" s="595"/>
      <c r="PBN47" s="595"/>
      <c r="PBO47" s="595"/>
      <c r="PBP47" s="595"/>
      <c r="PBQ47" s="595"/>
      <c r="PBR47" s="595"/>
      <c r="PBS47" s="595"/>
      <c r="PBT47" s="595"/>
      <c r="PBU47" s="595"/>
      <c r="PBV47" s="595"/>
      <c r="PBW47" s="595"/>
      <c r="PBX47" s="595"/>
      <c r="PBY47" s="595"/>
      <c r="PBZ47" s="595"/>
      <c r="PCA47" s="595"/>
      <c r="PCB47" s="595"/>
      <c r="PCC47" s="595"/>
      <c r="PCD47" s="595"/>
      <c r="PCE47" s="595"/>
      <c r="PCF47" s="595"/>
      <c r="PCG47" s="595"/>
      <c r="PCH47" s="595"/>
      <c r="PCI47" s="595"/>
      <c r="PCJ47" s="595"/>
      <c r="PCK47" s="595"/>
      <c r="PCL47" s="595"/>
      <c r="PCM47" s="595"/>
      <c r="PCN47" s="595"/>
      <c r="PCO47" s="595"/>
      <c r="PCP47" s="595"/>
      <c r="PCQ47" s="595"/>
      <c r="PCR47" s="595"/>
      <c r="PCS47" s="595"/>
      <c r="PCT47" s="595"/>
      <c r="PCU47" s="595"/>
      <c r="PCV47" s="595"/>
      <c r="PCW47" s="595"/>
      <c r="PCX47" s="595"/>
      <c r="PCY47" s="595"/>
      <c r="PCZ47" s="595"/>
      <c r="PDA47" s="595"/>
      <c r="PDB47" s="595"/>
      <c r="PDC47" s="595"/>
      <c r="PDD47" s="595"/>
      <c r="PDE47" s="595"/>
      <c r="PDF47" s="595"/>
      <c r="PDG47" s="595"/>
      <c r="PDH47" s="595"/>
      <c r="PDI47" s="595"/>
      <c r="PDJ47" s="595"/>
      <c r="PDK47" s="595"/>
      <c r="PDL47" s="595"/>
      <c r="PDM47" s="595"/>
      <c r="PDN47" s="595"/>
      <c r="PDO47" s="595"/>
      <c r="PDP47" s="595"/>
      <c r="PDQ47" s="595"/>
      <c r="PDR47" s="595"/>
      <c r="PDS47" s="595"/>
      <c r="PDT47" s="595"/>
      <c r="PDU47" s="595"/>
      <c r="PDV47" s="595"/>
      <c r="PDW47" s="595"/>
      <c r="PDX47" s="595"/>
      <c r="PDY47" s="595"/>
      <c r="PDZ47" s="595"/>
      <c r="PEA47" s="595"/>
      <c r="PEB47" s="595"/>
      <c r="PEC47" s="595"/>
      <c r="PED47" s="595"/>
      <c r="PEE47" s="595"/>
      <c r="PEF47" s="595"/>
      <c r="PEG47" s="595"/>
      <c r="PEH47" s="595"/>
      <c r="PEI47" s="595"/>
      <c r="PEJ47" s="595"/>
      <c r="PEK47" s="595"/>
      <c r="PEL47" s="595"/>
      <c r="PEM47" s="595"/>
      <c r="PEN47" s="595"/>
      <c r="PEO47" s="595"/>
      <c r="PEP47" s="595"/>
      <c r="PEQ47" s="595"/>
      <c r="PER47" s="595"/>
      <c r="PES47" s="595"/>
      <c r="PET47" s="595"/>
      <c r="PEU47" s="595"/>
      <c r="PEV47" s="595"/>
      <c r="PEW47" s="595"/>
      <c r="PEX47" s="595"/>
      <c r="PEY47" s="595"/>
      <c r="PEZ47" s="595"/>
      <c r="PFA47" s="595"/>
      <c r="PFB47" s="595"/>
      <c r="PFC47" s="595"/>
      <c r="PFD47" s="595"/>
      <c r="PFE47" s="595"/>
      <c r="PFF47" s="595"/>
      <c r="PFG47" s="595"/>
      <c r="PFH47" s="595"/>
      <c r="PFI47" s="595"/>
      <c r="PFJ47" s="595"/>
      <c r="PFK47" s="595"/>
      <c r="PFL47" s="595"/>
      <c r="PFM47" s="595"/>
      <c r="PFN47" s="595"/>
      <c r="PFO47" s="595"/>
      <c r="PFP47" s="595"/>
      <c r="PFQ47" s="595"/>
      <c r="PFR47" s="595"/>
      <c r="PFS47" s="595"/>
      <c r="PFT47" s="595"/>
      <c r="PFU47" s="595"/>
      <c r="PFV47" s="595"/>
      <c r="PFW47" s="595"/>
      <c r="PFX47" s="595"/>
      <c r="PFY47" s="595"/>
      <c r="PFZ47" s="595"/>
      <c r="PGA47" s="595"/>
      <c r="PGB47" s="595"/>
      <c r="PGC47" s="595"/>
      <c r="PGD47" s="595"/>
      <c r="PGE47" s="595"/>
      <c r="PGF47" s="595"/>
      <c r="PGG47" s="595"/>
      <c r="PGH47" s="595"/>
      <c r="PGI47" s="595"/>
      <c r="PGJ47" s="595"/>
      <c r="PGK47" s="595"/>
      <c r="PGL47" s="595"/>
      <c r="PGM47" s="595"/>
      <c r="PGN47" s="595"/>
      <c r="PGO47" s="595"/>
      <c r="PGP47" s="595"/>
      <c r="PGQ47" s="595"/>
      <c r="PGR47" s="595"/>
      <c r="PGS47" s="595"/>
      <c r="PGT47" s="595"/>
      <c r="PGU47" s="595"/>
      <c r="PGV47" s="595"/>
      <c r="PGW47" s="595"/>
      <c r="PGX47" s="595"/>
      <c r="PGY47" s="595"/>
      <c r="PGZ47" s="595"/>
      <c r="PHA47" s="595"/>
      <c r="PHB47" s="595"/>
      <c r="PHC47" s="595"/>
      <c r="PHD47" s="595"/>
      <c r="PHE47" s="595"/>
      <c r="PHF47" s="595"/>
      <c r="PHG47" s="595"/>
      <c r="PHH47" s="595"/>
      <c r="PHI47" s="595"/>
      <c r="PHJ47" s="595"/>
      <c r="PHK47" s="595"/>
      <c r="PHL47" s="595"/>
      <c r="PHM47" s="595"/>
      <c r="PHN47" s="595"/>
      <c r="PHO47" s="595"/>
      <c r="PHP47" s="595"/>
      <c r="PHQ47" s="595"/>
      <c r="PHR47" s="595"/>
      <c r="PHS47" s="595"/>
      <c r="PHT47" s="595"/>
      <c r="PHU47" s="595"/>
      <c r="PHV47" s="595"/>
      <c r="PHW47" s="595"/>
      <c r="PHX47" s="595"/>
      <c r="PHY47" s="595"/>
      <c r="PHZ47" s="595"/>
      <c r="PIA47" s="595"/>
      <c r="PIB47" s="595"/>
      <c r="PIC47" s="595"/>
      <c r="PID47" s="595"/>
      <c r="PIE47" s="595"/>
      <c r="PIF47" s="595"/>
      <c r="PIG47" s="595"/>
      <c r="PIH47" s="595"/>
      <c r="PII47" s="595"/>
      <c r="PIJ47" s="595"/>
      <c r="PIK47" s="595"/>
      <c r="PIL47" s="595"/>
      <c r="PIM47" s="595"/>
      <c r="PIN47" s="595"/>
      <c r="PIO47" s="595"/>
      <c r="PIP47" s="595"/>
      <c r="PIQ47" s="595"/>
      <c r="PIR47" s="595"/>
      <c r="PIS47" s="595"/>
      <c r="PIT47" s="595"/>
      <c r="PIU47" s="595"/>
      <c r="PIV47" s="595"/>
      <c r="PIW47" s="595"/>
      <c r="PIX47" s="595"/>
      <c r="PIY47" s="595"/>
      <c r="PIZ47" s="595"/>
      <c r="PJA47" s="595"/>
      <c r="PJB47" s="595"/>
      <c r="PJC47" s="595"/>
      <c r="PJD47" s="595"/>
      <c r="PJE47" s="595"/>
      <c r="PJF47" s="595"/>
      <c r="PJG47" s="595"/>
      <c r="PJH47" s="595"/>
      <c r="PJI47" s="595"/>
      <c r="PJJ47" s="595"/>
      <c r="PJK47" s="595"/>
      <c r="PJL47" s="595"/>
      <c r="PJM47" s="595"/>
      <c r="PJN47" s="595"/>
      <c r="PJO47" s="595"/>
      <c r="PJP47" s="595"/>
      <c r="PJQ47" s="595"/>
      <c r="PJR47" s="595"/>
      <c r="PJS47" s="595"/>
      <c r="PJT47" s="595"/>
      <c r="PJU47" s="595"/>
      <c r="PJV47" s="595"/>
      <c r="PJW47" s="595"/>
      <c r="PJX47" s="595"/>
      <c r="PJY47" s="595"/>
      <c r="PJZ47" s="595"/>
      <c r="PKA47" s="595"/>
      <c r="PKB47" s="595"/>
      <c r="PKC47" s="595"/>
      <c r="PKD47" s="595"/>
      <c r="PKE47" s="595"/>
      <c r="PKF47" s="595"/>
      <c r="PKG47" s="595"/>
      <c r="PKH47" s="595"/>
      <c r="PKI47" s="595"/>
      <c r="PKJ47" s="595"/>
      <c r="PKK47" s="595"/>
      <c r="PKL47" s="595"/>
      <c r="PKM47" s="595"/>
      <c r="PKN47" s="595"/>
      <c r="PKO47" s="595"/>
      <c r="PKP47" s="595"/>
      <c r="PKQ47" s="595"/>
      <c r="PKR47" s="595"/>
      <c r="PKS47" s="595"/>
      <c r="PKT47" s="595"/>
      <c r="PKU47" s="595"/>
      <c r="PKV47" s="595"/>
      <c r="PKW47" s="595"/>
      <c r="PKX47" s="595"/>
      <c r="PKY47" s="595"/>
      <c r="PKZ47" s="595"/>
      <c r="PLA47" s="595"/>
      <c r="PLB47" s="595"/>
      <c r="PLC47" s="595"/>
      <c r="PLD47" s="595"/>
      <c r="PLE47" s="595"/>
      <c r="PLF47" s="595"/>
      <c r="PLG47" s="595"/>
      <c r="PLH47" s="595"/>
      <c r="PLI47" s="595"/>
      <c r="PLJ47" s="595"/>
      <c r="PLK47" s="595"/>
      <c r="PLL47" s="595"/>
      <c r="PLM47" s="595"/>
      <c r="PLN47" s="595"/>
      <c r="PLO47" s="595"/>
      <c r="PLP47" s="595"/>
      <c r="PLQ47" s="595"/>
      <c r="PLR47" s="595"/>
      <c r="PLS47" s="595"/>
      <c r="PLT47" s="595"/>
      <c r="PLU47" s="595"/>
      <c r="PLV47" s="595"/>
      <c r="PLW47" s="595"/>
      <c r="PLX47" s="595"/>
      <c r="PLY47" s="595"/>
      <c r="PLZ47" s="595"/>
      <c r="PMA47" s="595"/>
      <c r="PMB47" s="595"/>
      <c r="PMC47" s="595"/>
      <c r="PMD47" s="595"/>
      <c r="PME47" s="595"/>
      <c r="PMF47" s="595"/>
      <c r="PMG47" s="595"/>
      <c r="PMH47" s="595"/>
      <c r="PMI47" s="595"/>
      <c r="PMJ47" s="595"/>
      <c r="PMK47" s="595"/>
      <c r="PML47" s="595"/>
      <c r="PMM47" s="595"/>
      <c r="PMN47" s="595"/>
      <c r="PMO47" s="595"/>
      <c r="PMP47" s="595"/>
      <c r="PMQ47" s="595"/>
      <c r="PMR47" s="595"/>
      <c r="PMS47" s="595"/>
      <c r="PMT47" s="595"/>
      <c r="PMU47" s="595"/>
      <c r="PMV47" s="595"/>
      <c r="PMW47" s="595"/>
      <c r="PMX47" s="595"/>
      <c r="PMY47" s="595"/>
      <c r="PMZ47" s="595"/>
      <c r="PNA47" s="595"/>
      <c r="PNB47" s="595"/>
      <c r="PNC47" s="595"/>
      <c r="PND47" s="595"/>
      <c r="PNE47" s="595"/>
      <c r="PNF47" s="595"/>
      <c r="PNG47" s="595"/>
      <c r="PNH47" s="595"/>
      <c r="PNI47" s="595"/>
      <c r="PNJ47" s="595"/>
      <c r="PNK47" s="595"/>
      <c r="PNL47" s="595"/>
      <c r="PNM47" s="595"/>
      <c r="PNN47" s="595"/>
      <c r="PNO47" s="595"/>
      <c r="PNP47" s="595"/>
      <c r="PNQ47" s="595"/>
      <c r="PNR47" s="595"/>
      <c r="PNS47" s="595"/>
      <c r="PNT47" s="595"/>
      <c r="PNU47" s="595"/>
      <c r="PNV47" s="595"/>
      <c r="PNW47" s="595"/>
      <c r="PNX47" s="595"/>
      <c r="PNY47" s="595"/>
      <c r="PNZ47" s="595"/>
      <c r="POA47" s="595"/>
      <c r="POB47" s="595"/>
      <c r="POC47" s="595"/>
      <c r="POD47" s="595"/>
      <c r="POE47" s="595"/>
      <c r="POF47" s="595"/>
      <c r="POG47" s="595"/>
      <c r="POH47" s="595"/>
      <c r="POI47" s="595"/>
      <c r="POJ47" s="595"/>
      <c r="POK47" s="595"/>
      <c r="POL47" s="595"/>
      <c r="POM47" s="595"/>
      <c r="PON47" s="595"/>
      <c r="POO47" s="595"/>
      <c r="POP47" s="595"/>
      <c r="POQ47" s="595"/>
      <c r="POR47" s="595"/>
      <c r="POS47" s="595"/>
      <c r="POT47" s="595"/>
      <c r="POU47" s="595"/>
      <c r="POV47" s="595"/>
      <c r="POW47" s="595"/>
      <c r="POX47" s="595"/>
      <c r="POY47" s="595"/>
      <c r="POZ47" s="595"/>
      <c r="PPA47" s="595"/>
      <c r="PPB47" s="595"/>
      <c r="PPC47" s="595"/>
      <c r="PPD47" s="595"/>
      <c r="PPE47" s="595"/>
      <c r="PPF47" s="595"/>
      <c r="PPG47" s="595"/>
      <c r="PPH47" s="595"/>
      <c r="PPI47" s="595"/>
      <c r="PPJ47" s="595"/>
      <c r="PPK47" s="595"/>
      <c r="PPL47" s="595"/>
      <c r="PPM47" s="595"/>
      <c r="PPN47" s="595"/>
      <c r="PPO47" s="595"/>
      <c r="PPP47" s="595"/>
      <c r="PPQ47" s="595"/>
      <c r="PPR47" s="595"/>
      <c r="PPS47" s="595"/>
      <c r="PPT47" s="595"/>
      <c r="PPU47" s="595"/>
      <c r="PPV47" s="595"/>
      <c r="PPW47" s="595"/>
      <c r="PPX47" s="595"/>
      <c r="PPY47" s="595"/>
      <c r="PPZ47" s="595"/>
      <c r="PQA47" s="595"/>
      <c r="PQB47" s="595"/>
      <c r="PQC47" s="595"/>
      <c r="PQD47" s="595"/>
      <c r="PQE47" s="595"/>
      <c r="PQF47" s="595"/>
      <c r="PQG47" s="595"/>
      <c r="PQH47" s="595"/>
      <c r="PQI47" s="595"/>
      <c r="PQJ47" s="595"/>
      <c r="PQK47" s="595"/>
      <c r="PQL47" s="595"/>
      <c r="PQM47" s="595"/>
      <c r="PQN47" s="595"/>
      <c r="PQO47" s="595"/>
      <c r="PQP47" s="595"/>
      <c r="PQQ47" s="595"/>
      <c r="PQR47" s="595"/>
      <c r="PQS47" s="595"/>
      <c r="PQT47" s="595"/>
      <c r="PQU47" s="595"/>
      <c r="PQV47" s="595"/>
      <c r="PQW47" s="595"/>
      <c r="PQX47" s="595"/>
      <c r="PQY47" s="595"/>
      <c r="PQZ47" s="595"/>
      <c r="PRA47" s="595"/>
      <c r="PRB47" s="595"/>
      <c r="PRC47" s="595"/>
      <c r="PRD47" s="595"/>
      <c r="PRE47" s="595"/>
      <c r="PRF47" s="595"/>
      <c r="PRG47" s="595"/>
      <c r="PRH47" s="595"/>
      <c r="PRI47" s="595"/>
      <c r="PRJ47" s="595"/>
      <c r="PRK47" s="595"/>
      <c r="PRL47" s="595"/>
      <c r="PRM47" s="595"/>
      <c r="PRN47" s="595"/>
      <c r="PRO47" s="595"/>
      <c r="PRP47" s="595"/>
      <c r="PRQ47" s="595"/>
      <c r="PRR47" s="595"/>
      <c r="PRS47" s="595"/>
      <c r="PRT47" s="595"/>
      <c r="PRU47" s="595"/>
      <c r="PRV47" s="595"/>
      <c r="PRW47" s="595"/>
      <c r="PRX47" s="595"/>
      <c r="PRY47" s="595"/>
      <c r="PRZ47" s="595"/>
      <c r="PSA47" s="595"/>
      <c r="PSB47" s="595"/>
      <c r="PSC47" s="595"/>
      <c r="PSD47" s="595"/>
      <c r="PSE47" s="595"/>
      <c r="PSF47" s="595"/>
      <c r="PSG47" s="595"/>
      <c r="PSH47" s="595"/>
      <c r="PSI47" s="595"/>
      <c r="PSJ47" s="595"/>
      <c r="PSK47" s="595"/>
      <c r="PSL47" s="595"/>
      <c r="PSM47" s="595"/>
      <c r="PSN47" s="595"/>
      <c r="PSO47" s="595"/>
      <c r="PSP47" s="595"/>
      <c r="PSQ47" s="595"/>
      <c r="PSR47" s="595"/>
      <c r="PSS47" s="595"/>
      <c r="PST47" s="595"/>
      <c r="PSU47" s="595"/>
      <c r="PSV47" s="595"/>
      <c r="PSW47" s="595"/>
      <c r="PSX47" s="595"/>
      <c r="PSY47" s="595"/>
      <c r="PSZ47" s="595"/>
      <c r="PTA47" s="595"/>
      <c r="PTB47" s="595"/>
      <c r="PTC47" s="595"/>
      <c r="PTD47" s="595"/>
      <c r="PTE47" s="595"/>
      <c r="PTF47" s="595"/>
      <c r="PTG47" s="595"/>
      <c r="PTH47" s="595"/>
      <c r="PTI47" s="595"/>
      <c r="PTJ47" s="595"/>
      <c r="PTK47" s="595"/>
      <c r="PTL47" s="595"/>
      <c r="PTM47" s="595"/>
      <c r="PTN47" s="595"/>
      <c r="PTO47" s="595"/>
      <c r="PTP47" s="595"/>
      <c r="PTQ47" s="595"/>
      <c r="PTR47" s="595"/>
      <c r="PTS47" s="595"/>
      <c r="PTT47" s="595"/>
      <c r="PTU47" s="595"/>
      <c r="PTV47" s="595"/>
      <c r="PTW47" s="595"/>
      <c r="PTX47" s="595"/>
      <c r="PTY47" s="595"/>
      <c r="PTZ47" s="595"/>
      <c r="PUA47" s="595"/>
      <c r="PUB47" s="595"/>
      <c r="PUC47" s="595"/>
      <c r="PUD47" s="595"/>
      <c r="PUE47" s="595"/>
      <c r="PUF47" s="595"/>
      <c r="PUG47" s="595"/>
      <c r="PUH47" s="595"/>
      <c r="PUI47" s="595"/>
      <c r="PUJ47" s="595"/>
      <c r="PUK47" s="595"/>
      <c r="PUL47" s="595"/>
      <c r="PUM47" s="595"/>
      <c r="PUN47" s="595"/>
      <c r="PUO47" s="595"/>
      <c r="PUP47" s="595"/>
      <c r="PUQ47" s="595"/>
      <c r="PUR47" s="595"/>
      <c r="PUS47" s="595"/>
      <c r="PUT47" s="595"/>
      <c r="PUU47" s="595"/>
      <c r="PUV47" s="595"/>
      <c r="PUW47" s="595"/>
      <c r="PUX47" s="595"/>
      <c r="PUY47" s="595"/>
      <c r="PUZ47" s="595"/>
      <c r="PVA47" s="595"/>
      <c r="PVB47" s="595"/>
      <c r="PVC47" s="595"/>
      <c r="PVD47" s="595"/>
      <c r="PVE47" s="595"/>
      <c r="PVF47" s="595"/>
      <c r="PVG47" s="595"/>
      <c r="PVH47" s="595"/>
      <c r="PVI47" s="595"/>
      <c r="PVJ47" s="595"/>
      <c r="PVK47" s="595"/>
      <c r="PVL47" s="595"/>
      <c r="PVM47" s="595"/>
      <c r="PVN47" s="595"/>
      <c r="PVO47" s="595"/>
      <c r="PVP47" s="595"/>
      <c r="PVQ47" s="595"/>
      <c r="PVR47" s="595"/>
      <c r="PVS47" s="595"/>
      <c r="PVT47" s="595"/>
      <c r="PVU47" s="595"/>
      <c r="PVV47" s="595"/>
      <c r="PVW47" s="595"/>
      <c r="PVX47" s="595"/>
      <c r="PVY47" s="595"/>
      <c r="PVZ47" s="595"/>
      <c r="PWA47" s="595"/>
      <c r="PWB47" s="595"/>
      <c r="PWC47" s="595"/>
      <c r="PWD47" s="595"/>
      <c r="PWE47" s="595"/>
      <c r="PWF47" s="595"/>
      <c r="PWG47" s="595"/>
      <c r="PWH47" s="595"/>
      <c r="PWI47" s="595"/>
      <c r="PWJ47" s="595"/>
      <c r="PWK47" s="595"/>
      <c r="PWL47" s="595"/>
      <c r="PWM47" s="595"/>
      <c r="PWN47" s="595"/>
      <c r="PWO47" s="595"/>
      <c r="PWP47" s="595"/>
      <c r="PWQ47" s="595"/>
      <c r="PWR47" s="595"/>
      <c r="PWS47" s="595"/>
      <c r="PWT47" s="595"/>
      <c r="PWU47" s="595"/>
      <c r="PWV47" s="595"/>
      <c r="PWW47" s="595"/>
      <c r="PWX47" s="595"/>
      <c r="PWY47" s="595"/>
      <c r="PWZ47" s="595"/>
      <c r="PXA47" s="595"/>
      <c r="PXB47" s="595"/>
      <c r="PXC47" s="595"/>
      <c r="PXD47" s="595"/>
      <c r="PXE47" s="595"/>
      <c r="PXF47" s="595"/>
      <c r="PXG47" s="595"/>
      <c r="PXH47" s="595"/>
      <c r="PXI47" s="595"/>
      <c r="PXJ47" s="595"/>
      <c r="PXK47" s="595"/>
      <c r="PXL47" s="595"/>
      <c r="PXM47" s="595"/>
      <c r="PXN47" s="595"/>
      <c r="PXO47" s="595"/>
      <c r="PXP47" s="595"/>
      <c r="PXQ47" s="595"/>
      <c r="PXR47" s="595"/>
      <c r="PXS47" s="595"/>
      <c r="PXT47" s="595"/>
      <c r="PXU47" s="595"/>
      <c r="PXV47" s="595"/>
      <c r="PXW47" s="595"/>
      <c r="PXX47" s="595"/>
      <c r="PXY47" s="595"/>
      <c r="PXZ47" s="595"/>
      <c r="PYA47" s="595"/>
      <c r="PYB47" s="595"/>
      <c r="PYC47" s="595"/>
      <c r="PYD47" s="595"/>
      <c r="PYE47" s="595"/>
      <c r="PYF47" s="595"/>
      <c r="PYG47" s="595"/>
      <c r="PYH47" s="595"/>
      <c r="PYI47" s="595"/>
      <c r="PYJ47" s="595"/>
      <c r="PYK47" s="595"/>
      <c r="PYL47" s="595"/>
      <c r="PYM47" s="595"/>
      <c r="PYN47" s="595"/>
      <c r="PYO47" s="595"/>
      <c r="PYP47" s="595"/>
      <c r="PYQ47" s="595"/>
      <c r="PYR47" s="595"/>
      <c r="PYS47" s="595"/>
      <c r="PYT47" s="595"/>
      <c r="PYU47" s="595"/>
      <c r="PYV47" s="595"/>
      <c r="PYW47" s="595"/>
      <c r="PYX47" s="595"/>
      <c r="PYY47" s="595"/>
      <c r="PYZ47" s="595"/>
      <c r="PZA47" s="595"/>
      <c r="PZB47" s="595"/>
      <c r="PZC47" s="595"/>
      <c r="PZD47" s="595"/>
      <c r="PZE47" s="595"/>
      <c r="PZF47" s="595"/>
      <c r="PZG47" s="595"/>
      <c r="PZH47" s="595"/>
      <c r="PZI47" s="595"/>
      <c r="PZJ47" s="595"/>
      <c r="PZK47" s="595"/>
      <c r="PZL47" s="595"/>
      <c r="PZM47" s="595"/>
      <c r="PZN47" s="595"/>
      <c r="PZO47" s="595"/>
      <c r="PZP47" s="595"/>
      <c r="PZQ47" s="595"/>
      <c r="PZR47" s="595"/>
      <c r="PZS47" s="595"/>
      <c r="PZT47" s="595"/>
      <c r="PZU47" s="595"/>
      <c r="PZV47" s="595"/>
      <c r="PZW47" s="595"/>
      <c r="PZX47" s="595"/>
      <c r="PZY47" s="595"/>
      <c r="PZZ47" s="595"/>
      <c r="QAA47" s="595"/>
      <c r="QAB47" s="595"/>
      <c r="QAC47" s="595"/>
      <c r="QAD47" s="595"/>
      <c r="QAE47" s="595"/>
      <c r="QAF47" s="595"/>
      <c r="QAG47" s="595"/>
      <c r="QAH47" s="595"/>
      <c r="QAI47" s="595"/>
      <c r="QAJ47" s="595"/>
      <c r="QAK47" s="595"/>
      <c r="QAL47" s="595"/>
      <c r="QAM47" s="595"/>
      <c r="QAN47" s="595"/>
      <c r="QAO47" s="595"/>
      <c r="QAP47" s="595"/>
      <c r="QAQ47" s="595"/>
      <c r="QAR47" s="595"/>
      <c r="QAS47" s="595"/>
      <c r="QAT47" s="595"/>
      <c r="QAU47" s="595"/>
      <c r="QAV47" s="595"/>
      <c r="QAW47" s="595"/>
      <c r="QAX47" s="595"/>
      <c r="QAY47" s="595"/>
      <c r="QAZ47" s="595"/>
      <c r="QBA47" s="595"/>
      <c r="QBB47" s="595"/>
      <c r="QBC47" s="595"/>
      <c r="QBD47" s="595"/>
      <c r="QBE47" s="595"/>
      <c r="QBF47" s="595"/>
      <c r="QBG47" s="595"/>
      <c r="QBH47" s="595"/>
      <c r="QBI47" s="595"/>
      <c r="QBJ47" s="595"/>
      <c r="QBK47" s="595"/>
      <c r="QBL47" s="595"/>
      <c r="QBM47" s="595"/>
      <c r="QBN47" s="595"/>
      <c r="QBO47" s="595"/>
      <c r="QBP47" s="595"/>
      <c r="QBQ47" s="595"/>
      <c r="QBR47" s="595"/>
      <c r="QBS47" s="595"/>
      <c r="QBT47" s="595"/>
      <c r="QBU47" s="595"/>
      <c r="QBV47" s="595"/>
      <c r="QBW47" s="595"/>
      <c r="QBX47" s="595"/>
      <c r="QBY47" s="595"/>
      <c r="QBZ47" s="595"/>
      <c r="QCA47" s="595"/>
      <c r="QCB47" s="595"/>
      <c r="QCC47" s="595"/>
      <c r="QCD47" s="595"/>
      <c r="QCE47" s="595"/>
      <c r="QCF47" s="595"/>
      <c r="QCG47" s="595"/>
      <c r="QCH47" s="595"/>
      <c r="QCI47" s="595"/>
      <c r="QCJ47" s="595"/>
      <c r="QCK47" s="595"/>
      <c r="QCL47" s="595"/>
      <c r="QCM47" s="595"/>
      <c r="QCN47" s="595"/>
      <c r="QCO47" s="595"/>
      <c r="QCP47" s="595"/>
      <c r="QCQ47" s="595"/>
      <c r="QCR47" s="595"/>
      <c r="QCS47" s="595"/>
      <c r="QCT47" s="595"/>
      <c r="QCU47" s="595"/>
      <c r="QCV47" s="595"/>
      <c r="QCW47" s="595"/>
      <c r="QCX47" s="595"/>
      <c r="QCY47" s="595"/>
      <c r="QCZ47" s="595"/>
      <c r="QDA47" s="595"/>
      <c r="QDB47" s="595"/>
      <c r="QDC47" s="595"/>
      <c r="QDD47" s="595"/>
      <c r="QDE47" s="595"/>
      <c r="QDF47" s="595"/>
      <c r="QDG47" s="595"/>
      <c r="QDH47" s="595"/>
      <c r="QDI47" s="595"/>
      <c r="QDJ47" s="595"/>
      <c r="QDK47" s="595"/>
      <c r="QDL47" s="595"/>
      <c r="QDM47" s="595"/>
      <c r="QDN47" s="595"/>
      <c r="QDO47" s="595"/>
      <c r="QDP47" s="595"/>
      <c r="QDQ47" s="595"/>
      <c r="QDR47" s="595"/>
      <c r="QDS47" s="595"/>
      <c r="QDT47" s="595"/>
      <c r="QDU47" s="595"/>
      <c r="QDV47" s="595"/>
      <c r="QDW47" s="595"/>
      <c r="QDX47" s="595"/>
      <c r="QDY47" s="595"/>
      <c r="QDZ47" s="595"/>
      <c r="QEA47" s="595"/>
      <c r="QEB47" s="595"/>
      <c r="QEC47" s="595"/>
      <c r="QED47" s="595"/>
      <c r="QEE47" s="595"/>
      <c r="QEF47" s="595"/>
      <c r="QEG47" s="595"/>
      <c r="QEH47" s="595"/>
      <c r="QEI47" s="595"/>
      <c r="QEJ47" s="595"/>
      <c r="QEK47" s="595"/>
      <c r="QEL47" s="595"/>
      <c r="QEM47" s="595"/>
      <c r="QEN47" s="595"/>
      <c r="QEO47" s="595"/>
      <c r="QEP47" s="595"/>
      <c r="QEQ47" s="595"/>
      <c r="QER47" s="595"/>
      <c r="QES47" s="595"/>
      <c r="QET47" s="595"/>
      <c r="QEU47" s="595"/>
      <c r="QEV47" s="595"/>
      <c r="QEW47" s="595"/>
      <c r="QEX47" s="595"/>
      <c r="QEY47" s="595"/>
      <c r="QEZ47" s="595"/>
      <c r="QFA47" s="595"/>
      <c r="QFB47" s="595"/>
      <c r="QFC47" s="595"/>
      <c r="QFD47" s="595"/>
      <c r="QFE47" s="595"/>
      <c r="QFF47" s="595"/>
      <c r="QFG47" s="595"/>
      <c r="QFH47" s="595"/>
      <c r="QFI47" s="595"/>
      <c r="QFJ47" s="595"/>
      <c r="QFK47" s="595"/>
      <c r="QFL47" s="595"/>
      <c r="QFM47" s="595"/>
      <c r="QFN47" s="595"/>
      <c r="QFO47" s="595"/>
      <c r="QFP47" s="595"/>
      <c r="QFQ47" s="595"/>
      <c r="QFR47" s="595"/>
      <c r="QFS47" s="595"/>
      <c r="QFT47" s="595"/>
      <c r="QFU47" s="595"/>
      <c r="QFV47" s="595"/>
      <c r="QFW47" s="595"/>
      <c r="QFX47" s="595"/>
      <c r="QFY47" s="595"/>
      <c r="QFZ47" s="595"/>
      <c r="QGA47" s="595"/>
      <c r="QGB47" s="595"/>
      <c r="QGC47" s="595"/>
      <c r="QGD47" s="595"/>
      <c r="QGE47" s="595"/>
      <c r="QGF47" s="595"/>
      <c r="QGG47" s="595"/>
      <c r="QGH47" s="595"/>
      <c r="QGI47" s="595"/>
      <c r="QGJ47" s="595"/>
      <c r="QGK47" s="595"/>
      <c r="QGL47" s="595"/>
      <c r="QGM47" s="595"/>
      <c r="QGN47" s="595"/>
      <c r="QGO47" s="595"/>
      <c r="QGP47" s="595"/>
      <c r="QGQ47" s="595"/>
      <c r="QGR47" s="595"/>
      <c r="QGS47" s="595"/>
      <c r="QGT47" s="595"/>
      <c r="QGU47" s="595"/>
      <c r="QGV47" s="595"/>
      <c r="QGW47" s="595"/>
      <c r="QGX47" s="595"/>
      <c r="QGY47" s="595"/>
      <c r="QGZ47" s="595"/>
      <c r="QHA47" s="595"/>
      <c r="QHB47" s="595"/>
      <c r="QHC47" s="595"/>
      <c r="QHD47" s="595"/>
      <c r="QHE47" s="595"/>
      <c r="QHF47" s="595"/>
      <c r="QHG47" s="595"/>
      <c r="QHH47" s="595"/>
      <c r="QHI47" s="595"/>
      <c r="QHJ47" s="595"/>
      <c r="QHK47" s="595"/>
      <c r="QHL47" s="595"/>
      <c r="QHM47" s="595"/>
      <c r="QHN47" s="595"/>
      <c r="QHO47" s="595"/>
      <c r="QHP47" s="595"/>
      <c r="QHQ47" s="595"/>
      <c r="QHR47" s="595"/>
      <c r="QHS47" s="595"/>
      <c r="QHT47" s="595"/>
      <c r="QHU47" s="595"/>
      <c r="QHV47" s="595"/>
      <c r="QHW47" s="595"/>
      <c r="QHX47" s="595"/>
      <c r="QHY47" s="595"/>
      <c r="QHZ47" s="595"/>
      <c r="QIA47" s="595"/>
      <c r="QIB47" s="595"/>
      <c r="QIC47" s="595"/>
      <c r="QID47" s="595"/>
      <c r="QIE47" s="595"/>
      <c r="QIF47" s="595"/>
      <c r="QIG47" s="595"/>
      <c r="QIH47" s="595"/>
      <c r="QII47" s="595"/>
      <c r="QIJ47" s="595"/>
      <c r="QIK47" s="595"/>
      <c r="QIL47" s="595"/>
      <c r="QIM47" s="595"/>
      <c r="QIN47" s="595"/>
      <c r="QIO47" s="595"/>
      <c r="QIP47" s="595"/>
      <c r="QIQ47" s="595"/>
      <c r="QIR47" s="595"/>
      <c r="QIS47" s="595"/>
      <c r="QIT47" s="595"/>
      <c r="QIU47" s="595"/>
      <c r="QIV47" s="595"/>
      <c r="QIW47" s="595"/>
      <c r="QIX47" s="595"/>
      <c r="QIY47" s="595"/>
      <c r="QIZ47" s="595"/>
      <c r="QJA47" s="595"/>
      <c r="QJB47" s="595"/>
      <c r="QJC47" s="595"/>
      <c r="QJD47" s="595"/>
      <c r="QJE47" s="595"/>
      <c r="QJF47" s="595"/>
      <c r="QJG47" s="595"/>
      <c r="QJH47" s="595"/>
      <c r="QJI47" s="595"/>
      <c r="QJJ47" s="595"/>
      <c r="QJK47" s="595"/>
      <c r="QJL47" s="595"/>
      <c r="QJM47" s="595"/>
      <c r="QJN47" s="595"/>
      <c r="QJO47" s="595"/>
      <c r="QJP47" s="595"/>
      <c r="QJQ47" s="595"/>
      <c r="QJR47" s="595"/>
      <c r="QJS47" s="595"/>
      <c r="QJT47" s="595"/>
      <c r="QJU47" s="595"/>
      <c r="QJV47" s="595"/>
      <c r="QJW47" s="595"/>
      <c r="QJX47" s="595"/>
      <c r="QJY47" s="595"/>
      <c r="QJZ47" s="595"/>
      <c r="QKA47" s="595"/>
      <c r="QKB47" s="595"/>
      <c r="QKC47" s="595"/>
      <c r="QKD47" s="595"/>
      <c r="QKE47" s="595"/>
      <c r="QKF47" s="595"/>
      <c r="QKG47" s="595"/>
      <c r="QKH47" s="595"/>
      <c r="QKI47" s="595"/>
      <c r="QKJ47" s="595"/>
      <c r="QKK47" s="595"/>
      <c r="QKL47" s="595"/>
      <c r="QKM47" s="595"/>
      <c r="QKN47" s="595"/>
      <c r="QKO47" s="595"/>
      <c r="QKP47" s="595"/>
      <c r="QKQ47" s="595"/>
      <c r="QKR47" s="595"/>
      <c r="QKS47" s="595"/>
      <c r="QKT47" s="595"/>
      <c r="QKU47" s="595"/>
      <c r="QKV47" s="595"/>
      <c r="QKW47" s="595"/>
      <c r="QKX47" s="595"/>
      <c r="QKY47" s="595"/>
      <c r="QKZ47" s="595"/>
      <c r="QLA47" s="595"/>
      <c r="QLB47" s="595"/>
      <c r="QLC47" s="595"/>
      <c r="QLD47" s="595"/>
      <c r="QLE47" s="595"/>
      <c r="QLF47" s="595"/>
      <c r="QLG47" s="595"/>
      <c r="QLH47" s="595"/>
      <c r="QLI47" s="595"/>
      <c r="QLJ47" s="595"/>
      <c r="QLK47" s="595"/>
      <c r="QLL47" s="595"/>
      <c r="QLM47" s="595"/>
      <c r="QLN47" s="595"/>
      <c r="QLO47" s="595"/>
      <c r="QLP47" s="595"/>
      <c r="QLQ47" s="595"/>
      <c r="QLR47" s="595"/>
      <c r="QLS47" s="595"/>
      <c r="QLT47" s="595"/>
      <c r="QLU47" s="595"/>
      <c r="QLV47" s="595"/>
      <c r="QLW47" s="595"/>
      <c r="QLX47" s="595"/>
      <c r="QLY47" s="595"/>
      <c r="QLZ47" s="595"/>
      <c r="QMA47" s="595"/>
      <c r="QMB47" s="595"/>
      <c r="QMC47" s="595"/>
      <c r="QMD47" s="595"/>
      <c r="QME47" s="595"/>
      <c r="QMF47" s="595"/>
      <c r="QMG47" s="595"/>
      <c r="QMH47" s="595"/>
      <c r="QMI47" s="595"/>
      <c r="QMJ47" s="595"/>
      <c r="QMK47" s="595"/>
      <c r="QML47" s="595"/>
      <c r="QMM47" s="595"/>
      <c r="QMN47" s="595"/>
      <c r="QMO47" s="595"/>
      <c r="QMP47" s="595"/>
      <c r="QMQ47" s="595"/>
      <c r="QMR47" s="595"/>
      <c r="QMS47" s="595"/>
      <c r="QMT47" s="595"/>
      <c r="QMU47" s="595"/>
      <c r="QMV47" s="595"/>
      <c r="QMW47" s="595"/>
      <c r="QMX47" s="595"/>
      <c r="QMY47" s="595"/>
      <c r="QMZ47" s="595"/>
      <c r="QNA47" s="595"/>
      <c r="QNB47" s="595"/>
      <c r="QNC47" s="595"/>
      <c r="QND47" s="595"/>
      <c r="QNE47" s="595"/>
      <c r="QNF47" s="595"/>
      <c r="QNG47" s="595"/>
      <c r="QNH47" s="595"/>
      <c r="QNI47" s="595"/>
      <c r="QNJ47" s="595"/>
      <c r="QNK47" s="595"/>
      <c r="QNL47" s="595"/>
      <c r="QNM47" s="595"/>
      <c r="QNN47" s="595"/>
      <c r="QNO47" s="595"/>
      <c r="QNP47" s="595"/>
      <c r="QNQ47" s="595"/>
      <c r="QNR47" s="595"/>
      <c r="QNS47" s="595"/>
      <c r="QNT47" s="595"/>
      <c r="QNU47" s="595"/>
      <c r="QNV47" s="595"/>
      <c r="QNW47" s="595"/>
      <c r="QNX47" s="595"/>
      <c r="QNY47" s="595"/>
      <c r="QNZ47" s="595"/>
      <c r="QOA47" s="595"/>
      <c r="QOB47" s="595"/>
      <c r="QOC47" s="595"/>
      <c r="QOD47" s="595"/>
      <c r="QOE47" s="595"/>
      <c r="QOF47" s="595"/>
      <c r="QOG47" s="595"/>
      <c r="QOH47" s="595"/>
      <c r="QOI47" s="595"/>
      <c r="QOJ47" s="595"/>
      <c r="QOK47" s="595"/>
      <c r="QOL47" s="595"/>
      <c r="QOM47" s="595"/>
      <c r="QON47" s="595"/>
      <c r="QOO47" s="595"/>
      <c r="QOP47" s="595"/>
      <c r="QOQ47" s="595"/>
      <c r="QOR47" s="595"/>
      <c r="QOS47" s="595"/>
      <c r="QOT47" s="595"/>
      <c r="QOU47" s="595"/>
      <c r="QOV47" s="595"/>
      <c r="QOW47" s="595"/>
      <c r="QOX47" s="595"/>
      <c r="QOY47" s="595"/>
      <c r="QOZ47" s="595"/>
      <c r="QPA47" s="595"/>
      <c r="QPB47" s="595"/>
      <c r="QPC47" s="595"/>
      <c r="QPD47" s="595"/>
      <c r="QPE47" s="595"/>
      <c r="QPF47" s="595"/>
      <c r="QPG47" s="595"/>
      <c r="QPH47" s="595"/>
      <c r="QPI47" s="595"/>
      <c r="QPJ47" s="595"/>
      <c r="QPK47" s="595"/>
      <c r="QPL47" s="595"/>
      <c r="QPM47" s="595"/>
      <c r="QPN47" s="595"/>
      <c r="QPO47" s="595"/>
      <c r="QPP47" s="595"/>
      <c r="QPQ47" s="595"/>
      <c r="QPR47" s="595"/>
      <c r="QPS47" s="595"/>
      <c r="QPT47" s="595"/>
      <c r="QPU47" s="595"/>
      <c r="QPV47" s="595"/>
      <c r="QPW47" s="595"/>
      <c r="QPX47" s="595"/>
      <c r="QPY47" s="595"/>
      <c r="QPZ47" s="595"/>
      <c r="QQA47" s="595"/>
      <c r="QQB47" s="595"/>
      <c r="QQC47" s="595"/>
      <c r="QQD47" s="595"/>
      <c r="QQE47" s="595"/>
      <c r="QQF47" s="595"/>
      <c r="QQG47" s="595"/>
      <c r="QQH47" s="595"/>
      <c r="QQI47" s="595"/>
      <c r="QQJ47" s="595"/>
      <c r="QQK47" s="595"/>
      <c r="QQL47" s="595"/>
      <c r="QQM47" s="595"/>
      <c r="QQN47" s="595"/>
      <c r="QQO47" s="595"/>
      <c r="QQP47" s="595"/>
      <c r="QQQ47" s="595"/>
      <c r="QQR47" s="595"/>
      <c r="QQS47" s="595"/>
      <c r="QQT47" s="595"/>
      <c r="QQU47" s="595"/>
      <c r="QQV47" s="595"/>
      <c r="QQW47" s="595"/>
      <c r="QQX47" s="595"/>
      <c r="QQY47" s="595"/>
      <c r="QQZ47" s="595"/>
      <c r="QRA47" s="595"/>
      <c r="QRB47" s="595"/>
      <c r="QRC47" s="595"/>
      <c r="QRD47" s="595"/>
      <c r="QRE47" s="595"/>
      <c r="QRF47" s="595"/>
      <c r="QRG47" s="595"/>
      <c r="QRH47" s="595"/>
      <c r="QRI47" s="595"/>
      <c r="QRJ47" s="595"/>
      <c r="QRK47" s="595"/>
      <c r="QRL47" s="595"/>
      <c r="QRM47" s="595"/>
      <c r="QRN47" s="595"/>
      <c r="QRO47" s="595"/>
      <c r="QRP47" s="595"/>
      <c r="QRQ47" s="595"/>
      <c r="QRR47" s="595"/>
      <c r="QRS47" s="595"/>
      <c r="QRT47" s="595"/>
      <c r="QRU47" s="595"/>
      <c r="QRV47" s="595"/>
      <c r="QRW47" s="595"/>
      <c r="QRX47" s="595"/>
      <c r="QRY47" s="595"/>
      <c r="QRZ47" s="595"/>
      <c r="QSA47" s="595"/>
      <c r="QSB47" s="595"/>
      <c r="QSC47" s="595"/>
      <c r="QSD47" s="595"/>
      <c r="QSE47" s="595"/>
      <c r="QSF47" s="595"/>
      <c r="QSG47" s="595"/>
      <c r="QSH47" s="595"/>
      <c r="QSI47" s="595"/>
      <c r="QSJ47" s="595"/>
      <c r="QSK47" s="595"/>
      <c r="QSL47" s="595"/>
      <c r="QSM47" s="595"/>
      <c r="QSN47" s="595"/>
      <c r="QSO47" s="595"/>
      <c r="QSP47" s="595"/>
      <c r="QSQ47" s="595"/>
      <c r="QSR47" s="595"/>
      <c r="QSS47" s="595"/>
      <c r="QST47" s="595"/>
      <c r="QSU47" s="595"/>
      <c r="QSV47" s="595"/>
      <c r="QSW47" s="595"/>
      <c r="QSX47" s="595"/>
      <c r="QSY47" s="595"/>
      <c r="QSZ47" s="595"/>
      <c r="QTA47" s="595"/>
      <c r="QTB47" s="595"/>
      <c r="QTC47" s="595"/>
      <c r="QTD47" s="595"/>
      <c r="QTE47" s="595"/>
      <c r="QTF47" s="595"/>
      <c r="QTG47" s="595"/>
      <c r="QTH47" s="595"/>
      <c r="QTI47" s="595"/>
      <c r="QTJ47" s="595"/>
      <c r="QTK47" s="595"/>
      <c r="QTL47" s="595"/>
      <c r="QTM47" s="595"/>
      <c r="QTN47" s="595"/>
      <c r="QTO47" s="595"/>
      <c r="QTP47" s="595"/>
      <c r="QTQ47" s="595"/>
      <c r="QTR47" s="595"/>
      <c r="QTS47" s="595"/>
      <c r="QTT47" s="595"/>
      <c r="QTU47" s="595"/>
      <c r="QTV47" s="595"/>
      <c r="QTW47" s="595"/>
      <c r="QTX47" s="595"/>
      <c r="QTY47" s="595"/>
      <c r="QTZ47" s="595"/>
      <c r="QUA47" s="595"/>
      <c r="QUB47" s="595"/>
      <c r="QUC47" s="595"/>
      <c r="QUD47" s="595"/>
      <c r="QUE47" s="595"/>
      <c r="QUF47" s="595"/>
      <c r="QUG47" s="595"/>
      <c r="QUH47" s="595"/>
      <c r="QUI47" s="595"/>
      <c r="QUJ47" s="595"/>
      <c r="QUK47" s="595"/>
      <c r="QUL47" s="595"/>
      <c r="QUM47" s="595"/>
      <c r="QUN47" s="595"/>
      <c r="QUO47" s="595"/>
      <c r="QUP47" s="595"/>
      <c r="QUQ47" s="595"/>
      <c r="QUR47" s="595"/>
      <c r="QUS47" s="595"/>
      <c r="QUT47" s="595"/>
      <c r="QUU47" s="595"/>
      <c r="QUV47" s="595"/>
      <c r="QUW47" s="595"/>
      <c r="QUX47" s="595"/>
      <c r="QUY47" s="595"/>
      <c r="QUZ47" s="595"/>
      <c r="QVA47" s="595"/>
      <c r="QVB47" s="595"/>
      <c r="QVC47" s="595"/>
      <c r="QVD47" s="595"/>
      <c r="QVE47" s="595"/>
      <c r="QVF47" s="595"/>
      <c r="QVG47" s="595"/>
      <c r="QVH47" s="595"/>
      <c r="QVI47" s="595"/>
      <c r="QVJ47" s="595"/>
      <c r="QVK47" s="595"/>
      <c r="QVL47" s="595"/>
      <c r="QVM47" s="595"/>
      <c r="QVN47" s="595"/>
      <c r="QVO47" s="595"/>
      <c r="QVP47" s="595"/>
      <c r="QVQ47" s="595"/>
      <c r="QVR47" s="595"/>
      <c r="QVS47" s="595"/>
      <c r="QVT47" s="595"/>
      <c r="QVU47" s="595"/>
      <c r="QVV47" s="595"/>
      <c r="QVW47" s="595"/>
      <c r="QVX47" s="595"/>
      <c r="QVY47" s="595"/>
      <c r="QVZ47" s="595"/>
      <c r="QWA47" s="595"/>
      <c r="QWB47" s="595"/>
      <c r="QWC47" s="595"/>
      <c r="QWD47" s="595"/>
      <c r="QWE47" s="595"/>
      <c r="QWF47" s="595"/>
      <c r="QWG47" s="595"/>
      <c r="QWH47" s="595"/>
      <c r="QWI47" s="595"/>
      <c r="QWJ47" s="595"/>
      <c r="QWK47" s="595"/>
      <c r="QWL47" s="595"/>
      <c r="QWM47" s="595"/>
      <c r="QWN47" s="595"/>
      <c r="QWO47" s="595"/>
      <c r="QWP47" s="595"/>
      <c r="QWQ47" s="595"/>
      <c r="QWR47" s="595"/>
      <c r="QWS47" s="595"/>
      <c r="QWT47" s="595"/>
      <c r="QWU47" s="595"/>
      <c r="QWV47" s="595"/>
      <c r="QWW47" s="595"/>
      <c r="QWX47" s="595"/>
      <c r="QWY47" s="595"/>
      <c r="QWZ47" s="595"/>
      <c r="QXA47" s="595"/>
      <c r="QXB47" s="595"/>
      <c r="QXC47" s="595"/>
      <c r="QXD47" s="595"/>
      <c r="QXE47" s="595"/>
      <c r="QXF47" s="595"/>
      <c r="QXG47" s="595"/>
      <c r="QXH47" s="595"/>
      <c r="QXI47" s="595"/>
      <c r="QXJ47" s="595"/>
      <c r="QXK47" s="595"/>
      <c r="QXL47" s="595"/>
      <c r="QXM47" s="595"/>
      <c r="QXN47" s="595"/>
      <c r="QXO47" s="595"/>
      <c r="QXP47" s="595"/>
      <c r="QXQ47" s="595"/>
      <c r="QXR47" s="595"/>
      <c r="QXS47" s="595"/>
      <c r="QXT47" s="595"/>
      <c r="QXU47" s="595"/>
      <c r="QXV47" s="595"/>
      <c r="QXW47" s="595"/>
      <c r="QXX47" s="595"/>
      <c r="QXY47" s="595"/>
      <c r="QXZ47" s="595"/>
      <c r="QYA47" s="595"/>
      <c r="QYB47" s="595"/>
      <c r="QYC47" s="595"/>
      <c r="QYD47" s="595"/>
      <c r="QYE47" s="595"/>
      <c r="QYF47" s="595"/>
      <c r="QYG47" s="595"/>
      <c r="QYH47" s="595"/>
      <c r="QYI47" s="595"/>
      <c r="QYJ47" s="595"/>
      <c r="QYK47" s="595"/>
      <c r="QYL47" s="595"/>
      <c r="QYM47" s="595"/>
      <c r="QYN47" s="595"/>
      <c r="QYO47" s="595"/>
      <c r="QYP47" s="595"/>
      <c r="QYQ47" s="595"/>
      <c r="QYR47" s="595"/>
      <c r="QYS47" s="595"/>
      <c r="QYT47" s="595"/>
      <c r="QYU47" s="595"/>
      <c r="QYV47" s="595"/>
      <c r="QYW47" s="595"/>
      <c r="QYX47" s="595"/>
      <c r="QYY47" s="595"/>
      <c r="QYZ47" s="595"/>
      <c r="QZA47" s="595"/>
      <c r="QZB47" s="595"/>
      <c r="QZC47" s="595"/>
      <c r="QZD47" s="595"/>
      <c r="QZE47" s="595"/>
      <c r="QZF47" s="595"/>
      <c r="QZG47" s="595"/>
      <c r="QZH47" s="595"/>
      <c r="QZI47" s="595"/>
      <c r="QZJ47" s="595"/>
      <c r="QZK47" s="595"/>
      <c r="QZL47" s="595"/>
      <c r="QZM47" s="595"/>
      <c r="QZN47" s="595"/>
      <c r="QZO47" s="595"/>
      <c r="QZP47" s="595"/>
      <c r="QZQ47" s="595"/>
      <c r="QZR47" s="595"/>
      <c r="QZS47" s="595"/>
      <c r="QZT47" s="595"/>
      <c r="QZU47" s="595"/>
      <c r="QZV47" s="595"/>
      <c r="QZW47" s="595"/>
      <c r="QZX47" s="595"/>
      <c r="QZY47" s="595"/>
      <c r="QZZ47" s="595"/>
      <c r="RAA47" s="595"/>
      <c r="RAB47" s="595"/>
      <c r="RAC47" s="595"/>
      <c r="RAD47" s="595"/>
      <c r="RAE47" s="595"/>
      <c r="RAF47" s="595"/>
      <c r="RAG47" s="595"/>
      <c r="RAH47" s="595"/>
      <c r="RAI47" s="595"/>
      <c r="RAJ47" s="595"/>
      <c r="RAK47" s="595"/>
      <c r="RAL47" s="595"/>
      <c r="RAM47" s="595"/>
      <c r="RAN47" s="595"/>
      <c r="RAO47" s="595"/>
      <c r="RAP47" s="595"/>
      <c r="RAQ47" s="595"/>
      <c r="RAR47" s="595"/>
      <c r="RAS47" s="595"/>
      <c r="RAT47" s="595"/>
      <c r="RAU47" s="595"/>
      <c r="RAV47" s="595"/>
      <c r="RAW47" s="595"/>
      <c r="RAX47" s="595"/>
      <c r="RAY47" s="595"/>
      <c r="RAZ47" s="595"/>
      <c r="RBA47" s="595"/>
      <c r="RBB47" s="595"/>
      <c r="RBC47" s="595"/>
      <c r="RBD47" s="595"/>
      <c r="RBE47" s="595"/>
      <c r="RBF47" s="595"/>
      <c r="RBG47" s="595"/>
      <c r="RBH47" s="595"/>
      <c r="RBI47" s="595"/>
      <c r="RBJ47" s="595"/>
      <c r="RBK47" s="595"/>
      <c r="RBL47" s="595"/>
      <c r="RBM47" s="595"/>
      <c r="RBN47" s="595"/>
      <c r="RBO47" s="595"/>
      <c r="RBP47" s="595"/>
      <c r="RBQ47" s="595"/>
      <c r="RBR47" s="595"/>
      <c r="RBS47" s="595"/>
      <c r="RBT47" s="595"/>
      <c r="RBU47" s="595"/>
      <c r="RBV47" s="595"/>
      <c r="RBW47" s="595"/>
      <c r="RBX47" s="595"/>
      <c r="RBY47" s="595"/>
      <c r="RBZ47" s="595"/>
      <c r="RCA47" s="595"/>
      <c r="RCB47" s="595"/>
      <c r="RCC47" s="595"/>
      <c r="RCD47" s="595"/>
      <c r="RCE47" s="595"/>
      <c r="RCF47" s="595"/>
      <c r="RCG47" s="595"/>
      <c r="RCH47" s="595"/>
      <c r="RCI47" s="595"/>
      <c r="RCJ47" s="595"/>
      <c r="RCK47" s="595"/>
      <c r="RCL47" s="595"/>
      <c r="RCM47" s="595"/>
      <c r="RCN47" s="595"/>
      <c r="RCO47" s="595"/>
      <c r="RCP47" s="595"/>
      <c r="RCQ47" s="595"/>
      <c r="RCR47" s="595"/>
      <c r="RCS47" s="595"/>
      <c r="RCT47" s="595"/>
      <c r="RCU47" s="595"/>
      <c r="RCV47" s="595"/>
      <c r="RCW47" s="595"/>
      <c r="RCX47" s="595"/>
      <c r="RCY47" s="595"/>
      <c r="RCZ47" s="595"/>
      <c r="RDA47" s="595"/>
      <c r="RDB47" s="595"/>
      <c r="RDC47" s="595"/>
      <c r="RDD47" s="595"/>
      <c r="RDE47" s="595"/>
      <c r="RDF47" s="595"/>
      <c r="RDG47" s="595"/>
      <c r="RDH47" s="595"/>
      <c r="RDI47" s="595"/>
      <c r="RDJ47" s="595"/>
      <c r="RDK47" s="595"/>
      <c r="RDL47" s="595"/>
      <c r="RDM47" s="595"/>
      <c r="RDN47" s="595"/>
      <c r="RDO47" s="595"/>
      <c r="RDP47" s="595"/>
      <c r="RDQ47" s="595"/>
      <c r="RDR47" s="595"/>
      <c r="RDS47" s="595"/>
      <c r="RDT47" s="595"/>
      <c r="RDU47" s="595"/>
      <c r="RDV47" s="595"/>
      <c r="RDW47" s="595"/>
      <c r="RDX47" s="595"/>
      <c r="RDY47" s="595"/>
      <c r="RDZ47" s="595"/>
      <c r="REA47" s="595"/>
      <c r="REB47" s="595"/>
      <c r="REC47" s="595"/>
      <c r="RED47" s="595"/>
      <c r="REE47" s="595"/>
      <c r="REF47" s="595"/>
      <c r="REG47" s="595"/>
      <c r="REH47" s="595"/>
      <c r="REI47" s="595"/>
      <c r="REJ47" s="595"/>
      <c r="REK47" s="595"/>
      <c r="REL47" s="595"/>
      <c r="REM47" s="595"/>
      <c r="REN47" s="595"/>
      <c r="REO47" s="595"/>
      <c r="REP47" s="595"/>
      <c r="REQ47" s="595"/>
      <c r="RER47" s="595"/>
      <c r="RES47" s="595"/>
      <c r="RET47" s="595"/>
      <c r="REU47" s="595"/>
      <c r="REV47" s="595"/>
      <c r="REW47" s="595"/>
      <c r="REX47" s="595"/>
      <c r="REY47" s="595"/>
      <c r="REZ47" s="595"/>
      <c r="RFA47" s="595"/>
      <c r="RFB47" s="595"/>
      <c r="RFC47" s="595"/>
      <c r="RFD47" s="595"/>
      <c r="RFE47" s="595"/>
      <c r="RFF47" s="595"/>
      <c r="RFG47" s="595"/>
      <c r="RFH47" s="595"/>
      <c r="RFI47" s="595"/>
      <c r="RFJ47" s="595"/>
      <c r="RFK47" s="595"/>
      <c r="RFL47" s="595"/>
      <c r="RFM47" s="595"/>
      <c r="RFN47" s="595"/>
      <c r="RFO47" s="595"/>
      <c r="RFP47" s="595"/>
      <c r="RFQ47" s="595"/>
      <c r="RFR47" s="595"/>
      <c r="RFS47" s="595"/>
      <c r="RFT47" s="595"/>
      <c r="RFU47" s="595"/>
      <c r="RFV47" s="595"/>
      <c r="RFW47" s="595"/>
      <c r="RFX47" s="595"/>
      <c r="RFY47" s="595"/>
      <c r="RFZ47" s="595"/>
      <c r="RGA47" s="595"/>
      <c r="RGB47" s="595"/>
      <c r="RGC47" s="595"/>
      <c r="RGD47" s="595"/>
      <c r="RGE47" s="595"/>
      <c r="RGF47" s="595"/>
      <c r="RGG47" s="595"/>
      <c r="RGH47" s="595"/>
      <c r="RGI47" s="595"/>
      <c r="RGJ47" s="595"/>
      <c r="RGK47" s="595"/>
      <c r="RGL47" s="595"/>
      <c r="RGM47" s="595"/>
      <c r="RGN47" s="595"/>
      <c r="RGO47" s="595"/>
      <c r="RGP47" s="595"/>
      <c r="RGQ47" s="595"/>
      <c r="RGR47" s="595"/>
      <c r="RGS47" s="595"/>
      <c r="RGT47" s="595"/>
      <c r="RGU47" s="595"/>
      <c r="RGV47" s="595"/>
      <c r="RGW47" s="595"/>
      <c r="RGX47" s="595"/>
      <c r="RGY47" s="595"/>
      <c r="RGZ47" s="595"/>
      <c r="RHA47" s="595"/>
      <c r="RHB47" s="595"/>
      <c r="RHC47" s="595"/>
      <c r="RHD47" s="595"/>
      <c r="RHE47" s="595"/>
      <c r="RHF47" s="595"/>
      <c r="RHG47" s="595"/>
      <c r="RHH47" s="595"/>
      <c r="RHI47" s="595"/>
      <c r="RHJ47" s="595"/>
      <c r="RHK47" s="595"/>
      <c r="RHL47" s="595"/>
      <c r="RHM47" s="595"/>
      <c r="RHN47" s="595"/>
      <c r="RHO47" s="595"/>
      <c r="RHP47" s="595"/>
      <c r="RHQ47" s="595"/>
      <c r="RHR47" s="595"/>
      <c r="RHS47" s="595"/>
      <c r="RHT47" s="595"/>
      <c r="RHU47" s="595"/>
      <c r="RHV47" s="595"/>
      <c r="RHW47" s="595"/>
      <c r="RHX47" s="595"/>
      <c r="RHY47" s="595"/>
      <c r="RHZ47" s="595"/>
      <c r="RIA47" s="595"/>
      <c r="RIB47" s="595"/>
      <c r="RIC47" s="595"/>
      <c r="RID47" s="595"/>
      <c r="RIE47" s="595"/>
      <c r="RIF47" s="595"/>
      <c r="RIG47" s="595"/>
      <c r="RIH47" s="595"/>
      <c r="RII47" s="595"/>
      <c r="RIJ47" s="595"/>
      <c r="RIK47" s="595"/>
      <c r="RIL47" s="595"/>
      <c r="RIM47" s="595"/>
      <c r="RIN47" s="595"/>
      <c r="RIO47" s="595"/>
      <c r="RIP47" s="595"/>
      <c r="RIQ47" s="595"/>
      <c r="RIR47" s="595"/>
      <c r="RIS47" s="595"/>
      <c r="RIT47" s="595"/>
      <c r="RIU47" s="595"/>
      <c r="RIV47" s="595"/>
      <c r="RIW47" s="595"/>
      <c r="RIX47" s="595"/>
      <c r="RIY47" s="595"/>
      <c r="RIZ47" s="595"/>
      <c r="RJA47" s="595"/>
      <c r="RJB47" s="595"/>
      <c r="RJC47" s="595"/>
      <c r="RJD47" s="595"/>
      <c r="RJE47" s="595"/>
      <c r="RJF47" s="595"/>
      <c r="RJG47" s="595"/>
      <c r="RJH47" s="595"/>
      <c r="RJI47" s="595"/>
      <c r="RJJ47" s="595"/>
      <c r="RJK47" s="595"/>
      <c r="RJL47" s="595"/>
      <c r="RJM47" s="595"/>
      <c r="RJN47" s="595"/>
      <c r="RJO47" s="595"/>
      <c r="RJP47" s="595"/>
      <c r="RJQ47" s="595"/>
      <c r="RJR47" s="595"/>
      <c r="RJS47" s="595"/>
      <c r="RJT47" s="595"/>
      <c r="RJU47" s="595"/>
      <c r="RJV47" s="595"/>
      <c r="RJW47" s="595"/>
      <c r="RJX47" s="595"/>
      <c r="RJY47" s="595"/>
      <c r="RJZ47" s="595"/>
      <c r="RKA47" s="595"/>
      <c r="RKB47" s="595"/>
      <c r="RKC47" s="595"/>
      <c r="RKD47" s="595"/>
      <c r="RKE47" s="595"/>
      <c r="RKF47" s="595"/>
      <c r="RKG47" s="595"/>
      <c r="RKH47" s="595"/>
      <c r="RKI47" s="595"/>
      <c r="RKJ47" s="595"/>
      <c r="RKK47" s="595"/>
      <c r="RKL47" s="595"/>
      <c r="RKM47" s="595"/>
      <c r="RKN47" s="595"/>
      <c r="RKO47" s="595"/>
      <c r="RKP47" s="595"/>
      <c r="RKQ47" s="595"/>
      <c r="RKR47" s="595"/>
      <c r="RKS47" s="595"/>
      <c r="RKT47" s="595"/>
      <c r="RKU47" s="595"/>
      <c r="RKV47" s="595"/>
      <c r="RKW47" s="595"/>
      <c r="RKX47" s="595"/>
      <c r="RKY47" s="595"/>
      <c r="RKZ47" s="595"/>
      <c r="RLA47" s="595"/>
      <c r="RLB47" s="595"/>
      <c r="RLC47" s="595"/>
      <c r="RLD47" s="595"/>
      <c r="RLE47" s="595"/>
      <c r="RLF47" s="595"/>
      <c r="RLG47" s="595"/>
      <c r="RLH47" s="595"/>
      <c r="RLI47" s="595"/>
      <c r="RLJ47" s="595"/>
      <c r="RLK47" s="595"/>
      <c r="RLL47" s="595"/>
      <c r="RLM47" s="595"/>
      <c r="RLN47" s="595"/>
      <c r="RLO47" s="595"/>
      <c r="RLP47" s="595"/>
      <c r="RLQ47" s="595"/>
      <c r="RLR47" s="595"/>
      <c r="RLS47" s="595"/>
      <c r="RLT47" s="595"/>
      <c r="RLU47" s="595"/>
      <c r="RLV47" s="595"/>
      <c r="RLW47" s="595"/>
      <c r="RLX47" s="595"/>
      <c r="RLY47" s="595"/>
      <c r="RLZ47" s="595"/>
      <c r="RMA47" s="595"/>
      <c r="RMB47" s="595"/>
      <c r="RMC47" s="595"/>
      <c r="RMD47" s="595"/>
      <c r="RME47" s="595"/>
      <c r="RMF47" s="595"/>
      <c r="RMG47" s="595"/>
      <c r="RMH47" s="595"/>
      <c r="RMI47" s="595"/>
      <c r="RMJ47" s="595"/>
      <c r="RMK47" s="595"/>
      <c r="RML47" s="595"/>
      <c r="RMM47" s="595"/>
      <c r="RMN47" s="595"/>
      <c r="RMO47" s="595"/>
      <c r="RMP47" s="595"/>
      <c r="RMQ47" s="595"/>
      <c r="RMR47" s="595"/>
      <c r="RMS47" s="595"/>
      <c r="RMT47" s="595"/>
      <c r="RMU47" s="595"/>
      <c r="RMV47" s="595"/>
      <c r="RMW47" s="595"/>
      <c r="RMX47" s="595"/>
      <c r="RMY47" s="595"/>
      <c r="RMZ47" s="595"/>
      <c r="RNA47" s="595"/>
      <c r="RNB47" s="595"/>
      <c r="RNC47" s="595"/>
      <c r="RND47" s="595"/>
      <c r="RNE47" s="595"/>
      <c r="RNF47" s="595"/>
      <c r="RNG47" s="595"/>
      <c r="RNH47" s="595"/>
      <c r="RNI47" s="595"/>
      <c r="RNJ47" s="595"/>
      <c r="RNK47" s="595"/>
      <c r="RNL47" s="595"/>
      <c r="RNM47" s="595"/>
      <c r="RNN47" s="595"/>
      <c r="RNO47" s="595"/>
      <c r="RNP47" s="595"/>
      <c r="RNQ47" s="595"/>
      <c r="RNR47" s="595"/>
      <c r="RNS47" s="595"/>
      <c r="RNT47" s="595"/>
      <c r="RNU47" s="595"/>
      <c r="RNV47" s="595"/>
      <c r="RNW47" s="595"/>
      <c r="RNX47" s="595"/>
      <c r="RNY47" s="595"/>
      <c r="RNZ47" s="595"/>
      <c r="ROA47" s="595"/>
      <c r="ROB47" s="595"/>
      <c r="ROC47" s="595"/>
      <c r="ROD47" s="595"/>
      <c r="ROE47" s="595"/>
      <c r="ROF47" s="595"/>
      <c r="ROG47" s="595"/>
      <c r="ROH47" s="595"/>
      <c r="ROI47" s="595"/>
      <c r="ROJ47" s="595"/>
      <c r="ROK47" s="595"/>
      <c r="ROL47" s="595"/>
      <c r="ROM47" s="595"/>
      <c r="RON47" s="595"/>
      <c r="ROO47" s="595"/>
      <c r="ROP47" s="595"/>
      <c r="ROQ47" s="595"/>
      <c r="ROR47" s="595"/>
      <c r="ROS47" s="595"/>
      <c r="ROT47" s="595"/>
      <c r="ROU47" s="595"/>
      <c r="ROV47" s="595"/>
      <c r="ROW47" s="595"/>
      <c r="ROX47" s="595"/>
      <c r="ROY47" s="595"/>
      <c r="ROZ47" s="595"/>
      <c r="RPA47" s="595"/>
      <c r="RPB47" s="595"/>
      <c r="RPC47" s="595"/>
      <c r="RPD47" s="595"/>
      <c r="RPE47" s="595"/>
      <c r="RPF47" s="595"/>
      <c r="RPG47" s="595"/>
      <c r="RPH47" s="595"/>
      <c r="RPI47" s="595"/>
      <c r="RPJ47" s="595"/>
      <c r="RPK47" s="595"/>
      <c r="RPL47" s="595"/>
      <c r="RPM47" s="595"/>
      <c r="RPN47" s="595"/>
      <c r="RPO47" s="595"/>
      <c r="RPP47" s="595"/>
      <c r="RPQ47" s="595"/>
      <c r="RPR47" s="595"/>
      <c r="RPS47" s="595"/>
      <c r="RPT47" s="595"/>
      <c r="RPU47" s="595"/>
      <c r="RPV47" s="595"/>
      <c r="RPW47" s="595"/>
      <c r="RPX47" s="595"/>
      <c r="RPY47" s="595"/>
      <c r="RPZ47" s="595"/>
      <c r="RQA47" s="595"/>
      <c r="RQB47" s="595"/>
      <c r="RQC47" s="595"/>
      <c r="RQD47" s="595"/>
      <c r="RQE47" s="595"/>
      <c r="RQF47" s="595"/>
      <c r="RQG47" s="595"/>
      <c r="RQH47" s="595"/>
      <c r="RQI47" s="595"/>
      <c r="RQJ47" s="595"/>
      <c r="RQK47" s="595"/>
      <c r="RQL47" s="595"/>
      <c r="RQM47" s="595"/>
      <c r="RQN47" s="595"/>
      <c r="RQO47" s="595"/>
      <c r="RQP47" s="595"/>
      <c r="RQQ47" s="595"/>
      <c r="RQR47" s="595"/>
      <c r="RQS47" s="595"/>
      <c r="RQT47" s="595"/>
      <c r="RQU47" s="595"/>
      <c r="RQV47" s="595"/>
      <c r="RQW47" s="595"/>
      <c r="RQX47" s="595"/>
      <c r="RQY47" s="595"/>
      <c r="RQZ47" s="595"/>
      <c r="RRA47" s="595"/>
      <c r="RRB47" s="595"/>
      <c r="RRC47" s="595"/>
      <c r="RRD47" s="595"/>
      <c r="RRE47" s="595"/>
      <c r="RRF47" s="595"/>
      <c r="RRG47" s="595"/>
      <c r="RRH47" s="595"/>
      <c r="RRI47" s="595"/>
      <c r="RRJ47" s="595"/>
      <c r="RRK47" s="595"/>
      <c r="RRL47" s="595"/>
      <c r="RRM47" s="595"/>
      <c r="RRN47" s="595"/>
      <c r="RRO47" s="595"/>
      <c r="RRP47" s="595"/>
      <c r="RRQ47" s="595"/>
      <c r="RRR47" s="595"/>
      <c r="RRS47" s="595"/>
      <c r="RRT47" s="595"/>
      <c r="RRU47" s="595"/>
      <c r="RRV47" s="595"/>
      <c r="RRW47" s="595"/>
      <c r="RRX47" s="595"/>
      <c r="RRY47" s="595"/>
      <c r="RRZ47" s="595"/>
      <c r="RSA47" s="595"/>
      <c r="RSB47" s="595"/>
      <c r="RSC47" s="595"/>
      <c r="RSD47" s="595"/>
      <c r="RSE47" s="595"/>
      <c r="RSF47" s="595"/>
      <c r="RSG47" s="595"/>
      <c r="RSH47" s="595"/>
      <c r="RSI47" s="595"/>
      <c r="RSJ47" s="595"/>
      <c r="RSK47" s="595"/>
      <c r="RSL47" s="595"/>
      <c r="RSM47" s="595"/>
      <c r="RSN47" s="595"/>
      <c r="RSO47" s="595"/>
      <c r="RSP47" s="595"/>
      <c r="RSQ47" s="595"/>
      <c r="RSR47" s="595"/>
      <c r="RSS47" s="595"/>
      <c r="RST47" s="595"/>
      <c r="RSU47" s="595"/>
      <c r="RSV47" s="595"/>
      <c r="RSW47" s="595"/>
      <c r="RSX47" s="595"/>
      <c r="RSY47" s="595"/>
      <c r="RSZ47" s="595"/>
      <c r="RTA47" s="595"/>
      <c r="RTB47" s="595"/>
      <c r="RTC47" s="595"/>
      <c r="RTD47" s="595"/>
      <c r="RTE47" s="595"/>
      <c r="RTF47" s="595"/>
      <c r="RTG47" s="595"/>
      <c r="RTH47" s="595"/>
      <c r="RTI47" s="595"/>
      <c r="RTJ47" s="595"/>
      <c r="RTK47" s="595"/>
      <c r="RTL47" s="595"/>
      <c r="RTM47" s="595"/>
      <c r="RTN47" s="595"/>
      <c r="RTO47" s="595"/>
      <c r="RTP47" s="595"/>
      <c r="RTQ47" s="595"/>
      <c r="RTR47" s="595"/>
      <c r="RTS47" s="595"/>
      <c r="RTT47" s="595"/>
      <c r="RTU47" s="595"/>
      <c r="RTV47" s="595"/>
      <c r="RTW47" s="595"/>
      <c r="RTX47" s="595"/>
      <c r="RTY47" s="595"/>
      <c r="RTZ47" s="595"/>
      <c r="RUA47" s="595"/>
      <c r="RUB47" s="595"/>
      <c r="RUC47" s="595"/>
      <c r="RUD47" s="595"/>
      <c r="RUE47" s="595"/>
      <c r="RUF47" s="595"/>
      <c r="RUG47" s="595"/>
      <c r="RUH47" s="595"/>
      <c r="RUI47" s="595"/>
      <c r="RUJ47" s="595"/>
      <c r="RUK47" s="595"/>
      <c r="RUL47" s="595"/>
      <c r="RUM47" s="595"/>
      <c r="RUN47" s="595"/>
      <c r="RUO47" s="595"/>
      <c r="RUP47" s="595"/>
      <c r="RUQ47" s="595"/>
      <c r="RUR47" s="595"/>
      <c r="RUS47" s="595"/>
      <c r="RUT47" s="595"/>
      <c r="RUU47" s="595"/>
      <c r="RUV47" s="595"/>
      <c r="RUW47" s="595"/>
      <c r="RUX47" s="595"/>
      <c r="RUY47" s="595"/>
      <c r="RUZ47" s="595"/>
      <c r="RVA47" s="595"/>
      <c r="RVB47" s="595"/>
      <c r="RVC47" s="595"/>
      <c r="RVD47" s="595"/>
      <c r="RVE47" s="595"/>
      <c r="RVF47" s="595"/>
      <c r="RVG47" s="595"/>
      <c r="RVH47" s="595"/>
      <c r="RVI47" s="595"/>
      <c r="RVJ47" s="595"/>
      <c r="RVK47" s="595"/>
      <c r="RVL47" s="595"/>
      <c r="RVM47" s="595"/>
      <c r="RVN47" s="595"/>
      <c r="RVO47" s="595"/>
      <c r="RVP47" s="595"/>
      <c r="RVQ47" s="595"/>
      <c r="RVR47" s="595"/>
      <c r="RVS47" s="595"/>
      <c r="RVT47" s="595"/>
      <c r="RVU47" s="595"/>
      <c r="RVV47" s="595"/>
      <c r="RVW47" s="595"/>
      <c r="RVX47" s="595"/>
      <c r="RVY47" s="595"/>
      <c r="RVZ47" s="595"/>
      <c r="RWA47" s="595"/>
      <c r="RWB47" s="595"/>
      <c r="RWC47" s="595"/>
      <c r="RWD47" s="595"/>
      <c r="RWE47" s="595"/>
      <c r="RWF47" s="595"/>
      <c r="RWG47" s="595"/>
      <c r="RWH47" s="595"/>
      <c r="RWI47" s="595"/>
      <c r="RWJ47" s="595"/>
      <c r="RWK47" s="595"/>
      <c r="RWL47" s="595"/>
      <c r="RWM47" s="595"/>
      <c r="RWN47" s="595"/>
      <c r="RWO47" s="595"/>
      <c r="RWP47" s="595"/>
      <c r="RWQ47" s="595"/>
      <c r="RWR47" s="595"/>
      <c r="RWS47" s="595"/>
      <c r="RWT47" s="595"/>
      <c r="RWU47" s="595"/>
      <c r="RWV47" s="595"/>
      <c r="RWW47" s="595"/>
      <c r="RWX47" s="595"/>
      <c r="RWY47" s="595"/>
      <c r="RWZ47" s="595"/>
      <c r="RXA47" s="595"/>
      <c r="RXB47" s="595"/>
      <c r="RXC47" s="595"/>
      <c r="RXD47" s="595"/>
      <c r="RXE47" s="595"/>
      <c r="RXF47" s="595"/>
      <c r="RXG47" s="595"/>
      <c r="RXH47" s="595"/>
      <c r="RXI47" s="595"/>
      <c r="RXJ47" s="595"/>
      <c r="RXK47" s="595"/>
      <c r="RXL47" s="595"/>
      <c r="RXM47" s="595"/>
      <c r="RXN47" s="595"/>
      <c r="RXO47" s="595"/>
      <c r="RXP47" s="595"/>
      <c r="RXQ47" s="595"/>
      <c r="RXR47" s="595"/>
      <c r="RXS47" s="595"/>
      <c r="RXT47" s="595"/>
      <c r="RXU47" s="595"/>
      <c r="RXV47" s="595"/>
      <c r="RXW47" s="595"/>
      <c r="RXX47" s="595"/>
      <c r="RXY47" s="595"/>
      <c r="RXZ47" s="595"/>
      <c r="RYA47" s="595"/>
      <c r="RYB47" s="595"/>
      <c r="RYC47" s="595"/>
      <c r="RYD47" s="595"/>
      <c r="RYE47" s="595"/>
      <c r="RYF47" s="595"/>
      <c r="RYG47" s="595"/>
      <c r="RYH47" s="595"/>
      <c r="RYI47" s="595"/>
      <c r="RYJ47" s="595"/>
      <c r="RYK47" s="595"/>
      <c r="RYL47" s="595"/>
      <c r="RYM47" s="595"/>
      <c r="RYN47" s="595"/>
      <c r="RYO47" s="595"/>
      <c r="RYP47" s="595"/>
      <c r="RYQ47" s="595"/>
      <c r="RYR47" s="595"/>
      <c r="RYS47" s="595"/>
      <c r="RYT47" s="595"/>
      <c r="RYU47" s="595"/>
      <c r="RYV47" s="595"/>
      <c r="RYW47" s="595"/>
      <c r="RYX47" s="595"/>
      <c r="RYY47" s="595"/>
      <c r="RYZ47" s="595"/>
      <c r="RZA47" s="595"/>
      <c r="RZB47" s="595"/>
      <c r="RZC47" s="595"/>
      <c r="RZD47" s="595"/>
      <c r="RZE47" s="595"/>
      <c r="RZF47" s="595"/>
      <c r="RZG47" s="595"/>
      <c r="RZH47" s="595"/>
      <c r="RZI47" s="595"/>
      <c r="RZJ47" s="595"/>
      <c r="RZK47" s="595"/>
      <c r="RZL47" s="595"/>
      <c r="RZM47" s="595"/>
      <c r="RZN47" s="595"/>
      <c r="RZO47" s="595"/>
      <c r="RZP47" s="595"/>
      <c r="RZQ47" s="595"/>
      <c r="RZR47" s="595"/>
      <c r="RZS47" s="595"/>
      <c r="RZT47" s="595"/>
      <c r="RZU47" s="595"/>
      <c r="RZV47" s="595"/>
      <c r="RZW47" s="595"/>
      <c r="RZX47" s="595"/>
      <c r="RZY47" s="595"/>
      <c r="RZZ47" s="595"/>
      <c r="SAA47" s="595"/>
      <c r="SAB47" s="595"/>
      <c r="SAC47" s="595"/>
      <c r="SAD47" s="595"/>
      <c r="SAE47" s="595"/>
      <c r="SAF47" s="595"/>
      <c r="SAG47" s="595"/>
      <c r="SAH47" s="595"/>
      <c r="SAI47" s="595"/>
      <c r="SAJ47" s="595"/>
      <c r="SAK47" s="595"/>
      <c r="SAL47" s="595"/>
      <c r="SAM47" s="595"/>
      <c r="SAN47" s="595"/>
      <c r="SAO47" s="595"/>
      <c r="SAP47" s="595"/>
      <c r="SAQ47" s="595"/>
      <c r="SAR47" s="595"/>
      <c r="SAS47" s="595"/>
      <c r="SAT47" s="595"/>
      <c r="SAU47" s="595"/>
      <c r="SAV47" s="595"/>
      <c r="SAW47" s="595"/>
      <c r="SAX47" s="595"/>
      <c r="SAY47" s="595"/>
      <c r="SAZ47" s="595"/>
      <c r="SBA47" s="595"/>
      <c r="SBB47" s="595"/>
      <c r="SBC47" s="595"/>
      <c r="SBD47" s="595"/>
      <c r="SBE47" s="595"/>
      <c r="SBF47" s="595"/>
      <c r="SBG47" s="595"/>
      <c r="SBH47" s="595"/>
      <c r="SBI47" s="595"/>
      <c r="SBJ47" s="595"/>
      <c r="SBK47" s="595"/>
      <c r="SBL47" s="595"/>
      <c r="SBM47" s="595"/>
      <c r="SBN47" s="595"/>
      <c r="SBO47" s="595"/>
      <c r="SBP47" s="595"/>
      <c r="SBQ47" s="595"/>
      <c r="SBR47" s="595"/>
      <c r="SBS47" s="595"/>
      <c r="SBT47" s="595"/>
      <c r="SBU47" s="595"/>
      <c r="SBV47" s="595"/>
      <c r="SBW47" s="595"/>
      <c r="SBX47" s="595"/>
      <c r="SBY47" s="595"/>
      <c r="SBZ47" s="595"/>
      <c r="SCA47" s="595"/>
      <c r="SCB47" s="595"/>
      <c r="SCC47" s="595"/>
      <c r="SCD47" s="595"/>
      <c r="SCE47" s="595"/>
      <c r="SCF47" s="595"/>
      <c r="SCG47" s="595"/>
      <c r="SCH47" s="595"/>
      <c r="SCI47" s="595"/>
      <c r="SCJ47" s="595"/>
      <c r="SCK47" s="595"/>
      <c r="SCL47" s="595"/>
      <c r="SCM47" s="595"/>
      <c r="SCN47" s="595"/>
      <c r="SCO47" s="595"/>
      <c r="SCP47" s="595"/>
      <c r="SCQ47" s="595"/>
      <c r="SCR47" s="595"/>
      <c r="SCS47" s="595"/>
      <c r="SCT47" s="595"/>
      <c r="SCU47" s="595"/>
      <c r="SCV47" s="595"/>
      <c r="SCW47" s="595"/>
      <c r="SCX47" s="595"/>
      <c r="SCY47" s="595"/>
      <c r="SCZ47" s="595"/>
      <c r="SDA47" s="595"/>
      <c r="SDB47" s="595"/>
      <c r="SDC47" s="595"/>
      <c r="SDD47" s="595"/>
      <c r="SDE47" s="595"/>
      <c r="SDF47" s="595"/>
      <c r="SDG47" s="595"/>
      <c r="SDH47" s="595"/>
      <c r="SDI47" s="595"/>
      <c r="SDJ47" s="595"/>
      <c r="SDK47" s="595"/>
      <c r="SDL47" s="595"/>
      <c r="SDM47" s="595"/>
      <c r="SDN47" s="595"/>
      <c r="SDO47" s="595"/>
      <c r="SDP47" s="595"/>
      <c r="SDQ47" s="595"/>
      <c r="SDR47" s="595"/>
      <c r="SDS47" s="595"/>
      <c r="SDT47" s="595"/>
      <c r="SDU47" s="595"/>
      <c r="SDV47" s="595"/>
      <c r="SDW47" s="595"/>
      <c r="SDX47" s="595"/>
      <c r="SDY47" s="595"/>
      <c r="SDZ47" s="595"/>
      <c r="SEA47" s="595"/>
      <c r="SEB47" s="595"/>
      <c r="SEC47" s="595"/>
      <c r="SED47" s="595"/>
      <c r="SEE47" s="595"/>
      <c r="SEF47" s="595"/>
      <c r="SEG47" s="595"/>
      <c r="SEH47" s="595"/>
      <c r="SEI47" s="595"/>
      <c r="SEJ47" s="595"/>
      <c r="SEK47" s="595"/>
      <c r="SEL47" s="595"/>
      <c r="SEM47" s="595"/>
      <c r="SEN47" s="595"/>
      <c r="SEO47" s="595"/>
      <c r="SEP47" s="595"/>
      <c r="SEQ47" s="595"/>
      <c r="SER47" s="595"/>
      <c r="SES47" s="595"/>
      <c r="SET47" s="595"/>
      <c r="SEU47" s="595"/>
      <c r="SEV47" s="595"/>
      <c r="SEW47" s="595"/>
      <c r="SEX47" s="595"/>
      <c r="SEY47" s="595"/>
      <c r="SEZ47" s="595"/>
      <c r="SFA47" s="595"/>
      <c r="SFB47" s="595"/>
      <c r="SFC47" s="595"/>
      <c r="SFD47" s="595"/>
      <c r="SFE47" s="595"/>
      <c r="SFF47" s="595"/>
      <c r="SFG47" s="595"/>
      <c r="SFH47" s="595"/>
      <c r="SFI47" s="595"/>
      <c r="SFJ47" s="595"/>
      <c r="SFK47" s="595"/>
      <c r="SFL47" s="595"/>
      <c r="SFM47" s="595"/>
      <c r="SFN47" s="595"/>
      <c r="SFO47" s="595"/>
      <c r="SFP47" s="595"/>
      <c r="SFQ47" s="595"/>
      <c r="SFR47" s="595"/>
      <c r="SFS47" s="595"/>
      <c r="SFT47" s="595"/>
      <c r="SFU47" s="595"/>
      <c r="SFV47" s="595"/>
      <c r="SFW47" s="595"/>
      <c r="SFX47" s="595"/>
      <c r="SFY47" s="595"/>
      <c r="SFZ47" s="595"/>
      <c r="SGA47" s="595"/>
      <c r="SGB47" s="595"/>
      <c r="SGC47" s="595"/>
      <c r="SGD47" s="595"/>
      <c r="SGE47" s="595"/>
      <c r="SGF47" s="595"/>
      <c r="SGG47" s="595"/>
      <c r="SGH47" s="595"/>
      <c r="SGI47" s="595"/>
      <c r="SGJ47" s="595"/>
      <c r="SGK47" s="595"/>
      <c r="SGL47" s="595"/>
      <c r="SGM47" s="595"/>
      <c r="SGN47" s="595"/>
      <c r="SGO47" s="595"/>
      <c r="SGP47" s="595"/>
      <c r="SGQ47" s="595"/>
      <c r="SGR47" s="595"/>
      <c r="SGS47" s="595"/>
      <c r="SGT47" s="595"/>
      <c r="SGU47" s="595"/>
      <c r="SGV47" s="595"/>
      <c r="SGW47" s="595"/>
      <c r="SGX47" s="595"/>
      <c r="SGY47" s="595"/>
      <c r="SGZ47" s="595"/>
      <c r="SHA47" s="595"/>
      <c r="SHB47" s="595"/>
      <c r="SHC47" s="595"/>
      <c r="SHD47" s="595"/>
      <c r="SHE47" s="595"/>
      <c r="SHF47" s="595"/>
      <c r="SHG47" s="595"/>
      <c r="SHH47" s="595"/>
      <c r="SHI47" s="595"/>
      <c r="SHJ47" s="595"/>
      <c r="SHK47" s="595"/>
      <c r="SHL47" s="595"/>
      <c r="SHM47" s="595"/>
      <c r="SHN47" s="595"/>
      <c r="SHO47" s="595"/>
      <c r="SHP47" s="595"/>
      <c r="SHQ47" s="595"/>
      <c r="SHR47" s="595"/>
      <c r="SHS47" s="595"/>
      <c r="SHT47" s="595"/>
      <c r="SHU47" s="595"/>
      <c r="SHV47" s="595"/>
      <c r="SHW47" s="595"/>
      <c r="SHX47" s="595"/>
      <c r="SHY47" s="595"/>
      <c r="SHZ47" s="595"/>
      <c r="SIA47" s="595"/>
      <c r="SIB47" s="595"/>
      <c r="SIC47" s="595"/>
      <c r="SID47" s="595"/>
      <c r="SIE47" s="595"/>
      <c r="SIF47" s="595"/>
      <c r="SIG47" s="595"/>
      <c r="SIH47" s="595"/>
      <c r="SII47" s="595"/>
      <c r="SIJ47" s="595"/>
      <c r="SIK47" s="595"/>
      <c r="SIL47" s="595"/>
      <c r="SIM47" s="595"/>
      <c r="SIN47" s="595"/>
      <c r="SIO47" s="595"/>
      <c r="SIP47" s="595"/>
      <c r="SIQ47" s="595"/>
      <c r="SIR47" s="595"/>
      <c r="SIS47" s="595"/>
      <c r="SIT47" s="595"/>
      <c r="SIU47" s="595"/>
      <c r="SIV47" s="595"/>
      <c r="SIW47" s="595"/>
      <c r="SIX47" s="595"/>
      <c r="SIY47" s="595"/>
      <c r="SIZ47" s="595"/>
      <c r="SJA47" s="595"/>
      <c r="SJB47" s="595"/>
      <c r="SJC47" s="595"/>
      <c r="SJD47" s="595"/>
      <c r="SJE47" s="595"/>
      <c r="SJF47" s="595"/>
      <c r="SJG47" s="595"/>
      <c r="SJH47" s="595"/>
      <c r="SJI47" s="595"/>
      <c r="SJJ47" s="595"/>
      <c r="SJK47" s="595"/>
      <c r="SJL47" s="595"/>
      <c r="SJM47" s="595"/>
      <c r="SJN47" s="595"/>
      <c r="SJO47" s="595"/>
      <c r="SJP47" s="595"/>
      <c r="SJQ47" s="595"/>
      <c r="SJR47" s="595"/>
      <c r="SJS47" s="595"/>
      <c r="SJT47" s="595"/>
      <c r="SJU47" s="595"/>
      <c r="SJV47" s="595"/>
      <c r="SJW47" s="595"/>
      <c r="SJX47" s="595"/>
      <c r="SJY47" s="595"/>
      <c r="SJZ47" s="595"/>
      <c r="SKA47" s="595"/>
      <c r="SKB47" s="595"/>
      <c r="SKC47" s="595"/>
      <c r="SKD47" s="595"/>
      <c r="SKE47" s="595"/>
      <c r="SKF47" s="595"/>
      <c r="SKG47" s="595"/>
      <c r="SKH47" s="595"/>
      <c r="SKI47" s="595"/>
      <c r="SKJ47" s="595"/>
      <c r="SKK47" s="595"/>
      <c r="SKL47" s="595"/>
      <c r="SKM47" s="595"/>
      <c r="SKN47" s="595"/>
      <c r="SKO47" s="595"/>
      <c r="SKP47" s="595"/>
      <c r="SKQ47" s="595"/>
      <c r="SKR47" s="595"/>
      <c r="SKS47" s="595"/>
      <c r="SKT47" s="595"/>
      <c r="SKU47" s="595"/>
      <c r="SKV47" s="595"/>
      <c r="SKW47" s="595"/>
      <c r="SKX47" s="595"/>
      <c r="SKY47" s="595"/>
      <c r="SKZ47" s="595"/>
      <c r="SLA47" s="595"/>
      <c r="SLB47" s="595"/>
      <c r="SLC47" s="595"/>
      <c r="SLD47" s="595"/>
      <c r="SLE47" s="595"/>
      <c r="SLF47" s="595"/>
      <c r="SLG47" s="595"/>
      <c r="SLH47" s="595"/>
      <c r="SLI47" s="595"/>
      <c r="SLJ47" s="595"/>
      <c r="SLK47" s="595"/>
      <c r="SLL47" s="595"/>
      <c r="SLM47" s="595"/>
      <c r="SLN47" s="595"/>
      <c r="SLO47" s="595"/>
      <c r="SLP47" s="595"/>
      <c r="SLQ47" s="595"/>
      <c r="SLR47" s="595"/>
      <c r="SLS47" s="595"/>
      <c r="SLT47" s="595"/>
      <c r="SLU47" s="595"/>
      <c r="SLV47" s="595"/>
      <c r="SLW47" s="595"/>
      <c r="SLX47" s="595"/>
      <c r="SLY47" s="595"/>
      <c r="SLZ47" s="595"/>
      <c r="SMA47" s="595"/>
      <c r="SMB47" s="595"/>
      <c r="SMC47" s="595"/>
      <c r="SMD47" s="595"/>
      <c r="SME47" s="595"/>
      <c r="SMF47" s="595"/>
      <c r="SMG47" s="595"/>
      <c r="SMH47" s="595"/>
      <c r="SMI47" s="595"/>
      <c r="SMJ47" s="595"/>
      <c r="SMK47" s="595"/>
      <c r="SML47" s="595"/>
      <c r="SMM47" s="595"/>
      <c r="SMN47" s="595"/>
      <c r="SMO47" s="595"/>
      <c r="SMP47" s="595"/>
      <c r="SMQ47" s="595"/>
      <c r="SMR47" s="595"/>
      <c r="SMS47" s="595"/>
      <c r="SMT47" s="595"/>
      <c r="SMU47" s="595"/>
      <c r="SMV47" s="595"/>
      <c r="SMW47" s="595"/>
      <c r="SMX47" s="595"/>
      <c r="SMY47" s="595"/>
      <c r="SMZ47" s="595"/>
      <c r="SNA47" s="595"/>
      <c r="SNB47" s="595"/>
      <c r="SNC47" s="595"/>
      <c r="SND47" s="595"/>
      <c r="SNE47" s="595"/>
      <c r="SNF47" s="595"/>
      <c r="SNG47" s="595"/>
      <c r="SNH47" s="595"/>
      <c r="SNI47" s="595"/>
      <c r="SNJ47" s="595"/>
      <c r="SNK47" s="595"/>
      <c r="SNL47" s="595"/>
      <c r="SNM47" s="595"/>
      <c r="SNN47" s="595"/>
      <c r="SNO47" s="595"/>
      <c r="SNP47" s="595"/>
      <c r="SNQ47" s="595"/>
      <c r="SNR47" s="595"/>
      <c r="SNS47" s="595"/>
      <c r="SNT47" s="595"/>
      <c r="SNU47" s="595"/>
      <c r="SNV47" s="595"/>
      <c r="SNW47" s="595"/>
      <c r="SNX47" s="595"/>
      <c r="SNY47" s="595"/>
      <c r="SNZ47" s="595"/>
      <c r="SOA47" s="595"/>
      <c r="SOB47" s="595"/>
      <c r="SOC47" s="595"/>
      <c r="SOD47" s="595"/>
      <c r="SOE47" s="595"/>
      <c r="SOF47" s="595"/>
      <c r="SOG47" s="595"/>
      <c r="SOH47" s="595"/>
      <c r="SOI47" s="595"/>
      <c r="SOJ47" s="595"/>
      <c r="SOK47" s="595"/>
      <c r="SOL47" s="595"/>
      <c r="SOM47" s="595"/>
      <c r="SON47" s="595"/>
      <c r="SOO47" s="595"/>
      <c r="SOP47" s="595"/>
      <c r="SOQ47" s="595"/>
      <c r="SOR47" s="595"/>
      <c r="SOS47" s="595"/>
      <c r="SOT47" s="595"/>
      <c r="SOU47" s="595"/>
      <c r="SOV47" s="595"/>
      <c r="SOW47" s="595"/>
      <c r="SOX47" s="595"/>
      <c r="SOY47" s="595"/>
      <c r="SOZ47" s="595"/>
      <c r="SPA47" s="595"/>
      <c r="SPB47" s="595"/>
      <c r="SPC47" s="595"/>
      <c r="SPD47" s="595"/>
      <c r="SPE47" s="595"/>
      <c r="SPF47" s="595"/>
      <c r="SPG47" s="595"/>
      <c r="SPH47" s="595"/>
      <c r="SPI47" s="595"/>
      <c r="SPJ47" s="595"/>
      <c r="SPK47" s="595"/>
      <c r="SPL47" s="595"/>
      <c r="SPM47" s="595"/>
      <c r="SPN47" s="595"/>
      <c r="SPO47" s="595"/>
      <c r="SPP47" s="595"/>
      <c r="SPQ47" s="595"/>
      <c r="SPR47" s="595"/>
      <c r="SPS47" s="595"/>
      <c r="SPT47" s="595"/>
      <c r="SPU47" s="595"/>
      <c r="SPV47" s="595"/>
      <c r="SPW47" s="595"/>
      <c r="SPX47" s="595"/>
      <c r="SPY47" s="595"/>
      <c r="SPZ47" s="595"/>
      <c r="SQA47" s="595"/>
      <c r="SQB47" s="595"/>
      <c r="SQC47" s="595"/>
      <c r="SQD47" s="595"/>
      <c r="SQE47" s="595"/>
      <c r="SQF47" s="595"/>
      <c r="SQG47" s="595"/>
      <c r="SQH47" s="595"/>
      <c r="SQI47" s="595"/>
      <c r="SQJ47" s="595"/>
      <c r="SQK47" s="595"/>
      <c r="SQL47" s="595"/>
      <c r="SQM47" s="595"/>
      <c r="SQN47" s="595"/>
      <c r="SQO47" s="595"/>
      <c r="SQP47" s="595"/>
      <c r="SQQ47" s="595"/>
      <c r="SQR47" s="595"/>
      <c r="SQS47" s="595"/>
      <c r="SQT47" s="595"/>
      <c r="SQU47" s="595"/>
      <c r="SQV47" s="595"/>
      <c r="SQW47" s="595"/>
      <c r="SQX47" s="595"/>
      <c r="SQY47" s="595"/>
      <c r="SQZ47" s="595"/>
      <c r="SRA47" s="595"/>
      <c r="SRB47" s="595"/>
      <c r="SRC47" s="595"/>
      <c r="SRD47" s="595"/>
      <c r="SRE47" s="595"/>
      <c r="SRF47" s="595"/>
      <c r="SRG47" s="595"/>
      <c r="SRH47" s="595"/>
      <c r="SRI47" s="595"/>
      <c r="SRJ47" s="595"/>
      <c r="SRK47" s="595"/>
      <c r="SRL47" s="595"/>
      <c r="SRM47" s="595"/>
      <c r="SRN47" s="595"/>
      <c r="SRO47" s="595"/>
      <c r="SRP47" s="595"/>
      <c r="SRQ47" s="595"/>
      <c r="SRR47" s="595"/>
      <c r="SRS47" s="595"/>
      <c r="SRT47" s="595"/>
      <c r="SRU47" s="595"/>
      <c r="SRV47" s="595"/>
      <c r="SRW47" s="595"/>
      <c r="SRX47" s="595"/>
      <c r="SRY47" s="595"/>
      <c r="SRZ47" s="595"/>
      <c r="SSA47" s="595"/>
      <c r="SSB47" s="595"/>
      <c r="SSC47" s="595"/>
      <c r="SSD47" s="595"/>
      <c r="SSE47" s="595"/>
      <c r="SSF47" s="595"/>
      <c r="SSG47" s="595"/>
      <c r="SSH47" s="595"/>
      <c r="SSI47" s="595"/>
      <c r="SSJ47" s="595"/>
      <c r="SSK47" s="595"/>
      <c r="SSL47" s="595"/>
      <c r="SSM47" s="595"/>
      <c r="SSN47" s="595"/>
      <c r="SSO47" s="595"/>
      <c r="SSP47" s="595"/>
      <c r="SSQ47" s="595"/>
      <c r="SSR47" s="595"/>
      <c r="SSS47" s="595"/>
      <c r="SST47" s="595"/>
      <c r="SSU47" s="595"/>
      <c r="SSV47" s="595"/>
      <c r="SSW47" s="595"/>
      <c r="SSX47" s="595"/>
      <c r="SSY47" s="595"/>
      <c r="SSZ47" s="595"/>
      <c r="STA47" s="595"/>
      <c r="STB47" s="595"/>
      <c r="STC47" s="595"/>
      <c r="STD47" s="595"/>
      <c r="STE47" s="595"/>
      <c r="STF47" s="595"/>
      <c r="STG47" s="595"/>
      <c r="STH47" s="595"/>
      <c r="STI47" s="595"/>
      <c r="STJ47" s="595"/>
      <c r="STK47" s="595"/>
      <c r="STL47" s="595"/>
      <c r="STM47" s="595"/>
      <c r="STN47" s="595"/>
      <c r="STO47" s="595"/>
      <c r="STP47" s="595"/>
      <c r="STQ47" s="595"/>
      <c r="STR47" s="595"/>
      <c r="STS47" s="595"/>
      <c r="STT47" s="595"/>
      <c r="STU47" s="595"/>
      <c r="STV47" s="595"/>
      <c r="STW47" s="595"/>
      <c r="STX47" s="595"/>
      <c r="STY47" s="595"/>
      <c r="STZ47" s="595"/>
      <c r="SUA47" s="595"/>
      <c r="SUB47" s="595"/>
      <c r="SUC47" s="595"/>
      <c r="SUD47" s="595"/>
      <c r="SUE47" s="595"/>
      <c r="SUF47" s="595"/>
      <c r="SUG47" s="595"/>
      <c r="SUH47" s="595"/>
      <c r="SUI47" s="595"/>
      <c r="SUJ47" s="595"/>
      <c r="SUK47" s="595"/>
      <c r="SUL47" s="595"/>
      <c r="SUM47" s="595"/>
      <c r="SUN47" s="595"/>
      <c r="SUO47" s="595"/>
      <c r="SUP47" s="595"/>
      <c r="SUQ47" s="595"/>
      <c r="SUR47" s="595"/>
      <c r="SUS47" s="595"/>
      <c r="SUT47" s="595"/>
      <c r="SUU47" s="595"/>
      <c r="SUV47" s="595"/>
      <c r="SUW47" s="595"/>
      <c r="SUX47" s="595"/>
      <c r="SUY47" s="595"/>
      <c r="SUZ47" s="595"/>
      <c r="SVA47" s="595"/>
      <c r="SVB47" s="595"/>
      <c r="SVC47" s="595"/>
      <c r="SVD47" s="595"/>
      <c r="SVE47" s="595"/>
      <c r="SVF47" s="595"/>
      <c r="SVG47" s="595"/>
      <c r="SVH47" s="595"/>
      <c r="SVI47" s="595"/>
      <c r="SVJ47" s="595"/>
      <c r="SVK47" s="595"/>
      <c r="SVL47" s="595"/>
      <c r="SVM47" s="595"/>
      <c r="SVN47" s="595"/>
      <c r="SVO47" s="595"/>
      <c r="SVP47" s="595"/>
      <c r="SVQ47" s="595"/>
      <c r="SVR47" s="595"/>
      <c r="SVS47" s="595"/>
      <c r="SVT47" s="595"/>
      <c r="SVU47" s="595"/>
      <c r="SVV47" s="595"/>
      <c r="SVW47" s="595"/>
      <c r="SVX47" s="595"/>
      <c r="SVY47" s="595"/>
      <c r="SVZ47" s="595"/>
      <c r="SWA47" s="595"/>
      <c r="SWB47" s="595"/>
      <c r="SWC47" s="595"/>
      <c r="SWD47" s="595"/>
      <c r="SWE47" s="595"/>
      <c r="SWF47" s="595"/>
      <c r="SWG47" s="595"/>
      <c r="SWH47" s="595"/>
      <c r="SWI47" s="595"/>
      <c r="SWJ47" s="595"/>
      <c r="SWK47" s="595"/>
      <c r="SWL47" s="595"/>
      <c r="SWM47" s="595"/>
      <c r="SWN47" s="595"/>
      <c r="SWO47" s="595"/>
      <c r="SWP47" s="595"/>
      <c r="SWQ47" s="595"/>
      <c r="SWR47" s="595"/>
      <c r="SWS47" s="595"/>
      <c r="SWT47" s="595"/>
      <c r="SWU47" s="595"/>
      <c r="SWV47" s="595"/>
      <c r="SWW47" s="595"/>
      <c r="SWX47" s="595"/>
      <c r="SWY47" s="595"/>
      <c r="SWZ47" s="595"/>
      <c r="SXA47" s="595"/>
      <c r="SXB47" s="595"/>
      <c r="SXC47" s="595"/>
      <c r="SXD47" s="595"/>
      <c r="SXE47" s="595"/>
      <c r="SXF47" s="595"/>
      <c r="SXG47" s="595"/>
      <c r="SXH47" s="595"/>
      <c r="SXI47" s="595"/>
      <c r="SXJ47" s="595"/>
      <c r="SXK47" s="595"/>
      <c r="SXL47" s="595"/>
      <c r="SXM47" s="595"/>
      <c r="SXN47" s="595"/>
      <c r="SXO47" s="595"/>
      <c r="SXP47" s="595"/>
      <c r="SXQ47" s="595"/>
      <c r="SXR47" s="595"/>
      <c r="SXS47" s="595"/>
      <c r="SXT47" s="595"/>
      <c r="SXU47" s="595"/>
      <c r="SXV47" s="595"/>
      <c r="SXW47" s="595"/>
      <c r="SXX47" s="595"/>
      <c r="SXY47" s="595"/>
      <c r="SXZ47" s="595"/>
      <c r="SYA47" s="595"/>
      <c r="SYB47" s="595"/>
      <c r="SYC47" s="595"/>
      <c r="SYD47" s="595"/>
      <c r="SYE47" s="595"/>
      <c r="SYF47" s="595"/>
      <c r="SYG47" s="595"/>
      <c r="SYH47" s="595"/>
      <c r="SYI47" s="595"/>
      <c r="SYJ47" s="595"/>
      <c r="SYK47" s="595"/>
      <c r="SYL47" s="595"/>
      <c r="SYM47" s="595"/>
      <c r="SYN47" s="595"/>
      <c r="SYO47" s="595"/>
      <c r="SYP47" s="595"/>
      <c r="SYQ47" s="595"/>
      <c r="SYR47" s="595"/>
      <c r="SYS47" s="595"/>
      <c r="SYT47" s="595"/>
      <c r="SYU47" s="595"/>
      <c r="SYV47" s="595"/>
      <c r="SYW47" s="595"/>
      <c r="SYX47" s="595"/>
      <c r="SYY47" s="595"/>
      <c r="SYZ47" s="595"/>
      <c r="SZA47" s="595"/>
      <c r="SZB47" s="595"/>
      <c r="SZC47" s="595"/>
      <c r="SZD47" s="595"/>
      <c r="SZE47" s="595"/>
      <c r="SZF47" s="595"/>
      <c r="SZG47" s="595"/>
      <c r="SZH47" s="595"/>
      <c r="SZI47" s="595"/>
      <c r="SZJ47" s="595"/>
      <c r="SZK47" s="595"/>
      <c r="SZL47" s="595"/>
      <c r="SZM47" s="595"/>
      <c r="SZN47" s="595"/>
      <c r="SZO47" s="595"/>
      <c r="SZP47" s="595"/>
      <c r="SZQ47" s="595"/>
      <c r="SZR47" s="595"/>
      <c r="SZS47" s="595"/>
      <c r="SZT47" s="595"/>
      <c r="SZU47" s="595"/>
      <c r="SZV47" s="595"/>
      <c r="SZW47" s="595"/>
      <c r="SZX47" s="595"/>
      <c r="SZY47" s="595"/>
      <c r="SZZ47" s="595"/>
      <c r="TAA47" s="595"/>
      <c r="TAB47" s="595"/>
      <c r="TAC47" s="595"/>
      <c r="TAD47" s="595"/>
      <c r="TAE47" s="595"/>
      <c r="TAF47" s="595"/>
      <c r="TAG47" s="595"/>
      <c r="TAH47" s="595"/>
      <c r="TAI47" s="595"/>
      <c r="TAJ47" s="595"/>
      <c r="TAK47" s="595"/>
      <c r="TAL47" s="595"/>
      <c r="TAM47" s="595"/>
      <c r="TAN47" s="595"/>
      <c r="TAO47" s="595"/>
      <c r="TAP47" s="595"/>
      <c r="TAQ47" s="595"/>
      <c r="TAR47" s="595"/>
      <c r="TAS47" s="595"/>
      <c r="TAT47" s="595"/>
      <c r="TAU47" s="595"/>
      <c r="TAV47" s="595"/>
      <c r="TAW47" s="595"/>
      <c r="TAX47" s="595"/>
      <c r="TAY47" s="595"/>
      <c r="TAZ47" s="595"/>
      <c r="TBA47" s="595"/>
      <c r="TBB47" s="595"/>
      <c r="TBC47" s="595"/>
      <c r="TBD47" s="595"/>
      <c r="TBE47" s="595"/>
      <c r="TBF47" s="595"/>
      <c r="TBG47" s="595"/>
      <c r="TBH47" s="595"/>
      <c r="TBI47" s="595"/>
      <c r="TBJ47" s="595"/>
      <c r="TBK47" s="595"/>
      <c r="TBL47" s="595"/>
      <c r="TBM47" s="595"/>
      <c r="TBN47" s="595"/>
      <c r="TBO47" s="595"/>
      <c r="TBP47" s="595"/>
      <c r="TBQ47" s="595"/>
      <c r="TBR47" s="595"/>
      <c r="TBS47" s="595"/>
      <c r="TBT47" s="595"/>
      <c r="TBU47" s="595"/>
      <c r="TBV47" s="595"/>
      <c r="TBW47" s="595"/>
      <c r="TBX47" s="595"/>
      <c r="TBY47" s="595"/>
      <c r="TBZ47" s="595"/>
      <c r="TCA47" s="595"/>
      <c r="TCB47" s="595"/>
      <c r="TCC47" s="595"/>
      <c r="TCD47" s="595"/>
      <c r="TCE47" s="595"/>
      <c r="TCF47" s="595"/>
      <c r="TCG47" s="595"/>
      <c r="TCH47" s="595"/>
      <c r="TCI47" s="595"/>
      <c r="TCJ47" s="595"/>
      <c r="TCK47" s="595"/>
      <c r="TCL47" s="595"/>
      <c r="TCM47" s="595"/>
      <c r="TCN47" s="595"/>
      <c r="TCO47" s="595"/>
      <c r="TCP47" s="595"/>
      <c r="TCQ47" s="595"/>
      <c r="TCR47" s="595"/>
      <c r="TCS47" s="595"/>
      <c r="TCT47" s="595"/>
      <c r="TCU47" s="595"/>
      <c r="TCV47" s="595"/>
      <c r="TCW47" s="595"/>
      <c r="TCX47" s="595"/>
      <c r="TCY47" s="595"/>
      <c r="TCZ47" s="595"/>
      <c r="TDA47" s="595"/>
      <c r="TDB47" s="595"/>
      <c r="TDC47" s="595"/>
      <c r="TDD47" s="595"/>
      <c r="TDE47" s="595"/>
      <c r="TDF47" s="595"/>
      <c r="TDG47" s="595"/>
      <c r="TDH47" s="595"/>
      <c r="TDI47" s="595"/>
      <c r="TDJ47" s="595"/>
      <c r="TDK47" s="595"/>
      <c r="TDL47" s="595"/>
      <c r="TDM47" s="595"/>
      <c r="TDN47" s="595"/>
      <c r="TDO47" s="595"/>
      <c r="TDP47" s="595"/>
      <c r="TDQ47" s="595"/>
      <c r="TDR47" s="595"/>
      <c r="TDS47" s="595"/>
      <c r="TDT47" s="595"/>
      <c r="TDU47" s="595"/>
      <c r="TDV47" s="595"/>
      <c r="TDW47" s="595"/>
      <c r="TDX47" s="595"/>
      <c r="TDY47" s="595"/>
      <c r="TDZ47" s="595"/>
      <c r="TEA47" s="595"/>
      <c r="TEB47" s="595"/>
      <c r="TEC47" s="595"/>
      <c r="TED47" s="595"/>
      <c r="TEE47" s="595"/>
      <c r="TEF47" s="595"/>
      <c r="TEG47" s="595"/>
      <c r="TEH47" s="595"/>
      <c r="TEI47" s="595"/>
      <c r="TEJ47" s="595"/>
      <c r="TEK47" s="595"/>
      <c r="TEL47" s="595"/>
      <c r="TEM47" s="595"/>
      <c r="TEN47" s="595"/>
      <c r="TEO47" s="595"/>
      <c r="TEP47" s="595"/>
      <c r="TEQ47" s="595"/>
      <c r="TER47" s="595"/>
      <c r="TES47" s="595"/>
      <c r="TET47" s="595"/>
      <c r="TEU47" s="595"/>
      <c r="TEV47" s="595"/>
      <c r="TEW47" s="595"/>
      <c r="TEX47" s="595"/>
      <c r="TEY47" s="595"/>
      <c r="TEZ47" s="595"/>
      <c r="TFA47" s="595"/>
      <c r="TFB47" s="595"/>
      <c r="TFC47" s="595"/>
      <c r="TFD47" s="595"/>
      <c r="TFE47" s="595"/>
      <c r="TFF47" s="595"/>
      <c r="TFG47" s="595"/>
      <c r="TFH47" s="595"/>
      <c r="TFI47" s="595"/>
      <c r="TFJ47" s="595"/>
      <c r="TFK47" s="595"/>
      <c r="TFL47" s="595"/>
      <c r="TFM47" s="595"/>
      <c r="TFN47" s="595"/>
      <c r="TFO47" s="595"/>
      <c r="TFP47" s="595"/>
      <c r="TFQ47" s="595"/>
      <c r="TFR47" s="595"/>
      <c r="TFS47" s="595"/>
      <c r="TFT47" s="595"/>
      <c r="TFU47" s="595"/>
      <c r="TFV47" s="595"/>
      <c r="TFW47" s="595"/>
      <c r="TFX47" s="595"/>
      <c r="TFY47" s="595"/>
      <c r="TFZ47" s="595"/>
      <c r="TGA47" s="595"/>
      <c r="TGB47" s="595"/>
      <c r="TGC47" s="595"/>
      <c r="TGD47" s="595"/>
      <c r="TGE47" s="595"/>
      <c r="TGF47" s="595"/>
      <c r="TGG47" s="595"/>
      <c r="TGH47" s="595"/>
      <c r="TGI47" s="595"/>
      <c r="TGJ47" s="595"/>
      <c r="TGK47" s="595"/>
      <c r="TGL47" s="595"/>
      <c r="TGM47" s="595"/>
      <c r="TGN47" s="595"/>
      <c r="TGO47" s="595"/>
      <c r="TGP47" s="595"/>
      <c r="TGQ47" s="595"/>
      <c r="TGR47" s="595"/>
      <c r="TGS47" s="595"/>
      <c r="TGT47" s="595"/>
      <c r="TGU47" s="595"/>
      <c r="TGV47" s="595"/>
      <c r="TGW47" s="595"/>
      <c r="TGX47" s="595"/>
      <c r="TGY47" s="595"/>
      <c r="TGZ47" s="595"/>
      <c r="THA47" s="595"/>
      <c r="THB47" s="595"/>
      <c r="THC47" s="595"/>
      <c r="THD47" s="595"/>
      <c r="THE47" s="595"/>
      <c r="THF47" s="595"/>
      <c r="THG47" s="595"/>
      <c r="THH47" s="595"/>
      <c r="THI47" s="595"/>
      <c r="THJ47" s="595"/>
      <c r="THK47" s="595"/>
      <c r="THL47" s="595"/>
      <c r="THM47" s="595"/>
      <c r="THN47" s="595"/>
      <c r="THO47" s="595"/>
      <c r="THP47" s="595"/>
      <c r="THQ47" s="595"/>
      <c r="THR47" s="595"/>
      <c r="THS47" s="595"/>
      <c r="THT47" s="595"/>
      <c r="THU47" s="595"/>
      <c r="THV47" s="595"/>
      <c r="THW47" s="595"/>
      <c r="THX47" s="595"/>
      <c r="THY47" s="595"/>
      <c r="THZ47" s="595"/>
      <c r="TIA47" s="595"/>
      <c r="TIB47" s="595"/>
      <c r="TIC47" s="595"/>
      <c r="TID47" s="595"/>
      <c r="TIE47" s="595"/>
      <c r="TIF47" s="595"/>
      <c r="TIG47" s="595"/>
      <c r="TIH47" s="595"/>
      <c r="TII47" s="595"/>
      <c r="TIJ47" s="595"/>
      <c r="TIK47" s="595"/>
      <c r="TIL47" s="595"/>
      <c r="TIM47" s="595"/>
      <c r="TIN47" s="595"/>
      <c r="TIO47" s="595"/>
      <c r="TIP47" s="595"/>
      <c r="TIQ47" s="595"/>
      <c r="TIR47" s="595"/>
      <c r="TIS47" s="595"/>
      <c r="TIT47" s="595"/>
      <c r="TIU47" s="595"/>
      <c r="TIV47" s="595"/>
      <c r="TIW47" s="595"/>
      <c r="TIX47" s="595"/>
      <c r="TIY47" s="595"/>
      <c r="TIZ47" s="595"/>
      <c r="TJA47" s="595"/>
      <c r="TJB47" s="595"/>
      <c r="TJC47" s="595"/>
      <c r="TJD47" s="595"/>
      <c r="TJE47" s="595"/>
      <c r="TJF47" s="595"/>
      <c r="TJG47" s="595"/>
      <c r="TJH47" s="595"/>
      <c r="TJI47" s="595"/>
      <c r="TJJ47" s="595"/>
      <c r="TJK47" s="595"/>
      <c r="TJL47" s="595"/>
      <c r="TJM47" s="595"/>
      <c r="TJN47" s="595"/>
      <c r="TJO47" s="595"/>
      <c r="TJP47" s="595"/>
      <c r="TJQ47" s="595"/>
      <c r="TJR47" s="595"/>
      <c r="TJS47" s="595"/>
      <c r="TJT47" s="595"/>
      <c r="TJU47" s="595"/>
      <c r="TJV47" s="595"/>
      <c r="TJW47" s="595"/>
      <c r="TJX47" s="595"/>
      <c r="TJY47" s="595"/>
      <c r="TJZ47" s="595"/>
      <c r="TKA47" s="595"/>
      <c r="TKB47" s="595"/>
      <c r="TKC47" s="595"/>
      <c r="TKD47" s="595"/>
      <c r="TKE47" s="595"/>
      <c r="TKF47" s="595"/>
      <c r="TKG47" s="595"/>
      <c r="TKH47" s="595"/>
      <c r="TKI47" s="595"/>
      <c r="TKJ47" s="595"/>
      <c r="TKK47" s="595"/>
      <c r="TKL47" s="595"/>
      <c r="TKM47" s="595"/>
      <c r="TKN47" s="595"/>
      <c r="TKO47" s="595"/>
      <c r="TKP47" s="595"/>
      <c r="TKQ47" s="595"/>
      <c r="TKR47" s="595"/>
      <c r="TKS47" s="595"/>
      <c r="TKT47" s="595"/>
      <c r="TKU47" s="595"/>
      <c r="TKV47" s="595"/>
      <c r="TKW47" s="595"/>
      <c r="TKX47" s="595"/>
      <c r="TKY47" s="595"/>
      <c r="TKZ47" s="595"/>
      <c r="TLA47" s="595"/>
      <c r="TLB47" s="595"/>
      <c r="TLC47" s="595"/>
      <c r="TLD47" s="595"/>
      <c r="TLE47" s="595"/>
      <c r="TLF47" s="595"/>
      <c r="TLG47" s="595"/>
      <c r="TLH47" s="595"/>
      <c r="TLI47" s="595"/>
      <c r="TLJ47" s="595"/>
      <c r="TLK47" s="595"/>
      <c r="TLL47" s="595"/>
      <c r="TLM47" s="595"/>
      <c r="TLN47" s="595"/>
      <c r="TLO47" s="595"/>
      <c r="TLP47" s="595"/>
      <c r="TLQ47" s="595"/>
      <c r="TLR47" s="595"/>
      <c r="TLS47" s="595"/>
      <c r="TLT47" s="595"/>
      <c r="TLU47" s="595"/>
      <c r="TLV47" s="595"/>
      <c r="TLW47" s="595"/>
      <c r="TLX47" s="595"/>
      <c r="TLY47" s="595"/>
      <c r="TLZ47" s="595"/>
      <c r="TMA47" s="595"/>
      <c r="TMB47" s="595"/>
      <c r="TMC47" s="595"/>
      <c r="TMD47" s="595"/>
      <c r="TME47" s="595"/>
      <c r="TMF47" s="595"/>
      <c r="TMG47" s="595"/>
      <c r="TMH47" s="595"/>
      <c r="TMI47" s="595"/>
      <c r="TMJ47" s="595"/>
      <c r="TMK47" s="595"/>
      <c r="TML47" s="595"/>
      <c r="TMM47" s="595"/>
      <c r="TMN47" s="595"/>
      <c r="TMO47" s="595"/>
      <c r="TMP47" s="595"/>
      <c r="TMQ47" s="595"/>
      <c r="TMR47" s="595"/>
      <c r="TMS47" s="595"/>
      <c r="TMT47" s="595"/>
      <c r="TMU47" s="595"/>
      <c r="TMV47" s="595"/>
      <c r="TMW47" s="595"/>
      <c r="TMX47" s="595"/>
      <c r="TMY47" s="595"/>
      <c r="TMZ47" s="595"/>
      <c r="TNA47" s="595"/>
      <c r="TNB47" s="595"/>
      <c r="TNC47" s="595"/>
      <c r="TND47" s="595"/>
      <c r="TNE47" s="595"/>
      <c r="TNF47" s="595"/>
      <c r="TNG47" s="595"/>
      <c r="TNH47" s="595"/>
      <c r="TNI47" s="595"/>
      <c r="TNJ47" s="595"/>
      <c r="TNK47" s="595"/>
      <c r="TNL47" s="595"/>
      <c r="TNM47" s="595"/>
      <c r="TNN47" s="595"/>
      <c r="TNO47" s="595"/>
      <c r="TNP47" s="595"/>
      <c r="TNQ47" s="595"/>
      <c r="TNR47" s="595"/>
      <c r="TNS47" s="595"/>
      <c r="TNT47" s="595"/>
      <c r="TNU47" s="595"/>
      <c r="TNV47" s="595"/>
      <c r="TNW47" s="595"/>
      <c r="TNX47" s="595"/>
      <c r="TNY47" s="595"/>
      <c r="TNZ47" s="595"/>
      <c r="TOA47" s="595"/>
      <c r="TOB47" s="595"/>
      <c r="TOC47" s="595"/>
      <c r="TOD47" s="595"/>
      <c r="TOE47" s="595"/>
      <c r="TOF47" s="595"/>
      <c r="TOG47" s="595"/>
      <c r="TOH47" s="595"/>
      <c r="TOI47" s="595"/>
      <c r="TOJ47" s="595"/>
      <c r="TOK47" s="595"/>
      <c r="TOL47" s="595"/>
      <c r="TOM47" s="595"/>
      <c r="TON47" s="595"/>
      <c r="TOO47" s="595"/>
      <c r="TOP47" s="595"/>
      <c r="TOQ47" s="595"/>
      <c r="TOR47" s="595"/>
      <c r="TOS47" s="595"/>
      <c r="TOT47" s="595"/>
      <c r="TOU47" s="595"/>
      <c r="TOV47" s="595"/>
      <c r="TOW47" s="595"/>
      <c r="TOX47" s="595"/>
      <c r="TOY47" s="595"/>
      <c r="TOZ47" s="595"/>
      <c r="TPA47" s="595"/>
      <c r="TPB47" s="595"/>
      <c r="TPC47" s="595"/>
      <c r="TPD47" s="595"/>
      <c r="TPE47" s="595"/>
      <c r="TPF47" s="595"/>
      <c r="TPG47" s="595"/>
      <c r="TPH47" s="595"/>
      <c r="TPI47" s="595"/>
      <c r="TPJ47" s="595"/>
      <c r="TPK47" s="595"/>
      <c r="TPL47" s="595"/>
      <c r="TPM47" s="595"/>
      <c r="TPN47" s="595"/>
      <c r="TPO47" s="595"/>
      <c r="TPP47" s="595"/>
      <c r="TPQ47" s="595"/>
      <c r="TPR47" s="595"/>
      <c r="TPS47" s="595"/>
      <c r="TPT47" s="595"/>
      <c r="TPU47" s="595"/>
      <c r="TPV47" s="595"/>
      <c r="TPW47" s="595"/>
      <c r="TPX47" s="595"/>
      <c r="TPY47" s="595"/>
      <c r="TPZ47" s="595"/>
      <c r="TQA47" s="595"/>
      <c r="TQB47" s="595"/>
      <c r="TQC47" s="595"/>
      <c r="TQD47" s="595"/>
      <c r="TQE47" s="595"/>
      <c r="TQF47" s="595"/>
      <c r="TQG47" s="595"/>
      <c r="TQH47" s="595"/>
      <c r="TQI47" s="595"/>
      <c r="TQJ47" s="595"/>
      <c r="TQK47" s="595"/>
      <c r="TQL47" s="595"/>
      <c r="TQM47" s="595"/>
      <c r="TQN47" s="595"/>
      <c r="TQO47" s="595"/>
      <c r="TQP47" s="595"/>
      <c r="TQQ47" s="595"/>
      <c r="TQR47" s="595"/>
      <c r="TQS47" s="595"/>
      <c r="TQT47" s="595"/>
      <c r="TQU47" s="595"/>
      <c r="TQV47" s="595"/>
      <c r="TQW47" s="595"/>
      <c r="TQX47" s="595"/>
      <c r="TQY47" s="595"/>
      <c r="TQZ47" s="595"/>
      <c r="TRA47" s="595"/>
      <c r="TRB47" s="595"/>
      <c r="TRC47" s="595"/>
      <c r="TRD47" s="595"/>
      <c r="TRE47" s="595"/>
      <c r="TRF47" s="595"/>
      <c r="TRG47" s="595"/>
      <c r="TRH47" s="595"/>
      <c r="TRI47" s="595"/>
      <c r="TRJ47" s="595"/>
      <c r="TRK47" s="595"/>
      <c r="TRL47" s="595"/>
      <c r="TRM47" s="595"/>
      <c r="TRN47" s="595"/>
      <c r="TRO47" s="595"/>
      <c r="TRP47" s="595"/>
      <c r="TRQ47" s="595"/>
      <c r="TRR47" s="595"/>
      <c r="TRS47" s="595"/>
      <c r="TRT47" s="595"/>
      <c r="TRU47" s="595"/>
      <c r="TRV47" s="595"/>
      <c r="TRW47" s="595"/>
      <c r="TRX47" s="595"/>
      <c r="TRY47" s="595"/>
      <c r="TRZ47" s="595"/>
      <c r="TSA47" s="595"/>
      <c r="TSB47" s="595"/>
      <c r="TSC47" s="595"/>
      <c r="TSD47" s="595"/>
      <c r="TSE47" s="595"/>
      <c r="TSF47" s="595"/>
      <c r="TSG47" s="595"/>
      <c r="TSH47" s="595"/>
      <c r="TSI47" s="595"/>
      <c r="TSJ47" s="595"/>
      <c r="TSK47" s="595"/>
      <c r="TSL47" s="595"/>
      <c r="TSM47" s="595"/>
      <c r="TSN47" s="595"/>
      <c r="TSO47" s="595"/>
      <c r="TSP47" s="595"/>
      <c r="TSQ47" s="595"/>
      <c r="TSR47" s="595"/>
      <c r="TSS47" s="595"/>
      <c r="TST47" s="595"/>
      <c r="TSU47" s="595"/>
      <c r="TSV47" s="595"/>
      <c r="TSW47" s="595"/>
      <c r="TSX47" s="595"/>
      <c r="TSY47" s="595"/>
      <c r="TSZ47" s="595"/>
      <c r="TTA47" s="595"/>
      <c r="TTB47" s="595"/>
      <c r="TTC47" s="595"/>
      <c r="TTD47" s="595"/>
      <c r="TTE47" s="595"/>
      <c r="TTF47" s="595"/>
      <c r="TTG47" s="595"/>
      <c r="TTH47" s="595"/>
      <c r="TTI47" s="595"/>
      <c r="TTJ47" s="595"/>
      <c r="TTK47" s="595"/>
      <c r="TTL47" s="595"/>
      <c r="TTM47" s="595"/>
      <c r="TTN47" s="595"/>
      <c r="TTO47" s="595"/>
      <c r="TTP47" s="595"/>
      <c r="TTQ47" s="595"/>
      <c r="TTR47" s="595"/>
      <c r="TTS47" s="595"/>
      <c r="TTT47" s="595"/>
      <c r="TTU47" s="595"/>
      <c r="TTV47" s="595"/>
      <c r="TTW47" s="595"/>
      <c r="TTX47" s="595"/>
      <c r="TTY47" s="595"/>
      <c r="TTZ47" s="595"/>
      <c r="TUA47" s="595"/>
      <c r="TUB47" s="595"/>
      <c r="TUC47" s="595"/>
      <c r="TUD47" s="595"/>
      <c r="TUE47" s="595"/>
      <c r="TUF47" s="595"/>
      <c r="TUG47" s="595"/>
      <c r="TUH47" s="595"/>
      <c r="TUI47" s="595"/>
      <c r="TUJ47" s="595"/>
      <c r="TUK47" s="595"/>
      <c r="TUL47" s="595"/>
      <c r="TUM47" s="595"/>
      <c r="TUN47" s="595"/>
      <c r="TUO47" s="595"/>
      <c r="TUP47" s="595"/>
      <c r="TUQ47" s="595"/>
      <c r="TUR47" s="595"/>
      <c r="TUS47" s="595"/>
      <c r="TUT47" s="595"/>
      <c r="TUU47" s="595"/>
      <c r="TUV47" s="595"/>
      <c r="TUW47" s="595"/>
      <c r="TUX47" s="595"/>
      <c r="TUY47" s="595"/>
      <c r="TUZ47" s="595"/>
      <c r="TVA47" s="595"/>
      <c r="TVB47" s="595"/>
      <c r="TVC47" s="595"/>
      <c r="TVD47" s="595"/>
      <c r="TVE47" s="595"/>
      <c r="TVF47" s="595"/>
      <c r="TVG47" s="595"/>
      <c r="TVH47" s="595"/>
      <c r="TVI47" s="595"/>
      <c r="TVJ47" s="595"/>
      <c r="TVK47" s="595"/>
      <c r="TVL47" s="595"/>
      <c r="TVM47" s="595"/>
      <c r="TVN47" s="595"/>
      <c r="TVO47" s="595"/>
      <c r="TVP47" s="595"/>
      <c r="TVQ47" s="595"/>
      <c r="TVR47" s="595"/>
      <c r="TVS47" s="595"/>
      <c r="TVT47" s="595"/>
      <c r="TVU47" s="595"/>
      <c r="TVV47" s="595"/>
      <c r="TVW47" s="595"/>
      <c r="TVX47" s="595"/>
      <c r="TVY47" s="595"/>
      <c r="TVZ47" s="595"/>
      <c r="TWA47" s="595"/>
      <c r="TWB47" s="595"/>
      <c r="TWC47" s="595"/>
      <c r="TWD47" s="595"/>
      <c r="TWE47" s="595"/>
      <c r="TWF47" s="595"/>
      <c r="TWG47" s="595"/>
      <c r="TWH47" s="595"/>
      <c r="TWI47" s="595"/>
      <c r="TWJ47" s="595"/>
      <c r="TWK47" s="595"/>
      <c r="TWL47" s="595"/>
      <c r="TWM47" s="595"/>
      <c r="TWN47" s="595"/>
      <c r="TWO47" s="595"/>
      <c r="TWP47" s="595"/>
      <c r="TWQ47" s="595"/>
      <c r="TWR47" s="595"/>
      <c r="TWS47" s="595"/>
      <c r="TWT47" s="595"/>
      <c r="TWU47" s="595"/>
      <c r="TWV47" s="595"/>
      <c r="TWW47" s="595"/>
      <c r="TWX47" s="595"/>
      <c r="TWY47" s="595"/>
      <c r="TWZ47" s="595"/>
      <c r="TXA47" s="595"/>
      <c r="TXB47" s="595"/>
      <c r="TXC47" s="595"/>
      <c r="TXD47" s="595"/>
      <c r="TXE47" s="595"/>
      <c r="TXF47" s="595"/>
      <c r="TXG47" s="595"/>
      <c r="TXH47" s="595"/>
      <c r="TXI47" s="595"/>
      <c r="TXJ47" s="595"/>
      <c r="TXK47" s="595"/>
      <c r="TXL47" s="595"/>
      <c r="TXM47" s="595"/>
      <c r="TXN47" s="595"/>
      <c r="TXO47" s="595"/>
      <c r="TXP47" s="595"/>
      <c r="TXQ47" s="595"/>
      <c r="TXR47" s="595"/>
      <c r="TXS47" s="595"/>
      <c r="TXT47" s="595"/>
      <c r="TXU47" s="595"/>
      <c r="TXV47" s="595"/>
      <c r="TXW47" s="595"/>
      <c r="TXX47" s="595"/>
      <c r="TXY47" s="595"/>
      <c r="TXZ47" s="595"/>
      <c r="TYA47" s="595"/>
      <c r="TYB47" s="595"/>
      <c r="TYC47" s="595"/>
      <c r="TYD47" s="595"/>
      <c r="TYE47" s="595"/>
      <c r="TYF47" s="595"/>
      <c r="TYG47" s="595"/>
      <c r="TYH47" s="595"/>
      <c r="TYI47" s="595"/>
      <c r="TYJ47" s="595"/>
      <c r="TYK47" s="595"/>
      <c r="TYL47" s="595"/>
      <c r="TYM47" s="595"/>
      <c r="TYN47" s="595"/>
      <c r="TYO47" s="595"/>
      <c r="TYP47" s="595"/>
      <c r="TYQ47" s="595"/>
      <c r="TYR47" s="595"/>
      <c r="TYS47" s="595"/>
      <c r="TYT47" s="595"/>
      <c r="TYU47" s="595"/>
      <c r="TYV47" s="595"/>
      <c r="TYW47" s="595"/>
      <c r="TYX47" s="595"/>
      <c r="TYY47" s="595"/>
      <c r="TYZ47" s="595"/>
      <c r="TZA47" s="595"/>
      <c r="TZB47" s="595"/>
      <c r="TZC47" s="595"/>
      <c r="TZD47" s="595"/>
      <c r="TZE47" s="595"/>
      <c r="TZF47" s="595"/>
      <c r="TZG47" s="595"/>
      <c r="TZH47" s="595"/>
      <c r="TZI47" s="595"/>
      <c r="TZJ47" s="595"/>
      <c r="TZK47" s="595"/>
      <c r="TZL47" s="595"/>
      <c r="TZM47" s="595"/>
      <c r="TZN47" s="595"/>
      <c r="TZO47" s="595"/>
      <c r="TZP47" s="595"/>
      <c r="TZQ47" s="595"/>
      <c r="TZR47" s="595"/>
      <c r="TZS47" s="595"/>
      <c r="TZT47" s="595"/>
      <c r="TZU47" s="595"/>
      <c r="TZV47" s="595"/>
      <c r="TZW47" s="595"/>
      <c r="TZX47" s="595"/>
      <c r="TZY47" s="595"/>
      <c r="TZZ47" s="595"/>
      <c r="UAA47" s="595"/>
      <c r="UAB47" s="595"/>
      <c r="UAC47" s="595"/>
      <c r="UAD47" s="595"/>
      <c r="UAE47" s="595"/>
      <c r="UAF47" s="595"/>
      <c r="UAG47" s="595"/>
      <c r="UAH47" s="595"/>
      <c r="UAI47" s="595"/>
      <c r="UAJ47" s="595"/>
      <c r="UAK47" s="595"/>
      <c r="UAL47" s="595"/>
      <c r="UAM47" s="595"/>
      <c r="UAN47" s="595"/>
      <c r="UAO47" s="595"/>
      <c r="UAP47" s="595"/>
      <c r="UAQ47" s="595"/>
      <c r="UAR47" s="595"/>
      <c r="UAS47" s="595"/>
      <c r="UAT47" s="595"/>
      <c r="UAU47" s="595"/>
      <c r="UAV47" s="595"/>
      <c r="UAW47" s="595"/>
      <c r="UAX47" s="595"/>
      <c r="UAY47" s="595"/>
      <c r="UAZ47" s="595"/>
      <c r="UBA47" s="595"/>
      <c r="UBB47" s="595"/>
      <c r="UBC47" s="595"/>
      <c r="UBD47" s="595"/>
      <c r="UBE47" s="595"/>
      <c r="UBF47" s="595"/>
      <c r="UBG47" s="595"/>
      <c r="UBH47" s="595"/>
      <c r="UBI47" s="595"/>
      <c r="UBJ47" s="595"/>
      <c r="UBK47" s="595"/>
      <c r="UBL47" s="595"/>
      <c r="UBM47" s="595"/>
      <c r="UBN47" s="595"/>
      <c r="UBO47" s="595"/>
      <c r="UBP47" s="595"/>
      <c r="UBQ47" s="595"/>
      <c r="UBR47" s="595"/>
      <c r="UBS47" s="595"/>
      <c r="UBT47" s="595"/>
      <c r="UBU47" s="595"/>
      <c r="UBV47" s="595"/>
      <c r="UBW47" s="595"/>
      <c r="UBX47" s="595"/>
      <c r="UBY47" s="595"/>
      <c r="UBZ47" s="595"/>
      <c r="UCA47" s="595"/>
      <c r="UCB47" s="595"/>
      <c r="UCC47" s="595"/>
      <c r="UCD47" s="595"/>
      <c r="UCE47" s="595"/>
      <c r="UCF47" s="595"/>
      <c r="UCG47" s="595"/>
      <c r="UCH47" s="595"/>
      <c r="UCI47" s="595"/>
      <c r="UCJ47" s="595"/>
      <c r="UCK47" s="595"/>
      <c r="UCL47" s="595"/>
      <c r="UCM47" s="595"/>
      <c r="UCN47" s="595"/>
      <c r="UCO47" s="595"/>
      <c r="UCP47" s="595"/>
      <c r="UCQ47" s="595"/>
      <c r="UCR47" s="595"/>
      <c r="UCS47" s="595"/>
      <c r="UCT47" s="595"/>
      <c r="UCU47" s="595"/>
      <c r="UCV47" s="595"/>
      <c r="UCW47" s="595"/>
      <c r="UCX47" s="595"/>
      <c r="UCY47" s="595"/>
      <c r="UCZ47" s="595"/>
      <c r="UDA47" s="595"/>
      <c r="UDB47" s="595"/>
      <c r="UDC47" s="595"/>
      <c r="UDD47" s="595"/>
      <c r="UDE47" s="595"/>
      <c r="UDF47" s="595"/>
      <c r="UDG47" s="595"/>
      <c r="UDH47" s="595"/>
      <c r="UDI47" s="595"/>
      <c r="UDJ47" s="595"/>
      <c r="UDK47" s="595"/>
      <c r="UDL47" s="595"/>
      <c r="UDM47" s="595"/>
      <c r="UDN47" s="595"/>
      <c r="UDO47" s="595"/>
      <c r="UDP47" s="595"/>
      <c r="UDQ47" s="595"/>
      <c r="UDR47" s="595"/>
      <c r="UDS47" s="595"/>
      <c r="UDT47" s="595"/>
      <c r="UDU47" s="595"/>
      <c r="UDV47" s="595"/>
      <c r="UDW47" s="595"/>
      <c r="UDX47" s="595"/>
      <c r="UDY47" s="595"/>
      <c r="UDZ47" s="595"/>
      <c r="UEA47" s="595"/>
      <c r="UEB47" s="595"/>
      <c r="UEC47" s="595"/>
      <c r="UED47" s="595"/>
      <c r="UEE47" s="595"/>
      <c r="UEF47" s="595"/>
      <c r="UEG47" s="595"/>
      <c r="UEH47" s="595"/>
      <c r="UEI47" s="595"/>
      <c r="UEJ47" s="595"/>
      <c r="UEK47" s="595"/>
      <c r="UEL47" s="595"/>
      <c r="UEM47" s="595"/>
      <c r="UEN47" s="595"/>
      <c r="UEO47" s="595"/>
      <c r="UEP47" s="595"/>
      <c r="UEQ47" s="595"/>
      <c r="UER47" s="595"/>
      <c r="UES47" s="595"/>
      <c r="UET47" s="595"/>
      <c r="UEU47" s="595"/>
      <c r="UEV47" s="595"/>
      <c r="UEW47" s="595"/>
      <c r="UEX47" s="595"/>
      <c r="UEY47" s="595"/>
      <c r="UEZ47" s="595"/>
      <c r="UFA47" s="595"/>
      <c r="UFB47" s="595"/>
      <c r="UFC47" s="595"/>
      <c r="UFD47" s="595"/>
      <c r="UFE47" s="595"/>
      <c r="UFF47" s="595"/>
      <c r="UFG47" s="595"/>
      <c r="UFH47" s="595"/>
      <c r="UFI47" s="595"/>
      <c r="UFJ47" s="595"/>
      <c r="UFK47" s="595"/>
      <c r="UFL47" s="595"/>
      <c r="UFM47" s="595"/>
      <c r="UFN47" s="595"/>
      <c r="UFO47" s="595"/>
      <c r="UFP47" s="595"/>
      <c r="UFQ47" s="595"/>
      <c r="UFR47" s="595"/>
      <c r="UFS47" s="595"/>
      <c r="UFT47" s="595"/>
      <c r="UFU47" s="595"/>
      <c r="UFV47" s="595"/>
      <c r="UFW47" s="595"/>
      <c r="UFX47" s="595"/>
      <c r="UFY47" s="595"/>
      <c r="UFZ47" s="595"/>
      <c r="UGA47" s="595"/>
      <c r="UGB47" s="595"/>
      <c r="UGC47" s="595"/>
      <c r="UGD47" s="595"/>
      <c r="UGE47" s="595"/>
      <c r="UGF47" s="595"/>
      <c r="UGG47" s="595"/>
      <c r="UGH47" s="595"/>
      <c r="UGI47" s="595"/>
      <c r="UGJ47" s="595"/>
      <c r="UGK47" s="595"/>
      <c r="UGL47" s="595"/>
      <c r="UGM47" s="595"/>
      <c r="UGN47" s="595"/>
      <c r="UGO47" s="595"/>
      <c r="UGP47" s="595"/>
      <c r="UGQ47" s="595"/>
      <c r="UGR47" s="595"/>
      <c r="UGS47" s="595"/>
      <c r="UGT47" s="595"/>
      <c r="UGU47" s="595"/>
      <c r="UGV47" s="595"/>
      <c r="UGW47" s="595"/>
      <c r="UGX47" s="595"/>
      <c r="UGY47" s="595"/>
      <c r="UGZ47" s="595"/>
      <c r="UHA47" s="595"/>
      <c r="UHB47" s="595"/>
      <c r="UHC47" s="595"/>
      <c r="UHD47" s="595"/>
      <c r="UHE47" s="595"/>
      <c r="UHF47" s="595"/>
      <c r="UHG47" s="595"/>
      <c r="UHH47" s="595"/>
      <c r="UHI47" s="595"/>
      <c r="UHJ47" s="595"/>
      <c r="UHK47" s="595"/>
      <c r="UHL47" s="595"/>
      <c r="UHM47" s="595"/>
      <c r="UHN47" s="595"/>
      <c r="UHO47" s="595"/>
      <c r="UHP47" s="595"/>
      <c r="UHQ47" s="595"/>
      <c r="UHR47" s="595"/>
      <c r="UHS47" s="595"/>
      <c r="UHT47" s="595"/>
      <c r="UHU47" s="595"/>
      <c r="UHV47" s="595"/>
      <c r="UHW47" s="595"/>
      <c r="UHX47" s="595"/>
      <c r="UHY47" s="595"/>
      <c r="UHZ47" s="595"/>
      <c r="UIA47" s="595"/>
      <c r="UIB47" s="595"/>
      <c r="UIC47" s="595"/>
      <c r="UID47" s="595"/>
      <c r="UIE47" s="595"/>
      <c r="UIF47" s="595"/>
      <c r="UIG47" s="595"/>
      <c r="UIH47" s="595"/>
      <c r="UII47" s="595"/>
      <c r="UIJ47" s="595"/>
      <c r="UIK47" s="595"/>
      <c r="UIL47" s="595"/>
      <c r="UIM47" s="595"/>
      <c r="UIN47" s="595"/>
      <c r="UIO47" s="595"/>
      <c r="UIP47" s="595"/>
      <c r="UIQ47" s="595"/>
      <c r="UIR47" s="595"/>
      <c r="UIS47" s="595"/>
      <c r="UIT47" s="595"/>
      <c r="UIU47" s="595"/>
      <c r="UIV47" s="595"/>
      <c r="UIW47" s="595"/>
      <c r="UIX47" s="595"/>
      <c r="UIY47" s="595"/>
      <c r="UIZ47" s="595"/>
      <c r="UJA47" s="595"/>
      <c r="UJB47" s="595"/>
      <c r="UJC47" s="595"/>
      <c r="UJD47" s="595"/>
      <c r="UJE47" s="595"/>
      <c r="UJF47" s="595"/>
      <c r="UJG47" s="595"/>
      <c r="UJH47" s="595"/>
      <c r="UJI47" s="595"/>
      <c r="UJJ47" s="595"/>
      <c r="UJK47" s="595"/>
      <c r="UJL47" s="595"/>
      <c r="UJM47" s="595"/>
      <c r="UJN47" s="595"/>
      <c r="UJO47" s="595"/>
      <c r="UJP47" s="595"/>
      <c r="UJQ47" s="595"/>
      <c r="UJR47" s="595"/>
      <c r="UJS47" s="595"/>
      <c r="UJT47" s="595"/>
      <c r="UJU47" s="595"/>
      <c r="UJV47" s="595"/>
      <c r="UJW47" s="595"/>
      <c r="UJX47" s="595"/>
      <c r="UJY47" s="595"/>
      <c r="UJZ47" s="595"/>
      <c r="UKA47" s="595"/>
      <c r="UKB47" s="595"/>
      <c r="UKC47" s="595"/>
      <c r="UKD47" s="595"/>
      <c r="UKE47" s="595"/>
      <c r="UKF47" s="595"/>
      <c r="UKG47" s="595"/>
      <c r="UKH47" s="595"/>
      <c r="UKI47" s="595"/>
      <c r="UKJ47" s="595"/>
      <c r="UKK47" s="595"/>
      <c r="UKL47" s="595"/>
      <c r="UKM47" s="595"/>
      <c r="UKN47" s="595"/>
      <c r="UKO47" s="595"/>
      <c r="UKP47" s="595"/>
      <c r="UKQ47" s="595"/>
      <c r="UKR47" s="595"/>
      <c r="UKS47" s="595"/>
      <c r="UKT47" s="595"/>
      <c r="UKU47" s="595"/>
      <c r="UKV47" s="595"/>
      <c r="UKW47" s="595"/>
      <c r="UKX47" s="595"/>
      <c r="UKY47" s="595"/>
      <c r="UKZ47" s="595"/>
      <c r="ULA47" s="595"/>
      <c r="ULB47" s="595"/>
      <c r="ULC47" s="595"/>
      <c r="ULD47" s="595"/>
      <c r="ULE47" s="595"/>
      <c r="ULF47" s="595"/>
      <c r="ULG47" s="595"/>
      <c r="ULH47" s="595"/>
      <c r="ULI47" s="595"/>
      <c r="ULJ47" s="595"/>
      <c r="ULK47" s="595"/>
      <c r="ULL47" s="595"/>
      <c r="ULM47" s="595"/>
      <c r="ULN47" s="595"/>
      <c r="ULO47" s="595"/>
      <c r="ULP47" s="595"/>
      <c r="ULQ47" s="595"/>
      <c r="ULR47" s="595"/>
      <c r="ULS47" s="595"/>
      <c r="ULT47" s="595"/>
      <c r="ULU47" s="595"/>
      <c r="ULV47" s="595"/>
      <c r="ULW47" s="595"/>
      <c r="ULX47" s="595"/>
      <c r="ULY47" s="595"/>
      <c r="ULZ47" s="595"/>
      <c r="UMA47" s="595"/>
      <c r="UMB47" s="595"/>
      <c r="UMC47" s="595"/>
      <c r="UMD47" s="595"/>
      <c r="UME47" s="595"/>
      <c r="UMF47" s="595"/>
      <c r="UMG47" s="595"/>
      <c r="UMH47" s="595"/>
      <c r="UMI47" s="595"/>
      <c r="UMJ47" s="595"/>
      <c r="UMK47" s="595"/>
      <c r="UML47" s="595"/>
      <c r="UMM47" s="595"/>
      <c r="UMN47" s="595"/>
      <c r="UMO47" s="595"/>
      <c r="UMP47" s="595"/>
      <c r="UMQ47" s="595"/>
      <c r="UMR47" s="595"/>
      <c r="UMS47" s="595"/>
      <c r="UMT47" s="595"/>
      <c r="UMU47" s="595"/>
      <c r="UMV47" s="595"/>
      <c r="UMW47" s="595"/>
      <c r="UMX47" s="595"/>
      <c r="UMY47" s="595"/>
      <c r="UMZ47" s="595"/>
      <c r="UNA47" s="595"/>
      <c r="UNB47" s="595"/>
      <c r="UNC47" s="595"/>
      <c r="UND47" s="595"/>
      <c r="UNE47" s="595"/>
      <c r="UNF47" s="595"/>
      <c r="UNG47" s="595"/>
      <c r="UNH47" s="595"/>
      <c r="UNI47" s="595"/>
      <c r="UNJ47" s="595"/>
      <c r="UNK47" s="595"/>
      <c r="UNL47" s="595"/>
      <c r="UNM47" s="595"/>
      <c r="UNN47" s="595"/>
      <c r="UNO47" s="595"/>
      <c r="UNP47" s="595"/>
      <c r="UNQ47" s="595"/>
      <c r="UNR47" s="595"/>
      <c r="UNS47" s="595"/>
      <c r="UNT47" s="595"/>
      <c r="UNU47" s="595"/>
      <c r="UNV47" s="595"/>
      <c r="UNW47" s="595"/>
      <c r="UNX47" s="595"/>
      <c r="UNY47" s="595"/>
      <c r="UNZ47" s="595"/>
      <c r="UOA47" s="595"/>
      <c r="UOB47" s="595"/>
      <c r="UOC47" s="595"/>
      <c r="UOD47" s="595"/>
      <c r="UOE47" s="595"/>
      <c r="UOF47" s="595"/>
      <c r="UOG47" s="595"/>
      <c r="UOH47" s="595"/>
      <c r="UOI47" s="595"/>
      <c r="UOJ47" s="595"/>
      <c r="UOK47" s="595"/>
      <c r="UOL47" s="595"/>
      <c r="UOM47" s="595"/>
      <c r="UON47" s="595"/>
      <c r="UOO47" s="595"/>
      <c r="UOP47" s="595"/>
      <c r="UOQ47" s="595"/>
      <c r="UOR47" s="595"/>
      <c r="UOS47" s="595"/>
      <c r="UOT47" s="595"/>
      <c r="UOU47" s="595"/>
      <c r="UOV47" s="595"/>
      <c r="UOW47" s="595"/>
      <c r="UOX47" s="595"/>
      <c r="UOY47" s="595"/>
      <c r="UOZ47" s="595"/>
      <c r="UPA47" s="595"/>
      <c r="UPB47" s="595"/>
      <c r="UPC47" s="595"/>
      <c r="UPD47" s="595"/>
      <c r="UPE47" s="595"/>
      <c r="UPF47" s="595"/>
      <c r="UPG47" s="595"/>
      <c r="UPH47" s="595"/>
      <c r="UPI47" s="595"/>
      <c r="UPJ47" s="595"/>
      <c r="UPK47" s="595"/>
      <c r="UPL47" s="595"/>
      <c r="UPM47" s="595"/>
      <c r="UPN47" s="595"/>
      <c r="UPO47" s="595"/>
      <c r="UPP47" s="595"/>
      <c r="UPQ47" s="595"/>
      <c r="UPR47" s="595"/>
      <c r="UPS47" s="595"/>
      <c r="UPT47" s="595"/>
      <c r="UPU47" s="595"/>
      <c r="UPV47" s="595"/>
      <c r="UPW47" s="595"/>
      <c r="UPX47" s="595"/>
      <c r="UPY47" s="595"/>
      <c r="UPZ47" s="595"/>
      <c r="UQA47" s="595"/>
      <c r="UQB47" s="595"/>
      <c r="UQC47" s="595"/>
      <c r="UQD47" s="595"/>
      <c r="UQE47" s="595"/>
      <c r="UQF47" s="595"/>
      <c r="UQG47" s="595"/>
      <c r="UQH47" s="595"/>
      <c r="UQI47" s="595"/>
      <c r="UQJ47" s="595"/>
      <c r="UQK47" s="595"/>
      <c r="UQL47" s="595"/>
      <c r="UQM47" s="595"/>
      <c r="UQN47" s="595"/>
      <c r="UQO47" s="595"/>
      <c r="UQP47" s="595"/>
      <c r="UQQ47" s="595"/>
      <c r="UQR47" s="595"/>
      <c r="UQS47" s="595"/>
      <c r="UQT47" s="595"/>
      <c r="UQU47" s="595"/>
      <c r="UQV47" s="595"/>
      <c r="UQW47" s="595"/>
      <c r="UQX47" s="595"/>
      <c r="UQY47" s="595"/>
      <c r="UQZ47" s="595"/>
      <c r="URA47" s="595"/>
      <c r="URB47" s="595"/>
      <c r="URC47" s="595"/>
      <c r="URD47" s="595"/>
      <c r="URE47" s="595"/>
      <c r="URF47" s="595"/>
      <c r="URG47" s="595"/>
      <c r="URH47" s="595"/>
      <c r="URI47" s="595"/>
      <c r="URJ47" s="595"/>
      <c r="URK47" s="595"/>
      <c r="URL47" s="595"/>
      <c r="URM47" s="595"/>
      <c r="URN47" s="595"/>
      <c r="URO47" s="595"/>
      <c r="URP47" s="595"/>
      <c r="URQ47" s="595"/>
      <c r="URR47" s="595"/>
      <c r="URS47" s="595"/>
      <c r="URT47" s="595"/>
      <c r="URU47" s="595"/>
      <c r="URV47" s="595"/>
      <c r="URW47" s="595"/>
      <c r="URX47" s="595"/>
      <c r="URY47" s="595"/>
      <c r="URZ47" s="595"/>
      <c r="USA47" s="595"/>
      <c r="USB47" s="595"/>
      <c r="USC47" s="595"/>
      <c r="USD47" s="595"/>
      <c r="USE47" s="595"/>
      <c r="USF47" s="595"/>
      <c r="USG47" s="595"/>
      <c r="USH47" s="595"/>
      <c r="USI47" s="595"/>
      <c r="USJ47" s="595"/>
      <c r="USK47" s="595"/>
      <c r="USL47" s="595"/>
      <c r="USM47" s="595"/>
      <c r="USN47" s="595"/>
      <c r="USO47" s="595"/>
      <c r="USP47" s="595"/>
      <c r="USQ47" s="595"/>
      <c r="USR47" s="595"/>
      <c r="USS47" s="595"/>
      <c r="UST47" s="595"/>
      <c r="USU47" s="595"/>
      <c r="USV47" s="595"/>
      <c r="USW47" s="595"/>
      <c r="USX47" s="595"/>
      <c r="USY47" s="595"/>
      <c r="USZ47" s="595"/>
      <c r="UTA47" s="595"/>
      <c r="UTB47" s="595"/>
      <c r="UTC47" s="595"/>
      <c r="UTD47" s="595"/>
      <c r="UTE47" s="595"/>
      <c r="UTF47" s="595"/>
      <c r="UTG47" s="595"/>
      <c r="UTH47" s="595"/>
      <c r="UTI47" s="595"/>
      <c r="UTJ47" s="595"/>
      <c r="UTK47" s="595"/>
      <c r="UTL47" s="595"/>
      <c r="UTM47" s="595"/>
      <c r="UTN47" s="595"/>
      <c r="UTO47" s="595"/>
      <c r="UTP47" s="595"/>
      <c r="UTQ47" s="595"/>
      <c r="UTR47" s="595"/>
      <c r="UTS47" s="595"/>
      <c r="UTT47" s="595"/>
      <c r="UTU47" s="595"/>
      <c r="UTV47" s="595"/>
      <c r="UTW47" s="595"/>
      <c r="UTX47" s="595"/>
      <c r="UTY47" s="595"/>
      <c r="UTZ47" s="595"/>
      <c r="UUA47" s="595"/>
      <c r="UUB47" s="595"/>
      <c r="UUC47" s="595"/>
      <c r="UUD47" s="595"/>
      <c r="UUE47" s="595"/>
      <c r="UUF47" s="595"/>
      <c r="UUG47" s="595"/>
      <c r="UUH47" s="595"/>
      <c r="UUI47" s="595"/>
      <c r="UUJ47" s="595"/>
      <c r="UUK47" s="595"/>
      <c r="UUL47" s="595"/>
      <c r="UUM47" s="595"/>
      <c r="UUN47" s="595"/>
      <c r="UUO47" s="595"/>
      <c r="UUP47" s="595"/>
      <c r="UUQ47" s="595"/>
      <c r="UUR47" s="595"/>
      <c r="UUS47" s="595"/>
      <c r="UUT47" s="595"/>
      <c r="UUU47" s="595"/>
      <c r="UUV47" s="595"/>
      <c r="UUW47" s="595"/>
      <c r="UUX47" s="595"/>
      <c r="UUY47" s="595"/>
      <c r="UUZ47" s="595"/>
      <c r="UVA47" s="595"/>
      <c r="UVB47" s="595"/>
      <c r="UVC47" s="595"/>
      <c r="UVD47" s="595"/>
      <c r="UVE47" s="595"/>
      <c r="UVF47" s="595"/>
      <c r="UVG47" s="595"/>
      <c r="UVH47" s="595"/>
      <c r="UVI47" s="595"/>
      <c r="UVJ47" s="595"/>
      <c r="UVK47" s="595"/>
      <c r="UVL47" s="595"/>
      <c r="UVM47" s="595"/>
      <c r="UVN47" s="595"/>
      <c r="UVO47" s="595"/>
      <c r="UVP47" s="595"/>
      <c r="UVQ47" s="595"/>
      <c r="UVR47" s="595"/>
      <c r="UVS47" s="595"/>
      <c r="UVT47" s="595"/>
      <c r="UVU47" s="595"/>
      <c r="UVV47" s="595"/>
      <c r="UVW47" s="595"/>
      <c r="UVX47" s="595"/>
      <c r="UVY47" s="595"/>
      <c r="UVZ47" s="595"/>
      <c r="UWA47" s="595"/>
      <c r="UWB47" s="595"/>
      <c r="UWC47" s="595"/>
      <c r="UWD47" s="595"/>
      <c r="UWE47" s="595"/>
      <c r="UWF47" s="595"/>
      <c r="UWG47" s="595"/>
      <c r="UWH47" s="595"/>
      <c r="UWI47" s="595"/>
      <c r="UWJ47" s="595"/>
      <c r="UWK47" s="595"/>
      <c r="UWL47" s="595"/>
      <c r="UWM47" s="595"/>
      <c r="UWN47" s="595"/>
      <c r="UWO47" s="595"/>
      <c r="UWP47" s="595"/>
      <c r="UWQ47" s="595"/>
      <c r="UWR47" s="595"/>
      <c r="UWS47" s="595"/>
      <c r="UWT47" s="595"/>
      <c r="UWU47" s="595"/>
      <c r="UWV47" s="595"/>
      <c r="UWW47" s="595"/>
      <c r="UWX47" s="595"/>
      <c r="UWY47" s="595"/>
      <c r="UWZ47" s="595"/>
      <c r="UXA47" s="595"/>
      <c r="UXB47" s="595"/>
      <c r="UXC47" s="595"/>
      <c r="UXD47" s="595"/>
      <c r="UXE47" s="595"/>
      <c r="UXF47" s="595"/>
      <c r="UXG47" s="595"/>
      <c r="UXH47" s="595"/>
      <c r="UXI47" s="595"/>
      <c r="UXJ47" s="595"/>
      <c r="UXK47" s="595"/>
      <c r="UXL47" s="595"/>
      <c r="UXM47" s="595"/>
      <c r="UXN47" s="595"/>
      <c r="UXO47" s="595"/>
      <c r="UXP47" s="595"/>
      <c r="UXQ47" s="595"/>
      <c r="UXR47" s="595"/>
      <c r="UXS47" s="595"/>
      <c r="UXT47" s="595"/>
      <c r="UXU47" s="595"/>
      <c r="UXV47" s="595"/>
      <c r="UXW47" s="595"/>
      <c r="UXX47" s="595"/>
      <c r="UXY47" s="595"/>
      <c r="UXZ47" s="595"/>
      <c r="UYA47" s="595"/>
      <c r="UYB47" s="595"/>
      <c r="UYC47" s="595"/>
      <c r="UYD47" s="595"/>
      <c r="UYE47" s="595"/>
      <c r="UYF47" s="595"/>
      <c r="UYG47" s="595"/>
      <c r="UYH47" s="595"/>
      <c r="UYI47" s="595"/>
      <c r="UYJ47" s="595"/>
      <c r="UYK47" s="595"/>
      <c r="UYL47" s="595"/>
      <c r="UYM47" s="595"/>
      <c r="UYN47" s="595"/>
      <c r="UYO47" s="595"/>
      <c r="UYP47" s="595"/>
      <c r="UYQ47" s="595"/>
      <c r="UYR47" s="595"/>
      <c r="UYS47" s="595"/>
      <c r="UYT47" s="595"/>
      <c r="UYU47" s="595"/>
      <c r="UYV47" s="595"/>
      <c r="UYW47" s="595"/>
      <c r="UYX47" s="595"/>
      <c r="UYY47" s="595"/>
      <c r="UYZ47" s="595"/>
      <c r="UZA47" s="595"/>
      <c r="UZB47" s="595"/>
      <c r="UZC47" s="595"/>
      <c r="UZD47" s="595"/>
      <c r="UZE47" s="595"/>
      <c r="UZF47" s="595"/>
      <c r="UZG47" s="595"/>
      <c r="UZH47" s="595"/>
      <c r="UZI47" s="595"/>
      <c r="UZJ47" s="595"/>
      <c r="UZK47" s="595"/>
      <c r="UZL47" s="595"/>
      <c r="UZM47" s="595"/>
      <c r="UZN47" s="595"/>
      <c r="UZO47" s="595"/>
      <c r="UZP47" s="595"/>
      <c r="UZQ47" s="595"/>
      <c r="UZR47" s="595"/>
      <c r="UZS47" s="595"/>
      <c r="UZT47" s="595"/>
      <c r="UZU47" s="595"/>
      <c r="UZV47" s="595"/>
      <c r="UZW47" s="595"/>
      <c r="UZX47" s="595"/>
      <c r="UZY47" s="595"/>
      <c r="UZZ47" s="595"/>
      <c r="VAA47" s="595"/>
      <c r="VAB47" s="595"/>
      <c r="VAC47" s="595"/>
      <c r="VAD47" s="595"/>
      <c r="VAE47" s="595"/>
      <c r="VAF47" s="595"/>
      <c r="VAG47" s="595"/>
      <c r="VAH47" s="595"/>
      <c r="VAI47" s="595"/>
      <c r="VAJ47" s="595"/>
      <c r="VAK47" s="595"/>
      <c r="VAL47" s="595"/>
      <c r="VAM47" s="595"/>
      <c r="VAN47" s="595"/>
      <c r="VAO47" s="595"/>
      <c r="VAP47" s="595"/>
      <c r="VAQ47" s="595"/>
      <c r="VAR47" s="595"/>
      <c r="VAS47" s="595"/>
      <c r="VAT47" s="595"/>
      <c r="VAU47" s="595"/>
      <c r="VAV47" s="595"/>
      <c r="VAW47" s="595"/>
      <c r="VAX47" s="595"/>
      <c r="VAY47" s="595"/>
      <c r="VAZ47" s="595"/>
      <c r="VBA47" s="595"/>
      <c r="VBB47" s="595"/>
      <c r="VBC47" s="595"/>
      <c r="VBD47" s="595"/>
      <c r="VBE47" s="595"/>
      <c r="VBF47" s="595"/>
      <c r="VBG47" s="595"/>
      <c r="VBH47" s="595"/>
      <c r="VBI47" s="595"/>
      <c r="VBJ47" s="595"/>
      <c r="VBK47" s="595"/>
      <c r="VBL47" s="595"/>
      <c r="VBM47" s="595"/>
      <c r="VBN47" s="595"/>
      <c r="VBO47" s="595"/>
      <c r="VBP47" s="595"/>
      <c r="VBQ47" s="595"/>
      <c r="VBR47" s="595"/>
      <c r="VBS47" s="595"/>
      <c r="VBT47" s="595"/>
      <c r="VBU47" s="595"/>
      <c r="VBV47" s="595"/>
      <c r="VBW47" s="595"/>
      <c r="VBX47" s="595"/>
      <c r="VBY47" s="595"/>
      <c r="VBZ47" s="595"/>
      <c r="VCA47" s="595"/>
      <c r="VCB47" s="595"/>
      <c r="VCC47" s="595"/>
      <c r="VCD47" s="595"/>
      <c r="VCE47" s="595"/>
      <c r="VCF47" s="595"/>
      <c r="VCG47" s="595"/>
      <c r="VCH47" s="595"/>
      <c r="VCI47" s="595"/>
      <c r="VCJ47" s="595"/>
      <c r="VCK47" s="595"/>
      <c r="VCL47" s="595"/>
      <c r="VCM47" s="595"/>
      <c r="VCN47" s="595"/>
      <c r="VCO47" s="595"/>
      <c r="VCP47" s="595"/>
      <c r="VCQ47" s="595"/>
      <c r="VCR47" s="595"/>
      <c r="VCS47" s="595"/>
      <c r="VCT47" s="595"/>
      <c r="VCU47" s="595"/>
      <c r="VCV47" s="595"/>
      <c r="VCW47" s="595"/>
      <c r="VCX47" s="595"/>
      <c r="VCY47" s="595"/>
      <c r="VCZ47" s="595"/>
      <c r="VDA47" s="595"/>
      <c r="VDB47" s="595"/>
      <c r="VDC47" s="595"/>
      <c r="VDD47" s="595"/>
      <c r="VDE47" s="595"/>
      <c r="VDF47" s="595"/>
      <c r="VDG47" s="595"/>
      <c r="VDH47" s="595"/>
      <c r="VDI47" s="595"/>
      <c r="VDJ47" s="595"/>
      <c r="VDK47" s="595"/>
      <c r="VDL47" s="595"/>
      <c r="VDM47" s="595"/>
      <c r="VDN47" s="595"/>
      <c r="VDO47" s="595"/>
      <c r="VDP47" s="595"/>
      <c r="VDQ47" s="595"/>
      <c r="VDR47" s="595"/>
      <c r="VDS47" s="595"/>
      <c r="VDT47" s="595"/>
      <c r="VDU47" s="595"/>
      <c r="VDV47" s="595"/>
      <c r="VDW47" s="595"/>
      <c r="VDX47" s="595"/>
      <c r="VDY47" s="595"/>
      <c r="VDZ47" s="595"/>
      <c r="VEA47" s="595"/>
      <c r="VEB47" s="595"/>
      <c r="VEC47" s="595"/>
      <c r="VED47" s="595"/>
      <c r="VEE47" s="595"/>
      <c r="VEF47" s="595"/>
      <c r="VEG47" s="595"/>
      <c r="VEH47" s="595"/>
      <c r="VEI47" s="595"/>
      <c r="VEJ47" s="595"/>
      <c r="VEK47" s="595"/>
      <c r="VEL47" s="595"/>
      <c r="VEM47" s="595"/>
      <c r="VEN47" s="595"/>
      <c r="VEO47" s="595"/>
      <c r="VEP47" s="595"/>
      <c r="VEQ47" s="595"/>
      <c r="VER47" s="595"/>
      <c r="VES47" s="595"/>
      <c r="VET47" s="595"/>
      <c r="VEU47" s="595"/>
      <c r="VEV47" s="595"/>
      <c r="VEW47" s="595"/>
      <c r="VEX47" s="595"/>
      <c r="VEY47" s="595"/>
      <c r="VEZ47" s="595"/>
      <c r="VFA47" s="595"/>
      <c r="VFB47" s="595"/>
      <c r="VFC47" s="595"/>
      <c r="VFD47" s="595"/>
      <c r="VFE47" s="595"/>
      <c r="VFF47" s="595"/>
      <c r="VFG47" s="595"/>
      <c r="VFH47" s="595"/>
      <c r="VFI47" s="595"/>
      <c r="VFJ47" s="595"/>
      <c r="VFK47" s="595"/>
      <c r="VFL47" s="595"/>
      <c r="VFM47" s="595"/>
      <c r="VFN47" s="595"/>
      <c r="VFO47" s="595"/>
      <c r="VFP47" s="595"/>
      <c r="VFQ47" s="595"/>
      <c r="VFR47" s="595"/>
      <c r="VFS47" s="595"/>
      <c r="VFT47" s="595"/>
      <c r="VFU47" s="595"/>
      <c r="VFV47" s="595"/>
      <c r="VFW47" s="595"/>
      <c r="VFX47" s="595"/>
      <c r="VFY47" s="595"/>
      <c r="VFZ47" s="595"/>
      <c r="VGA47" s="595"/>
      <c r="VGB47" s="595"/>
      <c r="VGC47" s="595"/>
      <c r="VGD47" s="595"/>
      <c r="VGE47" s="595"/>
      <c r="VGF47" s="595"/>
      <c r="VGG47" s="595"/>
      <c r="VGH47" s="595"/>
      <c r="VGI47" s="595"/>
      <c r="VGJ47" s="595"/>
      <c r="VGK47" s="595"/>
      <c r="VGL47" s="595"/>
      <c r="VGM47" s="595"/>
      <c r="VGN47" s="595"/>
      <c r="VGO47" s="595"/>
      <c r="VGP47" s="595"/>
      <c r="VGQ47" s="595"/>
      <c r="VGR47" s="595"/>
      <c r="VGS47" s="595"/>
      <c r="VGT47" s="595"/>
      <c r="VGU47" s="595"/>
      <c r="VGV47" s="595"/>
      <c r="VGW47" s="595"/>
      <c r="VGX47" s="595"/>
      <c r="VGY47" s="595"/>
      <c r="VGZ47" s="595"/>
      <c r="VHA47" s="595"/>
      <c r="VHB47" s="595"/>
      <c r="VHC47" s="595"/>
      <c r="VHD47" s="595"/>
      <c r="VHE47" s="595"/>
      <c r="VHF47" s="595"/>
      <c r="VHG47" s="595"/>
      <c r="VHH47" s="595"/>
      <c r="VHI47" s="595"/>
      <c r="VHJ47" s="595"/>
      <c r="VHK47" s="595"/>
      <c r="VHL47" s="595"/>
      <c r="VHM47" s="595"/>
      <c r="VHN47" s="595"/>
      <c r="VHO47" s="595"/>
      <c r="VHP47" s="595"/>
      <c r="VHQ47" s="595"/>
      <c r="VHR47" s="595"/>
      <c r="VHS47" s="595"/>
      <c r="VHT47" s="595"/>
      <c r="VHU47" s="595"/>
      <c r="VHV47" s="595"/>
      <c r="VHW47" s="595"/>
      <c r="VHX47" s="595"/>
      <c r="VHY47" s="595"/>
      <c r="VHZ47" s="595"/>
      <c r="VIA47" s="595"/>
      <c r="VIB47" s="595"/>
      <c r="VIC47" s="595"/>
      <c r="VID47" s="595"/>
      <c r="VIE47" s="595"/>
      <c r="VIF47" s="595"/>
      <c r="VIG47" s="595"/>
      <c r="VIH47" s="595"/>
      <c r="VII47" s="595"/>
      <c r="VIJ47" s="595"/>
      <c r="VIK47" s="595"/>
      <c r="VIL47" s="595"/>
      <c r="VIM47" s="595"/>
      <c r="VIN47" s="595"/>
      <c r="VIO47" s="595"/>
      <c r="VIP47" s="595"/>
      <c r="VIQ47" s="595"/>
      <c r="VIR47" s="595"/>
      <c r="VIS47" s="595"/>
      <c r="VIT47" s="595"/>
      <c r="VIU47" s="595"/>
      <c r="VIV47" s="595"/>
      <c r="VIW47" s="595"/>
      <c r="VIX47" s="595"/>
      <c r="VIY47" s="595"/>
      <c r="VIZ47" s="595"/>
      <c r="VJA47" s="595"/>
      <c r="VJB47" s="595"/>
      <c r="VJC47" s="595"/>
      <c r="VJD47" s="595"/>
      <c r="VJE47" s="595"/>
      <c r="VJF47" s="595"/>
      <c r="VJG47" s="595"/>
      <c r="VJH47" s="595"/>
      <c r="VJI47" s="595"/>
      <c r="VJJ47" s="595"/>
      <c r="VJK47" s="595"/>
      <c r="VJL47" s="595"/>
      <c r="VJM47" s="595"/>
      <c r="VJN47" s="595"/>
      <c r="VJO47" s="595"/>
      <c r="VJP47" s="595"/>
      <c r="VJQ47" s="595"/>
      <c r="VJR47" s="595"/>
      <c r="VJS47" s="595"/>
      <c r="VJT47" s="595"/>
      <c r="VJU47" s="595"/>
      <c r="VJV47" s="595"/>
      <c r="VJW47" s="595"/>
      <c r="VJX47" s="595"/>
      <c r="VJY47" s="595"/>
      <c r="VJZ47" s="595"/>
      <c r="VKA47" s="595"/>
      <c r="VKB47" s="595"/>
      <c r="VKC47" s="595"/>
      <c r="VKD47" s="595"/>
      <c r="VKE47" s="595"/>
      <c r="VKF47" s="595"/>
      <c r="VKG47" s="595"/>
      <c r="VKH47" s="595"/>
      <c r="VKI47" s="595"/>
      <c r="VKJ47" s="595"/>
      <c r="VKK47" s="595"/>
      <c r="VKL47" s="595"/>
      <c r="VKM47" s="595"/>
      <c r="VKN47" s="595"/>
      <c r="VKO47" s="595"/>
      <c r="VKP47" s="595"/>
      <c r="VKQ47" s="595"/>
      <c r="VKR47" s="595"/>
      <c r="VKS47" s="595"/>
      <c r="VKT47" s="595"/>
      <c r="VKU47" s="595"/>
      <c r="VKV47" s="595"/>
      <c r="VKW47" s="595"/>
      <c r="VKX47" s="595"/>
      <c r="VKY47" s="595"/>
      <c r="VKZ47" s="595"/>
      <c r="VLA47" s="595"/>
      <c r="VLB47" s="595"/>
      <c r="VLC47" s="595"/>
      <c r="VLD47" s="595"/>
      <c r="VLE47" s="595"/>
      <c r="VLF47" s="595"/>
      <c r="VLG47" s="595"/>
      <c r="VLH47" s="595"/>
      <c r="VLI47" s="595"/>
      <c r="VLJ47" s="595"/>
      <c r="VLK47" s="595"/>
      <c r="VLL47" s="595"/>
      <c r="VLM47" s="595"/>
      <c r="VLN47" s="595"/>
      <c r="VLO47" s="595"/>
      <c r="VLP47" s="595"/>
      <c r="VLQ47" s="595"/>
      <c r="VLR47" s="595"/>
      <c r="VLS47" s="595"/>
      <c r="VLT47" s="595"/>
      <c r="VLU47" s="595"/>
      <c r="VLV47" s="595"/>
      <c r="VLW47" s="595"/>
      <c r="VLX47" s="595"/>
      <c r="VLY47" s="595"/>
      <c r="VLZ47" s="595"/>
      <c r="VMA47" s="595"/>
      <c r="VMB47" s="595"/>
      <c r="VMC47" s="595"/>
      <c r="VMD47" s="595"/>
      <c r="VME47" s="595"/>
      <c r="VMF47" s="595"/>
      <c r="VMG47" s="595"/>
      <c r="VMH47" s="595"/>
      <c r="VMI47" s="595"/>
      <c r="VMJ47" s="595"/>
      <c r="VMK47" s="595"/>
      <c r="VML47" s="595"/>
      <c r="VMM47" s="595"/>
      <c r="VMN47" s="595"/>
      <c r="VMO47" s="595"/>
      <c r="VMP47" s="595"/>
      <c r="VMQ47" s="595"/>
      <c r="VMR47" s="595"/>
      <c r="VMS47" s="595"/>
      <c r="VMT47" s="595"/>
      <c r="VMU47" s="595"/>
      <c r="VMV47" s="595"/>
      <c r="VMW47" s="595"/>
      <c r="VMX47" s="595"/>
      <c r="VMY47" s="595"/>
      <c r="VMZ47" s="595"/>
      <c r="VNA47" s="595"/>
      <c r="VNB47" s="595"/>
      <c r="VNC47" s="595"/>
      <c r="VND47" s="595"/>
      <c r="VNE47" s="595"/>
      <c r="VNF47" s="595"/>
      <c r="VNG47" s="595"/>
      <c r="VNH47" s="595"/>
      <c r="VNI47" s="595"/>
      <c r="VNJ47" s="595"/>
      <c r="VNK47" s="595"/>
      <c r="VNL47" s="595"/>
      <c r="VNM47" s="595"/>
      <c r="VNN47" s="595"/>
      <c r="VNO47" s="595"/>
      <c r="VNP47" s="595"/>
      <c r="VNQ47" s="595"/>
      <c r="VNR47" s="595"/>
      <c r="VNS47" s="595"/>
      <c r="VNT47" s="595"/>
      <c r="VNU47" s="595"/>
      <c r="VNV47" s="595"/>
      <c r="VNW47" s="595"/>
      <c r="VNX47" s="595"/>
      <c r="VNY47" s="595"/>
      <c r="VNZ47" s="595"/>
      <c r="VOA47" s="595"/>
      <c r="VOB47" s="595"/>
      <c r="VOC47" s="595"/>
      <c r="VOD47" s="595"/>
      <c r="VOE47" s="595"/>
      <c r="VOF47" s="595"/>
      <c r="VOG47" s="595"/>
      <c r="VOH47" s="595"/>
      <c r="VOI47" s="595"/>
      <c r="VOJ47" s="595"/>
      <c r="VOK47" s="595"/>
      <c r="VOL47" s="595"/>
      <c r="VOM47" s="595"/>
      <c r="VON47" s="595"/>
      <c r="VOO47" s="595"/>
      <c r="VOP47" s="595"/>
      <c r="VOQ47" s="595"/>
      <c r="VOR47" s="595"/>
      <c r="VOS47" s="595"/>
      <c r="VOT47" s="595"/>
      <c r="VOU47" s="595"/>
      <c r="VOV47" s="595"/>
      <c r="VOW47" s="595"/>
      <c r="VOX47" s="595"/>
      <c r="VOY47" s="595"/>
      <c r="VOZ47" s="595"/>
      <c r="VPA47" s="595"/>
      <c r="VPB47" s="595"/>
      <c r="VPC47" s="595"/>
      <c r="VPD47" s="595"/>
      <c r="VPE47" s="595"/>
      <c r="VPF47" s="595"/>
      <c r="VPG47" s="595"/>
      <c r="VPH47" s="595"/>
      <c r="VPI47" s="595"/>
      <c r="VPJ47" s="595"/>
      <c r="VPK47" s="595"/>
      <c r="VPL47" s="595"/>
      <c r="VPM47" s="595"/>
      <c r="VPN47" s="595"/>
      <c r="VPO47" s="595"/>
      <c r="VPP47" s="595"/>
      <c r="VPQ47" s="595"/>
      <c r="VPR47" s="595"/>
      <c r="VPS47" s="595"/>
      <c r="VPT47" s="595"/>
      <c r="VPU47" s="595"/>
      <c r="VPV47" s="595"/>
      <c r="VPW47" s="595"/>
      <c r="VPX47" s="595"/>
      <c r="VPY47" s="595"/>
      <c r="VPZ47" s="595"/>
      <c r="VQA47" s="595"/>
      <c r="VQB47" s="595"/>
      <c r="VQC47" s="595"/>
      <c r="VQD47" s="595"/>
      <c r="VQE47" s="595"/>
      <c r="VQF47" s="595"/>
      <c r="VQG47" s="595"/>
      <c r="VQH47" s="595"/>
      <c r="VQI47" s="595"/>
      <c r="VQJ47" s="595"/>
      <c r="VQK47" s="595"/>
      <c r="VQL47" s="595"/>
      <c r="VQM47" s="595"/>
      <c r="VQN47" s="595"/>
      <c r="VQO47" s="595"/>
      <c r="VQP47" s="595"/>
      <c r="VQQ47" s="595"/>
      <c r="VQR47" s="595"/>
      <c r="VQS47" s="595"/>
      <c r="VQT47" s="595"/>
      <c r="VQU47" s="595"/>
      <c r="VQV47" s="595"/>
      <c r="VQW47" s="595"/>
      <c r="VQX47" s="595"/>
      <c r="VQY47" s="595"/>
      <c r="VQZ47" s="595"/>
      <c r="VRA47" s="595"/>
      <c r="VRB47" s="595"/>
      <c r="VRC47" s="595"/>
      <c r="VRD47" s="595"/>
      <c r="VRE47" s="595"/>
      <c r="VRF47" s="595"/>
      <c r="VRG47" s="595"/>
      <c r="VRH47" s="595"/>
      <c r="VRI47" s="595"/>
      <c r="VRJ47" s="595"/>
      <c r="VRK47" s="595"/>
      <c r="VRL47" s="595"/>
      <c r="VRM47" s="595"/>
      <c r="VRN47" s="595"/>
      <c r="VRO47" s="595"/>
      <c r="VRP47" s="595"/>
      <c r="VRQ47" s="595"/>
      <c r="VRR47" s="595"/>
      <c r="VRS47" s="595"/>
      <c r="VRT47" s="595"/>
      <c r="VRU47" s="595"/>
      <c r="VRV47" s="595"/>
      <c r="VRW47" s="595"/>
      <c r="VRX47" s="595"/>
      <c r="VRY47" s="595"/>
      <c r="VRZ47" s="595"/>
      <c r="VSA47" s="595"/>
      <c r="VSB47" s="595"/>
      <c r="VSC47" s="595"/>
      <c r="VSD47" s="595"/>
      <c r="VSE47" s="595"/>
      <c r="VSF47" s="595"/>
      <c r="VSG47" s="595"/>
      <c r="VSH47" s="595"/>
      <c r="VSI47" s="595"/>
      <c r="VSJ47" s="595"/>
      <c r="VSK47" s="595"/>
      <c r="VSL47" s="595"/>
      <c r="VSM47" s="595"/>
      <c r="VSN47" s="595"/>
      <c r="VSO47" s="595"/>
      <c r="VSP47" s="595"/>
      <c r="VSQ47" s="595"/>
      <c r="VSR47" s="595"/>
      <c r="VSS47" s="595"/>
      <c r="VST47" s="595"/>
      <c r="VSU47" s="595"/>
      <c r="VSV47" s="595"/>
      <c r="VSW47" s="595"/>
      <c r="VSX47" s="595"/>
      <c r="VSY47" s="595"/>
      <c r="VSZ47" s="595"/>
      <c r="VTA47" s="595"/>
      <c r="VTB47" s="595"/>
      <c r="VTC47" s="595"/>
      <c r="VTD47" s="595"/>
      <c r="VTE47" s="595"/>
      <c r="VTF47" s="595"/>
      <c r="VTG47" s="595"/>
      <c r="VTH47" s="595"/>
      <c r="VTI47" s="595"/>
      <c r="VTJ47" s="595"/>
      <c r="VTK47" s="595"/>
      <c r="VTL47" s="595"/>
      <c r="VTM47" s="595"/>
      <c r="VTN47" s="595"/>
      <c r="VTO47" s="595"/>
      <c r="VTP47" s="595"/>
      <c r="VTQ47" s="595"/>
      <c r="VTR47" s="595"/>
      <c r="VTS47" s="595"/>
      <c r="VTT47" s="595"/>
      <c r="VTU47" s="595"/>
      <c r="VTV47" s="595"/>
      <c r="VTW47" s="595"/>
      <c r="VTX47" s="595"/>
      <c r="VTY47" s="595"/>
      <c r="VTZ47" s="595"/>
      <c r="VUA47" s="595"/>
      <c r="VUB47" s="595"/>
      <c r="VUC47" s="595"/>
      <c r="VUD47" s="595"/>
      <c r="VUE47" s="595"/>
      <c r="VUF47" s="595"/>
      <c r="VUG47" s="595"/>
      <c r="VUH47" s="595"/>
      <c r="VUI47" s="595"/>
      <c r="VUJ47" s="595"/>
      <c r="VUK47" s="595"/>
      <c r="VUL47" s="595"/>
      <c r="VUM47" s="595"/>
      <c r="VUN47" s="595"/>
      <c r="VUO47" s="595"/>
      <c r="VUP47" s="595"/>
      <c r="VUQ47" s="595"/>
      <c r="VUR47" s="595"/>
      <c r="VUS47" s="595"/>
      <c r="VUT47" s="595"/>
      <c r="VUU47" s="595"/>
      <c r="VUV47" s="595"/>
      <c r="VUW47" s="595"/>
      <c r="VUX47" s="595"/>
      <c r="VUY47" s="595"/>
      <c r="VUZ47" s="595"/>
      <c r="VVA47" s="595"/>
      <c r="VVB47" s="595"/>
      <c r="VVC47" s="595"/>
      <c r="VVD47" s="595"/>
      <c r="VVE47" s="595"/>
      <c r="VVF47" s="595"/>
      <c r="VVG47" s="595"/>
      <c r="VVH47" s="595"/>
      <c r="VVI47" s="595"/>
      <c r="VVJ47" s="595"/>
      <c r="VVK47" s="595"/>
      <c r="VVL47" s="595"/>
      <c r="VVM47" s="595"/>
      <c r="VVN47" s="595"/>
      <c r="VVO47" s="595"/>
      <c r="VVP47" s="595"/>
      <c r="VVQ47" s="595"/>
      <c r="VVR47" s="595"/>
      <c r="VVS47" s="595"/>
      <c r="VVT47" s="595"/>
      <c r="VVU47" s="595"/>
      <c r="VVV47" s="595"/>
      <c r="VVW47" s="595"/>
      <c r="VVX47" s="595"/>
      <c r="VVY47" s="595"/>
      <c r="VVZ47" s="595"/>
      <c r="VWA47" s="595"/>
      <c r="VWB47" s="595"/>
      <c r="VWC47" s="595"/>
      <c r="VWD47" s="595"/>
      <c r="VWE47" s="595"/>
      <c r="VWF47" s="595"/>
      <c r="VWG47" s="595"/>
      <c r="VWH47" s="595"/>
      <c r="VWI47" s="595"/>
      <c r="VWJ47" s="595"/>
      <c r="VWK47" s="595"/>
      <c r="VWL47" s="595"/>
      <c r="VWM47" s="595"/>
      <c r="VWN47" s="595"/>
      <c r="VWO47" s="595"/>
      <c r="VWP47" s="595"/>
      <c r="VWQ47" s="595"/>
      <c r="VWR47" s="595"/>
      <c r="VWS47" s="595"/>
      <c r="VWT47" s="595"/>
      <c r="VWU47" s="595"/>
      <c r="VWV47" s="595"/>
      <c r="VWW47" s="595"/>
      <c r="VWX47" s="595"/>
      <c r="VWY47" s="595"/>
      <c r="VWZ47" s="595"/>
      <c r="VXA47" s="595"/>
      <c r="VXB47" s="595"/>
      <c r="VXC47" s="595"/>
      <c r="VXD47" s="595"/>
      <c r="VXE47" s="595"/>
      <c r="VXF47" s="595"/>
      <c r="VXG47" s="595"/>
      <c r="VXH47" s="595"/>
      <c r="VXI47" s="595"/>
      <c r="VXJ47" s="595"/>
      <c r="VXK47" s="595"/>
      <c r="VXL47" s="595"/>
      <c r="VXM47" s="595"/>
      <c r="VXN47" s="595"/>
      <c r="VXO47" s="595"/>
      <c r="VXP47" s="595"/>
      <c r="VXQ47" s="595"/>
      <c r="VXR47" s="595"/>
      <c r="VXS47" s="595"/>
      <c r="VXT47" s="595"/>
      <c r="VXU47" s="595"/>
      <c r="VXV47" s="595"/>
      <c r="VXW47" s="595"/>
      <c r="VXX47" s="595"/>
      <c r="VXY47" s="595"/>
      <c r="VXZ47" s="595"/>
      <c r="VYA47" s="595"/>
      <c r="VYB47" s="595"/>
      <c r="VYC47" s="595"/>
      <c r="VYD47" s="595"/>
      <c r="VYE47" s="595"/>
      <c r="VYF47" s="595"/>
      <c r="VYG47" s="595"/>
      <c r="VYH47" s="595"/>
      <c r="VYI47" s="595"/>
      <c r="VYJ47" s="595"/>
      <c r="VYK47" s="595"/>
      <c r="VYL47" s="595"/>
      <c r="VYM47" s="595"/>
      <c r="VYN47" s="595"/>
      <c r="VYO47" s="595"/>
      <c r="VYP47" s="595"/>
      <c r="VYQ47" s="595"/>
      <c r="VYR47" s="595"/>
      <c r="VYS47" s="595"/>
      <c r="VYT47" s="595"/>
      <c r="VYU47" s="595"/>
      <c r="VYV47" s="595"/>
      <c r="VYW47" s="595"/>
      <c r="VYX47" s="595"/>
      <c r="VYY47" s="595"/>
      <c r="VYZ47" s="595"/>
      <c r="VZA47" s="595"/>
      <c r="VZB47" s="595"/>
      <c r="VZC47" s="595"/>
      <c r="VZD47" s="595"/>
      <c r="VZE47" s="595"/>
      <c r="VZF47" s="595"/>
      <c r="VZG47" s="595"/>
      <c r="VZH47" s="595"/>
      <c r="VZI47" s="595"/>
      <c r="VZJ47" s="595"/>
      <c r="VZK47" s="595"/>
      <c r="VZL47" s="595"/>
      <c r="VZM47" s="595"/>
      <c r="VZN47" s="595"/>
      <c r="VZO47" s="595"/>
      <c r="VZP47" s="595"/>
      <c r="VZQ47" s="595"/>
      <c r="VZR47" s="595"/>
      <c r="VZS47" s="595"/>
      <c r="VZT47" s="595"/>
      <c r="VZU47" s="595"/>
      <c r="VZV47" s="595"/>
      <c r="VZW47" s="595"/>
      <c r="VZX47" s="595"/>
      <c r="VZY47" s="595"/>
      <c r="VZZ47" s="595"/>
      <c r="WAA47" s="595"/>
      <c r="WAB47" s="595"/>
      <c r="WAC47" s="595"/>
      <c r="WAD47" s="595"/>
      <c r="WAE47" s="595"/>
      <c r="WAF47" s="595"/>
      <c r="WAG47" s="595"/>
      <c r="WAH47" s="595"/>
      <c r="WAI47" s="595"/>
      <c r="WAJ47" s="595"/>
      <c r="WAK47" s="595"/>
      <c r="WAL47" s="595"/>
      <c r="WAM47" s="595"/>
      <c r="WAN47" s="595"/>
      <c r="WAO47" s="595"/>
      <c r="WAP47" s="595"/>
      <c r="WAQ47" s="595"/>
      <c r="WAR47" s="595"/>
      <c r="WAS47" s="595"/>
      <c r="WAT47" s="595"/>
      <c r="WAU47" s="595"/>
      <c r="WAV47" s="595"/>
      <c r="WAW47" s="595"/>
      <c r="WAX47" s="595"/>
      <c r="WAY47" s="595"/>
      <c r="WAZ47" s="595"/>
      <c r="WBA47" s="595"/>
      <c r="WBB47" s="595"/>
      <c r="WBC47" s="595"/>
      <c r="WBD47" s="595"/>
      <c r="WBE47" s="595"/>
      <c r="WBF47" s="595"/>
      <c r="WBG47" s="595"/>
      <c r="WBH47" s="595"/>
      <c r="WBI47" s="595"/>
      <c r="WBJ47" s="595"/>
      <c r="WBK47" s="595"/>
      <c r="WBL47" s="595"/>
      <c r="WBM47" s="595"/>
      <c r="WBN47" s="595"/>
      <c r="WBO47" s="595"/>
      <c r="WBP47" s="595"/>
      <c r="WBQ47" s="595"/>
      <c r="WBR47" s="595"/>
      <c r="WBS47" s="595"/>
      <c r="WBT47" s="595"/>
      <c r="WBU47" s="595"/>
      <c r="WBV47" s="595"/>
      <c r="WBW47" s="595"/>
      <c r="WBX47" s="595"/>
      <c r="WBY47" s="595"/>
      <c r="WBZ47" s="595"/>
      <c r="WCA47" s="595"/>
      <c r="WCB47" s="595"/>
      <c r="WCC47" s="595"/>
      <c r="WCD47" s="595"/>
      <c r="WCE47" s="595"/>
      <c r="WCF47" s="595"/>
      <c r="WCG47" s="595"/>
      <c r="WCH47" s="595"/>
      <c r="WCI47" s="595"/>
      <c r="WCJ47" s="595"/>
      <c r="WCK47" s="595"/>
      <c r="WCL47" s="595"/>
      <c r="WCM47" s="595"/>
      <c r="WCN47" s="595"/>
      <c r="WCO47" s="595"/>
      <c r="WCP47" s="595"/>
      <c r="WCQ47" s="595"/>
      <c r="WCR47" s="595"/>
      <c r="WCS47" s="595"/>
      <c r="WCT47" s="595"/>
      <c r="WCU47" s="595"/>
      <c r="WCV47" s="595"/>
      <c r="WCW47" s="595"/>
      <c r="WCX47" s="595"/>
      <c r="WCY47" s="595"/>
      <c r="WCZ47" s="595"/>
      <c r="WDA47" s="595"/>
      <c r="WDB47" s="595"/>
      <c r="WDC47" s="595"/>
      <c r="WDD47" s="595"/>
      <c r="WDE47" s="595"/>
      <c r="WDF47" s="595"/>
      <c r="WDG47" s="595"/>
      <c r="WDH47" s="595"/>
      <c r="WDI47" s="595"/>
      <c r="WDJ47" s="595"/>
      <c r="WDK47" s="595"/>
      <c r="WDL47" s="595"/>
      <c r="WDM47" s="595"/>
      <c r="WDN47" s="595"/>
      <c r="WDO47" s="595"/>
      <c r="WDP47" s="595"/>
      <c r="WDQ47" s="595"/>
      <c r="WDR47" s="595"/>
      <c r="WDS47" s="595"/>
      <c r="WDT47" s="595"/>
      <c r="WDU47" s="595"/>
      <c r="WDV47" s="595"/>
      <c r="WDW47" s="595"/>
      <c r="WDX47" s="595"/>
      <c r="WDY47" s="595"/>
      <c r="WDZ47" s="595"/>
      <c r="WEA47" s="595"/>
      <c r="WEB47" s="595"/>
      <c r="WEC47" s="595"/>
      <c r="WED47" s="595"/>
      <c r="WEE47" s="595"/>
      <c r="WEF47" s="595"/>
      <c r="WEG47" s="595"/>
      <c r="WEH47" s="595"/>
      <c r="WEI47" s="595"/>
      <c r="WEJ47" s="595"/>
      <c r="WEK47" s="595"/>
      <c r="WEL47" s="595"/>
      <c r="WEM47" s="595"/>
      <c r="WEN47" s="595"/>
      <c r="WEO47" s="595"/>
      <c r="WEP47" s="595"/>
      <c r="WEQ47" s="595"/>
      <c r="WER47" s="595"/>
      <c r="WES47" s="595"/>
      <c r="WET47" s="595"/>
      <c r="WEU47" s="595"/>
      <c r="WEV47" s="595"/>
      <c r="WEW47" s="595"/>
      <c r="WEX47" s="595"/>
      <c r="WEY47" s="595"/>
      <c r="WEZ47" s="595"/>
      <c r="WFA47" s="595"/>
      <c r="WFB47" s="595"/>
      <c r="WFC47" s="595"/>
      <c r="WFD47" s="595"/>
      <c r="WFE47" s="595"/>
      <c r="WFF47" s="595"/>
      <c r="WFG47" s="595"/>
      <c r="WFH47" s="595"/>
      <c r="WFI47" s="595"/>
      <c r="WFJ47" s="595"/>
      <c r="WFK47" s="595"/>
      <c r="WFL47" s="595"/>
      <c r="WFM47" s="595"/>
      <c r="WFN47" s="595"/>
      <c r="WFO47" s="595"/>
      <c r="WFP47" s="595"/>
      <c r="WFQ47" s="595"/>
      <c r="WFR47" s="595"/>
      <c r="WFS47" s="595"/>
      <c r="WFT47" s="595"/>
      <c r="WFU47" s="595"/>
      <c r="WFV47" s="595"/>
      <c r="WFW47" s="595"/>
      <c r="WFX47" s="595"/>
      <c r="WFY47" s="595"/>
      <c r="WFZ47" s="595"/>
      <c r="WGA47" s="595"/>
      <c r="WGB47" s="595"/>
      <c r="WGC47" s="595"/>
      <c r="WGD47" s="595"/>
      <c r="WGE47" s="595"/>
      <c r="WGF47" s="595"/>
      <c r="WGG47" s="595"/>
      <c r="WGH47" s="595"/>
      <c r="WGI47" s="595"/>
      <c r="WGJ47" s="595"/>
      <c r="WGK47" s="595"/>
      <c r="WGL47" s="595"/>
      <c r="WGM47" s="595"/>
      <c r="WGN47" s="595"/>
      <c r="WGO47" s="595"/>
      <c r="WGP47" s="595"/>
      <c r="WGQ47" s="595"/>
      <c r="WGR47" s="595"/>
      <c r="WGS47" s="595"/>
      <c r="WGT47" s="595"/>
      <c r="WGU47" s="595"/>
      <c r="WGV47" s="595"/>
      <c r="WGW47" s="595"/>
      <c r="WGX47" s="595"/>
      <c r="WGY47" s="595"/>
      <c r="WGZ47" s="595"/>
      <c r="WHA47" s="595"/>
      <c r="WHB47" s="595"/>
      <c r="WHC47" s="595"/>
      <c r="WHD47" s="595"/>
      <c r="WHE47" s="595"/>
      <c r="WHF47" s="595"/>
      <c r="WHG47" s="595"/>
      <c r="WHH47" s="595"/>
      <c r="WHI47" s="595"/>
      <c r="WHJ47" s="595"/>
      <c r="WHK47" s="595"/>
      <c r="WHL47" s="595"/>
      <c r="WHM47" s="595"/>
      <c r="WHN47" s="595"/>
      <c r="WHO47" s="595"/>
      <c r="WHP47" s="595"/>
      <c r="WHQ47" s="595"/>
      <c r="WHR47" s="595"/>
      <c r="WHS47" s="595"/>
      <c r="WHT47" s="595"/>
      <c r="WHU47" s="595"/>
      <c r="WHV47" s="595"/>
      <c r="WHW47" s="595"/>
      <c r="WHX47" s="595"/>
      <c r="WHY47" s="595"/>
      <c r="WHZ47" s="595"/>
      <c r="WIA47" s="595"/>
      <c r="WIB47" s="595"/>
      <c r="WIC47" s="595"/>
      <c r="WID47" s="595"/>
      <c r="WIE47" s="595"/>
      <c r="WIF47" s="595"/>
      <c r="WIG47" s="595"/>
      <c r="WIH47" s="595"/>
      <c r="WII47" s="595"/>
      <c r="WIJ47" s="595"/>
      <c r="WIK47" s="595"/>
      <c r="WIL47" s="595"/>
      <c r="WIM47" s="595"/>
      <c r="WIN47" s="595"/>
      <c r="WIO47" s="595"/>
      <c r="WIP47" s="595"/>
      <c r="WIQ47" s="595"/>
      <c r="WIR47" s="595"/>
      <c r="WIS47" s="595"/>
      <c r="WIT47" s="595"/>
      <c r="WIU47" s="595"/>
      <c r="WIV47" s="595"/>
      <c r="WIW47" s="595"/>
      <c r="WIX47" s="595"/>
      <c r="WIY47" s="595"/>
      <c r="WIZ47" s="595"/>
      <c r="WJA47" s="595"/>
      <c r="WJB47" s="595"/>
      <c r="WJC47" s="595"/>
      <c r="WJD47" s="595"/>
      <c r="WJE47" s="595"/>
      <c r="WJF47" s="595"/>
      <c r="WJG47" s="595"/>
      <c r="WJH47" s="595"/>
      <c r="WJI47" s="595"/>
      <c r="WJJ47" s="595"/>
      <c r="WJK47" s="595"/>
      <c r="WJL47" s="595"/>
      <c r="WJM47" s="595"/>
      <c r="WJN47" s="595"/>
      <c r="WJO47" s="595"/>
      <c r="WJP47" s="595"/>
      <c r="WJQ47" s="595"/>
      <c r="WJR47" s="595"/>
      <c r="WJS47" s="595"/>
      <c r="WJT47" s="595"/>
      <c r="WJU47" s="595"/>
      <c r="WJV47" s="595"/>
      <c r="WJW47" s="595"/>
      <c r="WJX47" s="595"/>
      <c r="WJY47" s="595"/>
      <c r="WJZ47" s="595"/>
      <c r="WKA47" s="595"/>
      <c r="WKB47" s="595"/>
      <c r="WKC47" s="595"/>
      <c r="WKD47" s="595"/>
      <c r="WKE47" s="595"/>
      <c r="WKF47" s="595"/>
      <c r="WKG47" s="595"/>
      <c r="WKH47" s="595"/>
      <c r="WKI47" s="595"/>
      <c r="WKJ47" s="595"/>
      <c r="WKK47" s="595"/>
      <c r="WKL47" s="595"/>
      <c r="WKM47" s="595"/>
      <c r="WKN47" s="595"/>
      <c r="WKO47" s="595"/>
      <c r="WKP47" s="595"/>
      <c r="WKQ47" s="595"/>
      <c r="WKR47" s="595"/>
      <c r="WKS47" s="595"/>
      <c r="WKT47" s="595"/>
      <c r="WKU47" s="595"/>
      <c r="WKV47" s="595"/>
      <c r="WKW47" s="595"/>
      <c r="WKX47" s="595"/>
      <c r="WKY47" s="595"/>
      <c r="WKZ47" s="595"/>
      <c r="WLA47" s="595"/>
      <c r="WLB47" s="595"/>
      <c r="WLC47" s="595"/>
      <c r="WLD47" s="595"/>
      <c r="WLE47" s="595"/>
      <c r="WLF47" s="595"/>
      <c r="WLG47" s="595"/>
      <c r="WLH47" s="595"/>
      <c r="WLI47" s="595"/>
      <c r="WLJ47" s="595"/>
      <c r="WLK47" s="595"/>
      <c r="WLL47" s="595"/>
      <c r="WLM47" s="595"/>
      <c r="WLN47" s="595"/>
      <c r="WLO47" s="595"/>
      <c r="WLP47" s="595"/>
      <c r="WLQ47" s="595"/>
      <c r="WLR47" s="595"/>
      <c r="WLS47" s="595"/>
      <c r="WLT47" s="595"/>
      <c r="WLU47" s="595"/>
      <c r="WLV47" s="595"/>
      <c r="WLW47" s="595"/>
      <c r="WLX47" s="595"/>
      <c r="WLY47" s="595"/>
      <c r="WLZ47" s="595"/>
      <c r="WMA47" s="595"/>
      <c r="WMB47" s="595"/>
      <c r="WMC47" s="595"/>
      <c r="WMD47" s="595"/>
      <c r="WME47" s="595"/>
      <c r="WMF47" s="595"/>
      <c r="WMG47" s="595"/>
      <c r="WMH47" s="595"/>
      <c r="WMI47" s="595"/>
      <c r="WMJ47" s="595"/>
      <c r="WMK47" s="595"/>
      <c r="WML47" s="595"/>
      <c r="WMM47" s="595"/>
      <c r="WMN47" s="595"/>
      <c r="WMO47" s="595"/>
      <c r="WMP47" s="595"/>
      <c r="WMQ47" s="595"/>
      <c r="WMR47" s="595"/>
      <c r="WMS47" s="595"/>
      <c r="WMT47" s="595"/>
      <c r="WMU47" s="595"/>
      <c r="WMV47" s="595"/>
      <c r="WMW47" s="595"/>
      <c r="WMX47" s="595"/>
      <c r="WMY47" s="595"/>
      <c r="WMZ47" s="595"/>
      <c r="WNA47" s="595"/>
      <c r="WNB47" s="595"/>
      <c r="WNC47" s="595"/>
      <c r="WND47" s="595"/>
      <c r="WNE47" s="595"/>
      <c r="WNF47" s="595"/>
      <c r="WNG47" s="595"/>
      <c r="WNH47" s="595"/>
      <c r="WNI47" s="595"/>
      <c r="WNJ47" s="595"/>
      <c r="WNK47" s="595"/>
      <c r="WNL47" s="595"/>
      <c r="WNM47" s="595"/>
      <c r="WNN47" s="595"/>
      <c r="WNO47" s="595"/>
      <c r="WNP47" s="595"/>
      <c r="WNQ47" s="595"/>
      <c r="WNR47" s="595"/>
      <c r="WNS47" s="595"/>
      <c r="WNT47" s="595"/>
      <c r="WNU47" s="595"/>
      <c r="WNV47" s="595"/>
      <c r="WNW47" s="595"/>
      <c r="WNX47" s="595"/>
      <c r="WNY47" s="595"/>
      <c r="WNZ47" s="595"/>
      <c r="WOA47" s="595"/>
      <c r="WOB47" s="595"/>
      <c r="WOC47" s="595"/>
      <c r="WOD47" s="595"/>
      <c r="WOE47" s="595"/>
      <c r="WOF47" s="595"/>
      <c r="WOG47" s="595"/>
      <c r="WOH47" s="595"/>
      <c r="WOI47" s="595"/>
      <c r="WOJ47" s="595"/>
      <c r="WOK47" s="595"/>
      <c r="WOL47" s="595"/>
      <c r="WOM47" s="595"/>
      <c r="WON47" s="595"/>
      <c r="WOO47" s="595"/>
      <c r="WOP47" s="595"/>
      <c r="WOQ47" s="595"/>
      <c r="WOR47" s="595"/>
      <c r="WOS47" s="595"/>
      <c r="WOT47" s="595"/>
      <c r="WOU47" s="595"/>
      <c r="WOV47" s="595"/>
      <c r="WOW47" s="595"/>
      <c r="WOX47" s="595"/>
      <c r="WOY47" s="595"/>
      <c r="WOZ47" s="595"/>
      <c r="WPA47" s="595"/>
      <c r="WPB47" s="595"/>
      <c r="WPC47" s="595"/>
      <c r="WPD47" s="595"/>
      <c r="WPE47" s="595"/>
      <c r="WPF47" s="595"/>
      <c r="WPG47" s="595"/>
      <c r="WPH47" s="595"/>
      <c r="WPI47" s="595"/>
      <c r="WPJ47" s="595"/>
      <c r="WPK47" s="595"/>
      <c r="WPL47" s="595"/>
      <c r="WPM47" s="595"/>
      <c r="WPN47" s="595"/>
      <c r="WPO47" s="595"/>
      <c r="WPP47" s="595"/>
      <c r="WPQ47" s="595"/>
      <c r="WPR47" s="595"/>
      <c r="WPS47" s="595"/>
      <c r="WPT47" s="595"/>
      <c r="WPU47" s="595"/>
      <c r="WPV47" s="595"/>
      <c r="WPW47" s="595"/>
      <c r="WPX47" s="595"/>
      <c r="WPY47" s="595"/>
      <c r="WPZ47" s="595"/>
      <c r="WQA47" s="595"/>
      <c r="WQB47" s="595"/>
      <c r="WQC47" s="595"/>
      <c r="WQD47" s="595"/>
      <c r="WQE47" s="595"/>
      <c r="WQF47" s="595"/>
      <c r="WQG47" s="595"/>
      <c r="WQH47" s="595"/>
      <c r="WQI47" s="595"/>
      <c r="WQJ47" s="595"/>
      <c r="WQK47" s="595"/>
      <c r="WQL47" s="595"/>
      <c r="WQM47" s="595"/>
      <c r="WQN47" s="595"/>
      <c r="WQO47" s="595"/>
      <c r="WQP47" s="595"/>
      <c r="WQQ47" s="595"/>
      <c r="WQR47" s="595"/>
      <c r="WQS47" s="595"/>
      <c r="WQT47" s="595"/>
      <c r="WQU47" s="595"/>
      <c r="WQV47" s="595"/>
      <c r="WQW47" s="595"/>
      <c r="WQX47" s="595"/>
      <c r="WQY47" s="595"/>
      <c r="WQZ47" s="595"/>
      <c r="WRA47" s="595"/>
      <c r="WRB47" s="595"/>
      <c r="WRC47" s="595"/>
      <c r="WRD47" s="595"/>
      <c r="WRE47" s="595"/>
      <c r="WRF47" s="595"/>
      <c r="WRG47" s="595"/>
      <c r="WRH47" s="595"/>
      <c r="WRI47" s="595"/>
      <c r="WRJ47" s="595"/>
      <c r="WRK47" s="595"/>
      <c r="WRL47" s="595"/>
      <c r="WRM47" s="595"/>
      <c r="WRN47" s="595"/>
      <c r="WRO47" s="595"/>
      <c r="WRP47" s="595"/>
      <c r="WRQ47" s="595"/>
      <c r="WRR47" s="595"/>
      <c r="WRS47" s="595"/>
      <c r="WRT47" s="595"/>
      <c r="WRU47" s="595"/>
      <c r="WRV47" s="595"/>
      <c r="WRW47" s="595"/>
      <c r="WRX47" s="595"/>
      <c r="WRY47" s="595"/>
      <c r="WRZ47" s="595"/>
      <c r="WSA47" s="595"/>
      <c r="WSB47" s="595"/>
      <c r="WSC47" s="595"/>
      <c r="WSD47" s="595"/>
      <c r="WSE47" s="595"/>
      <c r="WSF47" s="595"/>
      <c r="WSG47" s="595"/>
      <c r="WSH47" s="595"/>
      <c r="WSI47" s="595"/>
      <c r="WSJ47" s="595"/>
      <c r="WSK47" s="595"/>
      <c r="WSL47" s="595"/>
      <c r="WSM47" s="595"/>
      <c r="WSN47" s="595"/>
      <c r="WSO47" s="595"/>
      <c r="WSP47" s="595"/>
      <c r="WSQ47" s="595"/>
      <c r="WSR47" s="595"/>
      <c r="WSS47" s="595"/>
      <c r="WST47" s="595"/>
      <c r="WSU47" s="595"/>
      <c r="WSV47" s="595"/>
      <c r="WSW47" s="595"/>
      <c r="WSX47" s="595"/>
      <c r="WSY47" s="595"/>
      <c r="WSZ47" s="595"/>
      <c r="WTA47" s="595"/>
      <c r="WTB47" s="595"/>
      <c r="WTC47" s="595"/>
      <c r="WTD47" s="595"/>
      <c r="WTE47" s="595"/>
      <c r="WTF47" s="595"/>
      <c r="WTG47" s="595"/>
      <c r="WTH47" s="595"/>
      <c r="WTI47" s="595"/>
      <c r="WTJ47" s="595"/>
      <c r="WTK47" s="595"/>
      <c r="WTL47" s="595"/>
      <c r="WTM47" s="595"/>
      <c r="WTN47" s="595"/>
      <c r="WTO47" s="595"/>
      <c r="WTP47" s="595"/>
      <c r="WTQ47" s="595"/>
      <c r="WTR47" s="595"/>
      <c r="WTS47" s="595"/>
      <c r="WTT47" s="595"/>
      <c r="WTU47" s="595"/>
      <c r="WTV47" s="595"/>
      <c r="WTW47" s="595"/>
      <c r="WTX47" s="595"/>
      <c r="WTY47" s="595"/>
      <c r="WTZ47" s="595"/>
      <c r="WUA47" s="595"/>
      <c r="WUB47" s="595"/>
      <c r="WUC47" s="595"/>
      <c r="WUD47" s="595"/>
      <c r="WUE47" s="595"/>
      <c r="WUF47" s="595"/>
      <c r="WUG47" s="595"/>
      <c r="WUH47" s="595"/>
      <c r="WUI47" s="595"/>
      <c r="WUJ47" s="595"/>
      <c r="WUK47" s="595"/>
      <c r="WUL47" s="595"/>
      <c r="WUM47" s="595"/>
      <c r="WUN47" s="595"/>
      <c r="WUO47" s="595"/>
      <c r="WUP47" s="595"/>
      <c r="WUQ47" s="595"/>
      <c r="WUR47" s="595"/>
      <c r="WUS47" s="595"/>
      <c r="WUT47" s="595"/>
      <c r="WUU47" s="595"/>
      <c r="WUV47" s="595"/>
      <c r="WUW47" s="595"/>
      <c r="WUX47" s="595"/>
      <c r="WUY47" s="595"/>
      <c r="WUZ47" s="595"/>
      <c r="WVA47" s="595"/>
      <c r="WVB47" s="595"/>
      <c r="WVC47" s="595"/>
      <c r="WVD47" s="595"/>
      <c r="WVE47" s="595"/>
      <c r="WVF47" s="595"/>
      <c r="WVG47" s="595"/>
      <c r="WVH47" s="595"/>
      <c r="WVI47" s="595"/>
      <c r="WVJ47" s="595"/>
      <c r="WVK47" s="595"/>
      <c r="WVL47" s="595"/>
      <c r="WVM47" s="595"/>
      <c r="WVN47" s="595"/>
      <c r="WVO47" s="595"/>
      <c r="WVP47" s="595"/>
      <c r="WVQ47" s="595"/>
    </row>
  </sheetData>
  <mergeCells count="8">
    <mergeCell ref="A46:I46"/>
    <mergeCell ref="A47:I47"/>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33"/>
  <sheetViews>
    <sheetView topLeftCell="A7" workbookViewId="0">
      <pane ySplit="6" topLeftCell="A13" activePane="bottomLeft" state="frozen"/>
      <selection activeCell="A7" sqref="A7"/>
      <selection pane="bottomLeft" activeCell="F31" sqref="F31"/>
    </sheetView>
  </sheetViews>
  <sheetFormatPr defaultRowHeight="12.75"/>
  <cols>
    <col min="1" max="1" width="4.140625" style="466" customWidth="1"/>
    <col min="2" max="2" width="9.140625" style="466" customWidth="1"/>
    <col min="3" max="3" width="9" style="467" customWidth="1"/>
    <col min="4" max="4" width="28.140625" style="466" customWidth="1"/>
    <col min="5" max="5" width="9.140625" style="466" customWidth="1"/>
    <col min="6" max="6" width="9.28515625" style="467" customWidth="1"/>
    <col min="7" max="7" width="9" style="466" customWidth="1"/>
    <col min="8" max="8" width="14.5703125" style="466" customWidth="1"/>
    <col min="9" max="9" width="6" style="466" customWidth="1"/>
    <col min="10" max="10" width="14.140625" style="466" customWidth="1"/>
    <col min="11" max="11" width="14.85546875" style="468" customWidth="1"/>
    <col min="12" max="12" width="14.42578125" style="466" customWidth="1"/>
    <col min="13" max="13" width="5.85546875" style="466" customWidth="1"/>
    <col min="14" max="14" width="7.42578125" style="466" customWidth="1"/>
    <col min="15" max="15" width="11.7109375" style="466" customWidth="1"/>
    <col min="16" max="16" width="4.5703125" style="532" customWidth="1"/>
    <col min="17" max="17" width="11.140625" style="466" bestFit="1" customWidth="1"/>
    <col min="18" max="18" width="12" style="466" bestFit="1" customWidth="1"/>
    <col min="19" max="16384" width="9.140625" style="466"/>
  </cols>
  <sheetData>
    <row r="1" spans="1:18" ht="15" customHeight="1">
      <c r="A1" s="592" t="str">
        <f>TH!A1</f>
        <v>Đơn vị: CÔNG TY TNHH MỘT THÀNH VIÊN KHỞI NGUYÊN AN</v>
      </c>
      <c r="L1" s="1165" t="s">
        <v>265</v>
      </c>
      <c r="M1" s="1165"/>
      <c r="N1" s="1165"/>
      <c r="O1" s="1165"/>
    </row>
    <row r="2" spans="1:18" ht="15" customHeight="1">
      <c r="A2" s="465" t="str">
        <f>TH!A2</f>
        <v>Địa chỉ: Thửa đất số 144, tờ bản đồ số 12TĐH.1, tổ 1, khu phố Đông Tác, Phường Tân Đông Hiệp, Thị Xã Dĩ An, Tỉnh Bình Dương, Việt Nam</v>
      </c>
      <c r="L2" s="1164" t="str">
        <f>IF(YEAR($C$14)&gt;=2015,"(Ban hành theo Thông tư số 200/2014/TT-BTC  Ngày 22/12/2014 của Bộ Tài chính)","(Ban hành kèm theo QĐ 48/2006/QĐ-BTC ngày 24/09/2006 của Bộ trưởng BTC)")</f>
        <v>(Ban hành kèm theo QĐ 48/2006/QĐ-BTC ngày 24/09/2006 của Bộ trưởng BTC)</v>
      </c>
      <c r="M2" s="1164"/>
      <c r="N2" s="1164"/>
      <c r="O2" s="1164"/>
    </row>
    <row r="3" spans="1:18" ht="15" customHeight="1">
      <c r="L3" s="1164"/>
      <c r="M3" s="1164"/>
      <c r="N3" s="1164"/>
      <c r="O3" s="1164"/>
    </row>
    <row r="5" spans="1:18" s="471" customFormat="1" ht="24" customHeight="1">
      <c r="A5" s="1166" t="s">
        <v>266</v>
      </c>
      <c r="B5" s="1166"/>
      <c r="C5" s="1166"/>
      <c r="D5" s="1166"/>
      <c r="E5" s="1166"/>
      <c r="F5" s="1166"/>
      <c r="G5" s="1166"/>
      <c r="H5" s="1166"/>
      <c r="I5" s="1166"/>
      <c r="J5" s="1166"/>
      <c r="K5" s="1166"/>
      <c r="L5" s="1166"/>
      <c r="M5" s="1166"/>
      <c r="N5" s="1166"/>
      <c r="O5" s="1166"/>
      <c r="P5" s="533"/>
    </row>
    <row r="6" spans="1:18" s="471" customFormat="1" ht="21" customHeight="1">
      <c r="A6" s="1167" t="s">
        <v>363</v>
      </c>
      <c r="B6" s="1167"/>
      <c r="C6" s="1167"/>
      <c r="D6" s="1167"/>
      <c r="E6" s="1167"/>
      <c r="F6" s="1167"/>
      <c r="G6" s="1167"/>
      <c r="H6" s="1167"/>
      <c r="I6" s="1167"/>
      <c r="J6" s="1167"/>
      <c r="K6" s="1167"/>
      <c r="L6" s="1167"/>
      <c r="M6" s="1167"/>
      <c r="N6" s="1167"/>
      <c r="O6" s="1167"/>
      <c r="P6" s="533"/>
    </row>
    <row r="7" spans="1:18" s="471" customFormat="1" ht="21" customHeight="1">
      <c r="A7" s="1168" t="s">
        <v>308</v>
      </c>
      <c r="B7" s="1168"/>
      <c r="C7" s="1168"/>
      <c r="D7" s="1168"/>
      <c r="E7" s="1168"/>
      <c r="F7" s="1168"/>
      <c r="G7" s="1168"/>
      <c r="H7" s="1168"/>
      <c r="I7" s="1168"/>
      <c r="J7" s="1168"/>
      <c r="K7" s="1168"/>
      <c r="L7" s="1168"/>
      <c r="M7" s="1168"/>
      <c r="N7" s="1168"/>
      <c r="O7" s="1168"/>
      <c r="P7" s="533"/>
    </row>
    <row r="8" spans="1:18">
      <c r="D8" s="467"/>
    </row>
    <row r="9" spans="1:18" s="472" customFormat="1" ht="24" customHeight="1">
      <c r="A9" s="1155" t="s">
        <v>219</v>
      </c>
      <c r="B9" s="1158" t="s">
        <v>267</v>
      </c>
      <c r="C9" s="1159"/>
      <c r="D9" s="1159"/>
      <c r="E9" s="1159"/>
      <c r="F9" s="1159"/>
      <c r="G9" s="1159"/>
      <c r="H9" s="1160"/>
      <c r="I9" s="1158" t="s">
        <v>268</v>
      </c>
      <c r="J9" s="1159"/>
      <c r="K9" s="1159"/>
      <c r="L9" s="1160"/>
      <c r="M9" s="1161" t="s">
        <v>269</v>
      </c>
      <c r="N9" s="1161"/>
      <c r="O9" s="1161"/>
      <c r="P9" s="534"/>
    </row>
    <row r="10" spans="1:18" s="472" customFormat="1" ht="24" customHeight="1">
      <c r="A10" s="1156"/>
      <c r="B10" s="1158" t="s">
        <v>270</v>
      </c>
      <c r="C10" s="1160"/>
      <c r="D10" s="1155" t="s">
        <v>271</v>
      </c>
      <c r="E10" s="1155" t="s">
        <v>272</v>
      </c>
      <c r="F10" s="1155" t="s">
        <v>273</v>
      </c>
      <c r="G10" s="1155" t="s">
        <v>274</v>
      </c>
      <c r="H10" s="1155" t="s">
        <v>275</v>
      </c>
      <c r="I10" s="1158" t="s">
        <v>276</v>
      </c>
      <c r="J10" s="1160"/>
      <c r="K10" s="1162" t="s">
        <v>277</v>
      </c>
      <c r="L10" s="1155" t="s">
        <v>278</v>
      </c>
      <c r="M10" s="1161" t="s">
        <v>270</v>
      </c>
      <c r="N10" s="1161"/>
      <c r="O10" s="1161" t="s">
        <v>279</v>
      </c>
      <c r="P10" s="534"/>
    </row>
    <row r="11" spans="1:18" s="472" customFormat="1" ht="55.5" customHeight="1">
      <c r="A11" s="1157"/>
      <c r="B11" s="473" t="s">
        <v>280</v>
      </c>
      <c r="C11" s="473" t="s">
        <v>220</v>
      </c>
      <c r="D11" s="1157"/>
      <c r="E11" s="1157"/>
      <c r="F11" s="1157"/>
      <c r="G11" s="1157"/>
      <c r="H11" s="1157"/>
      <c r="I11" s="473" t="s">
        <v>281</v>
      </c>
      <c r="J11" s="473" t="s">
        <v>282</v>
      </c>
      <c r="K11" s="1163"/>
      <c r="L11" s="1157"/>
      <c r="M11" s="473" t="s">
        <v>15</v>
      </c>
      <c r="N11" s="473" t="s">
        <v>220</v>
      </c>
      <c r="O11" s="1161"/>
      <c r="P11" s="534"/>
    </row>
    <row r="12" spans="1:18" s="476" customFormat="1" ht="13.5">
      <c r="A12" s="474" t="s">
        <v>2</v>
      </c>
      <c r="B12" s="474" t="s">
        <v>3</v>
      </c>
      <c r="C12" s="474" t="s">
        <v>4</v>
      </c>
      <c r="D12" s="474" t="s">
        <v>5</v>
      </c>
      <c r="E12" s="474" t="s">
        <v>6</v>
      </c>
      <c r="F12" s="474" t="s">
        <v>131</v>
      </c>
      <c r="G12" s="474" t="s">
        <v>283</v>
      </c>
      <c r="H12" s="474">
        <v>1</v>
      </c>
      <c r="I12" s="474">
        <v>2</v>
      </c>
      <c r="J12" s="474">
        <v>3</v>
      </c>
      <c r="K12" s="475"/>
      <c r="L12" s="474">
        <v>4</v>
      </c>
      <c r="M12" s="474" t="s">
        <v>284</v>
      </c>
      <c r="N12" s="474" t="s">
        <v>285</v>
      </c>
      <c r="O12" s="474" t="s">
        <v>286</v>
      </c>
      <c r="P12" s="535"/>
    </row>
    <row r="13" spans="1:18" s="476" customFormat="1" ht="21.75" customHeight="1">
      <c r="A13" s="496" t="s">
        <v>284</v>
      </c>
      <c r="B13" s="498" t="s">
        <v>307</v>
      </c>
      <c r="C13" s="496"/>
      <c r="D13" s="496"/>
      <c r="E13" s="496"/>
      <c r="F13" s="496"/>
      <c r="G13" s="536"/>
      <c r="H13" s="503"/>
      <c r="I13" s="503"/>
      <c r="J13" s="503"/>
      <c r="K13" s="503"/>
      <c r="L13" s="8"/>
      <c r="M13" s="496"/>
      <c r="N13" s="496"/>
      <c r="O13" s="180"/>
      <c r="P13" s="535" t="str">
        <f>IF(D13='THE-TS'!$D$11,"x","")</f>
        <v/>
      </c>
    </row>
    <row r="14" spans="1:18" ht="21.75" customHeight="1">
      <c r="A14" s="497">
        <v>1</v>
      </c>
      <c r="B14" s="507" t="s">
        <v>345</v>
      </c>
      <c r="C14" s="477">
        <v>40682</v>
      </c>
      <c r="D14" s="202" t="s">
        <v>341</v>
      </c>
      <c r="E14" s="425" t="s">
        <v>287</v>
      </c>
      <c r="F14" s="506" t="s">
        <v>367</v>
      </c>
      <c r="G14" s="536" t="s">
        <v>347</v>
      </c>
      <c r="H14" s="244">
        <v>18000000</v>
      </c>
      <c r="I14" s="244">
        <v>5</v>
      </c>
      <c r="J14" s="8">
        <v>2100000</v>
      </c>
      <c r="K14" s="8"/>
      <c r="L14" s="8">
        <f t="shared" ref="L14:L16" si="0">K14+J14</f>
        <v>2100000</v>
      </c>
      <c r="M14" s="493"/>
      <c r="N14" s="425"/>
      <c r="O14" s="180"/>
      <c r="P14" s="535" t="str">
        <f>IF(D14='THE-TS'!$D$11,"x","")</f>
        <v>x</v>
      </c>
      <c r="Q14" s="279"/>
      <c r="R14" s="279"/>
    </row>
    <row r="15" spans="1:18" ht="21.75" customHeight="1">
      <c r="A15" s="497">
        <v>2</v>
      </c>
      <c r="B15" s="506" t="s">
        <v>346</v>
      </c>
      <c r="C15" s="477">
        <v>40686</v>
      </c>
      <c r="D15" s="202" t="s">
        <v>342</v>
      </c>
      <c r="E15" s="425" t="s">
        <v>287</v>
      </c>
      <c r="F15" s="506" t="s">
        <v>367</v>
      </c>
      <c r="G15" s="536" t="s">
        <v>348</v>
      </c>
      <c r="H15" s="244">
        <v>27000000</v>
      </c>
      <c r="I15" s="244">
        <v>5</v>
      </c>
      <c r="J15" s="8">
        <v>3150000</v>
      </c>
      <c r="K15" s="8"/>
      <c r="L15" s="8">
        <f t="shared" si="0"/>
        <v>3150000</v>
      </c>
      <c r="M15" s="493"/>
      <c r="N15" s="425"/>
      <c r="O15" s="180"/>
      <c r="P15" s="535" t="str">
        <f>IF(D15='THE-TS'!$D$11,"x","")</f>
        <v/>
      </c>
      <c r="Q15" s="279"/>
      <c r="R15" s="279"/>
    </row>
    <row r="16" spans="1:18" ht="21.75" customHeight="1">
      <c r="A16" s="497">
        <v>3</v>
      </c>
      <c r="B16" s="506" t="s">
        <v>319</v>
      </c>
      <c r="C16" s="477">
        <v>40710</v>
      </c>
      <c r="D16" s="202" t="s">
        <v>343</v>
      </c>
      <c r="E16" s="425" t="s">
        <v>287</v>
      </c>
      <c r="F16" s="506" t="s">
        <v>368</v>
      </c>
      <c r="G16" s="536" t="s">
        <v>349</v>
      </c>
      <c r="H16" s="244">
        <v>320000000</v>
      </c>
      <c r="I16" s="244">
        <v>5</v>
      </c>
      <c r="J16" s="8">
        <v>32000000</v>
      </c>
      <c r="K16" s="8"/>
      <c r="L16" s="8">
        <f t="shared" si="0"/>
        <v>32000000</v>
      </c>
      <c r="M16" s="493"/>
      <c r="N16" s="180"/>
      <c r="O16" s="180"/>
      <c r="P16" s="535" t="str">
        <f>IF(D16='THE-TS'!$D$11,"x","")</f>
        <v/>
      </c>
      <c r="Q16" s="279"/>
      <c r="R16" s="279"/>
    </row>
    <row r="17" spans="1:18" ht="21.75" customHeight="1">
      <c r="A17" s="478"/>
      <c r="B17" s="499"/>
      <c r="C17" s="500"/>
      <c r="D17" s="501"/>
      <c r="E17" s="479"/>
      <c r="F17" s="500"/>
      <c r="G17" s="499"/>
      <c r="H17" s="504"/>
      <c r="I17" s="504"/>
      <c r="J17" s="283"/>
      <c r="K17" s="283"/>
      <c r="L17" s="283"/>
      <c r="M17" s="479"/>
      <c r="N17" s="479"/>
      <c r="O17" s="479"/>
      <c r="P17" s="535" t="str">
        <f>IF(D17='THE-TS'!$D$11,"x","")</f>
        <v/>
      </c>
      <c r="R17" s="494"/>
    </row>
    <row r="18" spans="1:18" s="482" customFormat="1" ht="21.75" customHeight="1">
      <c r="A18" s="480"/>
      <c r="B18" s="481"/>
      <c r="C18" s="480"/>
      <c r="D18" s="480" t="s">
        <v>288</v>
      </c>
      <c r="E18" s="480" t="s">
        <v>19</v>
      </c>
      <c r="F18" s="480" t="s">
        <v>19</v>
      </c>
      <c r="G18" s="480" t="s">
        <v>19</v>
      </c>
      <c r="H18" s="505">
        <f>SUM(H13:H17)</f>
        <v>365000000</v>
      </c>
      <c r="I18" s="505"/>
      <c r="J18" s="505">
        <f>SUM(J13:J17)</f>
        <v>37250000</v>
      </c>
      <c r="K18" s="505">
        <f>SUM(K13:K17)</f>
        <v>0</v>
      </c>
      <c r="L18" s="505">
        <f>SUM(L13:L17)</f>
        <v>37250000</v>
      </c>
      <c r="M18" s="541" t="s">
        <v>19</v>
      </c>
      <c r="N18" s="541" t="s">
        <v>19</v>
      </c>
      <c r="O18" s="541" t="s">
        <v>19</v>
      </c>
      <c r="P18" s="535" t="str">
        <f>IF(D18='THE-TS'!$D$11,"x","")</f>
        <v/>
      </c>
    </row>
    <row r="19" spans="1:18" ht="6.75" customHeight="1">
      <c r="A19" s="426"/>
      <c r="B19" s="426"/>
      <c r="C19" s="483"/>
      <c r="D19" s="426"/>
      <c r="E19" s="483"/>
      <c r="F19" s="483"/>
      <c r="G19" s="483"/>
      <c r="H19" s="426"/>
      <c r="I19" s="426"/>
      <c r="J19" s="426"/>
      <c r="K19" s="484"/>
      <c r="L19" s="426"/>
      <c r="M19" s="426"/>
      <c r="N19" s="426"/>
      <c r="O19" s="426"/>
      <c r="P19" s="535" t="str">
        <f>IF(D19='THE-TS'!$D$11,"x","")</f>
        <v/>
      </c>
    </row>
    <row r="20" spans="1:18" ht="13.5" customHeight="1">
      <c r="A20" s="426"/>
      <c r="B20" s="426"/>
      <c r="C20" s="483"/>
      <c r="D20" s="426" t="s">
        <v>289</v>
      </c>
      <c r="E20" s="426"/>
      <c r="F20" s="483"/>
      <c r="G20" s="426"/>
      <c r="H20" s="468"/>
      <c r="I20" s="468"/>
      <c r="J20" s="542"/>
      <c r="L20" s="468"/>
      <c r="M20" s="426"/>
      <c r="N20" s="426"/>
      <c r="O20" s="426"/>
      <c r="P20" s="535" t="str">
        <f>IF(D20='THE-TS'!$D$11,"x","")</f>
        <v/>
      </c>
    </row>
    <row r="21" spans="1:18" ht="13.5" customHeight="1">
      <c r="A21" s="426"/>
      <c r="B21" s="426"/>
      <c r="C21" s="483"/>
      <c r="D21" s="426" t="s">
        <v>365</v>
      </c>
      <c r="E21" s="426"/>
      <c r="F21" s="483"/>
      <c r="G21" s="426"/>
      <c r="H21" s="494"/>
      <c r="I21" s="426"/>
      <c r="J21" s="502"/>
      <c r="K21" s="484"/>
      <c r="L21" s="426"/>
      <c r="M21" s="426"/>
      <c r="N21" s="426"/>
      <c r="O21" s="426"/>
      <c r="P21" s="535" t="str">
        <f>IF(D21='THE-TS'!$D$11,"x","")</f>
        <v/>
      </c>
    </row>
    <row r="22" spans="1:18" ht="13.5" customHeight="1">
      <c r="K22" s="485"/>
      <c r="L22" s="470" t="s">
        <v>364</v>
      </c>
      <c r="P22" s="535" t="str">
        <f>IF(D22='THE-TS'!$D$11,"x","")</f>
        <v/>
      </c>
    </row>
    <row r="23" spans="1:18" ht="13.5" customHeight="1">
      <c r="B23" s="467"/>
      <c r="D23" s="467" t="s">
        <v>11</v>
      </c>
      <c r="F23" s="467" t="s">
        <v>290</v>
      </c>
      <c r="I23" s="486"/>
      <c r="K23" s="483"/>
      <c r="L23" s="483" t="s">
        <v>109</v>
      </c>
      <c r="P23" s="535" t="str">
        <f>IF(D23='THE-TS'!$D$11,"x","")</f>
        <v/>
      </c>
    </row>
    <row r="24" spans="1:18" ht="13.5" customHeight="1">
      <c r="B24" s="467"/>
      <c r="D24" s="467"/>
      <c r="P24" s="535" t="str">
        <f>IF(D24='THE-TS'!$D$11,"x","")</f>
        <v/>
      </c>
    </row>
    <row r="25" spans="1:18" ht="13.5" customHeight="1">
      <c r="H25" s="487"/>
      <c r="J25" s="487"/>
      <c r="L25" s="487"/>
      <c r="P25" s="535" t="str">
        <f>IF(D25='THE-TS'!$D$11,"x","")</f>
        <v/>
      </c>
    </row>
    <row r="26" spans="1:18" ht="13.5" customHeight="1">
      <c r="H26" s="488"/>
      <c r="P26" s="535" t="str">
        <f>IF(D26='THE-TS'!$D$11,"x","")</f>
        <v/>
      </c>
    </row>
    <row r="27" spans="1:18" ht="13.5" customHeight="1">
      <c r="H27" s="488"/>
      <c r="J27" s="487"/>
      <c r="P27" s="535" t="str">
        <f>IF(D27='THE-TS'!$D$11,"x","")</f>
        <v/>
      </c>
    </row>
    <row r="28" spans="1:18" ht="13.5" customHeight="1">
      <c r="H28" s="488"/>
      <c r="P28" s="535" t="str">
        <f>IF(D28='THE-TS'!$D$11,"x","")</f>
        <v/>
      </c>
    </row>
    <row r="29" spans="1:18" ht="13.5" customHeight="1">
      <c r="H29" s="488"/>
      <c r="P29" s="535" t="str">
        <f>IF(D29='THE-TS'!$D$11,"x","")</f>
        <v/>
      </c>
    </row>
    <row r="30" spans="1:18" s="489" customFormat="1" ht="13.5" customHeight="1">
      <c r="C30" s="490"/>
      <c r="D30" s="490"/>
      <c r="F30" s="490"/>
      <c r="H30" s="491"/>
      <c r="K30" s="492"/>
      <c r="P30" s="535"/>
    </row>
    <row r="31" spans="1:18" ht="13.5">
      <c r="P31" s="535" t="str">
        <f>IF(D31='THE-TS'!$D$11,"x","")</f>
        <v/>
      </c>
    </row>
    <row r="32" spans="1:18" ht="13.5" customHeight="1">
      <c r="H32" s="488"/>
      <c r="P32" s="535" t="str">
        <f>IF(D32='THE-TS'!$D$11,"x","")</f>
        <v/>
      </c>
    </row>
    <row r="33" spans="16:16" ht="13.5">
      <c r="P33" s="535" t="str">
        <f>IF(D33='THE-TS'!$D$11,"x","")</f>
        <v/>
      </c>
    </row>
  </sheetData>
  <mergeCells count="20">
    <mergeCell ref="L2:O3"/>
    <mergeCell ref="L1:O1"/>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s>
  <printOptions horizontalCentered="1"/>
  <pageMargins left="0.5" right="0.15" top="0.25" bottom="0.3" header="0" footer="0"/>
  <pageSetup paperSize="9" scale="8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45"/>
  <sheetViews>
    <sheetView topLeftCell="A2" workbookViewId="0">
      <selection activeCell="E36" sqref="E36:H36"/>
    </sheetView>
  </sheetViews>
  <sheetFormatPr defaultRowHeight="12.75"/>
  <cols>
    <col min="1" max="1" width="5" style="509" customWidth="1"/>
    <col min="2" max="2" width="10.140625" style="509" customWidth="1"/>
    <col min="3" max="3" width="11.5703125" style="509" customWidth="1"/>
    <col min="4" max="4" width="28.7109375" style="509" customWidth="1"/>
    <col min="5" max="5" width="13.28515625" style="509" customWidth="1"/>
    <col min="6" max="6" width="9.140625" style="509"/>
    <col min="7" max="7" width="14" style="509" customWidth="1"/>
    <col min="8" max="8" width="14.7109375" style="509" customWidth="1"/>
    <col min="9" max="10" width="9.140625" style="509"/>
    <col min="11" max="11" width="13.85546875" style="509" customWidth="1"/>
    <col min="12" max="16384" width="9.140625" style="509"/>
  </cols>
  <sheetData>
    <row r="1" spans="1:11" hidden="1"/>
    <row r="2" spans="1:11">
      <c r="A2" s="593" t="str">
        <f>TH!A1</f>
        <v>Đơn vị: CÔNG TY TNHH MỘT THÀNH VIÊN KHỞI NGUYÊN AN</v>
      </c>
      <c r="B2" s="508"/>
      <c r="C2" s="508"/>
      <c r="D2" s="508"/>
      <c r="E2" s="469"/>
      <c r="F2" s="1165" t="s">
        <v>291</v>
      </c>
      <c r="G2" s="1165"/>
      <c r="H2" s="1165"/>
    </row>
    <row r="3" spans="1:11">
      <c r="A3" s="525" t="str">
        <f>TH!A2</f>
        <v>Địa chỉ: Thửa đất số 144, tờ bản đồ số 12TĐH.1, tổ 1, khu phố Đông Tác, Phường Tân Đông Hiệp, Thị Xã Dĩ An, Tỉnh Bình Dương, Việt Nam</v>
      </c>
      <c r="B3" s="508"/>
      <c r="C3" s="508"/>
      <c r="D3" s="508"/>
      <c r="E3" s="470"/>
      <c r="F3" s="1164" t="e">
        <f ca="1">IF(YEAR(TK!$B$14)&gt;=2015,"(Ban hành theo Thông tư số 200/2014/TT-BTC  Ngày 22/12/2014 của Bộ Tài chính)","(Ban hành kèm theo QĐ 48/2006/QĐ-BTC ngày 24/09/2006 của Bộ trưởng BTC)")</f>
        <v>#VALUE!</v>
      </c>
      <c r="G3" s="1164"/>
      <c r="H3" s="1164"/>
    </row>
    <row r="4" spans="1:11">
      <c r="A4" s="467"/>
      <c r="B4" s="467"/>
      <c r="C4" s="470"/>
      <c r="D4" s="470"/>
      <c r="E4" s="470"/>
      <c r="F4" s="1164"/>
      <c r="G4" s="1164"/>
      <c r="H4" s="1164"/>
    </row>
    <row r="5" spans="1:11">
      <c r="A5" s="467"/>
      <c r="B5" s="467"/>
      <c r="C5" s="470"/>
      <c r="D5" s="470"/>
      <c r="E5" s="470"/>
      <c r="F5" s="470"/>
      <c r="G5" s="470"/>
      <c r="H5" s="470"/>
    </row>
    <row r="6" spans="1:11" ht="23.25" customHeight="1" thickBot="1">
      <c r="A6" s="1170" t="s">
        <v>292</v>
      </c>
      <c r="B6" s="1170"/>
      <c r="C6" s="1170"/>
      <c r="D6" s="1170"/>
      <c r="E6" s="1170"/>
      <c r="F6" s="1170"/>
      <c r="G6" s="1170"/>
      <c r="H6" s="1170"/>
    </row>
    <row r="7" spans="1:11" ht="17.25" customHeight="1" thickBot="1">
      <c r="A7" s="1169" t="str">
        <f ca="1" xml:space="preserve"> IF(ROWS($1:1)&gt;COUNT(Dong3),"","Số: "&amp;OFFSET('SO-TS'!$G$1,SMALL(Dong3,ROWS($1:1)),))</f>
        <v>Số: SX01/11</v>
      </c>
      <c r="B7" s="1169"/>
      <c r="C7" s="1169"/>
      <c r="D7" s="1169"/>
      <c r="E7" s="1169"/>
      <c r="F7" s="1169"/>
      <c r="G7" s="1169"/>
      <c r="H7" s="1169"/>
      <c r="J7" s="526" t="s">
        <v>309</v>
      </c>
      <c r="K7" s="527" t="s">
        <v>315</v>
      </c>
    </row>
    <row r="8" spans="1:11" ht="17.25" customHeight="1">
      <c r="A8" s="1171" t="str">
        <f ca="1" xml:space="preserve"> IF(ROWS($1:1)&gt;COUNT(Dong3),"","Ngày   "&amp;DAY(OFFSET('SO-TS'!$C$1,SMALL(Dong3,ROWS($1:1)),))&amp;"   tháng   "&amp;MONTH(OFFSET('SO-TS'!$C$1,SMALL(Dong3,ROWS($1:1)),))&amp;"  năm   "&amp;YEAR(OFFSET('SO-TS'!$C$1,SMALL(Dong3,ROWS($1:1)),)))</f>
        <v>Ngày   19   tháng   5  năm   2011</v>
      </c>
      <c r="B8" s="1171"/>
      <c r="C8" s="1171"/>
      <c r="D8" s="1171"/>
      <c r="E8" s="1171"/>
      <c r="F8" s="1171"/>
      <c r="G8" s="1171"/>
      <c r="H8" s="1171"/>
    </row>
    <row r="9" spans="1:11" ht="12" customHeight="1">
      <c r="A9" s="467"/>
      <c r="B9" s="467"/>
      <c r="C9" s="467"/>
      <c r="D9" s="467"/>
      <c r="E9" s="467"/>
      <c r="F9" s="467"/>
      <c r="G9" s="470"/>
      <c r="H9" s="470"/>
    </row>
    <row r="10" spans="1:11" ht="15" customHeight="1">
      <c r="A10" s="466" t="str">
        <f ca="1">"Căn cứ vào biên bản giao nhận TSCĐ "&amp;"  "&amp;A7&amp;"  "&amp;A8</f>
        <v>Căn cứ vào biên bản giao nhận TSCĐ   Số: SX01/11  Ngày   19   tháng   5  năm   2011</v>
      </c>
      <c r="B10" s="466"/>
      <c r="C10" s="466"/>
      <c r="D10" s="466"/>
      <c r="E10" s="466"/>
      <c r="F10" s="466"/>
      <c r="G10" s="466"/>
      <c r="H10" s="466"/>
    </row>
    <row r="11" spans="1:11" ht="15" customHeight="1">
      <c r="A11" s="466" t="s">
        <v>310</v>
      </c>
      <c r="B11" s="466"/>
      <c r="C11" s="466"/>
      <c r="D11" s="466" t="s">
        <v>341</v>
      </c>
      <c r="E11" s="466" t="str">
        <f ca="1" xml:space="preserve"> IF(ROWS($1:1)&gt;COUNT(Dong3),"","Số hiệu TSCĐ:   "&amp;OFFSET('SO-TS'!$G$1,SMALL(Dong3,ROWS($1:1)),))</f>
        <v>Số hiệu TSCĐ:   SX01/11</v>
      </c>
      <c r="F11" s="466"/>
      <c r="H11" s="466"/>
    </row>
    <row r="12" spans="1:11" ht="15" customHeight="1">
      <c r="A12" s="466" t="str">
        <f ca="1" xml:space="preserve"> IF(ROWS($1:1)&gt;COUNT(Dong3),"","Nước sản xuất:   "&amp;OFFSET('SO-TS'!$E$1,SMALL(Dong3,ROWS($1:1)),))</f>
        <v>Nước sản xuất:   Việt Nam</v>
      </c>
      <c r="B12" s="466"/>
      <c r="C12" s="466"/>
      <c r="D12" s="466"/>
      <c r="E12" s="466" t="s">
        <v>311</v>
      </c>
      <c r="F12" s="466"/>
      <c r="G12" s="466"/>
      <c r="H12" s="466"/>
    </row>
    <row r="13" spans="1:11" ht="15" customHeight="1">
      <c r="A13" s="466" t="str">
        <f ca="1" xml:space="preserve"> IF(ROWS($1:1)&gt;COUNT(Dong3),"","Bộ phận quản lý sử dụng:  "&amp;IF(LEFT(OFFSET('SO-TS'!$B$1,SMALL(Dong3,ROWS($1:1)),),2)="VP","Văn Phòng","Sản Xuất"))</f>
        <v>Bộ phận quản lý sử dụng:  Sản Xuất</v>
      </c>
      <c r="B13" s="466"/>
      <c r="C13" s="466"/>
      <c r="D13" s="466"/>
      <c r="E13" s="466" t="str">
        <f ca="1" xml:space="preserve"> IF(ROWS($1:1)&gt;COUNT(Dong3),"","Tháng, năm đưa vào sử dụng:    "&amp;OFFSET('SO-TS'!$F$1,SMALL(Dong3,ROWS($1:1)),))</f>
        <v>Tháng, năm đưa vào sử dụng:    06/2011</v>
      </c>
      <c r="F13" s="466"/>
      <c r="G13" s="466"/>
      <c r="H13" s="466"/>
    </row>
    <row r="14" spans="1:11" ht="15" customHeight="1">
      <c r="A14" s="466" t="s">
        <v>293</v>
      </c>
      <c r="B14" s="466"/>
      <c r="C14" s="466"/>
      <c r="D14" s="466"/>
      <c r="E14" s="466"/>
      <c r="F14" s="466"/>
      <c r="G14" s="466"/>
      <c r="H14" s="466"/>
    </row>
    <row r="15" spans="1:11" ht="15" customHeight="1">
      <c r="A15" s="466" t="s">
        <v>313</v>
      </c>
      <c r="B15" s="466"/>
      <c r="C15" s="466"/>
      <c r="D15" s="466"/>
      <c r="E15" s="466"/>
      <c r="F15" s="466"/>
      <c r="G15" s="466"/>
      <c r="H15" s="466"/>
    </row>
    <row r="16" spans="1:11" ht="15" customHeight="1">
      <c r="A16" s="528" t="s">
        <v>312</v>
      </c>
      <c r="B16" s="528"/>
      <c r="C16" s="528"/>
      <c r="D16" s="528"/>
      <c r="E16" s="528"/>
      <c r="F16" s="528"/>
      <c r="G16" s="528"/>
      <c r="H16" s="528"/>
    </row>
    <row r="17" spans="1:8" s="522" customFormat="1" ht="18" customHeight="1">
      <c r="A17" s="1174" t="s">
        <v>125</v>
      </c>
      <c r="B17" s="1175"/>
      <c r="C17" s="1178" t="s">
        <v>294</v>
      </c>
      <c r="D17" s="1179"/>
      <c r="E17" s="1180"/>
      <c r="F17" s="1181" t="s">
        <v>295</v>
      </c>
      <c r="G17" s="1182"/>
      <c r="H17" s="1183"/>
    </row>
    <row r="18" spans="1:8" s="522" customFormat="1" ht="28.5" customHeight="1">
      <c r="A18" s="1176"/>
      <c r="B18" s="1177"/>
      <c r="C18" s="495" t="s">
        <v>296</v>
      </c>
      <c r="D18" s="495" t="s">
        <v>0</v>
      </c>
      <c r="E18" s="495" t="s">
        <v>297</v>
      </c>
      <c r="F18" s="495" t="s">
        <v>298</v>
      </c>
      <c r="G18" s="495" t="s">
        <v>299</v>
      </c>
      <c r="H18" s="495" t="s">
        <v>300</v>
      </c>
    </row>
    <row r="19" spans="1:8" s="524" customFormat="1">
      <c r="A19" s="1184" t="s">
        <v>2</v>
      </c>
      <c r="B19" s="1185"/>
      <c r="C19" s="523" t="s">
        <v>3</v>
      </c>
      <c r="D19" s="523" t="s">
        <v>4</v>
      </c>
      <c r="E19" s="523">
        <v>1</v>
      </c>
      <c r="F19" s="523">
        <v>2</v>
      </c>
      <c r="G19" s="523">
        <v>3</v>
      </c>
      <c r="H19" s="523">
        <v>4</v>
      </c>
    </row>
    <row r="20" spans="1:8" ht="17.25" customHeight="1">
      <c r="A20" s="442">
        <f ca="1">IF(B20&lt;&gt;"",ROW()-19,"")</f>
        <v>1</v>
      </c>
      <c r="B20" s="510" t="str">
        <f ca="1" xml:space="preserve"> IF(ROWS($1:1)&gt;COUNT(Dong3),"",OFFSET('SO-TS'!G$1,SMALL(Dong3,ROWS($1:1)),))</f>
        <v>SX01/11</v>
      </c>
      <c r="C20" s="510" t="str">
        <f ca="1" xml:space="preserve"> IF(ROWS($1:1)&gt;COUNT(Dong3),"",OFFSET('SO-TS'!F$1,SMALL(Dong3,ROWS($1:1)),))</f>
        <v>06/2011</v>
      </c>
      <c r="D20" s="537" t="str">
        <f ca="1" xml:space="preserve"> IF(ROWS($1:1)&gt;COUNT(Dong3),"",OFFSET('SO-TS'!D$1,SMALL(Dong3,ROWS($1:1)),))</f>
        <v>Máy chap khe khổ 2m</v>
      </c>
      <c r="E20" s="538">
        <f ca="1" xml:space="preserve"> IF(ROWS($1:1)&gt;COUNT(Dong3),"",OFFSET('SO-TS'!H$1,SMALL(Dong3,ROWS($1:1)),))</f>
        <v>18000000</v>
      </c>
      <c r="F20" s="539" t="str">
        <f ca="1" xml:space="preserve"> IF(ROWS($1:1)&gt;COUNT(Dong3),"",RIGHT(OFFSET('SO-TS'!F$1,SMALL(Dong3,ROWS($1:1)),),4))</f>
        <v>2011</v>
      </c>
      <c r="G20" s="54">
        <f ca="1">IF(F20="",0,ROUND(IF(OR(ROWS($1:$1)&gt;COUNT(Dong3),(ROW()-19)&gt;OFFSET('SO-TS'!I$1,SMALL(Dong3,ROWS($1:$1)),)),0,IF(VALUE(LEFT(C20,2))&gt;0,$E$22/(OFFSET('SO-TS'!I$1,SMALL(Dong3,ROWS($1:$1)),))/12*(13-VALUE(LEFT(C20,2))),$E$22/(OFFSET('SO-TS'!I$1,SMALL(Dong3,ROWS($1:$1)),)))),0))</f>
        <v>2100000</v>
      </c>
      <c r="H20" s="54">
        <f ca="1">G20</f>
        <v>2100000</v>
      </c>
    </row>
    <row r="21" spans="1:8" ht="17.25" customHeight="1">
      <c r="A21" s="442" t="str">
        <f t="shared" ref="A21" si="0">IF(B21&lt;&gt;"",ROW()-19,"")</f>
        <v/>
      </c>
      <c r="B21" s="478"/>
      <c r="C21" s="511"/>
      <c r="D21" s="511"/>
      <c r="E21" s="540"/>
      <c r="F21" s="539"/>
      <c r="G21" s="540"/>
      <c r="H21" s="540"/>
    </row>
    <row r="22" spans="1:8" ht="17.25" customHeight="1">
      <c r="A22" s="480"/>
      <c r="B22" s="480" t="s">
        <v>301</v>
      </c>
      <c r="C22" s="512"/>
      <c r="D22" s="512"/>
      <c r="E22" s="541">
        <f ca="1">SUM(E20:E21)</f>
        <v>18000000</v>
      </c>
      <c r="F22" s="512"/>
      <c r="G22" s="541">
        <f ca="1">SUM(G20:G21)</f>
        <v>2100000</v>
      </c>
      <c r="H22" s="541"/>
    </row>
    <row r="23" spans="1:8" ht="17.25" customHeight="1">
      <c r="A23" s="513"/>
      <c r="B23" s="513"/>
      <c r="C23" s="514"/>
      <c r="D23" s="514"/>
      <c r="E23" s="514"/>
      <c r="F23" s="514"/>
      <c r="G23" s="515"/>
      <c r="H23" s="515"/>
    </row>
    <row r="24" spans="1:8" ht="17.25" customHeight="1">
      <c r="A24" s="513"/>
      <c r="B24" s="513"/>
      <c r="C24" s="514"/>
      <c r="D24" s="514"/>
      <c r="E24" s="514"/>
      <c r="F24" s="514"/>
      <c r="G24" s="515"/>
      <c r="H24" s="515"/>
    </row>
    <row r="25" spans="1:8" ht="17.25" customHeight="1">
      <c r="A25" s="1186" t="s">
        <v>302</v>
      </c>
      <c r="B25" s="1186"/>
      <c r="C25" s="1186"/>
      <c r="D25" s="1186"/>
      <c r="E25" s="1186"/>
      <c r="F25" s="1186"/>
      <c r="G25" s="1186"/>
      <c r="H25" s="1186"/>
    </row>
    <row r="26" spans="1:8" ht="27" customHeight="1">
      <c r="A26" s="480" t="s">
        <v>35</v>
      </c>
      <c r="B26" s="1158" t="s">
        <v>303</v>
      </c>
      <c r="C26" s="1160"/>
      <c r="D26" s="512" t="s">
        <v>182</v>
      </c>
      <c r="E26" s="512" t="s">
        <v>304</v>
      </c>
      <c r="F26" s="512" t="s">
        <v>305</v>
      </c>
      <c r="G26" s="515"/>
      <c r="H26" s="515"/>
    </row>
    <row r="27" spans="1:8" ht="17.25" customHeight="1">
      <c r="A27" s="480" t="s">
        <v>2</v>
      </c>
      <c r="B27" s="480" t="s">
        <v>3</v>
      </c>
      <c r="C27" s="512"/>
      <c r="D27" s="512" t="s">
        <v>4</v>
      </c>
      <c r="E27" s="512">
        <v>1</v>
      </c>
      <c r="F27" s="512">
        <v>2</v>
      </c>
      <c r="G27" s="515"/>
      <c r="H27" s="515"/>
    </row>
    <row r="28" spans="1:8" ht="17.25" customHeight="1">
      <c r="A28" s="516"/>
      <c r="B28" s="516"/>
      <c r="C28" s="517"/>
      <c r="D28" s="517"/>
      <c r="E28" s="517"/>
      <c r="F28" s="517"/>
      <c r="G28" s="515"/>
      <c r="H28" s="515"/>
    </row>
    <row r="29" spans="1:8" ht="17.25" customHeight="1">
      <c r="A29" s="518"/>
      <c r="B29" s="518"/>
      <c r="C29" s="519"/>
      <c r="D29" s="519"/>
      <c r="E29" s="519"/>
      <c r="F29" s="519"/>
      <c r="G29" s="515"/>
      <c r="H29" s="515"/>
    </row>
    <row r="30" spans="1:8" ht="17.25" customHeight="1">
      <c r="A30" s="518"/>
      <c r="B30" s="518"/>
      <c r="C30" s="519"/>
      <c r="D30" s="519"/>
      <c r="E30" s="519"/>
      <c r="F30" s="519"/>
      <c r="G30" s="515"/>
      <c r="H30" s="515"/>
    </row>
    <row r="31" spans="1:8" ht="17.25" customHeight="1">
      <c r="A31" s="518"/>
      <c r="B31" s="518"/>
      <c r="C31" s="519"/>
      <c r="D31" s="519"/>
      <c r="E31" s="519"/>
      <c r="F31" s="519"/>
      <c r="G31" s="515"/>
      <c r="H31" s="515"/>
    </row>
    <row r="32" spans="1:8" ht="17.25" customHeight="1">
      <c r="A32" s="520"/>
      <c r="B32" s="520"/>
      <c r="C32" s="521"/>
      <c r="D32" s="521"/>
      <c r="E32" s="521"/>
      <c r="F32" s="521"/>
      <c r="G32" s="515"/>
      <c r="H32" s="515"/>
    </row>
    <row r="33" spans="1:8">
      <c r="A33" s="513"/>
      <c r="B33" s="513"/>
      <c r="C33" s="514"/>
      <c r="D33" s="514"/>
      <c r="E33" s="514"/>
      <c r="F33" s="514"/>
      <c r="G33" s="515"/>
      <c r="H33" s="515"/>
    </row>
    <row r="34" spans="1:8">
      <c r="A34" s="1187" t="str">
        <f ca="1" xml:space="preserve"> IF(ROWS($1:1)&gt;COUNT(Dong3),"","Ghi giảm TSCĐ chứng từ số:  "&amp;OFFSET('SO-TS'!$M$1,SMALL(Dong3,ROWS($1:1)),))</f>
        <v xml:space="preserve">Ghi giảm TSCĐ chứng từ số:  </v>
      </c>
      <c r="B34" s="1187"/>
      <c r="C34" s="1187"/>
      <c r="D34" s="1187"/>
      <c r="E34" s="1187"/>
      <c r="F34" s="1187"/>
      <c r="G34" s="1187"/>
      <c r="H34" s="1187"/>
    </row>
    <row r="35" spans="1:8">
      <c r="A35" s="1187" t="str">
        <f ca="1" xml:space="preserve"> IF(ROWS($1:1)&gt;COUNT(Dong3),"","Lý do giảm:   "&amp;OFFSET('SO-TS'!$O$1,SMALL(Dong3,ROWS($1:1)),))</f>
        <v xml:space="preserve">Lý do giảm:   </v>
      </c>
      <c r="B35" s="1187"/>
      <c r="C35" s="1187"/>
      <c r="D35" s="1187"/>
      <c r="E35" s="1187"/>
      <c r="F35" s="1187"/>
      <c r="G35" s="1187"/>
      <c r="H35" s="1187"/>
    </row>
    <row r="36" spans="1:8">
      <c r="A36" s="490"/>
      <c r="B36" s="490"/>
      <c r="C36" s="485"/>
      <c r="D36" s="485"/>
      <c r="E36" s="1173" t="s">
        <v>350</v>
      </c>
      <c r="F36" s="1173"/>
      <c r="G36" s="1173"/>
      <c r="H36" s="1173"/>
    </row>
    <row r="37" spans="1:8">
      <c r="A37" s="1169" t="s">
        <v>306</v>
      </c>
      <c r="B37" s="1169"/>
      <c r="C37" s="1169" t="s">
        <v>12</v>
      </c>
      <c r="D37" s="1169"/>
      <c r="E37" s="1165" t="s">
        <v>109</v>
      </c>
      <c r="F37" s="1165"/>
      <c r="G37" s="1165"/>
      <c r="H37" s="1165"/>
    </row>
    <row r="38" spans="1:8">
      <c r="A38" s="467"/>
      <c r="B38" s="467"/>
      <c r="C38" s="470"/>
      <c r="D38" s="470"/>
      <c r="E38" s="470"/>
      <c r="F38" s="470"/>
      <c r="G38" s="470"/>
      <c r="H38" s="470"/>
    </row>
    <row r="39" spans="1:8">
      <c r="A39" s="467"/>
      <c r="B39" s="467"/>
      <c r="C39" s="470"/>
      <c r="D39" s="470"/>
      <c r="E39" s="470"/>
      <c r="F39" s="470"/>
      <c r="G39" s="470"/>
      <c r="H39" s="470"/>
    </row>
    <row r="40" spans="1:8">
      <c r="A40" s="467"/>
      <c r="B40" s="467"/>
      <c r="C40" s="470"/>
      <c r="D40" s="470"/>
      <c r="E40" s="470"/>
      <c r="F40" s="470"/>
      <c r="G40" s="470"/>
      <c r="H40" s="470"/>
    </row>
    <row r="41" spans="1:8">
      <c r="A41" s="467"/>
      <c r="B41" s="467"/>
      <c r="C41" s="470"/>
      <c r="D41" s="470"/>
      <c r="E41" s="470"/>
      <c r="F41" s="470"/>
      <c r="G41" s="470"/>
      <c r="H41" s="470"/>
    </row>
    <row r="42" spans="1:8">
      <c r="A42" s="467"/>
      <c r="B42" s="467"/>
      <c r="C42" s="470"/>
      <c r="D42" s="470"/>
      <c r="E42" s="470"/>
      <c r="F42" s="470"/>
      <c r="G42" s="470"/>
      <c r="H42" s="470"/>
    </row>
    <row r="43" spans="1:8">
      <c r="A43" s="467"/>
      <c r="B43" s="467"/>
      <c r="C43" s="470"/>
      <c r="D43" s="470"/>
      <c r="E43" s="470"/>
      <c r="F43" s="470"/>
      <c r="G43" s="470"/>
      <c r="H43" s="470"/>
    </row>
    <row r="44" spans="1:8">
      <c r="A44" s="467"/>
      <c r="B44" s="467"/>
      <c r="C44" s="470"/>
      <c r="D44" s="470"/>
      <c r="E44" s="470"/>
      <c r="F44" s="470"/>
      <c r="G44" s="470"/>
      <c r="H44" s="470"/>
    </row>
    <row r="45" spans="1:8">
      <c r="A45" s="1172" t="s">
        <v>151</v>
      </c>
      <c r="B45" s="1172"/>
      <c r="C45" s="485"/>
      <c r="D45" s="485"/>
      <c r="E45" s="1173" t="s">
        <v>103</v>
      </c>
      <c r="F45" s="1173"/>
      <c r="G45" s="1173"/>
      <c r="H45" s="1173"/>
    </row>
  </sheetData>
  <dataConsolidate/>
  <mergeCells count="19">
    <mergeCell ref="A45:B45"/>
    <mergeCell ref="E45:H45"/>
    <mergeCell ref="E36:H36"/>
    <mergeCell ref="A17:B18"/>
    <mergeCell ref="C17:E17"/>
    <mergeCell ref="F17:H17"/>
    <mergeCell ref="A19:B19"/>
    <mergeCell ref="A25:H25"/>
    <mergeCell ref="B26:C26"/>
    <mergeCell ref="A34:H34"/>
    <mergeCell ref="A35:H35"/>
    <mergeCell ref="F3:H4"/>
    <mergeCell ref="F2:H2"/>
    <mergeCell ref="A37:B37"/>
    <mergeCell ref="C37:D37"/>
    <mergeCell ref="E37:H37"/>
    <mergeCell ref="A6:H6"/>
    <mergeCell ref="A7:H7"/>
    <mergeCell ref="A8:H8"/>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P43"/>
  <sheetViews>
    <sheetView topLeftCell="A11" zoomScale="90" zoomScaleNormal="90" workbookViewId="0">
      <pane ySplit="5" topLeftCell="A31" activePane="bottomLeft" state="frozen"/>
      <selection activeCell="A11" sqref="A11"/>
      <selection pane="bottomLeft" activeCell="J41" sqref="J41:M41"/>
    </sheetView>
  </sheetViews>
  <sheetFormatPr defaultRowHeight="15"/>
  <cols>
    <col min="1" max="1" width="10.28515625" style="665" customWidth="1"/>
    <col min="2" max="2" width="8.85546875" style="665" customWidth="1"/>
    <col min="3" max="3" width="10.5703125" style="665" customWidth="1"/>
    <col min="4" max="4" width="43.42578125" style="665" customWidth="1"/>
    <col min="5" max="5" width="7.140625" style="665" customWidth="1"/>
    <col min="6" max="6" width="14.140625" style="665" customWidth="1"/>
    <col min="7" max="7" width="14.85546875" style="665" customWidth="1"/>
    <col min="8" max="9" width="12" style="665" customWidth="1"/>
    <col min="10" max="10" width="12.85546875" style="665" customWidth="1"/>
    <col min="11" max="12" width="13.5703125" style="665" customWidth="1"/>
    <col min="13" max="13" width="12.7109375" style="665" customWidth="1"/>
    <col min="14" max="14" width="6.28515625" style="665" customWidth="1"/>
    <col min="15" max="15" width="8.42578125" style="665" customWidth="1"/>
    <col min="16" max="16384" width="9.140625" style="665"/>
  </cols>
  <sheetData>
    <row r="2" spans="1:16">
      <c r="A2" s="664" t="str">
        <f>'IN-NX'!A2</f>
        <v>Đơn vị: CÔNG TY TNHH MỘT THÀNH VIÊN KHỞI NGUYÊN AN</v>
      </c>
      <c r="F2" s="666"/>
      <c r="G2" s="666"/>
      <c r="H2" s="666"/>
      <c r="I2" s="666"/>
      <c r="J2" s="1192" t="s">
        <v>369</v>
      </c>
      <c r="K2" s="1192"/>
      <c r="L2" s="1192"/>
      <c r="M2" s="1192"/>
    </row>
    <row r="3" spans="1:16" ht="15" customHeight="1">
      <c r="A3" s="694" t="str">
        <f>'IN-NX'!A3</f>
        <v>Địa chỉ: Thửa đất số 144, tờ bản đồ số 12TĐH.1, tổ 1, khu phố Đông Tác, Phường Tân Đông Hiệp, Thị Xã Dĩ An, Tỉnh Bình Dương, Việt Nam</v>
      </c>
      <c r="J3" s="1195" t="str">
        <f ca="1">IF(YEAR($A$16)&gt;=2015,"(Ban hành theo Thông tư số 200/2014/TT-BTC  Ngày 22/12/2014 của Bộ Tài chính)","(Ban hành kèm theo QĐ 48/2006/QĐ-BTC ngày 24/09/2006 của Bộ trưởng BTC)")</f>
        <v>(Ban hành theo Thông tư số 200/2014/TT-BTC  Ngày 22/12/2014 của Bộ Tài chính)</v>
      </c>
      <c r="K3" s="1195"/>
      <c r="L3" s="1195"/>
      <c r="M3" s="1195"/>
    </row>
    <row r="4" spans="1:16">
      <c r="J4" s="1195"/>
      <c r="K4" s="1195"/>
      <c r="L4" s="1195"/>
      <c r="M4" s="1195"/>
    </row>
    <row r="5" spans="1:16" ht="19.5" customHeight="1">
      <c r="A5" s="1193" t="s">
        <v>370</v>
      </c>
      <c r="B5" s="1193"/>
      <c r="C5" s="1193"/>
      <c r="D5" s="1193"/>
      <c r="E5" s="1193"/>
      <c r="F5" s="1193"/>
      <c r="G5" s="1193"/>
      <c r="H5" s="1193"/>
      <c r="I5" s="1193"/>
      <c r="J5" s="1193"/>
      <c r="K5" s="1193"/>
      <c r="L5" s="1193"/>
      <c r="M5" s="1193"/>
      <c r="N5" s="667" t="s">
        <v>160</v>
      </c>
      <c r="O5" s="602">
        <f>IF(O13="Quý I",1,IF(O13="Quý II",4,IF(O13="Quý III",7,IF(O13="Quý IV",10,""))))</f>
        <v>4</v>
      </c>
      <c r="P5" s="602">
        <f>IF(O13="Quý I",3,IF(O13="Quý II",6,IF(O13="Quý III",9,IF(O13="Quý IV",12,""))))</f>
        <v>6</v>
      </c>
    </row>
    <row r="6" spans="1:16">
      <c r="A6" s="1194" t="s">
        <v>371</v>
      </c>
      <c r="B6" s="1194"/>
      <c r="C6" s="1194"/>
      <c r="D6" s="1194"/>
      <c r="E6" s="1194"/>
      <c r="F6" s="1194"/>
      <c r="G6" s="1194"/>
      <c r="H6" s="1194"/>
      <c r="I6" s="1194"/>
      <c r="J6" s="1194"/>
      <c r="K6" s="1194"/>
      <c r="L6" s="1194"/>
      <c r="M6" s="1194"/>
      <c r="N6" s="692"/>
    </row>
    <row r="7" spans="1:16">
      <c r="B7" s="668"/>
      <c r="C7" s="668"/>
      <c r="D7" s="668"/>
      <c r="E7" s="669" t="s">
        <v>372</v>
      </c>
      <c r="G7" s="668"/>
      <c r="H7" s="668"/>
      <c r="I7" s="668"/>
      <c r="J7" s="668"/>
      <c r="K7" s="668"/>
      <c r="L7" s="668"/>
      <c r="M7" s="668"/>
    </row>
    <row r="8" spans="1:16">
      <c r="B8" s="668"/>
      <c r="C8" s="668"/>
      <c r="D8" s="668"/>
      <c r="E8" s="669" t="s">
        <v>373</v>
      </c>
      <c r="G8" s="668"/>
      <c r="H8" s="668"/>
      <c r="I8" s="668"/>
      <c r="J8" s="668"/>
      <c r="K8" s="668"/>
      <c r="L8" s="668"/>
      <c r="M8" s="668"/>
    </row>
    <row r="9" spans="1:16">
      <c r="B9" s="670"/>
      <c r="C9" s="670"/>
      <c r="D9" s="670"/>
      <c r="E9" s="669" t="s">
        <v>374</v>
      </c>
      <c r="G9" s="670"/>
      <c r="H9" s="670"/>
      <c r="I9" s="670"/>
      <c r="J9" s="670"/>
      <c r="K9" s="670"/>
      <c r="L9" s="670"/>
      <c r="M9" s="670"/>
    </row>
    <row r="10" spans="1:16">
      <c r="C10" s="1191"/>
      <c r="D10" s="1191"/>
      <c r="E10" s="1191"/>
      <c r="F10" s="1191"/>
      <c r="G10" s="1191"/>
      <c r="H10" s="1191"/>
      <c r="I10" s="1191"/>
      <c r="J10" s="1191"/>
      <c r="K10" s="1191"/>
      <c r="L10" s="1191"/>
      <c r="M10" s="1191"/>
    </row>
    <row r="11" spans="1:16" ht="15.75" customHeight="1">
      <c r="A11" s="1188" t="s">
        <v>20</v>
      </c>
      <c r="B11" s="1189" t="s">
        <v>1</v>
      </c>
      <c r="C11" s="1189"/>
      <c r="D11" s="1188" t="s">
        <v>0</v>
      </c>
      <c r="E11" s="1188" t="s">
        <v>204</v>
      </c>
      <c r="F11" s="1189" t="s">
        <v>375</v>
      </c>
      <c r="G11" s="1189"/>
      <c r="H11" s="1189"/>
      <c r="I11" s="1189"/>
      <c r="J11" s="1189"/>
      <c r="K11" s="1189"/>
      <c r="L11" s="1189"/>
      <c r="M11" s="1189"/>
    </row>
    <row r="12" spans="1:16" ht="15.75" customHeight="1" thickBot="1">
      <c r="A12" s="1188"/>
      <c r="B12" s="1190" t="s">
        <v>15</v>
      </c>
      <c r="C12" s="1190" t="s">
        <v>32</v>
      </c>
      <c r="D12" s="1188"/>
      <c r="E12" s="1188"/>
      <c r="F12" s="1190" t="s">
        <v>376</v>
      </c>
      <c r="G12" s="1190" t="s">
        <v>377</v>
      </c>
      <c r="H12" s="1190"/>
      <c r="I12" s="1190"/>
      <c r="J12" s="1190"/>
      <c r="K12" s="1190"/>
      <c r="L12" s="1190"/>
      <c r="M12" s="1190"/>
    </row>
    <row r="13" spans="1:16" ht="31.5" customHeight="1" thickBot="1">
      <c r="A13" s="1188"/>
      <c r="B13" s="1190"/>
      <c r="C13" s="1190"/>
      <c r="D13" s="1188"/>
      <c r="E13" s="1188"/>
      <c r="F13" s="1190"/>
      <c r="G13" s="671" t="s">
        <v>359</v>
      </c>
      <c r="H13" s="671" t="s">
        <v>360</v>
      </c>
      <c r="I13" s="671" t="s">
        <v>361</v>
      </c>
      <c r="J13" s="671" t="s">
        <v>378</v>
      </c>
      <c r="K13" s="671" t="s">
        <v>379</v>
      </c>
      <c r="L13" s="671" t="s">
        <v>353</v>
      </c>
      <c r="M13" s="671" t="s">
        <v>380</v>
      </c>
      <c r="O13" s="693" t="s">
        <v>337</v>
      </c>
    </row>
    <row r="14" spans="1:16">
      <c r="A14" s="672" t="s">
        <v>2</v>
      </c>
      <c r="B14" s="672" t="s">
        <v>3</v>
      </c>
      <c r="C14" s="672" t="s">
        <v>4</v>
      </c>
      <c r="D14" s="672" t="s">
        <v>5</v>
      </c>
      <c r="E14" s="672" t="s">
        <v>6</v>
      </c>
      <c r="F14" s="672">
        <v>1</v>
      </c>
      <c r="G14" s="672">
        <v>2</v>
      </c>
      <c r="H14" s="672">
        <v>3</v>
      </c>
      <c r="I14" s="672"/>
      <c r="J14" s="672">
        <v>4</v>
      </c>
      <c r="K14" s="672">
        <v>5</v>
      </c>
      <c r="L14" s="672"/>
      <c r="M14" s="672">
        <v>6</v>
      </c>
    </row>
    <row r="15" spans="1:16" ht="22.5" customHeight="1">
      <c r="A15" s="673"/>
      <c r="B15" s="673"/>
      <c r="C15" s="673"/>
      <c r="D15" s="674" t="s">
        <v>7</v>
      </c>
      <c r="E15" s="673"/>
      <c r="F15" s="675"/>
      <c r="G15" s="675"/>
      <c r="H15" s="675"/>
      <c r="I15" s="675"/>
      <c r="J15" s="675"/>
      <c r="K15" s="675"/>
      <c r="L15" s="675"/>
      <c r="M15" s="675"/>
    </row>
    <row r="16" spans="1:16" ht="22.5" customHeight="1">
      <c r="A16" s="676">
        <f ca="1">IF(ROWS($1:1)&gt;COUNT(Dong9),"",OFFSET(TH!C$1,SMALL(Dong9,ROWS($1:1)),))</f>
        <v>42124</v>
      </c>
      <c r="B16" s="676" t="str">
        <f ca="1">IF(ROWS($1:1)&gt;COUNT(Dong9),"",OFFSET(TH!D$1,SMALL(Dong9,ROWS($1:1)),))</f>
        <v>CTGS</v>
      </c>
      <c r="C16" s="676">
        <f ca="1">IF(ROWS($1:1)&gt;COUNT(Dong9),"",OFFSET(TH!E$1,SMALL(Dong9,ROWS($1:1)),))</f>
        <v>42124</v>
      </c>
      <c r="D16" s="677" t="str">
        <f ca="1">IF(ROWS($1:1)&gt;COUNT(Dong9),"",OFFSET(TH!F$1,SMALL(Dong9,ROWS($1:1)),))</f>
        <v>Lương bộ phận sản xuất</v>
      </c>
      <c r="E16" s="676" t="str">
        <f ca="1">IF(ROWS($1:1)&gt;COUNT(Dong9),"",OFFSET(TH!M$1,SMALL(Dong9,ROWS($1:1)),))</f>
        <v>3341</v>
      </c>
      <c r="F16" s="678">
        <f ca="1">IF(ROWS($1:1)&gt;COUNT(Dong9),"",OFFSET(TH!K$1,SMALL(Dong9,ROWS($1:1)),))</f>
        <v>3000000</v>
      </c>
      <c r="G16" s="678">
        <f ca="1">IF($E16="1521",$F16,0)</f>
        <v>0</v>
      </c>
      <c r="H16" s="678">
        <f ca="1">IF($E16="1522",$F16,0)</f>
        <v>0</v>
      </c>
      <c r="I16" s="678">
        <f ca="1">IF(LEFT(D16,6)="Mực in",F16,0)</f>
        <v>0</v>
      </c>
      <c r="J16" s="678">
        <f ca="1">IF(OR(LEFT($E16,3)="334",LEFT($E16,3)="338"),$F16,0)</f>
        <v>3000000</v>
      </c>
      <c r="K16" s="678">
        <f ca="1">IF(OR(LEFT($E16,3)="331",AND(LEFT($E16,3)="111",$D16="Tiền điện")),$F16,0)</f>
        <v>0</v>
      </c>
      <c r="L16" s="678">
        <f ca="1">IF($E16="142",$F16,0)</f>
        <v>0</v>
      </c>
      <c r="M16" s="678">
        <f ca="1">IF(OR(LEFT($E16,3)="214",LEFT($E16,3)="242",AND(LEFT($E16,3)="111",$D16&lt;&gt;"Tiền điện",LEFT($D16,6)&lt;&gt;"Mực in")),$F16,0)</f>
        <v>0</v>
      </c>
    </row>
    <row r="17" spans="1:13" ht="22.5" customHeight="1">
      <c r="A17" s="676">
        <f ca="1">IF(ROWS($1:2)&gt;COUNT(Dong9),"",OFFSET(TH!C$1,SMALL(Dong9,ROWS($1:2)),))</f>
        <v>42138</v>
      </c>
      <c r="B17" s="676" t="str">
        <f ca="1">IF(ROWS($1:2)&gt;COUNT(Dong9),"",OFFSET(TH!D$1,SMALL(Dong9,ROWS($1:2)),))</f>
        <v>C07</v>
      </c>
      <c r="C17" s="676">
        <f ca="1">IF(ROWS($1:2)&gt;COUNT(Dong9),"",OFFSET(TH!E$1,SMALL(Dong9,ROWS($1:2)),))</f>
        <v>42138</v>
      </c>
      <c r="D17" s="677" t="str">
        <f ca="1">IF(ROWS($1:2)&gt;COUNT(Dong9),"",OFFSET(TH!F$1,SMALL(Dong9,ROWS($1:2)),))</f>
        <v>Mực in</v>
      </c>
      <c r="E17" s="676" t="str">
        <f ca="1">IF(ROWS($1:2)&gt;COUNT(Dong9),"",OFFSET(TH!M$1,SMALL(Dong9,ROWS($1:2)),))</f>
        <v>1111</v>
      </c>
      <c r="F17" s="678">
        <f ca="1">IF(ROWS($1:2)&gt;COUNT(Dong9),"",OFFSET(TH!K$1,SMALL(Dong9,ROWS($1:2)),))</f>
        <v>2430000</v>
      </c>
      <c r="G17" s="678">
        <f t="shared" ref="G17:G33" ca="1" si="0">IF($E17="1521",$F17,0)</f>
        <v>0</v>
      </c>
      <c r="H17" s="678">
        <f t="shared" ref="H17:H33" ca="1" si="1">IF($E17="1522",$F17,0)</f>
        <v>0</v>
      </c>
      <c r="I17" s="678">
        <f t="shared" ref="I17:I33" ca="1" si="2">IF(LEFT(D17,6)="Mực in",F17,0)</f>
        <v>2430000</v>
      </c>
      <c r="J17" s="678">
        <f t="shared" ref="J17:J33" ca="1" si="3">IF(OR(LEFT($E17,3)="334",LEFT($E17,3)="338"),$F17,0)</f>
        <v>0</v>
      </c>
      <c r="K17" s="678">
        <f t="shared" ref="K17:K33" ca="1" si="4">IF(OR(LEFT($E17,3)="331",AND(LEFT($E17,3)="111",$D17="Tiền điện")),$F17,0)</f>
        <v>0</v>
      </c>
      <c r="L17" s="678">
        <f t="shared" ref="L17:L33" ca="1" si="5">IF($E17="142",$F17,0)</f>
        <v>0</v>
      </c>
      <c r="M17" s="678">
        <f t="shared" ref="M17:M33" ca="1" si="6">IF(OR(LEFT($E17,3)="214",LEFT($E17,3)="242",AND(LEFT($E17,3)="111",$D17&lt;&gt;"Tiền điện",LEFT($D17,6)&lt;&gt;"Mực in")),$F17,0)</f>
        <v>0</v>
      </c>
    </row>
    <row r="18" spans="1:13" ht="22.5" customHeight="1">
      <c r="A18" s="676">
        <f ca="1">IF(ROWS($1:3)&gt;COUNT(Dong9),"",OFFSET(TH!C$1,SMALL(Dong9,ROWS($1:3)),))</f>
        <v>42155</v>
      </c>
      <c r="B18" s="676" t="str">
        <f ca="1">IF(ROWS($1:3)&gt;COUNT(Dong9),"",OFFSET(TH!D$1,SMALL(Dong9,ROWS($1:3)),))</f>
        <v>CTGS</v>
      </c>
      <c r="C18" s="676">
        <f ca="1">IF(ROWS($1:3)&gt;COUNT(Dong9),"",OFFSET(TH!E$1,SMALL(Dong9,ROWS($1:3)),))</f>
        <v>42155</v>
      </c>
      <c r="D18" s="677" t="str">
        <f ca="1">IF(ROWS($1:3)&gt;COUNT(Dong9),"",OFFSET(TH!F$1,SMALL(Dong9,ROWS($1:3)),))</f>
        <v>Lương bộ phận sản xuất</v>
      </c>
      <c r="E18" s="676" t="str">
        <f ca="1">IF(ROWS($1:3)&gt;COUNT(Dong9),"",OFFSET(TH!M$1,SMALL(Dong9,ROWS($1:3)),))</f>
        <v>3341</v>
      </c>
      <c r="F18" s="678">
        <f ca="1">IF(ROWS($1:3)&gt;COUNT(Dong9),"",OFFSET(TH!K$1,SMALL(Dong9,ROWS($1:3)),))</f>
        <v>3000000</v>
      </c>
      <c r="G18" s="678">
        <f t="shared" ca="1" si="0"/>
        <v>0</v>
      </c>
      <c r="H18" s="678">
        <f t="shared" ca="1" si="1"/>
        <v>0</v>
      </c>
      <c r="I18" s="678">
        <f t="shared" ca="1" si="2"/>
        <v>0</v>
      </c>
      <c r="J18" s="678">
        <f t="shared" ca="1" si="3"/>
        <v>3000000</v>
      </c>
      <c r="K18" s="678">
        <f t="shared" ca="1" si="4"/>
        <v>0</v>
      </c>
      <c r="L18" s="678">
        <f t="shared" ca="1" si="5"/>
        <v>0</v>
      </c>
      <c r="M18" s="678">
        <f t="shared" ca="1" si="6"/>
        <v>0</v>
      </c>
    </row>
    <row r="19" spans="1:13" ht="22.5" customHeight="1">
      <c r="A19" s="676">
        <f ca="1">IF(ROWS($1:4)&gt;COUNT(Dong9),"",OFFSET(TH!C$1,SMALL(Dong9,ROWS($1:4)),))</f>
        <v>42185</v>
      </c>
      <c r="B19" s="676" t="str">
        <f ca="1">IF(ROWS($1:4)&gt;COUNT(Dong9),"",OFFSET(TH!D$1,SMALL(Dong9,ROWS($1:4)),))</f>
        <v>CTGS</v>
      </c>
      <c r="C19" s="676">
        <f ca="1">IF(ROWS($1:4)&gt;COUNT(Dong9),"",OFFSET(TH!E$1,SMALL(Dong9,ROWS($1:4)),))</f>
        <v>42185</v>
      </c>
      <c r="D19" s="677" t="str">
        <f ca="1">IF(ROWS($1:4)&gt;COUNT(Dong9),"",OFFSET(TH!F$1,SMALL(Dong9,ROWS($1:4)),))</f>
        <v>Lương bộ phận sản xuất</v>
      </c>
      <c r="E19" s="676" t="str">
        <f ca="1">IF(ROWS($1:4)&gt;COUNT(Dong9),"",OFFSET(TH!M$1,SMALL(Dong9,ROWS($1:4)),))</f>
        <v>3341</v>
      </c>
      <c r="F19" s="678">
        <f ca="1">IF(ROWS($1:4)&gt;COUNT(Dong9),"",OFFSET(TH!K$1,SMALL(Dong9,ROWS($1:4)),))</f>
        <v>3020000</v>
      </c>
      <c r="G19" s="678">
        <f t="shared" ca="1" si="0"/>
        <v>0</v>
      </c>
      <c r="H19" s="678">
        <f t="shared" ca="1" si="1"/>
        <v>0</v>
      </c>
      <c r="I19" s="678">
        <f t="shared" ca="1" si="2"/>
        <v>0</v>
      </c>
      <c r="J19" s="678">
        <f t="shared" ca="1" si="3"/>
        <v>3020000</v>
      </c>
      <c r="K19" s="678">
        <f t="shared" ca="1" si="4"/>
        <v>0</v>
      </c>
      <c r="L19" s="678">
        <f t="shared" ca="1" si="5"/>
        <v>0</v>
      </c>
      <c r="M19" s="678">
        <f t="shared" ca="1" si="6"/>
        <v>0</v>
      </c>
    </row>
    <row r="20" spans="1:13" ht="22.5" customHeight="1">
      <c r="A20" s="676">
        <f ca="1">IF(ROWS($1:5)&gt;COUNT(Dong9),"",OFFSET(TH!C$1,SMALL(Dong9,ROWS($1:5)),))</f>
        <v>42095</v>
      </c>
      <c r="B20" s="676" t="str">
        <f ca="1">IF(ROWS($1:5)&gt;COUNT(Dong9),"",OFFSET(TH!D$1,SMALL(Dong9,ROWS($1:5)),))</f>
        <v>XSX</v>
      </c>
      <c r="C20" s="676">
        <f ca="1">IF(ROWS($1:5)&gt;COUNT(Dong9),"",OFFSET(TH!E$1,SMALL(Dong9,ROWS($1:5)),))</f>
        <v>42095</v>
      </c>
      <c r="D20" s="677" t="str">
        <f ca="1">IF(ROWS($1:5)&gt;COUNT(Dong9),"",OFFSET(TH!F$1,SMALL(Dong9,ROWS($1:5)),))</f>
        <v>Giấy tấm (145x52)</v>
      </c>
      <c r="E20" s="676" t="str">
        <f ca="1">IF(ROWS($1:5)&gt;COUNT(Dong9),"",OFFSET(TH!M$1,SMALL(Dong9,ROWS($1:5)),))</f>
        <v>156</v>
      </c>
      <c r="F20" s="678">
        <f ca="1">IF(ROWS($1:5)&gt;COUNT(Dong9),"",OFFSET(TH!K$1,SMALL(Dong9,ROWS($1:5)),))</f>
        <v>113100</v>
      </c>
      <c r="G20" s="678">
        <f t="shared" ca="1" si="0"/>
        <v>0</v>
      </c>
      <c r="H20" s="678">
        <f t="shared" ca="1" si="1"/>
        <v>0</v>
      </c>
      <c r="I20" s="678">
        <f t="shared" ca="1" si="2"/>
        <v>0</v>
      </c>
      <c r="J20" s="678">
        <f t="shared" ca="1" si="3"/>
        <v>0</v>
      </c>
      <c r="K20" s="678">
        <f t="shared" ca="1" si="4"/>
        <v>0</v>
      </c>
      <c r="L20" s="678">
        <f t="shared" ca="1" si="5"/>
        <v>0</v>
      </c>
      <c r="M20" s="678">
        <f t="shared" ca="1" si="6"/>
        <v>0</v>
      </c>
    </row>
    <row r="21" spans="1:13" ht="22.5" customHeight="1">
      <c r="A21" s="676">
        <f ca="1">IF(ROWS($1:6)&gt;COUNT(Dong9),"",OFFSET(TH!C$1,SMALL(Dong9,ROWS($1:6)),))</f>
        <v>42098</v>
      </c>
      <c r="B21" s="676" t="str">
        <f ca="1">IF(ROWS($1:6)&gt;COUNT(Dong9),"",OFFSET(TH!D$1,SMALL(Dong9,ROWS($1:6)),))</f>
        <v>XSX</v>
      </c>
      <c r="C21" s="676">
        <f ca="1">IF(ROWS($1:6)&gt;COUNT(Dong9),"",OFFSET(TH!E$1,SMALL(Dong9,ROWS($1:6)),))</f>
        <v>42098</v>
      </c>
      <c r="D21" s="677" t="str">
        <f ca="1">IF(ROWS($1:6)&gt;COUNT(Dong9),"",OFFSET(TH!F$1,SMALL(Dong9,ROWS($1:6)),))</f>
        <v>Giấy tấm 5 lớp (95x149)</v>
      </c>
      <c r="E21" s="676" t="str">
        <f ca="1">IF(ROWS($1:6)&gt;COUNT(Dong9),"",OFFSET(TH!M$1,SMALL(Dong9,ROWS($1:6)),))</f>
        <v>156</v>
      </c>
      <c r="F21" s="678">
        <f ca="1">IF(ROWS($1:6)&gt;COUNT(Dong9),"",OFFSET(TH!K$1,SMALL(Dong9,ROWS($1:6)),))</f>
        <v>6015769</v>
      </c>
      <c r="G21" s="678">
        <f t="shared" ca="1" si="0"/>
        <v>0</v>
      </c>
      <c r="H21" s="678">
        <f t="shared" ca="1" si="1"/>
        <v>0</v>
      </c>
      <c r="I21" s="678">
        <f t="shared" ca="1" si="2"/>
        <v>0</v>
      </c>
      <c r="J21" s="678">
        <f t="shared" ca="1" si="3"/>
        <v>0</v>
      </c>
      <c r="K21" s="678">
        <f t="shared" ca="1" si="4"/>
        <v>0</v>
      </c>
      <c r="L21" s="678">
        <f t="shared" ca="1" si="5"/>
        <v>0</v>
      </c>
      <c r="M21" s="678">
        <f t="shared" ca="1" si="6"/>
        <v>0</v>
      </c>
    </row>
    <row r="22" spans="1:13" ht="22.5" customHeight="1">
      <c r="A22" s="676">
        <f ca="1">IF(ROWS($1:7)&gt;COUNT(Dong9),"",OFFSET(TH!C$1,SMALL(Dong9,ROWS($1:7)),))</f>
        <v>42098</v>
      </c>
      <c r="B22" s="676" t="str">
        <f ca="1">IF(ROWS($1:7)&gt;COUNT(Dong9),"",OFFSET(TH!D$1,SMALL(Dong9,ROWS($1:7)),))</f>
        <v>XSX</v>
      </c>
      <c r="C22" s="676">
        <f ca="1">IF(ROWS($1:7)&gt;COUNT(Dong9),"",OFFSET(TH!E$1,SMALL(Dong9,ROWS($1:7)),))</f>
        <v>42098</v>
      </c>
      <c r="D22" s="677" t="str">
        <f ca="1">IF(ROWS($1:7)&gt;COUNT(Dong9),"",OFFSET(TH!F$1,SMALL(Dong9,ROWS($1:7)),))</f>
        <v>Giấy tấm 5 lớp (95x149)</v>
      </c>
      <c r="E22" s="676" t="str">
        <f ca="1">IF(ROWS($1:7)&gt;COUNT(Dong9),"",OFFSET(TH!M$1,SMALL(Dong9,ROWS($1:7)),))</f>
        <v>156</v>
      </c>
      <c r="F22" s="678">
        <f ca="1">IF(ROWS($1:7)&gt;COUNT(Dong9),"",OFFSET(TH!K$1,SMALL(Dong9,ROWS($1:7)),))</f>
        <v>2526623</v>
      </c>
      <c r="G22" s="678">
        <f t="shared" ca="1" si="0"/>
        <v>0</v>
      </c>
      <c r="H22" s="678">
        <f t="shared" ca="1" si="1"/>
        <v>0</v>
      </c>
      <c r="I22" s="678">
        <f t="shared" ca="1" si="2"/>
        <v>0</v>
      </c>
      <c r="J22" s="678">
        <f t="shared" ca="1" si="3"/>
        <v>0</v>
      </c>
      <c r="K22" s="678">
        <f t="shared" ca="1" si="4"/>
        <v>0</v>
      </c>
      <c r="L22" s="678">
        <f t="shared" ca="1" si="5"/>
        <v>0</v>
      </c>
      <c r="M22" s="678">
        <f t="shared" ca="1" si="6"/>
        <v>0</v>
      </c>
    </row>
    <row r="23" spans="1:13" ht="22.5" customHeight="1">
      <c r="A23" s="676">
        <f ca="1">IF(ROWS($1:8)&gt;COUNT(Dong9),"",OFFSET(TH!C$1,SMALL(Dong9,ROWS($1:8)),))</f>
        <v>42106</v>
      </c>
      <c r="B23" s="676" t="str">
        <f ca="1">IF(ROWS($1:8)&gt;COUNT(Dong9),"",OFFSET(TH!D$1,SMALL(Dong9,ROWS($1:8)),))</f>
        <v>XSX</v>
      </c>
      <c r="C23" s="676">
        <f ca="1">IF(ROWS($1:8)&gt;COUNT(Dong9),"",OFFSET(TH!E$1,SMALL(Dong9,ROWS($1:8)),))</f>
        <v>42106</v>
      </c>
      <c r="D23" s="677" t="str">
        <f ca="1">IF(ROWS($1:8)&gt;COUNT(Dong9),"",OFFSET(TH!F$1,SMALL(Dong9,ROWS($1:8)),))</f>
        <v>Giấy tấm 5 lớp (155x166)</v>
      </c>
      <c r="E23" s="676" t="str">
        <f ca="1">IF(ROWS($1:8)&gt;COUNT(Dong9),"",OFFSET(TH!M$1,SMALL(Dong9,ROWS($1:8)),))</f>
        <v>156</v>
      </c>
      <c r="F23" s="678">
        <f ca="1">IF(ROWS($1:8)&gt;COUNT(Dong9),"",OFFSET(TH!K$1,SMALL(Dong9,ROWS($1:8)),))</f>
        <v>8726529</v>
      </c>
      <c r="G23" s="678">
        <f t="shared" ca="1" si="0"/>
        <v>0</v>
      </c>
      <c r="H23" s="678">
        <f t="shared" ca="1" si="1"/>
        <v>0</v>
      </c>
      <c r="I23" s="678">
        <f t="shared" ca="1" si="2"/>
        <v>0</v>
      </c>
      <c r="J23" s="678">
        <f t="shared" ca="1" si="3"/>
        <v>0</v>
      </c>
      <c r="K23" s="678">
        <f t="shared" ca="1" si="4"/>
        <v>0</v>
      </c>
      <c r="L23" s="678">
        <f t="shared" ca="1" si="5"/>
        <v>0</v>
      </c>
      <c r="M23" s="678">
        <f t="shared" ca="1" si="6"/>
        <v>0</v>
      </c>
    </row>
    <row r="24" spans="1:13" ht="22.5" customHeight="1">
      <c r="A24" s="676">
        <f ca="1">IF(ROWS($1:9)&gt;COUNT(Dong9),"",OFFSET(TH!C$1,SMALL(Dong9,ROWS($1:9)),))</f>
        <v>42106</v>
      </c>
      <c r="B24" s="676" t="str">
        <f ca="1">IF(ROWS($1:9)&gt;COUNT(Dong9),"",OFFSET(TH!D$1,SMALL(Dong9,ROWS($1:9)),))</f>
        <v>XSX</v>
      </c>
      <c r="C24" s="676">
        <f ca="1">IF(ROWS($1:9)&gt;COUNT(Dong9),"",OFFSET(TH!E$1,SMALL(Dong9,ROWS($1:9)),))</f>
        <v>42106</v>
      </c>
      <c r="D24" s="677" t="str">
        <f ca="1">IF(ROWS($1:9)&gt;COUNT(Dong9),"",OFFSET(TH!F$1,SMALL(Dong9,ROWS($1:9)),))</f>
        <v>Giấy tấm 5 lớp (120x174)</v>
      </c>
      <c r="E24" s="676" t="str">
        <f ca="1">IF(ROWS($1:9)&gt;COUNT(Dong9),"",OFFSET(TH!M$1,SMALL(Dong9,ROWS($1:9)),))</f>
        <v>156</v>
      </c>
      <c r="F24" s="678">
        <f ca="1">IF(ROWS($1:9)&gt;COUNT(Dong9),"",OFFSET(TH!K$1,SMALL(Dong9,ROWS($1:9)),))</f>
        <v>2360484</v>
      </c>
      <c r="G24" s="678">
        <f t="shared" ca="1" si="0"/>
        <v>0</v>
      </c>
      <c r="H24" s="678">
        <f t="shared" ca="1" si="1"/>
        <v>0</v>
      </c>
      <c r="I24" s="678">
        <f t="shared" ca="1" si="2"/>
        <v>0</v>
      </c>
      <c r="J24" s="678">
        <f t="shared" ca="1" si="3"/>
        <v>0</v>
      </c>
      <c r="K24" s="678">
        <f t="shared" ca="1" si="4"/>
        <v>0</v>
      </c>
      <c r="L24" s="678">
        <f t="shared" ca="1" si="5"/>
        <v>0</v>
      </c>
      <c r="M24" s="678">
        <f t="shared" ca="1" si="6"/>
        <v>0</v>
      </c>
    </row>
    <row r="25" spans="1:13" ht="22.5" customHeight="1">
      <c r="A25" s="676">
        <f ca="1">IF(ROWS($1:10)&gt;COUNT(Dong9),"",OFFSET(TH!C$1,SMALL(Dong9,ROWS($1:10)),))</f>
        <v>42129</v>
      </c>
      <c r="B25" s="676" t="str">
        <f ca="1">IF(ROWS($1:10)&gt;COUNT(Dong9),"",OFFSET(TH!D$1,SMALL(Dong9,ROWS($1:10)),))</f>
        <v>XSX</v>
      </c>
      <c r="C25" s="676">
        <f ca="1">IF(ROWS($1:10)&gt;COUNT(Dong9),"",OFFSET(TH!E$1,SMALL(Dong9,ROWS($1:10)),))</f>
        <v>42129</v>
      </c>
      <c r="D25" s="677" t="str">
        <f ca="1">IF(ROWS($1:10)&gt;COUNT(Dong9),"",OFFSET(TH!F$1,SMALL(Dong9,ROWS($1:10)),))</f>
        <v>Giấy tấm 1N + 4X (110x102)</v>
      </c>
      <c r="E25" s="676" t="str">
        <f ca="1">IF(ROWS($1:10)&gt;COUNT(Dong9),"",OFFSET(TH!M$1,SMALL(Dong9,ROWS($1:10)),))</f>
        <v>156</v>
      </c>
      <c r="F25" s="678">
        <f ca="1">IF(ROWS($1:10)&gt;COUNT(Dong9),"",OFFSET(TH!K$1,SMALL(Dong9,ROWS($1:10)),))</f>
        <v>646483</v>
      </c>
      <c r="G25" s="678">
        <f t="shared" ca="1" si="0"/>
        <v>0</v>
      </c>
      <c r="H25" s="678">
        <f t="shared" ca="1" si="1"/>
        <v>0</v>
      </c>
      <c r="I25" s="678">
        <f t="shared" ca="1" si="2"/>
        <v>0</v>
      </c>
      <c r="J25" s="678">
        <f t="shared" ca="1" si="3"/>
        <v>0</v>
      </c>
      <c r="K25" s="678">
        <f t="shared" ca="1" si="4"/>
        <v>0</v>
      </c>
      <c r="L25" s="678">
        <f t="shared" ca="1" si="5"/>
        <v>0</v>
      </c>
      <c r="M25" s="678">
        <f t="shared" ca="1" si="6"/>
        <v>0</v>
      </c>
    </row>
    <row r="26" spans="1:13" ht="22.5" customHeight="1">
      <c r="A26" s="676">
        <f ca="1">IF(ROWS($1:11)&gt;COUNT(Dong9),"",OFFSET(TH!C$1,SMALL(Dong9,ROWS($1:11)),))</f>
        <v>42129</v>
      </c>
      <c r="B26" s="676" t="str">
        <f ca="1">IF(ROWS($1:11)&gt;COUNT(Dong9),"",OFFSET(TH!D$1,SMALL(Dong9,ROWS($1:11)),))</f>
        <v>XSX</v>
      </c>
      <c r="C26" s="676">
        <f ca="1">IF(ROWS($1:11)&gt;COUNT(Dong9),"",OFFSET(TH!E$1,SMALL(Dong9,ROWS($1:11)),))</f>
        <v>42129</v>
      </c>
      <c r="D26" s="677" t="str">
        <f ca="1">IF(ROWS($1:11)&gt;COUNT(Dong9),"",OFFSET(TH!F$1,SMALL(Dong9,ROWS($1:11)),))</f>
        <v>Giấy tấm 5 lớp (125x104)</v>
      </c>
      <c r="E26" s="676" t="str">
        <f ca="1">IF(ROWS($1:11)&gt;COUNT(Dong9),"",OFFSET(TH!M$1,SMALL(Dong9,ROWS($1:11)),))</f>
        <v>156</v>
      </c>
      <c r="F26" s="678">
        <f ca="1">IF(ROWS($1:11)&gt;COUNT(Dong9),"",OFFSET(TH!K$1,SMALL(Dong9,ROWS($1:11)),))</f>
        <v>1144000</v>
      </c>
      <c r="G26" s="678">
        <f t="shared" ca="1" si="0"/>
        <v>0</v>
      </c>
      <c r="H26" s="678">
        <f t="shared" ca="1" si="1"/>
        <v>0</v>
      </c>
      <c r="I26" s="678">
        <f t="shared" ca="1" si="2"/>
        <v>0</v>
      </c>
      <c r="J26" s="678">
        <f t="shared" ca="1" si="3"/>
        <v>0</v>
      </c>
      <c r="K26" s="678">
        <f t="shared" ca="1" si="4"/>
        <v>0</v>
      </c>
      <c r="L26" s="678">
        <f t="shared" ca="1" si="5"/>
        <v>0</v>
      </c>
      <c r="M26" s="678">
        <f t="shared" ca="1" si="6"/>
        <v>0</v>
      </c>
    </row>
    <row r="27" spans="1:13" ht="22.5" customHeight="1">
      <c r="A27" s="676">
        <f ca="1">IF(ROWS($1:12)&gt;COUNT(Dong9),"",OFFSET(TH!C$1,SMALL(Dong9,ROWS($1:12)),))</f>
        <v>42129</v>
      </c>
      <c r="B27" s="676" t="str">
        <f ca="1">IF(ROWS($1:12)&gt;COUNT(Dong9),"",OFFSET(TH!D$1,SMALL(Dong9,ROWS($1:12)),))</f>
        <v>XSX</v>
      </c>
      <c r="C27" s="676">
        <f ca="1">IF(ROWS($1:12)&gt;COUNT(Dong9),"",OFFSET(TH!E$1,SMALL(Dong9,ROWS($1:12)),))</f>
        <v>42129</v>
      </c>
      <c r="D27" s="677" t="str">
        <f ca="1">IF(ROWS($1:12)&gt;COUNT(Dong9),"",OFFSET(TH!F$1,SMALL(Dong9,ROWS($1:12)),))</f>
        <v>Giấy tấm 3 lớp (140x101)</v>
      </c>
      <c r="E27" s="676" t="str">
        <f ca="1">IF(ROWS($1:12)&gt;COUNT(Dong9),"",OFFSET(TH!M$1,SMALL(Dong9,ROWS($1:12)),))</f>
        <v>156</v>
      </c>
      <c r="F27" s="678">
        <f ca="1">IF(ROWS($1:12)&gt;COUNT(Dong9),"",OFFSET(TH!K$1,SMALL(Dong9,ROWS($1:12)),))</f>
        <v>1640200</v>
      </c>
      <c r="G27" s="678">
        <f t="shared" ca="1" si="0"/>
        <v>0</v>
      </c>
      <c r="H27" s="678">
        <f t="shared" ca="1" si="1"/>
        <v>0</v>
      </c>
      <c r="I27" s="678">
        <f t="shared" ca="1" si="2"/>
        <v>0</v>
      </c>
      <c r="J27" s="678">
        <f t="shared" ca="1" si="3"/>
        <v>0</v>
      </c>
      <c r="K27" s="678">
        <f t="shared" ca="1" si="4"/>
        <v>0</v>
      </c>
      <c r="L27" s="678">
        <f t="shared" ca="1" si="5"/>
        <v>0</v>
      </c>
      <c r="M27" s="678">
        <f t="shared" ca="1" si="6"/>
        <v>0</v>
      </c>
    </row>
    <row r="28" spans="1:13" ht="22.5" customHeight="1">
      <c r="A28" s="676">
        <f ca="1">IF(ROWS($1:13)&gt;COUNT(Dong9),"",OFFSET(TH!C$1,SMALL(Dong9,ROWS($1:13)),))</f>
        <v>42129</v>
      </c>
      <c r="B28" s="676" t="str">
        <f ca="1">IF(ROWS($1:13)&gt;COUNT(Dong9),"",OFFSET(TH!D$1,SMALL(Dong9,ROWS($1:13)),))</f>
        <v>XSX</v>
      </c>
      <c r="C28" s="676">
        <f ca="1">IF(ROWS($1:13)&gt;COUNT(Dong9),"",OFFSET(TH!E$1,SMALL(Dong9,ROWS($1:13)),))</f>
        <v>42129</v>
      </c>
      <c r="D28" s="677" t="str">
        <f ca="1">IF(ROWS($1:13)&gt;COUNT(Dong9),"",OFFSET(TH!F$1,SMALL(Dong9,ROWS($1:13)),))</f>
        <v>Giấy tấm 5 lớp (125x196)</v>
      </c>
      <c r="E28" s="676" t="str">
        <f ca="1">IF(ROWS($1:13)&gt;COUNT(Dong9),"",OFFSET(TH!M$1,SMALL(Dong9,ROWS($1:13)),))</f>
        <v>156</v>
      </c>
      <c r="F28" s="678">
        <f ca="1">IF(ROWS($1:13)&gt;COUNT(Dong9),"",OFFSET(TH!K$1,SMALL(Dong9,ROWS($1:13)),))</f>
        <v>1481025</v>
      </c>
      <c r="G28" s="678">
        <f t="shared" ca="1" si="0"/>
        <v>0</v>
      </c>
      <c r="H28" s="678">
        <f t="shared" ca="1" si="1"/>
        <v>0</v>
      </c>
      <c r="I28" s="678">
        <f t="shared" ca="1" si="2"/>
        <v>0</v>
      </c>
      <c r="J28" s="678">
        <f t="shared" ca="1" si="3"/>
        <v>0</v>
      </c>
      <c r="K28" s="678">
        <f t="shared" ca="1" si="4"/>
        <v>0</v>
      </c>
      <c r="L28" s="678">
        <f t="shared" ca="1" si="5"/>
        <v>0</v>
      </c>
      <c r="M28" s="678">
        <f t="shared" ca="1" si="6"/>
        <v>0</v>
      </c>
    </row>
    <row r="29" spans="1:13" ht="22.5" customHeight="1">
      <c r="A29" s="676">
        <f ca="1">IF(ROWS($1:14)&gt;COUNT(Dong9),"",OFFSET(TH!C$1,SMALL(Dong9,ROWS($1:14)),))</f>
        <v>42129</v>
      </c>
      <c r="B29" s="676" t="str">
        <f ca="1">IF(ROWS($1:14)&gt;COUNT(Dong9),"",OFFSET(TH!D$1,SMALL(Dong9,ROWS($1:14)),))</f>
        <v>XSX</v>
      </c>
      <c r="C29" s="676">
        <f ca="1">IF(ROWS($1:14)&gt;COUNT(Dong9),"",OFFSET(TH!E$1,SMALL(Dong9,ROWS($1:14)),))</f>
        <v>42129</v>
      </c>
      <c r="D29" s="677" t="str">
        <f ca="1">IF(ROWS($1:14)&gt;COUNT(Dong9),"",OFFSET(TH!F$1,SMALL(Dong9,ROWS($1:14)),))</f>
        <v>Giấy tấm 3 lớp (140x101)</v>
      </c>
      <c r="E29" s="676" t="str">
        <f ca="1">IF(ROWS($1:14)&gt;COUNT(Dong9),"",OFFSET(TH!M$1,SMALL(Dong9,ROWS($1:14)),))</f>
        <v>156</v>
      </c>
      <c r="F29" s="678">
        <f ca="1">IF(ROWS($1:14)&gt;COUNT(Dong9),"",OFFSET(TH!K$1,SMALL(Dong9,ROWS($1:14)),))</f>
        <v>1640200</v>
      </c>
      <c r="G29" s="678">
        <f t="shared" ca="1" si="0"/>
        <v>0</v>
      </c>
      <c r="H29" s="678">
        <f t="shared" ca="1" si="1"/>
        <v>0</v>
      </c>
      <c r="I29" s="678">
        <f t="shared" ca="1" si="2"/>
        <v>0</v>
      </c>
      <c r="J29" s="678">
        <f t="shared" ca="1" si="3"/>
        <v>0</v>
      </c>
      <c r="K29" s="678">
        <f t="shared" ca="1" si="4"/>
        <v>0</v>
      </c>
      <c r="L29" s="678">
        <f t="shared" ca="1" si="5"/>
        <v>0</v>
      </c>
      <c r="M29" s="678">
        <f t="shared" ca="1" si="6"/>
        <v>0</v>
      </c>
    </row>
    <row r="30" spans="1:13" ht="22.5" customHeight="1">
      <c r="A30" s="676">
        <f ca="1">IF(ROWS($1:15)&gt;COUNT(Dong9),"",OFFSET(TH!C$1,SMALL(Dong9,ROWS($1:15)),))</f>
        <v>42156</v>
      </c>
      <c r="B30" s="676" t="str">
        <f ca="1">IF(ROWS($1:15)&gt;COUNT(Dong9),"",OFFSET(TH!D$1,SMALL(Dong9,ROWS($1:15)),))</f>
        <v>XSX</v>
      </c>
      <c r="C30" s="676">
        <f ca="1">IF(ROWS($1:15)&gt;COUNT(Dong9),"",OFFSET(TH!E$1,SMALL(Dong9,ROWS($1:15)),))</f>
        <v>42156</v>
      </c>
      <c r="D30" s="677" t="str">
        <f ca="1">IF(ROWS($1:15)&gt;COUNT(Dong9),"",OFFSET(TH!F$1,SMALL(Dong9,ROWS($1:15)),))</f>
        <v>Giấy tấm 5 lớp (90x140)</v>
      </c>
      <c r="E30" s="676" t="str">
        <f ca="1">IF(ROWS($1:15)&gt;COUNT(Dong9),"",OFFSET(TH!M$1,SMALL(Dong9,ROWS($1:15)),))</f>
        <v>156</v>
      </c>
      <c r="F30" s="678">
        <f ca="1">IF(ROWS($1:15)&gt;COUNT(Dong9),"",OFFSET(TH!K$1,SMALL(Dong9,ROWS($1:15)),))</f>
        <v>5355000</v>
      </c>
      <c r="G30" s="678">
        <f t="shared" ca="1" si="0"/>
        <v>0</v>
      </c>
      <c r="H30" s="678">
        <f t="shared" ca="1" si="1"/>
        <v>0</v>
      </c>
      <c r="I30" s="678">
        <f t="shared" ca="1" si="2"/>
        <v>0</v>
      </c>
      <c r="J30" s="678">
        <f t="shared" ca="1" si="3"/>
        <v>0</v>
      </c>
      <c r="K30" s="678">
        <f t="shared" ca="1" si="4"/>
        <v>0</v>
      </c>
      <c r="L30" s="678">
        <f t="shared" ca="1" si="5"/>
        <v>0</v>
      </c>
      <c r="M30" s="678">
        <f t="shared" ca="1" si="6"/>
        <v>0</v>
      </c>
    </row>
    <row r="31" spans="1:13" ht="22.5" customHeight="1">
      <c r="A31" s="676">
        <f ca="1">IF(ROWS($1:16)&gt;COUNT(Dong9),"",OFFSET(TH!C$1,SMALL(Dong9,ROWS($1:16)),))</f>
        <v>42168</v>
      </c>
      <c r="B31" s="676" t="str">
        <f ca="1">IF(ROWS($1:16)&gt;COUNT(Dong9),"",OFFSET(TH!D$1,SMALL(Dong9,ROWS($1:16)),))</f>
        <v>XSX</v>
      </c>
      <c r="C31" s="676">
        <f ca="1">IF(ROWS($1:16)&gt;COUNT(Dong9),"",OFFSET(TH!E$1,SMALL(Dong9,ROWS($1:16)),))</f>
        <v>42168</v>
      </c>
      <c r="D31" s="677" t="str">
        <f ca="1">IF(ROWS($1:16)&gt;COUNT(Dong9),"",OFFSET(TH!F$1,SMALL(Dong9,ROWS($1:16)),))</f>
        <v>Giấy tấm 5 lớp (155x147)</v>
      </c>
      <c r="E31" s="676" t="str">
        <f ca="1">IF(ROWS($1:16)&gt;COUNT(Dong9),"",OFFSET(TH!M$1,SMALL(Dong9,ROWS($1:16)),))</f>
        <v>156</v>
      </c>
      <c r="F31" s="678">
        <f ca="1">IF(ROWS($1:16)&gt;COUNT(Dong9),"",OFFSET(TH!K$1,SMALL(Dong9,ROWS($1:16)),))</f>
        <v>1804590</v>
      </c>
      <c r="G31" s="678">
        <f t="shared" ca="1" si="0"/>
        <v>0</v>
      </c>
      <c r="H31" s="678">
        <f t="shared" ca="1" si="1"/>
        <v>0</v>
      </c>
      <c r="I31" s="678">
        <f t="shared" ca="1" si="2"/>
        <v>0</v>
      </c>
      <c r="J31" s="678">
        <f t="shared" ca="1" si="3"/>
        <v>0</v>
      </c>
      <c r="K31" s="678">
        <f t="shared" ca="1" si="4"/>
        <v>0</v>
      </c>
      <c r="L31" s="678">
        <f t="shared" ca="1" si="5"/>
        <v>0</v>
      </c>
      <c r="M31" s="678">
        <f t="shared" ca="1" si="6"/>
        <v>0</v>
      </c>
    </row>
    <row r="32" spans="1:13" ht="22.5" customHeight="1">
      <c r="A32" s="676">
        <f ca="1">IF(ROWS($1:17)&gt;COUNT(Dong9),"",OFFSET(TH!C$1,SMALL(Dong9,ROWS($1:17)),))</f>
        <v>42173</v>
      </c>
      <c r="B32" s="676" t="str">
        <f ca="1">IF(ROWS($1:17)&gt;COUNT(Dong9),"",OFFSET(TH!D$1,SMALL(Dong9,ROWS($1:17)),))</f>
        <v>XSX</v>
      </c>
      <c r="C32" s="676">
        <f ca="1">IF(ROWS($1:17)&gt;COUNT(Dong9),"",OFFSET(TH!E$1,SMALL(Dong9,ROWS($1:17)),))</f>
        <v>42173</v>
      </c>
      <c r="D32" s="677" t="str">
        <f ca="1">IF(ROWS($1:17)&gt;COUNT(Dong9),"",OFFSET(TH!F$1,SMALL(Dong9,ROWS($1:17)),))</f>
        <v>Giấy tấm 5 lớp (115x207)</v>
      </c>
      <c r="E32" s="676" t="str">
        <f ca="1">IF(ROWS($1:17)&gt;COUNT(Dong9),"",OFFSET(TH!M$1,SMALL(Dong9,ROWS($1:17)),))</f>
        <v>156</v>
      </c>
      <c r="F32" s="678">
        <f ca="1">IF(ROWS($1:17)&gt;COUNT(Dong9),"",OFFSET(TH!K$1,SMALL(Dong9,ROWS($1:17)),))</f>
        <v>446624</v>
      </c>
      <c r="G32" s="678">
        <f t="shared" ca="1" si="0"/>
        <v>0</v>
      </c>
      <c r="H32" s="678">
        <f t="shared" ca="1" si="1"/>
        <v>0</v>
      </c>
      <c r="I32" s="678">
        <f t="shared" ca="1" si="2"/>
        <v>0</v>
      </c>
      <c r="J32" s="678">
        <f t="shared" ca="1" si="3"/>
        <v>0</v>
      </c>
      <c r="K32" s="678">
        <f t="shared" ca="1" si="4"/>
        <v>0</v>
      </c>
      <c r="L32" s="678">
        <f t="shared" ca="1" si="5"/>
        <v>0</v>
      </c>
      <c r="M32" s="678">
        <f t="shared" ca="1" si="6"/>
        <v>0</v>
      </c>
    </row>
    <row r="33" spans="1:13" ht="22.5" customHeight="1">
      <c r="A33" s="676">
        <f ca="1">IF(ROWS($1:18)&gt;COUNT(Dong9),"",OFFSET(TH!C$1,SMALL(Dong9,ROWS($1:18)),))</f>
        <v>42173</v>
      </c>
      <c r="B33" s="676" t="str">
        <f ca="1">IF(ROWS($1:18)&gt;COUNT(Dong9),"",OFFSET(TH!D$1,SMALL(Dong9,ROWS($1:18)),))</f>
        <v>XSX</v>
      </c>
      <c r="C33" s="676">
        <f ca="1">IF(ROWS($1:18)&gt;COUNT(Dong9),"",OFFSET(TH!E$1,SMALL(Dong9,ROWS($1:18)),))</f>
        <v>42173</v>
      </c>
      <c r="D33" s="677" t="str">
        <f ca="1">IF(ROWS($1:18)&gt;COUNT(Dong9),"",OFFSET(TH!F$1,SMALL(Dong9,ROWS($1:18)),))</f>
        <v>Giấy tấm (130x193)</v>
      </c>
      <c r="E33" s="676" t="str">
        <f ca="1">IF(ROWS($1:18)&gt;COUNT(Dong9),"",OFFSET(TH!M$1,SMALL(Dong9,ROWS($1:18)),))</f>
        <v>156</v>
      </c>
      <c r="F33" s="678">
        <f ca="1">IF(ROWS($1:18)&gt;COUNT(Dong9),"",OFFSET(TH!K$1,SMALL(Dong9,ROWS($1:18)),))</f>
        <v>426530</v>
      </c>
      <c r="G33" s="678">
        <f t="shared" ca="1" si="0"/>
        <v>0</v>
      </c>
      <c r="H33" s="678">
        <f t="shared" ca="1" si="1"/>
        <v>0</v>
      </c>
      <c r="I33" s="678">
        <f t="shared" ca="1" si="2"/>
        <v>0</v>
      </c>
      <c r="J33" s="678">
        <f t="shared" ca="1" si="3"/>
        <v>0</v>
      </c>
      <c r="K33" s="678">
        <f t="shared" ca="1" si="4"/>
        <v>0</v>
      </c>
      <c r="L33" s="678">
        <f t="shared" ca="1" si="5"/>
        <v>0</v>
      </c>
      <c r="M33" s="678">
        <f t="shared" ca="1" si="6"/>
        <v>0</v>
      </c>
    </row>
    <row r="34" spans="1:13" ht="22.5" customHeight="1">
      <c r="A34" s="676"/>
      <c r="B34" s="679"/>
      <c r="C34" s="676"/>
      <c r="D34" s="680"/>
      <c r="E34" s="681"/>
      <c r="F34" s="682"/>
      <c r="G34" s="682"/>
      <c r="H34" s="682"/>
      <c r="I34" s="682"/>
      <c r="J34" s="682"/>
      <c r="K34" s="682"/>
      <c r="L34" s="682"/>
      <c r="M34" s="682"/>
    </row>
    <row r="35" spans="1:13" ht="22.5" customHeight="1">
      <c r="A35" s="676"/>
      <c r="B35" s="679"/>
      <c r="C35" s="676"/>
      <c r="D35" s="674" t="s">
        <v>133</v>
      </c>
      <c r="E35" s="673" t="s">
        <v>19</v>
      </c>
      <c r="F35" s="675">
        <f t="shared" ref="F35:M35" ca="1" si="7">SUM(F15:F34)</f>
        <v>45777157</v>
      </c>
      <c r="G35" s="675">
        <f t="shared" ca="1" si="7"/>
        <v>0</v>
      </c>
      <c r="H35" s="675">
        <f t="shared" ca="1" si="7"/>
        <v>0</v>
      </c>
      <c r="I35" s="675">
        <f t="shared" ca="1" si="7"/>
        <v>2430000</v>
      </c>
      <c r="J35" s="675">
        <f t="shared" ca="1" si="7"/>
        <v>9020000</v>
      </c>
      <c r="K35" s="675">
        <f t="shared" ca="1" si="7"/>
        <v>0</v>
      </c>
      <c r="L35" s="675">
        <f t="shared" ca="1" si="7"/>
        <v>0</v>
      </c>
      <c r="M35" s="675">
        <f t="shared" ca="1" si="7"/>
        <v>0</v>
      </c>
    </row>
    <row r="36" spans="1:13" ht="22.5" customHeight="1">
      <c r="A36" s="683"/>
      <c r="B36" s="681"/>
      <c r="C36" s="683"/>
      <c r="D36" s="684" t="s">
        <v>381</v>
      </c>
      <c r="E36" s="679"/>
      <c r="F36" s="685">
        <f ca="1">SUM(G36:M36)</f>
        <v>11450000</v>
      </c>
      <c r="G36" s="685">
        <f t="shared" ref="G36:M36" ca="1" si="8">G35</f>
        <v>0</v>
      </c>
      <c r="H36" s="685">
        <f t="shared" ca="1" si="8"/>
        <v>0</v>
      </c>
      <c r="I36" s="685">
        <f t="shared" ref="I36" ca="1" si="9">I35</f>
        <v>2430000</v>
      </c>
      <c r="J36" s="685">
        <f t="shared" ca="1" si="8"/>
        <v>9020000</v>
      </c>
      <c r="K36" s="685">
        <f t="shared" ca="1" si="8"/>
        <v>0</v>
      </c>
      <c r="L36" s="685">
        <f t="shared" ref="L36" ca="1" si="10">L35</f>
        <v>0</v>
      </c>
      <c r="M36" s="685">
        <f t="shared" ca="1" si="8"/>
        <v>0</v>
      </c>
    </row>
    <row r="37" spans="1:13" ht="22.5" customHeight="1">
      <c r="A37" s="686"/>
      <c r="B37" s="686"/>
      <c r="C37" s="686"/>
      <c r="D37" s="687" t="s">
        <v>10</v>
      </c>
      <c r="E37" s="686" t="s">
        <v>19</v>
      </c>
      <c r="F37" s="688">
        <f t="shared" ref="F37:M37" ca="1" si="11">F15+F35-F36</f>
        <v>34327157</v>
      </c>
      <c r="G37" s="688">
        <f t="shared" ca="1" si="11"/>
        <v>0</v>
      </c>
      <c r="H37" s="688">
        <f t="shared" ca="1" si="11"/>
        <v>0</v>
      </c>
      <c r="I37" s="688">
        <f t="shared" ca="1" si="11"/>
        <v>0</v>
      </c>
      <c r="J37" s="688">
        <f t="shared" ca="1" si="11"/>
        <v>0</v>
      </c>
      <c r="K37" s="688">
        <f t="shared" ca="1" si="11"/>
        <v>0</v>
      </c>
      <c r="L37" s="688">
        <f t="shared" ca="1" si="11"/>
        <v>0</v>
      </c>
      <c r="M37" s="688">
        <f t="shared" ca="1" si="11"/>
        <v>0</v>
      </c>
    </row>
    <row r="39" spans="1:13">
      <c r="B39" s="689"/>
      <c r="C39" s="669" t="s">
        <v>382</v>
      </c>
    </row>
    <row r="40" spans="1:13">
      <c r="C40" s="669" t="str">
        <f ca="1">"Ngày mở sổ: "&amp;"01/"&amp;MONTH(A16)&amp;"/ "&amp;YEAR(A16)</f>
        <v>Ngày mở sổ: 01/4/ 2015</v>
      </c>
    </row>
    <row r="41" spans="1:13">
      <c r="E41" s="668"/>
      <c r="F41" s="668"/>
      <c r="G41" s="668"/>
      <c r="H41" s="668"/>
      <c r="I41" s="668"/>
      <c r="J41" s="1129" t="str">
        <f ca="1">IF(OR($P$5=1,$P$5=4,$P$5=6,$P$5=9,$P$5=11),"Ngày  30  tháng  "&amp;$P$5&amp;"   năm "&amp;YEAR(A16),IF(OR($P$5=3,$P$5=5,$P$5=7,$P$5=8,$P$5=10,$P$5=12),"Ngày  31  tháng  "&amp;$P$5&amp;"   năm "&amp;YEAR(A16),"Ngày  28  tháng  "&amp;$P$5&amp;"   năm "&amp;YEAR(A16)))</f>
        <v>Ngày  30  tháng  6   năm 2015</v>
      </c>
      <c r="K41" s="1129"/>
      <c r="L41" s="1129"/>
      <c r="M41" s="1129"/>
    </row>
    <row r="42" spans="1:13">
      <c r="B42" s="668"/>
      <c r="C42" s="665" t="s">
        <v>11</v>
      </c>
      <c r="D42" s="668"/>
      <c r="E42" s="668"/>
      <c r="F42" s="668"/>
      <c r="G42" s="668"/>
      <c r="H42" s="668"/>
      <c r="I42" s="668"/>
      <c r="J42" s="1129" t="s">
        <v>12</v>
      </c>
      <c r="K42" s="1129"/>
      <c r="L42" s="1129"/>
      <c r="M42" s="1129"/>
    </row>
    <row r="43" spans="1:13">
      <c r="B43" s="668"/>
      <c r="C43" s="665" t="s">
        <v>13</v>
      </c>
      <c r="D43" s="668"/>
      <c r="E43" s="668"/>
      <c r="F43" s="668"/>
      <c r="G43" s="668"/>
      <c r="H43" s="668"/>
      <c r="I43" s="668"/>
      <c r="J43" s="668"/>
      <c r="K43" s="668" t="s">
        <v>13</v>
      </c>
      <c r="L43" s="668"/>
    </row>
  </sheetData>
  <mergeCells count="16">
    <mergeCell ref="C10:M10"/>
    <mergeCell ref="J2:M2"/>
    <mergeCell ref="A5:M5"/>
    <mergeCell ref="A6:M6"/>
    <mergeCell ref="J3:M4"/>
    <mergeCell ref="J41:M41"/>
    <mergeCell ref="J42:M42"/>
    <mergeCell ref="A11:A13"/>
    <mergeCell ref="B11:C11"/>
    <mergeCell ref="D11:D13"/>
    <mergeCell ref="E11:E13"/>
    <mergeCell ref="F11:M11"/>
    <mergeCell ref="B12:B13"/>
    <mergeCell ref="C12:C13"/>
    <mergeCell ref="F12:F13"/>
    <mergeCell ref="G12:M12"/>
  </mergeCells>
  <dataValidations count="1">
    <dataValidation type="list" allowBlank="1" showInputMessage="1" showErrorMessage="1" sqref="O13">
      <formula1>"All,Quý I, Quý II, Quý III, Quý IV"</formula1>
    </dataValidation>
  </dataValidations>
  <pageMargins left="0.37" right="0.16" top="0.18" bottom="0.42" header="0.17" footer="0.19"/>
  <pageSetup scale="85" orientation="landscape" r:id="rId1"/>
  <headerFooter alignWithMargins="0">
    <oddFooter>&amp;R&amp;P/&amp;N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M30"/>
  <sheetViews>
    <sheetView topLeftCell="A11" zoomScale="90" workbookViewId="0">
      <pane ySplit="5" topLeftCell="A16" activePane="bottomLeft" state="frozen"/>
      <selection activeCell="A11" sqref="A11"/>
      <selection pane="bottomLeft" activeCell="A16" sqref="A16:XFD16"/>
    </sheetView>
  </sheetViews>
  <sheetFormatPr defaultRowHeight="15"/>
  <cols>
    <col min="1" max="1" width="10.28515625" style="665" customWidth="1"/>
    <col min="2" max="2" width="8.85546875" style="665" customWidth="1"/>
    <col min="3" max="3" width="10.5703125" style="665" customWidth="1"/>
    <col min="4" max="4" width="31.85546875" style="665" customWidth="1"/>
    <col min="5" max="5" width="10.28515625" style="665" customWidth="1"/>
    <col min="6" max="6" width="15.28515625" style="665" customWidth="1"/>
    <col min="7" max="7" width="9.42578125" style="665" customWidth="1"/>
    <col min="8" max="8" width="15.140625" style="665" customWidth="1"/>
    <col min="9" max="9" width="9.140625" style="665"/>
    <col min="10" max="10" width="16.28515625" style="665" customWidth="1"/>
    <col min="11" max="11" width="6" style="665" customWidth="1"/>
    <col min="12" max="16384" width="9.140625" style="665"/>
  </cols>
  <sheetData>
    <row r="2" spans="1:13">
      <c r="A2" s="664" t="str">
        <f>'154'!A2</f>
        <v>Đơn vị: CÔNG TY TNHH MỘT THÀNH VIÊN KHỞI NGUYÊN AN</v>
      </c>
      <c r="F2" s="666"/>
      <c r="G2" s="1192" t="s">
        <v>369</v>
      </c>
      <c r="H2" s="1192"/>
      <c r="I2" s="1192"/>
      <c r="J2" s="1192"/>
    </row>
    <row r="3" spans="1:13" ht="15" customHeight="1">
      <c r="A3" s="694" t="str">
        <f>'154'!A3</f>
        <v>Địa chỉ: Thửa đất số 144, tờ bản đồ số 12TĐH.1, tổ 1, khu phố Đông Tác, Phường Tân Đông Hiệp, Thị Xã Dĩ An, Tỉnh Bình Dương, Việt Nam</v>
      </c>
      <c r="G3" s="1195" t="str">
        <f ca="1">IF(YEAR($A$16)&gt;=2015,"(Ban hành theo Thông tư số 200/2014/TT-BTC  Ngày 22/12/2014 của Bộ Tài chính)","(Ban hành kèm theo QĐ 48/2006/QĐ-BTC ngày 24/09/2006 của Bộ trưởng BTC)")</f>
        <v>(Ban hành theo Thông tư số 200/2014/TT-BTC  Ngày 22/12/2014 của Bộ Tài chính)</v>
      </c>
      <c r="H3" s="1195"/>
      <c r="I3" s="1195"/>
      <c r="J3" s="1195"/>
    </row>
    <row r="4" spans="1:13">
      <c r="G4" s="1195"/>
      <c r="H4" s="1195"/>
      <c r="I4" s="1195"/>
      <c r="J4" s="1195"/>
    </row>
    <row r="5" spans="1:13" ht="27" customHeight="1">
      <c r="A5" s="1193" t="s">
        <v>370</v>
      </c>
      <c r="B5" s="1193"/>
      <c r="C5" s="1193"/>
      <c r="D5" s="1193"/>
      <c r="E5" s="1193"/>
      <c r="F5" s="1193"/>
      <c r="G5" s="1193"/>
      <c r="H5" s="1193"/>
      <c r="I5" s="1193"/>
      <c r="J5" s="1193"/>
      <c r="K5" s="667" t="s">
        <v>162</v>
      </c>
      <c r="L5" s="602">
        <f>IF(L13="Quý I",1,IF(L13="Quý II",4,IF(L13="Quý III",7,IF(L13="Quý IV",10,""))))</f>
        <v>4</v>
      </c>
      <c r="M5" s="602">
        <f>IF(L13="Quý I",3,IF(L13="Quý II",6,IF(L13="Quý III",9,IF(L13="Quý IV",12,""))))</f>
        <v>6</v>
      </c>
    </row>
    <row r="6" spans="1:13">
      <c r="A6" s="1194" t="s">
        <v>371</v>
      </c>
      <c r="B6" s="1194"/>
      <c r="C6" s="1194"/>
      <c r="D6" s="1194"/>
      <c r="E6" s="1194"/>
      <c r="F6" s="1194"/>
      <c r="G6" s="1194"/>
      <c r="H6" s="1194"/>
      <c r="I6" s="1194"/>
      <c r="J6" s="1194"/>
    </row>
    <row r="7" spans="1:13">
      <c r="B7" s="668"/>
      <c r="C7" s="668"/>
      <c r="D7" s="668"/>
      <c r="E7" s="669" t="s">
        <v>383</v>
      </c>
      <c r="G7" s="668"/>
      <c r="H7" s="668"/>
      <c r="I7" s="668"/>
      <c r="J7" s="668"/>
    </row>
    <row r="8" spans="1:13">
      <c r="B8" s="668"/>
      <c r="C8" s="668"/>
      <c r="D8" s="668"/>
      <c r="E8" s="669" t="s">
        <v>373</v>
      </c>
      <c r="G8" s="668"/>
      <c r="H8" s="668"/>
      <c r="I8" s="668"/>
      <c r="J8" s="668"/>
    </row>
    <row r="9" spans="1:13">
      <c r="B9" s="670"/>
      <c r="C9" s="670"/>
      <c r="D9" s="670"/>
      <c r="E9" s="669" t="s">
        <v>374</v>
      </c>
      <c r="G9" s="670"/>
      <c r="H9" s="670"/>
      <c r="I9" s="670"/>
      <c r="J9" s="670"/>
    </row>
    <row r="10" spans="1:13" ht="9.75" customHeight="1">
      <c r="C10" s="1191"/>
      <c r="D10" s="1191"/>
      <c r="E10" s="1191"/>
      <c r="F10" s="1191"/>
      <c r="G10" s="1191"/>
      <c r="H10" s="1191"/>
      <c r="I10" s="1191"/>
      <c r="J10" s="1191"/>
    </row>
    <row r="11" spans="1:13" ht="15.75" customHeight="1">
      <c r="A11" s="1188" t="s">
        <v>20</v>
      </c>
      <c r="B11" s="1189" t="s">
        <v>1</v>
      </c>
      <c r="C11" s="1189"/>
      <c r="D11" s="1188" t="s">
        <v>0</v>
      </c>
      <c r="E11" s="1188" t="s">
        <v>204</v>
      </c>
      <c r="F11" s="1189" t="s">
        <v>384</v>
      </c>
      <c r="G11" s="1189"/>
      <c r="H11" s="1189"/>
      <c r="I11" s="1189"/>
      <c r="J11" s="1189"/>
    </row>
    <row r="12" spans="1:13" ht="15.75" customHeight="1" thickBot="1">
      <c r="A12" s="1188"/>
      <c r="B12" s="1190" t="s">
        <v>15</v>
      </c>
      <c r="C12" s="1190" t="s">
        <v>32</v>
      </c>
      <c r="D12" s="1188"/>
      <c r="E12" s="1188"/>
      <c r="F12" s="1190" t="s">
        <v>376</v>
      </c>
      <c r="G12" s="1190" t="s">
        <v>377</v>
      </c>
      <c r="H12" s="1190"/>
      <c r="I12" s="1190"/>
      <c r="J12" s="1190"/>
    </row>
    <row r="13" spans="1:13" ht="30.75" customHeight="1" thickBot="1">
      <c r="A13" s="1188"/>
      <c r="B13" s="1190"/>
      <c r="C13" s="1190"/>
      <c r="D13" s="1188"/>
      <c r="E13" s="1188"/>
      <c r="F13" s="1190"/>
      <c r="G13" s="671">
        <v>154</v>
      </c>
      <c r="H13" s="671">
        <v>155</v>
      </c>
      <c r="I13" s="671">
        <v>156</v>
      </c>
      <c r="J13" s="671">
        <v>157</v>
      </c>
      <c r="L13" s="693" t="s">
        <v>337</v>
      </c>
    </row>
    <row r="14" spans="1:13">
      <c r="A14" s="672" t="s">
        <v>2</v>
      </c>
      <c r="B14" s="672" t="s">
        <v>3</v>
      </c>
      <c r="C14" s="672" t="s">
        <v>4</v>
      </c>
      <c r="D14" s="672" t="s">
        <v>5</v>
      </c>
      <c r="E14" s="672" t="s">
        <v>6</v>
      </c>
      <c r="F14" s="672">
        <v>1</v>
      </c>
      <c r="G14" s="672">
        <v>2</v>
      </c>
      <c r="H14" s="672">
        <v>3</v>
      </c>
      <c r="I14" s="672">
        <v>4</v>
      </c>
      <c r="J14" s="672">
        <v>5</v>
      </c>
    </row>
    <row r="15" spans="1:13" ht="20.25" customHeight="1">
      <c r="A15" s="673"/>
      <c r="B15" s="673"/>
      <c r="C15" s="673"/>
      <c r="D15" s="674" t="s">
        <v>7</v>
      </c>
      <c r="E15" s="673"/>
      <c r="F15" s="675"/>
      <c r="G15" s="675"/>
      <c r="H15" s="675"/>
      <c r="I15" s="675"/>
      <c r="J15" s="675"/>
    </row>
    <row r="16" spans="1:13" ht="20.25" customHeight="1">
      <c r="A16" s="676">
        <f ca="1">IF(ROWS($1:1)&gt;COUNT(Dong8),"",OFFSET(TH!C$1,SMALL(Dong8,ROWS($1:1)),))</f>
        <v>42097</v>
      </c>
      <c r="B16" s="676" t="str">
        <f ca="1">IF(ROWS($1:1)&gt;COUNT(Dong8),"",OFFSET(TH!D$1,SMALL(Dong8,ROWS($1:1)),))</f>
        <v>XB/GV</v>
      </c>
      <c r="C16" s="676">
        <f ca="1">IF(ROWS($1:1)&gt;COUNT(Dong8),"",OFFSET(TH!E$1,SMALL(Dong8,ROWS($1:1)),))</f>
        <v>42097</v>
      </c>
      <c r="D16" s="677" t="str">
        <f ca="1">IF(ROWS($1:1)&gt;COUNT(Dong8),"",OFFSET(TH!F$1,SMALL(Dong8,ROWS($1:1)),))</f>
        <v>Thùng carton 3 lớp (20.5x19.5x20.5)</v>
      </c>
      <c r="E16" s="676" t="str">
        <f ca="1">IF(ROWS($1:1)&gt;COUNT(Dong8),"",OFFSET(TH!M$1,SMALL(Dong8,ROWS($1:1)),))</f>
        <v>156</v>
      </c>
      <c r="F16" s="678">
        <f ca="1">IF(ROWS($1:1)&gt;COUNT(Dong8),"",OFFSET(TH!K$1,SMALL(Dong8,ROWS($1:1)),))</f>
        <v>2018100</v>
      </c>
      <c r="G16" s="678">
        <f ca="1">IF($E16="154",$F16,0)</f>
        <v>0</v>
      </c>
      <c r="H16" s="678">
        <f ca="1">IF($E16="155",$F16,0)</f>
        <v>0</v>
      </c>
      <c r="I16" s="678">
        <f ca="1">IF($E16="156",$F16,0)</f>
        <v>2018100</v>
      </c>
      <c r="J16" s="678">
        <f ca="1">IF($E16="157",$F16,0)</f>
        <v>0</v>
      </c>
    </row>
    <row r="17" spans="1:10" ht="20.25" customHeight="1">
      <c r="A17" s="676">
        <f ca="1">IF(ROWS($1:2)&gt;COUNT(Dong8),"",OFFSET(TH!C$1,SMALL(Dong8,ROWS($1:2)),))</f>
        <v>42097</v>
      </c>
      <c r="B17" s="676" t="str">
        <f ca="1">IF(ROWS($1:2)&gt;COUNT(Dong8),"",OFFSET(TH!D$1,SMALL(Dong8,ROWS($1:2)),))</f>
        <v>XB/GV</v>
      </c>
      <c r="C17" s="676">
        <f ca="1">IF(ROWS($1:2)&gt;COUNT(Dong8),"",OFFSET(TH!E$1,SMALL(Dong8,ROWS($1:2)),))</f>
        <v>42097</v>
      </c>
      <c r="D17" s="677" t="str">
        <f ca="1">IF(ROWS($1:2)&gt;COUNT(Dong8),"",OFFSET(TH!F$1,SMALL(Dong8,ROWS($1:2)),))</f>
        <v>Thùng carton 3 lớp (20.5x17x20.5)</v>
      </c>
      <c r="E17" s="676" t="str">
        <f ca="1">IF(ROWS($1:2)&gt;COUNT(Dong8),"",OFFSET(TH!M$1,SMALL(Dong8,ROWS($1:2)),))</f>
        <v>156</v>
      </c>
      <c r="F17" s="678">
        <f ca="1">IF(ROWS($1:2)&gt;COUNT(Dong8),"",OFFSET(TH!K$1,SMALL(Dong8,ROWS($1:2)),))</f>
        <v>1822800</v>
      </c>
      <c r="G17" s="678">
        <f t="shared" ref="G17:G20" ca="1" si="0">IF($E17="154",$F17,0)</f>
        <v>0</v>
      </c>
      <c r="H17" s="678">
        <f t="shared" ref="H17:H20" ca="1" si="1">IF($E17="155",$F17,0)</f>
        <v>0</v>
      </c>
      <c r="I17" s="678">
        <f t="shared" ref="I17:I20" ca="1" si="2">IF($E17="156",$F17,0)</f>
        <v>1822800</v>
      </c>
      <c r="J17" s="678">
        <f t="shared" ref="J17:J20" ca="1" si="3">IF($E17="157",$F17,0)</f>
        <v>0</v>
      </c>
    </row>
    <row r="18" spans="1:10" ht="20.25" customHeight="1">
      <c r="A18" s="676">
        <f ca="1">IF(ROWS($1:3)&gt;COUNT(Dong8),"",OFFSET(TH!C$1,SMALL(Dong8,ROWS($1:3)),))</f>
        <v>42097</v>
      </c>
      <c r="B18" s="676" t="str">
        <f ca="1">IF(ROWS($1:3)&gt;COUNT(Dong8),"",OFFSET(TH!D$1,SMALL(Dong8,ROWS($1:3)),))</f>
        <v>XB/GV</v>
      </c>
      <c r="C18" s="676">
        <f ca="1">IF(ROWS($1:3)&gt;COUNT(Dong8),"",OFFSET(TH!E$1,SMALL(Dong8,ROWS($1:3)),))</f>
        <v>42097</v>
      </c>
      <c r="D18" s="677" t="str">
        <f ca="1">IF(ROWS($1:3)&gt;COUNT(Dong8),"",OFFSET(TH!F$1,SMALL(Dong8,ROWS($1:3)),))</f>
        <v>Thùng carton 3 lớp (31.5x31.5x21.5)</v>
      </c>
      <c r="E18" s="676" t="str">
        <f ca="1">IF(ROWS($1:3)&gt;COUNT(Dong8),"",OFFSET(TH!M$1,SMALL(Dong8,ROWS($1:3)),))</f>
        <v>156</v>
      </c>
      <c r="F18" s="678">
        <f ca="1">IF(ROWS($1:3)&gt;COUNT(Dong8),"",OFFSET(TH!K$1,SMALL(Dong8,ROWS($1:3)),))</f>
        <v>4426800</v>
      </c>
      <c r="G18" s="678">
        <f t="shared" ca="1" si="0"/>
        <v>0</v>
      </c>
      <c r="H18" s="678">
        <f t="shared" ca="1" si="1"/>
        <v>0</v>
      </c>
      <c r="I18" s="678">
        <f t="shared" ca="1" si="2"/>
        <v>4426800</v>
      </c>
      <c r="J18" s="678">
        <f t="shared" ca="1" si="3"/>
        <v>0</v>
      </c>
    </row>
    <row r="19" spans="1:10" ht="20.25" customHeight="1">
      <c r="A19" s="676">
        <f ca="1">IF(ROWS($1:4)&gt;COUNT(Dong8),"",OFFSET(TH!C$1,SMALL(Dong8,ROWS($1:4)),))</f>
        <v>42097</v>
      </c>
      <c r="B19" s="676" t="str">
        <f ca="1">IF(ROWS($1:4)&gt;COUNT(Dong8),"",OFFSET(TH!D$1,SMALL(Dong8,ROWS($1:4)),))</f>
        <v>XB/GV</v>
      </c>
      <c r="C19" s="676">
        <f ca="1">IF(ROWS($1:4)&gt;COUNT(Dong8),"",OFFSET(TH!E$1,SMALL(Dong8,ROWS($1:4)),))</f>
        <v>42097</v>
      </c>
      <c r="D19" s="677" t="str">
        <f ca="1">IF(ROWS($1:4)&gt;COUNT(Dong8),"",OFFSET(TH!F$1,SMALL(Dong8,ROWS($1:4)),))</f>
        <v>Thùng carton 3 lớp (122.8x17.5x185)</v>
      </c>
      <c r="E19" s="676" t="str">
        <f ca="1">IF(ROWS($1:4)&gt;COUNT(Dong8),"",OFFSET(TH!M$1,SMALL(Dong8,ROWS($1:4)),))</f>
        <v>156</v>
      </c>
      <c r="F19" s="678">
        <f ca="1">IF(ROWS($1:4)&gt;COUNT(Dong8),"",OFFSET(TH!K$1,SMALL(Dong8,ROWS($1:4)),))</f>
        <v>6314700</v>
      </c>
      <c r="G19" s="678">
        <f t="shared" ca="1" si="0"/>
        <v>0</v>
      </c>
      <c r="H19" s="678">
        <f t="shared" ca="1" si="1"/>
        <v>0</v>
      </c>
      <c r="I19" s="678">
        <f t="shared" ca="1" si="2"/>
        <v>6314700</v>
      </c>
      <c r="J19" s="678">
        <f t="shared" ca="1" si="3"/>
        <v>0</v>
      </c>
    </row>
    <row r="20" spans="1:10" ht="20.25" customHeight="1">
      <c r="A20" s="676">
        <f ca="1">IF(ROWS($1:5)&gt;COUNT(Dong8),"",OFFSET(TH!C$1,SMALL(Dong8,ROWS($1:5)),))</f>
        <v>42097</v>
      </c>
      <c r="B20" s="676" t="str">
        <f ca="1">IF(ROWS($1:5)&gt;COUNT(Dong8),"",OFFSET(TH!D$1,SMALL(Dong8,ROWS($1:5)),))</f>
        <v>XB/GV</v>
      </c>
      <c r="C20" s="676">
        <f ca="1">IF(ROWS($1:5)&gt;COUNT(Dong8),"",OFFSET(TH!E$1,SMALL(Dong8,ROWS($1:5)),))</f>
        <v>42097</v>
      </c>
      <c r="D20" s="677" t="str">
        <f ca="1">IF(ROWS($1:5)&gt;COUNT(Dong8),"",OFFSET(TH!F$1,SMALL(Dong8,ROWS($1:5)),))</f>
        <v>Thùng carton 3 lớp (46x23x12)</v>
      </c>
      <c r="E20" s="676" t="str">
        <f ca="1">IF(ROWS($1:5)&gt;COUNT(Dong8),"",OFFSET(TH!M$1,SMALL(Dong8,ROWS($1:5)),))</f>
        <v>156</v>
      </c>
      <c r="F20" s="678">
        <f ca="1">IF(ROWS($1:5)&gt;COUNT(Dong8),"",OFFSET(TH!K$1,SMALL(Dong8,ROWS($1:5)),))</f>
        <v>4185000</v>
      </c>
      <c r="G20" s="678">
        <f t="shared" ca="1" si="0"/>
        <v>0</v>
      </c>
      <c r="H20" s="678">
        <f t="shared" ca="1" si="1"/>
        <v>0</v>
      </c>
      <c r="I20" s="678">
        <f t="shared" ca="1" si="2"/>
        <v>4185000</v>
      </c>
      <c r="J20" s="678">
        <f t="shared" ca="1" si="3"/>
        <v>0</v>
      </c>
    </row>
    <row r="21" spans="1:10" ht="20.25" customHeight="1">
      <c r="A21" s="676"/>
      <c r="B21" s="679"/>
      <c r="C21" s="676"/>
      <c r="D21" s="680"/>
      <c r="E21" s="681"/>
      <c r="F21" s="682"/>
      <c r="G21" s="682"/>
      <c r="H21" s="682"/>
      <c r="I21" s="682"/>
      <c r="J21" s="682"/>
    </row>
    <row r="22" spans="1:10" ht="20.25" customHeight="1">
      <c r="A22" s="676"/>
      <c r="B22" s="679"/>
      <c r="C22" s="676"/>
      <c r="D22" s="674" t="s">
        <v>133</v>
      </c>
      <c r="E22" s="673" t="s">
        <v>19</v>
      </c>
      <c r="F22" s="675">
        <f ca="1">SUM(F15:F21)</f>
        <v>18767400</v>
      </c>
      <c r="G22" s="675">
        <f ca="1">SUM(G15:G21)</f>
        <v>0</v>
      </c>
      <c r="H22" s="675">
        <f ca="1">SUM(H15:H21)</f>
        <v>0</v>
      </c>
      <c r="I22" s="675">
        <f ca="1">SUM(I15:I21)</f>
        <v>18767400</v>
      </c>
      <c r="J22" s="675">
        <f ca="1">SUM(J15:J21)</f>
        <v>0</v>
      </c>
    </row>
    <row r="23" spans="1:10" ht="20.25" customHeight="1">
      <c r="A23" s="683"/>
      <c r="B23" s="681"/>
      <c r="C23" s="683"/>
      <c r="D23" s="684" t="s">
        <v>385</v>
      </c>
      <c r="E23" s="679"/>
      <c r="F23" s="685">
        <f ca="1">SUM(G23:J23)</f>
        <v>18767400</v>
      </c>
      <c r="G23" s="685">
        <f ca="1">G22</f>
        <v>0</v>
      </c>
      <c r="H23" s="685">
        <f ca="1">H22</f>
        <v>0</v>
      </c>
      <c r="I23" s="685">
        <f ca="1">I22</f>
        <v>18767400</v>
      </c>
      <c r="J23" s="685">
        <f ca="1">J22</f>
        <v>0</v>
      </c>
    </row>
    <row r="24" spans="1:10" ht="20.25" customHeight="1">
      <c r="A24" s="686"/>
      <c r="B24" s="686"/>
      <c r="C24" s="686"/>
      <c r="D24" s="687" t="s">
        <v>10</v>
      </c>
      <c r="E24" s="686" t="s">
        <v>19</v>
      </c>
      <c r="F24" s="688">
        <f ca="1">F15+F22-F23</f>
        <v>0</v>
      </c>
      <c r="G24" s="688">
        <f ca="1">G15+G22-G23</f>
        <v>0</v>
      </c>
      <c r="H24" s="688">
        <f ca="1">H15+H22-H23</f>
        <v>0</v>
      </c>
      <c r="I24" s="688">
        <f ca="1">I15+I22-I23</f>
        <v>0</v>
      </c>
      <c r="J24" s="688">
        <f ca="1">J15+J22-J23</f>
        <v>0</v>
      </c>
    </row>
    <row r="26" spans="1:10">
      <c r="B26" s="689"/>
      <c r="C26" s="669" t="s">
        <v>386</v>
      </c>
    </row>
    <row r="27" spans="1:10">
      <c r="C27" s="669" t="str">
        <f ca="1">"- Ngày mở sổ: "&amp;"01/"&amp;MONTH(A16)&amp;"/ "&amp;YEAR(A16)</f>
        <v>- Ngày mở sổ: 01/4/ 2015</v>
      </c>
    </row>
    <row r="28" spans="1:10">
      <c r="E28" s="668"/>
      <c r="F28" s="668"/>
      <c r="G28" s="668"/>
      <c r="H28" s="668"/>
      <c r="I28" s="1129" t="str">
        <f ca="1">IF(OR($M$5=1,$M$5=4,$M$5=6,$M$5=9,$M$5=11),"Ngày  30  tháng  "&amp;$M$5&amp;"  năm "&amp;YEAR(A16),IF(OR($M$5=3,$M$5=5,$M$5=7,$M$5=8,$M$5=10,$M$5=12),"Ngày  31  tháng  "&amp;$M$5&amp;"   năm "&amp;YEAR(A16),"Ngày  28  tháng  "&amp;$M$5&amp;"  năm "&amp;YEAR(A16)))</f>
        <v>Ngày  30  tháng  6  năm 2015</v>
      </c>
      <c r="J28" s="1129"/>
    </row>
    <row r="29" spans="1:10">
      <c r="B29" s="668"/>
      <c r="C29" s="665" t="s">
        <v>11</v>
      </c>
      <c r="D29" s="668"/>
      <c r="E29" s="668"/>
      <c r="F29" s="668"/>
      <c r="G29" s="668"/>
      <c r="H29" s="668"/>
      <c r="I29" s="1129" t="s">
        <v>12</v>
      </c>
      <c r="J29" s="1129"/>
    </row>
    <row r="30" spans="1:10">
      <c r="B30" s="668"/>
      <c r="C30" s="665" t="s">
        <v>13</v>
      </c>
      <c r="D30" s="668"/>
      <c r="E30" s="668"/>
      <c r="F30" s="668"/>
      <c r="G30" s="668"/>
      <c r="H30" s="668"/>
      <c r="I30" s="668"/>
      <c r="J30" s="668" t="s">
        <v>13</v>
      </c>
    </row>
  </sheetData>
  <mergeCells count="16">
    <mergeCell ref="I29:J29"/>
    <mergeCell ref="A5:J5"/>
    <mergeCell ref="A6:J6"/>
    <mergeCell ref="C10:J10"/>
    <mergeCell ref="A11:A13"/>
    <mergeCell ref="B11:C11"/>
    <mergeCell ref="D11:D13"/>
    <mergeCell ref="E11:E13"/>
    <mergeCell ref="F11:J11"/>
    <mergeCell ref="B12:B13"/>
    <mergeCell ref="C12:C13"/>
    <mergeCell ref="G3:J4"/>
    <mergeCell ref="G2:J2"/>
    <mergeCell ref="F12:F13"/>
    <mergeCell ref="G12:J12"/>
    <mergeCell ref="I28:J28"/>
  </mergeCells>
  <dataValidations count="1">
    <dataValidation type="list" allowBlank="1" showInputMessage="1" showErrorMessage="1" sqref="L13">
      <formula1>"All,Quý I, Quý II, Quý III, Quý IV"</formula1>
    </dataValidation>
  </dataValidations>
  <printOptions horizontalCentered="1"/>
  <pageMargins left="0.86" right="0.23" top="0.18" bottom="0.17" header="0.17" footer="0.19"/>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O40"/>
  <sheetViews>
    <sheetView topLeftCell="A11" zoomScale="90" zoomScaleNormal="90" workbookViewId="0">
      <pane ySplit="5" topLeftCell="A16" activePane="bottomLeft" state="frozen"/>
      <selection activeCell="A11" sqref="A11"/>
      <selection pane="bottomLeft" activeCell="A16" sqref="A16:XFD16"/>
    </sheetView>
  </sheetViews>
  <sheetFormatPr defaultRowHeight="15"/>
  <cols>
    <col min="1" max="2" width="8.85546875" style="665" customWidth="1"/>
    <col min="3" max="3" width="8.5703125" style="665" customWidth="1"/>
    <col min="4" max="4" width="51.42578125" style="665" customWidth="1"/>
    <col min="5" max="5" width="8" style="665" customWidth="1"/>
    <col min="6" max="6" width="12.28515625" style="665" bestFit="1" customWidth="1"/>
    <col min="7" max="7" width="10.140625" style="665" customWidth="1"/>
    <col min="8" max="8" width="10.7109375" style="665" customWidth="1"/>
    <col min="9" max="9" width="11.42578125" style="665" customWidth="1"/>
    <col min="10" max="10" width="11.5703125" style="665" customWidth="1"/>
    <col min="11" max="11" width="11.42578125" style="665" customWidth="1"/>
    <col min="12" max="12" width="9.42578125" style="665" customWidth="1"/>
    <col min="13" max="13" width="6.7109375" style="665" customWidth="1"/>
    <col min="14" max="16384" width="9.140625" style="665"/>
  </cols>
  <sheetData>
    <row r="2" spans="1:15">
      <c r="A2" s="664" t="str">
        <f>'632'!A2</f>
        <v>Đơn vị: CÔNG TY TNHH MỘT THÀNH VIÊN KHỞI NGUYÊN AN</v>
      </c>
      <c r="F2" s="666"/>
      <c r="G2" s="666"/>
      <c r="H2" s="1192" t="s">
        <v>369</v>
      </c>
      <c r="I2" s="1192"/>
      <c r="J2" s="1192"/>
      <c r="K2" s="1192"/>
      <c r="L2" s="690"/>
    </row>
    <row r="3" spans="1:15" ht="15" customHeight="1">
      <c r="A3" s="694" t="str">
        <f>'632'!A3</f>
        <v>Địa chỉ: Thửa đất số 144, tờ bản đồ số 12TĐH.1, tổ 1, khu phố Đông Tác, Phường Tân Đông Hiệp, Thị Xã Dĩ An, Tỉnh Bình Dương, Việt Nam</v>
      </c>
      <c r="H3" s="1195" t="str">
        <f ca="1">IF(YEAR($A$16)&gt;=2015,"(Ban hành theo Thông tư số 200/2014/TT-BTC  Ngày 22/12/2014 của Bộ Tài chính)","(Ban hành kèm theo QĐ 48/2006/QĐ-BTC ngày 24/09/2006 của Bộ trưởng BTC)")</f>
        <v>(Ban hành theo Thông tư số 200/2014/TT-BTC  Ngày 22/12/2014 của Bộ Tài chính)</v>
      </c>
      <c r="I3" s="1195"/>
      <c r="J3" s="1195"/>
      <c r="K3" s="1195"/>
      <c r="L3" s="668"/>
    </row>
    <row r="4" spans="1:15">
      <c r="H4" s="1195"/>
      <c r="I4" s="1195"/>
      <c r="J4" s="1195"/>
      <c r="K4" s="1195"/>
      <c r="L4" s="668"/>
    </row>
    <row r="5" spans="1:15" ht="19.5" customHeight="1">
      <c r="A5" s="1193" t="s">
        <v>370</v>
      </c>
      <c r="B5" s="1193"/>
      <c r="C5" s="1193"/>
      <c r="D5" s="1193"/>
      <c r="E5" s="1193"/>
      <c r="F5" s="1193"/>
      <c r="G5" s="1193"/>
      <c r="H5" s="1193"/>
      <c r="I5" s="1193"/>
      <c r="J5" s="1193"/>
      <c r="K5" s="1193"/>
      <c r="L5" s="1193"/>
      <c r="M5" s="667" t="s">
        <v>83</v>
      </c>
      <c r="N5" s="602">
        <f>IF(N13="Quý I",1,IF(N13="Quý II",4,IF(N13="Quý III",7,IF(N13="Quý IV",10,""))))</f>
        <v>4</v>
      </c>
      <c r="O5" s="602">
        <f>IF(N13="Quý I",3,IF(N13="Quý II",6,IF(N13="Quý III",9,IF(N13="Quý IV",12,""))))</f>
        <v>6</v>
      </c>
    </row>
    <row r="6" spans="1:15">
      <c r="A6" s="1194" t="s">
        <v>371</v>
      </c>
      <c r="B6" s="1194"/>
      <c r="C6" s="1194"/>
      <c r="D6" s="1194"/>
      <c r="E6" s="1194"/>
      <c r="F6" s="1194"/>
      <c r="G6" s="1194"/>
      <c r="H6" s="1194"/>
      <c r="I6" s="1194"/>
      <c r="J6" s="1194"/>
      <c r="K6" s="1194"/>
      <c r="L6" s="1194"/>
    </row>
    <row r="7" spans="1:15">
      <c r="B7" s="668"/>
      <c r="C7" s="668"/>
      <c r="D7" s="668"/>
      <c r="E7" s="669" t="s">
        <v>387</v>
      </c>
      <c r="G7" s="668"/>
      <c r="H7" s="668"/>
      <c r="I7" s="668"/>
      <c r="J7" s="668"/>
      <c r="K7" s="668"/>
      <c r="L7" s="668"/>
      <c r="M7" s="695"/>
    </row>
    <row r="8" spans="1:15">
      <c r="B8" s="668"/>
      <c r="C8" s="668"/>
      <c r="D8" s="668"/>
      <c r="E8" s="669" t="s">
        <v>373</v>
      </c>
      <c r="G8" s="668"/>
      <c r="H8" s="668"/>
      <c r="I8" s="668"/>
      <c r="J8" s="668"/>
      <c r="K8" s="668"/>
      <c r="L8" s="668"/>
    </row>
    <row r="9" spans="1:15">
      <c r="B9" s="670"/>
      <c r="C9" s="670"/>
      <c r="D9" s="670"/>
      <c r="E9" s="669" t="s">
        <v>374</v>
      </c>
      <c r="G9" s="670"/>
      <c r="H9" s="670"/>
      <c r="I9" s="670"/>
      <c r="J9" s="670"/>
      <c r="K9" s="670"/>
      <c r="L9" s="670"/>
    </row>
    <row r="10" spans="1:15" ht="9" customHeight="1">
      <c r="C10" s="1191"/>
      <c r="D10" s="1191"/>
      <c r="E10" s="1191"/>
      <c r="F10" s="1191"/>
      <c r="G10" s="1191"/>
      <c r="H10" s="1191"/>
      <c r="I10" s="1191"/>
      <c r="J10" s="1191"/>
      <c r="K10" s="1191"/>
      <c r="L10" s="1191"/>
    </row>
    <row r="11" spans="1:15" ht="15.75" customHeight="1">
      <c r="A11" s="1188" t="s">
        <v>20</v>
      </c>
      <c r="B11" s="1189" t="s">
        <v>1</v>
      </c>
      <c r="C11" s="1189"/>
      <c r="D11" s="1188" t="s">
        <v>0</v>
      </c>
      <c r="E11" s="1188" t="s">
        <v>204</v>
      </c>
      <c r="F11" s="1189" t="s">
        <v>388</v>
      </c>
      <c r="G11" s="1189"/>
      <c r="H11" s="1189"/>
      <c r="I11" s="1189"/>
      <c r="J11" s="1189"/>
      <c r="K11" s="1189"/>
      <c r="L11" s="1189"/>
    </row>
    <row r="12" spans="1:15" ht="15.75" customHeight="1" thickBot="1">
      <c r="A12" s="1188"/>
      <c r="B12" s="1190" t="s">
        <v>15</v>
      </c>
      <c r="C12" s="1190" t="s">
        <v>32</v>
      </c>
      <c r="D12" s="1188"/>
      <c r="E12" s="1188"/>
      <c r="F12" s="1190" t="s">
        <v>376</v>
      </c>
      <c r="G12" s="1190" t="s">
        <v>377</v>
      </c>
      <c r="H12" s="1190"/>
      <c r="I12" s="1190"/>
      <c r="J12" s="1190"/>
      <c r="K12" s="1190"/>
      <c r="L12" s="1190"/>
    </row>
    <row r="13" spans="1:15" ht="29.25" customHeight="1" thickBot="1">
      <c r="A13" s="1188"/>
      <c r="B13" s="1190"/>
      <c r="C13" s="1190"/>
      <c r="D13" s="1188"/>
      <c r="E13" s="1188"/>
      <c r="F13" s="1190"/>
      <c r="G13" s="691" t="s">
        <v>47</v>
      </c>
      <c r="H13" s="691" t="s">
        <v>24</v>
      </c>
      <c r="I13" s="691" t="s">
        <v>63</v>
      </c>
      <c r="J13" s="691" t="s">
        <v>252</v>
      </c>
      <c r="K13" s="691"/>
      <c r="L13" s="691"/>
      <c r="N13" s="693" t="s">
        <v>337</v>
      </c>
    </row>
    <row r="14" spans="1:15">
      <c r="A14" s="672" t="s">
        <v>2</v>
      </c>
      <c r="B14" s="672" t="s">
        <v>3</v>
      </c>
      <c r="C14" s="672" t="s">
        <v>4</v>
      </c>
      <c r="D14" s="672" t="s">
        <v>5</v>
      </c>
      <c r="E14" s="672" t="s">
        <v>6</v>
      </c>
      <c r="F14" s="672">
        <v>1</v>
      </c>
      <c r="G14" s="672">
        <v>2</v>
      </c>
      <c r="H14" s="672">
        <v>3</v>
      </c>
      <c r="I14" s="672">
        <v>4</v>
      </c>
      <c r="J14" s="672">
        <v>5</v>
      </c>
      <c r="K14" s="672">
        <v>6</v>
      </c>
      <c r="L14" s="672">
        <v>7</v>
      </c>
    </row>
    <row r="15" spans="1:15" ht="21.75" customHeight="1">
      <c r="A15" s="673"/>
      <c r="B15" s="673"/>
      <c r="C15" s="673"/>
      <c r="D15" s="674" t="s">
        <v>7</v>
      </c>
      <c r="E15" s="673"/>
      <c r="F15" s="675"/>
      <c r="G15" s="675"/>
      <c r="H15" s="675"/>
      <c r="I15" s="675"/>
      <c r="J15" s="675"/>
      <c r="K15" s="675"/>
      <c r="L15" s="675"/>
    </row>
    <row r="16" spans="1:15" ht="21.75" customHeight="1">
      <c r="A16" s="676">
        <f ca="1">IF(ROWS($1:1)&gt;COUNT(Dong7),"",OFFSET(TH!C$1,SMALL(Dong7,ROWS($1:1)),))</f>
        <v>42099</v>
      </c>
      <c r="B16" s="676" t="str">
        <f ca="1">IF(ROWS($1:1)&gt;COUNT(Dong7),"",OFFSET(TH!D$1,SMALL(Dong7,ROWS($1:1)),))</f>
        <v>GBN</v>
      </c>
      <c r="C16" s="676">
        <f ca="1">IF(ROWS($1:1)&gt;COUNT(Dong7),"",OFFSET(TH!E$1,SMALL(Dong7,ROWS($1:1)),))</f>
        <v>42099</v>
      </c>
      <c r="D16" s="677" t="str">
        <f ca="1">IF(ROWS($1:1)&gt;COUNT(Dong7),"",OFFSET(TH!F$1,SMALL(Dong7,ROWS($1:1)),))</f>
        <v>Thu phí dịch vụ SMS</v>
      </c>
      <c r="E16" s="676" t="str">
        <f ca="1">IF(ROWS($1:1)&gt;COUNT(Dong7),"",OFFSET(TH!M$1,SMALL(Dong7,ROWS($1:1)),))</f>
        <v>1121</v>
      </c>
      <c r="F16" s="678">
        <f ca="1">IF(ROWS($1:1)&gt;COUNT(Dong7),"",OFFSET(TH!K$1,SMALL(Dong7,ROWS($1:1)),))</f>
        <v>55000</v>
      </c>
      <c r="G16" s="678">
        <f t="shared" ref="G16:J30" ca="1" si="0">IF($E16=G$13,$F16,0)</f>
        <v>0</v>
      </c>
      <c r="H16" s="678">
        <f t="shared" ca="1" si="0"/>
        <v>55000</v>
      </c>
      <c r="I16" s="678">
        <f t="shared" ca="1" si="0"/>
        <v>0</v>
      </c>
      <c r="J16" s="678">
        <f t="shared" ca="1" si="0"/>
        <v>0</v>
      </c>
      <c r="K16" s="678">
        <f ca="1">IF(LEFT($E16,3)=K$13,$F16,0)</f>
        <v>0</v>
      </c>
      <c r="L16" s="678">
        <f ca="1">IF(LEFT($E16,3)=L$13,$F16,0)</f>
        <v>0</v>
      </c>
    </row>
    <row r="17" spans="1:12" ht="21.75" customHeight="1">
      <c r="A17" s="676">
        <f ca="1">IF(ROWS($1:2)&gt;COUNT(Dong7),"",OFFSET(TH!C$1,SMALL(Dong7,ROWS($1:2)),))</f>
        <v>42111</v>
      </c>
      <c r="B17" s="676" t="str">
        <f ca="1">IF(ROWS($1:2)&gt;COUNT(Dong7),"",OFFSET(TH!D$1,SMALL(Dong7,ROWS($1:2)),))</f>
        <v>CTGS</v>
      </c>
      <c r="C17" s="676">
        <f ca="1">IF(ROWS($1:2)&gt;COUNT(Dong7),"",OFFSET(TH!E$1,SMALL(Dong7,ROWS($1:2)),))</f>
        <v>42111</v>
      </c>
      <c r="D17" s="677" t="str">
        <f ca="1">IF(ROWS($1:2)&gt;COUNT(Dong7),"",OFFSET(TH!F$1,SMALL(Dong7,ROWS($1:2)),))</f>
        <v>Thuế môn bài phải nộp</v>
      </c>
      <c r="E17" s="676" t="str">
        <f ca="1">IF(ROWS($1:2)&gt;COUNT(Dong7),"",OFFSET(TH!M$1,SMALL(Dong7,ROWS($1:2)),))</f>
        <v>33382</v>
      </c>
      <c r="F17" s="678">
        <f ca="1">IF(ROWS($1:2)&gt;COUNT(Dong7),"",OFFSET(TH!K$1,SMALL(Dong7,ROWS($1:2)),))</f>
        <v>1500000</v>
      </c>
      <c r="G17" s="678">
        <f t="shared" ca="1" si="0"/>
        <v>0</v>
      </c>
      <c r="H17" s="678">
        <f t="shared" ca="1" si="0"/>
        <v>0</v>
      </c>
      <c r="I17" s="678">
        <f t="shared" ca="1" si="0"/>
        <v>1500000</v>
      </c>
      <c r="J17" s="678">
        <f t="shared" ca="1" si="0"/>
        <v>0</v>
      </c>
      <c r="K17" s="678">
        <f t="shared" ref="K17:L30" ca="1" si="1">IF(LEFT($E17,3)=K$13,$F17,0)</f>
        <v>0</v>
      </c>
      <c r="L17" s="678">
        <f t="shared" ca="1" si="1"/>
        <v>0</v>
      </c>
    </row>
    <row r="18" spans="1:12" ht="21.75" customHeight="1">
      <c r="A18" s="676">
        <f ca="1">IF(ROWS($1:3)&gt;COUNT(Dong7),"",OFFSET(TH!C$1,SMALL(Dong7,ROWS($1:3)),))</f>
        <v>42111</v>
      </c>
      <c r="B18" s="676" t="str">
        <f ca="1">IF(ROWS($1:3)&gt;COUNT(Dong7),"",OFFSET(TH!D$1,SMALL(Dong7,ROWS($1:3)),))</f>
        <v>GBN</v>
      </c>
      <c r="C18" s="676">
        <f ca="1">IF(ROWS($1:3)&gt;COUNT(Dong7),"",OFFSET(TH!E$1,SMALL(Dong7,ROWS($1:3)),))</f>
        <v>42111</v>
      </c>
      <c r="D18" s="677" t="str">
        <f ca="1">IF(ROWS($1:3)&gt;COUNT(Dong7),"",OFFSET(TH!F$1,SMALL(Dong7,ROWS($1:3)),))</f>
        <v>Phí chuyển tiền</v>
      </c>
      <c r="E18" s="676" t="str">
        <f ca="1">IF(ROWS($1:3)&gt;COUNT(Dong7),"",OFFSET(TH!M$1,SMALL(Dong7,ROWS($1:3)),))</f>
        <v>1121</v>
      </c>
      <c r="F18" s="678">
        <f ca="1">IF(ROWS($1:3)&gt;COUNT(Dong7),"",OFFSET(TH!K$1,SMALL(Dong7,ROWS($1:3)),))</f>
        <v>11000</v>
      </c>
      <c r="G18" s="678">
        <f t="shared" ca="1" si="0"/>
        <v>0</v>
      </c>
      <c r="H18" s="678">
        <f t="shared" ca="1" si="0"/>
        <v>11000</v>
      </c>
      <c r="I18" s="678">
        <f t="shared" ca="1" si="0"/>
        <v>0</v>
      </c>
      <c r="J18" s="678">
        <f t="shared" ca="1" si="0"/>
        <v>0</v>
      </c>
      <c r="K18" s="678">
        <f t="shared" ca="1" si="1"/>
        <v>0</v>
      </c>
      <c r="L18" s="678">
        <f t="shared" ca="1" si="1"/>
        <v>0</v>
      </c>
    </row>
    <row r="19" spans="1:12" ht="21.75" customHeight="1">
      <c r="A19" s="676">
        <f ca="1">IF(ROWS($1:4)&gt;COUNT(Dong7),"",OFFSET(TH!C$1,SMALL(Dong7,ROWS($1:4)),))</f>
        <v>42111</v>
      </c>
      <c r="B19" s="676" t="str">
        <f ca="1">IF(ROWS($1:4)&gt;COUNT(Dong7),"",OFFSET(TH!D$1,SMALL(Dong7,ROWS($1:4)),))</f>
        <v>C03</v>
      </c>
      <c r="C19" s="676">
        <f ca="1">IF(ROWS($1:4)&gt;COUNT(Dong7),"",OFFSET(TH!E$1,SMALL(Dong7,ROWS($1:4)),))</f>
        <v>42111</v>
      </c>
      <c r="D19" s="677" t="str">
        <f ca="1">IF(ROWS($1:4)&gt;COUNT(Dong7),"",OFFSET(TH!F$1,SMALL(Dong7,ROWS($1:4)),))</f>
        <v>Nạp tiền điện thoại online</v>
      </c>
      <c r="E19" s="676" t="str">
        <f ca="1">IF(ROWS($1:4)&gt;COUNT(Dong7),"",OFFSET(TH!M$1,SMALL(Dong7,ROWS($1:4)),))</f>
        <v>1111</v>
      </c>
      <c r="F19" s="678">
        <f ca="1">IF(ROWS($1:4)&gt;COUNT(Dong7),"",OFFSET(TH!K$1,SMALL(Dong7,ROWS($1:4)),))</f>
        <v>2309769</v>
      </c>
      <c r="G19" s="678">
        <f t="shared" ca="1" si="0"/>
        <v>2309769</v>
      </c>
      <c r="H19" s="678">
        <f t="shared" ca="1" si="0"/>
        <v>0</v>
      </c>
      <c r="I19" s="678">
        <f t="shared" ca="1" si="0"/>
        <v>0</v>
      </c>
      <c r="J19" s="678">
        <f t="shared" ca="1" si="0"/>
        <v>0</v>
      </c>
      <c r="K19" s="678">
        <f t="shared" ca="1" si="1"/>
        <v>0</v>
      </c>
      <c r="L19" s="678">
        <f t="shared" ca="1" si="1"/>
        <v>0</v>
      </c>
    </row>
    <row r="20" spans="1:12" ht="21.75" customHeight="1">
      <c r="A20" s="676">
        <f ca="1">IF(ROWS($1:5)&gt;COUNT(Dong7),"",OFFSET(TH!C$1,SMALL(Dong7,ROWS($1:5)),))</f>
        <v>42119</v>
      </c>
      <c r="B20" s="676" t="str">
        <f ca="1">IF(ROWS($1:5)&gt;COUNT(Dong7),"",OFFSET(TH!D$1,SMALL(Dong7,ROWS($1:5)),))</f>
        <v>GBN</v>
      </c>
      <c r="C20" s="676">
        <f ca="1">IF(ROWS($1:5)&gt;COUNT(Dong7),"",OFFSET(TH!E$1,SMALL(Dong7,ROWS($1:5)),))</f>
        <v>42119</v>
      </c>
      <c r="D20" s="677" t="str">
        <f ca="1">IF(ROWS($1:5)&gt;COUNT(Dong7),"",OFFSET(TH!F$1,SMALL(Dong7,ROWS($1:5)),))</f>
        <v>Phí quản lý tài khoản</v>
      </c>
      <c r="E20" s="676" t="str">
        <f ca="1">IF(ROWS($1:5)&gt;COUNT(Dong7),"",OFFSET(TH!M$1,SMALL(Dong7,ROWS($1:5)),))</f>
        <v>1121</v>
      </c>
      <c r="F20" s="678">
        <f ca="1">IF(ROWS($1:5)&gt;COUNT(Dong7),"",OFFSET(TH!K$1,SMALL(Dong7,ROWS($1:5)),))</f>
        <v>11000</v>
      </c>
      <c r="G20" s="678">
        <f t="shared" ca="1" si="0"/>
        <v>0</v>
      </c>
      <c r="H20" s="678">
        <f t="shared" ca="1" si="0"/>
        <v>11000</v>
      </c>
      <c r="I20" s="678">
        <f t="shared" ca="1" si="0"/>
        <v>0</v>
      </c>
      <c r="J20" s="678">
        <f t="shared" ca="1" si="0"/>
        <v>0</v>
      </c>
      <c r="K20" s="678">
        <f t="shared" ca="1" si="1"/>
        <v>0</v>
      </c>
      <c r="L20" s="678">
        <f t="shared" ca="1" si="1"/>
        <v>0</v>
      </c>
    </row>
    <row r="21" spans="1:12" ht="21.75" customHeight="1">
      <c r="A21" s="676">
        <f ca="1">IF(ROWS($1:6)&gt;COUNT(Dong7),"",OFFSET(TH!C$1,SMALL(Dong7,ROWS($1:6)),))</f>
        <v>42124</v>
      </c>
      <c r="B21" s="676" t="str">
        <f ca="1">IF(ROWS($1:6)&gt;COUNT(Dong7),"",OFFSET(TH!D$1,SMALL(Dong7,ROWS($1:6)),))</f>
        <v>CTGS</v>
      </c>
      <c r="C21" s="676">
        <f ca="1">IF(ROWS($1:6)&gt;COUNT(Dong7),"",OFFSET(TH!E$1,SMALL(Dong7,ROWS($1:6)),))</f>
        <v>42124</v>
      </c>
      <c r="D21" s="677" t="str">
        <f ca="1">IF(ROWS($1:6)&gt;COUNT(Dong7),"",OFFSET(TH!F$1,SMALL(Dong7,ROWS($1:6)),))</f>
        <v>Lương bộ phận quản lý</v>
      </c>
      <c r="E21" s="676" t="str">
        <f ca="1">IF(ROWS($1:6)&gt;COUNT(Dong7),"",OFFSET(TH!M$1,SMALL(Dong7,ROWS($1:6)),))</f>
        <v>3341</v>
      </c>
      <c r="F21" s="678">
        <f ca="1">IF(ROWS($1:6)&gt;COUNT(Dong7),"",OFFSET(TH!K$1,SMALL(Dong7,ROWS($1:6)),))</f>
        <v>11600000</v>
      </c>
      <c r="G21" s="678">
        <f t="shared" ca="1" si="0"/>
        <v>0</v>
      </c>
      <c r="H21" s="678">
        <f t="shared" ca="1" si="0"/>
        <v>0</v>
      </c>
      <c r="I21" s="678">
        <f t="shared" ca="1" si="0"/>
        <v>0</v>
      </c>
      <c r="J21" s="678">
        <f t="shared" ca="1" si="0"/>
        <v>11600000</v>
      </c>
      <c r="K21" s="678">
        <f t="shared" ca="1" si="1"/>
        <v>0</v>
      </c>
      <c r="L21" s="678">
        <f t="shared" ca="1" si="1"/>
        <v>0</v>
      </c>
    </row>
    <row r="22" spans="1:12" ht="21.75" customHeight="1">
      <c r="A22" s="676">
        <f ca="1">IF(ROWS($1:7)&gt;COUNT(Dong7),"",OFFSET(TH!C$1,SMALL(Dong7,ROWS($1:7)),))</f>
        <v>42124</v>
      </c>
      <c r="B22" s="676" t="str">
        <f ca="1">IF(ROWS($1:7)&gt;COUNT(Dong7),"",OFFSET(TH!D$1,SMALL(Dong7,ROWS($1:7)),))</f>
        <v>C05</v>
      </c>
      <c r="C22" s="676">
        <f ca="1">IF(ROWS($1:7)&gt;COUNT(Dong7),"",OFFSET(TH!E$1,SMALL(Dong7,ROWS($1:7)),))</f>
        <v>42124</v>
      </c>
      <c r="D22" s="677" t="str">
        <f ca="1">IF(ROWS($1:7)&gt;COUNT(Dong7),"",OFFSET(TH!F$1,SMALL(Dong7,ROWS($1:7)),))</f>
        <v>Thanh toán tiền thuê xe - Tháng 4</v>
      </c>
      <c r="E22" s="676" t="str">
        <f ca="1">IF(ROWS($1:7)&gt;COUNT(Dong7),"",OFFSET(TH!M$1,SMALL(Dong7,ROWS($1:7)),))</f>
        <v>1111</v>
      </c>
      <c r="F22" s="678">
        <f ca="1">IF(ROWS($1:7)&gt;COUNT(Dong7),"",OFFSET(TH!K$1,SMALL(Dong7,ROWS($1:7)),))</f>
        <v>5000000</v>
      </c>
      <c r="G22" s="678">
        <f t="shared" ca="1" si="0"/>
        <v>5000000</v>
      </c>
      <c r="H22" s="678">
        <f t="shared" ca="1" si="0"/>
        <v>0</v>
      </c>
      <c r="I22" s="678">
        <f t="shared" ca="1" si="0"/>
        <v>0</v>
      </c>
      <c r="J22" s="678">
        <f t="shared" ca="1" si="0"/>
        <v>0</v>
      </c>
      <c r="K22" s="678">
        <f t="shared" ca="1" si="1"/>
        <v>0</v>
      </c>
      <c r="L22" s="678">
        <f t="shared" ca="1" si="1"/>
        <v>0</v>
      </c>
    </row>
    <row r="23" spans="1:12" ht="21.75" customHeight="1">
      <c r="A23" s="676">
        <f ca="1">IF(ROWS($1:8)&gt;COUNT(Dong7),"",OFFSET(TH!C$1,SMALL(Dong7,ROWS($1:8)),))</f>
        <v>42134</v>
      </c>
      <c r="B23" s="676" t="str">
        <f ca="1">IF(ROWS($1:8)&gt;COUNT(Dong7),"",OFFSET(TH!D$1,SMALL(Dong7,ROWS($1:8)),))</f>
        <v>GBN</v>
      </c>
      <c r="C23" s="676">
        <f ca="1">IF(ROWS($1:8)&gt;COUNT(Dong7),"",OFFSET(TH!E$1,SMALL(Dong7,ROWS($1:8)),))</f>
        <v>42134</v>
      </c>
      <c r="D23" s="677" t="str">
        <f ca="1">IF(ROWS($1:8)&gt;COUNT(Dong7),"",OFFSET(TH!F$1,SMALL(Dong7,ROWS($1:8)),))</f>
        <v>Thu phí dịch vụ SMS</v>
      </c>
      <c r="E23" s="676" t="str">
        <f ca="1">IF(ROWS($1:8)&gt;COUNT(Dong7),"",OFFSET(TH!M$1,SMALL(Dong7,ROWS($1:8)),))</f>
        <v>1121</v>
      </c>
      <c r="F23" s="678">
        <f ca="1">IF(ROWS($1:8)&gt;COUNT(Dong7),"",OFFSET(TH!K$1,SMALL(Dong7,ROWS($1:8)),))</f>
        <v>55000</v>
      </c>
      <c r="G23" s="678">
        <f t="shared" ca="1" si="0"/>
        <v>0</v>
      </c>
      <c r="H23" s="678">
        <f t="shared" ca="1" si="0"/>
        <v>55000</v>
      </c>
      <c r="I23" s="678">
        <f t="shared" ca="1" si="0"/>
        <v>0</v>
      </c>
      <c r="J23" s="678">
        <f t="shared" ca="1" si="0"/>
        <v>0</v>
      </c>
      <c r="K23" s="678">
        <f t="shared" ca="1" si="1"/>
        <v>0</v>
      </c>
      <c r="L23" s="678">
        <f t="shared" ca="1" si="1"/>
        <v>0</v>
      </c>
    </row>
    <row r="24" spans="1:12" ht="21.75" customHeight="1">
      <c r="A24" s="676">
        <f ca="1">IF(ROWS($1:9)&gt;COUNT(Dong7),"",OFFSET(TH!C$1,SMALL(Dong7,ROWS($1:9)),))</f>
        <v>42135</v>
      </c>
      <c r="B24" s="676" t="str">
        <f ca="1">IF(ROWS($1:9)&gt;COUNT(Dong7),"",OFFSET(TH!D$1,SMALL(Dong7,ROWS($1:9)),))</f>
        <v>C06</v>
      </c>
      <c r="C24" s="676">
        <f ca="1">IF(ROWS($1:9)&gt;COUNT(Dong7),"",OFFSET(TH!E$1,SMALL(Dong7,ROWS($1:9)),))</f>
        <v>42135</v>
      </c>
      <c r="D24" s="677" t="str">
        <f ca="1">IF(ROWS($1:9)&gt;COUNT(Dong7),"",OFFSET(TH!F$1,SMALL(Dong7,ROWS($1:9)),))</f>
        <v>Cước dịch vụ viễn thông</v>
      </c>
      <c r="E24" s="676" t="str">
        <f ca="1">IF(ROWS($1:9)&gt;COUNT(Dong7),"",OFFSET(TH!M$1,SMALL(Dong7,ROWS($1:9)),))</f>
        <v>1111</v>
      </c>
      <c r="F24" s="678">
        <f ca="1">IF(ROWS($1:9)&gt;COUNT(Dong7),"",OFFSET(TH!K$1,SMALL(Dong7,ROWS($1:9)),))</f>
        <v>2181818</v>
      </c>
      <c r="G24" s="678">
        <f t="shared" ca="1" si="0"/>
        <v>2181818</v>
      </c>
      <c r="H24" s="678">
        <f t="shared" ca="1" si="0"/>
        <v>0</v>
      </c>
      <c r="I24" s="678">
        <f t="shared" ca="1" si="0"/>
        <v>0</v>
      </c>
      <c r="J24" s="678">
        <f t="shared" ca="1" si="0"/>
        <v>0</v>
      </c>
      <c r="K24" s="678">
        <f t="shared" ca="1" si="1"/>
        <v>0</v>
      </c>
      <c r="L24" s="678">
        <f t="shared" ca="1" si="1"/>
        <v>0</v>
      </c>
    </row>
    <row r="25" spans="1:12" ht="21.75" customHeight="1">
      <c r="A25" s="676">
        <f ca="1">IF(ROWS($1:10)&gt;COUNT(Dong7),"",OFFSET(TH!C$1,SMALL(Dong7,ROWS($1:10)),))</f>
        <v>42138</v>
      </c>
      <c r="B25" s="676" t="str">
        <f ca="1">IF(ROWS($1:10)&gt;COUNT(Dong7),"",OFFSET(TH!D$1,SMALL(Dong7,ROWS($1:10)),))</f>
        <v>C08</v>
      </c>
      <c r="C25" s="676">
        <f ca="1">IF(ROWS($1:10)&gt;COUNT(Dong7),"",OFFSET(TH!E$1,SMALL(Dong7,ROWS($1:10)),))</f>
        <v>42138</v>
      </c>
      <c r="D25" s="677" t="str">
        <f ca="1">IF(ROWS($1:10)&gt;COUNT(Dong7),"",OFFSET(TH!F$1,SMALL(Dong7,ROWS($1:10)),))</f>
        <v>Quảng cáo</v>
      </c>
      <c r="E25" s="676" t="str">
        <f ca="1">IF(ROWS($1:10)&gt;COUNT(Dong7),"",OFFSET(TH!M$1,SMALL(Dong7,ROWS($1:10)),))</f>
        <v>1111</v>
      </c>
      <c r="F25" s="678">
        <f ca="1">IF(ROWS($1:10)&gt;COUNT(Dong7),"",OFFSET(TH!K$1,SMALL(Dong7,ROWS($1:10)),))</f>
        <v>2000000</v>
      </c>
      <c r="G25" s="678">
        <f t="shared" ca="1" si="0"/>
        <v>2000000</v>
      </c>
      <c r="H25" s="678">
        <f t="shared" ca="1" si="0"/>
        <v>0</v>
      </c>
      <c r="I25" s="678">
        <f t="shared" ca="1" si="0"/>
        <v>0</v>
      </c>
      <c r="J25" s="678">
        <f t="shared" ca="1" si="0"/>
        <v>0</v>
      </c>
      <c r="K25" s="678">
        <f t="shared" ca="1" si="1"/>
        <v>0</v>
      </c>
      <c r="L25" s="678">
        <f t="shared" ca="1" si="1"/>
        <v>0</v>
      </c>
    </row>
    <row r="26" spans="1:12" ht="21.75" customHeight="1">
      <c r="A26" s="676">
        <f ca="1">IF(ROWS($1:11)&gt;COUNT(Dong7),"",OFFSET(TH!C$1,SMALL(Dong7,ROWS($1:11)),))</f>
        <v>42142</v>
      </c>
      <c r="B26" s="676" t="str">
        <f ca="1">IF(ROWS($1:11)&gt;COUNT(Dong7),"",OFFSET(TH!D$1,SMALL(Dong7,ROWS($1:11)),))</f>
        <v>GBN</v>
      </c>
      <c r="C26" s="676">
        <f ca="1">IF(ROWS($1:11)&gt;COUNT(Dong7),"",OFFSET(TH!E$1,SMALL(Dong7,ROWS($1:11)),))</f>
        <v>42142</v>
      </c>
      <c r="D26" s="677" t="str">
        <f ca="1">IF(ROWS($1:11)&gt;COUNT(Dong7),"",OFFSET(TH!F$1,SMALL(Dong7,ROWS($1:11)),))</f>
        <v>Phí chuyển tiền</v>
      </c>
      <c r="E26" s="676" t="str">
        <f ca="1">IF(ROWS($1:11)&gt;COUNT(Dong7),"",OFFSET(TH!M$1,SMALL(Dong7,ROWS($1:11)),))</f>
        <v>1121</v>
      </c>
      <c r="F26" s="678">
        <f ca="1">IF(ROWS($1:11)&gt;COUNT(Dong7),"",OFFSET(TH!K$1,SMALL(Dong7,ROWS($1:11)),))</f>
        <v>11000</v>
      </c>
      <c r="G26" s="678">
        <f t="shared" ca="1" si="0"/>
        <v>0</v>
      </c>
      <c r="H26" s="678">
        <f t="shared" ca="1" si="0"/>
        <v>11000</v>
      </c>
      <c r="I26" s="678">
        <f t="shared" ca="1" si="0"/>
        <v>0</v>
      </c>
      <c r="J26" s="678">
        <f t="shared" ca="1" si="0"/>
        <v>0</v>
      </c>
      <c r="K26" s="678">
        <f t="shared" ca="1" si="1"/>
        <v>0</v>
      </c>
      <c r="L26" s="678">
        <f t="shared" ca="1" si="1"/>
        <v>0</v>
      </c>
    </row>
    <row r="27" spans="1:12" ht="21.75" customHeight="1">
      <c r="A27" s="676">
        <f ca="1">IF(ROWS($1:12)&gt;COUNT(Dong7),"",OFFSET(TH!C$1,SMALL(Dong7,ROWS($1:12)),))</f>
        <v>42143</v>
      </c>
      <c r="B27" s="676" t="str">
        <f ca="1">IF(ROWS($1:12)&gt;COUNT(Dong7),"",OFFSET(TH!D$1,SMALL(Dong7,ROWS($1:12)),))</f>
        <v>GBN</v>
      </c>
      <c r="C27" s="676">
        <f ca="1">IF(ROWS($1:12)&gt;COUNT(Dong7),"",OFFSET(TH!E$1,SMALL(Dong7,ROWS($1:12)),))</f>
        <v>42143</v>
      </c>
      <c r="D27" s="677" t="str">
        <f ca="1">IF(ROWS($1:12)&gt;COUNT(Dong7),"",OFFSET(TH!F$1,SMALL(Dong7,ROWS($1:12)),))</f>
        <v>Thanh toán tiền thuê web</v>
      </c>
      <c r="E27" s="676" t="str">
        <f ca="1">IF(ROWS($1:12)&gt;COUNT(Dong7),"",OFFSET(TH!M$1,SMALL(Dong7,ROWS($1:12)),))</f>
        <v>1121</v>
      </c>
      <c r="F27" s="678">
        <f ca="1">IF(ROWS($1:12)&gt;COUNT(Dong7),"",OFFSET(TH!K$1,SMALL(Dong7,ROWS($1:12)),))</f>
        <v>2233000</v>
      </c>
      <c r="G27" s="678">
        <f t="shared" ca="1" si="0"/>
        <v>0</v>
      </c>
      <c r="H27" s="678">
        <f t="shared" ca="1" si="0"/>
        <v>2233000</v>
      </c>
      <c r="I27" s="678">
        <f t="shared" ca="1" si="0"/>
        <v>0</v>
      </c>
      <c r="J27" s="678">
        <f t="shared" ca="1" si="0"/>
        <v>0</v>
      </c>
      <c r="K27" s="678">
        <f t="shared" ca="1" si="1"/>
        <v>0</v>
      </c>
      <c r="L27" s="678">
        <f t="shared" ca="1" si="1"/>
        <v>0</v>
      </c>
    </row>
    <row r="28" spans="1:12" ht="21.75" customHeight="1">
      <c r="A28" s="676">
        <f ca="1">IF(ROWS($1:13)&gt;COUNT(Dong7),"",OFFSET(TH!C$1,SMALL(Dong7,ROWS($1:13)),))</f>
        <v>42147</v>
      </c>
      <c r="B28" s="676" t="str">
        <f ca="1">IF(ROWS($1:13)&gt;COUNT(Dong7),"",OFFSET(TH!D$1,SMALL(Dong7,ROWS($1:13)),))</f>
        <v>C12</v>
      </c>
      <c r="C28" s="676">
        <f ca="1">IF(ROWS($1:13)&gt;COUNT(Dong7),"",OFFSET(TH!E$1,SMALL(Dong7,ROWS($1:13)),))</f>
        <v>42147</v>
      </c>
      <c r="D28" s="677" t="str">
        <f ca="1">IF(ROWS($1:13)&gt;COUNT(Dong7),"",OFFSET(TH!F$1,SMALL(Dong7,ROWS($1:13)),))</f>
        <v>Cước dịch vụ viễn thông</v>
      </c>
      <c r="E28" s="676" t="str">
        <f ca="1">IF(ROWS($1:13)&gt;COUNT(Dong7),"",OFFSET(TH!M$1,SMALL(Dong7,ROWS($1:13)),))</f>
        <v>1111</v>
      </c>
      <c r="F28" s="678">
        <f ca="1">IF(ROWS($1:13)&gt;COUNT(Dong7),"",OFFSET(TH!K$1,SMALL(Dong7,ROWS($1:13)),))</f>
        <v>206996</v>
      </c>
      <c r="G28" s="678">
        <f t="shared" ca="1" si="0"/>
        <v>206996</v>
      </c>
      <c r="H28" s="678">
        <f t="shared" ca="1" si="0"/>
        <v>0</v>
      </c>
      <c r="I28" s="678">
        <f t="shared" ca="1" si="0"/>
        <v>0</v>
      </c>
      <c r="J28" s="678">
        <f t="shared" ca="1" si="0"/>
        <v>0</v>
      </c>
      <c r="K28" s="678">
        <f t="shared" ca="1" si="1"/>
        <v>0</v>
      </c>
      <c r="L28" s="678">
        <f t="shared" ca="1" si="1"/>
        <v>0</v>
      </c>
    </row>
    <row r="29" spans="1:12" ht="21.75" customHeight="1">
      <c r="A29" s="676">
        <f ca="1">IF(ROWS($1:14)&gt;COUNT(Dong7),"",OFFSET(TH!C$1,SMALL(Dong7,ROWS($1:14)),))</f>
        <v>42149</v>
      </c>
      <c r="B29" s="676" t="str">
        <f ca="1">IF(ROWS($1:14)&gt;COUNT(Dong7),"",OFFSET(TH!D$1,SMALL(Dong7,ROWS($1:14)),))</f>
        <v>GBN</v>
      </c>
      <c r="C29" s="676">
        <f ca="1">IF(ROWS($1:14)&gt;COUNT(Dong7),"",OFFSET(TH!E$1,SMALL(Dong7,ROWS($1:14)),))</f>
        <v>42149</v>
      </c>
      <c r="D29" s="677" t="str">
        <f ca="1">IF(ROWS($1:14)&gt;COUNT(Dong7),"",OFFSET(TH!F$1,SMALL(Dong7,ROWS($1:14)),))</f>
        <v>Phí quản lý tài khoản</v>
      </c>
      <c r="E29" s="676" t="str">
        <f ca="1">IF(ROWS($1:14)&gt;COUNT(Dong7),"",OFFSET(TH!M$1,SMALL(Dong7,ROWS($1:14)),))</f>
        <v>1121</v>
      </c>
      <c r="F29" s="678">
        <f ca="1">IF(ROWS($1:14)&gt;COUNT(Dong7),"",OFFSET(TH!K$1,SMALL(Dong7,ROWS($1:14)),))</f>
        <v>11000</v>
      </c>
      <c r="G29" s="678">
        <f t="shared" ca="1" si="0"/>
        <v>0</v>
      </c>
      <c r="H29" s="678">
        <f t="shared" ca="1" si="0"/>
        <v>11000</v>
      </c>
      <c r="I29" s="678">
        <f t="shared" ca="1" si="0"/>
        <v>0</v>
      </c>
      <c r="J29" s="678">
        <f t="shared" ca="1" si="0"/>
        <v>0</v>
      </c>
      <c r="K29" s="678">
        <f t="shared" ca="1" si="1"/>
        <v>0</v>
      </c>
      <c r="L29" s="678">
        <f t="shared" ca="1" si="1"/>
        <v>0</v>
      </c>
    </row>
    <row r="30" spans="1:12" ht="21.75" customHeight="1">
      <c r="A30" s="676">
        <f ca="1">IF(ROWS($1:15)&gt;COUNT(Dong7),"",OFFSET(TH!C$1,SMALL(Dong7,ROWS($1:15)),))</f>
        <v>42155</v>
      </c>
      <c r="B30" s="676" t="str">
        <f ca="1">IF(ROWS($1:15)&gt;COUNT(Dong7),"",OFFSET(TH!D$1,SMALL(Dong7,ROWS($1:15)),))</f>
        <v>CTGS</v>
      </c>
      <c r="C30" s="676">
        <f ca="1">IF(ROWS($1:15)&gt;COUNT(Dong7),"",OFFSET(TH!E$1,SMALL(Dong7,ROWS($1:15)),))</f>
        <v>42155</v>
      </c>
      <c r="D30" s="677" t="str">
        <f ca="1">IF(ROWS($1:15)&gt;COUNT(Dong7),"",OFFSET(TH!F$1,SMALL(Dong7,ROWS($1:15)),))</f>
        <v>Lương bộ phận quản lý</v>
      </c>
      <c r="E30" s="676" t="str">
        <f ca="1">IF(ROWS($1:15)&gt;COUNT(Dong7),"",OFFSET(TH!M$1,SMALL(Dong7,ROWS($1:15)),))</f>
        <v>3341</v>
      </c>
      <c r="F30" s="678">
        <f ca="1">IF(ROWS($1:15)&gt;COUNT(Dong7),"",OFFSET(TH!K$1,SMALL(Dong7,ROWS($1:15)),))</f>
        <v>11600000</v>
      </c>
      <c r="G30" s="678">
        <f t="shared" ca="1" si="0"/>
        <v>0</v>
      </c>
      <c r="H30" s="678">
        <f t="shared" ca="1" si="0"/>
        <v>0</v>
      </c>
      <c r="I30" s="678">
        <f t="shared" ca="1" si="0"/>
        <v>0</v>
      </c>
      <c r="J30" s="678">
        <f t="shared" ca="1" si="0"/>
        <v>11600000</v>
      </c>
      <c r="K30" s="678">
        <f t="shared" ca="1" si="1"/>
        <v>0</v>
      </c>
      <c r="L30" s="678">
        <f t="shared" ca="1" si="1"/>
        <v>0</v>
      </c>
    </row>
    <row r="31" spans="1:12" ht="21.75" customHeight="1">
      <c r="A31" s="676"/>
      <c r="B31" s="679"/>
      <c r="C31" s="676"/>
      <c r="D31" s="680"/>
      <c r="E31" s="681"/>
      <c r="F31" s="682"/>
      <c r="G31" s="682"/>
      <c r="H31" s="682"/>
      <c r="I31" s="682"/>
      <c r="J31" s="682"/>
      <c r="K31" s="682"/>
      <c r="L31" s="682"/>
    </row>
    <row r="32" spans="1:12" ht="21.75" customHeight="1">
      <c r="A32" s="676"/>
      <c r="B32" s="679"/>
      <c r="C32" s="676"/>
      <c r="D32" s="674" t="s">
        <v>133</v>
      </c>
      <c r="E32" s="673" t="s">
        <v>19</v>
      </c>
      <c r="F32" s="675">
        <f ca="1">SUM(F15:F31)</f>
        <v>38785583</v>
      </c>
      <c r="G32" s="675">
        <f t="shared" ref="G32:L32" ca="1" si="2">SUM(G15:G31)</f>
        <v>11698583</v>
      </c>
      <c r="H32" s="675">
        <f t="shared" ca="1" si="2"/>
        <v>2387000</v>
      </c>
      <c r="I32" s="675">
        <f t="shared" ca="1" si="2"/>
        <v>1500000</v>
      </c>
      <c r="J32" s="675">
        <f t="shared" ca="1" si="2"/>
        <v>23200000</v>
      </c>
      <c r="K32" s="675">
        <f t="shared" ca="1" si="2"/>
        <v>0</v>
      </c>
      <c r="L32" s="675">
        <f t="shared" ca="1" si="2"/>
        <v>0</v>
      </c>
    </row>
    <row r="33" spans="1:12" ht="21.75" customHeight="1">
      <c r="A33" s="683"/>
      <c r="B33" s="681"/>
      <c r="C33" s="683"/>
      <c r="D33" s="684" t="s">
        <v>389</v>
      </c>
      <c r="E33" s="679"/>
      <c r="F33" s="685">
        <f ca="1">SUM(G33:L33)</f>
        <v>38785583</v>
      </c>
      <c r="G33" s="685">
        <f t="shared" ref="G33:L33" ca="1" si="3">G32</f>
        <v>11698583</v>
      </c>
      <c r="H33" s="685">
        <f t="shared" ca="1" si="3"/>
        <v>2387000</v>
      </c>
      <c r="I33" s="685">
        <f t="shared" ca="1" si="3"/>
        <v>1500000</v>
      </c>
      <c r="J33" s="685">
        <f t="shared" ca="1" si="3"/>
        <v>23200000</v>
      </c>
      <c r="K33" s="685">
        <f t="shared" ca="1" si="3"/>
        <v>0</v>
      </c>
      <c r="L33" s="685">
        <f t="shared" ca="1" si="3"/>
        <v>0</v>
      </c>
    </row>
    <row r="34" spans="1:12" ht="21.75" customHeight="1">
      <c r="A34" s="686"/>
      <c r="B34" s="686"/>
      <c r="C34" s="686"/>
      <c r="D34" s="687" t="s">
        <v>10</v>
      </c>
      <c r="E34" s="686" t="s">
        <v>19</v>
      </c>
      <c r="F34" s="688">
        <f t="shared" ref="F34:L34" ca="1" si="4">F15+F32-F33</f>
        <v>0</v>
      </c>
      <c r="G34" s="688">
        <f t="shared" ca="1" si="4"/>
        <v>0</v>
      </c>
      <c r="H34" s="688">
        <f t="shared" ca="1" si="4"/>
        <v>0</v>
      </c>
      <c r="I34" s="688">
        <f t="shared" ca="1" si="4"/>
        <v>0</v>
      </c>
      <c r="J34" s="688">
        <f t="shared" ca="1" si="4"/>
        <v>0</v>
      </c>
      <c r="K34" s="688">
        <f t="shared" ca="1" si="4"/>
        <v>0</v>
      </c>
      <c r="L34" s="688">
        <f t="shared" ca="1" si="4"/>
        <v>0</v>
      </c>
    </row>
    <row r="36" spans="1:12">
      <c r="B36" s="689"/>
      <c r="C36" s="669" t="s">
        <v>382</v>
      </c>
    </row>
    <row r="37" spans="1:12">
      <c r="C37" s="669" t="str">
        <f ca="1">"- Ngày mở sổ: "&amp;"01/"&amp;MONTH(A16)&amp;"/"&amp;YEAR(A16)</f>
        <v>- Ngày mở sổ: 01/4/2015</v>
      </c>
    </row>
    <row r="38" spans="1:12">
      <c r="E38" s="668"/>
      <c r="F38" s="668"/>
      <c r="G38" s="668"/>
      <c r="H38" s="668"/>
      <c r="I38" s="668"/>
      <c r="J38" s="1129" t="str">
        <f ca="1">IF(OR($O$5=1,$O$5=4,$O$5=6,$O$5=9,$O$5=11),"Ngày  30  tháng  "&amp;$O$5&amp;"  năm "&amp;YEAR(A16),IF(OR($O$5=3,$O$5=5,$O$5=7,$O$5=8,$O$5=10,$O$5=12),"Ngày  31  tháng  "&amp;$O$5&amp;"  năm "&amp;YEAR(A16),"Ngày  28  tháng  "&amp;$O$5&amp;"  năm "&amp;YEAR(A16)))</f>
        <v>Ngày  30  tháng  6  năm 2015</v>
      </c>
      <c r="K38" s="1129"/>
      <c r="L38" s="1129"/>
    </row>
    <row r="39" spans="1:12">
      <c r="B39" s="668"/>
      <c r="C39" s="665" t="s">
        <v>11</v>
      </c>
      <c r="D39" s="668"/>
      <c r="E39" s="668"/>
      <c r="F39" s="668"/>
      <c r="G39" s="668"/>
      <c r="H39" s="668"/>
      <c r="I39" s="668"/>
      <c r="J39" s="1129" t="s">
        <v>12</v>
      </c>
      <c r="K39" s="1129"/>
      <c r="L39" s="1129"/>
    </row>
    <row r="40" spans="1:12">
      <c r="B40" s="668"/>
      <c r="C40" s="665" t="s">
        <v>13</v>
      </c>
      <c r="D40" s="668"/>
      <c r="E40" s="668"/>
      <c r="F40" s="668"/>
      <c r="G40" s="668"/>
      <c r="H40" s="668"/>
      <c r="I40" s="668"/>
      <c r="J40" s="1194" t="s">
        <v>13</v>
      </c>
      <c r="K40" s="1194"/>
      <c r="L40" s="1194"/>
    </row>
  </sheetData>
  <mergeCells count="17">
    <mergeCell ref="G12:L12"/>
    <mergeCell ref="H3:K4"/>
    <mergeCell ref="H2:K2"/>
    <mergeCell ref="J38:L38"/>
    <mergeCell ref="J39:L39"/>
    <mergeCell ref="J40:L40"/>
    <mergeCell ref="A5:L5"/>
    <mergeCell ref="A6:L6"/>
    <mergeCell ref="C10:L10"/>
    <mergeCell ref="A11:A13"/>
    <mergeCell ref="B11:C11"/>
    <mergeCell ref="D11:D13"/>
    <mergeCell ref="E11:E13"/>
    <mergeCell ref="F11:L11"/>
    <mergeCell ref="B12:B13"/>
    <mergeCell ref="C12:C13"/>
    <mergeCell ref="F12:F13"/>
  </mergeCells>
  <dataValidations count="1">
    <dataValidation type="list" allowBlank="1" showInputMessage="1" showErrorMessage="1" sqref="N13">
      <formula1>"All,Quý I, Quý II, Quý III, Quý IV"</formula1>
    </dataValidation>
  </dataValidations>
  <printOptions horizontalCentered="1"/>
  <pageMargins left="0.26" right="0" top="0.18" bottom="0.67" header="0.17" footer="0.19"/>
  <pageSetup scale="85" orientation="landscape" r:id="rId1"/>
  <headerFooter alignWithMargins="0">
    <oddFooter>&amp;R&amp;P/&amp;N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O35"/>
  <sheetViews>
    <sheetView topLeftCell="A10" zoomScale="90" zoomScaleNormal="90" workbookViewId="0">
      <pane ySplit="6" topLeftCell="A16" activePane="bottomLeft" state="frozen"/>
      <selection activeCell="A10" sqref="A10"/>
      <selection pane="bottomLeft" activeCell="D21" sqref="D21"/>
    </sheetView>
  </sheetViews>
  <sheetFormatPr defaultRowHeight="15"/>
  <cols>
    <col min="1" max="2" width="8.85546875" style="752" customWidth="1"/>
    <col min="3" max="3" width="8.5703125" style="752" customWidth="1"/>
    <col min="4" max="4" width="51.42578125" style="752" customWidth="1"/>
    <col min="5" max="5" width="8" style="752" customWidth="1"/>
    <col min="6" max="6" width="12.28515625" style="752" bestFit="1" customWidth="1"/>
    <col min="7" max="7" width="10.140625" style="752" customWidth="1"/>
    <col min="8" max="8" width="10.7109375" style="752" customWidth="1"/>
    <col min="9" max="9" width="11.42578125" style="752" customWidth="1"/>
    <col min="10" max="10" width="11.5703125" style="752" customWidth="1"/>
    <col min="11" max="11" width="11.42578125" style="752" customWidth="1"/>
    <col min="12" max="12" width="9.42578125" style="752" customWidth="1"/>
    <col min="13" max="13" width="6.7109375" style="752" customWidth="1"/>
    <col min="14" max="16384" width="9.140625" style="752"/>
  </cols>
  <sheetData>
    <row r="2" spans="1:15">
      <c r="A2" s="664" t="str">
        <f>'632'!A2</f>
        <v>Đơn vị: CÔNG TY TNHH MỘT THÀNH VIÊN KHỞI NGUYÊN AN</v>
      </c>
      <c r="F2" s="751"/>
      <c r="G2" s="751"/>
      <c r="H2" s="1192" t="s">
        <v>369</v>
      </c>
      <c r="I2" s="1192"/>
      <c r="J2" s="1192"/>
      <c r="K2" s="1192"/>
      <c r="L2" s="690"/>
    </row>
    <row r="3" spans="1:15" ht="15" customHeight="1">
      <c r="A3" s="694" t="str">
        <f>'632'!A3</f>
        <v>Địa chỉ: Thửa đất số 144, tờ bản đồ số 12TĐH.1, tổ 1, khu phố Đông Tác, Phường Tân Đông Hiệp, Thị Xã Dĩ An, Tỉnh Bình Dương, Việt Nam</v>
      </c>
      <c r="H3" s="1195" t="str">
        <f ca="1">IF(YEAR($A$16)&gt;=2015,"(Ban hành theo Thông tư số 200/2014/TT-BTC  Ngày 22/12/2014 của Bộ Tài chính)","(Ban hành kèm theo QĐ 48/2006/QĐ-BTC ngày 24/09/2006 của Bộ trưởng BTC)")</f>
        <v>(Ban hành theo Thông tư số 200/2014/TT-BTC  Ngày 22/12/2014 của Bộ Tài chính)</v>
      </c>
      <c r="I3" s="1195"/>
      <c r="J3" s="1195"/>
      <c r="K3" s="1195"/>
      <c r="L3" s="668"/>
    </row>
    <row r="4" spans="1:15">
      <c r="H4" s="1195"/>
      <c r="I4" s="1195"/>
      <c r="J4" s="1195"/>
      <c r="K4" s="1195"/>
      <c r="L4" s="668"/>
    </row>
    <row r="5" spans="1:15" ht="19.5" customHeight="1">
      <c r="A5" s="1193" t="s">
        <v>370</v>
      </c>
      <c r="B5" s="1193"/>
      <c r="C5" s="1193"/>
      <c r="D5" s="1193"/>
      <c r="E5" s="1193"/>
      <c r="F5" s="1193"/>
      <c r="G5" s="1193"/>
      <c r="H5" s="1193"/>
      <c r="I5" s="1193"/>
      <c r="J5" s="1193"/>
      <c r="K5" s="1193"/>
      <c r="L5" s="1193"/>
      <c r="M5" s="667" t="s">
        <v>251</v>
      </c>
      <c r="N5" s="602">
        <f>IF(N13="Quý I",1,IF(N13="Quý II",4,IF(N13="Quý III",7,IF(N13="Quý IV",10,""))))</f>
        <v>7</v>
      </c>
      <c r="O5" s="602">
        <f>IF(N13="Quý I",3,IF(N13="Quý II",6,IF(N13="Quý III",9,IF(N13="Quý IV",12,""))))</f>
        <v>9</v>
      </c>
    </row>
    <row r="6" spans="1:15">
      <c r="A6" s="1194" t="s">
        <v>371</v>
      </c>
      <c r="B6" s="1194"/>
      <c r="C6" s="1194"/>
      <c r="D6" s="1194"/>
      <c r="E6" s="1194"/>
      <c r="F6" s="1194"/>
      <c r="G6" s="1194"/>
      <c r="H6" s="1194"/>
      <c r="I6" s="1194"/>
      <c r="J6" s="1194"/>
      <c r="K6" s="1194"/>
      <c r="L6" s="1194"/>
    </row>
    <row r="7" spans="1:15">
      <c r="B7" s="668"/>
      <c r="C7" s="668"/>
      <c r="D7" s="668"/>
      <c r="E7" s="669" t="s">
        <v>397</v>
      </c>
      <c r="G7" s="668"/>
      <c r="H7" s="668"/>
      <c r="I7" s="668"/>
      <c r="J7" s="668"/>
      <c r="K7" s="668"/>
      <c r="L7" s="668"/>
      <c r="M7" s="695"/>
    </row>
    <row r="8" spans="1:15">
      <c r="B8" s="668"/>
      <c r="C8" s="668"/>
      <c r="D8" s="668"/>
      <c r="E8" s="669" t="s">
        <v>373</v>
      </c>
      <c r="G8" s="668"/>
      <c r="H8" s="668"/>
      <c r="I8" s="668"/>
      <c r="J8" s="668"/>
      <c r="K8" s="668"/>
      <c r="L8" s="668"/>
    </row>
    <row r="9" spans="1:15">
      <c r="B9" s="670"/>
      <c r="C9" s="670"/>
      <c r="D9" s="670"/>
      <c r="E9" s="669" t="s">
        <v>374</v>
      </c>
      <c r="G9" s="670"/>
      <c r="H9" s="670"/>
      <c r="I9" s="670"/>
      <c r="J9" s="670"/>
      <c r="K9" s="670"/>
      <c r="L9" s="670"/>
    </row>
    <row r="10" spans="1:15" ht="9" customHeight="1">
      <c r="C10" s="1191"/>
      <c r="D10" s="1191"/>
      <c r="E10" s="1191"/>
      <c r="F10" s="1191"/>
      <c r="G10" s="1191"/>
      <c r="H10" s="1191"/>
      <c r="I10" s="1191"/>
      <c r="J10" s="1191"/>
      <c r="K10" s="1191"/>
      <c r="L10" s="1191"/>
    </row>
    <row r="11" spans="1:15" ht="15.75" customHeight="1">
      <c r="A11" s="1188" t="s">
        <v>20</v>
      </c>
      <c r="B11" s="1189" t="s">
        <v>1</v>
      </c>
      <c r="C11" s="1189"/>
      <c r="D11" s="1188" t="s">
        <v>0</v>
      </c>
      <c r="E11" s="1188" t="s">
        <v>204</v>
      </c>
      <c r="F11" s="1189" t="s">
        <v>396</v>
      </c>
      <c r="G11" s="1189"/>
      <c r="H11" s="1189"/>
      <c r="I11" s="1189"/>
      <c r="J11" s="1189"/>
      <c r="K11" s="1189"/>
      <c r="L11" s="1189"/>
    </row>
    <row r="12" spans="1:15" ht="15.75" customHeight="1" thickBot="1">
      <c r="A12" s="1188"/>
      <c r="B12" s="1190" t="s">
        <v>15</v>
      </c>
      <c r="C12" s="1190" t="s">
        <v>32</v>
      </c>
      <c r="D12" s="1188"/>
      <c r="E12" s="1188"/>
      <c r="F12" s="1190" t="s">
        <v>376</v>
      </c>
      <c r="G12" s="1190" t="s">
        <v>377</v>
      </c>
      <c r="H12" s="1190"/>
      <c r="I12" s="1190"/>
      <c r="J12" s="1190"/>
      <c r="K12" s="1190"/>
      <c r="L12" s="1190"/>
    </row>
    <row r="13" spans="1:15" ht="29.25" customHeight="1" thickBot="1">
      <c r="A13" s="1188"/>
      <c r="B13" s="1190"/>
      <c r="C13" s="1190"/>
      <c r="D13" s="1188"/>
      <c r="E13" s="1188"/>
      <c r="F13" s="1190"/>
      <c r="G13" s="691" t="s">
        <v>47</v>
      </c>
      <c r="H13" s="691" t="s">
        <v>24</v>
      </c>
      <c r="I13" s="691"/>
      <c r="J13" s="691"/>
      <c r="K13" s="691"/>
      <c r="L13" s="691"/>
      <c r="N13" s="693" t="s">
        <v>399</v>
      </c>
    </row>
    <row r="14" spans="1:15">
      <c r="A14" s="753" t="s">
        <v>2</v>
      </c>
      <c r="B14" s="753" t="s">
        <v>3</v>
      </c>
      <c r="C14" s="753" t="s">
        <v>4</v>
      </c>
      <c r="D14" s="753" t="s">
        <v>5</v>
      </c>
      <c r="E14" s="753" t="s">
        <v>6</v>
      </c>
      <c r="F14" s="753">
        <v>1</v>
      </c>
      <c r="G14" s="753">
        <v>2</v>
      </c>
      <c r="H14" s="753">
        <v>3</v>
      </c>
      <c r="I14" s="753">
        <v>4</v>
      </c>
      <c r="J14" s="753">
        <v>5</v>
      </c>
      <c r="K14" s="753">
        <v>6</v>
      </c>
      <c r="L14" s="753">
        <v>7</v>
      </c>
    </row>
    <row r="15" spans="1:15" ht="21.75" customHeight="1">
      <c r="A15" s="673"/>
      <c r="B15" s="673"/>
      <c r="C15" s="673"/>
      <c r="D15" s="674" t="s">
        <v>7</v>
      </c>
      <c r="E15" s="673"/>
      <c r="F15" s="675"/>
      <c r="G15" s="675"/>
      <c r="H15" s="675"/>
      <c r="I15" s="675"/>
      <c r="J15" s="675"/>
      <c r="K15" s="675"/>
      <c r="L15" s="675"/>
    </row>
    <row r="16" spans="1:15" ht="21.75" customHeight="1">
      <c r="A16" s="676">
        <f ca="1">IF(ROWS($1:1)&gt;COUNT(Dong13),"",OFFSET(TH!C$1,SMALL(Dong13,ROWS($1:1)),))</f>
        <v>42200</v>
      </c>
      <c r="B16" s="676" t="str">
        <f ca="1">IF(ROWS($1:1)&gt;COUNT(Dong13),"",OFFSET(TH!D$1,SMALL(Dong13,ROWS($1:1)),))</f>
        <v>C04</v>
      </c>
      <c r="C16" s="676">
        <f ca="1">IF(ROWS($1:1)&gt;COUNT(Dong13),"",OFFSET(TH!E$1,SMALL(Dong13,ROWS($1:1)),))</f>
        <v>42200</v>
      </c>
      <c r="D16" s="677" t="str">
        <f ca="1">IF(ROWS($1:1)&gt;COUNT(Dong13),"",OFFSET(TH!F$1,SMALL(Dong13,ROWS($1:1)),))</f>
        <v>Hàng hóa tiếp khách</v>
      </c>
      <c r="E16" s="676" t="str">
        <f ca="1">IF(ROWS($1:1)&gt;COUNT(Dong13),"",OFFSET(TH!M$1,SMALL(Dong13,ROWS($1:1)),))</f>
        <v>1111</v>
      </c>
      <c r="F16" s="755">
        <f ca="1">IF(ROWS($1:1)&gt;COUNT(Dong13),"",OFFSET(TH!K$1,SMALL(Dong13,ROWS($1:1)),))</f>
        <v>765200</v>
      </c>
      <c r="G16" s="678">
        <f t="shared" ref="G16:J25" ca="1" si="0">IF($E16=G$13,$F16,0)</f>
        <v>765200</v>
      </c>
      <c r="H16" s="678">
        <f t="shared" ca="1" si="0"/>
        <v>0</v>
      </c>
      <c r="I16" s="678">
        <f t="shared" ca="1" si="0"/>
        <v>0</v>
      </c>
      <c r="J16" s="678">
        <f t="shared" ca="1" si="0"/>
        <v>0</v>
      </c>
      <c r="K16" s="678">
        <f ca="1">IF(LEFT($E16,3)=K$13,$F16,0)</f>
        <v>0</v>
      </c>
      <c r="L16" s="678">
        <f ca="1">IF(LEFT($E16,3)=L$13,$F16,0)</f>
        <v>0</v>
      </c>
    </row>
    <row r="17" spans="1:12" ht="21.75" customHeight="1">
      <c r="A17" s="676">
        <f ca="1">IF(ROWS($1:2)&gt;COUNT(Dong13),"",OFFSET(TH!C$1,SMALL(Dong13,ROWS($1:2)),))</f>
        <v>42210</v>
      </c>
      <c r="B17" s="676" t="str">
        <f ca="1">IF(ROWS($1:2)&gt;COUNT(Dong13),"",OFFSET(TH!D$1,SMALL(Dong13,ROWS($1:2)),))</f>
        <v>C06</v>
      </c>
      <c r="C17" s="676">
        <f ca="1">IF(ROWS($1:2)&gt;COUNT(Dong13),"",OFFSET(TH!E$1,SMALL(Dong13,ROWS($1:2)),))</f>
        <v>42210</v>
      </c>
      <c r="D17" s="677" t="str">
        <f ca="1">IF(ROWS($1:2)&gt;COUNT(Dong13),"",OFFSET(TH!F$1,SMALL(Dong13,ROWS($1:2)),))</f>
        <v>Hàng hóa tiếp khách</v>
      </c>
      <c r="E17" s="676" t="str">
        <f ca="1">IF(ROWS($1:2)&gt;COUNT(Dong13),"",OFFSET(TH!M$1,SMALL(Dong13,ROWS($1:2)),))</f>
        <v>1111</v>
      </c>
      <c r="F17" s="755">
        <f ca="1">IF(ROWS($1:2)&gt;COUNT(Dong13),"",OFFSET(TH!K$1,SMALL(Dong13,ROWS($1:2)),))</f>
        <v>817362</v>
      </c>
      <c r="G17" s="678">
        <f t="shared" ca="1" si="0"/>
        <v>817362</v>
      </c>
      <c r="H17" s="678">
        <f t="shared" ca="1" si="0"/>
        <v>0</v>
      </c>
      <c r="I17" s="678">
        <f t="shared" ca="1" si="0"/>
        <v>0</v>
      </c>
      <c r="J17" s="678">
        <f t="shared" ca="1" si="0"/>
        <v>0</v>
      </c>
      <c r="K17" s="678">
        <f t="shared" ref="K17:L25" ca="1" si="1">IF(LEFT($E17,3)=K$13,$F17,0)</f>
        <v>0</v>
      </c>
      <c r="L17" s="678">
        <f t="shared" ca="1" si="1"/>
        <v>0</v>
      </c>
    </row>
    <row r="18" spans="1:12" ht="21.75" customHeight="1">
      <c r="A18" s="676">
        <f ca="1">IF(ROWS($1:3)&gt;COUNT(Dong13),"",OFFSET(TH!C$1,SMALL(Dong13,ROWS($1:3)),))</f>
        <v>42211</v>
      </c>
      <c r="B18" s="676" t="str">
        <f ca="1">IF(ROWS($1:3)&gt;COUNT(Dong13),"",OFFSET(TH!D$1,SMALL(Dong13,ROWS($1:3)),))</f>
        <v>C07</v>
      </c>
      <c r="C18" s="676">
        <f ca="1">IF(ROWS($1:3)&gt;COUNT(Dong13),"",OFFSET(TH!E$1,SMALL(Dong13,ROWS($1:3)),))</f>
        <v>42211</v>
      </c>
      <c r="D18" s="677" t="str">
        <f ca="1">IF(ROWS($1:3)&gt;COUNT(Dong13),"",OFFSET(TH!F$1,SMALL(Dong13,ROWS($1:3)),))</f>
        <v>Chi phí tiếp khách</v>
      </c>
      <c r="E18" s="676" t="str">
        <f ca="1">IF(ROWS($1:3)&gt;COUNT(Dong13),"",OFFSET(TH!M$1,SMALL(Dong13,ROWS($1:3)),))</f>
        <v>1111</v>
      </c>
      <c r="F18" s="755">
        <f ca="1">IF(ROWS($1:3)&gt;COUNT(Dong13),"",OFFSET(TH!K$1,SMALL(Dong13,ROWS($1:3)),))</f>
        <v>705000</v>
      </c>
      <c r="G18" s="678">
        <f t="shared" ca="1" si="0"/>
        <v>705000</v>
      </c>
      <c r="H18" s="678">
        <f t="shared" ca="1" si="0"/>
        <v>0</v>
      </c>
      <c r="I18" s="678">
        <f t="shared" ca="1" si="0"/>
        <v>0</v>
      </c>
      <c r="J18" s="678">
        <f t="shared" ca="1" si="0"/>
        <v>0</v>
      </c>
      <c r="K18" s="678">
        <f t="shared" ca="1" si="1"/>
        <v>0</v>
      </c>
      <c r="L18" s="678">
        <f t="shared" ca="1" si="1"/>
        <v>0</v>
      </c>
    </row>
    <row r="19" spans="1:12" ht="21.75" customHeight="1">
      <c r="A19" s="676">
        <f ca="1">IF(ROWS($1:4)&gt;COUNT(Dong13),"",OFFSET(TH!C$1,SMALL(Dong13,ROWS($1:4)),))</f>
        <v>42220</v>
      </c>
      <c r="B19" s="676" t="str">
        <f ca="1">IF(ROWS($1:4)&gt;COUNT(Dong13),"",OFFSET(TH!D$1,SMALL(Dong13,ROWS($1:4)),))</f>
        <v>C12</v>
      </c>
      <c r="C19" s="676">
        <f ca="1">IF(ROWS($1:4)&gt;COUNT(Dong13),"",OFFSET(TH!E$1,SMALL(Dong13,ROWS($1:4)),))</f>
        <v>42220</v>
      </c>
      <c r="D19" s="677" t="str">
        <f ca="1">IF(ROWS($1:4)&gt;COUNT(Dong13),"",OFFSET(TH!F$1,SMALL(Dong13,ROWS($1:4)),))</f>
        <v>Hàng hóa tiếp khách</v>
      </c>
      <c r="E19" s="676" t="str">
        <f ca="1">IF(ROWS($1:4)&gt;COUNT(Dong13),"",OFFSET(TH!M$1,SMALL(Dong13,ROWS($1:4)),))</f>
        <v>1111</v>
      </c>
      <c r="F19" s="755">
        <f ca="1">IF(ROWS($1:4)&gt;COUNT(Dong13),"",OFFSET(TH!K$1,SMALL(Dong13,ROWS($1:4)),))</f>
        <v>737182</v>
      </c>
      <c r="G19" s="678">
        <f t="shared" ca="1" si="0"/>
        <v>737182</v>
      </c>
      <c r="H19" s="678">
        <f t="shared" ca="1" si="0"/>
        <v>0</v>
      </c>
      <c r="I19" s="678">
        <f t="shared" ca="1" si="0"/>
        <v>0</v>
      </c>
      <c r="J19" s="678">
        <f t="shared" ca="1" si="0"/>
        <v>0</v>
      </c>
      <c r="K19" s="678">
        <f t="shared" ca="1" si="1"/>
        <v>0</v>
      </c>
      <c r="L19" s="678">
        <f t="shared" ca="1" si="1"/>
        <v>0</v>
      </c>
    </row>
    <row r="20" spans="1:12" ht="21.75" customHeight="1">
      <c r="A20" s="676">
        <f ca="1">IF(ROWS($1:5)&gt;COUNT(Dong13),"",OFFSET(TH!C$1,SMALL(Dong13,ROWS($1:5)),))</f>
        <v>42223</v>
      </c>
      <c r="B20" s="676" t="str">
        <f ca="1">IF(ROWS($1:5)&gt;COUNT(Dong13),"",OFFSET(TH!D$1,SMALL(Dong13,ROWS($1:5)),))</f>
        <v>C14</v>
      </c>
      <c r="C20" s="676">
        <f ca="1">IF(ROWS($1:5)&gt;COUNT(Dong13),"",OFFSET(TH!E$1,SMALL(Dong13,ROWS($1:5)),))</f>
        <v>42223</v>
      </c>
      <c r="D20" s="677" t="str">
        <f ca="1">IF(ROWS($1:5)&gt;COUNT(Dong13),"",OFFSET(TH!F$1,SMALL(Dong13,ROWS($1:5)),))</f>
        <v>Chi phí tiếp khách</v>
      </c>
      <c r="E20" s="676" t="str">
        <f ca="1">IF(ROWS($1:5)&gt;COUNT(Dong13),"",OFFSET(TH!M$1,SMALL(Dong13,ROWS($1:5)),))</f>
        <v>1111</v>
      </c>
      <c r="F20" s="755">
        <f ca="1">IF(ROWS($1:5)&gt;COUNT(Dong13),"",OFFSET(TH!K$1,SMALL(Dong13,ROWS($1:5)),))</f>
        <v>1296000</v>
      </c>
      <c r="G20" s="678">
        <f t="shared" ca="1" si="0"/>
        <v>1296000</v>
      </c>
      <c r="H20" s="678">
        <f t="shared" ca="1" si="0"/>
        <v>0</v>
      </c>
      <c r="I20" s="678">
        <f t="shared" ca="1" si="0"/>
        <v>0</v>
      </c>
      <c r="J20" s="678">
        <f t="shared" ca="1" si="0"/>
        <v>0</v>
      </c>
      <c r="K20" s="678">
        <f t="shared" ca="1" si="1"/>
        <v>0</v>
      </c>
      <c r="L20" s="678">
        <f t="shared" ca="1" si="1"/>
        <v>0</v>
      </c>
    </row>
    <row r="21" spans="1:12" ht="21.75" customHeight="1">
      <c r="A21" s="676" t="str">
        <f ca="1">IF(ROWS($1:6)&gt;COUNT(Dong13),"",OFFSET(TH!C$1,SMALL(Dong13,ROWS($1:6)),))</f>
        <v/>
      </c>
      <c r="B21" s="676" t="str">
        <f ca="1">IF(ROWS($1:6)&gt;COUNT(Dong13),"",OFFSET(TH!D$1,SMALL(Dong13,ROWS($1:6)),))</f>
        <v/>
      </c>
      <c r="C21" s="676" t="str">
        <f ca="1">IF(ROWS($1:6)&gt;COUNT(Dong13),"",OFFSET(TH!E$1,SMALL(Dong13,ROWS($1:6)),))</f>
        <v/>
      </c>
      <c r="D21" s="677" t="str">
        <f ca="1">IF(ROWS($1:6)&gt;COUNT(Dong13),"",OFFSET(TH!F$1,SMALL(Dong13,ROWS($1:6)),))</f>
        <v/>
      </c>
      <c r="E21" s="676" t="str">
        <f ca="1">IF(ROWS($1:6)&gt;COUNT(Dong13),"",OFFSET(TH!M$1,SMALL(Dong13,ROWS($1:6)),))</f>
        <v/>
      </c>
      <c r="F21" s="755" t="str">
        <f ca="1">IF(ROWS($1:6)&gt;COUNT(Dong13),"",OFFSET(TH!K$1,SMALL(Dong13,ROWS($1:6)),))</f>
        <v/>
      </c>
      <c r="G21" s="678">
        <f t="shared" ca="1" si="0"/>
        <v>0</v>
      </c>
      <c r="H21" s="678">
        <f t="shared" ca="1" si="0"/>
        <v>0</v>
      </c>
      <c r="I21" s="678" t="str">
        <f t="shared" ca="1" si="0"/>
        <v/>
      </c>
      <c r="J21" s="678" t="str">
        <f t="shared" ca="1" si="0"/>
        <v/>
      </c>
      <c r="K21" s="678" t="str">
        <f t="shared" ca="1" si="1"/>
        <v/>
      </c>
      <c r="L21" s="678" t="str">
        <f t="shared" ca="1" si="1"/>
        <v/>
      </c>
    </row>
    <row r="22" spans="1:12" ht="21.75" customHeight="1">
      <c r="A22" s="676" t="str">
        <f ca="1">IF(ROWS($1:7)&gt;COUNT(Dong13),"",OFFSET(TH!C$1,SMALL(Dong13,ROWS($1:7)),))</f>
        <v/>
      </c>
      <c r="B22" s="676" t="str">
        <f ca="1">IF(ROWS($1:7)&gt;COUNT(Dong13),"",OFFSET(TH!D$1,SMALL(Dong13,ROWS($1:7)),))</f>
        <v/>
      </c>
      <c r="C22" s="676" t="str">
        <f ca="1">IF(ROWS($1:7)&gt;COUNT(Dong13),"",OFFSET(TH!E$1,SMALL(Dong13,ROWS($1:7)),))</f>
        <v/>
      </c>
      <c r="D22" s="677" t="str">
        <f ca="1">IF(ROWS($1:7)&gt;COUNT(Dong13),"",OFFSET(TH!F$1,SMALL(Dong13,ROWS($1:7)),))</f>
        <v/>
      </c>
      <c r="E22" s="676" t="str">
        <f ca="1">IF(ROWS($1:7)&gt;COUNT(Dong13),"",OFFSET(TH!M$1,SMALL(Dong13,ROWS($1:7)),))</f>
        <v/>
      </c>
      <c r="F22" s="755" t="str">
        <f ca="1">IF(ROWS($1:7)&gt;COUNT(Dong13),"",OFFSET(TH!K$1,SMALL(Dong13,ROWS($1:7)),))</f>
        <v/>
      </c>
      <c r="G22" s="678">
        <f t="shared" ca="1" si="0"/>
        <v>0</v>
      </c>
      <c r="H22" s="678">
        <f t="shared" ca="1" si="0"/>
        <v>0</v>
      </c>
      <c r="I22" s="678" t="str">
        <f t="shared" ca="1" si="0"/>
        <v/>
      </c>
      <c r="J22" s="678" t="str">
        <f t="shared" ca="1" si="0"/>
        <v/>
      </c>
      <c r="K22" s="678" t="str">
        <f t="shared" ca="1" si="1"/>
        <v/>
      </c>
      <c r="L22" s="678" t="str">
        <f t="shared" ca="1" si="1"/>
        <v/>
      </c>
    </row>
    <row r="23" spans="1:12" ht="21.75" customHeight="1">
      <c r="A23" s="676" t="str">
        <f ca="1">IF(ROWS($1:8)&gt;COUNT(Dong13),"",OFFSET(TH!C$1,SMALL(Dong13,ROWS($1:8)),))</f>
        <v/>
      </c>
      <c r="B23" s="676" t="str">
        <f ca="1">IF(ROWS($1:8)&gt;COUNT(Dong13),"",OFFSET(TH!D$1,SMALL(Dong13,ROWS($1:8)),))</f>
        <v/>
      </c>
      <c r="C23" s="676" t="str">
        <f ca="1">IF(ROWS($1:8)&gt;COUNT(Dong13),"",OFFSET(TH!E$1,SMALL(Dong13,ROWS($1:8)),))</f>
        <v/>
      </c>
      <c r="D23" s="677" t="str">
        <f ca="1">IF(ROWS($1:8)&gt;COUNT(Dong13),"",OFFSET(TH!F$1,SMALL(Dong13,ROWS($1:8)),))</f>
        <v/>
      </c>
      <c r="E23" s="676" t="str">
        <f ca="1">IF(ROWS($1:8)&gt;COUNT(Dong13),"",OFFSET(TH!M$1,SMALL(Dong13,ROWS($1:8)),))</f>
        <v/>
      </c>
      <c r="F23" s="755" t="str">
        <f ca="1">IF(ROWS($1:8)&gt;COUNT(Dong13),"",OFFSET(TH!K$1,SMALL(Dong13,ROWS($1:8)),))</f>
        <v/>
      </c>
      <c r="G23" s="678">
        <f t="shared" ca="1" si="0"/>
        <v>0</v>
      </c>
      <c r="H23" s="678">
        <f t="shared" ca="1" si="0"/>
        <v>0</v>
      </c>
      <c r="I23" s="678" t="str">
        <f t="shared" ca="1" si="0"/>
        <v/>
      </c>
      <c r="J23" s="678" t="str">
        <f t="shared" ca="1" si="0"/>
        <v/>
      </c>
      <c r="K23" s="678" t="str">
        <f t="shared" ca="1" si="1"/>
        <v/>
      </c>
      <c r="L23" s="678" t="str">
        <f t="shared" ca="1" si="1"/>
        <v/>
      </c>
    </row>
    <row r="24" spans="1:12" ht="21.75" customHeight="1">
      <c r="A24" s="676" t="str">
        <f ca="1">IF(ROWS($1:9)&gt;COUNT(Dong13),"",OFFSET(TH!C$1,SMALL(Dong13,ROWS($1:9)),))</f>
        <v/>
      </c>
      <c r="B24" s="676" t="str">
        <f ca="1">IF(ROWS($1:9)&gt;COUNT(Dong13),"",OFFSET(TH!D$1,SMALL(Dong13,ROWS($1:9)),))</f>
        <v/>
      </c>
      <c r="C24" s="676" t="str">
        <f ca="1">IF(ROWS($1:9)&gt;COUNT(Dong13),"",OFFSET(TH!E$1,SMALL(Dong13,ROWS($1:9)),))</f>
        <v/>
      </c>
      <c r="D24" s="677" t="str">
        <f ca="1">IF(ROWS($1:9)&gt;COUNT(Dong13),"",OFFSET(TH!F$1,SMALL(Dong13,ROWS($1:9)),))</f>
        <v/>
      </c>
      <c r="E24" s="676" t="str">
        <f ca="1">IF(ROWS($1:9)&gt;COUNT(Dong13),"",OFFSET(TH!M$1,SMALL(Dong13,ROWS($1:9)),))</f>
        <v/>
      </c>
      <c r="F24" s="755" t="str">
        <f ca="1">IF(ROWS($1:9)&gt;COUNT(Dong13),"",OFFSET(TH!K$1,SMALL(Dong13,ROWS($1:9)),))</f>
        <v/>
      </c>
      <c r="G24" s="678">
        <f t="shared" ca="1" si="0"/>
        <v>0</v>
      </c>
      <c r="H24" s="678">
        <f t="shared" ca="1" si="0"/>
        <v>0</v>
      </c>
      <c r="I24" s="678" t="str">
        <f t="shared" ca="1" si="0"/>
        <v/>
      </c>
      <c r="J24" s="678" t="str">
        <f t="shared" ca="1" si="0"/>
        <v/>
      </c>
      <c r="K24" s="678" t="str">
        <f t="shared" ca="1" si="1"/>
        <v/>
      </c>
      <c r="L24" s="678" t="str">
        <f t="shared" ca="1" si="1"/>
        <v/>
      </c>
    </row>
    <row r="25" spans="1:12" ht="21.75" customHeight="1">
      <c r="A25" s="676" t="str">
        <f ca="1">IF(ROWS($1:10)&gt;COUNT(Dong13),"",OFFSET(TH!C$1,SMALL(Dong13,ROWS($1:10)),))</f>
        <v/>
      </c>
      <c r="B25" s="676" t="str">
        <f ca="1">IF(ROWS($1:10)&gt;COUNT(Dong13),"",OFFSET(TH!D$1,SMALL(Dong13,ROWS($1:10)),))</f>
        <v/>
      </c>
      <c r="C25" s="676" t="str">
        <f ca="1">IF(ROWS($1:10)&gt;COUNT(Dong13),"",OFFSET(TH!E$1,SMALL(Dong13,ROWS($1:10)),))</f>
        <v/>
      </c>
      <c r="D25" s="677" t="str">
        <f ca="1">IF(ROWS($1:10)&gt;COUNT(Dong13),"",OFFSET(TH!F$1,SMALL(Dong13,ROWS($1:10)),))</f>
        <v/>
      </c>
      <c r="E25" s="676" t="str">
        <f ca="1">IF(ROWS($1:10)&gt;COUNT(Dong13),"",OFFSET(TH!M$1,SMALL(Dong13,ROWS($1:10)),))</f>
        <v/>
      </c>
      <c r="F25" s="755" t="str">
        <f ca="1">IF(ROWS($1:10)&gt;COUNT(Dong13),"",OFFSET(TH!K$1,SMALL(Dong13,ROWS($1:10)),))</f>
        <v/>
      </c>
      <c r="G25" s="678">
        <f t="shared" ca="1" si="0"/>
        <v>0</v>
      </c>
      <c r="H25" s="678">
        <f t="shared" ca="1" si="0"/>
        <v>0</v>
      </c>
      <c r="I25" s="678" t="str">
        <f t="shared" ca="1" si="0"/>
        <v/>
      </c>
      <c r="J25" s="678" t="str">
        <f t="shared" ca="1" si="0"/>
        <v/>
      </c>
      <c r="K25" s="678" t="str">
        <f t="shared" ca="1" si="1"/>
        <v/>
      </c>
      <c r="L25" s="678" t="str">
        <f t="shared" ca="1" si="1"/>
        <v/>
      </c>
    </row>
    <row r="26" spans="1:12" ht="21.75" customHeight="1">
      <c r="A26" s="676"/>
      <c r="B26" s="679"/>
      <c r="C26" s="676"/>
      <c r="D26" s="680"/>
      <c r="E26" s="681"/>
      <c r="F26" s="682"/>
      <c r="G26" s="682"/>
      <c r="H26" s="682"/>
      <c r="I26" s="682"/>
      <c r="J26" s="682"/>
      <c r="K26" s="682"/>
      <c r="L26" s="682"/>
    </row>
    <row r="27" spans="1:12" ht="21.75" customHeight="1">
      <c r="A27" s="676"/>
      <c r="B27" s="679"/>
      <c r="C27" s="676"/>
      <c r="D27" s="674" t="s">
        <v>133</v>
      </c>
      <c r="E27" s="673" t="s">
        <v>19</v>
      </c>
      <c r="F27" s="675">
        <f t="shared" ref="F27:L27" ca="1" si="2">SUM(F15:F26)</f>
        <v>4320744</v>
      </c>
      <c r="G27" s="675">
        <f t="shared" ca="1" si="2"/>
        <v>4320744</v>
      </c>
      <c r="H27" s="675">
        <f t="shared" ca="1" si="2"/>
        <v>0</v>
      </c>
      <c r="I27" s="675">
        <f t="shared" ca="1" si="2"/>
        <v>0</v>
      </c>
      <c r="J27" s="675">
        <f t="shared" ca="1" si="2"/>
        <v>0</v>
      </c>
      <c r="K27" s="675">
        <f t="shared" ca="1" si="2"/>
        <v>0</v>
      </c>
      <c r="L27" s="675">
        <f t="shared" ca="1" si="2"/>
        <v>0</v>
      </c>
    </row>
    <row r="28" spans="1:12" ht="21.75" customHeight="1">
      <c r="A28" s="683"/>
      <c r="B28" s="681"/>
      <c r="C28" s="683"/>
      <c r="D28" s="684" t="s">
        <v>398</v>
      </c>
      <c r="E28" s="679"/>
      <c r="F28" s="675">
        <f ca="1">SUM(G28:L28)</f>
        <v>4320744</v>
      </c>
      <c r="G28" s="685">
        <f t="shared" ref="G28:L28" ca="1" si="3">G27</f>
        <v>4320744</v>
      </c>
      <c r="H28" s="685">
        <f t="shared" ca="1" si="3"/>
        <v>0</v>
      </c>
      <c r="I28" s="685">
        <f t="shared" ca="1" si="3"/>
        <v>0</v>
      </c>
      <c r="J28" s="685">
        <f t="shared" ca="1" si="3"/>
        <v>0</v>
      </c>
      <c r="K28" s="685">
        <f t="shared" ca="1" si="3"/>
        <v>0</v>
      </c>
      <c r="L28" s="685">
        <f t="shared" ca="1" si="3"/>
        <v>0</v>
      </c>
    </row>
    <row r="29" spans="1:12" ht="21.75" customHeight="1">
      <c r="A29" s="686"/>
      <c r="B29" s="686"/>
      <c r="C29" s="686"/>
      <c r="D29" s="687" t="s">
        <v>10</v>
      </c>
      <c r="E29" s="686" t="s">
        <v>19</v>
      </c>
      <c r="F29" s="688">
        <f t="shared" ref="F29:L29" ca="1" si="4">F15+F27-F28</f>
        <v>0</v>
      </c>
      <c r="G29" s="688">
        <f t="shared" ca="1" si="4"/>
        <v>0</v>
      </c>
      <c r="H29" s="688">
        <f t="shared" ca="1" si="4"/>
        <v>0</v>
      </c>
      <c r="I29" s="688">
        <f t="shared" ca="1" si="4"/>
        <v>0</v>
      </c>
      <c r="J29" s="688">
        <f t="shared" ca="1" si="4"/>
        <v>0</v>
      </c>
      <c r="K29" s="688">
        <f t="shared" ca="1" si="4"/>
        <v>0</v>
      </c>
      <c r="L29" s="688">
        <f t="shared" ca="1" si="4"/>
        <v>0</v>
      </c>
    </row>
    <row r="31" spans="1:12">
      <c r="B31" s="689"/>
      <c r="C31" s="669" t="s">
        <v>382</v>
      </c>
    </row>
    <row r="32" spans="1:12">
      <c r="C32" s="669" t="str">
        <f ca="1">"- Ngày mở sổ: "&amp;"01/"&amp;MONTH(A16)&amp;"/"&amp;YEAR(A16)</f>
        <v>- Ngày mở sổ: 01/7/2015</v>
      </c>
    </row>
    <row r="33" spans="2:12">
      <c r="E33" s="668"/>
      <c r="F33" s="668"/>
      <c r="G33" s="668"/>
      <c r="H33" s="668"/>
      <c r="I33" s="668"/>
      <c r="J33" s="1129" t="str">
        <f ca="1">IF(OR($O$5=1,$O$5=4,$O$5=6,$O$5=9,$O$5=11),"Ngày  30  tháng  "&amp;$O$5&amp;"  năm "&amp;YEAR(A16),IF(OR($O$5=3,$O$5=5,$O$5=7,$O$5=8,$O$5=10,$O$5=12),"Ngày  31  tháng  "&amp;$O$5&amp;"  năm "&amp;YEAR(A16),"Ngày  28  tháng  "&amp;$O$5&amp;"  năm "&amp;YEAR(A16)))</f>
        <v>Ngày  30  tháng  9  năm 2015</v>
      </c>
      <c r="K33" s="1129"/>
      <c r="L33" s="1129"/>
    </row>
    <row r="34" spans="2:12">
      <c r="B34" s="668"/>
      <c r="C34" s="752" t="s">
        <v>11</v>
      </c>
      <c r="D34" s="668"/>
      <c r="E34" s="668"/>
      <c r="F34" s="668"/>
      <c r="G34" s="668"/>
      <c r="H34" s="668"/>
      <c r="I34" s="668"/>
      <c r="J34" s="1129" t="s">
        <v>12</v>
      </c>
      <c r="K34" s="1129"/>
      <c r="L34" s="1129"/>
    </row>
    <row r="35" spans="2:12">
      <c r="B35" s="668"/>
      <c r="C35" s="752" t="s">
        <v>13</v>
      </c>
      <c r="D35" s="668"/>
      <c r="E35" s="668"/>
      <c r="F35" s="668"/>
      <c r="G35" s="668"/>
      <c r="H35" s="668"/>
      <c r="I35" s="668"/>
      <c r="J35" s="1194" t="s">
        <v>13</v>
      </c>
      <c r="K35" s="1194"/>
      <c r="L35" s="1194"/>
    </row>
  </sheetData>
  <mergeCells count="17">
    <mergeCell ref="G12:L12"/>
    <mergeCell ref="H3:K4"/>
    <mergeCell ref="H2:K2"/>
    <mergeCell ref="J33:L33"/>
    <mergeCell ref="J34:L34"/>
    <mergeCell ref="J35:L35"/>
    <mergeCell ref="A5:L5"/>
    <mergeCell ref="A6:L6"/>
    <mergeCell ref="C10:L10"/>
    <mergeCell ref="A11:A13"/>
    <mergeCell ref="B11:C11"/>
    <mergeCell ref="D11:D13"/>
    <mergeCell ref="E11:E13"/>
    <mergeCell ref="F11:L11"/>
    <mergeCell ref="B12:B13"/>
    <mergeCell ref="C12:C13"/>
    <mergeCell ref="F12:F13"/>
  </mergeCells>
  <dataValidations count="1">
    <dataValidation type="list" allowBlank="1" showInputMessage="1" showErrorMessage="1" sqref="N13">
      <formula1>"All,Quý I, Quý II, Quý III, Quý IV"</formula1>
    </dataValidation>
  </dataValidations>
  <printOptions horizontalCentered="1"/>
  <pageMargins left="0.26" right="0" top="0.18" bottom="0.67" header="0.17" footer="0.19"/>
  <pageSetup scale="85" orientation="landscape" r:id="rId1"/>
  <headerFooter alignWithMargins="0">
    <oddFooter>&amp;R&amp;P/&amp;N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4"/>
  <sheetViews>
    <sheetView topLeftCell="A188" workbookViewId="0">
      <selection activeCell="K2" sqref="K2:K304"/>
    </sheetView>
  </sheetViews>
  <sheetFormatPr defaultRowHeight="12.75"/>
  <cols>
    <col min="3" max="3" width="27.85546875" customWidth="1"/>
    <col min="7" max="7" width="30.7109375" customWidth="1"/>
    <col min="10" max="10" width="10.5703125" customWidth="1"/>
    <col min="11" max="11" width="11.5703125" customWidth="1"/>
    <col min="12" max="12" width="34.85546875" customWidth="1"/>
    <col min="15" max="15" width="10.85546875" customWidth="1"/>
  </cols>
  <sheetData>
    <row r="1" spans="1:16">
      <c r="A1">
        <v>1</v>
      </c>
      <c r="B1">
        <v>2</v>
      </c>
      <c r="C1">
        <v>3</v>
      </c>
      <c r="D1">
        <v>4</v>
      </c>
      <c r="E1">
        <v>5</v>
      </c>
      <c r="F1">
        <v>6</v>
      </c>
      <c r="G1">
        <v>7</v>
      </c>
      <c r="H1">
        <v>8</v>
      </c>
      <c r="I1">
        <v>9</v>
      </c>
      <c r="J1">
        <v>10</v>
      </c>
      <c r="L1">
        <v>12</v>
      </c>
      <c r="M1">
        <v>13</v>
      </c>
      <c r="N1">
        <v>14</v>
      </c>
      <c r="O1">
        <v>15</v>
      </c>
      <c r="P1">
        <v>16</v>
      </c>
    </row>
    <row r="2" spans="1:16">
      <c r="C2" s="190" t="s">
        <v>499</v>
      </c>
      <c r="D2" s="25">
        <v>110</v>
      </c>
      <c r="E2" s="279">
        <v>13230</v>
      </c>
      <c r="F2" s="189">
        <v>42013</v>
      </c>
      <c r="G2" s="190" t="s">
        <v>499</v>
      </c>
      <c r="H2" s="813" t="s">
        <v>961</v>
      </c>
      <c r="I2" s="243">
        <v>20</v>
      </c>
      <c r="J2" s="243">
        <v>14700</v>
      </c>
      <c r="K2" s="419">
        <f>J2*I2</f>
        <v>294000</v>
      </c>
      <c r="L2" s="187" t="s">
        <v>1139</v>
      </c>
      <c r="M2" s="25">
        <v>15</v>
      </c>
      <c r="N2" s="279">
        <v>25000</v>
      </c>
      <c r="O2" s="817"/>
    </row>
    <row r="3" spans="1:16">
      <c r="C3" s="239"/>
      <c r="D3" s="239"/>
      <c r="E3" s="243"/>
      <c r="F3" s="189">
        <v>42021</v>
      </c>
      <c r="G3" s="190" t="s">
        <v>1176</v>
      </c>
      <c r="H3" s="813" t="s">
        <v>967</v>
      </c>
      <c r="I3" s="243">
        <v>425</v>
      </c>
      <c r="J3" s="243">
        <v>14950</v>
      </c>
      <c r="K3" s="419">
        <f t="shared" ref="K3:K66" si="0">J3*I3</f>
        <v>6353750</v>
      </c>
      <c r="L3" s="187" t="s">
        <v>504</v>
      </c>
      <c r="M3" s="25">
        <v>700</v>
      </c>
      <c r="N3" s="279">
        <v>9021</v>
      </c>
      <c r="O3" s="817"/>
    </row>
    <row r="4" spans="1:16">
      <c r="C4" s="239"/>
      <c r="D4" s="239"/>
      <c r="E4" s="243"/>
      <c r="F4" s="189">
        <v>42021</v>
      </c>
      <c r="G4" s="190" t="s">
        <v>1177</v>
      </c>
      <c r="H4" s="813" t="s">
        <v>967</v>
      </c>
      <c r="I4" s="243">
        <v>126</v>
      </c>
      <c r="J4" s="243">
        <v>16400</v>
      </c>
      <c r="K4" s="419">
        <f t="shared" si="0"/>
        <v>2066400</v>
      </c>
      <c r="L4" s="187" t="s">
        <v>505</v>
      </c>
      <c r="M4" s="25">
        <v>2000</v>
      </c>
      <c r="N4" s="279">
        <v>1953</v>
      </c>
      <c r="O4" s="817"/>
    </row>
    <row r="5" spans="1:16">
      <c r="C5" s="282"/>
      <c r="D5" s="243"/>
      <c r="E5" s="279"/>
      <c r="F5" s="189">
        <v>42027</v>
      </c>
      <c r="G5" s="190" t="s">
        <v>497</v>
      </c>
      <c r="H5" s="813" t="s">
        <v>968</v>
      </c>
      <c r="I5" s="243">
        <v>290</v>
      </c>
      <c r="J5" s="243">
        <v>45200</v>
      </c>
      <c r="K5" s="419">
        <f t="shared" si="0"/>
        <v>13108000</v>
      </c>
      <c r="L5" s="187" t="s">
        <v>503</v>
      </c>
      <c r="M5" s="25">
        <v>700</v>
      </c>
      <c r="N5" s="279">
        <v>2604</v>
      </c>
      <c r="O5" s="817"/>
    </row>
    <row r="6" spans="1:16">
      <c r="C6" s="239"/>
      <c r="D6" s="239"/>
      <c r="E6" s="243"/>
      <c r="F6" s="189">
        <v>42028</v>
      </c>
      <c r="G6" s="190" t="s">
        <v>1177</v>
      </c>
      <c r="H6" s="813" t="s">
        <v>969</v>
      </c>
      <c r="I6" s="243">
        <v>30</v>
      </c>
      <c r="J6" s="243">
        <v>16400</v>
      </c>
      <c r="K6" s="419">
        <f t="shared" si="0"/>
        <v>492000</v>
      </c>
      <c r="L6" s="187" t="s">
        <v>500</v>
      </c>
      <c r="M6" s="25">
        <v>700</v>
      </c>
      <c r="N6" s="279">
        <v>2883</v>
      </c>
      <c r="O6" s="817"/>
    </row>
    <row r="7" spans="1:16">
      <c r="C7" s="239"/>
      <c r="D7" s="239"/>
      <c r="E7" s="243"/>
      <c r="F7" s="189">
        <v>42028</v>
      </c>
      <c r="G7" s="190" t="s">
        <v>1178</v>
      </c>
      <c r="H7" s="813" t="s">
        <v>969</v>
      </c>
      <c r="I7" s="243">
        <v>42</v>
      </c>
      <c r="J7" s="243">
        <v>12700</v>
      </c>
      <c r="K7" s="419">
        <f t="shared" si="0"/>
        <v>533400</v>
      </c>
      <c r="L7" s="190" t="s">
        <v>501</v>
      </c>
      <c r="M7" s="25">
        <v>700</v>
      </c>
      <c r="N7" s="279">
        <v>6324</v>
      </c>
      <c r="O7" s="817"/>
    </row>
    <row r="8" spans="1:16">
      <c r="C8" s="239"/>
      <c r="D8" s="239"/>
      <c r="E8" s="243"/>
      <c r="F8" s="189">
        <v>42030</v>
      </c>
      <c r="G8" s="190" t="s">
        <v>1179</v>
      </c>
      <c r="H8" s="813" t="s">
        <v>542</v>
      </c>
      <c r="I8" s="243">
        <v>345</v>
      </c>
      <c r="J8" s="243">
        <v>6800</v>
      </c>
      <c r="K8" s="419">
        <f t="shared" si="0"/>
        <v>2346000</v>
      </c>
      <c r="L8" s="190" t="s">
        <v>506</v>
      </c>
      <c r="M8" s="25">
        <v>1000</v>
      </c>
      <c r="N8" s="279">
        <v>4185</v>
      </c>
      <c r="O8" s="189"/>
    </row>
    <row r="9" spans="1:16">
      <c r="C9" s="239"/>
      <c r="D9" s="239"/>
      <c r="E9" s="243"/>
      <c r="F9" s="189">
        <v>42030</v>
      </c>
      <c r="G9" s="190" t="s">
        <v>1180</v>
      </c>
      <c r="H9" s="813" t="s">
        <v>542</v>
      </c>
      <c r="I9" s="243">
        <v>276</v>
      </c>
      <c r="J9" s="243">
        <v>7300</v>
      </c>
      <c r="K9" s="419">
        <f t="shared" si="0"/>
        <v>2014800</v>
      </c>
      <c r="L9" s="187" t="s">
        <v>1140</v>
      </c>
      <c r="M9" s="25">
        <v>30</v>
      </c>
      <c r="N9" s="279">
        <v>28942</v>
      </c>
      <c r="O9" s="189"/>
    </row>
    <row r="10" spans="1:16">
      <c r="C10" s="239"/>
      <c r="D10" s="239"/>
      <c r="E10" s="243"/>
      <c r="F10" s="189">
        <v>42031</v>
      </c>
      <c r="G10" s="190" t="s">
        <v>1181</v>
      </c>
      <c r="H10" s="813" t="s">
        <v>971</v>
      </c>
      <c r="I10" s="243">
        <v>309</v>
      </c>
      <c r="J10" s="243">
        <v>6000</v>
      </c>
      <c r="K10" s="419">
        <f t="shared" si="0"/>
        <v>1854000</v>
      </c>
      <c r="L10" s="190" t="s">
        <v>1141</v>
      </c>
      <c r="M10" s="25">
        <v>452</v>
      </c>
      <c r="N10" s="279">
        <v>34728</v>
      </c>
      <c r="O10" s="189"/>
    </row>
    <row r="11" spans="1:16">
      <c r="C11" s="239"/>
      <c r="D11" s="239"/>
      <c r="E11" s="243"/>
      <c r="F11" s="189">
        <v>42034</v>
      </c>
      <c r="G11" s="190" t="s">
        <v>1182</v>
      </c>
      <c r="H11" s="813" t="s">
        <v>973</v>
      </c>
      <c r="I11" s="243">
        <v>128</v>
      </c>
      <c r="J11" s="243">
        <v>32200</v>
      </c>
      <c r="K11" s="419">
        <f t="shared" si="0"/>
        <v>4121600</v>
      </c>
      <c r="L11" s="282"/>
      <c r="M11" s="25"/>
      <c r="N11" s="279"/>
      <c r="O11" s="189"/>
    </row>
    <row r="12" spans="1:16">
      <c r="C12" s="239"/>
      <c r="D12" s="239"/>
      <c r="E12" s="243"/>
      <c r="F12" s="189">
        <v>42034</v>
      </c>
      <c r="G12" s="190" t="s">
        <v>1183</v>
      </c>
      <c r="H12" s="813" t="s">
        <v>973</v>
      </c>
      <c r="I12" s="243">
        <v>128</v>
      </c>
      <c r="J12" s="243">
        <v>62500</v>
      </c>
      <c r="K12" s="419">
        <f t="shared" si="0"/>
        <v>8000000</v>
      </c>
      <c r="L12" s="190"/>
      <c r="M12" s="25"/>
      <c r="N12" s="279"/>
      <c r="O12" s="189"/>
    </row>
    <row r="13" spans="1:16">
      <c r="C13" s="239"/>
      <c r="D13" s="239"/>
      <c r="E13" s="243"/>
      <c r="F13" s="189">
        <v>42034</v>
      </c>
      <c r="G13" s="190" t="s">
        <v>1184</v>
      </c>
      <c r="H13" s="813" t="s">
        <v>973</v>
      </c>
      <c r="I13" s="243">
        <v>256</v>
      </c>
      <c r="J13" s="243">
        <v>50800</v>
      </c>
      <c r="K13" s="419">
        <f t="shared" si="0"/>
        <v>13004800</v>
      </c>
      <c r="L13" s="190" t="s">
        <v>1142</v>
      </c>
      <c r="M13" s="25">
        <v>217</v>
      </c>
      <c r="N13" s="279">
        <v>13758.774193548386</v>
      </c>
      <c r="O13" s="189"/>
    </row>
    <row r="14" spans="1:16">
      <c r="C14" s="282"/>
      <c r="D14" s="243"/>
      <c r="E14" s="279"/>
      <c r="F14" s="189">
        <v>42041</v>
      </c>
      <c r="G14" s="190" t="s">
        <v>497</v>
      </c>
      <c r="H14" s="813" t="s">
        <v>976</v>
      </c>
      <c r="I14" s="243">
        <v>509</v>
      </c>
      <c r="J14" s="243">
        <v>45200</v>
      </c>
      <c r="K14" s="419">
        <f t="shared" si="0"/>
        <v>23006800</v>
      </c>
      <c r="L14" s="190"/>
      <c r="M14" s="25"/>
      <c r="N14" s="279"/>
      <c r="O14" s="189"/>
    </row>
    <row r="15" spans="1:16">
      <c r="C15" s="239"/>
      <c r="D15" s="239"/>
      <c r="E15" s="243"/>
      <c r="F15" s="189">
        <v>42041</v>
      </c>
      <c r="G15" s="190" t="s">
        <v>1185</v>
      </c>
      <c r="H15" s="813" t="s">
        <v>976</v>
      </c>
      <c r="I15" s="243">
        <v>20</v>
      </c>
      <c r="J15" s="243">
        <v>66700</v>
      </c>
      <c r="K15" s="419">
        <f t="shared" si="0"/>
        <v>1334000</v>
      </c>
      <c r="L15" s="190" t="s">
        <v>1143</v>
      </c>
      <c r="M15" s="25">
        <v>700</v>
      </c>
      <c r="N15" s="279">
        <v>19285.8</v>
      </c>
      <c r="O15" s="239"/>
    </row>
    <row r="16" spans="1:16">
      <c r="C16" s="239"/>
      <c r="D16" s="239"/>
      <c r="E16" s="243"/>
      <c r="F16" s="189">
        <v>42041</v>
      </c>
      <c r="G16" s="190" t="s">
        <v>1186</v>
      </c>
      <c r="H16" s="813" t="s">
        <v>976</v>
      </c>
      <c r="I16" s="243">
        <v>90</v>
      </c>
      <c r="J16" s="243">
        <v>27500</v>
      </c>
      <c r="K16" s="419">
        <f t="shared" si="0"/>
        <v>2475000</v>
      </c>
      <c r="L16" s="190"/>
      <c r="M16" s="243"/>
      <c r="N16" s="764"/>
      <c r="O16" s="239"/>
    </row>
    <row r="17" spans="3:15">
      <c r="C17" s="282" t="s">
        <v>497</v>
      </c>
      <c r="D17" s="243">
        <v>40</v>
      </c>
      <c r="E17" s="279">
        <v>40680</v>
      </c>
      <c r="F17" s="189">
        <v>42071</v>
      </c>
      <c r="G17" s="190" t="s">
        <v>497</v>
      </c>
      <c r="H17" s="813" t="s">
        <v>978</v>
      </c>
      <c r="I17" s="243"/>
      <c r="J17" s="243">
        <v>46000</v>
      </c>
      <c r="K17" s="419">
        <f t="shared" si="0"/>
        <v>0</v>
      </c>
      <c r="L17" s="190"/>
      <c r="M17" s="243"/>
      <c r="N17" s="764"/>
      <c r="O17" s="239"/>
    </row>
    <row r="18" spans="3:15">
      <c r="C18" s="190" t="s">
        <v>498</v>
      </c>
      <c r="D18" s="25">
        <v>600</v>
      </c>
      <c r="E18" s="279">
        <v>6030</v>
      </c>
      <c r="F18" s="189">
        <v>42079</v>
      </c>
      <c r="G18" s="190" t="s">
        <v>498</v>
      </c>
      <c r="H18" s="813" t="s">
        <v>979</v>
      </c>
      <c r="I18" s="243"/>
      <c r="J18" s="243">
        <v>6700</v>
      </c>
      <c r="K18" s="419">
        <f t="shared" si="0"/>
        <v>0</v>
      </c>
      <c r="L18" s="239"/>
      <c r="M18" s="239"/>
      <c r="N18" s="239"/>
      <c r="O18" s="239"/>
    </row>
    <row r="19" spans="3:15">
      <c r="C19" s="282" t="s">
        <v>497</v>
      </c>
      <c r="D19" s="243">
        <v>120</v>
      </c>
      <c r="E19" s="279">
        <v>40680</v>
      </c>
      <c r="F19" s="189">
        <v>42081</v>
      </c>
      <c r="G19" s="190" t="s">
        <v>497</v>
      </c>
      <c r="H19" s="813" t="s">
        <v>980</v>
      </c>
      <c r="I19" s="243"/>
      <c r="J19" s="243">
        <v>45200</v>
      </c>
      <c r="K19" s="419">
        <f t="shared" si="0"/>
        <v>0</v>
      </c>
      <c r="L19" s="239"/>
      <c r="M19" s="239"/>
      <c r="N19" s="239"/>
      <c r="O19" s="239"/>
    </row>
    <row r="20" spans="3:15">
      <c r="C20" s="239"/>
      <c r="D20" s="243"/>
      <c r="E20" s="243"/>
      <c r="F20" s="189">
        <v>42083</v>
      </c>
      <c r="G20" s="190" t="s">
        <v>499</v>
      </c>
      <c r="H20" s="813" t="s">
        <v>981</v>
      </c>
      <c r="I20" s="243">
        <v>110</v>
      </c>
      <c r="J20" s="243">
        <v>14700</v>
      </c>
      <c r="K20" s="419">
        <f t="shared" si="0"/>
        <v>1617000</v>
      </c>
      <c r="L20" s="239"/>
      <c r="M20" s="239"/>
      <c r="N20" s="239"/>
      <c r="O20" s="239"/>
    </row>
    <row r="21" spans="3:15">
      <c r="C21" s="282" t="s">
        <v>497</v>
      </c>
      <c r="D21" s="243">
        <v>400</v>
      </c>
      <c r="E21" s="279">
        <v>40680</v>
      </c>
      <c r="F21" s="189">
        <v>42093</v>
      </c>
      <c r="G21" s="190" t="s">
        <v>497</v>
      </c>
      <c r="H21" s="813" t="s">
        <v>983</v>
      </c>
      <c r="I21" s="243"/>
      <c r="J21" s="243">
        <v>45000</v>
      </c>
      <c r="K21" s="419">
        <f t="shared" si="0"/>
        <v>0</v>
      </c>
      <c r="L21" s="239"/>
      <c r="M21" s="239"/>
      <c r="N21" s="239"/>
      <c r="O21" s="239"/>
    </row>
    <row r="22" spans="3:15">
      <c r="C22" s="282" t="s">
        <v>497</v>
      </c>
      <c r="D22" s="243">
        <v>378</v>
      </c>
      <c r="E22" s="279">
        <v>40680</v>
      </c>
      <c r="F22" s="189">
        <v>42094</v>
      </c>
      <c r="G22" s="190" t="s">
        <v>497</v>
      </c>
      <c r="H22" s="813" t="s">
        <v>984</v>
      </c>
      <c r="I22" s="243"/>
      <c r="J22" s="243">
        <v>45000</v>
      </c>
      <c r="K22" s="419">
        <f t="shared" si="0"/>
        <v>0</v>
      </c>
      <c r="L22" s="239"/>
      <c r="M22" s="239"/>
      <c r="N22" s="239"/>
      <c r="O22" s="239"/>
    </row>
    <row r="23" spans="3:15">
      <c r="K23" s="419">
        <f t="shared" si="0"/>
        <v>0</v>
      </c>
    </row>
    <row r="24" spans="3:15">
      <c r="K24" s="419"/>
    </row>
    <row r="25" spans="3:15">
      <c r="C25" s="187" t="s">
        <v>500</v>
      </c>
      <c r="D25" s="25">
        <v>700</v>
      </c>
      <c r="E25" s="279">
        <v>2883</v>
      </c>
      <c r="F25" s="189">
        <v>42097</v>
      </c>
      <c r="G25" s="190" t="s">
        <v>500</v>
      </c>
      <c r="H25" s="813" t="s">
        <v>1111</v>
      </c>
      <c r="I25" s="243"/>
      <c r="J25" s="243">
        <v>3100</v>
      </c>
      <c r="K25" s="419">
        <f t="shared" si="0"/>
        <v>0</v>
      </c>
      <c r="L25" s="190"/>
      <c r="M25" s="25"/>
      <c r="N25" s="279"/>
    </row>
    <row r="26" spans="3:15">
      <c r="C26" s="187" t="s">
        <v>503</v>
      </c>
      <c r="D26" s="25">
        <v>700</v>
      </c>
      <c r="E26" s="279">
        <v>2604</v>
      </c>
      <c r="F26" s="189">
        <v>42097</v>
      </c>
      <c r="G26" s="190" t="s">
        <v>503</v>
      </c>
      <c r="H26" s="813" t="s">
        <v>1111</v>
      </c>
      <c r="I26" s="243"/>
      <c r="J26" s="243">
        <v>2800</v>
      </c>
      <c r="K26" s="419">
        <f t="shared" si="0"/>
        <v>0</v>
      </c>
      <c r="L26" s="187"/>
      <c r="M26" s="25"/>
      <c r="N26" s="279"/>
      <c r="O26" s="419">
        <f>M26*N26</f>
        <v>0</v>
      </c>
    </row>
    <row r="27" spans="3:15">
      <c r="C27" s="190" t="s">
        <v>501</v>
      </c>
      <c r="D27" s="25">
        <v>700</v>
      </c>
      <c r="E27" s="279">
        <v>6324</v>
      </c>
      <c r="F27" s="189">
        <v>42097</v>
      </c>
      <c r="G27" s="190" t="s">
        <v>501</v>
      </c>
      <c r="H27" s="813" t="s">
        <v>1111</v>
      </c>
      <c r="I27" s="243"/>
      <c r="J27" s="243">
        <v>6120</v>
      </c>
      <c r="K27" s="419">
        <f t="shared" si="0"/>
        <v>0</v>
      </c>
      <c r="L27" s="187"/>
      <c r="M27" s="25"/>
      <c r="N27" s="279"/>
      <c r="O27" s="419">
        <f t="shared" ref="O27:O36" si="1">M27*N27</f>
        <v>0</v>
      </c>
    </row>
    <row r="28" spans="3:15">
      <c r="C28" s="187" t="s">
        <v>504</v>
      </c>
      <c r="D28" s="25">
        <v>700</v>
      </c>
      <c r="E28" s="279">
        <v>9021</v>
      </c>
      <c r="F28" s="189">
        <v>42097</v>
      </c>
      <c r="G28" s="190" t="s">
        <v>504</v>
      </c>
      <c r="H28" s="813" t="s">
        <v>1111</v>
      </c>
      <c r="I28" s="243"/>
      <c r="J28" s="243">
        <v>9700</v>
      </c>
      <c r="K28" s="419">
        <f t="shared" si="0"/>
        <v>0</v>
      </c>
      <c r="L28" s="187"/>
      <c r="M28" s="25"/>
      <c r="N28" s="279"/>
      <c r="O28" s="419">
        <f t="shared" si="1"/>
        <v>0</v>
      </c>
    </row>
    <row r="29" spans="3:15">
      <c r="C29" s="190" t="s">
        <v>506</v>
      </c>
      <c r="D29" s="25">
        <v>1000</v>
      </c>
      <c r="E29" s="279">
        <v>4185</v>
      </c>
      <c r="F29" s="189">
        <v>42097</v>
      </c>
      <c r="G29" s="190" t="s">
        <v>506</v>
      </c>
      <c r="H29" s="813" t="s">
        <v>1111</v>
      </c>
      <c r="I29" s="243"/>
      <c r="J29" s="243">
        <v>4500</v>
      </c>
      <c r="K29" s="419">
        <f t="shared" si="0"/>
        <v>0</v>
      </c>
      <c r="L29" s="187"/>
      <c r="M29" s="25"/>
      <c r="N29" s="279"/>
      <c r="O29" s="419">
        <f t="shared" si="1"/>
        <v>0</v>
      </c>
    </row>
    <row r="30" spans="3:15">
      <c r="C30" s="187" t="s">
        <v>505</v>
      </c>
      <c r="D30" s="25">
        <v>2000</v>
      </c>
      <c r="E30" s="279">
        <v>1953</v>
      </c>
      <c r="F30" s="189">
        <v>42097</v>
      </c>
      <c r="G30" s="190" t="s">
        <v>505</v>
      </c>
      <c r="H30" s="813" t="s">
        <v>1111</v>
      </c>
      <c r="I30" s="243"/>
      <c r="J30" s="243">
        <v>2100</v>
      </c>
      <c r="K30" s="419">
        <f t="shared" si="0"/>
        <v>0</v>
      </c>
      <c r="L30" s="187"/>
      <c r="M30" s="25"/>
      <c r="N30" s="279"/>
      <c r="O30" s="419">
        <f t="shared" si="1"/>
        <v>0</v>
      </c>
    </row>
    <row r="31" spans="3:15">
      <c r="C31" s="190" t="s">
        <v>1187</v>
      </c>
      <c r="D31" s="25">
        <v>6000</v>
      </c>
      <c r="E31" s="279">
        <v>205</v>
      </c>
      <c r="F31" s="189">
        <v>42097</v>
      </c>
      <c r="G31" s="190" t="s">
        <v>1187</v>
      </c>
      <c r="H31" s="813" t="s">
        <v>1111</v>
      </c>
      <c r="I31" s="243"/>
      <c r="J31" s="243">
        <v>260</v>
      </c>
      <c r="K31" s="419">
        <f t="shared" si="0"/>
        <v>0</v>
      </c>
      <c r="L31" s="190"/>
      <c r="M31" s="25"/>
      <c r="N31" s="279"/>
      <c r="O31" s="419">
        <f t="shared" si="1"/>
        <v>0</v>
      </c>
    </row>
    <row r="32" spans="3:15">
      <c r="F32" s="189">
        <v>42097</v>
      </c>
      <c r="G32" s="190" t="s">
        <v>503</v>
      </c>
      <c r="H32" s="813" t="s">
        <v>905</v>
      </c>
      <c r="I32" s="243">
        <v>52</v>
      </c>
      <c r="J32" s="243">
        <v>2800</v>
      </c>
      <c r="K32" s="419">
        <f t="shared" si="0"/>
        <v>145600</v>
      </c>
      <c r="L32" s="190"/>
      <c r="M32" s="25"/>
      <c r="N32" s="279"/>
      <c r="O32" s="419">
        <f t="shared" si="1"/>
        <v>0</v>
      </c>
    </row>
    <row r="33" spans="6:15">
      <c r="F33" s="189">
        <v>42100</v>
      </c>
      <c r="G33" s="190" t="s">
        <v>713</v>
      </c>
      <c r="H33" s="813" t="s">
        <v>985</v>
      </c>
      <c r="I33" s="243">
        <v>450</v>
      </c>
      <c r="J33" s="243">
        <v>15000</v>
      </c>
      <c r="K33" s="419">
        <f t="shared" si="0"/>
        <v>6750000</v>
      </c>
      <c r="L33" s="187"/>
      <c r="M33" s="25"/>
      <c r="N33" s="279"/>
      <c r="O33" s="419">
        <f t="shared" si="1"/>
        <v>0</v>
      </c>
    </row>
    <row r="34" spans="6:15">
      <c r="F34" s="189">
        <v>42100</v>
      </c>
      <c r="G34" s="190" t="s">
        <v>1188</v>
      </c>
      <c r="H34" s="813" t="s">
        <v>985</v>
      </c>
      <c r="I34" s="243">
        <v>210</v>
      </c>
      <c r="J34" s="243">
        <v>14300</v>
      </c>
      <c r="K34" s="419">
        <f t="shared" si="0"/>
        <v>3003000</v>
      </c>
      <c r="L34" s="190" t="s">
        <v>1141</v>
      </c>
      <c r="M34" s="25">
        <v>452</v>
      </c>
      <c r="N34" s="279">
        <v>34728</v>
      </c>
      <c r="O34" s="419">
        <f t="shared" si="1"/>
        <v>15697056</v>
      </c>
    </row>
    <row r="35" spans="6:15">
      <c r="F35" s="189">
        <v>42108</v>
      </c>
      <c r="G35" s="190" t="s">
        <v>1189</v>
      </c>
      <c r="H35" s="813" t="s">
        <v>569</v>
      </c>
      <c r="I35" s="243">
        <v>285</v>
      </c>
      <c r="J35" s="243">
        <v>32000</v>
      </c>
      <c r="K35" s="419">
        <f t="shared" si="0"/>
        <v>9120000</v>
      </c>
      <c r="L35" s="190"/>
      <c r="M35" s="25"/>
      <c r="N35" s="279"/>
      <c r="O35" s="419"/>
    </row>
    <row r="36" spans="6:15">
      <c r="F36" s="189">
        <v>42108</v>
      </c>
      <c r="G36" s="190" t="s">
        <v>1190</v>
      </c>
      <c r="H36" s="813" t="s">
        <v>569</v>
      </c>
      <c r="I36" s="243">
        <v>133</v>
      </c>
      <c r="J36" s="243">
        <v>22600</v>
      </c>
      <c r="K36" s="419">
        <f t="shared" si="0"/>
        <v>3005800</v>
      </c>
      <c r="L36" s="190" t="s">
        <v>1143</v>
      </c>
      <c r="M36" s="25">
        <v>700</v>
      </c>
      <c r="N36" s="279">
        <v>19285.8</v>
      </c>
      <c r="O36" s="419">
        <f t="shared" si="1"/>
        <v>13500060</v>
      </c>
    </row>
    <row r="37" spans="6:15">
      <c r="F37" s="189">
        <v>42131</v>
      </c>
      <c r="G37" s="190" t="s">
        <v>1191</v>
      </c>
      <c r="H37" s="813" t="s">
        <v>987</v>
      </c>
      <c r="I37" s="243">
        <v>200</v>
      </c>
      <c r="J37" s="243">
        <v>4200</v>
      </c>
      <c r="K37" s="419">
        <f t="shared" si="0"/>
        <v>840000</v>
      </c>
    </row>
    <row r="38" spans="6:15">
      <c r="F38" s="189">
        <v>42131</v>
      </c>
      <c r="G38" s="190" t="s">
        <v>1192</v>
      </c>
      <c r="H38" s="813" t="s">
        <v>987</v>
      </c>
      <c r="I38" s="243">
        <v>300</v>
      </c>
      <c r="J38" s="243">
        <v>5200</v>
      </c>
      <c r="K38" s="419">
        <f t="shared" si="0"/>
        <v>1560000</v>
      </c>
    </row>
    <row r="39" spans="6:15">
      <c r="F39" s="189">
        <v>42131</v>
      </c>
      <c r="G39" s="190" t="s">
        <v>1193</v>
      </c>
      <c r="H39" s="813" t="s">
        <v>987</v>
      </c>
      <c r="I39" s="243">
        <v>200</v>
      </c>
      <c r="J39" s="243">
        <v>8400</v>
      </c>
      <c r="K39" s="419">
        <f t="shared" si="0"/>
        <v>1680000</v>
      </c>
    </row>
    <row r="40" spans="6:15">
      <c r="F40" s="189">
        <v>42131</v>
      </c>
      <c r="G40" s="190" t="s">
        <v>1194</v>
      </c>
      <c r="H40" s="813" t="s">
        <v>987</v>
      </c>
      <c r="I40" s="243">
        <v>200</v>
      </c>
      <c r="J40" s="243">
        <v>7800</v>
      </c>
      <c r="K40" s="419">
        <f t="shared" si="0"/>
        <v>1560000</v>
      </c>
    </row>
    <row r="41" spans="6:15">
      <c r="F41" s="189">
        <v>42131</v>
      </c>
      <c r="G41" s="190" t="s">
        <v>1195</v>
      </c>
      <c r="H41" s="813" t="s">
        <v>987</v>
      </c>
      <c r="I41" s="243">
        <v>200</v>
      </c>
      <c r="J41" s="243">
        <v>8800</v>
      </c>
      <c r="K41" s="419">
        <f t="shared" si="0"/>
        <v>1760000</v>
      </c>
    </row>
    <row r="42" spans="6:15">
      <c r="F42" s="189">
        <v>42158</v>
      </c>
      <c r="G42" s="190" t="s">
        <v>1196</v>
      </c>
      <c r="H42" s="813" t="s">
        <v>991</v>
      </c>
      <c r="I42" s="243">
        <v>500</v>
      </c>
      <c r="J42" s="243">
        <v>11300</v>
      </c>
      <c r="K42" s="419">
        <f t="shared" si="0"/>
        <v>5650000</v>
      </c>
    </row>
    <row r="43" spans="6:15">
      <c r="F43" s="189">
        <v>42170</v>
      </c>
      <c r="G43" s="190" t="s">
        <v>1197</v>
      </c>
      <c r="H43" s="813" t="s">
        <v>993</v>
      </c>
      <c r="I43" s="243">
        <v>900</v>
      </c>
      <c r="J43" s="243">
        <v>2400</v>
      </c>
      <c r="K43" s="419">
        <f t="shared" si="0"/>
        <v>2160000</v>
      </c>
    </row>
    <row r="44" spans="6:15">
      <c r="F44" s="189">
        <v>42175</v>
      </c>
      <c r="G44" s="190" t="s">
        <v>1183</v>
      </c>
      <c r="H44" s="813" t="s">
        <v>995</v>
      </c>
      <c r="I44" s="243">
        <v>8</v>
      </c>
      <c r="J44" s="243">
        <v>70000</v>
      </c>
      <c r="K44" s="419">
        <f t="shared" si="0"/>
        <v>560000</v>
      </c>
    </row>
    <row r="45" spans="6:15">
      <c r="F45" s="189">
        <v>42175</v>
      </c>
      <c r="G45" s="190" t="s">
        <v>1198</v>
      </c>
      <c r="H45" s="813" t="s">
        <v>995</v>
      </c>
      <c r="I45" s="243">
        <v>8</v>
      </c>
      <c r="J45" s="243">
        <v>61000</v>
      </c>
      <c r="K45" s="419">
        <f t="shared" si="0"/>
        <v>488000</v>
      </c>
    </row>
    <row r="46" spans="6:15">
      <c r="F46" s="189">
        <v>42175</v>
      </c>
      <c r="G46" s="190" t="s">
        <v>1199</v>
      </c>
      <c r="H46" s="813" t="s">
        <v>995</v>
      </c>
      <c r="I46" s="243">
        <v>10</v>
      </c>
      <c r="J46" s="243">
        <v>96000</v>
      </c>
      <c r="K46" s="419">
        <f t="shared" si="0"/>
        <v>960000</v>
      </c>
    </row>
    <row r="47" spans="6:15">
      <c r="F47" s="189">
        <v>42175</v>
      </c>
      <c r="G47" s="190" t="s">
        <v>1200</v>
      </c>
      <c r="H47" s="813" t="s">
        <v>995</v>
      </c>
      <c r="I47" s="243">
        <v>50</v>
      </c>
      <c r="J47" s="243">
        <v>67000</v>
      </c>
      <c r="K47" s="419">
        <f t="shared" si="0"/>
        <v>3350000</v>
      </c>
    </row>
    <row r="48" spans="6:15">
      <c r="F48" s="189">
        <v>42181</v>
      </c>
      <c r="G48" s="190" t="s">
        <v>1189</v>
      </c>
      <c r="H48" s="813" t="s">
        <v>996</v>
      </c>
      <c r="I48" s="243">
        <v>384</v>
      </c>
      <c r="J48" s="243">
        <v>32000</v>
      </c>
      <c r="K48" s="419">
        <f t="shared" si="0"/>
        <v>12288000</v>
      </c>
    </row>
    <row r="49" spans="3:11">
      <c r="F49" s="189">
        <v>42181</v>
      </c>
      <c r="G49" s="190" t="s">
        <v>1183</v>
      </c>
      <c r="H49" s="813" t="s">
        <v>997</v>
      </c>
      <c r="I49" s="243">
        <v>15</v>
      </c>
      <c r="J49" s="243">
        <v>70000</v>
      </c>
      <c r="K49" s="419">
        <f t="shared" si="0"/>
        <v>1050000</v>
      </c>
    </row>
    <row r="50" spans="3:11">
      <c r="F50" s="189">
        <v>42181</v>
      </c>
      <c r="G50" s="190" t="s">
        <v>1199</v>
      </c>
      <c r="H50" s="813" t="s">
        <v>997</v>
      </c>
      <c r="I50" s="243">
        <v>6</v>
      </c>
      <c r="J50" s="243">
        <v>86000</v>
      </c>
      <c r="K50" s="419">
        <f t="shared" si="0"/>
        <v>516000</v>
      </c>
    </row>
    <row r="51" spans="3:11">
      <c r="F51" s="189">
        <v>42181</v>
      </c>
      <c r="G51" s="190" t="s">
        <v>1200</v>
      </c>
      <c r="H51" s="813" t="s">
        <v>997</v>
      </c>
      <c r="I51" s="243">
        <v>55</v>
      </c>
      <c r="J51" s="243">
        <v>67000</v>
      </c>
      <c r="K51" s="419">
        <f t="shared" si="0"/>
        <v>3685000</v>
      </c>
    </row>
    <row r="52" spans="3:11">
      <c r="C52" s="187" t="s">
        <v>1139</v>
      </c>
      <c r="D52" s="25">
        <v>15</v>
      </c>
      <c r="E52" s="279">
        <v>25000</v>
      </c>
      <c r="F52" s="821">
        <v>42185</v>
      </c>
      <c r="G52" s="822" t="s">
        <v>1139</v>
      </c>
      <c r="H52" s="829" t="s">
        <v>998</v>
      </c>
      <c r="I52" s="825"/>
      <c r="J52" s="825">
        <v>25000</v>
      </c>
      <c r="K52" s="419">
        <f t="shared" si="0"/>
        <v>0</v>
      </c>
    </row>
    <row r="53" spans="3:11">
      <c r="C53" s="822" t="s">
        <v>1141</v>
      </c>
      <c r="D53" s="825">
        <v>22</v>
      </c>
      <c r="E53" s="279">
        <v>34728</v>
      </c>
      <c r="F53" s="821">
        <v>42185</v>
      </c>
      <c r="G53" s="822" t="s">
        <v>1141</v>
      </c>
      <c r="H53" s="829" t="s">
        <v>998</v>
      </c>
      <c r="I53" s="825"/>
      <c r="J53" s="825">
        <v>32068.2</v>
      </c>
      <c r="K53" s="419">
        <f t="shared" si="0"/>
        <v>0</v>
      </c>
    </row>
    <row r="54" spans="3:11">
      <c r="C54" s="822" t="s">
        <v>1143</v>
      </c>
      <c r="D54" s="825">
        <v>45</v>
      </c>
      <c r="E54" s="279">
        <v>19285.8</v>
      </c>
      <c r="F54" s="821">
        <v>42185</v>
      </c>
      <c r="G54" s="822" t="s">
        <v>1143</v>
      </c>
      <c r="H54" s="829" t="s">
        <v>998</v>
      </c>
      <c r="I54" s="825"/>
      <c r="J54" s="825">
        <v>19000</v>
      </c>
      <c r="K54" s="419">
        <f t="shared" si="0"/>
        <v>0</v>
      </c>
    </row>
    <row r="55" spans="3:11">
      <c r="C55" s="187" t="s">
        <v>1140</v>
      </c>
      <c r="D55" s="25">
        <v>30</v>
      </c>
      <c r="E55" s="279">
        <v>28942</v>
      </c>
      <c r="F55" s="821">
        <v>42185</v>
      </c>
      <c r="G55" s="822" t="s">
        <v>1140</v>
      </c>
      <c r="H55" s="829" t="s">
        <v>998</v>
      </c>
      <c r="I55" s="825"/>
      <c r="J55" s="825">
        <v>29000</v>
      </c>
      <c r="K55" s="419">
        <f t="shared" si="0"/>
        <v>0</v>
      </c>
    </row>
    <row r="56" spans="3:11">
      <c r="C56" s="190" t="s">
        <v>1142</v>
      </c>
      <c r="D56" s="25">
        <f>217</f>
        <v>217</v>
      </c>
      <c r="E56" s="279">
        <v>13758.774193548386</v>
      </c>
      <c r="F56" s="821">
        <v>42185</v>
      </c>
      <c r="G56" s="822" t="s">
        <v>1142</v>
      </c>
      <c r="H56" s="829" t="s">
        <v>998</v>
      </c>
      <c r="I56" s="825"/>
      <c r="J56" s="825">
        <v>13800</v>
      </c>
      <c r="K56" s="419">
        <f t="shared" si="0"/>
        <v>0</v>
      </c>
    </row>
    <row r="57" spans="3:11">
      <c r="F57" s="189">
        <v>42185</v>
      </c>
      <c r="G57" s="190" t="s">
        <v>572</v>
      </c>
      <c r="H57" s="813" t="s">
        <v>1000</v>
      </c>
      <c r="I57" s="243">
        <v>500</v>
      </c>
      <c r="J57" s="243">
        <v>16449</v>
      </c>
      <c r="K57" s="419">
        <f t="shared" si="0"/>
        <v>8224500</v>
      </c>
    </row>
    <row r="58" spans="3:11">
      <c r="F58" s="189">
        <v>42185</v>
      </c>
      <c r="G58" s="190" t="s">
        <v>573</v>
      </c>
      <c r="H58" s="813" t="s">
        <v>1000</v>
      </c>
      <c r="I58" s="243">
        <v>500</v>
      </c>
      <c r="J58" s="243">
        <v>17297</v>
      </c>
      <c r="K58" s="419">
        <f t="shared" si="0"/>
        <v>8648500</v>
      </c>
    </row>
    <row r="59" spans="3:11">
      <c r="F59" s="189">
        <v>42185</v>
      </c>
      <c r="G59" s="190" t="s">
        <v>570</v>
      </c>
      <c r="H59" s="813" t="s">
        <v>1001</v>
      </c>
      <c r="I59" s="243">
        <v>400</v>
      </c>
      <c r="J59" s="243">
        <v>25258</v>
      </c>
      <c r="K59" s="419">
        <f t="shared" si="0"/>
        <v>10103200</v>
      </c>
    </row>
    <row r="60" spans="3:11">
      <c r="F60" s="189">
        <v>42185</v>
      </c>
      <c r="G60" s="190" t="s">
        <v>571</v>
      </c>
      <c r="H60" s="813" t="s">
        <v>1001</v>
      </c>
      <c r="I60" s="243">
        <v>600</v>
      </c>
      <c r="J60" s="243">
        <v>12406</v>
      </c>
      <c r="K60" s="419">
        <f t="shared" si="0"/>
        <v>7443600</v>
      </c>
    </row>
    <row r="61" spans="3:11">
      <c r="F61" s="189">
        <v>42185</v>
      </c>
      <c r="G61" s="190" t="s">
        <v>574</v>
      </c>
      <c r="H61" s="813" t="s">
        <v>1002</v>
      </c>
      <c r="I61" s="243">
        <v>500</v>
      </c>
      <c r="J61" s="243">
        <v>15909</v>
      </c>
      <c r="K61" s="419">
        <f t="shared" si="0"/>
        <v>7954500</v>
      </c>
    </row>
    <row r="62" spans="3:11">
      <c r="F62" s="189">
        <v>42185</v>
      </c>
      <c r="G62" s="190" t="s">
        <v>575</v>
      </c>
      <c r="H62" s="813" t="s">
        <v>1002</v>
      </c>
      <c r="I62" s="243">
        <v>550</v>
      </c>
      <c r="J62" s="243">
        <v>16627</v>
      </c>
      <c r="K62" s="419">
        <f t="shared" si="0"/>
        <v>9144850</v>
      </c>
    </row>
    <row r="63" spans="3:11">
      <c r="F63" s="189">
        <v>42185</v>
      </c>
      <c r="G63" s="190" t="s">
        <v>578</v>
      </c>
      <c r="H63" s="813" t="s">
        <v>1003</v>
      </c>
      <c r="I63" s="243">
        <v>490</v>
      </c>
      <c r="J63" s="243">
        <v>22964</v>
      </c>
      <c r="K63" s="419">
        <f t="shared" si="0"/>
        <v>11252360</v>
      </c>
    </row>
    <row r="64" spans="3:11">
      <c r="F64" s="189">
        <v>42185</v>
      </c>
      <c r="G64" s="190" t="s">
        <v>576</v>
      </c>
      <c r="H64" s="813" t="s">
        <v>1003</v>
      </c>
      <c r="I64" s="243">
        <v>500</v>
      </c>
      <c r="J64" s="243">
        <v>13066</v>
      </c>
      <c r="K64" s="419">
        <f t="shared" si="0"/>
        <v>6533000</v>
      </c>
    </row>
    <row r="65" spans="3:14">
      <c r="F65" s="189">
        <v>42185</v>
      </c>
      <c r="G65" s="187" t="s">
        <v>520</v>
      </c>
      <c r="H65" s="813" t="s">
        <v>1004</v>
      </c>
      <c r="I65" s="243">
        <v>1300</v>
      </c>
      <c r="J65" s="243">
        <v>12745</v>
      </c>
      <c r="K65" s="419">
        <f t="shared" si="0"/>
        <v>16568500</v>
      </c>
    </row>
    <row r="66" spans="3:14">
      <c r="F66" s="189">
        <v>42185</v>
      </c>
      <c r="G66" s="190" t="s">
        <v>577</v>
      </c>
      <c r="H66" s="813" t="s">
        <v>1005</v>
      </c>
      <c r="I66" s="243">
        <v>700</v>
      </c>
      <c r="J66" s="243">
        <v>11246</v>
      </c>
      <c r="K66" s="419">
        <f t="shared" si="0"/>
        <v>7872200</v>
      </c>
    </row>
    <row r="67" spans="3:14">
      <c r="F67" s="189">
        <v>42185</v>
      </c>
      <c r="G67" s="190" t="s">
        <v>511</v>
      </c>
      <c r="H67" s="813" t="s">
        <v>1005</v>
      </c>
      <c r="I67" s="243">
        <v>753</v>
      </c>
      <c r="J67" s="243">
        <v>12633</v>
      </c>
      <c r="K67" s="419">
        <f t="shared" ref="K67:K130" si="2">J67*I67</f>
        <v>9512649</v>
      </c>
    </row>
    <row r="68" spans="3:14">
      <c r="F68" s="189">
        <v>42185</v>
      </c>
      <c r="G68" s="190" t="s">
        <v>570</v>
      </c>
      <c r="H68" s="813" t="s">
        <v>1006</v>
      </c>
      <c r="I68" s="243">
        <v>500</v>
      </c>
      <c r="J68" s="243">
        <v>25258</v>
      </c>
      <c r="K68" s="419">
        <f t="shared" si="2"/>
        <v>12629000</v>
      </c>
    </row>
    <row r="69" spans="3:14">
      <c r="F69" s="189">
        <v>42185</v>
      </c>
      <c r="G69" s="190" t="s">
        <v>571</v>
      </c>
      <c r="H69" s="813" t="s">
        <v>1006</v>
      </c>
      <c r="I69" s="243">
        <v>400</v>
      </c>
      <c r="J69" s="243">
        <v>12406</v>
      </c>
      <c r="K69" s="419">
        <f t="shared" si="2"/>
        <v>4962400</v>
      </c>
    </row>
    <row r="70" spans="3:14">
      <c r="F70" s="189">
        <v>42185</v>
      </c>
      <c r="G70" s="190" t="s">
        <v>570</v>
      </c>
      <c r="H70" s="813" t="s">
        <v>1007</v>
      </c>
      <c r="I70" s="243">
        <v>100</v>
      </c>
      <c r="J70" s="243">
        <v>25258</v>
      </c>
      <c r="K70" s="419">
        <f t="shared" si="2"/>
        <v>2525800</v>
      </c>
    </row>
    <row r="71" spans="3:14">
      <c r="F71" s="189">
        <v>42185</v>
      </c>
      <c r="G71" s="190" t="s">
        <v>576</v>
      </c>
      <c r="H71" s="813" t="s">
        <v>1007</v>
      </c>
      <c r="I71" s="243">
        <v>535</v>
      </c>
      <c r="J71" s="243">
        <v>13066</v>
      </c>
      <c r="K71" s="419">
        <f t="shared" si="2"/>
        <v>6990310</v>
      </c>
    </row>
    <row r="72" spans="3:14">
      <c r="F72" s="189">
        <v>42185</v>
      </c>
      <c r="G72" s="190" t="s">
        <v>1201</v>
      </c>
      <c r="H72" s="813" t="s">
        <v>1008</v>
      </c>
      <c r="I72" s="243">
        <v>100</v>
      </c>
      <c r="J72" s="243">
        <v>18650</v>
      </c>
      <c r="K72" s="419">
        <f t="shared" si="2"/>
        <v>1865000</v>
      </c>
    </row>
    <row r="73" spans="3:14">
      <c r="K73" s="419">
        <f t="shared" si="2"/>
        <v>0</v>
      </c>
    </row>
    <row r="74" spans="3:14">
      <c r="K74" s="419"/>
    </row>
    <row r="75" spans="3:14">
      <c r="F75" s="189">
        <v>42205</v>
      </c>
      <c r="G75" s="190" t="s">
        <v>1202</v>
      </c>
      <c r="H75" s="813" t="s">
        <v>1009</v>
      </c>
      <c r="I75" s="243">
        <v>50</v>
      </c>
      <c r="J75" s="243">
        <v>6000</v>
      </c>
      <c r="K75" s="419">
        <f t="shared" si="2"/>
        <v>300000</v>
      </c>
      <c r="L75" s="190"/>
      <c r="M75" s="25"/>
      <c r="N75" s="279"/>
    </row>
    <row r="76" spans="3:14">
      <c r="C76" s="190"/>
      <c r="D76" s="25"/>
      <c r="E76" s="279"/>
      <c r="F76" s="189">
        <v>42219</v>
      </c>
      <c r="G76" s="190" t="s">
        <v>697</v>
      </c>
      <c r="H76" s="813" t="s">
        <v>1012</v>
      </c>
      <c r="I76" s="243">
        <v>2000</v>
      </c>
      <c r="J76" s="243">
        <v>22000</v>
      </c>
      <c r="K76" s="419">
        <f t="shared" si="2"/>
        <v>44000000</v>
      </c>
      <c r="L76" s="190"/>
      <c r="M76" s="25"/>
      <c r="N76" s="279"/>
    </row>
    <row r="77" spans="3:14">
      <c r="F77" s="189">
        <v>42224</v>
      </c>
      <c r="G77" s="190" t="s">
        <v>845</v>
      </c>
      <c r="H77" s="813" t="s">
        <v>1013</v>
      </c>
      <c r="I77" s="243">
        <v>300</v>
      </c>
      <c r="J77" s="243">
        <v>17500</v>
      </c>
      <c r="K77" s="419">
        <f t="shared" si="2"/>
        <v>5250000</v>
      </c>
      <c r="L77" s="190"/>
      <c r="M77" s="25"/>
      <c r="N77" s="279"/>
    </row>
    <row r="78" spans="3:14">
      <c r="C78" s="190" t="s">
        <v>623</v>
      </c>
      <c r="D78" s="25">
        <v>500</v>
      </c>
      <c r="E78" s="279">
        <v>30920.138888888891</v>
      </c>
      <c r="F78" s="189">
        <v>42226</v>
      </c>
      <c r="G78" s="190" t="s">
        <v>623</v>
      </c>
      <c r="H78" s="813" t="s">
        <v>1015</v>
      </c>
      <c r="I78" s="243"/>
      <c r="J78" s="243">
        <v>32500</v>
      </c>
      <c r="K78" s="419">
        <f t="shared" si="2"/>
        <v>0</v>
      </c>
      <c r="L78" s="190"/>
      <c r="M78" s="25"/>
      <c r="N78" s="279"/>
    </row>
    <row r="79" spans="3:14">
      <c r="C79" s="190" t="s">
        <v>624</v>
      </c>
      <c r="D79" s="25">
        <v>500</v>
      </c>
      <c r="E79" s="279">
        <v>31155</v>
      </c>
      <c r="F79" s="189">
        <v>42228</v>
      </c>
      <c r="G79" s="190" t="s">
        <v>624</v>
      </c>
      <c r="H79" s="813" t="s">
        <v>1016</v>
      </c>
      <c r="I79" s="243"/>
      <c r="J79" s="243">
        <v>31700</v>
      </c>
      <c r="K79" s="419">
        <f t="shared" si="2"/>
        <v>0</v>
      </c>
      <c r="L79" s="190"/>
      <c r="M79" s="25"/>
      <c r="N79" s="279"/>
    </row>
    <row r="80" spans="3:14">
      <c r="C80" s="190" t="s">
        <v>620</v>
      </c>
      <c r="D80" s="243">
        <v>1000</v>
      </c>
      <c r="E80" s="243">
        <v>14250</v>
      </c>
      <c r="F80" s="189">
        <v>42231</v>
      </c>
      <c r="G80" s="190" t="s">
        <v>620</v>
      </c>
      <c r="H80" s="813" t="s">
        <v>1017</v>
      </c>
      <c r="I80" s="243"/>
      <c r="J80" s="243">
        <v>15000</v>
      </c>
      <c r="K80" s="419">
        <f t="shared" si="2"/>
        <v>0</v>
      </c>
      <c r="L80" s="190"/>
      <c r="M80" s="25"/>
      <c r="N80" s="279"/>
    </row>
    <row r="81" spans="3:14">
      <c r="C81" s="190" t="s">
        <v>621</v>
      </c>
      <c r="D81" s="243">
        <v>1000</v>
      </c>
      <c r="E81" s="243">
        <v>15675</v>
      </c>
      <c r="F81" s="189">
        <v>42233</v>
      </c>
      <c r="G81" s="190" t="s">
        <v>621</v>
      </c>
      <c r="H81" s="813" t="s">
        <v>1018</v>
      </c>
      <c r="I81" s="243"/>
      <c r="J81" s="243">
        <v>16500</v>
      </c>
      <c r="K81" s="419">
        <f t="shared" si="2"/>
        <v>0</v>
      </c>
      <c r="L81" s="190"/>
      <c r="M81" s="25"/>
      <c r="N81" s="279"/>
    </row>
    <row r="82" spans="3:14">
      <c r="C82" s="190" t="s">
        <v>621</v>
      </c>
      <c r="D82" s="243">
        <v>500</v>
      </c>
      <c r="E82" s="243">
        <v>15675</v>
      </c>
      <c r="F82" s="189">
        <v>42237</v>
      </c>
      <c r="G82" s="190" t="s">
        <v>621</v>
      </c>
      <c r="H82" s="813" t="s">
        <v>1020</v>
      </c>
      <c r="I82" s="243"/>
      <c r="J82" s="243">
        <v>16500</v>
      </c>
      <c r="K82" s="419">
        <f t="shared" si="2"/>
        <v>0</v>
      </c>
      <c r="L82" s="190"/>
      <c r="M82" s="25"/>
      <c r="N82" s="279"/>
    </row>
    <row r="83" spans="3:14">
      <c r="C83" s="190" t="s">
        <v>1203</v>
      </c>
      <c r="D83" s="25">
        <v>100</v>
      </c>
      <c r="E83" s="279">
        <v>10930</v>
      </c>
      <c r="F83" s="189">
        <v>42240</v>
      </c>
      <c r="G83" s="190" t="s">
        <v>1203</v>
      </c>
      <c r="H83" s="813" t="s">
        <v>1022</v>
      </c>
      <c r="I83" s="243"/>
      <c r="J83" s="243">
        <v>11330</v>
      </c>
      <c r="K83" s="419">
        <f t="shared" si="2"/>
        <v>0</v>
      </c>
      <c r="L83" s="190"/>
      <c r="M83" s="25"/>
      <c r="N83" s="279"/>
    </row>
    <row r="84" spans="3:14">
      <c r="C84" s="190" t="s">
        <v>1204</v>
      </c>
      <c r="D84" s="25">
        <v>500</v>
      </c>
      <c r="E84" s="279">
        <v>16670</v>
      </c>
      <c r="F84" s="189">
        <v>42240</v>
      </c>
      <c r="G84" s="190" t="s">
        <v>1204</v>
      </c>
      <c r="H84" s="813" t="s">
        <v>1022</v>
      </c>
      <c r="I84" s="243"/>
      <c r="J84" s="243">
        <v>17270</v>
      </c>
      <c r="K84" s="419">
        <f t="shared" si="2"/>
        <v>0</v>
      </c>
      <c r="L84" s="190" t="s">
        <v>1141</v>
      </c>
      <c r="M84" s="25">
        <v>430</v>
      </c>
      <c r="N84" s="279">
        <v>34728</v>
      </c>
    </row>
    <row r="85" spans="3:14">
      <c r="C85" s="190" t="s">
        <v>1205</v>
      </c>
      <c r="D85" s="25">
        <v>100</v>
      </c>
      <c r="E85" s="279">
        <v>19644</v>
      </c>
      <c r="F85" s="189">
        <v>42240</v>
      </c>
      <c r="G85" s="190" t="s">
        <v>1205</v>
      </c>
      <c r="H85" s="813" t="s">
        <v>1022</v>
      </c>
      <c r="I85" s="243"/>
      <c r="J85" s="243">
        <v>20120</v>
      </c>
      <c r="K85" s="419">
        <f t="shared" si="2"/>
        <v>0</v>
      </c>
      <c r="L85" s="190"/>
      <c r="M85" s="25"/>
      <c r="N85" s="279"/>
    </row>
    <row r="86" spans="3:14">
      <c r="C86" s="190" t="s">
        <v>625</v>
      </c>
      <c r="D86" s="25">
        <v>100</v>
      </c>
      <c r="E86" s="279">
        <v>24700</v>
      </c>
      <c r="F86" s="189">
        <v>42240</v>
      </c>
      <c r="G86" s="190" t="s">
        <v>625</v>
      </c>
      <c r="H86" s="813" t="s">
        <v>1022</v>
      </c>
      <c r="I86" s="243"/>
      <c r="J86" s="243">
        <v>25300</v>
      </c>
      <c r="K86" s="419">
        <f t="shared" si="2"/>
        <v>0</v>
      </c>
      <c r="L86" s="190"/>
      <c r="M86" s="25"/>
      <c r="N86" s="279"/>
    </row>
    <row r="87" spans="3:14">
      <c r="C87" s="190" t="s">
        <v>692</v>
      </c>
      <c r="D87" s="243">
        <v>100</v>
      </c>
      <c r="E87" s="279">
        <v>12668</v>
      </c>
      <c r="F87" s="189">
        <v>42248</v>
      </c>
      <c r="G87" s="190" t="s">
        <v>692</v>
      </c>
      <c r="H87" s="813" t="s">
        <v>1026</v>
      </c>
      <c r="I87" s="243"/>
      <c r="J87" s="243">
        <v>13300</v>
      </c>
      <c r="K87" s="419">
        <f t="shared" si="2"/>
        <v>0</v>
      </c>
      <c r="L87" s="190"/>
      <c r="M87" s="25"/>
      <c r="N87" s="279"/>
    </row>
    <row r="88" spans="3:14">
      <c r="C88" s="190" t="s">
        <v>693</v>
      </c>
      <c r="D88" s="243">
        <v>200</v>
      </c>
      <c r="E88" s="279">
        <v>5760</v>
      </c>
      <c r="F88" s="189">
        <v>42259</v>
      </c>
      <c r="G88" s="190" t="s">
        <v>693</v>
      </c>
      <c r="H88" s="813" t="s">
        <v>1028</v>
      </c>
      <c r="I88" s="243"/>
      <c r="J88" s="243">
        <v>6000</v>
      </c>
      <c r="K88" s="419">
        <f t="shared" si="2"/>
        <v>0</v>
      </c>
      <c r="L88" s="190"/>
      <c r="M88" s="25"/>
      <c r="N88" s="279"/>
    </row>
    <row r="89" spans="3:14">
      <c r="C89" s="190" t="s">
        <v>620</v>
      </c>
      <c r="D89" s="243">
        <v>400</v>
      </c>
      <c r="E89" s="243">
        <v>14250</v>
      </c>
      <c r="F89" s="189">
        <v>42259</v>
      </c>
      <c r="G89" s="190" t="s">
        <v>620</v>
      </c>
      <c r="H89" s="813" t="s">
        <v>1030</v>
      </c>
      <c r="I89" s="243"/>
      <c r="J89" s="243">
        <v>15000</v>
      </c>
      <c r="K89" s="419">
        <f t="shared" si="2"/>
        <v>0</v>
      </c>
      <c r="L89" s="190"/>
      <c r="M89" s="25"/>
      <c r="N89" s="279"/>
    </row>
    <row r="90" spans="3:14">
      <c r="C90" s="190" t="s">
        <v>624</v>
      </c>
      <c r="D90" s="243">
        <v>200</v>
      </c>
      <c r="E90" s="279">
        <v>31155</v>
      </c>
      <c r="F90" s="189">
        <v>42259</v>
      </c>
      <c r="G90" s="190" t="s">
        <v>624</v>
      </c>
      <c r="H90" s="813" t="s">
        <v>1030</v>
      </c>
      <c r="I90" s="243"/>
      <c r="J90" s="243">
        <v>31700</v>
      </c>
      <c r="K90" s="419">
        <f t="shared" si="2"/>
        <v>0</v>
      </c>
      <c r="L90" s="190" t="s">
        <v>1238</v>
      </c>
      <c r="M90" s="25">
        <v>2000</v>
      </c>
      <c r="N90" s="279">
        <v>11046</v>
      </c>
    </row>
    <row r="91" spans="3:14">
      <c r="C91" s="190" t="s">
        <v>692</v>
      </c>
      <c r="D91" s="243">
        <v>100</v>
      </c>
      <c r="E91" s="279">
        <v>12668</v>
      </c>
      <c r="F91" s="189">
        <v>42261</v>
      </c>
      <c r="G91" s="190" t="s">
        <v>692</v>
      </c>
      <c r="H91" s="813" t="s">
        <v>1031</v>
      </c>
      <c r="I91" s="243"/>
      <c r="J91" s="243">
        <v>13300</v>
      </c>
      <c r="K91" s="419">
        <f t="shared" si="2"/>
        <v>0</v>
      </c>
      <c r="L91" s="190"/>
      <c r="M91" s="25"/>
      <c r="N91" s="279"/>
    </row>
    <row r="92" spans="3:14">
      <c r="C92" s="190" t="s">
        <v>694</v>
      </c>
      <c r="D92" s="243">
        <v>106</v>
      </c>
      <c r="E92" s="279">
        <v>86178</v>
      </c>
      <c r="F92" s="189">
        <v>42262</v>
      </c>
      <c r="G92" s="190" t="s">
        <v>694</v>
      </c>
      <c r="H92" s="813" t="s">
        <v>1032</v>
      </c>
      <c r="I92" s="243"/>
      <c r="J92" s="243">
        <v>89769</v>
      </c>
      <c r="K92" s="419">
        <f t="shared" si="2"/>
        <v>0</v>
      </c>
      <c r="L92" s="190" t="s">
        <v>722</v>
      </c>
      <c r="M92" s="25">
        <v>650</v>
      </c>
      <c r="N92" s="279">
        <v>30700</v>
      </c>
    </row>
    <row r="93" spans="3:14">
      <c r="C93" s="190" t="s">
        <v>1208</v>
      </c>
      <c r="D93" s="243">
        <v>640</v>
      </c>
      <c r="E93" s="279">
        <v>576</v>
      </c>
      <c r="F93" s="189">
        <v>42262</v>
      </c>
      <c r="G93" s="190" t="s">
        <v>1208</v>
      </c>
      <c r="H93" s="813" t="s">
        <v>1032</v>
      </c>
      <c r="I93" s="243"/>
      <c r="J93" s="243">
        <v>600</v>
      </c>
      <c r="K93" s="419">
        <f t="shared" si="2"/>
        <v>0</v>
      </c>
      <c r="L93" s="190"/>
      <c r="M93" s="25"/>
      <c r="N93" s="279"/>
    </row>
    <row r="94" spans="3:14">
      <c r="C94" s="190" t="s">
        <v>695</v>
      </c>
      <c r="D94" s="243">
        <v>101</v>
      </c>
      <c r="E94" s="279">
        <v>122700</v>
      </c>
      <c r="F94" s="189">
        <v>42262</v>
      </c>
      <c r="G94" s="190" t="s">
        <v>695</v>
      </c>
      <c r="H94" s="813" t="s">
        <v>1032</v>
      </c>
      <c r="I94" s="243"/>
      <c r="J94" s="243">
        <v>133021</v>
      </c>
      <c r="K94" s="419">
        <f t="shared" si="2"/>
        <v>0</v>
      </c>
      <c r="L94" s="190"/>
      <c r="M94" s="25"/>
      <c r="N94" s="279"/>
    </row>
    <row r="95" spans="3:14">
      <c r="C95" s="190" t="s">
        <v>696</v>
      </c>
      <c r="D95" s="243">
        <v>151</v>
      </c>
      <c r="E95" s="279">
        <v>25056</v>
      </c>
      <c r="F95" s="189">
        <v>42262</v>
      </c>
      <c r="G95" s="190" t="s">
        <v>696</v>
      </c>
      <c r="H95" s="813" t="s">
        <v>1032</v>
      </c>
      <c r="I95" s="243"/>
      <c r="J95" s="243">
        <v>26100</v>
      </c>
      <c r="K95" s="419">
        <f t="shared" si="2"/>
        <v>0</v>
      </c>
      <c r="L95" s="190"/>
      <c r="M95" s="25"/>
      <c r="N95" s="279"/>
    </row>
    <row r="96" spans="3:14">
      <c r="C96" s="190" t="s">
        <v>1208</v>
      </c>
      <c r="D96" s="243">
        <v>908</v>
      </c>
      <c r="E96" s="279">
        <v>576</v>
      </c>
      <c r="F96" s="189">
        <v>42262</v>
      </c>
      <c r="G96" s="190" t="s">
        <v>1208</v>
      </c>
      <c r="H96" s="813" t="s">
        <v>1032</v>
      </c>
      <c r="I96" s="243"/>
      <c r="J96" s="243">
        <v>600</v>
      </c>
      <c r="K96" s="419">
        <f t="shared" si="2"/>
        <v>0</v>
      </c>
      <c r="L96" s="190"/>
      <c r="M96" s="25"/>
      <c r="N96" s="279"/>
    </row>
    <row r="97" spans="3:14">
      <c r="C97" s="190" t="s">
        <v>624</v>
      </c>
      <c r="D97" s="243">
        <v>200</v>
      </c>
      <c r="E97" s="279">
        <v>31155</v>
      </c>
      <c r="F97" s="189">
        <v>42262</v>
      </c>
      <c r="G97" s="190" t="s">
        <v>624</v>
      </c>
      <c r="H97" s="813" t="s">
        <v>1033</v>
      </c>
      <c r="I97" s="243"/>
      <c r="J97" s="243">
        <v>31700</v>
      </c>
      <c r="K97" s="419">
        <f t="shared" si="2"/>
        <v>0</v>
      </c>
      <c r="L97" s="190" t="s">
        <v>1143</v>
      </c>
      <c r="M97" s="25">
        <v>655</v>
      </c>
      <c r="N97" s="279">
        <v>19285.8</v>
      </c>
    </row>
    <row r="98" spans="3:14">
      <c r="C98" s="190" t="s">
        <v>623</v>
      </c>
      <c r="D98" s="243">
        <v>350</v>
      </c>
      <c r="E98" s="279">
        <v>30920.138888888891</v>
      </c>
      <c r="F98" s="189">
        <v>42262</v>
      </c>
      <c r="G98" s="190" t="s">
        <v>623</v>
      </c>
      <c r="H98" s="813" t="s">
        <v>1033</v>
      </c>
      <c r="I98" s="243"/>
      <c r="J98" s="243">
        <v>32500</v>
      </c>
      <c r="K98" s="419">
        <f t="shared" si="2"/>
        <v>0</v>
      </c>
      <c r="L98" s="190"/>
      <c r="M98" s="25"/>
      <c r="N98" s="279"/>
    </row>
    <row r="99" spans="3:14">
      <c r="C99" s="190" t="s">
        <v>697</v>
      </c>
      <c r="D99" s="243">
        <v>1500</v>
      </c>
      <c r="E99" s="279">
        <v>21600</v>
      </c>
      <c r="F99" s="189">
        <v>42265</v>
      </c>
      <c r="G99" s="190" t="s">
        <v>697</v>
      </c>
      <c r="H99" s="813" t="s">
        <v>1037</v>
      </c>
      <c r="I99" s="243"/>
      <c r="J99" s="243">
        <v>22500</v>
      </c>
      <c r="K99" s="419">
        <f t="shared" si="2"/>
        <v>0</v>
      </c>
      <c r="L99" s="190"/>
      <c r="M99" s="25"/>
      <c r="N99" s="279"/>
    </row>
    <row r="100" spans="3:14">
      <c r="C100" s="190" t="s">
        <v>698</v>
      </c>
      <c r="D100" s="243">
        <v>100</v>
      </c>
      <c r="E100" s="279">
        <v>91123</v>
      </c>
      <c r="F100" s="189">
        <v>42266</v>
      </c>
      <c r="G100" s="190" t="s">
        <v>698</v>
      </c>
      <c r="H100" s="813" t="s">
        <v>1038</v>
      </c>
      <c r="I100" s="243"/>
      <c r="J100" s="243">
        <v>94920</v>
      </c>
      <c r="K100" s="419">
        <f t="shared" si="2"/>
        <v>0</v>
      </c>
      <c r="L100" s="190"/>
      <c r="M100" s="25"/>
      <c r="N100" s="279"/>
    </row>
    <row r="101" spans="3:14">
      <c r="C101" s="190" t="s">
        <v>699</v>
      </c>
      <c r="D101" s="243">
        <v>100</v>
      </c>
      <c r="E101" s="279">
        <v>51293</v>
      </c>
      <c r="F101" s="189">
        <v>42266</v>
      </c>
      <c r="G101" s="190" t="s">
        <v>699</v>
      </c>
      <c r="H101" s="813" t="s">
        <v>1038</v>
      </c>
      <c r="I101" s="243"/>
      <c r="J101" s="243">
        <v>54472</v>
      </c>
      <c r="K101" s="419">
        <f t="shared" si="2"/>
        <v>0</v>
      </c>
      <c r="L101" s="190"/>
      <c r="M101" s="25"/>
      <c r="N101" s="279"/>
    </row>
    <row r="102" spans="3:14">
      <c r="C102" s="190" t="s">
        <v>1208</v>
      </c>
      <c r="D102" s="243">
        <v>320</v>
      </c>
      <c r="E102" s="279">
        <v>576</v>
      </c>
      <c r="F102" s="189">
        <v>42266</v>
      </c>
      <c r="G102" s="190" t="s">
        <v>1208</v>
      </c>
      <c r="H102" s="813" t="s">
        <v>1038</v>
      </c>
      <c r="I102" s="243"/>
      <c r="J102" s="243">
        <v>600</v>
      </c>
      <c r="K102" s="419">
        <f t="shared" si="2"/>
        <v>0</v>
      </c>
      <c r="L102" s="190"/>
      <c r="M102" s="25"/>
      <c r="N102" s="279"/>
    </row>
    <row r="103" spans="3:14">
      <c r="C103" s="190" t="s">
        <v>1207</v>
      </c>
      <c r="D103" s="243">
        <v>177</v>
      </c>
      <c r="E103" s="279">
        <v>1152</v>
      </c>
      <c r="F103" s="189">
        <v>42266</v>
      </c>
      <c r="G103" s="190" t="s">
        <v>1207</v>
      </c>
      <c r="H103" s="813" t="s">
        <v>1038</v>
      </c>
      <c r="I103" s="243"/>
      <c r="J103" s="243">
        <v>1200</v>
      </c>
      <c r="K103" s="419">
        <f t="shared" si="2"/>
        <v>0</v>
      </c>
      <c r="L103" s="190"/>
      <c r="M103" s="25"/>
      <c r="N103" s="279"/>
    </row>
    <row r="104" spans="3:14">
      <c r="C104" s="190" t="s">
        <v>1144</v>
      </c>
      <c r="D104" s="243">
        <v>160</v>
      </c>
      <c r="E104" s="279">
        <v>5760</v>
      </c>
      <c r="F104" s="189">
        <v>42266</v>
      </c>
      <c r="G104" s="190" t="s">
        <v>1144</v>
      </c>
      <c r="H104" s="813" t="s">
        <v>1038</v>
      </c>
      <c r="I104" s="243"/>
      <c r="J104" s="243">
        <v>6000</v>
      </c>
      <c r="K104" s="419">
        <f t="shared" si="2"/>
        <v>0</v>
      </c>
      <c r="L104" s="190"/>
      <c r="M104" s="25"/>
      <c r="N104" s="279"/>
    </row>
    <row r="105" spans="3:14">
      <c r="C105" s="190" t="s">
        <v>620</v>
      </c>
      <c r="D105" s="243">
        <v>800</v>
      </c>
      <c r="E105" s="243">
        <v>14250</v>
      </c>
      <c r="F105" s="189">
        <v>42266</v>
      </c>
      <c r="G105" s="190" t="s">
        <v>620</v>
      </c>
      <c r="H105" s="813" t="s">
        <v>1039</v>
      </c>
      <c r="I105" s="243"/>
      <c r="J105" s="243">
        <v>15000</v>
      </c>
      <c r="K105" s="419">
        <f t="shared" si="2"/>
        <v>0</v>
      </c>
      <c r="L105" s="190"/>
      <c r="M105" s="25"/>
      <c r="N105" s="279"/>
    </row>
    <row r="106" spans="3:14">
      <c r="C106" s="190" t="s">
        <v>711</v>
      </c>
      <c r="D106" s="243">
        <v>200</v>
      </c>
      <c r="E106" s="279">
        <v>6720</v>
      </c>
      <c r="F106" s="189">
        <v>42267</v>
      </c>
      <c r="G106" s="190" t="s">
        <v>711</v>
      </c>
      <c r="H106" s="813" t="s">
        <v>1040</v>
      </c>
      <c r="I106" s="243"/>
      <c r="J106" s="243">
        <v>7000</v>
      </c>
      <c r="K106" s="419">
        <f t="shared" si="2"/>
        <v>0</v>
      </c>
    </row>
    <row r="107" spans="3:14">
      <c r="C107" s="190" t="s">
        <v>701</v>
      </c>
      <c r="D107" s="243">
        <v>150</v>
      </c>
      <c r="E107" s="279">
        <v>285200</v>
      </c>
      <c r="F107" s="189">
        <v>42267</v>
      </c>
      <c r="G107" s="190" t="s">
        <v>701</v>
      </c>
      <c r="H107" s="813" t="s">
        <v>1041</v>
      </c>
      <c r="I107" s="243"/>
      <c r="J107" s="243">
        <v>310000</v>
      </c>
      <c r="K107" s="419">
        <f t="shared" si="2"/>
        <v>0</v>
      </c>
    </row>
    <row r="108" spans="3:14">
      <c r="C108" s="190" t="s">
        <v>709</v>
      </c>
      <c r="D108" s="243">
        <v>20</v>
      </c>
      <c r="E108" s="279">
        <v>16560</v>
      </c>
      <c r="F108" s="189">
        <v>42267</v>
      </c>
      <c r="G108" s="190" t="s">
        <v>709</v>
      </c>
      <c r="H108" s="813" t="s">
        <v>1041</v>
      </c>
      <c r="I108" s="243"/>
      <c r="J108" s="243">
        <v>18000</v>
      </c>
      <c r="K108" s="419">
        <f t="shared" si="2"/>
        <v>0</v>
      </c>
    </row>
    <row r="109" spans="3:14">
      <c r="C109" s="190" t="s">
        <v>621</v>
      </c>
      <c r="D109" s="243">
        <v>1000</v>
      </c>
      <c r="E109" s="243">
        <v>15675</v>
      </c>
      <c r="F109" s="189">
        <v>42268</v>
      </c>
      <c r="G109" s="190" t="s">
        <v>621</v>
      </c>
      <c r="H109" s="813" t="s">
        <v>1043</v>
      </c>
      <c r="I109" s="243"/>
      <c r="J109" s="243">
        <v>16500</v>
      </c>
      <c r="K109" s="419">
        <f t="shared" si="2"/>
        <v>0</v>
      </c>
    </row>
    <row r="110" spans="3:14">
      <c r="C110" s="190" t="s">
        <v>712</v>
      </c>
      <c r="D110" s="243">
        <v>350</v>
      </c>
      <c r="E110" s="279">
        <v>30835</v>
      </c>
      <c r="F110" s="189">
        <v>42269</v>
      </c>
      <c r="G110" s="190" t="s">
        <v>712</v>
      </c>
      <c r="H110" s="813" t="s">
        <v>1044</v>
      </c>
      <c r="I110" s="243"/>
      <c r="J110" s="243">
        <v>32120</v>
      </c>
      <c r="K110" s="419">
        <f t="shared" si="2"/>
        <v>0</v>
      </c>
    </row>
    <row r="111" spans="3:14">
      <c r="C111" s="190" t="s">
        <v>1260</v>
      </c>
      <c r="D111" s="243">
        <v>1000</v>
      </c>
      <c r="E111" s="279">
        <v>6045</v>
      </c>
      <c r="F111" s="189">
        <v>42269</v>
      </c>
      <c r="G111" s="190" t="s">
        <v>1260</v>
      </c>
      <c r="H111" s="813" t="s">
        <v>1044</v>
      </c>
      <c r="I111" s="243"/>
      <c r="J111" s="243">
        <v>6297</v>
      </c>
      <c r="K111" s="419">
        <f t="shared" si="2"/>
        <v>0</v>
      </c>
    </row>
    <row r="112" spans="3:14">
      <c r="C112" s="190" t="s">
        <v>713</v>
      </c>
      <c r="D112" s="243">
        <v>430</v>
      </c>
      <c r="E112" s="279">
        <v>14400</v>
      </c>
      <c r="F112" s="189">
        <v>42271</v>
      </c>
      <c r="G112" s="190" t="s">
        <v>713</v>
      </c>
      <c r="H112" s="813" t="s">
        <v>1047</v>
      </c>
      <c r="I112" s="243"/>
      <c r="J112" s="243">
        <v>15000</v>
      </c>
      <c r="K112" s="419">
        <f t="shared" si="2"/>
        <v>0</v>
      </c>
    </row>
    <row r="113" spans="3:15">
      <c r="C113" s="190" t="s">
        <v>713</v>
      </c>
      <c r="D113" s="243">
        <v>396</v>
      </c>
      <c r="E113" s="279">
        <v>14400</v>
      </c>
      <c r="F113" s="189">
        <v>42271</v>
      </c>
      <c r="G113" s="190" t="s">
        <v>713</v>
      </c>
      <c r="H113" s="813" t="s">
        <v>1047</v>
      </c>
      <c r="I113" s="243"/>
      <c r="J113" s="243">
        <v>15000</v>
      </c>
      <c r="K113" s="419">
        <f t="shared" si="2"/>
        <v>0</v>
      </c>
    </row>
    <row r="114" spans="3:15">
      <c r="C114" s="190" t="s">
        <v>623</v>
      </c>
      <c r="D114" s="243">
        <v>300</v>
      </c>
      <c r="E114" s="279">
        <v>30920.138888888891</v>
      </c>
      <c r="F114" s="189">
        <v>42272</v>
      </c>
      <c r="G114" s="190" t="s">
        <v>623</v>
      </c>
      <c r="H114" s="813" t="s">
        <v>1048</v>
      </c>
      <c r="I114" s="243"/>
      <c r="J114" s="243">
        <v>32500</v>
      </c>
      <c r="K114" s="419">
        <f t="shared" si="2"/>
        <v>0</v>
      </c>
    </row>
    <row r="115" spans="3:15">
      <c r="C115" s="190" t="s">
        <v>624</v>
      </c>
      <c r="D115" s="243">
        <v>250</v>
      </c>
      <c r="E115" s="279">
        <v>31155</v>
      </c>
      <c r="F115" s="189">
        <v>42272</v>
      </c>
      <c r="G115" s="190" t="s">
        <v>624</v>
      </c>
      <c r="H115" s="813" t="s">
        <v>1048</v>
      </c>
      <c r="I115" s="243"/>
      <c r="J115" s="243">
        <v>31700</v>
      </c>
      <c r="K115" s="419">
        <f t="shared" si="2"/>
        <v>0</v>
      </c>
    </row>
    <row r="116" spans="3:15">
      <c r="C116" s="190" t="s">
        <v>714</v>
      </c>
      <c r="D116" s="243">
        <v>100</v>
      </c>
      <c r="E116" s="279">
        <v>24000</v>
      </c>
      <c r="F116" s="189">
        <v>42273</v>
      </c>
      <c r="G116" s="190" t="s">
        <v>714</v>
      </c>
      <c r="H116" s="813" t="s">
        <v>1049</v>
      </c>
      <c r="I116" s="243"/>
      <c r="J116" s="243">
        <v>25000</v>
      </c>
      <c r="K116" s="419">
        <f t="shared" si="2"/>
        <v>0</v>
      </c>
    </row>
    <row r="117" spans="3:15">
      <c r="C117" s="190" t="s">
        <v>715</v>
      </c>
      <c r="D117" s="243">
        <v>280</v>
      </c>
      <c r="E117" s="279">
        <v>20544</v>
      </c>
      <c r="F117" s="189">
        <v>42273</v>
      </c>
      <c r="G117" s="190" t="s">
        <v>715</v>
      </c>
      <c r="H117" s="813" t="s">
        <v>1049</v>
      </c>
      <c r="I117" s="243"/>
      <c r="J117" s="243">
        <v>21400</v>
      </c>
      <c r="K117" s="419">
        <f t="shared" si="2"/>
        <v>0</v>
      </c>
    </row>
    <row r="118" spans="3:15">
      <c r="C118" s="190" t="s">
        <v>716</v>
      </c>
      <c r="D118" s="243">
        <v>225</v>
      </c>
      <c r="E118" s="279">
        <v>15148</v>
      </c>
      <c r="F118" s="189">
        <v>42274</v>
      </c>
      <c r="G118" s="190" t="s">
        <v>716</v>
      </c>
      <c r="H118" s="813" t="s">
        <v>1050</v>
      </c>
      <c r="I118" s="243"/>
      <c r="J118" s="243">
        <v>15780</v>
      </c>
      <c r="K118" s="419">
        <f t="shared" si="2"/>
        <v>0</v>
      </c>
    </row>
    <row r="119" spans="3:15">
      <c r="C119" s="190" t="s">
        <v>621</v>
      </c>
      <c r="D119" s="243">
        <v>700</v>
      </c>
      <c r="E119" s="243">
        <v>15675</v>
      </c>
      <c r="F119" s="189">
        <v>42275</v>
      </c>
      <c r="G119" s="190" t="s">
        <v>621</v>
      </c>
      <c r="H119" s="813" t="s">
        <v>1052</v>
      </c>
      <c r="I119" s="243"/>
      <c r="J119" s="243">
        <v>16500</v>
      </c>
      <c r="K119" s="419">
        <f t="shared" si="2"/>
        <v>0</v>
      </c>
    </row>
    <row r="120" spans="3:15">
      <c r="C120" s="190" t="s">
        <v>717</v>
      </c>
      <c r="D120" s="25">
        <v>30</v>
      </c>
      <c r="E120" s="279">
        <v>52550</v>
      </c>
      <c r="F120" s="189">
        <v>42276</v>
      </c>
      <c r="G120" s="190" t="s">
        <v>717</v>
      </c>
      <c r="H120" s="813" t="s">
        <v>924</v>
      </c>
      <c r="I120" s="243"/>
      <c r="J120" s="243">
        <v>54740</v>
      </c>
      <c r="K120" s="419">
        <f t="shared" si="2"/>
        <v>0</v>
      </c>
    </row>
    <row r="121" spans="3:15">
      <c r="C121" s="190" t="s">
        <v>718</v>
      </c>
      <c r="D121" s="25">
        <v>33</v>
      </c>
      <c r="E121" s="279">
        <v>28671</v>
      </c>
      <c r="F121" s="189">
        <v>42276</v>
      </c>
      <c r="G121" s="190" t="s">
        <v>718</v>
      </c>
      <c r="H121" s="813" t="s">
        <v>924</v>
      </c>
      <c r="I121" s="243"/>
      <c r="J121" s="243">
        <v>29866</v>
      </c>
      <c r="K121" s="419">
        <f t="shared" si="2"/>
        <v>0</v>
      </c>
    </row>
    <row r="122" spans="3:15">
      <c r="C122" s="190" t="s">
        <v>719</v>
      </c>
      <c r="D122" s="25">
        <v>33</v>
      </c>
      <c r="E122" s="279">
        <v>37036</v>
      </c>
      <c r="F122" s="189">
        <v>42276</v>
      </c>
      <c r="G122" s="190" t="s">
        <v>719</v>
      </c>
      <c r="H122" s="811" t="s">
        <v>924</v>
      </c>
      <c r="I122" s="243"/>
      <c r="J122" s="243">
        <v>38580</v>
      </c>
      <c r="K122" s="419">
        <f t="shared" si="2"/>
        <v>0</v>
      </c>
    </row>
    <row r="123" spans="3:15">
      <c r="C123" s="190" t="s">
        <v>720</v>
      </c>
      <c r="D123" s="25">
        <v>33</v>
      </c>
      <c r="E123" s="279">
        <v>39953</v>
      </c>
      <c r="F123" s="189">
        <v>42276</v>
      </c>
      <c r="G123" s="190" t="s">
        <v>720</v>
      </c>
      <c r="H123" s="811" t="s">
        <v>924</v>
      </c>
      <c r="I123" s="243"/>
      <c r="J123" s="243">
        <v>41618</v>
      </c>
      <c r="K123" s="419">
        <f t="shared" si="2"/>
        <v>0</v>
      </c>
    </row>
    <row r="124" spans="3:15">
      <c r="C124" s="190" t="s">
        <v>721</v>
      </c>
      <c r="D124" s="25">
        <v>33</v>
      </c>
      <c r="E124" s="279">
        <v>49959</v>
      </c>
      <c r="F124" s="189">
        <v>42276</v>
      </c>
      <c r="G124" s="190" t="s">
        <v>721</v>
      </c>
      <c r="H124" s="811" t="s">
        <v>924</v>
      </c>
      <c r="I124" s="243"/>
      <c r="J124" s="243">
        <v>52041</v>
      </c>
      <c r="K124" s="419">
        <f t="shared" si="2"/>
        <v>0</v>
      </c>
    </row>
    <row r="125" spans="3:15">
      <c r="K125" s="419">
        <f t="shared" si="2"/>
        <v>0</v>
      </c>
    </row>
    <row r="126" spans="3:15">
      <c r="K126" s="419">
        <f t="shared" si="2"/>
        <v>0</v>
      </c>
    </row>
    <row r="127" spans="3:15">
      <c r="K127" s="419"/>
      <c r="O127" s="837"/>
    </row>
    <row r="128" spans="3:15">
      <c r="C128" s="190"/>
      <c r="D128" s="243"/>
      <c r="E128" s="243"/>
      <c r="F128" s="189">
        <v>42282</v>
      </c>
      <c r="G128" s="190" t="s">
        <v>692</v>
      </c>
      <c r="H128" s="811" t="s">
        <v>1054</v>
      </c>
      <c r="I128" s="243">
        <v>200</v>
      </c>
      <c r="J128" s="243">
        <v>13300</v>
      </c>
      <c r="K128" s="419">
        <f t="shared" si="2"/>
        <v>2660000</v>
      </c>
      <c r="O128" s="279"/>
    </row>
    <row r="129" spans="3:16">
      <c r="C129" s="190" t="s">
        <v>750</v>
      </c>
      <c r="D129" s="25">
        <v>45</v>
      </c>
      <c r="E129" s="279">
        <v>384000</v>
      </c>
      <c r="F129" s="189">
        <v>42283</v>
      </c>
      <c r="G129" s="190" t="s">
        <v>750</v>
      </c>
      <c r="H129" s="811" t="s">
        <v>1055</v>
      </c>
      <c r="I129" s="243"/>
      <c r="J129" s="243">
        <v>400000</v>
      </c>
      <c r="K129" s="419">
        <f t="shared" si="2"/>
        <v>0</v>
      </c>
      <c r="O129" s="279"/>
    </row>
    <row r="130" spans="3:16">
      <c r="C130" s="190" t="s">
        <v>751</v>
      </c>
      <c r="D130" s="25">
        <v>22</v>
      </c>
      <c r="E130" s="279">
        <v>84883</v>
      </c>
      <c r="F130" s="189">
        <v>42284</v>
      </c>
      <c r="G130" s="190" t="s">
        <v>751</v>
      </c>
      <c r="H130" s="811" t="s">
        <v>1059</v>
      </c>
      <c r="I130" s="243"/>
      <c r="J130" s="243">
        <v>88420</v>
      </c>
      <c r="K130" s="419">
        <f t="shared" si="2"/>
        <v>0</v>
      </c>
      <c r="O130" s="279"/>
    </row>
    <row r="131" spans="3:16">
      <c r="C131" s="190" t="s">
        <v>752</v>
      </c>
      <c r="D131" s="25">
        <v>40</v>
      </c>
      <c r="E131" s="279">
        <v>48309</v>
      </c>
      <c r="F131" s="189">
        <v>42284</v>
      </c>
      <c r="G131" s="190" t="s">
        <v>752</v>
      </c>
      <c r="H131" s="811" t="s">
        <v>1059</v>
      </c>
      <c r="I131" s="243"/>
      <c r="J131" s="243">
        <v>50322</v>
      </c>
      <c r="K131" s="419">
        <f t="shared" ref="K131:K194" si="3">J131*I131</f>
        <v>0</v>
      </c>
      <c r="O131" s="279"/>
    </row>
    <row r="132" spans="3:16">
      <c r="C132" s="190" t="s">
        <v>1208</v>
      </c>
      <c r="D132" s="25">
        <v>44</v>
      </c>
      <c r="E132" s="279">
        <v>576</v>
      </c>
      <c r="F132" s="189">
        <v>42284</v>
      </c>
      <c r="G132" s="190" t="s">
        <v>1208</v>
      </c>
      <c r="H132" s="811" t="s">
        <v>1059</v>
      </c>
      <c r="I132" s="243"/>
      <c r="J132" s="243">
        <v>600</v>
      </c>
      <c r="K132" s="419">
        <f t="shared" si="3"/>
        <v>0</v>
      </c>
      <c r="O132" s="279"/>
    </row>
    <row r="133" spans="3:16">
      <c r="C133" s="190" t="s">
        <v>1207</v>
      </c>
      <c r="D133" s="25">
        <v>22</v>
      </c>
      <c r="E133" s="279">
        <v>1152</v>
      </c>
      <c r="F133" s="189">
        <v>42284</v>
      </c>
      <c r="G133" s="190" t="s">
        <v>1207</v>
      </c>
      <c r="H133" s="811" t="s">
        <v>1059</v>
      </c>
      <c r="I133" s="243"/>
      <c r="J133" s="243">
        <v>1200</v>
      </c>
      <c r="K133" s="419">
        <f t="shared" si="3"/>
        <v>0</v>
      </c>
      <c r="O133" s="279"/>
    </row>
    <row r="134" spans="3:16">
      <c r="C134" s="190" t="s">
        <v>1144</v>
      </c>
      <c r="D134" s="25">
        <v>22</v>
      </c>
      <c r="E134" s="279">
        <v>5700</v>
      </c>
      <c r="F134" s="189">
        <v>42284</v>
      </c>
      <c r="G134" s="190" t="s">
        <v>1144</v>
      </c>
      <c r="H134" s="811" t="s">
        <v>1059</v>
      </c>
      <c r="I134" s="243"/>
      <c r="J134" s="243">
        <v>6000</v>
      </c>
      <c r="K134" s="419">
        <f t="shared" si="3"/>
        <v>0</v>
      </c>
      <c r="O134" s="279"/>
    </row>
    <row r="135" spans="3:16">
      <c r="F135" s="189">
        <v>42285</v>
      </c>
      <c r="G135" s="190" t="s">
        <v>1209</v>
      </c>
      <c r="H135" s="811" t="s">
        <v>1062</v>
      </c>
      <c r="I135" s="243">
        <v>800</v>
      </c>
      <c r="J135" s="243">
        <v>9800</v>
      </c>
      <c r="K135" s="419">
        <f t="shared" si="3"/>
        <v>7840000</v>
      </c>
      <c r="O135" s="279"/>
      <c r="P135" s="841"/>
    </row>
    <row r="136" spans="3:16">
      <c r="F136" s="189">
        <v>42288</v>
      </c>
      <c r="G136" s="190" t="s">
        <v>714</v>
      </c>
      <c r="H136" s="811" t="s">
        <v>1065</v>
      </c>
      <c r="I136" s="243">
        <v>60</v>
      </c>
      <c r="J136" s="243">
        <v>25000</v>
      </c>
      <c r="K136" s="419">
        <f t="shared" si="3"/>
        <v>1500000</v>
      </c>
      <c r="O136" s="279"/>
    </row>
    <row r="137" spans="3:16">
      <c r="F137" s="189">
        <v>42288</v>
      </c>
      <c r="G137" s="190" t="s">
        <v>1210</v>
      </c>
      <c r="H137" s="811" t="s">
        <v>1065</v>
      </c>
      <c r="I137" s="243">
        <v>190</v>
      </c>
      <c r="J137" s="243">
        <v>21400</v>
      </c>
      <c r="K137" s="419">
        <f t="shared" si="3"/>
        <v>4066000</v>
      </c>
      <c r="O137" s="279"/>
    </row>
    <row r="138" spans="3:16">
      <c r="C138" s="190" t="s">
        <v>753</v>
      </c>
      <c r="D138" s="25">
        <v>122</v>
      </c>
      <c r="E138" s="279">
        <v>12336</v>
      </c>
      <c r="F138" s="189">
        <v>42289</v>
      </c>
      <c r="G138" s="190" t="s">
        <v>753</v>
      </c>
      <c r="H138" s="811" t="s">
        <v>1066</v>
      </c>
      <c r="I138" s="243"/>
      <c r="J138" s="243">
        <v>12850</v>
      </c>
      <c r="K138" s="419">
        <f t="shared" si="3"/>
        <v>0</v>
      </c>
      <c r="O138" s="279"/>
    </row>
    <row r="139" spans="3:16">
      <c r="C139" s="190" t="s">
        <v>754</v>
      </c>
      <c r="D139" s="25">
        <v>122</v>
      </c>
      <c r="E139" s="279">
        <v>17741</v>
      </c>
      <c r="F139" s="189">
        <v>42289</v>
      </c>
      <c r="G139" s="190" t="s">
        <v>754</v>
      </c>
      <c r="H139" s="811" t="s">
        <v>1066</v>
      </c>
      <c r="I139" s="243"/>
      <c r="J139" s="243">
        <v>18480</v>
      </c>
      <c r="K139" s="419">
        <f t="shared" si="3"/>
        <v>0</v>
      </c>
      <c r="O139" s="279"/>
    </row>
    <row r="140" spans="3:16">
      <c r="C140" s="190" t="s">
        <v>755</v>
      </c>
      <c r="D140" s="25">
        <v>122</v>
      </c>
      <c r="E140" s="279">
        <v>22358</v>
      </c>
      <c r="F140" s="189">
        <v>42289</v>
      </c>
      <c r="G140" s="190" t="s">
        <v>755</v>
      </c>
      <c r="H140" s="811" t="s">
        <v>1066</v>
      </c>
      <c r="I140" s="243"/>
      <c r="J140" s="243">
        <v>23290</v>
      </c>
      <c r="K140" s="419">
        <f t="shared" si="3"/>
        <v>0</v>
      </c>
      <c r="O140" s="279"/>
    </row>
    <row r="141" spans="3:16">
      <c r="F141" s="189">
        <v>42289</v>
      </c>
      <c r="G141" s="190" t="s">
        <v>1209</v>
      </c>
      <c r="H141" s="811" t="s">
        <v>1067</v>
      </c>
      <c r="I141" s="243">
        <v>1200</v>
      </c>
      <c r="J141" s="243">
        <v>9800</v>
      </c>
      <c r="K141" s="419">
        <f t="shared" si="3"/>
        <v>11760000</v>
      </c>
      <c r="O141" s="279"/>
    </row>
    <row r="142" spans="3:16">
      <c r="F142" s="189">
        <v>42290</v>
      </c>
      <c r="G142" s="190" t="s">
        <v>1211</v>
      </c>
      <c r="H142" s="811" t="s">
        <v>1068</v>
      </c>
      <c r="I142" s="243">
        <v>5</v>
      </c>
      <c r="J142" s="243">
        <v>265497</v>
      </c>
      <c r="K142" s="419">
        <f t="shared" si="3"/>
        <v>1327485</v>
      </c>
      <c r="O142" s="279"/>
    </row>
    <row r="143" spans="3:16">
      <c r="F143" s="189">
        <v>42290</v>
      </c>
      <c r="G143" s="190" t="s">
        <v>1212</v>
      </c>
      <c r="H143" s="811" t="s">
        <v>1068</v>
      </c>
      <c r="I143" s="243">
        <v>7</v>
      </c>
      <c r="J143" s="243">
        <v>144585</v>
      </c>
      <c r="K143" s="419">
        <f t="shared" si="3"/>
        <v>1012095</v>
      </c>
      <c r="O143" s="279"/>
    </row>
    <row r="144" spans="3:16">
      <c r="F144" s="189">
        <v>42290</v>
      </c>
      <c r="G144" s="190" t="s">
        <v>1213</v>
      </c>
      <c r="H144" s="811" t="s">
        <v>1068</v>
      </c>
      <c r="I144" s="243">
        <v>3</v>
      </c>
      <c r="J144" s="243">
        <v>193781</v>
      </c>
      <c r="K144" s="419">
        <f t="shared" si="3"/>
        <v>581343</v>
      </c>
      <c r="O144" s="279"/>
    </row>
    <row r="145" spans="3:16">
      <c r="F145" s="189">
        <v>42290</v>
      </c>
      <c r="G145" s="190" t="s">
        <v>1185</v>
      </c>
      <c r="H145" s="811" t="s">
        <v>1068</v>
      </c>
      <c r="I145" s="243">
        <v>15</v>
      </c>
      <c r="J145" s="243">
        <v>76931</v>
      </c>
      <c r="K145" s="419">
        <f t="shared" si="3"/>
        <v>1153965</v>
      </c>
      <c r="L145" s="190"/>
      <c r="M145" s="25"/>
      <c r="N145" s="279"/>
      <c r="O145" s="279"/>
    </row>
    <row r="146" spans="3:16">
      <c r="F146" s="189">
        <v>42290</v>
      </c>
      <c r="G146" s="190" t="s">
        <v>1214</v>
      </c>
      <c r="H146" s="811" t="s">
        <v>1068</v>
      </c>
      <c r="I146" s="243">
        <v>12</v>
      </c>
      <c r="J146" s="243">
        <v>320749</v>
      </c>
      <c r="K146" s="419">
        <f t="shared" si="3"/>
        <v>3848988</v>
      </c>
      <c r="L146" s="190"/>
      <c r="M146" s="25"/>
      <c r="N146" s="279"/>
      <c r="O146" s="279"/>
    </row>
    <row r="147" spans="3:16">
      <c r="F147" s="189">
        <v>42290</v>
      </c>
      <c r="G147" s="190" t="s">
        <v>1215</v>
      </c>
      <c r="H147" s="811" t="s">
        <v>1068</v>
      </c>
      <c r="I147" s="243">
        <v>17</v>
      </c>
      <c r="J147" s="243">
        <v>155049</v>
      </c>
      <c r="K147" s="419">
        <f t="shared" si="3"/>
        <v>2635833</v>
      </c>
      <c r="L147" s="190"/>
      <c r="M147" s="25"/>
      <c r="N147" s="279"/>
      <c r="O147" s="279"/>
    </row>
    <row r="148" spans="3:16">
      <c r="F148" s="189">
        <v>42290</v>
      </c>
      <c r="G148" s="190" t="s">
        <v>1216</v>
      </c>
      <c r="H148" s="811" t="s">
        <v>1068</v>
      </c>
      <c r="I148" s="243">
        <v>17</v>
      </c>
      <c r="J148" s="243">
        <v>39460</v>
      </c>
      <c r="K148" s="419">
        <f t="shared" si="3"/>
        <v>670820</v>
      </c>
      <c r="L148" s="190"/>
      <c r="M148" s="25"/>
      <c r="N148" s="279"/>
      <c r="O148" s="279">
        <f t="shared" ref="O148" si="4">N148*M148</f>
        <v>0</v>
      </c>
    </row>
    <row r="149" spans="3:16">
      <c r="C149" s="190" t="s">
        <v>620</v>
      </c>
      <c r="D149" s="243">
        <v>156</v>
      </c>
      <c r="E149" s="243">
        <v>10080</v>
      </c>
      <c r="F149" s="189">
        <v>42290</v>
      </c>
      <c r="G149" s="190" t="s">
        <v>620</v>
      </c>
      <c r="H149" s="811" t="s">
        <v>1069</v>
      </c>
      <c r="I149" s="243"/>
      <c r="J149" s="243">
        <v>10500</v>
      </c>
      <c r="K149" s="419">
        <f t="shared" si="3"/>
        <v>0</v>
      </c>
      <c r="L149" s="190"/>
      <c r="M149" s="25"/>
      <c r="N149" s="279"/>
      <c r="O149" s="279"/>
    </row>
    <row r="150" spans="3:16">
      <c r="C150" s="190" t="s">
        <v>623</v>
      </c>
      <c r="D150" s="25">
        <v>650</v>
      </c>
      <c r="E150" s="279">
        <v>30920.138461538463</v>
      </c>
      <c r="F150" s="189">
        <v>42292</v>
      </c>
      <c r="G150" s="190" t="s">
        <v>623</v>
      </c>
      <c r="H150" s="811" t="s">
        <v>1071</v>
      </c>
      <c r="I150" s="243"/>
      <c r="J150" s="243">
        <v>32500</v>
      </c>
      <c r="K150" s="419">
        <f t="shared" si="3"/>
        <v>0</v>
      </c>
      <c r="O150" s="279"/>
    </row>
    <row r="151" spans="3:16">
      <c r="C151" s="190" t="s">
        <v>624</v>
      </c>
      <c r="D151" s="25">
        <v>650</v>
      </c>
      <c r="E151" s="279">
        <v>30700</v>
      </c>
      <c r="F151" s="189">
        <v>42292</v>
      </c>
      <c r="G151" s="190" t="s">
        <v>624</v>
      </c>
      <c r="H151" s="811" t="s">
        <v>1071</v>
      </c>
      <c r="I151" s="243"/>
      <c r="J151" s="243">
        <v>31700</v>
      </c>
      <c r="K151" s="419">
        <f t="shared" si="3"/>
        <v>0</v>
      </c>
      <c r="L151" s="190"/>
      <c r="M151" s="25"/>
      <c r="N151" s="279"/>
      <c r="O151" s="279"/>
      <c r="P151" s="841"/>
    </row>
    <row r="152" spans="3:16">
      <c r="C152" s="190" t="s">
        <v>620</v>
      </c>
      <c r="D152" s="243">
        <v>2100</v>
      </c>
      <c r="E152" s="243">
        <v>14000</v>
      </c>
      <c r="F152" s="189">
        <v>42292</v>
      </c>
      <c r="G152" s="190" t="s">
        <v>620</v>
      </c>
      <c r="H152" s="811" t="s">
        <v>1071</v>
      </c>
      <c r="I152" s="243"/>
      <c r="J152" s="243">
        <v>15000</v>
      </c>
      <c r="K152" s="419">
        <f t="shared" si="3"/>
        <v>0</v>
      </c>
      <c r="O152" s="279"/>
    </row>
    <row r="153" spans="3:16">
      <c r="C153" s="190" t="s">
        <v>621</v>
      </c>
      <c r="D153" s="243">
        <v>228</v>
      </c>
      <c r="E153" s="243">
        <v>15511.404</v>
      </c>
      <c r="F153" s="189">
        <v>42292</v>
      </c>
      <c r="G153" s="190" t="s">
        <v>621</v>
      </c>
      <c r="H153" s="811" t="s">
        <v>1071</v>
      </c>
      <c r="I153" s="243"/>
      <c r="J153" s="243">
        <v>16500</v>
      </c>
      <c r="K153" s="419">
        <f t="shared" si="3"/>
        <v>0</v>
      </c>
      <c r="O153" s="279"/>
    </row>
    <row r="154" spans="3:16">
      <c r="C154" s="190" t="s">
        <v>621</v>
      </c>
      <c r="D154" s="243">
        <v>2295</v>
      </c>
      <c r="E154" s="243">
        <v>14517.559912854031</v>
      </c>
      <c r="F154" s="189">
        <v>42292</v>
      </c>
      <c r="G154" s="190" t="s">
        <v>621</v>
      </c>
      <c r="H154" s="811" t="s">
        <v>1071</v>
      </c>
      <c r="I154" s="243">
        <f>2700-228-D154</f>
        <v>177</v>
      </c>
      <c r="J154" s="243">
        <v>16500</v>
      </c>
      <c r="K154" s="419">
        <f t="shared" si="3"/>
        <v>2920500</v>
      </c>
      <c r="O154" s="279"/>
    </row>
    <row r="155" spans="3:16">
      <c r="C155" s="190" t="s">
        <v>757</v>
      </c>
      <c r="D155" s="25">
        <v>500</v>
      </c>
      <c r="E155" s="279">
        <v>16800</v>
      </c>
      <c r="F155" s="189">
        <v>42299</v>
      </c>
      <c r="G155" s="190" t="s">
        <v>757</v>
      </c>
      <c r="H155" s="811" t="s">
        <v>1072</v>
      </c>
      <c r="I155" s="243"/>
      <c r="J155" s="243">
        <v>17500</v>
      </c>
      <c r="K155" s="419">
        <f t="shared" si="3"/>
        <v>0</v>
      </c>
      <c r="O155" s="279"/>
    </row>
    <row r="156" spans="3:16">
      <c r="C156" s="190" t="s">
        <v>758</v>
      </c>
      <c r="D156" s="25">
        <v>40</v>
      </c>
      <c r="E156" s="279">
        <v>17626</v>
      </c>
      <c r="F156" s="189">
        <v>42300</v>
      </c>
      <c r="G156" s="190" t="s">
        <v>758</v>
      </c>
      <c r="H156" s="811" t="s">
        <v>1074</v>
      </c>
      <c r="I156" s="243"/>
      <c r="J156" s="243">
        <v>18360</v>
      </c>
      <c r="K156" s="419">
        <f t="shared" si="3"/>
        <v>0</v>
      </c>
    </row>
    <row r="157" spans="3:16">
      <c r="C157" s="190" t="s">
        <v>759</v>
      </c>
      <c r="D157" s="25">
        <v>200</v>
      </c>
      <c r="E157" s="279">
        <v>2389</v>
      </c>
      <c r="F157" s="189">
        <v>42300</v>
      </c>
      <c r="G157" s="190" t="s">
        <v>1075</v>
      </c>
      <c r="H157" s="811" t="s">
        <v>1074</v>
      </c>
      <c r="I157" s="243"/>
      <c r="J157" s="243">
        <v>2489</v>
      </c>
      <c r="K157" s="419">
        <f t="shared" si="3"/>
        <v>0</v>
      </c>
    </row>
    <row r="158" spans="3:16">
      <c r="C158" s="190" t="s">
        <v>620</v>
      </c>
      <c r="D158" s="243">
        <v>1000</v>
      </c>
      <c r="E158" s="243">
        <v>10080</v>
      </c>
      <c r="F158" s="189">
        <v>42301</v>
      </c>
      <c r="G158" s="190" t="s">
        <v>620</v>
      </c>
      <c r="H158" s="811" t="s">
        <v>1076</v>
      </c>
      <c r="I158" s="243"/>
      <c r="J158" s="243">
        <v>10500</v>
      </c>
      <c r="K158" s="419">
        <f t="shared" si="3"/>
        <v>0</v>
      </c>
      <c r="L158" s="190"/>
      <c r="M158" s="25"/>
      <c r="N158" s="279"/>
    </row>
    <row r="159" spans="3:16">
      <c r="C159" s="190" t="s">
        <v>621</v>
      </c>
      <c r="D159" s="243">
        <v>1000</v>
      </c>
      <c r="E159" s="243">
        <v>12048</v>
      </c>
      <c r="F159" s="189">
        <v>42301</v>
      </c>
      <c r="G159" s="190" t="s">
        <v>621</v>
      </c>
      <c r="H159" s="811" t="s">
        <v>1077</v>
      </c>
      <c r="I159" s="243"/>
      <c r="J159" s="243">
        <v>12500</v>
      </c>
      <c r="K159" s="419">
        <f t="shared" si="3"/>
        <v>0</v>
      </c>
      <c r="L159" s="190"/>
      <c r="M159" s="25"/>
      <c r="N159" s="279"/>
    </row>
    <row r="160" spans="3:16">
      <c r="F160" s="189">
        <v>42301</v>
      </c>
      <c r="G160" s="190" t="s">
        <v>1254</v>
      </c>
      <c r="H160" s="811" t="s">
        <v>1078</v>
      </c>
      <c r="I160" s="243">
        <v>200</v>
      </c>
      <c r="J160" s="243">
        <v>19300</v>
      </c>
      <c r="K160" s="419">
        <f t="shared" si="3"/>
        <v>3860000</v>
      </c>
      <c r="L160" s="190"/>
      <c r="M160" s="25"/>
      <c r="N160" s="279"/>
    </row>
    <row r="161" spans="3:14">
      <c r="C161" s="190" t="s">
        <v>760</v>
      </c>
      <c r="D161" s="25">
        <v>25</v>
      </c>
      <c r="E161" s="279">
        <v>11405</v>
      </c>
      <c r="F161" s="821">
        <v>42305</v>
      </c>
      <c r="G161" s="822" t="s">
        <v>760</v>
      </c>
      <c r="H161" s="823" t="s">
        <v>632</v>
      </c>
      <c r="I161" s="825"/>
      <c r="J161" s="825">
        <v>11400</v>
      </c>
      <c r="K161" s="419">
        <f t="shared" si="3"/>
        <v>0</v>
      </c>
      <c r="L161" s="190"/>
      <c r="M161" s="25"/>
      <c r="N161" s="279"/>
    </row>
    <row r="162" spans="3:14">
      <c r="C162" s="190" t="s">
        <v>763</v>
      </c>
      <c r="D162" s="25">
        <v>50</v>
      </c>
      <c r="E162" s="279">
        <v>22429</v>
      </c>
      <c r="F162" s="821">
        <v>42305</v>
      </c>
      <c r="G162" s="822" t="s">
        <v>763</v>
      </c>
      <c r="H162" s="823" t="s">
        <v>632</v>
      </c>
      <c r="I162" s="825"/>
      <c r="J162" s="825">
        <v>22451</v>
      </c>
      <c r="K162" s="419">
        <f t="shared" si="3"/>
        <v>0</v>
      </c>
      <c r="L162" s="190"/>
      <c r="M162" s="25"/>
      <c r="N162" s="279"/>
    </row>
    <row r="163" spans="3:14">
      <c r="C163" s="190" t="s">
        <v>761</v>
      </c>
      <c r="D163" s="25">
        <v>25</v>
      </c>
      <c r="E163" s="279">
        <v>21023</v>
      </c>
      <c r="F163" s="821">
        <v>42305</v>
      </c>
      <c r="G163" s="822" t="s">
        <v>761</v>
      </c>
      <c r="H163" s="823" t="s">
        <v>632</v>
      </c>
      <c r="I163" s="825"/>
      <c r="J163" s="825">
        <v>21050</v>
      </c>
      <c r="K163" s="419">
        <f t="shared" si="3"/>
        <v>0</v>
      </c>
      <c r="L163" s="190"/>
      <c r="M163" s="25"/>
      <c r="N163" s="279"/>
    </row>
    <row r="164" spans="3:14">
      <c r="C164" s="190" t="s">
        <v>762</v>
      </c>
      <c r="D164" s="25">
        <v>25</v>
      </c>
      <c r="E164" s="279">
        <v>24748</v>
      </c>
      <c r="F164" s="821">
        <v>42305</v>
      </c>
      <c r="G164" s="822" t="s">
        <v>762</v>
      </c>
      <c r="H164" s="823" t="s">
        <v>632</v>
      </c>
      <c r="I164" s="825"/>
      <c r="J164" s="825">
        <v>24800</v>
      </c>
      <c r="K164" s="419">
        <f t="shared" si="3"/>
        <v>0</v>
      </c>
      <c r="L164" s="190"/>
      <c r="M164" s="25"/>
      <c r="N164" s="279"/>
    </row>
    <row r="165" spans="3:14">
      <c r="C165" s="190" t="s">
        <v>1238</v>
      </c>
      <c r="D165" s="25">
        <v>95</v>
      </c>
      <c r="E165" s="279">
        <v>11046</v>
      </c>
      <c r="F165" s="821">
        <v>42305</v>
      </c>
      <c r="G165" s="190" t="s">
        <v>1238</v>
      </c>
      <c r="H165" s="823" t="s">
        <v>632</v>
      </c>
      <c r="I165" s="825"/>
      <c r="J165" s="825">
        <v>10000</v>
      </c>
      <c r="K165" s="419">
        <f t="shared" si="3"/>
        <v>0</v>
      </c>
      <c r="L165" s="190"/>
      <c r="M165" s="25"/>
      <c r="N165" s="279"/>
    </row>
    <row r="166" spans="3:14">
      <c r="C166" s="190" t="s">
        <v>768</v>
      </c>
      <c r="D166" s="25">
        <v>36</v>
      </c>
      <c r="E166" s="279">
        <v>5957</v>
      </c>
      <c r="F166" s="821">
        <v>42305</v>
      </c>
      <c r="G166" s="822" t="s">
        <v>768</v>
      </c>
      <c r="H166" s="823" t="s">
        <v>632</v>
      </c>
      <c r="I166" s="825"/>
      <c r="J166" s="825">
        <v>6001</v>
      </c>
      <c r="K166" s="419">
        <f t="shared" si="3"/>
        <v>0</v>
      </c>
      <c r="L166" s="190"/>
      <c r="M166" s="25"/>
      <c r="N166" s="279"/>
    </row>
    <row r="167" spans="3:14">
      <c r="C167" s="190" t="s">
        <v>767</v>
      </c>
      <c r="D167" s="25">
        <v>246</v>
      </c>
      <c r="E167" s="279">
        <v>8453</v>
      </c>
      <c r="F167" s="821">
        <v>42305</v>
      </c>
      <c r="G167" s="822" t="s">
        <v>767</v>
      </c>
      <c r="H167" s="823" t="s">
        <v>632</v>
      </c>
      <c r="I167" s="825"/>
      <c r="J167" s="825">
        <v>8500</v>
      </c>
      <c r="K167" s="419">
        <f t="shared" si="3"/>
        <v>0</v>
      </c>
      <c r="L167" s="190"/>
      <c r="M167" s="25"/>
      <c r="N167" s="279"/>
    </row>
    <row r="168" spans="3:14">
      <c r="C168" s="190" t="s">
        <v>773</v>
      </c>
      <c r="D168" s="25">
        <v>56</v>
      </c>
      <c r="E168" s="279">
        <v>9322</v>
      </c>
      <c r="F168" s="821">
        <v>42305</v>
      </c>
      <c r="G168" s="822" t="s">
        <v>773</v>
      </c>
      <c r="H168" s="823" t="s">
        <v>632</v>
      </c>
      <c r="I168" s="825"/>
      <c r="J168" s="825">
        <v>9450</v>
      </c>
      <c r="K168" s="419">
        <f t="shared" si="3"/>
        <v>0</v>
      </c>
      <c r="L168" s="190"/>
      <c r="M168" s="25"/>
      <c r="N168" s="279"/>
    </row>
    <row r="169" spans="3:14">
      <c r="C169" s="190" t="s">
        <v>772</v>
      </c>
      <c r="D169" s="25">
        <v>305</v>
      </c>
      <c r="E169" s="279">
        <v>11155</v>
      </c>
      <c r="F169" s="821">
        <v>42305</v>
      </c>
      <c r="G169" s="822" t="s">
        <v>772</v>
      </c>
      <c r="H169" s="823" t="s">
        <v>632</v>
      </c>
      <c r="I169" s="825"/>
      <c r="J169" s="825">
        <v>11229</v>
      </c>
      <c r="K169" s="419">
        <f t="shared" si="3"/>
        <v>0</v>
      </c>
      <c r="L169" s="190"/>
      <c r="M169" s="25"/>
      <c r="N169" s="279"/>
    </row>
    <row r="170" spans="3:14">
      <c r="C170" s="822" t="s">
        <v>769</v>
      </c>
      <c r="D170" s="825">
        <v>1000</v>
      </c>
      <c r="E170" s="825">
        <v>912</v>
      </c>
      <c r="F170" s="821">
        <v>42305</v>
      </c>
      <c r="G170" s="822" t="s">
        <v>769</v>
      </c>
      <c r="H170" s="823" t="s">
        <v>1080</v>
      </c>
      <c r="I170" s="825"/>
      <c r="J170" s="825">
        <v>1100</v>
      </c>
      <c r="K170" s="419">
        <f t="shared" si="3"/>
        <v>0</v>
      </c>
      <c r="L170" s="190"/>
      <c r="M170" s="25"/>
      <c r="N170" s="279"/>
    </row>
    <row r="171" spans="3:14">
      <c r="C171" s="190" t="s">
        <v>772</v>
      </c>
      <c r="D171" s="25">
        <v>45</v>
      </c>
      <c r="E171" s="279">
        <v>11155</v>
      </c>
      <c r="F171" s="821">
        <v>42305</v>
      </c>
      <c r="G171" s="822" t="s">
        <v>772</v>
      </c>
      <c r="H171" s="823" t="s">
        <v>1080</v>
      </c>
      <c r="I171" s="825"/>
      <c r="J171" s="825">
        <v>11500</v>
      </c>
      <c r="K171" s="419">
        <f t="shared" si="3"/>
        <v>0</v>
      </c>
      <c r="L171" s="190"/>
      <c r="M171" s="25"/>
      <c r="N171" s="279"/>
    </row>
    <row r="172" spans="3:14">
      <c r="C172" s="190" t="s">
        <v>1141</v>
      </c>
      <c r="D172" s="25">
        <v>13</v>
      </c>
      <c r="E172" s="279">
        <v>34728</v>
      </c>
      <c r="F172" s="821">
        <v>42305</v>
      </c>
      <c r="G172" s="822" t="s">
        <v>1141</v>
      </c>
      <c r="H172" s="823" t="s">
        <v>1080</v>
      </c>
      <c r="I172" s="825"/>
      <c r="J172" s="825">
        <v>35000</v>
      </c>
      <c r="K172" s="419">
        <f t="shared" si="3"/>
        <v>0</v>
      </c>
      <c r="L172" s="190"/>
      <c r="M172" s="25"/>
      <c r="N172" s="279"/>
    </row>
    <row r="173" spans="3:14">
      <c r="C173" s="190" t="s">
        <v>776</v>
      </c>
      <c r="D173" s="25">
        <v>172</v>
      </c>
      <c r="E173" s="279">
        <v>12668</v>
      </c>
      <c r="F173" s="821">
        <v>42305</v>
      </c>
      <c r="G173" s="822" t="s">
        <v>776</v>
      </c>
      <c r="H173" s="823" t="s">
        <v>1080</v>
      </c>
      <c r="I173" s="825"/>
      <c r="J173" s="825">
        <v>13100.5</v>
      </c>
      <c r="K173" s="419">
        <f t="shared" si="3"/>
        <v>0</v>
      </c>
      <c r="L173" s="190"/>
      <c r="M173" s="25"/>
      <c r="N173" s="279"/>
    </row>
    <row r="174" spans="3:14">
      <c r="C174" s="190" t="s">
        <v>770</v>
      </c>
      <c r="D174" s="25">
        <v>120</v>
      </c>
      <c r="E174" s="279">
        <v>12758</v>
      </c>
      <c r="F174" s="821">
        <v>42305</v>
      </c>
      <c r="G174" s="822" t="s">
        <v>770</v>
      </c>
      <c r="H174" s="823" t="s">
        <v>1080</v>
      </c>
      <c r="I174" s="825"/>
      <c r="J174" s="825">
        <v>13050</v>
      </c>
      <c r="K174" s="419">
        <f t="shared" si="3"/>
        <v>0</v>
      </c>
      <c r="L174" s="190"/>
      <c r="M174" s="25"/>
      <c r="N174" s="279"/>
    </row>
    <row r="175" spans="3:14">
      <c r="C175" s="190" t="s">
        <v>775</v>
      </c>
      <c r="D175" s="25">
        <v>42</v>
      </c>
      <c r="E175" s="279">
        <v>10238</v>
      </c>
      <c r="F175" s="821">
        <v>42305</v>
      </c>
      <c r="G175" s="822" t="s">
        <v>775</v>
      </c>
      <c r="H175" s="823" t="s">
        <v>1080</v>
      </c>
      <c r="I175" s="825"/>
      <c r="J175" s="825">
        <v>10300</v>
      </c>
      <c r="K175" s="419">
        <f t="shared" si="3"/>
        <v>0</v>
      </c>
      <c r="L175" s="190"/>
      <c r="M175" s="25"/>
      <c r="N175" s="279"/>
    </row>
    <row r="176" spans="3:14">
      <c r="C176" s="190" t="s">
        <v>774</v>
      </c>
      <c r="D176" s="25">
        <v>342</v>
      </c>
      <c r="E176" s="279">
        <v>12250</v>
      </c>
      <c r="F176" s="821">
        <v>42305</v>
      </c>
      <c r="G176" s="822" t="s">
        <v>774</v>
      </c>
      <c r="H176" s="823" t="s">
        <v>1080</v>
      </c>
      <c r="I176" s="825"/>
      <c r="J176" s="825">
        <v>12500</v>
      </c>
      <c r="K176" s="419">
        <f t="shared" si="3"/>
        <v>0</v>
      </c>
      <c r="L176" s="190"/>
      <c r="M176" s="25"/>
      <c r="N176" s="279"/>
    </row>
    <row r="177" spans="3:15">
      <c r="C177" s="190" t="s">
        <v>766</v>
      </c>
      <c r="D177" s="25">
        <v>8</v>
      </c>
      <c r="E177" s="279">
        <v>7786</v>
      </c>
      <c r="F177" s="821">
        <v>42305</v>
      </c>
      <c r="G177" s="822" t="s">
        <v>766</v>
      </c>
      <c r="H177" s="823" t="s">
        <v>1080</v>
      </c>
      <c r="I177" s="825"/>
      <c r="J177" s="825">
        <v>7800</v>
      </c>
      <c r="K177" s="419">
        <f t="shared" si="3"/>
        <v>0</v>
      </c>
      <c r="L177" s="190"/>
      <c r="M177" s="25"/>
      <c r="N177" s="279"/>
    </row>
    <row r="178" spans="3:15">
      <c r="C178" s="190" t="s">
        <v>765</v>
      </c>
      <c r="D178" s="25">
        <v>50</v>
      </c>
      <c r="E178" s="279">
        <v>9830</v>
      </c>
      <c r="F178" s="821">
        <v>42305</v>
      </c>
      <c r="G178" s="822" t="s">
        <v>765</v>
      </c>
      <c r="H178" s="823" t="s">
        <v>1080</v>
      </c>
      <c r="I178" s="825"/>
      <c r="J178" s="825">
        <v>9900</v>
      </c>
      <c r="K178" s="419">
        <f t="shared" si="3"/>
        <v>0</v>
      </c>
      <c r="L178" s="190"/>
      <c r="M178" s="25"/>
      <c r="N178" s="279"/>
    </row>
    <row r="179" spans="3:15">
      <c r="C179" s="190" t="s">
        <v>764</v>
      </c>
      <c r="D179" s="25">
        <v>112</v>
      </c>
      <c r="E179" s="279">
        <v>12845</v>
      </c>
      <c r="F179" s="821">
        <v>42305</v>
      </c>
      <c r="G179" s="822" t="s">
        <v>764</v>
      </c>
      <c r="H179" s="823" t="s">
        <v>1080</v>
      </c>
      <c r="I179" s="825"/>
      <c r="J179" s="825">
        <v>13050</v>
      </c>
      <c r="K179" s="419">
        <f t="shared" si="3"/>
        <v>0</v>
      </c>
      <c r="L179" s="190"/>
      <c r="M179" s="25"/>
      <c r="N179" s="279"/>
    </row>
    <row r="180" spans="3:15">
      <c r="F180" s="189">
        <v>42308</v>
      </c>
      <c r="G180" s="190" t="s">
        <v>1209</v>
      </c>
      <c r="H180" s="811" t="s">
        <v>556</v>
      </c>
      <c r="I180" s="243">
        <v>1000</v>
      </c>
      <c r="J180" s="243">
        <v>9800</v>
      </c>
      <c r="K180" s="419">
        <f t="shared" si="3"/>
        <v>9800000</v>
      </c>
      <c r="L180" s="190"/>
      <c r="M180" s="25"/>
      <c r="N180" s="279"/>
    </row>
    <row r="181" spans="3:15">
      <c r="C181" s="190" t="s">
        <v>1234</v>
      </c>
      <c r="D181" s="279">
        <v>3504</v>
      </c>
      <c r="E181" s="279">
        <v>1045</v>
      </c>
      <c r="F181" s="189">
        <v>42308</v>
      </c>
      <c r="G181" s="190" t="s">
        <v>1234</v>
      </c>
      <c r="H181" s="811" t="s">
        <v>661</v>
      </c>
      <c r="I181" s="243"/>
      <c r="J181" s="243">
        <v>926</v>
      </c>
      <c r="K181" s="419">
        <f t="shared" si="3"/>
        <v>0</v>
      </c>
    </row>
    <row r="182" spans="3:15">
      <c r="D182" s="279"/>
      <c r="F182" s="189">
        <v>42313</v>
      </c>
      <c r="G182" s="190" t="s">
        <v>1083</v>
      </c>
      <c r="H182" s="811" t="s">
        <v>1084</v>
      </c>
      <c r="I182" s="243">
        <v>68</v>
      </c>
      <c r="J182" s="243">
        <v>11000</v>
      </c>
      <c r="K182" s="419">
        <f t="shared" si="3"/>
        <v>748000</v>
      </c>
    </row>
    <row r="183" spans="3:15">
      <c r="D183" s="279"/>
      <c r="F183" s="189">
        <v>42314</v>
      </c>
      <c r="G183" s="190" t="s">
        <v>1246</v>
      </c>
      <c r="H183" s="811" t="s">
        <v>1086</v>
      </c>
      <c r="I183" s="243">
        <v>35</v>
      </c>
      <c r="J183" s="243">
        <v>35654</v>
      </c>
      <c r="K183" s="419">
        <f t="shared" si="3"/>
        <v>1247890</v>
      </c>
      <c r="L183" s="190"/>
      <c r="M183" s="25"/>
      <c r="N183" s="279"/>
    </row>
    <row r="184" spans="3:15">
      <c r="D184" s="279"/>
      <c r="F184" s="189">
        <v>42314</v>
      </c>
      <c r="G184" s="190" t="s">
        <v>1247</v>
      </c>
      <c r="H184" s="811" t="s">
        <v>1086</v>
      </c>
      <c r="I184" s="243">
        <v>35</v>
      </c>
      <c r="J184" s="243">
        <v>34406</v>
      </c>
      <c r="K184" s="419">
        <f t="shared" si="3"/>
        <v>1204210</v>
      </c>
    </row>
    <row r="185" spans="3:15">
      <c r="D185" s="279"/>
      <c r="F185" s="189">
        <v>42314</v>
      </c>
      <c r="G185" s="190" t="s">
        <v>1248</v>
      </c>
      <c r="H185" s="811" t="s">
        <v>1086</v>
      </c>
      <c r="I185" s="243">
        <v>35</v>
      </c>
      <c r="J185" s="243">
        <v>38960</v>
      </c>
      <c r="K185" s="419">
        <f t="shared" si="3"/>
        <v>1363600</v>
      </c>
    </row>
    <row r="186" spans="3:15">
      <c r="D186" s="279"/>
      <c r="F186" s="189">
        <v>42314</v>
      </c>
      <c r="G186" s="190" t="s">
        <v>1249</v>
      </c>
      <c r="H186" s="811" t="s">
        <v>1086</v>
      </c>
      <c r="I186" s="243">
        <v>70</v>
      </c>
      <c r="J186" s="243">
        <v>10714</v>
      </c>
      <c r="K186" s="419">
        <f t="shared" si="3"/>
        <v>749980</v>
      </c>
    </row>
    <row r="187" spans="3:15">
      <c r="D187" s="279"/>
      <c r="F187" s="189">
        <v>42314</v>
      </c>
      <c r="G187" s="190" t="s">
        <v>1250</v>
      </c>
      <c r="H187" s="811" t="s">
        <v>1086</v>
      </c>
      <c r="I187" s="243">
        <v>70</v>
      </c>
      <c r="J187" s="243">
        <v>10048</v>
      </c>
      <c r="K187" s="419">
        <f t="shared" si="3"/>
        <v>703360</v>
      </c>
    </row>
    <row r="188" spans="3:15">
      <c r="D188" s="279"/>
      <c r="F188" s="189">
        <v>42314</v>
      </c>
      <c r="G188" s="190" t="s">
        <v>1251</v>
      </c>
      <c r="H188" s="811" t="s">
        <v>1086</v>
      </c>
      <c r="I188" s="243">
        <v>54</v>
      </c>
      <c r="J188" s="243">
        <v>30210</v>
      </c>
      <c r="K188" s="419">
        <f t="shared" si="3"/>
        <v>1631340</v>
      </c>
      <c r="O188" s="279"/>
    </row>
    <row r="189" spans="3:15">
      <c r="D189" s="279"/>
      <c r="F189" s="189">
        <v>42314</v>
      </c>
      <c r="G189" s="190" t="s">
        <v>1252</v>
      </c>
      <c r="H189" s="811" t="s">
        <v>1086</v>
      </c>
      <c r="I189" s="243">
        <v>54</v>
      </c>
      <c r="J189" s="243">
        <v>29081</v>
      </c>
      <c r="K189" s="419">
        <f t="shared" si="3"/>
        <v>1570374</v>
      </c>
      <c r="O189" s="279"/>
    </row>
    <row r="190" spans="3:15">
      <c r="D190" s="279"/>
      <c r="F190" s="189">
        <v>42314</v>
      </c>
      <c r="G190" s="190" t="s">
        <v>1253</v>
      </c>
      <c r="H190" s="811" t="s">
        <v>1086</v>
      </c>
      <c r="I190" s="243">
        <v>80</v>
      </c>
      <c r="J190" s="243">
        <v>8883</v>
      </c>
      <c r="K190" s="419">
        <f t="shared" si="3"/>
        <v>710640</v>
      </c>
      <c r="O190" s="279"/>
    </row>
    <row r="191" spans="3:15">
      <c r="D191" s="279"/>
      <c r="F191" s="189">
        <v>42314</v>
      </c>
      <c r="G191" s="190" t="s">
        <v>1239</v>
      </c>
      <c r="H191" s="811" t="s">
        <v>1087</v>
      </c>
      <c r="I191" s="243">
        <v>80</v>
      </c>
      <c r="J191" s="243">
        <v>8280</v>
      </c>
      <c r="K191" s="419">
        <f t="shared" si="3"/>
        <v>662400</v>
      </c>
      <c r="O191" s="279"/>
    </row>
    <row r="192" spans="3:15">
      <c r="D192" s="279"/>
      <c r="F192" s="189">
        <v>42314</v>
      </c>
      <c r="G192" s="190" t="s">
        <v>1240</v>
      </c>
      <c r="H192" s="811" t="s">
        <v>1087</v>
      </c>
      <c r="I192" s="243">
        <v>20</v>
      </c>
      <c r="J192" s="243">
        <v>68860</v>
      </c>
      <c r="K192" s="419">
        <f t="shared" si="3"/>
        <v>1377200</v>
      </c>
      <c r="O192" s="279"/>
    </row>
    <row r="193" spans="3:15">
      <c r="D193" s="279"/>
      <c r="F193" s="189">
        <v>42314</v>
      </c>
      <c r="G193" s="190" t="s">
        <v>1241</v>
      </c>
      <c r="H193" s="811" t="s">
        <v>1087</v>
      </c>
      <c r="I193" s="244">
        <v>11</v>
      </c>
      <c r="J193" s="244">
        <v>71842</v>
      </c>
      <c r="K193" s="419">
        <f t="shared" si="3"/>
        <v>790262</v>
      </c>
      <c r="O193" s="279"/>
    </row>
    <row r="194" spans="3:15">
      <c r="D194" s="279"/>
      <c r="F194" s="189">
        <v>42314</v>
      </c>
      <c r="G194" s="190" t="s">
        <v>1242</v>
      </c>
      <c r="H194" s="811" t="s">
        <v>1087</v>
      </c>
      <c r="I194" s="244">
        <v>3</v>
      </c>
      <c r="J194" s="244">
        <v>85009</v>
      </c>
      <c r="K194" s="419">
        <f t="shared" si="3"/>
        <v>255027</v>
      </c>
      <c r="O194" s="279"/>
    </row>
    <row r="195" spans="3:15">
      <c r="D195" s="279"/>
      <c r="F195" s="189">
        <v>42314</v>
      </c>
      <c r="G195" s="190" t="s">
        <v>1243</v>
      </c>
      <c r="H195" s="811" t="s">
        <v>1087</v>
      </c>
      <c r="I195" s="243">
        <v>40</v>
      </c>
      <c r="J195" s="243">
        <v>88545</v>
      </c>
      <c r="K195" s="419">
        <f t="shared" ref="K195:K258" si="5">J195*I195</f>
        <v>3541800</v>
      </c>
      <c r="O195" s="279"/>
    </row>
    <row r="196" spans="3:15">
      <c r="D196" s="279"/>
      <c r="F196" s="189">
        <v>42314</v>
      </c>
      <c r="G196" s="190" t="s">
        <v>1244</v>
      </c>
      <c r="H196" s="811" t="s">
        <v>1087</v>
      </c>
      <c r="I196" s="243">
        <v>12</v>
      </c>
      <c r="J196" s="243">
        <v>55766</v>
      </c>
      <c r="K196" s="419">
        <f t="shared" si="5"/>
        <v>669192</v>
      </c>
      <c r="O196" s="279"/>
    </row>
    <row r="197" spans="3:15">
      <c r="D197" s="279"/>
      <c r="F197" s="189">
        <v>42314</v>
      </c>
      <c r="G197" s="190" t="s">
        <v>1245</v>
      </c>
      <c r="H197" s="811" t="s">
        <v>1087</v>
      </c>
      <c r="I197" s="243">
        <v>45</v>
      </c>
      <c r="J197" s="243">
        <v>46205</v>
      </c>
      <c r="K197" s="419">
        <f t="shared" si="5"/>
        <v>2079225</v>
      </c>
      <c r="O197" s="279"/>
    </row>
    <row r="198" spans="3:15">
      <c r="D198" s="279"/>
      <c r="F198" s="189">
        <v>42314</v>
      </c>
      <c r="G198" s="190" t="s">
        <v>1220</v>
      </c>
      <c r="H198" s="811" t="s">
        <v>1087</v>
      </c>
      <c r="I198" s="243">
        <v>10</v>
      </c>
      <c r="J198" s="243">
        <v>50825</v>
      </c>
      <c r="K198" s="419">
        <f t="shared" si="5"/>
        <v>508250</v>
      </c>
      <c r="O198" s="279"/>
    </row>
    <row r="199" spans="3:15">
      <c r="D199" s="279"/>
      <c r="F199" s="189">
        <v>42318</v>
      </c>
      <c r="G199" s="190" t="s">
        <v>1209</v>
      </c>
      <c r="H199" s="811" t="s">
        <v>1088</v>
      </c>
      <c r="I199" s="243">
        <v>1000</v>
      </c>
      <c r="J199" s="243">
        <v>9800</v>
      </c>
      <c r="K199" s="419">
        <f t="shared" si="5"/>
        <v>9800000</v>
      </c>
      <c r="L199" s="190" t="s">
        <v>1219</v>
      </c>
      <c r="M199" s="25">
        <v>8</v>
      </c>
      <c r="N199" s="279">
        <v>38333</v>
      </c>
      <c r="O199" s="279">
        <f t="shared" ref="O199:O215" si="6">N199*M199</f>
        <v>306664</v>
      </c>
    </row>
    <row r="200" spans="3:15">
      <c r="C200" s="190" t="s">
        <v>894</v>
      </c>
      <c r="D200" s="25">
        <v>107</v>
      </c>
      <c r="E200" s="279">
        <v>7709</v>
      </c>
      <c r="F200" s="189">
        <v>42324</v>
      </c>
      <c r="G200" s="190" t="s">
        <v>894</v>
      </c>
      <c r="H200" s="811" t="s">
        <v>1091</v>
      </c>
      <c r="I200" s="243"/>
      <c r="J200" s="243">
        <v>8030</v>
      </c>
      <c r="K200" s="419">
        <f t="shared" si="5"/>
        <v>0</v>
      </c>
      <c r="L200" s="190"/>
      <c r="M200" s="25"/>
      <c r="N200" s="279"/>
      <c r="O200" s="279"/>
    </row>
    <row r="201" spans="3:15">
      <c r="C201" s="190" t="s">
        <v>895</v>
      </c>
      <c r="D201" s="25">
        <v>106</v>
      </c>
      <c r="E201" s="279">
        <v>9571</v>
      </c>
      <c r="F201" s="189">
        <v>42324</v>
      </c>
      <c r="G201" s="190" t="s">
        <v>895</v>
      </c>
      <c r="H201" s="811" t="s">
        <v>1091</v>
      </c>
      <c r="I201" s="243"/>
      <c r="J201" s="243">
        <v>9970</v>
      </c>
      <c r="K201" s="419">
        <f t="shared" si="5"/>
        <v>0</v>
      </c>
      <c r="L201" s="190"/>
      <c r="M201" s="25"/>
      <c r="N201" s="279"/>
      <c r="O201" s="279"/>
    </row>
    <row r="202" spans="3:15">
      <c r="C202" s="190" t="s">
        <v>896</v>
      </c>
      <c r="D202" s="25">
        <v>110</v>
      </c>
      <c r="E202" s="279">
        <v>7680</v>
      </c>
      <c r="F202" s="189">
        <v>42324</v>
      </c>
      <c r="G202" s="190" t="s">
        <v>896</v>
      </c>
      <c r="H202" s="811" t="s">
        <v>1091</v>
      </c>
      <c r="I202" s="243"/>
      <c r="J202" s="243">
        <v>8000</v>
      </c>
      <c r="K202" s="419">
        <f t="shared" si="5"/>
        <v>0</v>
      </c>
      <c r="L202" s="190"/>
      <c r="M202" s="25"/>
      <c r="N202" s="279"/>
      <c r="O202" s="279"/>
    </row>
    <row r="203" spans="3:15">
      <c r="C203" s="190" t="s">
        <v>844</v>
      </c>
      <c r="D203" s="25">
        <v>144</v>
      </c>
      <c r="E203" s="279">
        <v>43915</v>
      </c>
      <c r="F203" s="189">
        <v>42327</v>
      </c>
      <c r="G203" s="190" t="s">
        <v>844</v>
      </c>
      <c r="H203" s="811" t="s">
        <v>1093</v>
      </c>
      <c r="I203" s="244"/>
      <c r="J203" s="244">
        <v>45745</v>
      </c>
      <c r="K203" s="419">
        <f t="shared" si="5"/>
        <v>0</v>
      </c>
      <c r="L203" s="187"/>
      <c r="M203" s="25"/>
      <c r="N203" s="279"/>
      <c r="O203" s="279"/>
    </row>
    <row r="204" spans="3:15">
      <c r="C204" s="282" t="s">
        <v>477</v>
      </c>
      <c r="D204" s="25">
        <v>1000</v>
      </c>
      <c r="E204" s="279">
        <v>10282.541666666666</v>
      </c>
      <c r="F204" s="189">
        <v>42328</v>
      </c>
      <c r="G204" s="190" t="s">
        <v>477</v>
      </c>
      <c r="H204" s="811" t="s">
        <v>1094</v>
      </c>
      <c r="I204" s="243"/>
      <c r="J204" s="243">
        <v>12550</v>
      </c>
      <c r="K204" s="419">
        <f t="shared" si="5"/>
        <v>0</v>
      </c>
    </row>
    <row r="205" spans="3:15">
      <c r="C205" s="190" t="s">
        <v>845</v>
      </c>
      <c r="D205" s="25">
        <v>500</v>
      </c>
      <c r="E205" s="279">
        <v>16800</v>
      </c>
      <c r="F205" s="189">
        <v>42328</v>
      </c>
      <c r="G205" s="190" t="s">
        <v>845</v>
      </c>
      <c r="H205" s="811" t="s">
        <v>1095</v>
      </c>
      <c r="I205" s="243"/>
      <c r="J205" s="243">
        <v>17500</v>
      </c>
      <c r="K205" s="419">
        <f t="shared" si="5"/>
        <v>0</v>
      </c>
    </row>
    <row r="206" spans="3:15">
      <c r="D206" s="279"/>
      <c r="F206" s="189">
        <v>42328</v>
      </c>
      <c r="G206" s="190" t="s">
        <v>1231</v>
      </c>
      <c r="H206" s="811" t="s">
        <v>1095</v>
      </c>
      <c r="I206" s="243">
        <v>20</v>
      </c>
      <c r="J206" s="243">
        <v>24948</v>
      </c>
      <c r="K206" s="419">
        <f t="shared" si="5"/>
        <v>498960</v>
      </c>
    </row>
    <row r="207" spans="3:15">
      <c r="D207" s="279"/>
      <c r="F207" s="189">
        <v>42329</v>
      </c>
      <c r="G207" s="190" t="s">
        <v>692</v>
      </c>
      <c r="H207" s="811" t="s">
        <v>1096</v>
      </c>
      <c r="I207" s="243">
        <v>400</v>
      </c>
      <c r="J207" s="243">
        <v>13300</v>
      </c>
      <c r="K207" s="419">
        <f t="shared" si="5"/>
        <v>5320000</v>
      </c>
    </row>
    <row r="208" spans="3:15">
      <c r="C208" s="190" t="s">
        <v>1238</v>
      </c>
      <c r="D208" s="279">
        <v>1000</v>
      </c>
      <c r="E208" s="279">
        <v>8771</v>
      </c>
      <c r="F208" s="189">
        <v>42329</v>
      </c>
      <c r="G208" s="190" t="s">
        <v>1238</v>
      </c>
      <c r="H208" s="811" t="s">
        <v>1097</v>
      </c>
      <c r="I208" s="244"/>
      <c r="J208" s="244">
        <v>9800</v>
      </c>
      <c r="K208" s="419">
        <f t="shared" si="5"/>
        <v>0</v>
      </c>
      <c r="L208" s="190"/>
      <c r="M208" s="25"/>
      <c r="N208" s="279"/>
      <c r="O208" s="279"/>
    </row>
    <row r="209" spans="3:15">
      <c r="C209" s="190" t="s">
        <v>1234</v>
      </c>
      <c r="D209" s="279">
        <v>3119</v>
      </c>
      <c r="E209" s="279">
        <v>1045</v>
      </c>
      <c r="F209" s="189">
        <v>42335</v>
      </c>
      <c r="G209" s="190" t="s">
        <v>1234</v>
      </c>
      <c r="H209" s="811" t="s">
        <v>1099</v>
      </c>
      <c r="I209" s="243"/>
      <c r="J209" s="243">
        <v>926</v>
      </c>
      <c r="K209" s="419">
        <f t="shared" si="5"/>
        <v>0</v>
      </c>
      <c r="L209" s="187"/>
      <c r="M209" s="25"/>
      <c r="N209" s="279"/>
      <c r="O209" s="279"/>
    </row>
    <row r="210" spans="3:15">
      <c r="C210" s="822" t="s">
        <v>1141</v>
      </c>
      <c r="D210" s="825">
        <v>417</v>
      </c>
      <c r="E210" s="825">
        <v>34728</v>
      </c>
      <c r="F210" s="821">
        <v>42337</v>
      </c>
      <c r="G210" s="822" t="s">
        <v>1141</v>
      </c>
      <c r="H210" s="823" t="s">
        <v>475</v>
      </c>
      <c r="I210" s="825"/>
      <c r="J210" s="825">
        <v>34900.050000000003</v>
      </c>
      <c r="K210" s="419">
        <f t="shared" si="5"/>
        <v>0</v>
      </c>
      <c r="L210" s="190"/>
      <c r="M210" s="25"/>
      <c r="N210" s="279"/>
      <c r="O210" s="279"/>
    </row>
    <row r="211" spans="3:15">
      <c r="C211" s="822" t="s">
        <v>771</v>
      </c>
      <c r="D211" s="825">
        <v>24</v>
      </c>
      <c r="E211" s="825">
        <v>10819</v>
      </c>
      <c r="F211" s="821">
        <v>42337</v>
      </c>
      <c r="G211" s="822" t="s">
        <v>771</v>
      </c>
      <c r="H211" s="823" t="s">
        <v>475</v>
      </c>
      <c r="I211" s="825"/>
      <c r="J211" s="825">
        <v>10900</v>
      </c>
      <c r="K211" s="419">
        <f t="shared" si="5"/>
        <v>0</v>
      </c>
      <c r="L211" s="187"/>
      <c r="M211" s="25"/>
      <c r="N211" s="279"/>
      <c r="O211" s="279"/>
    </row>
    <row r="212" spans="3:15">
      <c r="C212" s="822" t="s">
        <v>692</v>
      </c>
      <c r="D212" s="825">
        <v>200</v>
      </c>
      <c r="E212" s="825">
        <v>20736</v>
      </c>
      <c r="F212" s="821">
        <v>42337</v>
      </c>
      <c r="G212" s="822" t="s">
        <v>692</v>
      </c>
      <c r="H212" s="823" t="s">
        <v>475</v>
      </c>
      <c r="I212" s="825"/>
      <c r="J212" s="825">
        <v>20700</v>
      </c>
      <c r="K212" s="419">
        <f t="shared" si="5"/>
        <v>0</v>
      </c>
      <c r="L212" s="187"/>
      <c r="M212" s="25"/>
      <c r="N212" s="279"/>
      <c r="O212" s="279"/>
    </row>
    <row r="213" spans="3:15">
      <c r="C213" s="822" t="s">
        <v>1143</v>
      </c>
      <c r="D213" s="825">
        <v>655</v>
      </c>
      <c r="E213" s="825">
        <v>19285.8</v>
      </c>
      <c r="F213" s="821">
        <v>42337</v>
      </c>
      <c r="G213" s="822" t="s">
        <v>1143</v>
      </c>
      <c r="H213" s="823" t="s">
        <v>475</v>
      </c>
      <c r="I213" s="825"/>
      <c r="J213" s="825">
        <v>19201</v>
      </c>
      <c r="K213" s="419">
        <f t="shared" si="5"/>
        <v>0</v>
      </c>
      <c r="L213" s="187"/>
      <c r="M213" s="25"/>
      <c r="N213" s="279"/>
      <c r="O213" s="279"/>
    </row>
    <row r="214" spans="3:15">
      <c r="C214" s="822" t="s">
        <v>1238</v>
      </c>
      <c r="D214" s="825">
        <v>1905</v>
      </c>
      <c r="E214" s="825">
        <v>11046</v>
      </c>
      <c r="F214" s="821">
        <v>42337</v>
      </c>
      <c r="G214" s="822" t="s">
        <v>1238</v>
      </c>
      <c r="H214" s="823" t="s">
        <v>475</v>
      </c>
      <c r="I214" s="825"/>
      <c r="J214" s="825">
        <v>11055</v>
      </c>
      <c r="K214" s="419">
        <f t="shared" si="5"/>
        <v>0</v>
      </c>
      <c r="L214" s="190" t="s">
        <v>926</v>
      </c>
      <c r="M214" s="25">
        <v>1850</v>
      </c>
      <c r="N214" s="279">
        <v>8234</v>
      </c>
      <c r="O214" s="279">
        <f t="shared" si="6"/>
        <v>15232900</v>
      </c>
    </row>
    <row r="215" spans="3:15">
      <c r="C215" s="822" t="s">
        <v>1238</v>
      </c>
      <c r="D215" s="825">
        <v>2000</v>
      </c>
      <c r="E215" s="825">
        <v>8771</v>
      </c>
      <c r="F215" s="821">
        <v>42337</v>
      </c>
      <c r="G215" s="822" t="s">
        <v>1238</v>
      </c>
      <c r="H215" s="823" t="s">
        <v>475</v>
      </c>
      <c r="I215" s="825"/>
      <c r="J215" s="825">
        <v>8790</v>
      </c>
      <c r="K215" s="419">
        <f t="shared" si="5"/>
        <v>0</v>
      </c>
      <c r="L215" s="190" t="s">
        <v>927</v>
      </c>
      <c r="M215" s="25">
        <v>2000</v>
      </c>
      <c r="N215" s="279">
        <v>9383</v>
      </c>
      <c r="O215" s="279">
        <f t="shared" si="6"/>
        <v>18766000</v>
      </c>
    </row>
    <row r="216" spans="3:15">
      <c r="C216" s="190" t="s">
        <v>623</v>
      </c>
      <c r="D216" s="25">
        <v>850</v>
      </c>
      <c r="E216" s="279">
        <v>31200</v>
      </c>
      <c r="F216" s="189">
        <v>42337</v>
      </c>
      <c r="G216" s="190" t="s">
        <v>623</v>
      </c>
      <c r="H216" s="811" t="s">
        <v>1101</v>
      </c>
      <c r="I216" s="243"/>
      <c r="J216" s="243">
        <v>32500</v>
      </c>
      <c r="K216" s="419">
        <f t="shared" si="5"/>
        <v>0</v>
      </c>
      <c r="L216" s="190"/>
      <c r="M216" s="25"/>
      <c r="N216" s="279"/>
      <c r="O216" s="279"/>
    </row>
    <row r="217" spans="3:15">
      <c r="C217" s="190" t="s">
        <v>624</v>
      </c>
      <c r="D217" s="25">
        <v>850</v>
      </c>
      <c r="E217" s="279">
        <v>30432</v>
      </c>
      <c r="F217" s="189">
        <v>42337</v>
      </c>
      <c r="G217" s="190" t="s">
        <v>624</v>
      </c>
      <c r="H217" s="811" t="s">
        <v>1101</v>
      </c>
      <c r="I217" s="243"/>
      <c r="J217" s="243">
        <v>31700</v>
      </c>
      <c r="K217" s="419">
        <f t="shared" si="5"/>
        <v>0</v>
      </c>
      <c r="L217" s="190"/>
      <c r="M217" s="25"/>
      <c r="N217" s="279"/>
      <c r="O217" s="279"/>
    </row>
    <row r="218" spans="3:15">
      <c r="C218" s="190" t="s">
        <v>620</v>
      </c>
      <c r="D218" s="243">
        <v>2500</v>
      </c>
      <c r="E218" s="243">
        <v>14400</v>
      </c>
      <c r="F218" s="189">
        <v>42337</v>
      </c>
      <c r="G218" s="190" t="s">
        <v>620</v>
      </c>
      <c r="H218" s="811" t="s">
        <v>1101</v>
      </c>
      <c r="I218" s="243"/>
      <c r="J218" s="243">
        <v>15000</v>
      </c>
      <c r="K218" s="419">
        <f t="shared" si="5"/>
        <v>0</v>
      </c>
      <c r="L218" s="190"/>
      <c r="M218" s="25"/>
      <c r="N218" s="279"/>
      <c r="O218" s="279"/>
    </row>
    <row r="219" spans="3:15">
      <c r="C219" s="190" t="s">
        <v>621</v>
      </c>
      <c r="D219" s="243">
        <v>3000</v>
      </c>
      <c r="E219" s="243">
        <v>15840</v>
      </c>
      <c r="F219" s="189">
        <v>42337</v>
      </c>
      <c r="G219" s="190" t="s">
        <v>621</v>
      </c>
      <c r="H219" s="811" t="s">
        <v>1101</v>
      </c>
      <c r="I219" s="243"/>
      <c r="J219" s="243">
        <v>16500</v>
      </c>
      <c r="K219" s="419">
        <f t="shared" si="5"/>
        <v>0</v>
      </c>
      <c r="L219" s="190"/>
      <c r="M219" s="25"/>
      <c r="N219" s="279"/>
      <c r="O219" s="279"/>
    </row>
    <row r="220" spans="3:15">
      <c r="C220" s="190" t="s">
        <v>1258</v>
      </c>
      <c r="D220" s="25">
        <v>166</v>
      </c>
      <c r="E220" s="279">
        <v>35064</v>
      </c>
      <c r="F220" s="189">
        <v>42341</v>
      </c>
      <c r="G220" s="190" t="s">
        <v>1258</v>
      </c>
      <c r="H220" s="811" t="s">
        <v>1102</v>
      </c>
      <c r="I220" s="243"/>
      <c r="J220" s="243">
        <v>47780</v>
      </c>
      <c r="K220" s="419">
        <f t="shared" si="5"/>
        <v>0</v>
      </c>
      <c r="L220" s="190"/>
      <c r="M220" s="25"/>
      <c r="N220" s="279"/>
      <c r="O220" s="279"/>
    </row>
    <row r="221" spans="3:15">
      <c r="C221" s="190" t="s">
        <v>1238</v>
      </c>
      <c r="D221" s="279">
        <v>996</v>
      </c>
      <c r="E221" s="279">
        <v>8771</v>
      </c>
      <c r="F221" s="189">
        <v>42342</v>
      </c>
      <c r="G221" s="190" t="s">
        <v>1238</v>
      </c>
      <c r="H221" s="811" t="s">
        <v>1103</v>
      </c>
      <c r="I221" s="243"/>
      <c r="J221" s="243">
        <v>9800</v>
      </c>
      <c r="K221" s="419">
        <f t="shared" si="5"/>
        <v>0</v>
      </c>
      <c r="L221" s="190"/>
      <c r="M221" s="25"/>
      <c r="N221" s="279"/>
      <c r="O221" s="279"/>
    </row>
    <row r="222" spans="3:15">
      <c r="C222" s="190" t="s">
        <v>894</v>
      </c>
      <c r="D222" s="243">
        <v>200</v>
      </c>
      <c r="E222" s="243">
        <v>8351</v>
      </c>
      <c r="F222" s="189">
        <v>42345</v>
      </c>
      <c r="G222" s="190" t="s">
        <v>894</v>
      </c>
      <c r="H222" s="811" t="s">
        <v>691</v>
      </c>
      <c r="I222" s="243"/>
      <c r="J222" s="243">
        <v>8030</v>
      </c>
      <c r="K222" s="419">
        <f t="shared" si="5"/>
        <v>0</v>
      </c>
      <c r="L222" s="190"/>
      <c r="M222" s="25"/>
      <c r="N222" s="279"/>
      <c r="O222" s="279"/>
    </row>
    <row r="223" spans="3:15">
      <c r="C223" s="190" t="s">
        <v>712</v>
      </c>
      <c r="D223" s="25">
        <v>75</v>
      </c>
      <c r="E223" s="279">
        <v>22680</v>
      </c>
      <c r="F223" s="189">
        <v>42350</v>
      </c>
      <c r="G223" s="190" t="s">
        <v>712</v>
      </c>
      <c r="H223" s="811" t="s">
        <v>1104</v>
      </c>
      <c r="I223" s="243"/>
      <c r="J223" s="243">
        <v>31980</v>
      </c>
      <c r="K223" s="419">
        <f t="shared" si="5"/>
        <v>0</v>
      </c>
    </row>
    <row r="224" spans="3:15">
      <c r="C224" s="190" t="s">
        <v>1206</v>
      </c>
      <c r="D224" s="25">
        <v>300</v>
      </c>
      <c r="E224" s="279">
        <v>5996</v>
      </c>
      <c r="F224" s="189">
        <v>42350</v>
      </c>
      <c r="G224" s="190" t="s">
        <v>1206</v>
      </c>
      <c r="H224" s="811" t="s">
        <v>1104</v>
      </c>
      <c r="I224" s="243"/>
      <c r="J224" s="243">
        <v>7660</v>
      </c>
      <c r="K224" s="419">
        <f t="shared" si="5"/>
        <v>0</v>
      </c>
    </row>
    <row r="225" spans="3:15">
      <c r="C225" s="190" t="s">
        <v>623</v>
      </c>
      <c r="D225" s="243">
        <v>850</v>
      </c>
      <c r="E225" s="243">
        <v>30875</v>
      </c>
      <c r="F225" s="189">
        <v>42352</v>
      </c>
      <c r="G225" s="190" t="s">
        <v>623</v>
      </c>
      <c r="H225" s="811" t="s">
        <v>480</v>
      </c>
      <c r="I225" s="244"/>
      <c r="J225" s="244">
        <v>32500</v>
      </c>
      <c r="K225" s="419">
        <f t="shared" si="5"/>
        <v>0</v>
      </c>
      <c r="O225" s="279"/>
    </row>
    <row r="226" spans="3:15">
      <c r="C226" s="190" t="s">
        <v>624</v>
      </c>
      <c r="D226" s="25">
        <v>850</v>
      </c>
      <c r="E226" s="279">
        <v>30893.489361702126</v>
      </c>
      <c r="F226" s="189">
        <v>42352</v>
      </c>
      <c r="G226" s="190" t="s">
        <v>624</v>
      </c>
      <c r="H226" s="811" t="s">
        <v>480</v>
      </c>
      <c r="I226" s="243"/>
      <c r="J226" s="243">
        <v>31700</v>
      </c>
      <c r="K226" s="419">
        <f t="shared" si="5"/>
        <v>0</v>
      </c>
      <c r="O226" s="279"/>
    </row>
    <row r="227" spans="3:15">
      <c r="C227" s="190" t="s">
        <v>620</v>
      </c>
      <c r="D227" s="243">
        <v>4100</v>
      </c>
      <c r="E227" s="243">
        <v>14250</v>
      </c>
      <c r="F227" s="189">
        <v>42352</v>
      </c>
      <c r="G227" s="190" t="s">
        <v>620</v>
      </c>
      <c r="H227" s="811" t="s">
        <v>480</v>
      </c>
      <c r="I227" s="243"/>
      <c r="J227" s="243">
        <v>15000</v>
      </c>
      <c r="K227" s="419">
        <f t="shared" si="5"/>
        <v>0</v>
      </c>
      <c r="O227" s="279"/>
    </row>
    <row r="228" spans="3:15">
      <c r="C228" s="190" t="s">
        <v>621</v>
      </c>
      <c r="D228" s="243">
        <v>3000</v>
      </c>
      <c r="E228" s="243">
        <v>15675</v>
      </c>
      <c r="F228" s="189">
        <v>42352</v>
      </c>
      <c r="G228" s="190" t="s">
        <v>621</v>
      </c>
      <c r="H228" s="811" t="s">
        <v>480</v>
      </c>
      <c r="I228" s="243"/>
      <c r="J228" s="243">
        <v>16500</v>
      </c>
      <c r="K228" s="419">
        <f t="shared" si="5"/>
        <v>0</v>
      </c>
      <c r="O228" s="279"/>
    </row>
    <row r="229" spans="3:15">
      <c r="C229" s="190" t="s">
        <v>1237</v>
      </c>
      <c r="D229" s="25">
        <v>330</v>
      </c>
      <c r="E229" s="279">
        <v>8552</v>
      </c>
      <c r="F229" s="189">
        <v>42353</v>
      </c>
      <c r="G229" s="190" t="s">
        <v>1237</v>
      </c>
      <c r="H229" s="811" t="s">
        <v>741</v>
      </c>
      <c r="I229" s="243"/>
      <c r="J229" s="243">
        <v>13900</v>
      </c>
      <c r="K229" s="419">
        <f t="shared" si="5"/>
        <v>0</v>
      </c>
      <c r="O229" s="279"/>
    </row>
    <row r="230" spans="3:15">
      <c r="C230" s="190" t="s">
        <v>906</v>
      </c>
      <c r="D230" s="25">
        <v>490</v>
      </c>
      <c r="E230" s="279">
        <v>15600</v>
      </c>
      <c r="F230" s="189">
        <v>42353</v>
      </c>
      <c r="G230" s="190" t="s">
        <v>906</v>
      </c>
      <c r="H230" s="811" t="s">
        <v>1105</v>
      </c>
      <c r="I230" s="243"/>
      <c r="J230" s="243">
        <v>15000</v>
      </c>
      <c r="K230" s="419">
        <f t="shared" si="5"/>
        <v>0</v>
      </c>
      <c r="O230" s="279"/>
    </row>
    <row r="231" spans="3:15">
      <c r="C231" s="190" t="s">
        <v>907</v>
      </c>
      <c r="D231" s="25">
        <v>248</v>
      </c>
      <c r="E231" s="279">
        <v>16667</v>
      </c>
      <c r="F231" s="189">
        <v>42353</v>
      </c>
      <c r="G231" s="190" t="s">
        <v>907</v>
      </c>
      <c r="H231" s="811" t="s">
        <v>1105</v>
      </c>
      <c r="I231" s="243"/>
      <c r="J231" s="243">
        <v>16026</v>
      </c>
      <c r="K231" s="419">
        <f t="shared" si="5"/>
        <v>0</v>
      </c>
      <c r="O231" s="279"/>
    </row>
    <row r="232" spans="3:15">
      <c r="C232" s="190" t="s">
        <v>1236</v>
      </c>
      <c r="D232" s="25">
        <v>123</v>
      </c>
      <c r="E232" s="279">
        <v>11695</v>
      </c>
      <c r="F232" s="189">
        <v>42353</v>
      </c>
      <c r="G232" s="190" t="s">
        <v>1236</v>
      </c>
      <c r="H232" s="811" t="s">
        <v>1105</v>
      </c>
      <c r="I232" s="246"/>
      <c r="J232" s="246">
        <v>11245</v>
      </c>
      <c r="K232" s="419">
        <f t="shared" si="5"/>
        <v>0</v>
      </c>
      <c r="O232" s="279"/>
    </row>
    <row r="233" spans="3:15">
      <c r="C233" s="190" t="s">
        <v>908</v>
      </c>
      <c r="D233" s="25">
        <v>248</v>
      </c>
      <c r="E233" s="279">
        <v>11440</v>
      </c>
      <c r="F233" s="189">
        <v>42353</v>
      </c>
      <c r="G233" s="190" t="s">
        <v>908</v>
      </c>
      <c r="H233" s="811" t="s">
        <v>1105</v>
      </c>
      <c r="I233" s="243"/>
      <c r="J233" s="243">
        <v>11000</v>
      </c>
      <c r="K233" s="419">
        <f t="shared" si="5"/>
        <v>0</v>
      </c>
      <c r="O233" s="279"/>
    </row>
    <row r="234" spans="3:15">
      <c r="C234" s="190" t="s">
        <v>1238</v>
      </c>
      <c r="D234" s="279">
        <v>1000</v>
      </c>
      <c r="E234" s="279">
        <v>8771</v>
      </c>
      <c r="F234" s="189">
        <v>42359</v>
      </c>
      <c r="G234" s="190" t="s">
        <v>1238</v>
      </c>
      <c r="H234" s="811" t="s">
        <v>1107</v>
      </c>
      <c r="I234" s="243"/>
      <c r="J234" s="243">
        <v>9800</v>
      </c>
      <c r="K234" s="419">
        <f t="shared" si="5"/>
        <v>0</v>
      </c>
      <c r="O234" s="279"/>
    </row>
    <row r="235" spans="3:15">
      <c r="C235" s="190" t="s">
        <v>1235</v>
      </c>
      <c r="D235" s="25">
        <v>113</v>
      </c>
      <c r="E235" s="279">
        <v>23040</v>
      </c>
      <c r="F235" s="189">
        <v>42360</v>
      </c>
      <c r="G235" s="190" t="s">
        <v>1235</v>
      </c>
      <c r="H235" s="811" t="s">
        <v>482</v>
      </c>
      <c r="I235" s="243"/>
      <c r="J235" s="243">
        <v>32280</v>
      </c>
      <c r="K235" s="419">
        <f t="shared" si="5"/>
        <v>0</v>
      </c>
      <c r="O235" s="279"/>
    </row>
    <row r="236" spans="3:15">
      <c r="C236" s="190" t="s">
        <v>1206</v>
      </c>
      <c r="D236" s="25">
        <v>300</v>
      </c>
      <c r="E236" s="279">
        <v>5996</v>
      </c>
      <c r="F236" s="189">
        <v>42360</v>
      </c>
      <c r="G236" s="190" t="s">
        <v>1206</v>
      </c>
      <c r="H236" s="811" t="s">
        <v>482</v>
      </c>
      <c r="I236" s="243">
        <v>150</v>
      </c>
      <c r="J236" s="243">
        <v>7660</v>
      </c>
      <c r="K236" s="419">
        <f t="shared" si="5"/>
        <v>1149000</v>
      </c>
      <c r="O236" s="279"/>
    </row>
    <row r="237" spans="3:15">
      <c r="C237" s="190" t="s">
        <v>692</v>
      </c>
      <c r="D237" s="243">
        <v>500</v>
      </c>
      <c r="E237" s="243">
        <v>10476</v>
      </c>
      <c r="F237" s="189">
        <v>42362</v>
      </c>
      <c r="G237" s="190" t="s">
        <v>692</v>
      </c>
      <c r="H237" s="811" t="s">
        <v>1108</v>
      </c>
      <c r="I237" s="243"/>
      <c r="J237" s="243">
        <v>13300</v>
      </c>
      <c r="K237" s="419">
        <f t="shared" si="5"/>
        <v>0</v>
      </c>
      <c r="O237" s="279"/>
    </row>
    <row r="238" spans="3:15">
      <c r="C238" s="190" t="s">
        <v>1234</v>
      </c>
      <c r="D238" s="279">
        <v>3223</v>
      </c>
      <c r="E238" s="279">
        <v>1045</v>
      </c>
      <c r="F238" s="189">
        <v>42362</v>
      </c>
      <c r="G238" s="190" t="s">
        <v>1234</v>
      </c>
      <c r="H238" s="811" t="s">
        <v>1109</v>
      </c>
      <c r="I238" s="243"/>
      <c r="J238" s="243">
        <v>926</v>
      </c>
      <c r="K238" s="419">
        <f t="shared" si="5"/>
        <v>0</v>
      </c>
      <c r="O238" s="279"/>
    </row>
    <row r="239" spans="3:15">
      <c r="C239" s="190" t="s">
        <v>848</v>
      </c>
      <c r="D239" s="25">
        <v>62</v>
      </c>
      <c r="E239" s="279">
        <v>27528</v>
      </c>
      <c r="F239" s="189">
        <v>42362</v>
      </c>
      <c r="G239" s="190" t="s">
        <v>848</v>
      </c>
      <c r="H239" s="811" t="s">
        <v>1109</v>
      </c>
      <c r="I239" s="243"/>
      <c r="J239" s="243">
        <v>30280</v>
      </c>
      <c r="K239" s="419">
        <f t="shared" si="5"/>
        <v>0</v>
      </c>
      <c r="O239" s="279">
        <f t="shared" ref="O239:O255" si="7">D288*E288</f>
        <v>306664</v>
      </c>
    </row>
    <row r="240" spans="3:15">
      <c r="C240" s="190" t="s">
        <v>1233</v>
      </c>
      <c r="D240" s="243">
        <v>1500</v>
      </c>
      <c r="E240" s="243">
        <v>6119</v>
      </c>
      <c r="F240" s="189">
        <v>42367</v>
      </c>
      <c r="G240" s="190" t="s">
        <v>1233</v>
      </c>
      <c r="H240" s="811" t="s">
        <v>1112</v>
      </c>
      <c r="I240" s="243"/>
      <c r="J240" s="243">
        <v>6425</v>
      </c>
      <c r="K240" s="419">
        <f t="shared" si="5"/>
        <v>0</v>
      </c>
      <c r="O240" s="279">
        <f t="shared" si="7"/>
        <v>484120</v>
      </c>
    </row>
    <row r="241" spans="3:15">
      <c r="C241" s="190" t="s">
        <v>1232</v>
      </c>
      <c r="D241" s="243">
        <v>1500</v>
      </c>
      <c r="E241" s="243">
        <v>4182</v>
      </c>
      <c r="F241" s="189">
        <v>42367</v>
      </c>
      <c r="G241" s="190" t="s">
        <v>1232</v>
      </c>
      <c r="H241" s="811" t="s">
        <v>1112</v>
      </c>
      <c r="I241" s="243"/>
      <c r="J241" s="243">
        <v>4391</v>
      </c>
      <c r="K241" s="419">
        <f t="shared" si="5"/>
        <v>0</v>
      </c>
      <c r="O241" s="279">
        <f t="shared" si="7"/>
        <v>651276</v>
      </c>
    </row>
    <row r="242" spans="3:15">
      <c r="C242" s="190" t="s">
        <v>925</v>
      </c>
      <c r="D242" s="243">
        <v>1000</v>
      </c>
      <c r="E242" s="243">
        <v>9598</v>
      </c>
      <c r="F242" s="189">
        <v>42369</v>
      </c>
      <c r="G242" s="190" t="s">
        <v>925</v>
      </c>
      <c r="H242" s="811" t="s">
        <v>1113</v>
      </c>
      <c r="I242" s="243"/>
      <c r="J242" s="243">
        <v>10078</v>
      </c>
      <c r="K242" s="419">
        <f t="shared" si="5"/>
        <v>0</v>
      </c>
      <c r="O242" s="279">
        <f t="shared" si="7"/>
        <v>757390</v>
      </c>
    </row>
    <row r="243" spans="3:15">
      <c r="C243" s="190" t="s">
        <v>926</v>
      </c>
      <c r="D243" s="25">
        <v>900</v>
      </c>
      <c r="E243" s="279">
        <v>8234</v>
      </c>
      <c r="F243" s="189">
        <v>42369</v>
      </c>
      <c r="G243" s="190" t="s">
        <v>926</v>
      </c>
      <c r="H243" s="811" t="s">
        <v>1113</v>
      </c>
      <c r="I243" s="243"/>
      <c r="J243" s="243">
        <v>8646</v>
      </c>
      <c r="K243" s="419">
        <f t="shared" si="5"/>
        <v>0</v>
      </c>
      <c r="O243" s="279">
        <f t="shared" si="7"/>
        <v>536838</v>
      </c>
    </row>
    <row r="244" spans="3:15">
      <c r="C244" s="187" t="s">
        <v>1154</v>
      </c>
      <c r="D244" s="25">
        <v>20</v>
      </c>
      <c r="E244" s="279">
        <v>61390</v>
      </c>
      <c r="F244" s="189">
        <v>42369</v>
      </c>
      <c r="G244" s="187" t="s">
        <v>1154</v>
      </c>
      <c r="H244" s="811" t="s">
        <v>702</v>
      </c>
      <c r="I244" s="25"/>
      <c r="J244" s="825">
        <v>61500</v>
      </c>
      <c r="K244" s="419">
        <f t="shared" si="5"/>
        <v>0</v>
      </c>
      <c r="O244" s="279">
        <f t="shared" si="7"/>
        <v>999040</v>
      </c>
    </row>
    <row r="245" spans="3:15">
      <c r="C245" s="187" t="s">
        <v>1175</v>
      </c>
      <c r="D245" s="25">
        <v>12</v>
      </c>
      <c r="E245" s="279">
        <v>66528</v>
      </c>
      <c r="F245" s="189">
        <v>42369</v>
      </c>
      <c r="G245" s="187" t="s">
        <v>1175</v>
      </c>
      <c r="H245" s="811" t="s">
        <v>702</v>
      </c>
      <c r="I245" s="25"/>
      <c r="J245" s="825">
        <v>66600</v>
      </c>
      <c r="K245" s="419">
        <f t="shared" si="5"/>
        <v>0</v>
      </c>
      <c r="O245" s="279">
        <f t="shared" si="7"/>
        <v>259850</v>
      </c>
    </row>
    <row r="246" spans="3:15">
      <c r="C246" s="187" t="s">
        <v>1164</v>
      </c>
      <c r="D246" s="25">
        <v>10</v>
      </c>
      <c r="E246" s="279">
        <v>75810</v>
      </c>
      <c r="F246" s="189">
        <v>42369</v>
      </c>
      <c r="G246" s="187" t="s">
        <v>1164</v>
      </c>
      <c r="H246" s="811" t="s">
        <v>702</v>
      </c>
      <c r="I246" s="25"/>
      <c r="J246" s="825">
        <v>75900</v>
      </c>
      <c r="K246" s="419">
        <f t="shared" si="5"/>
        <v>0</v>
      </c>
      <c r="O246" s="279">
        <f t="shared" si="7"/>
        <v>505200</v>
      </c>
    </row>
    <row r="247" spans="3:15">
      <c r="C247" s="187" t="s">
        <v>1165</v>
      </c>
      <c r="D247" s="25">
        <v>25</v>
      </c>
      <c r="E247" s="279">
        <v>18663</v>
      </c>
      <c r="F247" s="189">
        <v>42369</v>
      </c>
      <c r="G247" s="187" t="s">
        <v>1165</v>
      </c>
      <c r="H247" s="811" t="s">
        <v>702</v>
      </c>
      <c r="I247" s="25"/>
      <c r="J247" s="825">
        <v>18680</v>
      </c>
      <c r="K247" s="419">
        <f t="shared" si="5"/>
        <v>0</v>
      </c>
      <c r="O247" s="279">
        <f t="shared" si="7"/>
        <v>201384</v>
      </c>
    </row>
    <row r="248" spans="3:15">
      <c r="C248" s="187" t="s">
        <v>1160</v>
      </c>
      <c r="D248" s="25">
        <v>28</v>
      </c>
      <c r="E248" s="279">
        <v>17075</v>
      </c>
      <c r="F248" s="189">
        <v>42369</v>
      </c>
      <c r="G248" s="187" t="s">
        <v>1160</v>
      </c>
      <c r="H248" s="811" t="s">
        <v>702</v>
      </c>
      <c r="I248" s="25"/>
      <c r="J248" s="825">
        <v>17200</v>
      </c>
      <c r="K248" s="419">
        <f t="shared" si="5"/>
        <v>0</v>
      </c>
      <c r="O248" s="279">
        <f t="shared" si="7"/>
        <v>4716004</v>
      </c>
    </row>
    <row r="249" spans="3:15">
      <c r="C249" s="187" t="s">
        <v>1152</v>
      </c>
      <c r="D249" s="25">
        <v>12</v>
      </c>
      <c r="E249" s="279">
        <v>25742</v>
      </c>
      <c r="F249" s="189">
        <v>42369</v>
      </c>
      <c r="G249" s="187" t="s">
        <v>1152</v>
      </c>
      <c r="H249" s="811" t="s">
        <v>702</v>
      </c>
      <c r="I249" s="25"/>
      <c r="J249" s="825">
        <v>25800</v>
      </c>
      <c r="K249" s="419">
        <f t="shared" si="5"/>
        <v>0</v>
      </c>
      <c r="O249" s="279">
        <f t="shared" si="7"/>
        <v>172536</v>
      </c>
    </row>
    <row r="250" spans="3:15">
      <c r="C250" s="187" t="s">
        <v>1168</v>
      </c>
      <c r="D250" s="25">
        <v>8</v>
      </c>
      <c r="E250" s="279">
        <v>19062</v>
      </c>
      <c r="F250" s="189">
        <v>42369</v>
      </c>
      <c r="G250" s="187" t="s">
        <v>1168</v>
      </c>
      <c r="H250" s="811" t="s">
        <v>702</v>
      </c>
      <c r="I250" s="25"/>
      <c r="J250" s="825">
        <v>19200</v>
      </c>
      <c r="K250" s="419">
        <f t="shared" si="5"/>
        <v>0</v>
      </c>
      <c r="O250" s="279">
        <f t="shared" si="7"/>
        <v>324064</v>
      </c>
    </row>
    <row r="251" spans="3:15">
      <c r="C251" s="187" t="s">
        <v>1151</v>
      </c>
      <c r="D251" s="25">
        <v>12</v>
      </c>
      <c r="E251" s="279">
        <v>30548</v>
      </c>
      <c r="F251" s="189">
        <v>42369</v>
      </c>
      <c r="G251" s="187" t="s">
        <v>1151</v>
      </c>
      <c r="H251" s="811" t="s">
        <v>702</v>
      </c>
      <c r="I251" s="25"/>
      <c r="J251" s="825">
        <v>30600</v>
      </c>
      <c r="K251" s="419">
        <f t="shared" si="5"/>
        <v>0</v>
      </c>
      <c r="O251" s="279">
        <f t="shared" si="7"/>
        <v>4203000</v>
      </c>
    </row>
    <row r="252" spans="3:15">
      <c r="C252" s="190" t="s">
        <v>1147</v>
      </c>
      <c r="D252" s="25">
        <v>74</v>
      </c>
      <c r="E252" s="279">
        <v>30875</v>
      </c>
      <c r="F252" s="189">
        <v>42369</v>
      </c>
      <c r="G252" s="190" t="s">
        <v>1147</v>
      </c>
      <c r="H252" s="811" t="s">
        <v>702</v>
      </c>
      <c r="I252" s="25"/>
      <c r="J252" s="825">
        <v>31000</v>
      </c>
      <c r="K252" s="419">
        <f t="shared" si="5"/>
        <v>0</v>
      </c>
      <c r="O252" s="279">
        <f t="shared" si="7"/>
        <v>21115600</v>
      </c>
    </row>
    <row r="253" spans="3:15">
      <c r="C253" s="187" t="s">
        <v>1153</v>
      </c>
      <c r="D253" s="25">
        <v>12</v>
      </c>
      <c r="E253" s="279">
        <v>22281</v>
      </c>
      <c r="F253" s="189">
        <v>42369</v>
      </c>
      <c r="G253" s="187" t="s">
        <v>1153</v>
      </c>
      <c r="H253" s="811" t="s">
        <v>702</v>
      </c>
      <c r="I253" s="25"/>
      <c r="J253" s="825">
        <v>22400</v>
      </c>
      <c r="K253" s="419">
        <f t="shared" si="5"/>
        <v>0</v>
      </c>
      <c r="O253" s="279">
        <f t="shared" si="7"/>
        <v>12238000</v>
      </c>
    </row>
    <row r="254" spans="3:15">
      <c r="C254" s="190" t="s">
        <v>1148</v>
      </c>
      <c r="D254" s="25">
        <v>72</v>
      </c>
      <c r="E254" s="279">
        <v>30249</v>
      </c>
      <c r="F254" s="189">
        <v>42369</v>
      </c>
      <c r="G254" s="190" t="s">
        <v>1148</v>
      </c>
      <c r="H254" s="811" t="s">
        <v>702</v>
      </c>
      <c r="I254" s="25"/>
      <c r="J254" s="825">
        <v>30500</v>
      </c>
      <c r="K254" s="419">
        <f t="shared" si="5"/>
        <v>0</v>
      </c>
      <c r="O254" s="279">
        <f t="shared" si="7"/>
        <v>15232900</v>
      </c>
    </row>
    <row r="255" spans="3:15">
      <c r="C255" s="187" t="s">
        <v>1161</v>
      </c>
      <c r="D255" s="25">
        <v>6</v>
      </c>
      <c r="E255" s="279">
        <v>38356</v>
      </c>
      <c r="F255" s="189">
        <v>42369</v>
      </c>
      <c r="G255" s="187" t="s">
        <v>1161</v>
      </c>
      <c r="H255" s="811" t="s">
        <v>702</v>
      </c>
      <c r="I255" s="25"/>
      <c r="J255" s="825">
        <v>38500</v>
      </c>
      <c r="K255" s="419">
        <f t="shared" si="5"/>
        <v>0</v>
      </c>
      <c r="O255" s="279">
        <f t="shared" si="7"/>
        <v>18766000</v>
      </c>
    </row>
    <row r="256" spans="3:15">
      <c r="C256" s="187" t="s">
        <v>1149</v>
      </c>
      <c r="D256" s="25">
        <v>6</v>
      </c>
      <c r="E256" s="279">
        <v>34271</v>
      </c>
      <c r="F256" s="189">
        <v>42369</v>
      </c>
      <c r="G256" s="187" t="s">
        <v>1149</v>
      </c>
      <c r="H256" s="811" t="s">
        <v>702</v>
      </c>
      <c r="I256" s="25"/>
      <c r="J256" s="825">
        <v>34500</v>
      </c>
      <c r="K256" s="419">
        <f t="shared" si="5"/>
        <v>0</v>
      </c>
      <c r="L256" s="190" t="s">
        <v>624</v>
      </c>
      <c r="M256" s="25">
        <v>650</v>
      </c>
      <c r="N256" s="279">
        <v>31496.975384615384</v>
      </c>
      <c r="O256" s="279">
        <f>M256*N256</f>
        <v>20473034</v>
      </c>
    </row>
    <row r="257" spans="3:15">
      <c r="C257" s="187" t="s">
        <v>1174</v>
      </c>
      <c r="D257" s="25">
        <v>12</v>
      </c>
      <c r="E257" s="279">
        <v>35924</v>
      </c>
      <c r="F257" s="189">
        <v>42369</v>
      </c>
      <c r="G257" s="187" t="s">
        <v>1174</v>
      </c>
      <c r="H257" s="811" t="s">
        <v>702</v>
      </c>
      <c r="I257" s="25"/>
      <c r="J257" s="825">
        <v>36000</v>
      </c>
      <c r="K257" s="419">
        <f t="shared" si="5"/>
        <v>0</v>
      </c>
      <c r="L257" s="190" t="s">
        <v>623</v>
      </c>
      <c r="M257" s="25">
        <v>650</v>
      </c>
      <c r="N257" s="279">
        <v>30875</v>
      </c>
      <c r="O257" s="279">
        <f>M257*N257</f>
        <v>20068750</v>
      </c>
    </row>
    <row r="258" spans="3:15">
      <c r="C258" s="187" t="s">
        <v>1172</v>
      </c>
      <c r="D258" s="25">
        <v>24</v>
      </c>
      <c r="E258" s="279">
        <v>36470</v>
      </c>
      <c r="F258" s="189">
        <v>42369</v>
      </c>
      <c r="G258" s="187" t="s">
        <v>1172</v>
      </c>
      <c r="H258" s="811" t="s">
        <v>702</v>
      </c>
      <c r="I258" s="25"/>
      <c r="J258" s="825">
        <v>36500</v>
      </c>
      <c r="K258" s="419">
        <f t="shared" si="5"/>
        <v>0</v>
      </c>
      <c r="L258" s="190" t="s">
        <v>1238</v>
      </c>
      <c r="M258" s="25">
        <v>4905</v>
      </c>
      <c r="N258" s="279">
        <v>9654.5626911314994</v>
      </c>
      <c r="O258" s="279">
        <f>M258*N258</f>
        <v>47355630.000000007</v>
      </c>
    </row>
    <row r="259" spans="3:15">
      <c r="C259" s="187" t="s">
        <v>1166</v>
      </c>
      <c r="D259" s="25">
        <v>6</v>
      </c>
      <c r="E259" s="279">
        <v>37724</v>
      </c>
      <c r="F259" s="189">
        <v>42369</v>
      </c>
      <c r="G259" s="187" t="s">
        <v>1166</v>
      </c>
      <c r="H259" s="811" t="s">
        <v>702</v>
      </c>
      <c r="I259" s="25"/>
      <c r="J259" s="825">
        <v>37800</v>
      </c>
      <c r="K259" s="419">
        <f t="shared" ref="K259:K304" si="8">J259*I259</f>
        <v>0</v>
      </c>
    </row>
    <row r="260" spans="3:15">
      <c r="C260" s="187" t="s">
        <v>1167</v>
      </c>
      <c r="D260" s="25">
        <v>6</v>
      </c>
      <c r="E260" s="279">
        <v>42868</v>
      </c>
      <c r="F260" s="189">
        <v>42369</v>
      </c>
      <c r="G260" s="187" t="s">
        <v>1167</v>
      </c>
      <c r="H260" s="811" t="s">
        <v>702</v>
      </c>
      <c r="I260" s="25"/>
      <c r="J260" s="825">
        <v>4300</v>
      </c>
      <c r="K260" s="419">
        <f t="shared" si="8"/>
        <v>0</v>
      </c>
    </row>
    <row r="261" spans="3:15">
      <c r="C261" s="190" t="s">
        <v>1146</v>
      </c>
      <c r="D261" s="25">
        <v>36</v>
      </c>
      <c r="E261" s="279">
        <v>45666</v>
      </c>
      <c r="F261" s="189">
        <v>42369</v>
      </c>
      <c r="G261" s="190" t="s">
        <v>1146</v>
      </c>
      <c r="H261" s="811" t="s">
        <v>702</v>
      </c>
      <c r="I261" s="25"/>
      <c r="J261" s="825">
        <v>45800</v>
      </c>
      <c r="K261" s="419">
        <f t="shared" si="8"/>
        <v>0</v>
      </c>
    </row>
    <row r="262" spans="3:15">
      <c r="C262" s="187" t="s">
        <v>1157</v>
      </c>
      <c r="D262" s="25">
        <v>6</v>
      </c>
      <c r="E262" s="279">
        <v>77455</v>
      </c>
      <c r="F262" s="189">
        <v>42369</v>
      </c>
      <c r="G262" s="187" t="s">
        <v>1157</v>
      </c>
      <c r="H262" s="811" t="s">
        <v>702</v>
      </c>
      <c r="I262" s="25"/>
      <c r="J262" s="825">
        <v>77500</v>
      </c>
      <c r="K262" s="419">
        <f t="shared" si="8"/>
        <v>0</v>
      </c>
    </row>
    <row r="263" spans="3:15">
      <c r="C263" s="187" t="s">
        <v>1156</v>
      </c>
      <c r="D263" s="25">
        <v>14</v>
      </c>
      <c r="E263" s="279">
        <v>42123</v>
      </c>
      <c r="F263" s="189">
        <v>42369</v>
      </c>
      <c r="G263" s="187" t="s">
        <v>1156</v>
      </c>
      <c r="H263" s="811" t="s">
        <v>702</v>
      </c>
      <c r="I263" s="25"/>
      <c r="J263" s="825">
        <v>42300</v>
      </c>
      <c r="K263" s="419">
        <f t="shared" si="8"/>
        <v>0</v>
      </c>
    </row>
    <row r="264" spans="3:15">
      <c r="C264" s="187" t="s">
        <v>1155</v>
      </c>
      <c r="D264" s="25">
        <v>18</v>
      </c>
      <c r="E264" s="279">
        <v>42683</v>
      </c>
      <c r="F264" s="189">
        <v>42369</v>
      </c>
      <c r="G264" s="187" t="s">
        <v>1155</v>
      </c>
      <c r="H264" s="811" t="s">
        <v>702</v>
      </c>
      <c r="I264" s="25"/>
      <c r="J264" s="825">
        <v>42700</v>
      </c>
      <c r="K264" s="419">
        <f t="shared" si="8"/>
        <v>0</v>
      </c>
    </row>
    <row r="265" spans="3:15">
      <c r="C265" s="190" t="s">
        <v>1145</v>
      </c>
      <c r="D265" s="25">
        <v>14</v>
      </c>
      <c r="E265" s="279">
        <v>57615</v>
      </c>
      <c r="F265" s="189">
        <v>42369</v>
      </c>
      <c r="G265" s="190" t="s">
        <v>1145</v>
      </c>
      <c r="H265" s="811" t="s">
        <v>702</v>
      </c>
      <c r="I265" s="25"/>
      <c r="J265" s="825">
        <v>57800</v>
      </c>
      <c r="K265" s="419">
        <f t="shared" si="8"/>
        <v>0</v>
      </c>
    </row>
    <row r="266" spans="3:15">
      <c r="C266" s="187" t="s">
        <v>1173</v>
      </c>
      <c r="D266" s="25">
        <v>12</v>
      </c>
      <c r="E266" s="279">
        <v>45436</v>
      </c>
      <c r="F266" s="189">
        <v>42369</v>
      </c>
      <c r="G266" s="187" t="s">
        <v>1173</v>
      </c>
      <c r="H266" s="811" t="s">
        <v>702</v>
      </c>
      <c r="I266" s="25"/>
      <c r="J266" s="825">
        <v>45500</v>
      </c>
      <c r="K266" s="419">
        <f t="shared" si="8"/>
        <v>0</v>
      </c>
    </row>
    <row r="267" spans="3:15">
      <c r="C267" s="187" t="s">
        <v>1150</v>
      </c>
      <c r="D267" s="25">
        <v>8</v>
      </c>
      <c r="E267" s="279">
        <v>38009</v>
      </c>
      <c r="F267" s="189">
        <v>42369</v>
      </c>
      <c r="G267" s="187" t="s">
        <v>1150</v>
      </c>
      <c r="H267" s="811" t="s">
        <v>702</v>
      </c>
      <c r="I267" s="25"/>
      <c r="J267" s="825">
        <v>38200</v>
      </c>
      <c r="K267" s="419">
        <f t="shared" si="8"/>
        <v>0</v>
      </c>
      <c r="O267" s="279"/>
    </row>
    <row r="268" spans="3:15">
      <c r="C268" s="187" t="s">
        <v>1159</v>
      </c>
      <c r="D268" s="25">
        <v>30</v>
      </c>
      <c r="E268" s="279">
        <v>48157</v>
      </c>
      <c r="F268" s="189">
        <v>42369</v>
      </c>
      <c r="G268" s="187" t="s">
        <v>1159</v>
      </c>
      <c r="H268" s="811" t="s">
        <v>702</v>
      </c>
      <c r="I268" s="25"/>
      <c r="J268" s="825">
        <v>48200</v>
      </c>
      <c r="K268" s="419">
        <f t="shared" si="8"/>
        <v>0</v>
      </c>
      <c r="O268" s="279"/>
    </row>
    <row r="269" spans="3:15">
      <c r="C269" s="187" t="s">
        <v>1163</v>
      </c>
      <c r="D269" s="25">
        <v>7</v>
      </c>
      <c r="E269" s="279">
        <v>47381</v>
      </c>
      <c r="F269" s="189">
        <v>42369</v>
      </c>
      <c r="G269" s="187" t="s">
        <v>1163</v>
      </c>
      <c r="H269" s="811" t="s">
        <v>702</v>
      </c>
      <c r="I269" s="25"/>
      <c r="J269" s="825">
        <v>47500</v>
      </c>
      <c r="K269" s="419">
        <f t="shared" si="8"/>
        <v>0</v>
      </c>
      <c r="O269" s="279"/>
    </row>
    <row r="270" spans="3:15">
      <c r="C270" s="187" t="s">
        <v>1169</v>
      </c>
      <c r="D270" s="25">
        <v>8</v>
      </c>
      <c r="E270" s="279">
        <v>73102</v>
      </c>
      <c r="F270" s="189">
        <v>42369</v>
      </c>
      <c r="G270" s="187" t="s">
        <v>1169</v>
      </c>
      <c r="H270" s="811" t="s">
        <v>702</v>
      </c>
      <c r="I270" s="25"/>
      <c r="J270" s="825">
        <v>73300</v>
      </c>
      <c r="K270" s="419">
        <f t="shared" si="8"/>
        <v>0</v>
      </c>
      <c r="O270" s="279"/>
    </row>
    <row r="271" spans="3:15">
      <c r="C271" s="187" t="s">
        <v>1158</v>
      </c>
      <c r="D271" s="25">
        <v>24</v>
      </c>
      <c r="E271" s="279">
        <v>71766</v>
      </c>
      <c r="F271" s="189">
        <v>42369</v>
      </c>
      <c r="G271" s="187" t="s">
        <v>1158</v>
      </c>
      <c r="H271" s="811" t="s">
        <v>702</v>
      </c>
      <c r="I271" s="25"/>
      <c r="J271" s="825">
        <v>72000</v>
      </c>
      <c r="K271" s="419">
        <f t="shared" si="8"/>
        <v>0</v>
      </c>
      <c r="O271" s="279"/>
    </row>
    <row r="272" spans="3:15">
      <c r="C272" s="187" t="s">
        <v>1171</v>
      </c>
      <c r="D272" s="25">
        <v>8</v>
      </c>
      <c r="E272" s="279">
        <v>66969</v>
      </c>
      <c r="F272" s="189">
        <v>42369</v>
      </c>
      <c r="G272" s="187" t="s">
        <v>1171</v>
      </c>
      <c r="H272" s="811" t="s">
        <v>702</v>
      </c>
      <c r="I272" s="25"/>
      <c r="J272" s="825">
        <v>67000</v>
      </c>
      <c r="K272" s="419">
        <f t="shared" si="8"/>
        <v>0</v>
      </c>
      <c r="O272" s="279"/>
    </row>
    <row r="273" spans="3:15">
      <c r="C273" s="187" t="s">
        <v>1162</v>
      </c>
      <c r="D273" s="25">
        <v>10</v>
      </c>
      <c r="E273" s="279">
        <v>71080</v>
      </c>
      <c r="F273" s="189">
        <v>42369</v>
      </c>
      <c r="G273" s="187" t="s">
        <v>1162</v>
      </c>
      <c r="H273" s="811" t="s">
        <v>702</v>
      </c>
      <c r="I273" s="25"/>
      <c r="J273" s="825">
        <v>71200</v>
      </c>
      <c r="K273" s="419">
        <f t="shared" si="8"/>
        <v>0</v>
      </c>
      <c r="O273" s="279"/>
    </row>
    <row r="274" spans="3:15">
      <c r="C274" s="187" t="s">
        <v>1170</v>
      </c>
      <c r="D274" s="25">
        <v>7</v>
      </c>
      <c r="E274" s="279">
        <v>85340</v>
      </c>
      <c r="F274" s="189">
        <v>42369</v>
      </c>
      <c r="G274" s="187" t="s">
        <v>1170</v>
      </c>
      <c r="H274" s="811" t="s">
        <v>702</v>
      </c>
      <c r="I274" s="25"/>
      <c r="J274" s="825">
        <v>85500</v>
      </c>
      <c r="K274" s="419">
        <f t="shared" si="8"/>
        <v>0</v>
      </c>
      <c r="O274" s="279"/>
    </row>
    <row r="275" spans="3:15">
      <c r="C275" s="190" t="s">
        <v>935</v>
      </c>
      <c r="D275" s="25">
        <v>30</v>
      </c>
      <c r="E275" s="279">
        <v>29223</v>
      </c>
      <c r="F275" s="189">
        <v>42369</v>
      </c>
      <c r="G275" s="190" t="s">
        <v>935</v>
      </c>
      <c r="H275" s="811" t="s">
        <v>702</v>
      </c>
      <c r="I275" s="25"/>
      <c r="J275" s="825">
        <v>29223</v>
      </c>
      <c r="K275" s="419">
        <f t="shared" si="8"/>
        <v>0</v>
      </c>
    </row>
    <row r="276" spans="3:15">
      <c r="C276" s="190" t="s">
        <v>933</v>
      </c>
      <c r="D276" s="25">
        <v>271</v>
      </c>
      <c r="E276" s="279">
        <v>33332.62361623616</v>
      </c>
      <c r="F276" s="189">
        <v>42369</v>
      </c>
      <c r="G276" s="190" t="s">
        <v>933</v>
      </c>
      <c r="H276" s="811" t="s">
        <v>702</v>
      </c>
      <c r="I276" s="25"/>
      <c r="J276" s="825">
        <v>33332.62361623616</v>
      </c>
      <c r="K276" s="419">
        <f t="shared" si="8"/>
        <v>0</v>
      </c>
    </row>
    <row r="277" spans="3:15">
      <c r="C277" s="190" t="s">
        <v>932</v>
      </c>
      <c r="D277" s="25">
        <v>133</v>
      </c>
      <c r="E277" s="279">
        <v>69835</v>
      </c>
      <c r="F277" s="189">
        <v>42369</v>
      </c>
      <c r="G277" s="190" t="s">
        <v>932</v>
      </c>
      <c r="H277" s="811" t="s">
        <v>702</v>
      </c>
      <c r="I277" s="25"/>
      <c r="J277" s="825">
        <v>69835</v>
      </c>
      <c r="K277" s="419">
        <f t="shared" si="8"/>
        <v>0</v>
      </c>
    </row>
    <row r="278" spans="3:15">
      <c r="C278" s="190" t="s">
        <v>934</v>
      </c>
      <c r="D278" s="25">
        <v>647</v>
      </c>
      <c r="E278" s="279">
        <v>12532</v>
      </c>
      <c r="F278" s="189">
        <v>42369</v>
      </c>
      <c r="G278" s="190" t="s">
        <v>934</v>
      </c>
      <c r="H278" s="811" t="s">
        <v>702</v>
      </c>
      <c r="I278" s="25"/>
      <c r="J278" s="825">
        <v>12532</v>
      </c>
      <c r="K278" s="419">
        <f t="shared" si="8"/>
        <v>0</v>
      </c>
    </row>
    <row r="279" spans="3:15">
      <c r="C279" s="190" t="s">
        <v>952</v>
      </c>
      <c r="D279" s="25">
        <v>1500</v>
      </c>
      <c r="E279" s="279">
        <v>11831</v>
      </c>
      <c r="F279" s="189">
        <v>42369</v>
      </c>
      <c r="G279" s="190" t="s">
        <v>952</v>
      </c>
      <c r="H279" s="811" t="s">
        <v>702</v>
      </c>
      <c r="I279" s="25"/>
      <c r="J279" s="825">
        <v>11831</v>
      </c>
      <c r="K279" s="419">
        <f t="shared" si="8"/>
        <v>0</v>
      </c>
    </row>
    <row r="280" spans="3:15">
      <c r="C280" s="190" t="s">
        <v>937</v>
      </c>
      <c r="D280" s="25">
        <v>60</v>
      </c>
      <c r="E280" s="279">
        <v>14841</v>
      </c>
      <c r="F280" s="189">
        <v>42369</v>
      </c>
      <c r="G280" s="190" t="s">
        <v>937</v>
      </c>
      <c r="H280" s="811" t="s">
        <v>702</v>
      </c>
      <c r="I280" s="25"/>
      <c r="J280" s="825">
        <v>14847</v>
      </c>
      <c r="K280" s="419">
        <f t="shared" si="8"/>
        <v>0</v>
      </c>
    </row>
    <row r="281" spans="3:15">
      <c r="C281" s="190" t="s">
        <v>938</v>
      </c>
      <c r="D281" s="25">
        <v>60</v>
      </c>
      <c r="E281" s="279">
        <v>17460</v>
      </c>
      <c r="F281" s="189">
        <v>42369</v>
      </c>
      <c r="G281" s="190" t="s">
        <v>938</v>
      </c>
      <c r="H281" s="811" t="s">
        <v>702</v>
      </c>
      <c r="I281" s="25"/>
      <c r="J281" s="825">
        <v>17460</v>
      </c>
      <c r="K281" s="419">
        <f t="shared" si="8"/>
        <v>0</v>
      </c>
    </row>
    <row r="282" spans="3:15">
      <c r="C282" s="190" t="s">
        <v>909</v>
      </c>
      <c r="D282" s="25">
        <v>40</v>
      </c>
      <c r="E282" s="279">
        <v>21186</v>
      </c>
      <c r="F282" s="189">
        <v>42369</v>
      </c>
      <c r="G282" s="190" t="s">
        <v>909</v>
      </c>
      <c r="H282" s="811" t="s">
        <v>702</v>
      </c>
      <c r="I282" s="25"/>
      <c r="J282" s="825">
        <v>21186</v>
      </c>
      <c r="K282" s="419">
        <f t="shared" si="8"/>
        <v>0</v>
      </c>
    </row>
    <row r="283" spans="3:15">
      <c r="C283" s="190" t="s">
        <v>939</v>
      </c>
      <c r="D283" s="25">
        <v>60</v>
      </c>
      <c r="E283" s="279">
        <v>21960</v>
      </c>
      <c r="F283" s="189">
        <v>42369</v>
      </c>
      <c r="G283" s="190" t="s">
        <v>939</v>
      </c>
      <c r="H283" s="811" t="s">
        <v>702</v>
      </c>
      <c r="I283" s="25"/>
      <c r="J283" s="825">
        <v>21960</v>
      </c>
      <c r="K283" s="419">
        <f t="shared" si="8"/>
        <v>0</v>
      </c>
    </row>
    <row r="284" spans="3:15">
      <c r="C284" s="190" t="s">
        <v>956</v>
      </c>
      <c r="D284" s="25">
        <v>55</v>
      </c>
      <c r="E284" s="279">
        <v>11443</v>
      </c>
      <c r="F284" s="189">
        <v>42369</v>
      </c>
      <c r="G284" s="190" t="s">
        <v>956</v>
      </c>
      <c r="H284" s="811" t="s">
        <v>702</v>
      </c>
      <c r="I284" s="25"/>
      <c r="J284" s="825">
        <v>11950</v>
      </c>
      <c r="K284" s="419">
        <f t="shared" si="8"/>
        <v>0</v>
      </c>
    </row>
    <row r="285" spans="3:15">
      <c r="C285" s="190" t="s">
        <v>936</v>
      </c>
      <c r="D285" s="25">
        <v>30</v>
      </c>
      <c r="E285" s="279">
        <v>19890</v>
      </c>
      <c r="F285" s="189">
        <v>42369</v>
      </c>
      <c r="G285" s="190" t="s">
        <v>936</v>
      </c>
      <c r="H285" s="811" t="s">
        <v>702</v>
      </c>
      <c r="I285" s="25"/>
      <c r="J285" s="825">
        <v>20000</v>
      </c>
      <c r="K285" s="419">
        <f t="shared" si="8"/>
        <v>0</v>
      </c>
    </row>
    <row r="286" spans="3:15">
      <c r="C286" s="190" t="s">
        <v>1220</v>
      </c>
      <c r="D286" s="25">
        <v>10</v>
      </c>
      <c r="E286" s="279">
        <v>47405</v>
      </c>
      <c r="F286" s="189">
        <v>42369</v>
      </c>
      <c r="G286" s="190" t="s">
        <v>1220</v>
      </c>
      <c r="H286" s="811" t="s">
        <v>702</v>
      </c>
      <c r="I286" s="25"/>
      <c r="J286" s="279">
        <v>47500</v>
      </c>
      <c r="K286" s="419">
        <f t="shared" si="8"/>
        <v>0</v>
      </c>
    </row>
    <row r="287" spans="3:15">
      <c r="C287" s="187" t="s">
        <v>1230</v>
      </c>
      <c r="D287" s="25">
        <v>24</v>
      </c>
      <c r="E287" s="279">
        <v>75751</v>
      </c>
      <c r="F287" s="189">
        <v>42369</v>
      </c>
      <c r="G287" s="187" t="s">
        <v>1230</v>
      </c>
      <c r="H287" s="811" t="s">
        <v>702</v>
      </c>
      <c r="I287" s="25"/>
      <c r="J287" s="279">
        <v>76000</v>
      </c>
      <c r="K287" s="419">
        <f t="shared" si="8"/>
        <v>0</v>
      </c>
    </row>
    <row r="288" spans="3:15">
      <c r="C288" s="190" t="s">
        <v>1219</v>
      </c>
      <c r="D288" s="25">
        <v>8</v>
      </c>
      <c r="E288" s="279">
        <v>38333</v>
      </c>
      <c r="F288" s="189">
        <v>42369</v>
      </c>
      <c r="G288" s="822" t="s">
        <v>1219</v>
      </c>
      <c r="H288" s="811" t="s">
        <v>1114</v>
      </c>
      <c r="I288" s="825"/>
      <c r="J288" s="825">
        <v>38400</v>
      </c>
      <c r="K288" s="419">
        <f t="shared" si="8"/>
        <v>0</v>
      </c>
    </row>
    <row r="289" spans="3:11">
      <c r="C289" s="190" t="s">
        <v>1222</v>
      </c>
      <c r="D289" s="25">
        <v>8</v>
      </c>
      <c r="E289" s="279">
        <v>60515</v>
      </c>
      <c r="F289" s="189">
        <v>42369</v>
      </c>
      <c r="G289" s="822" t="s">
        <v>1222</v>
      </c>
      <c r="H289" s="811" t="s">
        <v>1114</v>
      </c>
      <c r="I289" s="825"/>
      <c r="J289" s="825">
        <v>60550</v>
      </c>
      <c r="K289" s="419">
        <f t="shared" si="8"/>
        <v>0</v>
      </c>
    </row>
    <row r="290" spans="3:11">
      <c r="C290" s="190" t="s">
        <v>1223</v>
      </c>
      <c r="D290" s="25">
        <v>12</v>
      </c>
      <c r="E290" s="279">
        <v>54273</v>
      </c>
      <c r="F290" s="189">
        <v>42369</v>
      </c>
      <c r="G290" s="822" t="s">
        <v>1223</v>
      </c>
      <c r="H290" s="811" t="s">
        <v>1114</v>
      </c>
      <c r="I290" s="825"/>
      <c r="J290" s="825">
        <v>54550</v>
      </c>
      <c r="K290" s="419">
        <f t="shared" si="8"/>
        <v>0</v>
      </c>
    </row>
    <row r="291" spans="3:11">
      <c r="C291" s="187" t="s">
        <v>1225</v>
      </c>
      <c r="D291" s="25">
        <v>10</v>
      </c>
      <c r="E291" s="279">
        <v>75739</v>
      </c>
      <c r="F291" s="189">
        <v>42369</v>
      </c>
      <c r="G291" s="822" t="s">
        <v>1225</v>
      </c>
      <c r="H291" s="811" t="s">
        <v>1114</v>
      </c>
      <c r="I291" s="825"/>
      <c r="J291" s="825">
        <v>75900</v>
      </c>
      <c r="K291" s="419">
        <f t="shared" si="8"/>
        <v>0</v>
      </c>
    </row>
    <row r="292" spans="3:11">
      <c r="C292" s="187" t="s">
        <v>1224</v>
      </c>
      <c r="D292" s="25">
        <v>6</v>
      </c>
      <c r="E292" s="279">
        <v>89473</v>
      </c>
      <c r="F292" s="189">
        <v>42369</v>
      </c>
      <c r="G292" s="822" t="s">
        <v>1224</v>
      </c>
      <c r="H292" s="811" t="s">
        <v>1114</v>
      </c>
      <c r="I292" s="825"/>
      <c r="J292" s="825">
        <v>89500</v>
      </c>
      <c r="K292" s="419">
        <f t="shared" si="8"/>
        <v>0</v>
      </c>
    </row>
    <row r="293" spans="3:11">
      <c r="C293" s="190" t="s">
        <v>1217</v>
      </c>
      <c r="D293" s="25">
        <v>40</v>
      </c>
      <c r="E293" s="279">
        <v>24976</v>
      </c>
      <c r="F293" s="189">
        <v>42369</v>
      </c>
      <c r="G293" s="822" t="s">
        <v>1217</v>
      </c>
      <c r="H293" s="811" t="s">
        <v>1114</v>
      </c>
      <c r="I293" s="825"/>
      <c r="J293" s="825">
        <v>25000</v>
      </c>
      <c r="K293" s="419">
        <f t="shared" si="8"/>
        <v>0</v>
      </c>
    </row>
    <row r="294" spans="3:11">
      <c r="C294" s="187" t="s">
        <v>1227</v>
      </c>
      <c r="D294" s="25">
        <v>10</v>
      </c>
      <c r="E294" s="279">
        <v>25985</v>
      </c>
      <c r="F294" s="189">
        <v>42369</v>
      </c>
      <c r="G294" s="822" t="s">
        <v>1227</v>
      </c>
      <c r="H294" s="811" t="s">
        <v>1114</v>
      </c>
      <c r="I294" s="825"/>
      <c r="J294" s="825">
        <v>26000</v>
      </c>
      <c r="K294" s="419">
        <f t="shared" si="8"/>
        <v>0</v>
      </c>
    </row>
    <row r="295" spans="3:11">
      <c r="C295" s="190" t="s">
        <v>1221</v>
      </c>
      <c r="D295" s="25">
        <v>20</v>
      </c>
      <c r="E295" s="279">
        <v>25260</v>
      </c>
      <c r="F295" s="189">
        <v>42369</v>
      </c>
      <c r="G295" s="822" t="s">
        <v>1221</v>
      </c>
      <c r="H295" s="811" t="s">
        <v>1114</v>
      </c>
      <c r="I295" s="825"/>
      <c r="J295" s="825">
        <v>25300</v>
      </c>
      <c r="K295" s="419">
        <f t="shared" si="8"/>
        <v>0</v>
      </c>
    </row>
    <row r="296" spans="3:11">
      <c r="C296" s="187" t="s">
        <v>1228</v>
      </c>
      <c r="D296" s="25">
        <v>6</v>
      </c>
      <c r="E296" s="279">
        <v>33564</v>
      </c>
      <c r="F296" s="189">
        <v>42369</v>
      </c>
      <c r="G296" s="822" t="s">
        <v>1228</v>
      </c>
      <c r="H296" s="811" t="s">
        <v>1114</v>
      </c>
      <c r="I296" s="825"/>
      <c r="J296" s="825">
        <v>33750</v>
      </c>
      <c r="K296" s="419">
        <f t="shared" si="8"/>
        <v>0</v>
      </c>
    </row>
    <row r="297" spans="3:11">
      <c r="C297" s="187" t="s">
        <v>1226</v>
      </c>
      <c r="D297" s="25">
        <v>284</v>
      </c>
      <c r="E297" s="279">
        <v>16605.647887323943</v>
      </c>
      <c r="F297" s="189">
        <v>42369</v>
      </c>
      <c r="G297" s="822" t="s">
        <v>1226</v>
      </c>
      <c r="H297" s="811" t="s">
        <v>1114</v>
      </c>
      <c r="I297" s="825"/>
      <c r="J297" s="825">
        <v>16780</v>
      </c>
      <c r="K297" s="419">
        <f t="shared" si="8"/>
        <v>0</v>
      </c>
    </row>
    <row r="298" spans="3:11">
      <c r="C298" s="187" t="s">
        <v>1229</v>
      </c>
      <c r="D298" s="25">
        <v>8</v>
      </c>
      <c r="E298" s="279">
        <v>21567</v>
      </c>
      <c r="F298" s="189">
        <v>42369</v>
      </c>
      <c r="G298" s="822" t="s">
        <v>1229</v>
      </c>
      <c r="H298" s="811" t="s">
        <v>1114</v>
      </c>
      <c r="I298" s="825"/>
      <c r="J298" s="825">
        <v>21711.9</v>
      </c>
      <c r="K298" s="419">
        <f t="shared" si="8"/>
        <v>0</v>
      </c>
    </row>
    <row r="299" spans="3:11">
      <c r="C299" s="190" t="s">
        <v>1218</v>
      </c>
      <c r="D299" s="25">
        <v>8</v>
      </c>
      <c r="E299" s="279">
        <v>40508</v>
      </c>
      <c r="F299" s="189">
        <v>42369</v>
      </c>
      <c r="G299" s="822" t="s">
        <v>1218</v>
      </c>
      <c r="H299" s="811" t="s">
        <v>1114</v>
      </c>
      <c r="I299" s="825"/>
      <c r="J299" s="825">
        <v>40800</v>
      </c>
      <c r="K299" s="419">
        <f t="shared" si="8"/>
        <v>0</v>
      </c>
    </row>
    <row r="300" spans="3:11">
      <c r="C300" s="190" t="s">
        <v>1232</v>
      </c>
      <c r="D300" s="25">
        <v>1000</v>
      </c>
      <c r="E300" s="279">
        <v>4203</v>
      </c>
      <c r="F300" s="189">
        <v>42369</v>
      </c>
      <c r="G300" s="822" t="s">
        <v>1232</v>
      </c>
      <c r="H300" s="811" t="s">
        <v>1114</v>
      </c>
      <c r="I300" s="825"/>
      <c r="J300" s="825">
        <v>4300</v>
      </c>
      <c r="K300" s="419">
        <f t="shared" si="8"/>
        <v>0</v>
      </c>
    </row>
    <row r="301" spans="3:11">
      <c r="C301" s="190" t="s">
        <v>925</v>
      </c>
      <c r="D301" s="25">
        <v>2200</v>
      </c>
      <c r="E301" s="279">
        <v>9598</v>
      </c>
      <c r="F301" s="189">
        <v>42369</v>
      </c>
      <c r="G301" s="822" t="s">
        <v>925</v>
      </c>
      <c r="H301" s="811" t="s">
        <v>1114</v>
      </c>
      <c r="I301" s="825"/>
      <c r="J301" s="825">
        <v>9600</v>
      </c>
      <c r="K301" s="419">
        <f t="shared" si="8"/>
        <v>0</v>
      </c>
    </row>
    <row r="302" spans="3:11">
      <c r="C302" s="190" t="s">
        <v>1233</v>
      </c>
      <c r="D302" s="25">
        <v>2000</v>
      </c>
      <c r="E302" s="279">
        <v>6119</v>
      </c>
      <c r="F302" s="189">
        <v>42369</v>
      </c>
      <c r="G302" s="822" t="s">
        <v>1233</v>
      </c>
      <c r="H302" s="811" t="s">
        <v>1114</v>
      </c>
      <c r="I302" s="825"/>
      <c r="J302" s="825">
        <v>6300</v>
      </c>
      <c r="K302" s="419">
        <f t="shared" si="8"/>
        <v>0</v>
      </c>
    </row>
    <row r="303" spans="3:11">
      <c r="C303" s="190" t="s">
        <v>926</v>
      </c>
      <c r="D303" s="25">
        <v>1850</v>
      </c>
      <c r="E303" s="279">
        <v>8234</v>
      </c>
      <c r="F303" s="189">
        <v>42369</v>
      </c>
      <c r="G303" s="822" t="s">
        <v>926</v>
      </c>
      <c r="H303" s="811" t="s">
        <v>1114</v>
      </c>
      <c r="I303" s="825"/>
      <c r="J303" s="825">
        <v>8250</v>
      </c>
      <c r="K303" s="419">
        <f t="shared" si="8"/>
        <v>0</v>
      </c>
    </row>
    <row r="304" spans="3:11">
      <c r="C304" s="190" t="s">
        <v>927</v>
      </c>
      <c r="D304" s="25">
        <v>2000</v>
      </c>
      <c r="E304" s="279">
        <v>9383</v>
      </c>
      <c r="F304" s="189">
        <v>42369</v>
      </c>
      <c r="G304" s="822" t="s">
        <v>927</v>
      </c>
      <c r="H304" s="811" t="s">
        <v>1114</v>
      </c>
      <c r="I304" s="825"/>
      <c r="J304" s="825">
        <v>9400</v>
      </c>
      <c r="K304" s="419">
        <f t="shared" si="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59</vt:i4>
      </vt:variant>
    </vt:vector>
  </HeadingPairs>
  <TitlesOfParts>
    <vt:vector size="85" baseType="lpstr">
      <vt:lpstr>CDPS</vt:lpstr>
      <vt:lpstr>TH</vt:lpstr>
      <vt:lpstr>NKC</vt:lpstr>
      <vt:lpstr>CTTK</vt:lpstr>
      <vt:lpstr>111</vt:lpstr>
      <vt:lpstr>IN-TC</vt:lpstr>
      <vt:lpstr>112</vt:lpstr>
      <vt:lpstr>131</vt:lpstr>
      <vt:lpstr>131-CT</vt:lpstr>
      <vt:lpstr>331</vt:lpstr>
      <vt:lpstr>331-CT</vt:lpstr>
      <vt:lpstr>411</vt:lpstr>
      <vt:lpstr>NXT</vt:lpstr>
      <vt:lpstr>IN-NX</vt:lpstr>
      <vt:lpstr>152-CT</vt:lpstr>
      <vt:lpstr>TK</vt:lpstr>
      <vt:lpstr>BTGT</vt:lpstr>
      <vt:lpstr>THEGT</vt:lpstr>
      <vt:lpstr>BK-MV</vt:lpstr>
      <vt:lpstr>SO-TS</vt:lpstr>
      <vt:lpstr>THE-TS</vt:lpstr>
      <vt:lpstr>154</vt:lpstr>
      <vt:lpstr>632</vt:lpstr>
      <vt:lpstr>642</vt:lpstr>
      <vt:lpstr>641</vt:lpstr>
      <vt:lpstr>Sheet2</vt:lpstr>
      <vt:lpstr>_C111</vt:lpstr>
      <vt:lpstr>_C112</vt:lpstr>
      <vt:lpstr>_M</vt:lpstr>
      <vt:lpstr>_N111</vt:lpstr>
      <vt:lpstr>_N112</vt:lpstr>
      <vt:lpstr>DG</vt:lpstr>
      <vt:lpstr>DS_131</vt:lpstr>
      <vt:lpstr>DSGT1</vt:lpstr>
      <vt:lpstr>DSGT2</vt:lpstr>
      <vt:lpstr>DSGT3</vt:lpstr>
      <vt:lpstr>DSGT4</vt:lpstr>
      <vt:lpstr>DSKH</vt:lpstr>
      <vt:lpstr>DSSP1</vt:lpstr>
      <vt:lpstr>DSSP2</vt:lpstr>
      <vt:lpstr>DSSP3</vt:lpstr>
      <vt:lpstr>DSSP4</vt:lpstr>
      <vt:lpstr>DSTK</vt:lpstr>
      <vt:lpstr>DSTS1</vt:lpstr>
      <vt:lpstr>KH</vt:lpstr>
      <vt:lpstr>KHC</vt:lpstr>
      <vt:lpstr>KHN</vt:lpstr>
      <vt:lpstr>MH</vt:lpstr>
      <vt:lpstr>NXT</vt:lpstr>
      <vt:lpstr>'111'!Print_Area</vt:lpstr>
      <vt:lpstr>'112'!Print_Area</vt:lpstr>
      <vt:lpstr>'131'!Print_Area</vt:lpstr>
      <vt:lpstr>'131-CT'!Print_Area</vt:lpstr>
      <vt:lpstr>'152-CT'!Print_Area</vt:lpstr>
      <vt:lpstr>'154'!Print_Area</vt:lpstr>
      <vt:lpstr>'331'!Print_Area</vt:lpstr>
      <vt:lpstr>'331-CT'!Print_Area</vt:lpstr>
      <vt:lpstr>'632'!Print_Area</vt:lpstr>
      <vt:lpstr>'641'!Print_Area</vt:lpstr>
      <vt:lpstr>'642'!Print_Area</vt:lpstr>
      <vt:lpstr>BTGT!Print_Area</vt:lpstr>
      <vt:lpstr>CTTK!Print_Area</vt:lpstr>
      <vt:lpstr>'IN-NX'!Print_Area</vt:lpstr>
      <vt:lpstr>'IN-TC'!Print_Area</vt:lpstr>
      <vt:lpstr>NKC!Print_Area</vt:lpstr>
      <vt:lpstr>NXT!Print_Area</vt:lpstr>
      <vt:lpstr>'SO-TS'!Print_Area</vt:lpstr>
      <vt:lpstr>'THE-TS'!Print_Area</vt:lpstr>
      <vt:lpstr>TK!Print_Area</vt:lpstr>
      <vt:lpstr>'111'!Print_Titles</vt:lpstr>
      <vt:lpstr>'112'!Print_Titles</vt:lpstr>
      <vt:lpstr>'131-CT'!Print_Titles</vt:lpstr>
      <vt:lpstr>'154'!Print_Titles</vt:lpstr>
      <vt:lpstr>'331-CT'!Print_Titles</vt:lpstr>
      <vt:lpstr>'641'!Print_Titles</vt:lpstr>
      <vt:lpstr>'642'!Print_Titles</vt:lpstr>
      <vt:lpstr>'BK-MV'!Print_Titles</vt:lpstr>
      <vt:lpstr>BTGT!Print_Titles</vt:lpstr>
      <vt:lpstr>CTTK!Print_Titles</vt:lpstr>
      <vt:lpstr>NKC!Print_Titles</vt:lpstr>
      <vt:lpstr>NXT!Print_Titles</vt:lpstr>
      <vt:lpstr>'SO-TS'!Print_Titles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2016-12-01T06:04:40Z</cp:lastPrinted>
  <dcterms:created xsi:type="dcterms:W3CDTF">1996-10-14T23:33:28Z</dcterms:created>
  <dcterms:modified xsi:type="dcterms:W3CDTF">2016-12-02T01:58:17Z</dcterms:modified>
</cp:coreProperties>
</file>